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2.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drawings/drawing3.xml" ContentType="application/vnd.openxmlformats-officedocument.drawing+xml"/>
  <Override PartName="/xl/tables/table2.xml" ContentType="application/vnd.openxmlformats-officedocument.spreadsheetml.table+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17"/>
  <workbookPr/>
  <xr:revisionPtr revIDLastSave="0" documentId="8_{0B855F4D-64B4-4D2C-BE81-0F618907EF54}" xr6:coauthVersionLast="47" xr6:coauthVersionMax="47" xr10:uidLastSave="{00000000-0000-0000-0000-000000000000}"/>
  <bookViews>
    <workbookView xWindow="0" yWindow="0" windowWidth="0" windowHeight="0" xr2:uid="{00000000-000D-0000-FFFF-FFFF00000000}"/>
  </bookViews>
  <sheets>
    <sheet name="Automation Monitoring" sheetId="1" r:id="rId1"/>
    <sheet name="Monthly Monitoring (2026)" sheetId="21" r:id="rId2"/>
    <sheet name="Weekly TC Application (2024)" sheetId="4" state="hidden" r:id="rId3"/>
    <sheet name="Weekly TC Team" sheetId="6" state="hidden" r:id="rId4"/>
    <sheet name="Daftar Aplikasi BNI" sheetId="7" r:id="rId5"/>
    <sheet name="Automation Monitoring (2)" sheetId="26" r:id="rId6"/>
    <sheet name="Daftar Aplikasi BNI (3)" sheetId="9" r:id="rId7"/>
    <sheet name="SMS Banking" sheetId="10" state="hidden" r:id="rId8"/>
    <sheet name="OMNI" sheetId="11" state="hidden" r:id="rId9"/>
    <sheet name="H2H Remittance" sheetId="12" state="hidden" r:id="rId10"/>
    <sheet name="Xpora" sheetId="13" state="hidden" r:id="rId11"/>
    <sheet name="DigiSales" sheetId="14" state="hidden" r:id="rId12"/>
    <sheet name="SOA" sheetId="15" state="hidden" r:id="rId13"/>
    <sheet name="ALL_APPS_ISSUE" sheetId="16" state="hidden" r:id="rId14"/>
    <sheet name="MyCard Web DONE" sheetId="17" state="hidden" r:id="rId15"/>
    <sheet name="SISKA DONE" sheetId="18" state="hidden" r:id="rId16"/>
    <sheet name="Api Management DONE" sheetId="19" state="hidden" r:id="rId17"/>
    <sheet name="Shifting incyb" sheetId="20" state="hidden" r:id="rId18"/>
    <sheet name="Modul BNI Direct 20260626" sheetId="22" r:id="rId19"/>
    <sheet name="Lembar2" sheetId="27" r:id="rId20"/>
    <sheet name="Modul Agen46 20260629" sheetId="23" r:id="rId21"/>
    <sheet name="Lembar1" sheetId="24" r:id="rId22"/>
  </sheets>
  <definedNames>
    <definedName name="_xlnm._FilterDatabase" localSheetId="6" hidden="1">'Daftar Aplikasi BNI (3)'!$A$4:$T$241</definedName>
    <definedName name="Z_C4D1F31B_990F_4A3F_96C3_627354A7675C_.wvu.FilterData" localSheetId="11" hidden="1">DigiSales!$N$1:$O$1323</definedName>
    <definedName name="Z_C4D1F31B_990F_4A3F_96C3_627354A7675C_.wvu.FilterData" localSheetId="15" hidden="1">'SISKA DONE'!$S$1:$S$90</definedName>
  </definedNames>
  <calcPr calcId="191028"/>
  <customWorkbookViews>
    <customWorkbookView name="Filter 1" guid="{C4D1F31B-990F-4A3F-96C3-627354A7675C}" maximized="1" windowWidth="0" windowHeight="0" activeSheetId="0"/>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85" i="26" l="1"/>
  <c r="C85" i="26"/>
  <c r="J42" i="26"/>
  <c r="H42" i="26"/>
  <c r="J41" i="26"/>
  <c r="H41" i="26"/>
  <c r="J40" i="26"/>
  <c r="H40" i="26"/>
  <c r="J39" i="26"/>
  <c r="H39" i="26"/>
  <c r="J38" i="26"/>
  <c r="H38" i="26"/>
  <c r="J37" i="26"/>
  <c r="H37" i="26"/>
  <c r="J36" i="26"/>
  <c r="H36" i="26"/>
  <c r="J35" i="26"/>
  <c r="H35" i="26"/>
  <c r="J34" i="26"/>
  <c r="H34" i="26"/>
  <c r="J33" i="26"/>
  <c r="H33" i="26"/>
  <c r="J32" i="26"/>
  <c r="H32" i="26"/>
  <c r="I31" i="26"/>
  <c r="G31" i="26"/>
  <c r="F31" i="26"/>
  <c r="E31" i="26"/>
  <c r="J30" i="26"/>
  <c r="H30" i="26"/>
  <c r="I29" i="26"/>
  <c r="G29" i="26"/>
  <c r="F29" i="26"/>
  <c r="E29" i="26"/>
  <c r="J28" i="26"/>
  <c r="H28" i="26"/>
  <c r="J27" i="26"/>
  <c r="H27" i="26"/>
  <c r="J26" i="26"/>
  <c r="H26" i="26"/>
  <c r="J25" i="26"/>
  <c r="H25" i="26"/>
  <c r="J24" i="26"/>
  <c r="H24" i="26"/>
  <c r="Y23" i="26"/>
  <c r="J23" i="26"/>
  <c r="H23" i="26"/>
  <c r="J22" i="26"/>
  <c r="H22" i="26"/>
  <c r="J21" i="26"/>
  <c r="H21" i="26"/>
  <c r="W20" i="26"/>
  <c r="V20" i="26"/>
  <c r="J20" i="26"/>
  <c r="H20" i="26"/>
  <c r="J19" i="26"/>
  <c r="H19" i="26"/>
  <c r="J18" i="26"/>
  <c r="H18" i="26"/>
  <c r="J17" i="26"/>
  <c r="H17" i="26"/>
  <c r="J16" i="26"/>
  <c r="H16" i="26"/>
  <c r="J15" i="26"/>
  <c r="H15" i="26"/>
  <c r="J14" i="26"/>
  <c r="H14" i="26"/>
  <c r="J13" i="26"/>
  <c r="H13" i="26"/>
  <c r="J12" i="26"/>
  <c r="H12" i="26"/>
  <c r="AR11" i="26"/>
  <c r="AP11" i="26"/>
  <c r="J11" i="26"/>
  <c r="H11" i="26"/>
  <c r="AR10" i="26"/>
  <c r="AP10" i="26"/>
  <c r="J10" i="26"/>
  <c r="H10" i="26"/>
  <c r="AR9" i="26"/>
  <c r="AP9" i="26"/>
  <c r="J9" i="26"/>
  <c r="H9" i="26"/>
  <c r="AZ8" i="26"/>
  <c r="AX8" i="26"/>
  <c r="AR8" i="26"/>
  <c r="AP8" i="26"/>
  <c r="J8" i="26"/>
  <c r="H8" i="26"/>
  <c r="AZ7" i="26"/>
  <c r="AX7" i="26"/>
  <c r="AR7" i="26"/>
  <c r="AP7" i="26"/>
  <c r="J7" i="26"/>
  <c r="H7" i="26"/>
  <c r="BH6" i="26"/>
  <c r="BF6" i="26"/>
  <c r="AZ6" i="26"/>
  <c r="AX6" i="26"/>
  <c r="AR6" i="26"/>
  <c r="AP6" i="26"/>
  <c r="I6" i="26"/>
  <c r="I43" i="26" s="1"/>
  <c r="G6" i="26"/>
  <c r="G43" i="26" s="1"/>
  <c r="F6" i="26"/>
  <c r="E6" i="26"/>
  <c r="C20" i="23"/>
  <c r="C11" i="23"/>
  <c r="E11" i="23"/>
  <c r="D11" i="23"/>
  <c r="E20" i="23"/>
  <c r="D20" i="23"/>
  <c r="I71" i="1"/>
  <c r="G71" i="1"/>
  <c r="F71" i="1"/>
  <c r="E71" i="1"/>
  <c r="J40" i="22"/>
  <c r="H40" i="22"/>
  <c r="C29" i="22"/>
  <c r="E29" i="22"/>
  <c r="D29" i="22"/>
  <c r="D10" i="22"/>
  <c r="D9" i="22"/>
  <c r="D13" i="22"/>
  <c r="D12" i="22"/>
  <c r="D8" i="22"/>
  <c r="D7" i="22"/>
  <c r="D6" i="22"/>
  <c r="D11" i="22"/>
  <c r="D5" i="22"/>
  <c r="D4" i="22"/>
  <c r="D14" i="22" s="1"/>
  <c r="E14" i="22"/>
  <c r="C14" i="22"/>
  <c r="J82" i="1"/>
  <c r="H82" i="1"/>
  <c r="H81" i="1"/>
  <c r="B1" i="21"/>
  <c r="D3" i="20"/>
  <c r="E3" i="20" s="1"/>
  <c r="F3" i="20" s="1"/>
  <c r="G3" i="20" s="1"/>
  <c r="H3" i="20" s="1"/>
  <c r="I3" i="20" s="1"/>
  <c r="J3" i="20" s="1"/>
  <c r="K3" i="20" s="1"/>
  <c r="L3" i="20" s="1"/>
  <c r="M3" i="20" s="1"/>
  <c r="N3" i="20" s="1"/>
  <c r="O3" i="20" s="1"/>
  <c r="P3" i="20" s="1"/>
  <c r="Q3" i="20" s="1"/>
  <c r="R3" i="20" s="1"/>
  <c r="S3" i="20" s="1"/>
  <c r="T3" i="20" s="1"/>
  <c r="U3" i="20" s="1"/>
  <c r="V3" i="20" s="1"/>
  <c r="W3" i="20" s="1"/>
  <c r="X3" i="20" s="1"/>
  <c r="Y3" i="20" s="1"/>
  <c r="Z3" i="20" s="1"/>
  <c r="AA3" i="20" s="1"/>
  <c r="AB3" i="20" s="1"/>
  <c r="AC3" i="20" s="1"/>
  <c r="AD3" i="20" s="1"/>
  <c r="AE3" i="20" s="1"/>
  <c r="AF3" i="20" s="1"/>
  <c r="AG3" i="20" s="1"/>
  <c r="AH3" i="20" s="1"/>
  <c r="AI3" i="20" s="1"/>
  <c r="AJ3" i="20" s="1"/>
  <c r="AK3" i="20" s="1"/>
  <c r="AL3" i="20" s="1"/>
  <c r="AM3" i="20" s="1"/>
  <c r="AN3" i="20" s="1"/>
  <c r="AO3" i="20" s="1"/>
  <c r="AP3" i="20" s="1"/>
  <c r="AQ3" i="20" s="1"/>
  <c r="AR3" i="20" s="1"/>
  <c r="AS3" i="20" s="1"/>
  <c r="AT3" i="20" s="1"/>
  <c r="AU3" i="20" s="1"/>
  <c r="AV3" i="20" s="1"/>
  <c r="AW3" i="20" s="1"/>
  <c r="AX3" i="20" s="1"/>
  <c r="AY3" i="20" s="1"/>
  <c r="AZ3" i="20" s="1"/>
  <c r="BA3" i="20" s="1"/>
  <c r="BB3" i="20" s="1"/>
  <c r="BC3" i="20" s="1"/>
  <c r="BD3" i="20" s="1"/>
  <c r="BE3" i="20" s="1"/>
  <c r="BF3" i="20" s="1"/>
  <c r="BG3" i="20" s="1"/>
  <c r="BH3" i="20" s="1"/>
  <c r="BI3" i="20" s="1"/>
  <c r="BJ3" i="20" s="1"/>
  <c r="BK3" i="20" s="1"/>
  <c r="BL3" i="20" s="1"/>
  <c r="BM3" i="20" s="1"/>
  <c r="BN3" i="20" s="1"/>
  <c r="BO3" i="20" s="1"/>
  <c r="BP3" i="20" s="1"/>
  <c r="BQ3" i="20" s="1"/>
  <c r="BR3" i="20" s="1"/>
  <c r="BS3" i="20" s="1"/>
  <c r="BT3" i="20" s="1"/>
  <c r="BU3" i="20" s="1"/>
  <c r="BV3" i="20" s="1"/>
  <c r="BW3" i="20" s="1"/>
  <c r="BX3" i="20" s="1"/>
  <c r="BY3" i="20" s="1"/>
  <c r="BZ3" i="20" s="1"/>
  <c r="CA3" i="20" s="1"/>
  <c r="CB3" i="20" s="1"/>
  <c r="CC3" i="20" s="1"/>
  <c r="CD3" i="20" s="1"/>
  <c r="CE3" i="20" s="1"/>
  <c r="CF3" i="20" s="1"/>
  <c r="CG3" i="20" s="1"/>
  <c r="CH3" i="20" s="1"/>
  <c r="CI3" i="20" s="1"/>
  <c r="F103" i="18"/>
  <c r="G103" i="18" s="1"/>
  <c r="F102" i="18"/>
  <c r="G102" i="18" s="1"/>
  <c r="F101" i="18"/>
  <c r="G101" i="18" s="1"/>
  <c r="J99" i="18"/>
  <c r="J98" i="18"/>
  <c r="J97" i="18"/>
  <c r="L97" i="18" s="1"/>
  <c r="F97" i="18"/>
  <c r="F98" i="18" s="1"/>
  <c r="J96" i="18"/>
  <c r="F96" i="18"/>
  <c r="J95" i="18"/>
  <c r="F95" i="18"/>
  <c r="G95" i="18" s="1"/>
  <c r="J94" i="18"/>
  <c r="F94" i="18"/>
  <c r="G94" i="18" s="1"/>
  <c r="J93" i="18"/>
  <c r="L93" i="18" s="1"/>
  <c r="F183" i="17"/>
  <c r="G183" i="17" s="1"/>
  <c r="F182" i="17"/>
  <c r="G182" i="17" s="1"/>
  <c r="F181" i="17"/>
  <c r="G181" i="17" s="1"/>
  <c r="F177" i="17"/>
  <c r="F178" i="17" s="1"/>
  <c r="F176" i="17"/>
  <c r="G176" i="17" s="1"/>
  <c r="L175" i="17"/>
  <c r="F175" i="17"/>
  <c r="G175" i="17" s="1"/>
  <c r="F174" i="17"/>
  <c r="G174" i="17" s="1"/>
  <c r="L173" i="17"/>
  <c r="AA955" i="15"/>
  <c r="AA945" i="15"/>
  <c r="Z945" i="15"/>
  <c r="U945" i="15"/>
  <c r="W945" i="15" s="1"/>
  <c r="T825" i="15"/>
  <c r="T824" i="15"/>
  <c r="T823" i="15"/>
  <c r="T822" i="15"/>
  <c r="T821" i="15"/>
  <c r="T820" i="15"/>
  <c r="T817" i="15"/>
  <c r="T816" i="15"/>
  <c r="T815" i="15"/>
  <c r="T814" i="15"/>
  <c r="T813" i="15"/>
  <c r="T812" i="15"/>
  <c r="T811" i="15"/>
  <c r="T809" i="15"/>
  <c r="T808" i="15"/>
  <c r="T807" i="15"/>
  <c r="T804" i="15"/>
  <c r="T803" i="15"/>
  <c r="T802" i="15"/>
  <c r="T801" i="15"/>
  <c r="T800" i="15"/>
  <c r="T799" i="15"/>
  <c r="T798" i="15"/>
  <c r="T797" i="15"/>
  <c r="T796" i="15"/>
  <c r="T795" i="15"/>
  <c r="T793" i="15"/>
  <c r="T792" i="15"/>
  <c r="T791" i="15"/>
  <c r="T790" i="15"/>
  <c r="T789" i="15"/>
  <c r="T786" i="15"/>
  <c r="T785" i="15"/>
  <c r="T784" i="15"/>
  <c r="T783" i="15"/>
  <c r="T782" i="15"/>
  <c r="T781" i="15"/>
  <c r="T780" i="15"/>
  <c r="T779" i="15"/>
  <c r="T778" i="15"/>
  <c r="T777" i="15"/>
  <c r="T776" i="15"/>
  <c r="H776" i="15"/>
  <c r="T775" i="15"/>
  <c r="H775" i="15"/>
  <c r="T774" i="15"/>
  <c r="H774" i="15"/>
  <c r="T773" i="15"/>
  <c r="H773" i="15"/>
  <c r="T772" i="15"/>
  <c r="H772" i="15"/>
  <c r="T771" i="15"/>
  <c r="H771" i="15"/>
  <c r="T770" i="15"/>
  <c r="H770" i="15"/>
  <c r="T769" i="15"/>
  <c r="H769" i="15"/>
  <c r="T768" i="15"/>
  <c r="H768" i="15"/>
  <c r="T767" i="15"/>
  <c r="H767" i="15"/>
  <c r="T766" i="15"/>
  <c r="H766" i="15"/>
  <c r="T765" i="15"/>
  <c r="H765" i="15"/>
  <c r="T764" i="15"/>
  <c r="H764" i="15"/>
  <c r="T763" i="15"/>
  <c r="H763" i="15"/>
  <c r="T762" i="15"/>
  <c r="H762" i="15"/>
  <c r="T761" i="15"/>
  <c r="H761" i="15"/>
  <c r="T760" i="15"/>
  <c r="H760" i="15"/>
  <c r="T759" i="15"/>
  <c r="H759" i="15"/>
  <c r="T758" i="15"/>
  <c r="H758" i="15"/>
  <c r="T757" i="15"/>
  <c r="H757" i="15"/>
  <c r="T756" i="15"/>
  <c r="H756" i="15"/>
  <c r="T755" i="15"/>
  <c r="H755" i="15"/>
  <c r="T754" i="15"/>
  <c r="H754" i="15"/>
  <c r="T753" i="15"/>
  <c r="H753" i="15"/>
  <c r="T752" i="15"/>
  <c r="H752" i="15"/>
  <c r="T751" i="15"/>
  <c r="H751" i="15"/>
  <c r="T750" i="15"/>
  <c r="H750" i="15"/>
  <c r="T749" i="15"/>
  <c r="H749" i="15"/>
  <c r="H748" i="15"/>
  <c r="T747" i="15"/>
  <c r="H747" i="15"/>
  <c r="T746" i="15"/>
  <c r="H746" i="15"/>
  <c r="T745" i="15"/>
  <c r="H745" i="15"/>
  <c r="T744" i="15"/>
  <c r="H744" i="15"/>
  <c r="T743" i="15"/>
  <c r="H743" i="15"/>
  <c r="T742" i="15"/>
  <c r="H742" i="15"/>
  <c r="T741" i="15"/>
  <c r="H741" i="15"/>
  <c r="T740" i="15"/>
  <c r="H740" i="15"/>
  <c r="T739" i="15"/>
  <c r="H739" i="15"/>
  <c r="T738" i="15"/>
  <c r="H738" i="15"/>
  <c r="T737" i="15"/>
  <c r="H737" i="15"/>
  <c r="T736" i="15"/>
  <c r="H736" i="15"/>
  <c r="T735" i="15"/>
  <c r="H735" i="15"/>
  <c r="T734" i="15"/>
  <c r="H734" i="15"/>
  <c r="T733" i="15"/>
  <c r="H733" i="15"/>
  <c r="T732" i="15"/>
  <c r="H732" i="15"/>
  <c r="T731" i="15"/>
  <c r="H731" i="15"/>
  <c r="T730" i="15"/>
  <c r="H730" i="15"/>
  <c r="T729" i="15"/>
  <c r="H729" i="15"/>
  <c r="T728" i="15"/>
  <c r="H728" i="15"/>
  <c r="T727" i="15"/>
  <c r="H727" i="15"/>
  <c r="T726" i="15"/>
  <c r="H726" i="15"/>
  <c r="T725" i="15"/>
  <c r="H725" i="15"/>
  <c r="T724" i="15"/>
  <c r="H724" i="15"/>
  <c r="T723" i="15"/>
  <c r="H723" i="15"/>
  <c r="T722" i="15"/>
  <c r="H722" i="15"/>
  <c r="T721" i="15"/>
  <c r="H721" i="15"/>
  <c r="T720" i="15"/>
  <c r="H720" i="15"/>
  <c r="T719" i="15"/>
  <c r="H719" i="15"/>
  <c r="T718" i="15"/>
  <c r="H718" i="15"/>
  <c r="T717" i="15"/>
  <c r="H717" i="15"/>
  <c r="T716" i="15"/>
  <c r="H716" i="15"/>
  <c r="T715" i="15"/>
  <c r="H715" i="15"/>
  <c r="T714" i="15"/>
  <c r="H714" i="15"/>
  <c r="T713" i="15"/>
  <c r="H713" i="15"/>
  <c r="T712" i="15"/>
  <c r="H712" i="15"/>
  <c r="T711" i="15"/>
  <c r="H711" i="15"/>
  <c r="T710" i="15"/>
  <c r="H710" i="15"/>
  <c r="T709" i="15"/>
  <c r="H709" i="15"/>
  <c r="T708" i="15"/>
  <c r="H708" i="15"/>
  <c r="T707" i="15"/>
  <c r="H707" i="15"/>
  <c r="T706" i="15"/>
  <c r="H706" i="15"/>
  <c r="T705" i="15"/>
  <c r="H705" i="15"/>
  <c r="T704" i="15"/>
  <c r="H704" i="15"/>
  <c r="T703" i="15"/>
  <c r="H703" i="15"/>
  <c r="T702" i="15"/>
  <c r="H702" i="15"/>
  <c r="T701" i="15"/>
  <c r="H701" i="15"/>
  <c r="T700" i="15"/>
  <c r="H700" i="15"/>
  <c r="T699" i="15"/>
  <c r="H699" i="15"/>
  <c r="T698" i="15"/>
  <c r="H698" i="15"/>
  <c r="T697" i="15"/>
  <c r="H697" i="15"/>
  <c r="T696" i="15"/>
  <c r="H696" i="15"/>
  <c r="T695" i="15"/>
  <c r="H695" i="15"/>
  <c r="T694" i="15"/>
  <c r="H694" i="15"/>
  <c r="T693" i="15"/>
  <c r="H693" i="15"/>
  <c r="T692" i="15"/>
  <c r="H692" i="15"/>
  <c r="T691" i="15"/>
  <c r="H691" i="15"/>
  <c r="T690" i="15"/>
  <c r="H690" i="15"/>
  <c r="T689" i="15"/>
  <c r="H689" i="15"/>
  <c r="T688" i="15"/>
  <c r="H688" i="15"/>
  <c r="T687" i="15"/>
  <c r="H687" i="15"/>
  <c r="T686" i="15"/>
  <c r="H686" i="15"/>
  <c r="T685" i="15"/>
  <c r="H685" i="15"/>
  <c r="T684" i="15"/>
  <c r="H684" i="15"/>
  <c r="T683" i="15"/>
  <c r="H683" i="15"/>
  <c r="T682" i="15"/>
  <c r="H682" i="15"/>
  <c r="T681" i="15"/>
  <c r="H681" i="15"/>
  <c r="T680" i="15"/>
  <c r="H680" i="15"/>
  <c r="T679" i="15"/>
  <c r="H679" i="15"/>
  <c r="T678" i="15"/>
  <c r="H678" i="15"/>
  <c r="T677" i="15"/>
  <c r="H677" i="15"/>
  <c r="T676" i="15"/>
  <c r="H676" i="15"/>
  <c r="T675" i="15"/>
  <c r="H675" i="15"/>
  <c r="T674" i="15"/>
  <c r="H674" i="15"/>
  <c r="T673" i="15"/>
  <c r="H673" i="15"/>
  <c r="T672" i="15"/>
  <c r="H672" i="15"/>
  <c r="T671" i="15"/>
  <c r="H671" i="15"/>
  <c r="T670" i="15"/>
  <c r="H670" i="15"/>
  <c r="T669" i="15"/>
  <c r="H669" i="15"/>
  <c r="T668" i="15"/>
  <c r="H668" i="15"/>
  <c r="T667" i="15"/>
  <c r="H667" i="15"/>
  <c r="T666" i="15"/>
  <c r="H666" i="15"/>
  <c r="T665" i="15"/>
  <c r="H665" i="15"/>
  <c r="T664" i="15"/>
  <c r="H664" i="15"/>
  <c r="T663" i="15"/>
  <c r="H663" i="15"/>
  <c r="T662" i="15"/>
  <c r="H662" i="15"/>
  <c r="T661" i="15"/>
  <c r="H661" i="15"/>
  <c r="T660" i="15"/>
  <c r="H660" i="15"/>
  <c r="T659" i="15"/>
  <c r="H659" i="15"/>
  <c r="T658" i="15"/>
  <c r="H658" i="15"/>
  <c r="T657" i="15"/>
  <c r="H657" i="15"/>
  <c r="T656" i="15"/>
  <c r="H656" i="15"/>
  <c r="T655" i="15"/>
  <c r="H655" i="15"/>
  <c r="T654" i="15"/>
  <c r="H654" i="15"/>
  <c r="T653" i="15"/>
  <c r="H653" i="15"/>
  <c r="T652" i="15"/>
  <c r="H652" i="15"/>
  <c r="T651" i="15"/>
  <c r="H651" i="15"/>
  <c r="T650" i="15"/>
  <c r="H650" i="15"/>
  <c r="T649" i="15"/>
  <c r="H649" i="15"/>
  <c r="T648" i="15"/>
  <c r="H648" i="15"/>
  <c r="T647" i="15"/>
  <c r="H647" i="15"/>
  <c r="T646" i="15"/>
  <c r="H646" i="15"/>
  <c r="T645" i="15"/>
  <c r="H645" i="15"/>
  <c r="T644" i="15"/>
  <c r="H644" i="15"/>
  <c r="T643" i="15"/>
  <c r="H643" i="15"/>
  <c r="T642" i="15"/>
  <c r="H642" i="15"/>
  <c r="T641" i="15"/>
  <c r="H641" i="15"/>
  <c r="T640" i="15"/>
  <c r="H640" i="15"/>
  <c r="T639" i="15"/>
  <c r="H639" i="15"/>
  <c r="T638" i="15"/>
  <c r="H638" i="15"/>
  <c r="T637" i="15"/>
  <c r="H637" i="15"/>
  <c r="T636" i="15"/>
  <c r="H636" i="15"/>
  <c r="T633" i="15"/>
  <c r="T632" i="15"/>
  <c r="H632" i="15"/>
  <c r="T631" i="15"/>
  <c r="H631" i="15"/>
  <c r="T630" i="15"/>
  <c r="H630" i="15"/>
  <c r="T629" i="15"/>
  <c r="H629" i="15"/>
  <c r="T628" i="15"/>
  <c r="H628" i="15"/>
  <c r="T627" i="15"/>
  <c r="H627" i="15"/>
  <c r="T626" i="15"/>
  <c r="H626" i="15"/>
  <c r="T625" i="15"/>
  <c r="H625" i="15"/>
  <c r="T624" i="15"/>
  <c r="H624" i="15"/>
  <c r="T623" i="15"/>
  <c r="H623" i="15"/>
  <c r="T622" i="15"/>
  <c r="H622" i="15"/>
  <c r="T621" i="15"/>
  <c r="H621" i="15"/>
  <c r="T620" i="15"/>
  <c r="H620" i="15"/>
  <c r="T619" i="15"/>
  <c r="H619" i="15"/>
  <c r="T618" i="15"/>
  <c r="H618" i="15"/>
  <c r="T617" i="15"/>
  <c r="H617" i="15"/>
  <c r="T616" i="15"/>
  <c r="H616" i="15"/>
  <c r="T615" i="15"/>
  <c r="H615" i="15"/>
  <c r="T613" i="15"/>
  <c r="H613" i="15"/>
  <c r="T612" i="15"/>
  <c r="H612" i="15"/>
  <c r="T611" i="15"/>
  <c r="H611" i="15"/>
  <c r="T609" i="15"/>
  <c r="H609" i="15"/>
  <c r="T595" i="15"/>
  <c r="H595" i="15"/>
  <c r="T594" i="15"/>
  <c r="T593" i="15"/>
  <c r="H593" i="15"/>
  <c r="T592" i="15"/>
  <c r="H592" i="15"/>
  <c r="T591" i="15"/>
  <c r="H591" i="15"/>
  <c r="T590" i="15"/>
  <c r="H590" i="15"/>
  <c r="T589" i="15"/>
  <c r="H589" i="15"/>
  <c r="T588" i="15"/>
  <c r="H588" i="15"/>
  <c r="T587" i="15"/>
  <c r="H587" i="15"/>
  <c r="T586" i="15"/>
  <c r="H586" i="15"/>
  <c r="T583" i="15"/>
  <c r="T582" i="15"/>
  <c r="H582" i="15"/>
  <c r="T581" i="15"/>
  <c r="H581" i="15"/>
  <c r="T580" i="15"/>
  <c r="H580" i="15"/>
  <c r="T579" i="15"/>
  <c r="H579" i="15"/>
  <c r="T578" i="15"/>
  <c r="H578" i="15"/>
  <c r="T577" i="15"/>
  <c r="H577" i="15"/>
  <c r="T576" i="15"/>
  <c r="H576" i="15"/>
  <c r="T575" i="15"/>
  <c r="H575" i="15"/>
  <c r="T574" i="15"/>
  <c r="H574" i="15"/>
  <c r="T573" i="15"/>
  <c r="H573" i="15"/>
  <c r="T572" i="15"/>
  <c r="H572" i="15"/>
  <c r="T571" i="15"/>
  <c r="H571" i="15"/>
  <c r="T570" i="15"/>
  <c r="H570" i="15"/>
  <c r="T569" i="15"/>
  <c r="H569" i="15"/>
  <c r="T568" i="15"/>
  <c r="H568" i="15"/>
  <c r="T567" i="15"/>
  <c r="H567" i="15"/>
  <c r="T566" i="15"/>
  <c r="H566" i="15"/>
  <c r="T565" i="15"/>
  <c r="H565" i="15"/>
  <c r="T564" i="15"/>
  <c r="H564" i="15"/>
  <c r="T563" i="15"/>
  <c r="H563" i="15"/>
  <c r="T562" i="15"/>
  <c r="H562" i="15"/>
  <c r="T561" i="15"/>
  <c r="H561" i="15"/>
  <c r="T560" i="15"/>
  <c r="H560" i="15"/>
  <c r="T559" i="15"/>
  <c r="H559" i="15"/>
  <c r="T558" i="15"/>
  <c r="H558" i="15"/>
  <c r="T557" i="15"/>
  <c r="H557" i="15"/>
  <c r="T556" i="15"/>
  <c r="H556" i="15"/>
  <c r="T555" i="15"/>
  <c r="H555" i="15"/>
  <c r="T554" i="15"/>
  <c r="H554" i="15"/>
  <c r="T553" i="15"/>
  <c r="H553" i="15"/>
  <c r="H552" i="15"/>
  <c r="T551" i="15"/>
  <c r="H551" i="15"/>
  <c r="T550" i="15"/>
  <c r="H550" i="15"/>
  <c r="T549" i="15"/>
  <c r="H549" i="15"/>
  <c r="T548" i="15"/>
  <c r="H548" i="15"/>
  <c r="T547" i="15"/>
  <c r="H547" i="15"/>
  <c r="T546" i="15"/>
  <c r="H546" i="15"/>
  <c r="T545" i="15"/>
  <c r="H545" i="15"/>
  <c r="T544" i="15"/>
  <c r="H544" i="15"/>
  <c r="T543" i="15"/>
  <c r="H543" i="15"/>
  <c r="T542" i="15"/>
  <c r="H542" i="15"/>
  <c r="T541" i="15"/>
  <c r="H541" i="15"/>
  <c r="T540" i="15"/>
  <c r="H540" i="15"/>
  <c r="T539" i="15"/>
  <c r="H539" i="15"/>
  <c r="T538" i="15"/>
  <c r="H538" i="15"/>
  <c r="T537" i="15"/>
  <c r="H537" i="15"/>
  <c r="T536" i="15"/>
  <c r="H536" i="15"/>
  <c r="T535" i="15"/>
  <c r="H535" i="15"/>
  <c r="T534" i="15"/>
  <c r="H534" i="15"/>
  <c r="T533" i="15"/>
  <c r="H533" i="15"/>
  <c r="T532" i="15"/>
  <c r="H532" i="15"/>
  <c r="T531" i="15"/>
  <c r="H531" i="15"/>
  <c r="T530" i="15"/>
  <c r="H530" i="15"/>
  <c r="T529" i="15"/>
  <c r="H529" i="15"/>
  <c r="T528" i="15"/>
  <c r="H528" i="15"/>
  <c r="T527" i="15"/>
  <c r="H527" i="15"/>
  <c r="T526" i="15"/>
  <c r="H526" i="15"/>
  <c r="T525" i="15"/>
  <c r="H525" i="15"/>
  <c r="T524" i="15"/>
  <c r="H524" i="15"/>
  <c r="T523" i="15"/>
  <c r="H523" i="15"/>
  <c r="T522" i="15"/>
  <c r="H522" i="15"/>
  <c r="T521" i="15"/>
  <c r="H521" i="15"/>
  <c r="T520" i="15"/>
  <c r="H520" i="15"/>
  <c r="T519" i="15"/>
  <c r="H519" i="15"/>
  <c r="T518" i="15"/>
  <c r="H518" i="15"/>
  <c r="T517" i="15"/>
  <c r="H517" i="15"/>
  <c r="T516" i="15"/>
  <c r="H516" i="15"/>
  <c r="T515" i="15"/>
  <c r="H515" i="15"/>
  <c r="T514" i="15"/>
  <c r="H514" i="15"/>
  <c r="T513" i="15"/>
  <c r="H513" i="15"/>
  <c r="T512" i="15"/>
  <c r="H512" i="15"/>
  <c r="T511" i="15"/>
  <c r="H511" i="15"/>
  <c r="T510" i="15"/>
  <c r="H510" i="15"/>
  <c r="T509" i="15"/>
  <c r="H509" i="15"/>
  <c r="T508" i="15"/>
  <c r="H508" i="15"/>
  <c r="T507" i="15"/>
  <c r="H507" i="15"/>
  <c r="T506" i="15"/>
  <c r="H506" i="15"/>
  <c r="T505" i="15"/>
  <c r="H505" i="15"/>
  <c r="T504" i="15"/>
  <c r="H504" i="15"/>
  <c r="T503" i="15"/>
  <c r="H503" i="15"/>
  <c r="T502" i="15"/>
  <c r="H502" i="15"/>
  <c r="T501" i="15"/>
  <c r="H501" i="15"/>
  <c r="T500" i="15"/>
  <c r="H500" i="15"/>
  <c r="T499" i="15"/>
  <c r="H499" i="15"/>
  <c r="T498" i="15"/>
  <c r="H498" i="15"/>
  <c r="T497" i="15"/>
  <c r="H497" i="15"/>
  <c r="T496" i="15"/>
  <c r="H496" i="15"/>
  <c r="T495" i="15"/>
  <c r="H495" i="15"/>
  <c r="T494" i="15"/>
  <c r="H494" i="15"/>
  <c r="T493" i="15"/>
  <c r="H493" i="15"/>
  <c r="T492" i="15"/>
  <c r="H492" i="15"/>
  <c r="T491" i="15"/>
  <c r="H491" i="15"/>
  <c r="T490" i="15"/>
  <c r="H490" i="15"/>
  <c r="T489" i="15"/>
  <c r="H489" i="15"/>
  <c r="T488" i="15"/>
  <c r="H488" i="15"/>
  <c r="T487" i="15"/>
  <c r="H487" i="15"/>
  <c r="T486" i="15"/>
  <c r="H486" i="15"/>
  <c r="T485" i="15"/>
  <c r="H485" i="15"/>
  <c r="T484" i="15"/>
  <c r="H484" i="15"/>
  <c r="T483" i="15"/>
  <c r="H483" i="15"/>
  <c r="T482" i="15"/>
  <c r="H482" i="15"/>
  <c r="T481" i="15"/>
  <c r="H481" i="15"/>
  <c r="T480" i="15"/>
  <c r="H480" i="15"/>
  <c r="T479" i="15"/>
  <c r="H479" i="15"/>
  <c r="T478" i="15"/>
  <c r="H478" i="15"/>
  <c r="T477" i="15"/>
  <c r="H477" i="15"/>
  <c r="T476" i="15"/>
  <c r="H476" i="15"/>
  <c r="T475" i="15"/>
  <c r="H475" i="15"/>
  <c r="T474" i="15"/>
  <c r="H474" i="15"/>
  <c r="T473" i="15"/>
  <c r="H473" i="15"/>
  <c r="T472" i="15"/>
  <c r="H472" i="15"/>
  <c r="T471" i="15"/>
  <c r="H471" i="15"/>
  <c r="T470" i="15"/>
  <c r="H470" i="15"/>
  <c r="T469" i="15"/>
  <c r="H469" i="15"/>
  <c r="T468" i="15"/>
  <c r="H468" i="15"/>
  <c r="T467" i="15"/>
  <c r="H467" i="15"/>
  <c r="T466" i="15"/>
  <c r="H466" i="15"/>
  <c r="T465" i="15"/>
  <c r="H465" i="15"/>
  <c r="T464" i="15"/>
  <c r="H464" i="15"/>
  <c r="T463" i="15"/>
  <c r="H463" i="15"/>
  <c r="T462" i="15"/>
  <c r="H462" i="15"/>
  <c r="T461" i="15"/>
  <c r="H461" i="15"/>
  <c r="T460" i="15"/>
  <c r="H460" i="15"/>
  <c r="T459" i="15"/>
  <c r="H459" i="15"/>
  <c r="T458" i="15"/>
  <c r="H458" i="15"/>
  <c r="T457" i="15"/>
  <c r="H457" i="15"/>
  <c r="T456" i="15"/>
  <c r="H456" i="15"/>
  <c r="T455" i="15"/>
  <c r="H455" i="15"/>
  <c r="T454" i="15"/>
  <c r="H454" i="15"/>
  <c r="T453" i="15"/>
  <c r="H453" i="15"/>
  <c r="T452" i="15"/>
  <c r="H452" i="15"/>
  <c r="T451" i="15"/>
  <c r="H451" i="15"/>
  <c r="T450" i="15"/>
  <c r="H450" i="15"/>
  <c r="T449" i="15"/>
  <c r="H449" i="15"/>
  <c r="T448" i="15"/>
  <c r="H448" i="15"/>
  <c r="T447" i="15"/>
  <c r="H447" i="15"/>
  <c r="T446" i="15"/>
  <c r="H446" i="15"/>
  <c r="T445" i="15"/>
  <c r="H445" i="15"/>
  <c r="T444" i="15"/>
  <c r="T438" i="15"/>
  <c r="T437" i="15"/>
  <c r="T435" i="15"/>
  <c r="T434" i="15"/>
  <c r="T432" i="15"/>
  <c r="T430" i="15"/>
  <c r="T429" i="15"/>
  <c r="T428" i="15"/>
  <c r="T427" i="15"/>
  <c r="T426" i="15"/>
  <c r="T425" i="15"/>
  <c r="T424" i="15"/>
  <c r="T423" i="15"/>
  <c r="T422" i="15"/>
  <c r="T421" i="15"/>
  <c r="T420" i="15"/>
  <c r="T419" i="15"/>
  <c r="T418" i="15"/>
  <c r="T417" i="15"/>
  <c r="T412" i="15"/>
  <c r="T411" i="15"/>
  <c r="T410" i="15"/>
  <c r="T409" i="15"/>
  <c r="T408" i="15"/>
  <c r="T407" i="15"/>
  <c r="T406" i="15"/>
  <c r="T404" i="15"/>
  <c r="T403" i="15"/>
  <c r="T402" i="15"/>
  <c r="T399" i="15"/>
  <c r="T398" i="15"/>
  <c r="T397" i="15"/>
  <c r="T396" i="15"/>
  <c r="T395" i="15"/>
  <c r="T394" i="15"/>
  <c r="T393" i="15"/>
  <c r="T392" i="15"/>
  <c r="T391" i="15"/>
  <c r="T390" i="15"/>
  <c r="T388" i="15"/>
  <c r="T387" i="15"/>
  <c r="T386" i="15"/>
  <c r="T385" i="15"/>
  <c r="T384" i="15"/>
  <c r="T381" i="15"/>
  <c r="T380" i="15"/>
  <c r="T379" i="15"/>
  <c r="T378" i="15"/>
  <c r="T377" i="15"/>
  <c r="T376" i="15"/>
  <c r="T375" i="15"/>
  <c r="T374" i="15"/>
  <c r="T373" i="15"/>
  <c r="T372" i="15"/>
  <c r="T371" i="15"/>
  <c r="T370" i="15"/>
  <c r="T369" i="15"/>
  <c r="T368" i="15"/>
  <c r="T367" i="15"/>
  <c r="T366" i="15"/>
  <c r="T365" i="15"/>
  <c r="T364" i="15"/>
  <c r="T363" i="15"/>
  <c r="T362" i="15"/>
  <c r="T361" i="15"/>
  <c r="T360" i="15"/>
  <c r="T359" i="15"/>
  <c r="T358" i="15"/>
  <c r="T357" i="15"/>
  <c r="T354" i="15"/>
  <c r="T353" i="15"/>
  <c r="T352" i="15"/>
  <c r="T349" i="15"/>
  <c r="T348" i="15"/>
  <c r="T347" i="15"/>
  <c r="T346" i="15"/>
  <c r="T345" i="15"/>
  <c r="T344" i="15"/>
  <c r="T343" i="15"/>
  <c r="T342" i="15"/>
  <c r="T341" i="15"/>
  <c r="T340" i="15"/>
  <c r="T339" i="15"/>
  <c r="T338" i="15"/>
  <c r="T337" i="15"/>
  <c r="T336" i="15"/>
  <c r="T335" i="15"/>
  <c r="T334" i="15"/>
  <c r="T333" i="15"/>
  <c r="T332" i="15"/>
  <c r="T331" i="15"/>
  <c r="T330" i="15"/>
  <c r="T329" i="15"/>
  <c r="T328" i="15"/>
  <c r="T327" i="15"/>
  <c r="T326" i="15"/>
  <c r="T325" i="15"/>
  <c r="T324" i="15"/>
  <c r="T323" i="15"/>
  <c r="T322" i="15"/>
  <c r="T321" i="15"/>
  <c r="T320" i="15"/>
  <c r="T319" i="15"/>
  <c r="T318" i="15"/>
  <c r="T317" i="15"/>
  <c r="T316" i="15"/>
  <c r="T315" i="15"/>
  <c r="T314" i="15"/>
  <c r="T313" i="15"/>
  <c r="T312" i="15"/>
  <c r="T310" i="15"/>
  <c r="T309" i="15"/>
  <c r="T308" i="15"/>
  <c r="T307" i="15"/>
  <c r="T306" i="15"/>
  <c r="T305" i="15"/>
  <c r="T304" i="15"/>
  <c r="T303" i="15"/>
  <c r="T302" i="15"/>
  <c r="T301" i="15"/>
  <c r="T300" i="15"/>
  <c r="T299" i="15"/>
  <c r="T298" i="15"/>
  <c r="T297" i="15"/>
  <c r="T296" i="15"/>
  <c r="T295" i="15"/>
  <c r="T294" i="15"/>
  <c r="T293" i="15"/>
  <c r="T292" i="15"/>
  <c r="T291" i="15"/>
  <c r="T290" i="15"/>
  <c r="T289" i="15"/>
  <c r="T288" i="15"/>
  <c r="T287" i="15"/>
  <c r="T286" i="15"/>
  <c r="T285" i="15"/>
  <c r="T284" i="15"/>
  <c r="T283" i="15"/>
  <c r="T282" i="15"/>
  <c r="T277" i="15"/>
  <c r="T276" i="15"/>
  <c r="T275" i="15"/>
  <c r="T274" i="15"/>
  <c r="T273" i="15"/>
  <c r="T272" i="15"/>
  <c r="T271" i="15"/>
  <c r="T270" i="15"/>
  <c r="T269" i="15"/>
  <c r="T268" i="15"/>
  <c r="T267" i="15"/>
  <c r="T266" i="15"/>
  <c r="T265" i="15"/>
  <c r="T264" i="15"/>
  <c r="T263" i="15"/>
  <c r="T262" i="15"/>
  <c r="T261" i="15"/>
  <c r="T259" i="15"/>
  <c r="T258" i="15"/>
  <c r="T257" i="15"/>
  <c r="T256" i="15"/>
  <c r="T255" i="15"/>
  <c r="T254" i="15"/>
  <c r="T253" i="15"/>
  <c r="T252" i="15"/>
  <c r="T249" i="15"/>
  <c r="T248" i="15"/>
  <c r="T246" i="15"/>
  <c r="T245" i="15"/>
  <c r="T243" i="15"/>
  <c r="T241" i="15"/>
  <c r="T240" i="15"/>
  <c r="T239" i="15"/>
  <c r="T238" i="15"/>
  <c r="T237" i="15"/>
  <c r="T236" i="15"/>
  <c r="T235" i="15"/>
  <c r="T234" i="15"/>
  <c r="T233" i="15"/>
  <c r="T232" i="15"/>
  <c r="T231" i="15"/>
  <c r="T230" i="15"/>
  <c r="T229" i="15"/>
  <c r="T228" i="15"/>
  <c r="T227" i="15"/>
  <c r="T226" i="15"/>
  <c r="T225" i="15"/>
  <c r="T224" i="15"/>
  <c r="T223" i="15"/>
  <c r="T222" i="15"/>
  <c r="T221" i="15"/>
  <c r="T220" i="15"/>
  <c r="T219" i="15"/>
  <c r="T218" i="15"/>
  <c r="T217" i="15"/>
  <c r="T216" i="15"/>
  <c r="T94" i="15"/>
  <c r="T93" i="15"/>
  <c r="T91" i="15"/>
  <c r="T90" i="15"/>
  <c r="D450" i="14"/>
  <c r="G450" i="14" s="1"/>
  <c r="C450" i="14"/>
  <c r="F450" i="14" s="1"/>
  <c r="D449" i="14"/>
  <c r="C449" i="14"/>
  <c r="D448" i="14"/>
  <c r="C448" i="14"/>
  <c r="D447" i="14"/>
  <c r="C447" i="14"/>
  <c r="D446" i="14"/>
  <c r="G446" i="14" s="1"/>
  <c r="C446" i="14"/>
  <c r="F446" i="14" s="1"/>
  <c r="D445" i="14"/>
  <c r="C445" i="14"/>
  <c r="D444" i="14"/>
  <c r="C444" i="14"/>
  <c r="D443" i="14"/>
  <c r="C443" i="14"/>
  <c r="D442" i="14"/>
  <c r="C442" i="14"/>
  <c r="D441" i="14"/>
  <c r="G441" i="14" s="1"/>
  <c r="C441" i="14"/>
  <c r="F441" i="14" s="1"/>
  <c r="D440" i="14"/>
  <c r="C440" i="14"/>
  <c r="D439" i="14"/>
  <c r="C439" i="14"/>
  <c r="D438" i="14"/>
  <c r="C438" i="14"/>
  <c r="D437" i="14"/>
  <c r="C437" i="14"/>
  <c r="D436" i="14"/>
  <c r="G436" i="14" s="1"/>
  <c r="C436" i="14"/>
  <c r="F436" i="14" s="1"/>
  <c r="D435" i="14"/>
  <c r="C435" i="14"/>
  <c r="D434" i="14"/>
  <c r="C434" i="14"/>
  <c r="D433" i="14"/>
  <c r="C433" i="14"/>
  <c r="D432" i="14"/>
  <c r="C432" i="14"/>
  <c r="D431" i="14"/>
  <c r="G431" i="14" s="1"/>
  <c r="C431" i="14"/>
  <c r="F431" i="14" s="1"/>
  <c r="D430" i="14"/>
  <c r="C430" i="14"/>
  <c r="D429" i="14"/>
  <c r="C429" i="14"/>
  <c r="D428" i="14"/>
  <c r="C428" i="14"/>
  <c r="D427" i="14"/>
  <c r="G427" i="14" s="1"/>
  <c r="C427" i="14"/>
  <c r="F427" i="14" s="1"/>
  <c r="D426" i="14"/>
  <c r="G426" i="14" s="1"/>
  <c r="C426" i="14"/>
  <c r="F426" i="14" s="1"/>
  <c r="D425" i="14"/>
  <c r="C425" i="14"/>
  <c r="D424" i="14"/>
  <c r="C424" i="14"/>
  <c r="D423" i="14"/>
  <c r="C423" i="14"/>
  <c r="D422" i="14"/>
  <c r="G422" i="14" s="1"/>
  <c r="C422" i="14"/>
  <c r="F422" i="14" s="1"/>
  <c r="D421" i="14"/>
  <c r="G421" i="14" s="1"/>
  <c r="C421" i="14"/>
  <c r="F421" i="14" s="1"/>
  <c r="D420" i="14"/>
  <c r="G420" i="14" s="1"/>
  <c r="C420" i="14"/>
  <c r="F420" i="14" s="1"/>
  <c r="D419" i="14"/>
  <c r="C419" i="14"/>
  <c r="D418" i="14"/>
  <c r="C418" i="14"/>
  <c r="D417" i="14"/>
  <c r="G417" i="14" s="1"/>
  <c r="C417" i="14"/>
  <c r="F417" i="14" s="1"/>
  <c r="H417" i="14" s="1"/>
  <c r="F412" i="14"/>
  <c r="G412" i="14" s="1"/>
  <c r="F411" i="14"/>
  <c r="G411" i="14" s="1"/>
  <c r="F410" i="14"/>
  <c r="G410" i="14" s="1"/>
  <c r="F406" i="14"/>
  <c r="F405" i="14"/>
  <c r="F404" i="14"/>
  <c r="G404" i="14" s="1"/>
  <c r="F403" i="14"/>
  <c r="G403" i="14" s="1"/>
  <c r="K337" i="13"/>
  <c r="K336" i="13"/>
  <c r="K335" i="13"/>
  <c r="K334" i="13"/>
  <c r="K333" i="13"/>
  <c r="M333" i="13" s="1"/>
  <c r="K332" i="13"/>
  <c r="K331" i="13"/>
  <c r="K330" i="13"/>
  <c r="K329" i="13"/>
  <c r="K328" i="13"/>
  <c r="M328" i="13" s="1"/>
  <c r="K327" i="13"/>
  <c r="K326" i="13"/>
  <c r="K325" i="13"/>
  <c r="K324" i="13"/>
  <c r="K323" i="13"/>
  <c r="M323" i="13" s="1"/>
  <c r="K322" i="13"/>
  <c r="K321" i="13"/>
  <c r="K320" i="13"/>
  <c r="K319" i="13"/>
  <c r="K318" i="13"/>
  <c r="M318" i="13" s="1"/>
  <c r="K317" i="13"/>
  <c r="K316" i="13"/>
  <c r="K315" i="13"/>
  <c r="K314" i="13"/>
  <c r="K313" i="13"/>
  <c r="M313" i="13" s="1"/>
  <c r="K312" i="13"/>
  <c r="K311" i="13"/>
  <c r="K310" i="13"/>
  <c r="K309" i="13"/>
  <c r="K308" i="13"/>
  <c r="M308" i="13" s="1"/>
  <c r="K307" i="13"/>
  <c r="K306" i="13"/>
  <c r="K305" i="13"/>
  <c r="K304" i="13"/>
  <c r="K303" i="13"/>
  <c r="M303" i="13" s="1"/>
  <c r="K302" i="13"/>
  <c r="K301" i="13"/>
  <c r="K300" i="13"/>
  <c r="K299" i="13"/>
  <c r="K298" i="13"/>
  <c r="M298" i="13" s="1"/>
  <c r="K297" i="13"/>
  <c r="K296" i="13"/>
  <c r="K295" i="13"/>
  <c r="K294" i="13"/>
  <c r="K293" i="13"/>
  <c r="M293" i="13" s="1"/>
  <c r="K292" i="13"/>
  <c r="K291" i="13"/>
  <c r="K290" i="13"/>
  <c r="K289" i="13"/>
  <c r="K288" i="13"/>
  <c r="M288" i="13" s="1"/>
  <c r="K287" i="13"/>
  <c r="K286" i="13"/>
  <c r="K285" i="13"/>
  <c r="K284" i="13"/>
  <c r="K283" i="13"/>
  <c r="M283" i="13" s="1"/>
  <c r="K282" i="13"/>
  <c r="K281" i="13"/>
  <c r="K280" i="13"/>
  <c r="K279" i="13"/>
  <c r="K278" i="13"/>
  <c r="M278" i="13" s="1"/>
  <c r="K277" i="13"/>
  <c r="K276" i="13"/>
  <c r="S275" i="13"/>
  <c r="R275" i="13"/>
  <c r="Q275" i="13"/>
  <c r="K275" i="13"/>
  <c r="M275" i="13" s="1"/>
  <c r="O310" i="12"/>
  <c r="M310" i="12"/>
  <c r="M309" i="12"/>
  <c r="O309" i="12" s="1"/>
  <c r="M308" i="12"/>
  <c r="O308" i="12" s="1"/>
  <c r="O307" i="12"/>
  <c r="M307" i="12"/>
  <c r="M306" i="12"/>
  <c r="O306" i="12" s="1"/>
  <c r="M305" i="12"/>
  <c r="O305" i="12" s="1"/>
  <c r="O304" i="12"/>
  <c r="M304" i="12"/>
  <c r="M303" i="12"/>
  <c r="O303" i="12" s="1"/>
  <c r="M302" i="12"/>
  <c r="O302" i="12" s="1"/>
  <c r="O301" i="12"/>
  <c r="M301" i="12"/>
  <c r="M299" i="12"/>
  <c r="O299" i="12" s="1"/>
  <c r="M298" i="12"/>
  <c r="M297" i="12"/>
  <c r="O297" i="12" s="1"/>
  <c r="M296" i="12"/>
  <c r="M295" i="12"/>
  <c r="O295" i="12" s="1"/>
  <c r="M294" i="12"/>
  <c r="M293" i="12"/>
  <c r="O293" i="12" s="1"/>
  <c r="M292" i="12"/>
  <c r="M291" i="12"/>
  <c r="O291" i="12" s="1"/>
  <c r="M290" i="12"/>
  <c r="M289" i="12"/>
  <c r="O289" i="12" s="1"/>
  <c r="M288" i="12"/>
  <c r="M287" i="12"/>
  <c r="O287" i="12" s="1"/>
  <c r="S286" i="12"/>
  <c r="M286" i="12"/>
  <c r="O286" i="12" s="1"/>
  <c r="E398" i="11"/>
  <c r="C398" i="11"/>
  <c r="E397" i="11"/>
  <c r="C397" i="11"/>
  <c r="E396" i="11"/>
  <c r="C396" i="11"/>
  <c r="G396" i="11" s="1"/>
  <c r="E395" i="11"/>
  <c r="C395" i="11"/>
  <c r="E394" i="11"/>
  <c r="C394" i="11"/>
  <c r="E393" i="11"/>
  <c r="C393" i="11"/>
  <c r="E392" i="11"/>
  <c r="C392" i="11"/>
  <c r="E391" i="11"/>
  <c r="C391" i="11"/>
  <c r="E390" i="11"/>
  <c r="C390" i="11"/>
  <c r="E389" i="11"/>
  <c r="C389" i="11"/>
  <c r="G389" i="11" s="1"/>
  <c r="E388" i="11"/>
  <c r="C388" i="11"/>
  <c r="E387" i="11"/>
  <c r="C387" i="11"/>
  <c r="E386" i="11"/>
  <c r="C386" i="11"/>
  <c r="E385" i="11"/>
  <c r="C385" i="11"/>
  <c r="E384" i="11"/>
  <c r="C384" i="11"/>
  <c r="E383" i="11"/>
  <c r="C383" i="11"/>
  <c r="E382" i="11"/>
  <c r="C382" i="11"/>
  <c r="G382" i="11" s="1"/>
  <c r="E381" i="11"/>
  <c r="C381" i="11"/>
  <c r="E380" i="11"/>
  <c r="C380" i="11"/>
  <c r="E379" i="11"/>
  <c r="C379" i="11"/>
  <c r="E378" i="11"/>
  <c r="C378" i="11"/>
  <c r="E377" i="11"/>
  <c r="C377" i="11"/>
  <c r="E376" i="11"/>
  <c r="C376" i="11"/>
  <c r="E375" i="11"/>
  <c r="C375" i="11"/>
  <c r="G375" i="11" s="1"/>
  <c r="E374" i="11"/>
  <c r="C374" i="11"/>
  <c r="E373" i="11"/>
  <c r="C373" i="11"/>
  <c r="E372" i="11"/>
  <c r="C372" i="11"/>
  <c r="E371" i="11"/>
  <c r="C371" i="11"/>
  <c r="G371" i="11" s="1"/>
  <c r="E370" i="11"/>
  <c r="C370" i="11"/>
  <c r="H369" i="11"/>
  <c r="E369" i="11"/>
  <c r="C369" i="11"/>
  <c r="G369" i="11" s="1"/>
  <c r="E368" i="11"/>
  <c r="C368" i="11"/>
  <c r="E367" i="11"/>
  <c r="C367" i="11"/>
  <c r="E366" i="11"/>
  <c r="C366" i="11"/>
  <c r="E365" i="11"/>
  <c r="C365" i="11"/>
  <c r="H364" i="11"/>
  <c r="E364" i="11"/>
  <c r="C364" i="11"/>
  <c r="G364" i="11" s="1"/>
  <c r="E363" i="11"/>
  <c r="C363" i="11"/>
  <c r="E362" i="11"/>
  <c r="C362" i="11"/>
  <c r="E361" i="11"/>
  <c r="C361" i="11"/>
  <c r="E360" i="11"/>
  <c r="C360" i="11"/>
  <c r="H359" i="11"/>
  <c r="E359" i="11"/>
  <c r="C359" i="11"/>
  <c r="G359" i="11" s="1"/>
  <c r="E358" i="11"/>
  <c r="C358" i="11"/>
  <c r="E357" i="11"/>
  <c r="C357" i="11"/>
  <c r="E356" i="11"/>
  <c r="C356" i="11"/>
  <c r="E355" i="11"/>
  <c r="C355" i="11"/>
  <c r="H354" i="11"/>
  <c r="E354" i="11"/>
  <c r="C354" i="11"/>
  <c r="G354" i="11" s="1"/>
  <c r="E353" i="11"/>
  <c r="C353" i="11"/>
  <c r="E352" i="11"/>
  <c r="C352" i="11"/>
  <c r="E351" i="11"/>
  <c r="C351" i="11"/>
  <c r="G350" i="11" s="1"/>
  <c r="E350" i="11"/>
  <c r="H350" i="11" s="1"/>
  <c r="C350" i="11"/>
  <c r="E349" i="11"/>
  <c r="C349" i="11"/>
  <c r="E348" i="11"/>
  <c r="C348" i="11"/>
  <c r="E347" i="11"/>
  <c r="H346" i="11" s="1"/>
  <c r="C347" i="11"/>
  <c r="G346" i="11"/>
  <c r="E346" i="11"/>
  <c r="C346" i="11"/>
  <c r="H345" i="11"/>
  <c r="E345" i="11"/>
  <c r="C345" i="11"/>
  <c r="G345" i="11" s="1"/>
  <c r="G344" i="11"/>
  <c r="E344" i="11"/>
  <c r="H344" i="11" s="1"/>
  <c r="C344" i="11"/>
  <c r="E343" i="11"/>
  <c r="C343" i="11"/>
  <c r="G342" i="11" s="1"/>
  <c r="E342" i="11"/>
  <c r="H342" i="11" s="1"/>
  <c r="C342" i="11"/>
  <c r="H341" i="11"/>
  <c r="G341" i="11"/>
  <c r="E341" i="11"/>
  <c r="C341" i="11"/>
  <c r="M716" i="10"/>
  <c r="K716" i="10"/>
  <c r="K715" i="10"/>
  <c r="M715" i="10" s="1"/>
  <c r="K714" i="10"/>
  <c r="M714" i="10" s="1"/>
  <c r="M713" i="10"/>
  <c r="K713" i="10"/>
  <c r="K712" i="10"/>
  <c r="M712" i="10" s="1"/>
  <c r="K711" i="10"/>
  <c r="M711" i="10" s="1"/>
  <c r="M710" i="10"/>
  <c r="K710" i="10"/>
  <c r="K709" i="10"/>
  <c r="M709" i="10" s="1"/>
  <c r="K708" i="10"/>
  <c r="M708" i="10" s="1"/>
  <c r="M707" i="10"/>
  <c r="K707" i="10"/>
  <c r="K706" i="10"/>
  <c r="M706" i="10" s="1"/>
  <c r="K705" i="10"/>
  <c r="M705" i="10" s="1"/>
  <c r="M704" i="10"/>
  <c r="K704" i="10"/>
  <c r="K703" i="10"/>
  <c r="M703" i="10" s="1"/>
  <c r="K702" i="10"/>
  <c r="M702" i="10" s="1"/>
  <c r="M701" i="10"/>
  <c r="K701" i="10"/>
  <c r="K700" i="10"/>
  <c r="M700" i="10" s="1"/>
  <c r="K699" i="10"/>
  <c r="M699" i="10" s="1"/>
  <c r="M698" i="10"/>
  <c r="K698" i="10"/>
  <c r="K697" i="10"/>
  <c r="M697" i="10" s="1"/>
  <c r="K696" i="10"/>
  <c r="M696" i="10" s="1"/>
  <c r="M695" i="10"/>
  <c r="K695" i="10"/>
  <c r="K694" i="10"/>
  <c r="M694" i="10" s="1"/>
  <c r="K693" i="10"/>
  <c r="M693" i="10" s="1"/>
  <c r="Q692" i="10"/>
  <c r="M692" i="10"/>
  <c r="K692" i="10"/>
  <c r="F65" i="4"/>
  <c r="F64" i="4"/>
  <c r="F63" i="4"/>
  <c r="F62" i="4"/>
  <c r="F60" i="4"/>
  <c r="F59" i="4"/>
  <c r="F58" i="4"/>
  <c r="F57" i="4"/>
  <c r="F55" i="4"/>
  <c r="F54" i="4"/>
  <c r="F52" i="4"/>
  <c r="F51" i="4"/>
  <c r="F50" i="4"/>
  <c r="F49" i="4"/>
  <c r="F48" i="4"/>
  <c r="F47" i="4"/>
  <c r="F46" i="4"/>
  <c r="F45" i="4"/>
  <c r="F44" i="4"/>
  <c r="F43" i="4"/>
  <c r="F42" i="4"/>
  <c r="F41" i="4"/>
  <c r="F40" i="4"/>
  <c r="F39" i="4"/>
  <c r="F35" i="4"/>
  <c r="F34" i="4"/>
  <c r="F33" i="4"/>
  <c r="F32" i="4"/>
  <c r="F30" i="4"/>
  <c r="F29" i="4"/>
  <c r="F28" i="4"/>
  <c r="F27" i="4"/>
  <c r="F25" i="4"/>
  <c r="F24" i="4"/>
  <c r="F23" i="4"/>
  <c r="F22" i="4"/>
  <c r="F21" i="4"/>
  <c r="F20" i="4"/>
  <c r="F19" i="4"/>
  <c r="F18" i="4"/>
  <c r="F17" i="4"/>
  <c r="F16" i="4"/>
  <c r="F15" i="4"/>
  <c r="F14" i="4"/>
  <c r="F13" i="4"/>
  <c r="F12" i="4"/>
  <c r="F11" i="4"/>
  <c r="F10" i="4"/>
  <c r="F9" i="4"/>
  <c r="F8" i="4"/>
  <c r="F7" i="4"/>
  <c r="F6" i="4"/>
  <c r="F5" i="4"/>
  <c r="D125" i="1"/>
  <c r="C125" i="1"/>
  <c r="J81" i="1"/>
  <c r="J80" i="1"/>
  <c r="H80" i="1"/>
  <c r="J79" i="1"/>
  <c r="H79" i="1"/>
  <c r="J78" i="1"/>
  <c r="H78" i="1"/>
  <c r="J77" i="1"/>
  <c r="H77" i="1"/>
  <c r="J76" i="1"/>
  <c r="H76" i="1"/>
  <c r="J75" i="1"/>
  <c r="H75" i="1"/>
  <c r="J74" i="1"/>
  <c r="H74" i="1"/>
  <c r="J73" i="1"/>
  <c r="H73" i="1"/>
  <c r="J72" i="1"/>
  <c r="H72" i="1"/>
  <c r="J71" i="1"/>
  <c r="H71" i="1"/>
  <c r="J70" i="1"/>
  <c r="H70" i="1"/>
  <c r="I69" i="1"/>
  <c r="G69" i="1"/>
  <c r="F69" i="1"/>
  <c r="E69" i="1"/>
  <c r="J68" i="1"/>
  <c r="H68" i="1"/>
  <c r="J67" i="1"/>
  <c r="H67" i="1"/>
  <c r="J66" i="1"/>
  <c r="H66" i="1"/>
  <c r="J65" i="1"/>
  <c r="H65" i="1"/>
  <c r="J64" i="1"/>
  <c r="H64" i="1"/>
  <c r="Z63" i="1"/>
  <c r="J63" i="1"/>
  <c r="H63" i="1"/>
  <c r="J62" i="1"/>
  <c r="H62" i="1"/>
  <c r="J61" i="1"/>
  <c r="H61" i="1"/>
  <c r="X60" i="1"/>
  <c r="W60" i="1"/>
  <c r="J60" i="1"/>
  <c r="H60" i="1"/>
  <c r="J59" i="1"/>
  <c r="H59" i="1"/>
  <c r="J58" i="1"/>
  <c r="H58" i="1"/>
  <c r="J57" i="1"/>
  <c r="H57" i="1"/>
  <c r="J56" i="1"/>
  <c r="H56" i="1"/>
  <c r="J55" i="1"/>
  <c r="H55" i="1"/>
  <c r="J54" i="1"/>
  <c r="H54" i="1"/>
  <c r="J53" i="1"/>
  <c r="H53" i="1"/>
  <c r="J52" i="1"/>
  <c r="H52" i="1"/>
  <c r="J51" i="1"/>
  <c r="H51" i="1"/>
  <c r="J50" i="1"/>
  <c r="H50" i="1"/>
  <c r="J49" i="1"/>
  <c r="H49" i="1"/>
  <c r="J48" i="1"/>
  <c r="H48" i="1"/>
  <c r="J47" i="1"/>
  <c r="H47" i="1"/>
  <c r="J46" i="1"/>
  <c r="H46" i="1"/>
  <c r="J45" i="1"/>
  <c r="H45" i="1"/>
  <c r="J44" i="1"/>
  <c r="H44" i="1"/>
  <c r="J43" i="1"/>
  <c r="H43" i="1"/>
  <c r="J42" i="1"/>
  <c r="H42" i="1"/>
  <c r="J41" i="1"/>
  <c r="H41" i="1"/>
  <c r="AS40" i="1"/>
  <c r="AQ40" i="1"/>
  <c r="J40" i="1"/>
  <c r="H40" i="1"/>
  <c r="AS39" i="1"/>
  <c r="AQ39" i="1"/>
  <c r="J39" i="1"/>
  <c r="H39" i="1"/>
  <c r="AS38" i="1"/>
  <c r="AQ38" i="1"/>
  <c r="J38" i="1"/>
  <c r="H38" i="1"/>
  <c r="AS37" i="1"/>
  <c r="AQ37" i="1"/>
  <c r="J37" i="1"/>
  <c r="H37" i="1"/>
  <c r="AS36" i="1"/>
  <c r="AQ36" i="1"/>
  <c r="J36" i="1"/>
  <c r="H36" i="1"/>
  <c r="AS35" i="1"/>
  <c r="AQ35" i="1"/>
  <c r="J35" i="1"/>
  <c r="H35" i="1"/>
  <c r="AS34" i="1"/>
  <c r="AQ34" i="1"/>
  <c r="J34" i="1"/>
  <c r="H34" i="1"/>
  <c r="BA33" i="1"/>
  <c r="AY33" i="1"/>
  <c r="AS33" i="1"/>
  <c r="AQ33" i="1"/>
  <c r="J33" i="1"/>
  <c r="H33" i="1"/>
  <c r="BA32" i="1"/>
  <c r="AY32" i="1"/>
  <c r="AS32" i="1"/>
  <c r="AQ32" i="1"/>
  <c r="J32" i="1"/>
  <c r="H32" i="1"/>
  <c r="BA31" i="1"/>
  <c r="AY31" i="1"/>
  <c r="AS31" i="1"/>
  <c r="AQ31" i="1"/>
  <c r="J31" i="1"/>
  <c r="H31" i="1"/>
  <c r="BA30" i="1"/>
  <c r="AY30" i="1"/>
  <c r="AS30" i="1"/>
  <c r="AQ30" i="1"/>
  <c r="J30" i="1"/>
  <c r="H30" i="1"/>
  <c r="BA29" i="1"/>
  <c r="AY29" i="1"/>
  <c r="AS29" i="1"/>
  <c r="AQ29" i="1"/>
  <c r="J29" i="1"/>
  <c r="H29" i="1"/>
  <c r="BA28" i="1"/>
  <c r="AY28" i="1"/>
  <c r="AS28" i="1"/>
  <c r="AQ28" i="1"/>
  <c r="J28" i="1"/>
  <c r="H28" i="1"/>
  <c r="BA27" i="1"/>
  <c r="AY27" i="1"/>
  <c r="AS27" i="1"/>
  <c r="AQ27" i="1"/>
  <c r="J27" i="1"/>
  <c r="H27" i="1"/>
  <c r="BA26" i="1"/>
  <c r="AY26" i="1"/>
  <c r="AS26" i="1"/>
  <c r="AQ26" i="1"/>
  <c r="J26" i="1"/>
  <c r="H26" i="1"/>
  <c r="BA25" i="1"/>
  <c r="AY25" i="1"/>
  <c r="AS25" i="1"/>
  <c r="AQ25" i="1"/>
  <c r="J25" i="1"/>
  <c r="H25" i="1"/>
  <c r="BA24" i="1"/>
  <c r="AY24" i="1"/>
  <c r="AS24" i="1"/>
  <c r="AQ24" i="1"/>
  <c r="J24" i="1"/>
  <c r="H24" i="1"/>
  <c r="BA23" i="1"/>
  <c r="AY23" i="1"/>
  <c r="AS23" i="1"/>
  <c r="AQ23" i="1"/>
  <c r="J23" i="1"/>
  <c r="H23" i="1"/>
  <c r="BA22" i="1"/>
  <c r="AY22" i="1"/>
  <c r="AS22" i="1"/>
  <c r="AQ22" i="1"/>
  <c r="J22" i="1"/>
  <c r="H22" i="1"/>
  <c r="BA21" i="1"/>
  <c r="AY21" i="1"/>
  <c r="AS21" i="1"/>
  <c r="AQ21" i="1"/>
  <c r="J21" i="1"/>
  <c r="H21" i="1"/>
  <c r="BA20" i="1"/>
  <c r="AY20" i="1"/>
  <c r="AS20" i="1"/>
  <c r="AQ20" i="1"/>
  <c r="J20" i="1"/>
  <c r="H20" i="1"/>
  <c r="BA19" i="1"/>
  <c r="AY19" i="1"/>
  <c r="AS19" i="1"/>
  <c r="AQ19" i="1"/>
  <c r="J19" i="1"/>
  <c r="H19" i="1"/>
  <c r="BA18" i="1"/>
  <c r="AY18" i="1"/>
  <c r="AS18" i="1"/>
  <c r="AQ18" i="1"/>
  <c r="J18" i="1"/>
  <c r="H18" i="1"/>
  <c r="BA17" i="1"/>
  <c r="AY17" i="1"/>
  <c r="AS17" i="1"/>
  <c r="AQ17" i="1"/>
  <c r="J17" i="1"/>
  <c r="H17" i="1"/>
  <c r="BA16" i="1"/>
  <c r="AY16" i="1"/>
  <c r="AS16" i="1"/>
  <c r="AQ16" i="1"/>
  <c r="J16" i="1"/>
  <c r="H16" i="1"/>
  <c r="BI15" i="1"/>
  <c r="BG15" i="1"/>
  <c r="BA15" i="1"/>
  <c r="AY15" i="1"/>
  <c r="AS15" i="1"/>
  <c r="AQ15" i="1"/>
  <c r="J15" i="1"/>
  <c r="H15" i="1"/>
  <c r="BI14" i="1"/>
  <c r="BG14" i="1"/>
  <c r="BA14" i="1"/>
  <c r="AY14" i="1"/>
  <c r="AS14" i="1"/>
  <c r="AQ14" i="1"/>
  <c r="J14" i="1"/>
  <c r="H14" i="1"/>
  <c r="BI13" i="1"/>
  <c r="BG13" i="1"/>
  <c r="BA13" i="1"/>
  <c r="AY13" i="1"/>
  <c r="AS13" i="1"/>
  <c r="AQ13" i="1"/>
  <c r="J13" i="1"/>
  <c r="H13" i="1"/>
  <c r="BI12" i="1"/>
  <c r="BG12" i="1"/>
  <c r="BA12" i="1"/>
  <c r="AY12" i="1"/>
  <c r="AS12" i="1"/>
  <c r="AQ12" i="1"/>
  <c r="I12" i="1"/>
  <c r="G12" i="1"/>
  <c r="F12" i="1"/>
  <c r="F83" i="1" s="1"/>
  <c r="F86" i="1" s="1"/>
  <c r="E12" i="1"/>
  <c r="E83" i="1" s="1"/>
  <c r="E86" i="1" s="1"/>
  <c r="J11" i="1"/>
  <c r="H11" i="1"/>
  <c r="J10" i="1"/>
  <c r="H10" i="1"/>
  <c r="J9" i="1"/>
  <c r="H9" i="1"/>
  <c r="BI8" i="1"/>
  <c r="BG8" i="1"/>
  <c r="BA8" i="1"/>
  <c r="AY8" i="1"/>
  <c r="AS8" i="1"/>
  <c r="AQ8" i="1"/>
  <c r="J8" i="1"/>
  <c r="H8" i="1"/>
  <c r="BI7" i="1"/>
  <c r="BG7" i="1"/>
  <c r="BA7" i="1"/>
  <c r="AY7" i="1"/>
  <c r="AS7" i="1"/>
  <c r="AQ7" i="1"/>
  <c r="I7" i="1"/>
  <c r="I83" i="1" s="1"/>
  <c r="I84" i="1" s="1"/>
  <c r="H7" i="1"/>
  <c r="BI6" i="1"/>
  <c r="BG6" i="1"/>
  <c r="BA6" i="1"/>
  <c r="AY6" i="1"/>
  <c r="AS6" i="1"/>
  <c r="AQ6" i="1"/>
  <c r="J6" i="1"/>
  <c r="H6" i="1"/>
  <c r="E43" i="26" l="1"/>
  <c r="E46" i="26" s="1"/>
  <c r="F43" i="26"/>
  <c r="F46" i="26" s="1"/>
  <c r="I44" i="26"/>
  <c r="G44" i="26"/>
  <c r="H6" i="26"/>
  <c r="J6" i="26"/>
  <c r="H29" i="26"/>
  <c r="J29" i="26"/>
  <c r="H31" i="26"/>
  <c r="J31" i="26"/>
  <c r="H12" i="1"/>
  <c r="J12" i="1"/>
  <c r="H69" i="1"/>
  <c r="J69" i="1"/>
  <c r="P692" i="10"/>
  <c r="P286" i="12"/>
  <c r="R286" i="12"/>
  <c r="N275" i="13"/>
  <c r="P275" i="13"/>
  <c r="G83" i="1"/>
  <c r="G84" i="1" s="1"/>
  <c r="N692" i="10"/>
  <c r="J7" i="1"/>
  <c r="F413" i="14"/>
  <c r="G405" i="14"/>
  <c r="F407" i="14"/>
  <c r="G406" i="14"/>
  <c r="U1067" i="15"/>
  <c r="U1066" i="15"/>
  <c r="U1065" i="15"/>
  <c r="U1064" i="15"/>
  <c r="U1063" i="15"/>
  <c r="W1063" i="15" s="1"/>
  <c r="U1062" i="15"/>
  <c r="U1061" i="15"/>
  <c r="U1060" i="15"/>
  <c r="U1059" i="15"/>
  <c r="U1058" i="15"/>
  <c r="U1057" i="15"/>
  <c r="W1057" i="15" s="1"/>
  <c r="U1056" i="15"/>
  <c r="U1055" i="15"/>
  <c r="U1054" i="15"/>
  <c r="U1053" i="15"/>
  <c r="U1052" i="15"/>
  <c r="U1051" i="15"/>
  <c r="U1050" i="15"/>
  <c r="U1049" i="15"/>
  <c r="U1048" i="15"/>
  <c r="U1047" i="15"/>
  <c r="U1046" i="15"/>
  <c r="U1045" i="15"/>
  <c r="U1044" i="15"/>
  <c r="U1043" i="15"/>
  <c r="U1042" i="15"/>
  <c r="U1041" i="15"/>
  <c r="U1040" i="15"/>
  <c r="U1039" i="15"/>
  <c r="U1038" i="15"/>
  <c r="U1037" i="15"/>
  <c r="W1037" i="15" s="1"/>
  <c r="U1036" i="15"/>
  <c r="U1035" i="15"/>
  <c r="U1034" i="15"/>
  <c r="U1033" i="15"/>
  <c r="U1032" i="15"/>
  <c r="U1031" i="15"/>
  <c r="U1030" i="15"/>
  <c r="U1029" i="15"/>
  <c r="U1028" i="15"/>
  <c r="U1027" i="15"/>
  <c r="U1026" i="15"/>
  <c r="U1025" i="15"/>
  <c r="U1024" i="15"/>
  <c r="U1023" i="15"/>
  <c r="U1022" i="15"/>
  <c r="U1021" i="15"/>
  <c r="U1020" i="15"/>
  <c r="U1019" i="15"/>
  <c r="U1018" i="15"/>
  <c r="U1017" i="15"/>
  <c r="U1016" i="15"/>
  <c r="U1015" i="15"/>
  <c r="U1014" i="15"/>
  <c r="U1013" i="15"/>
  <c r="U1012" i="15"/>
  <c r="U1011" i="15"/>
  <c r="U1010" i="15"/>
  <c r="W1010" i="15" s="1"/>
  <c r="U1009" i="15"/>
  <c r="U1008" i="15"/>
  <c r="U1007" i="15"/>
  <c r="U1006" i="15"/>
  <c r="U1005" i="15"/>
  <c r="U1002" i="15"/>
  <c r="U1001" i="15"/>
  <c r="U1000" i="15"/>
  <c r="U999" i="15"/>
  <c r="W999" i="15" s="1"/>
  <c r="U998" i="15"/>
  <c r="U997" i="15"/>
  <c r="U996" i="15"/>
  <c r="U995" i="15"/>
  <c r="U994" i="15"/>
  <c r="U993" i="15"/>
  <c r="W993" i="15" s="1"/>
  <c r="U992" i="15"/>
  <c r="U991" i="15"/>
  <c r="U990" i="15"/>
  <c r="U989" i="15"/>
  <c r="U988" i="15"/>
  <c r="U987" i="15"/>
  <c r="U986" i="15"/>
  <c r="U985" i="15"/>
  <c r="U984" i="15"/>
  <c r="U983" i="15"/>
  <c r="U982" i="15"/>
  <c r="U981" i="15"/>
  <c r="U980" i="15"/>
  <c r="U979" i="15"/>
  <c r="U978" i="15"/>
  <c r="W978" i="15" s="1"/>
  <c r="U977" i="15"/>
  <c r="U976" i="15"/>
  <c r="U975" i="15"/>
  <c r="U974" i="15"/>
  <c r="U973" i="15"/>
  <c r="U972" i="15"/>
  <c r="U971" i="15"/>
  <c r="U970" i="15"/>
  <c r="U969" i="15"/>
  <c r="U968" i="15"/>
  <c r="U967" i="15"/>
  <c r="U966" i="15"/>
  <c r="U965" i="15"/>
  <c r="U964" i="15"/>
  <c r="U963" i="15"/>
  <c r="U962" i="15"/>
  <c r="U961" i="15"/>
  <c r="U960" i="15"/>
  <c r="U959" i="15"/>
  <c r="U958" i="15"/>
  <c r="U957" i="15"/>
  <c r="U956" i="15"/>
  <c r="U955" i="15"/>
  <c r="U954" i="15"/>
  <c r="W954" i="15" s="1"/>
  <c r="U953" i="15"/>
  <c r="U952" i="15"/>
  <c r="U951" i="15"/>
  <c r="U950" i="15"/>
  <c r="U949" i="15"/>
  <c r="U948" i="15"/>
  <c r="W948" i="15" s="1"/>
  <c r="U947" i="15"/>
  <c r="U946" i="15"/>
  <c r="F104" i="18"/>
  <c r="G96" i="18"/>
  <c r="W950" i="15" l="1"/>
  <c r="W968" i="15"/>
  <c r="W986" i="15"/>
  <c r="W1015" i="15"/>
  <c r="W1024" i="15"/>
  <c r="W1027" i="15"/>
  <c r="W1052" i="15"/>
  <c r="W946" i="15"/>
  <c r="X945" i="15" s="1"/>
  <c r="W952" i="15"/>
  <c r="W955" i="15"/>
  <c r="W958" i="15"/>
  <c r="W964" i="15"/>
  <c r="W973" i="15"/>
  <c r="W1005" i="15"/>
  <c r="W1020" i="15"/>
  <c r="W1032" i="15"/>
  <c r="W1044" i="15"/>
  <c r="W1047" i="15"/>
  <c r="Y955" i="15" l="1"/>
  <c r="X1005" i="15"/>
  <c r="Y945" i="15" s="1"/>
</calcChain>
</file>

<file path=xl/sharedStrings.xml><?xml version="1.0" encoding="utf-8"?>
<sst xmlns="http://schemas.openxmlformats.org/spreadsheetml/2006/main" count="51388" uniqueCount="13990">
  <si>
    <t>Last Update 20 July 2026 16:25 WIB</t>
  </si>
  <si>
    <t>Project ID</t>
  </si>
  <si>
    <t>Application ID</t>
  </si>
  <si>
    <t>Nama Aplikasi</t>
  </si>
  <si>
    <t>Estimated /
Total TC</t>
  </si>
  <si>
    <t>Final TC</t>
  </si>
  <si>
    <t>Done Scripting</t>
  </si>
  <si>
    <t>Done Running</t>
  </si>
  <si>
    <t>Timeline Scripting / Regression in Year 2024</t>
  </si>
  <si>
    <t>Platform</t>
  </si>
  <si>
    <t>Pdf</t>
  </si>
  <si>
    <t>Git</t>
  </si>
  <si>
    <t>Excel</t>
  </si>
  <si>
    <t xml:space="preserve">Branch Git </t>
  </si>
  <si>
    <t>PIC B2B</t>
  </si>
  <si>
    <t>PIC FTE</t>
  </si>
  <si>
    <t>Device</t>
  </si>
  <si>
    <t>Chart</t>
  </si>
  <si>
    <t>TC</t>
  </si>
  <si>
    <t>Percentage</t>
  </si>
  <si>
    <t>Tools Auto</t>
  </si>
  <si>
    <t>P24095</t>
  </si>
  <si>
    <t>ABOAST0135</t>
  </si>
  <si>
    <t>Integrated &amp; Centralized Online System (ICONS)-Tokyo</t>
  </si>
  <si>
    <t>Aug-Sept</t>
  </si>
  <si>
    <t>Web</t>
  </si>
  <si>
    <t>https://bankbnitbk-my.sharepoint.com/:f:/g/personal/67063_hq_bni_co_id/EioRDAk7tqJPhuKwrES1L6wBVVJh6wJLeRC7QuskMdzpLg?e=NkMAm7</t>
  </si>
  <si>
    <t>https://gitlab-dc.bni.co.id/marchy.tio/icons.git</t>
  </si>
  <si>
    <t xml:space="preserve"> dev_tokyo_merge</t>
  </si>
  <si>
    <t>UFT​</t>
  </si>
  <si>
    <t>BNI Direct Reguler / Reskinning</t>
  </si>
  <si>
    <t>ICONS Tokyo</t>
  </si>
  <si>
    <t>ABOAST0141</t>
  </si>
  <si>
    <t>Integrated &amp; Centralized Online System (LDN)-London</t>
  </si>
  <si>
    <t>Okt-Nov</t>
  </si>
  <si>
    <t>https://bankbnitbk-my.sharepoint.com/:f:/g/personal/67063_hq_bni_co_id/EuJYUqs4i9pFljj3tLIKD_ABTVsQGOw747c_n_zduBE5-w?e=ir28YJ</t>
  </si>
  <si>
    <t xml:space="preserve"> dev_london_merge</t>
  </si>
  <si>
    <t>BNI Direct Lite</t>
  </si>
  <si>
    <t>CXO Onboarding</t>
  </si>
  <si>
    <t>ICONS London</t>
  </si>
  <si>
    <t>ABOAST0142</t>
  </si>
  <si>
    <t>Integrated &amp; Centralized Online System (NYA)-New York</t>
  </si>
  <si>
    <t>Nov</t>
  </si>
  <si>
    <t>https://bankbnitbk-my.sharepoint.com/:f:/g/personal/67063_hq_bni_co_id/EjVOeAe_2_dEsC8Zvi54WZsBpHAq_N1suUGmclnT87wPpw?e=rm3sTp</t>
  </si>
  <si>
    <t xml:space="preserve"> dev_newyork_merge</t>
  </si>
  <si>
    <t>Ibank Remittance Fase 1</t>
  </si>
  <si>
    <t>ICONS New York</t>
  </si>
  <si>
    <t>ABOAST0140</t>
  </si>
  <si>
    <t>Integrated &amp; Centralized Online System (HKG)-Hongkong</t>
  </si>
  <si>
    <t>Feb-Mar</t>
  </si>
  <si>
    <t>https://bankbnitbk-my.sharepoint.com/:f:/g/personal/67063_hq_bni_co_id/EhCZ_7N9tNJIgATRbmpYaiQBdeT1-CRl5iGafkKuKTPiZQ?e=zLjz5h</t>
  </si>
  <si>
    <t xml:space="preserve"> dev_hongkong_merge</t>
  </si>
  <si>
    <t>ABOAST0143</t>
  </si>
  <si>
    <t>Integrated &amp; Centralized Online System (SEO)-Seoul</t>
  </si>
  <si>
    <t>Mar-Apr</t>
  </si>
  <si>
    <t>https://bankbnitbk-my.sharepoint.com/:f:/g/personal/67063_hq_bni_co_id/EsBNhr_IOGZFi183hsODeQkBtAeT1vSg7cuoGc_uC31tLA?e=lOMw0E</t>
  </si>
  <si>
    <t xml:space="preserve"> dev_seoul_merge</t>
  </si>
  <si>
    <t>ABOAST0144</t>
  </si>
  <si>
    <t>Integrated &amp; Centralized Online System (SNG)-Singapore</t>
  </si>
  <si>
    <t>April</t>
  </si>
  <si>
    <t>https://bankbnitbk-my.sharepoint.com/:f:/g/personal/67063_hq_bni_co_id/EmPaCuMegxFFsa-ggkUGxqcB3ihP__H4lUFyGJj9DtT8wQ?e=UtXsow</t>
  </si>
  <si>
    <t xml:space="preserve"> dev_singapore_merge</t>
  </si>
  <si>
    <t>P23055</t>
  </si>
  <si>
    <t>Integrated &amp; Centralized Online System (ICONS)-Poseidon</t>
  </si>
  <si>
    <t>Jan</t>
  </si>
  <si>
    <t xml:space="preserve"> dev_alternity_merging</t>
  </si>
  <si>
    <t>Tiplus UFE</t>
  </si>
  <si>
    <t>Ibank Remittance Fase 2</t>
  </si>
  <si>
    <t>ICONS Poseidon</t>
  </si>
  <si>
    <t>P24015</t>
  </si>
  <si>
    <t>AFONFO0032</t>
  </si>
  <si>
    <t>BNIDirect Cash Management-BNI Direct Reguler / Reskinning</t>
  </si>
  <si>
    <t>Jul-Nov</t>
  </si>
  <si>
    <t>https://bankbnitbk.sharepoint.com/:f:/s/TEST212/EjoE11ji--FKn_mAQAz4i8oBtXukZNAGOhwCVulYtzAAIw?e=yikl5b</t>
  </si>
  <si>
    <t>https://gitlab-dc.bni.co.id/coe-duplicate/test-automation/katalon-bni-direct-reguler.git</t>
  </si>
  <si>
    <t>Aulia, Akbar</t>
  </si>
  <si>
    <t>Thomas</t>
  </si>
  <si>
    <t>Katalon​</t>
  </si>
  <si>
    <t>Tiplus SFE</t>
  </si>
  <si>
    <t>Ibank Remittance Fase 3</t>
  </si>
  <si>
    <t>Mobile Banking (Android)</t>
  </si>
  <si>
    <t>BNIDirect Cash Management-BNI Direct Lite</t>
  </si>
  <si>
    <t>Jul-Oct</t>
  </si>
  <si>
    <t>https://bankbnitbk.sharepoint.com/:f:/s/TEST212/EpfIVe6XOoxBplTCYePMJa0BkxvW5XBagBxVsZQHZwJadQ?e=M35rtn</t>
  </si>
  <si>
    <t>https://gitlab-dc.bni.co.id/coe-duplicate/test-automation/katalon-bni-direct-lite.git</t>
  </si>
  <si>
    <t>Aulia, Burhan</t>
  </si>
  <si>
    <t>Tiplus Export Local</t>
  </si>
  <si>
    <t>Mobile Wondr Business (Android)</t>
  </si>
  <si>
    <t>Mobile Banking (iOS)</t>
  </si>
  <si>
    <t>AFONFO0175</t>
  </si>
  <si>
    <t>BNIDirect Portal-CXO</t>
  </si>
  <si>
    <t>Sep-Dec</t>
  </si>
  <si>
    <t>https://bankbnitbk.sharepoint.com/:f:/s/TEST212/EshJqUQ8NgtJrM1fA3NLjP0BPMd-vipEJVXTXkGsyi7Biw?e=EJxxfA</t>
  </si>
  <si>
    <t>https://gitlab-dc.bni.co.id/coe-duplicate/test-automation/katalon-cxo-onboarding.git</t>
  </si>
  <si>
    <t>Gafi</t>
  </si>
  <si>
    <t>Thomas, Mbincar</t>
  </si>
  <si>
    <t>Tiplus GB Local</t>
  </si>
  <si>
    <t>Mobile Wondr Business (iOS)</t>
  </si>
  <si>
    <t>GB Online</t>
  </si>
  <si>
    <t>P24016</t>
  </si>
  <si>
    <t>ABOAST0245</t>
  </si>
  <si>
    <t>TIPlus-Tiplus UFE</t>
  </si>
  <si>
    <t>Aug-Mar</t>
  </si>
  <si>
    <t>https://bankbnitbk.sharepoint.com/:f:/s/TEST212/El9fXPrW_0xEprlffGoewXkB11ZARqXcvZV5_6zbpZffWg?e=rrbDbV</t>
  </si>
  <si>
    <t>https://gitlab-dc.bni.co.id/coe-duplicate/test-automation/katalon-tiplus-ufe.git</t>
  </si>
  <si>
    <t>Alkha, Andin</t>
  </si>
  <si>
    <t>Mobile SMS Menu (Android)</t>
  </si>
  <si>
    <t>TIPlus-Tiplus SFE</t>
  </si>
  <si>
    <t>https://bankbnitbk.sharepoint.com/:f:/s/TEST212/Emapha_Bb-9DkeVfXC8xJYUBRyjYGeVp-Oe6NTAG5ipn9A?e=ONdMX9</t>
  </si>
  <si>
    <t>https://gitlab-dc.bni.co.id/coe-duplicate/test-automation/katalon-tiplus-sfe.git</t>
  </si>
  <si>
    <t>Andin</t>
  </si>
  <si>
    <t>Mobile SMS Menu (iOS)</t>
  </si>
  <si>
    <t>out</t>
  </si>
  <si>
    <t>TIPlus-Tiplus Export Local</t>
  </si>
  <si>
    <t>-</t>
  </si>
  <si>
    <t>https://bankbnitbk.sharepoint.com/:f:/s/TEST212/Ep78Qlmxo0pEht8rdfyamzoBHfhkycCopqAyr9XvvAECMQ?e=aLtBmW</t>
  </si>
  <si>
    <t>https://gitlab-dc.bni.co.id/coe-duplicate/test-automation/katalon-tiplus-export-local.git</t>
  </si>
  <si>
    <t>TIPlus-Tiplus GB Local</t>
  </si>
  <si>
    <t>Nov-Mar</t>
  </si>
  <si>
    <t>https://bankbnitbk.sharepoint.com/:f:/s/TEST212/EnPhbOuIHQVBn-o711gDTwIB3eOLJ6GgqxeHav5V_212Aw?e=NPMo37</t>
  </si>
  <si>
    <t>https://gitlab-dc.bni.co.id/coe-duplicate/test-automation/katalon-tiplus-gb.git</t>
  </si>
  <si>
    <t>Andin, Ali, Alkha</t>
  </si>
  <si>
    <t>P23108</t>
  </si>
  <si>
    <t>AFOAFO0134</t>
  </si>
  <si>
    <t>iBank Remitt-Ibank Remittance Fase 1</t>
  </si>
  <si>
    <t>Jan-Mar</t>
  </si>
  <si>
    <t>https://bankbnitbk.sharepoint.com/:f:/s/TEST212/EtmuKzkVd5RIl1KkUpVF9R4BoiHpVsBFUBQoOYHvh7oDPQ?e=kC7VLy</t>
  </si>
  <si>
    <t>https://gitlab-dc.bni.co.id/coe-duplicate/test-automation/katalon-ibank-remit.git</t>
  </si>
  <si>
    <t>Akbar</t>
  </si>
  <si>
    <t>Web Agen46</t>
  </si>
  <si>
    <t>Ibank Remittance Fase 1,2 dan 3</t>
  </si>
  <si>
    <t>iBank Remitt-Ibank Remittance Fase 2</t>
  </si>
  <si>
    <t>Mar-Jun</t>
  </si>
  <si>
    <t>https://bankbnitbk.sharepoint.com/:f:/s/TEST212/ErrL0pVIbCJLm0b1orcWaU8BvqVAwz9-D1w3xohN5Jupmw?e=OSAFJR</t>
  </si>
  <si>
    <t>https://gitlab-dc.bni.co.id/coe-duplicate/test-automation/katalon-ibank-remit-fase-2.git</t>
  </si>
  <si>
    <t>Mobile Agen46 (Android)</t>
  </si>
  <si>
    <t>Mobile Banking</t>
  </si>
  <si>
    <t>LMS Wholesale Sprint 1,2,3 dan 4</t>
  </si>
  <si>
    <t>iBank Remitt-Ibank Remittance Fase 3</t>
  </si>
  <si>
    <t>Jun-Oct</t>
  </si>
  <si>
    <t>https://bankbnitbk.sharepoint.com/:f:/s/TEST212/EkHjWT_UNQVOuyzvn_wuAsIBDRxid-37YpANPr_MFDJmDA?e=sloXmk</t>
  </si>
  <si>
    <t>https://gitlab-dc.bni.co.id/coe-duplicate/test-automation/katalon-ibank-fase-3.git</t>
  </si>
  <si>
    <t>Mobile Agen46 (iOS)</t>
  </si>
  <si>
    <t>Mobile SMS Menu</t>
  </si>
  <si>
    <t>Mobile Wondr Bussiness</t>
  </si>
  <si>
    <t>P24111</t>
  </si>
  <si>
    <t>AFONFO0265</t>
  </si>
  <si>
    <t>Wondr-Mobile Wondr Business (Android)</t>
  </si>
  <si>
    <t>Sep-Nov</t>
  </si>
  <si>
    <t>Mobile</t>
  </si>
  <si>
    <t>https://drive.google.com/drive/folders/17ELgFdGoXCIye04cj8w9d-hsfML1s-vV</t>
  </si>
  <si>
    <t>https://gitlab-dc.bni.co.id/coe-duplicate/test-automation/katalon-wondr-bussiness-android.git</t>
  </si>
  <si>
    <t>https://bankbnitbk.sharepoint.com/:x:/r/sites/TEST212/Shared%20Documents/General/Sheet%20Monitoring%20Project/UFT%20Katalon%20Automation%202024%20-%202025.xlsx?d=wc03feacd37994a94b2715e297ba9a69e&amp;csf=1&amp;web=1&amp;e=aoQZQg</t>
  </si>
  <si>
    <t>Mafa</t>
  </si>
  <si>
    <t>Mbincar</t>
  </si>
  <si>
    <t>Web Portal Admin</t>
  </si>
  <si>
    <t>Mobile Agen46</t>
  </si>
  <si>
    <t>Wondr-Mobile Wondr Business (iOS)</t>
  </si>
  <si>
    <t>https://gitlab-dc.bni.co.id/coe-duplicate/test-automation/katalon-wondr-bussiness-ios.git</t>
  </si>
  <si>
    <t>Alvin</t>
  </si>
  <si>
    <t>LMS Sprint 1</t>
  </si>
  <si>
    <t>Digisales Portal</t>
  </si>
  <si>
    <t>A24001</t>
  </si>
  <si>
    <t>AFONFO0229</t>
  </si>
  <si>
    <t>SMS Banking-Mobile SMS Menu (Android)</t>
  </si>
  <si>
    <t>Oct-Nov</t>
  </si>
  <si>
    <t>https://bankbnitbk.sharepoint.com/:f:/s/TEST212/EkBwukLUexlCvNbiS9xVLOwBec_4sO1J5vspDybADFMf8g?e=YPNGbQ</t>
  </si>
  <si>
    <t>https://gitlab-dc.bni.co.id/coe-duplicate/test-automation/katalon-sms-menu-android.git</t>
  </si>
  <si>
    <t>LMS Sprint 2</t>
  </si>
  <si>
    <t>Digisales APK Generalis dan FTE</t>
  </si>
  <si>
    <t>SMS Banking-Mobile SMS Menu (iOS)</t>
  </si>
  <si>
    <t>https://bankbnitbk.sharepoint.com/:f:/s/TEST212/EsU0M1xMRx9PokMQJ0xEYqoBFapR-d2DAIfXACNcm1GImQ?e=Td26y3</t>
  </si>
  <si>
    <t>https://gitlab-dc.bni.co.id/coe-duplicate/test-automation/katalon-sms-menu-ios.git</t>
  </si>
  <si>
    <t>Stop / Aplikasi sudah tidak dilanjutkan scripting / Service Down</t>
  </si>
  <si>
    <t>Mobile Credit Card (Android)</t>
  </si>
  <si>
    <t>LMS Sprint 3</t>
  </si>
  <si>
    <t>Digisales Browser Generalis dan FTE</t>
  </si>
  <si>
    <t>AFONFO0167</t>
  </si>
  <si>
    <t>Jan-Dec</t>
  </si>
  <si>
    <t>https://bankbnitbk.sharepoint.com/:f:/s/COETeam/EhexkvrncmhPkKrQ88RFFeQBpANxgmBvAXlLKTC6aoqqPw?e=CAjb0u</t>
  </si>
  <si>
    <t>https://gitlab-dc.bni.co.id/marchy.tio/mobile-banking-android.git</t>
  </si>
  <si>
    <t>Adit, Thomas</t>
  </si>
  <si>
    <t>UFT dan Katalon​</t>
  </si>
  <si>
    <t>Done</t>
  </si>
  <si>
    <t>Mobile Credit Card (iOS)</t>
  </si>
  <si>
    <t>LMS Sprint 4</t>
  </si>
  <si>
    <t>BNI Direct Reguler</t>
  </si>
  <si>
    <t>https://gitlab-dc.bni.co.id/marchy.tio/mobile-agen-ios.git</t>
  </si>
  <si>
    <t>In Progress</t>
  </si>
  <si>
    <t>DMS Sprint 1</t>
  </si>
  <si>
    <t>ICONS Alternity</t>
  </si>
  <si>
    <t>P23014</t>
  </si>
  <si>
    <t>AFOAFO0154</t>
  </si>
  <si>
    <t>Keagenan-Web Agen46</t>
  </si>
  <si>
    <t>https://bankbnitbk.sharepoint.com/:f:/s/TEST212/EgbVkGyr9-pFiln6NEqUKygBcfmEacAgN3FK0RjDiivwMg?e=nPUY5s</t>
  </si>
  <si>
    <t>https://gitlab-dc.bni.co.id/marchy.tio/keagenan46-uft.git</t>
  </si>
  <si>
    <t>dev_alex</t>
  </si>
  <si>
    <t>Yusuf, Alex</t>
  </si>
  <si>
    <t>Thomas, Marin</t>
  </si>
  <si>
    <t>Oppo Reno 7</t>
  </si>
  <si>
    <t>Hold</t>
  </si>
  <si>
    <t>DMS Sprint 2</t>
  </si>
  <si>
    <t>Digisales Generalis Mobile Browser</t>
  </si>
  <si>
    <t>DigiMS</t>
  </si>
  <si>
    <t>ICONS Poisedon</t>
  </si>
  <si>
    <t>Keagenan-Mobile Agen46 (Android)</t>
  </si>
  <si>
    <t>https://bankbnitbk.sharepoint.com/:f:/s/TEST212/EiEcoPf2gTxAmcZmpvA4fNgBhiFsoebZ1LZC4eefKSbWvg?e=nX1kh8</t>
  </si>
  <si>
    <t>https://gitlab-dc.bni.co.id/marchy.tio/mobile-agen-android.git</t>
  </si>
  <si>
    <t>dev_yudho</t>
  </si>
  <si>
    <t>Akbar, Yudho</t>
  </si>
  <si>
    <t>Thomas, Mbincar, Marin</t>
  </si>
  <si>
    <t>DMS Sprint 3</t>
  </si>
  <si>
    <t>Digisales Generalis Mobile APK</t>
  </si>
  <si>
    <t>Mobile MyCard</t>
  </si>
  <si>
    <t>Keagenan-Mobile Agen46 (iOS)</t>
  </si>
  <si>
    <t>https://bankbnitbk.sharepoint.com/:f:/s/TEST212/EgPcgA5jbJ9HrcgZ-GhhgCMB0UPYbPOvpQPH74Hk7dO4bA?e=8KbZ6f</t>
  </si>
  <si>
    <t>iPhone SE</t>
  </si>
  <si>
    <t>BAMS-TAT</t>
  </si>
  <si>
    <t>Digisales FTE Mobile Browser</t>
  </si>
  <si>
    <t>DMS Sprint 1,2 dan 3</t>
  </si>
  <si>
    <t>AFONFO0173</t>
  </si>
  <si>
    <t>MyCard-Mobile Credit Card (Android)</t>
  </si>
  <si>
    <t>Oct-Oct</t>
  </si>
  <si>
    <t>https://bankbnitbk.sharepoint.com/:f:/s/TEST212/EhxlVjo9HBdAm-H7eawQ7tABiE5bT5QZOeaXojeQgwtHig?e=cce0WK</t>
  </si>
  <si>
    <t>https://gitlab-dc.bni.co.id/marchy.tio/mobile-bni-credit-card-android.git</t>
  </si>
  <si>
    <t>Willy</t>
  </si>
  <si>
    <t>normal</t>
  </si>
  <si>
    <t>DigIMS</t>
  </si>
  <si>
    <t>Digisales FTE Mobile APK</t>
  </si>
  <si>
    <t>MyCard-Mobile Credit Card (iOS)</t>
  </si>
  <si>
    <t>https://bankbnitbk.sharepoint.com/:f:/s/TEST212/Ei5Zf9cttb5EjDeqTlOL06QBpKaucm6Sp8TatRFM_m3syg?e=Co7C5G</t>
  </si>
  <si>
    <t>https://gitlab-dc.bni.co.id/marchy.tio/mobile-bni-credit-card-ios.git</t>
  </si>
  <si>
    <t>7 hari</t>
  </si>
  <si>
    <t>20 tc</t>
  </si>
  <si>
    <t>25 hari</t>
  </si>
  <si>
    <t>Smart VA Portal</t>
  </si>
  <si>
    <t>P23095</t>
  </si>
  <si>
    <t>AMOOES0255</t>
  </si>
  <si>
    <t>Document Management System-Sprint 1</t>
  </si>
  <si>
    <t>https://bankbnitbk.sharepoint.com/:f:/s/TEST212/EmHMOIlBNDhMgG0fqwfNLcMByJKReKkvJNI9KYFvfC6wag?e=8drVel</t>
  </si>
  <si>
    <t>https://gitlab-dc.bni.co.id/coe-duplicate/test-automation/katalon-dms.git</t>
  </si>
  <si>
    <t>Document Management System-Sprint 2</t>
  </si>
  <si>
    <t>https://bankbnitbk.sharepoint.com/:f:/s/TEST212/EpY4prIHBUtLrQN9JOy0ISEBtNP6CEy567sXf4qNOFEo7Q?e=bRxJ5j</t>
  </si>
  <si>
    <t>11 hari</t>
  </si>
  <si>
    <t>Document Management System-Sprint 3</t>
  </si>
  <si>
    <t>Nov-Dec</t>
  </si>
  <si>
    <t>https://bankbnitbk.sharepoint.com/:f:/s/TEST212/Erxs-oPMn19Air8-liocoq4BGeFyQJ0enNcHClbhAI4e2Q?e=zUdiKh</t>
  </si>
  <si>
    <t>22 hari / 1 bulan</t>
  </si>
  <si>
    <t xml:space="preserve">P23144 </t>
  </si>
  <si>
    <t>AMOLOM0174</t>
  </si>
  <si>
    <t>New BAMS &amp; CPR-BAMS-TAT</t>
  </si>
  <si>
    <t>Oct-Jan</t>
  </si>
  <si>
    <t>https://bankbnitbk.sharepoint.com/:f:/s/TEST212/EmiB9mpkX1tFldLUVOVY5SsBY1WjAqn_mc_ygxcWlPhRfg?e=442imQ</t>
  </si>
  <si>
    <t>https://gitlab-dc.bni.co.id/coe-duplicate/test-automation/katalon-bams-tat.git</t>
  </si>
  <si>
    <t>Burhan</t>
  </si>
  <si>
    <t>10 hari</t>
  </si>
  <si>
    <t>P23094</t>
  </si>
  <si>
    <t>AMOOES0309</t>
  </si>
  <si>
    <t>https://bankbnitbk.sharepoint.com/:f:/s/TEST212/EmDQeI6wuE9Erk-8RtI6KBsBdR4mp5abwD8GJYpgrlXEyA?e=FOsV8R</t>
  </si>
  <si>
    <t>https://gitlab-dc.bni.co.id/coe-duplicate/test-automation/katalon-digims.git</t>
  </si>
  <si>
    <t>Alkha</t>
  </si>
  <si>
    <t>3 hari</t>
  </si>
  <si>
    <t>35 hari/ 1 bulan 2 minggu</t>
  </si>
  <si>
    <t>P24091</t>
  </si>
  <si>
    <t>AMOSAL0068</t>
  </si>
  <si>
    <t>Digisales-Portal (4B)</t>
  </si>
  <si>
    <t>https://bankbnitbk.sharepoint.com/:f:/s/TEST212/EpwQ_mowTgRIsBNX-yqk1SsBydKz148dpodB8gftHbFBaw?e=24HPLd</t>
  </si>
  <si>
    <t>https://gitlab-dc.bni.co.id/coe-duplicate/test-automation/katalon-digisales-portal.git</t>
  </si>
  <si>
    <t>Cash Management Lite</t>
  </si>
  <si>
    <t>Digisales-Generalis Mobile Browser (4B)</t>
  </si>
  <si>
    <t>https://bankbnitbk.sharepoint.com/:f:/s/TEST212/ElybKHNWvkxDjZztpmaLLWUBbK7bk4AXKBTpXRbjFe-LvQ?e=zw4Rt1</t>
  </si>
  <si>
    <t>https://gitlab-dc.bni.co.id/coe-duplicate/test-automation/katalon-digisales-generalis-mobile-browser.git</t>
  </si>
  <si>
    <t>Digisales-Generalis Mobile APK (4B)</t>
  </si>
  <si>
    <t>https://bankbnitbk.sharepoint.com/:f:/s/TEST212/ElM4wgKu4IpEo1aN26W6_xEBbG1DgM8lJCMGlpG4MzZ0Mg?e=ugHmtA</t>
  </si>
  <si>
    <t>https://gitlab-dc.bni.co.id/coe-duplicate/test-automation/katalon-digisales-generalis-mobile-apk.git</t>
  </si>
  <si>
    <t>Unedo</t>
  </si>
  <si>
    <t>13 hari</t>
  </si>
  <si>
    <t>Digisales-FTE Mobile Browser (4B)</t>
  </si>
  <si>
    <t>https://bankbnitbk.sharepoint.com/:f:/s/TEST212/Eup95DJS-rFLljrtCvblvq0BOzTzM9ulTTYDds9KCmcULw?e=eHpNAF</t>
  </si>
  <si>
    <t>https://gitlab-dc.bni.co.id/coe-duplicate/test-automation/katalon-digisales-fte-mobile-browser.git</t>
  </si>
  <si>
    <t>Digisales-FTE Mobile APK (4B)</t>
  </si>
  <si>
    <t>https://bankbnitbk.sharepoint.com/:f:/s/TEST212/EvzzQSkZgHtIo46EbcwpAKUBVU-0l60enMgmHRDjNWBkbQ?e=k341oe</t>
  </si>
  <si>
    <t>https://gitlab-dc.bni.co.id/coe-duplicate/test-automation/katalon-digisales-fte-mobile-apk.git</t>
  </si>
  <si>
    <t>264 hari / 12 bulan</t>
  </si>
  <si>
    <t>&gt;</t>
  </si>
  <si>
    <t>88 hari / 4 bulan</t>
  </si>
  <si>
    <t>asumsi 3 resource</t>
  </si>
  <si>
    <t xml:space="preserve">P24019 </t>
  </si>
  <si>
    <t>AMOCSR0273</t>
  </si>
  <si>
    <t>Smart VA-Portal</t>
  </si>
  <si>
    <t>Dec-Jan</t>
  </si>
  <si>
    <t>https://bankbnitbk.sharepoint.com/:f:/s/TEST212/EsE_n7BKP49DtZV_DeXugQcBATb7DB5RJ5f3NFGwOL9xhw?e=0F4t6H</t>
  </si>
  <si>
    <t>https://gitlab.bni.co.id/coe-duplicate/test-automation/katalon-smartva-portal</t>
  </si>
  <si>
    <t>Alkha, Akbar</t>
  </si>
  <si>
    <t xml:space="preserve">P24015 </t>
  </si>
  <si>
    <t>BNIDirect Cash Management Lite-Cash Management Lite</t>
  </si>
  <si>
    <t>Dec-Mar</t>
  </si>
  <si>
    <t>https://bankbnitbk.sharepoint.com/:f:/s/TEST212/Egsdb85tRmRCjJTdK7ESwUcBZW6sNXh7vBtHANYVKTslLg?e=PHmO6I</t>
  </si>
  <si>
    <t>https://gitlab-dc.bni.co.id/coe-duplicate/test-automation/katalon-cash-management-lite.git</t>
  </si>
  <si>
    <t>cmlite_merge</t>
  </si>
  <si>
    <t>Aulia, Unedo, Ilyas</t>
  </si>
  <si>
    <t>AFONFO0078</t>
  </si>
  <si>
    <t>BNIDirect Trade (e-Bank Guarantee)-GB Online</t>
  </si>
  <si>
    <t>Dec</t>
  </si>
  <si>
    <t>https://bankbnitbk.sharepoint.com/:f:/s/TEST212/EuvNp1NjryNPvVKPeNcz8cUB3NwobpvMfIWP6ChkfD4r5w?e=VvQG8q</t>
  </si>
  <si>
    <t>https://gitlab-dc.bni.co.id/coe-duplicate/test-automation/katalon-garansi-bank-online.git</t>
  </si>
  <si>
    <t>Yudho, Willy</t>
  </si>
  <si>
    <t>P24023</t>
  </si>
  <si>
    <t>AMOLOM0276</t>
  </si>
  <si>
    <t>Lendix (LMS Wholesale)-MVP 1 Sprint 1</t>
  </si>
  <si>
    <t>https://gitlab-dc.bni.co.id/coe-duplicate/test-automation/katalon-lms-wholesale.git</t>
  </si>
  <si>
    <t>Mafa, Willy</t>
  </si>
  <si>
    <t>Mbincar, Thomas</t>
  </si>
  <si>
    <t>Lendix (LMS Wholesale)-MVP 1 Sprint 2</t>
  </si>
  <si>
    <t>Lendix (LMS Wholesale)-MVP 1 Sprint 3</t>
  </si>
  <si>
    <t>Lendix (LMS Wholesale)-MVP 1 Sprint 4</t>
  </si>
  <si>
    <t>AMOCSR0268</t>
  </si>
  <si>
    <t>Host QRIS-Web Portal Admin</t>
  </si>
  <si>
    <t>https://bankbnitbk.sharepoint.com/:f:/s/COETeam/EugCZ5-rSd9GuUY9kaSt7pIBCLaxm3tdNVVoAsRss3_SXw?e=q9FY5x</t>
  </si>
  <si>
    <t>https://gitlab-dc.bni.co.id/coe-duplicate/test-automation/katalon-web-portal-admin.git</t>
  </si>
  <si>
    <t>AMOMWI0302</t>
  </si>
  <si>
    <t>Global File Exchange (GFX)</t>
  </si>
  <si>
    <t>Dekstop</t>
  </si>
  <si>
    <t>https://bankbnitbk.sharepoint.com/:f:/s/TEST212/EmHDDzW75hxMkZ8Ld4K2AXkB1uEh9JmBnh-_fVmmSm5Teg?e=5gVlOq</t>
  </si>
  <si>
    <t>https://gitlab-dc.bni.co.id/coe-duplicate/test-automation/uft-gfx.git</t>
  </si>
  <si>
    <t>AMOSAL0259</t>
  </si>
  <si>
    <t>RM Tool</t>
  </si>
  <si>
    <t>Jan-Feb</t>
  </si>
  <si>
    <t>https://bankbnitbk.sharepoint.com/:f:/s/TEST212/En44M6Dgx1JNmHnpum_-qC4BqZNp-rDMF8sAIACMq7f6Og?e=Q5K8Xf</t>
  </si>
  <si>
    <t>https://gitlab-dc.bni.co.id/coe-duplicate/test-automation/uft-rm-tools.git</t>
  </si>
  <si>
    <t>rm_tools_merge</t>
  </si>
  <si>
    <t>Willy, Yudho</t>
  </si>
  <si>
    <t>AMOSAL0038</t>
  </si>
  <si>
    <t>BNI Move (Digitalisasi KUR)-Mobile BNI Move (Android)</t>
  </si>
  <si>
    <t>Feb-Jun</t>
  </si>
  <si>
    <t>https://bankbnitbk.sharepoint.com/:f:/s/TEST212/EnGaOMaxvvpMt1YXvnMJUoYBwWSQ6-ASx9MtqORLnLdw-w?e=HUA9sb</t>
  </si>
  <si>
    <t>https://gitlab-dc.bni.co.id/coe-duplicate/test-automation/katalon-bni-move.git</t>
  </si>
  <si>
    <t xml:space="preserve"> yusuf</t>
  </si>
  <si>
    <t>Yusuf</t>
  </si>
  <si>
    <t>Marin</t>
  </si>
  <si>
    <t>Samsung Galaxy A52</t>
  </si>
  <si>
    <t>P23003</t>
  </si>
  <si>
    <t>AMOMWI0004</t>
  </si>
  <si>
    <t>API Management-API Gateway</t>
  </si>
  <si>
    <t>Jan-Oct</t>
  </si>
  <si>
    <t>API</t>
  </si>
  <si>
    <t>https://bankbnitbk.sharepoint.com/:f:/s/TEST212/EkHylvVI_-NHkreXGOrLvDgBuEj6fKPO3ktyu_-69pu-nA?e=EVyUWF</t>
  </si>
  <si>
    <t>https://gitlab-dc.bni.co.id/coe-duplicate/test-automation/katalon-bni-api-gateway.git</t>
  </si>
  <si>
    <t>P23008</t>
  </si>
  <si>
    <t>AMOOES0180</t>
  </si>
  <si>
    <t>CX COMM</t>
  </si>
  <si>
    <t>Mar</t>
  </si>
  <si>
    <t>https://bankbnitbk.sharepoint.com/:f:/s/TEST212/EpE8MORMBY9LpiVlrjrHBSEBLU5JCww1dRj2oD3BRZaxZQ?e=NNMi3A</t>
  </si>
  <si>
    <t>https://gitlab-dc.bni.co.id/coe-duplicate/test-automation/katalon-cx-comm/-/tree/CXCOMM_alex?ref_type=heads</t>
  </si>
  <si>
    <t xml:space="preserve">Marin </t>
  </si>
  <si>
    <t>Lendix (LMS Wholesale)-MVP 2 Sprint 1</t>
  </si>
  <si>
    <t>https://bankbnitbk.sharepoint.com/:f:/s/TEST212/ErtDBAMjlOVEhInAqEwJMg4BS1QJKJWJ4EPzDH8BoZLRjg?e=P1LmP3</t>
  </si>
  <si>
    <t>https://gitlab.bni.co.id/coe-duplicate/test-automation/katalon-lms-wholesale/-/tree/lms_mvp_2_sprint_1?ref_type=heads</t>
  </si>
  <si>
    <t>Digisales-Portal (5B)</t>
  </si>
  <si>
    <t>https://bankbnitbk.sharepoint.com/:f:/s/TEST212/EnO2rxJNuchFpX8AeccRGBwB6E4KL2HD-pnyq4oaIIkGkg?e=1UX2KP</t>
  </si>
  <si>
    <t>https://gitlab-dc.bni.co.id/coe-duplicate/test-automation/katalon-digisales-portal-5b-fase-1.git</t>
  </si>
  <si>
    <t>Digisales-Generalis Mobile Browser (5B)</t>
  </si>
  <si>
    <t>https://bankbnitbk.sharepoint.com/:f:/s/TEST212/EjSIIQ-UTuhOn0w35tAgE7cBCajtwbZD_5MwixPwtcGVRQ?e=cC8p34</t>
  </si>
  <si>
    <t>Digisales-Generalis Mobile APK (5B)</t>
  </si>
  <si>
    <t>https://bankbnitbk.sharepoint.com/:f:/s/TEST212/EkBmeaU1c85IiWJlJWAM5M8BLepL1R6T8-lh8zjTEzCT9w?e=lk9hZb</t>
  </si>
  <si>
    <t>Digisales-FTE Mobile Browser (5B)</t>
  </si>
  <si>
    <t>https://bankbnitbk.sharepoint.com/:f:/s/TEST212/EiH7yAM0rVtMpHzYtcLAZ2kBfdhgzLfhROjy1G-3181jQA?e=Bii74T</t>
  </si>
  <si>
    <t>Digisales-FTE Mobile APK (5B)</t>
  </si>
  <si>
    <t>https://bankbnitbk.sharepoint.com/:f:/s/TEST212/EhfCiubekcNDqws3_z6Qs88Bf2O8z6EuXbjSBvjxGpV7jg?e=c997oc</t>
  </si>
  <si>
    <t>Digisales-Sales Farmer Mobile APK (5B)</t>
  </si>
  <si>
    <t>https://bankbnitbk.sharepoint.com/:f:/s/TEST212/EpGn9xd6XFRFhfoQC-4eOp0BnnMmSnqdNgr0oq3Sh9ID_w?e=Tflu2X</t>
  </si>
  <si>
    <t>https://gitlab-dc.bni.co.id/coe-duplicate/test-automation/katalon-digisales-sales-farmer-mobile-apk.git</t>
  </si>
  <si>
    <t>Digisales-Sales Farmer Mobile Browser (5B)</t>
  </si>
  <si>
    <t>https://bankbnitbk.sharepoint.com/:f:/s/TEST212/EtfHqjSV8Z9OnE7F75WlelwB3rOpoeV7wr4R181UlVuY8g?e=MXElRq</t>
  </si>
  <si>
    <t>https://gitlab-dc.bni.co.id/coe-duplicate/test-automation/katalon-digisales-sales-farmer-mobile-browser.git</t>
  </si>
  <si>
    <t>Digisales-Portal (6C)</t>
  </si>
  <si>
    <t>Mei</t>
  </si>
  <si>
    <t>https://bankbnitbk.sharepoint.com/:f:/s/TEST212/EirMayUabUdEkXIAnu65NS8BqQKjYy3DaHy1YQ6MGjnUig?e=HV7due</t>
  </si>
  <si>
    <t>https://gitlab-dc.bni.co.id/coe-duplicate/test-automation/katalon-digisales-ms-form-portal-6c.git</t>
  </si>
  <si>
    <t>Digisales-Portal (6D)</t>
  </si>
  <si>
    <t>https://bankbnitbk.sharepoint.com/:f:/s/TEST212/EqKDBXnkBsNKim04CPE06vUBRk2AOSI3jMDlbnJizA-uCA?e=KdvnBn</t>
  </si>
  <si>
    <t>https://gitlab-dc.bni.co.id/coe-duplicate/test-automation/katalon-digisales-portal-6d/-/tree/dev_gafi?ref_type=heads</t>
  </si>
  <si>
    <t>Digisales-Portal (7A)</t>
  </si>
  <si>
    <t>https://bankbnitbk.sharepoint.com/:f:/s/TEST212/EpOdAPBTKopMnQkLcmeRrysBNqyQHgTEK_twRjTs45MNvw?e=V7pLlp</t>
  </si>
  <si>
    <t>https://gitlab-dc.bni.co.id/coe-duplicate/test-automation/katalon-digisales-portal-7a-portal.git</t>
  </si>
  <si>
    <t>ABOAST0111</t>
  </si>
  <si>
    <t>BNI Direct FSCM</t>
  </si>
  <si>
    <t>Jun</t>
  </si>
  <si>
    <t xml:space="preserve">https://bankbnitbk.sharepoint.com/:f:/s/TEST212/Ev0NXfhPpW5Gkzs-mOGX16gBqNpNkJnpmDZWW9IYNXzwlw?e=F2Gqu2 </t>
  </si>
  <si>
    <t>https://gitlab-dc.bni.co.id/coe-duplicate/test-automation/bni-direct-fscm.git</t>
  </si>
  <si>
    <t>BNI Direct Bisnis</t>
  </si>
  <si>
    <t xml:space="preserve">July - </t>
  </si>
  <si>
    <t>https://bankbnitbk.sharepoint.com/:f:/s/TEST212/ElnsE9cKzSZNl0y4Yi22lYcB4ut0jQu60FUUFszXnRomWw?e=FBGvLa</t>
  </si>
  <si>
    <t>Digisales-Portal (7B)</t>
  </si>
  <si>
    <t>Aug</t>
  </si>
  <si>
    <t>https://bankbnitbk.sharepoint.com/sites/TEST212/Shared%20Documents/Forms/AllItems.aspx?id=%2Fsites%2FTEST212%2FShared%20Documents%2FGeneral%2FScripting%20Report%2FWeb%20Digisales%2FDigisales%20MVP%207B&amp;viewid=5f45ee7e%2D4c73%2D41ad%2Dab32%2Dcf02db1420df&amp;p=true&amp;ga=1</t>
  </si>
  <si>
    <t>https://gitlab.bni.co.id/coe-duplicate/test-automation/katalon-digisales-7b</t>
  </si>
  <si>
    <t>BNI Direct Cash</t>
  </si>
  <si>
    <t>Dec-Oct</t>
  </si>
  <si>
    <t>https://bankbnitbk.sharepoint.com/:f:/s/COETeam/EvEFj3E9tBhCq_RyYCPs4ewBkMey9_B-sLYP-q1rkX5srw?e=0IKCpt</t>
  </si>
  <si>
    <t>https://gitlab-dc.bni.co.id/coe-duplicate/test-automation/katalon-cash-management-reguler.git</t>
  </si>
  <si>
    <t>SWMP / Direct Mobile</t>
  </si>
  <si>
    <t>https://bankbnitbk.sharepoint.com/:f:/s/COETeam/EruzHPcPZoZGuA8i1T2C9WMB0fK30ITH24iVi_OLSMsNqA?e=XUTuBI</t>
  </si>
  <si>
    <t>https://gitlab-dc.bni.co.id/coe-duplicate/katalon-mobile-swmp-android.git</t>
  </si>
  <si>
    <t>Digisales-Portal (8A)</t>
  </si>
  <si>
    <t>Oct</t>
  </si>
  <si>
    <t>https://bankbnitbk.sharepoint.com/:f:/s/TEST212/ErRVf1KDEGNLr4zZOhZENJEBLrzdzXGX6LjY_3KXK9aYrA?e=cKfNIX</t>
  </si>
  <si>
    <t>https://gitlab-dc.bni.co.id/coe-duplicate/test-automation/katalon-digisales-8a</t>
  </si>
  <si>
    <t>andhini</t>
  </si>
  <si>
    <t>Digisales - Mobile Browser (7A)</t>
  </si>
  <si>
    <t>https://bankbnitbk.sharepoint.com/:f:/s/TEST212/EnV4iKR0IUdBt5LizOfitP4BViEz4hX03Nm3xU-2xP2FNw?e=bxnKXx</t>
  </si>
  <si>
    <t>mikhael
willy</t>
  </si>
  <si>
    <t>Digisales-Mobile APK (7A)</t>
  </si>
  <si>
    <t>https://bankbnitbk.sharepoint.com/:f:/s/TEST212/Ev9QjAMCDF5PnE6lSb_cqWEBxNuZJSdHF0QPlrSLXvLIMw?e=Bsc9R0</t>
  </si>
  <si>
    <t>alvin</t>
  </si>
  <si>
    <t>DigIMS (Latest UI)</t>
  </si>
  <si>
    <t>Nov 2025 - now</t>
  </si>
  <si>
    <t>https://bankbnitbk.sharepoint.com/:f:/s/COETeam/IgDXkylQNrYJRqEdNtwzMEmzAe9Aqqc1qNYV3A8qNRTlVBo?e=6VfNeI</t>
  </si>
  <si>
    <r>
      <rPr>
        <u/>
        <sz val="10"/>
        <color rgb="FF1155CC"/>
        <rFont val="Arial"/>
      </rPr>
      <t>https://gitlab-dc.bni.co.id/coe-duplicate/test-automation/katalon-digims.git</t>
    </r>
    <r>
      <rPr>
        <sz val="10"/>
        <rFont val="Arial"/>
      </rPr>
      <t>t</t>
    </r>
  </si>
  <si>
    <t>dev_andhinyaye &amp; dev_ali</t>
  </si>
  <si>
    <t>Digisales Mobile APK (8A)</t>
  </si>
  <si>
    <t>https://bankbnitbk.sharepoint.com/:f:/s/TEST212/EqbDzLRXSqBPjveAyS7wVEoBOXJJK6fziPRjsCLc26vn9w?e=dPKnyD</t>
  </si>
  <si>
    <t>Digisales Mobile Browser (8A)</t>
  </si>
  <si>
    <t>https://bankbnitbk.sharepoint.com/:f:/s/TEST212/EpX6nYWHcbVMnDs5avPcFJ0BxI7PZPjl8Ve86Mjwl1uT5g?e=7OLKAe</t>
  </si>
  <si>
    <t>https://gitlab-dc.bni.co.id/coe-duplicate/test-automation/katalon-digisales-8a/-/tree/dev_mobile_browser_mikhael?ref_type=heads</t>
  </si>
  <si>
    <t>Digisales Mobile Browser (8b Phase 1)</t>
  </si>
  <si>
    <t>https://bankbnitbk.sharepoint.com/sites/TEST212/Shared%20Documents/Forms/AllItems.aspx?csf=1&amp;web=1&amp;e=aydZGo&amp;CID=fffa208b%2D4f53%2D44d4%2Da03b%2D4372838d0eab&amp;FolderCTID=0x01200013C42440C0BE0446A84C2940AA0E2843&amp;id=%2Fsites%2FTEST212%2FShared%20Documents%2FGeneral%2FScripting%20Report%2FWeb%20Digisales%2FDigisales%20MVP%208b%20Phase%201</t>
  </si>
  <si>
    <t>https://gitlab-dc.bni.co.id/coe-duplicate/test-automation/katalon-digisales-8b-phase-1</t>
  </si>
  <si>
    <t>Digisales Portal (8b Phase 1)</t>
  </si>
  <si>
    <t>Dashboard BGN</t>
  </si>
  <si>
    <t>https://bankbnitbk.sharepoint.com/:f:/s/TEST212/IgAmm4yf9iSJTItUHvNqmR9yASSMOa8HHNvDCbKzKykl5nM?e=a88cgn</t>
  </si>
  <si>
    <r>
      <rPr>
        <sz val="10"/>
        <rFont val="Arial"/>
      </rPr>
      <t xml:space="preserve"> </t>
    </r>
    <r>
      <rPr>
        <u/>
        <sz val="10"/>
        <color rgb="FF1155CC"/>
        <rFont val="Arial"/>
      </rPr>
      <t>https://gitlab-dc.bni.co.id/coe-duplicate/test-automation/katalon-bgn</t>
    </r>
  </si>
  <si>
    <t>dev</t>
  </si>
  <si>
    <t>Digisales New Platform (Mobile)</t>
  </si>
  <si>
    <t>https://bankbnitbk.sharepoint.com/sites/TEST212/Shared%20Documents/Forms/AllItems.aspx?id=%2Fsites%2FTEST212%2FShared%20Documents%2FGeneral%2FScripting%20Report%2FDigisales%20New%202026&amp;viewid=5f45ee7e%2D4c73%2D41ad%2Dab32%2Dcf02db1420df&amp;csf=1&amp;CID=8c8ced04%2D801f%2D433a%2Da151%2Da1ae2c72e4a6&amp;FolderCTID=0x01200013C42440C0BE0446A84C2940AA0E2843</t>
  </si>
  <si>
    <t>https://bankbnitbk.sharepoint.com/:x:/r/sites/COETeam/_layouts/15/doc2.aspx?sourcedoc=%7Bd174dcaa-5001-4c31-acf0-3b3d63f86bcf%7D&amp;action=edit&amp;wdinitialsession=3f27e13e-2ca5-3928-dbd5-a5c05144c407&amp;wdrldsc=3&amp;wdrldc=1&amp;wdrldr=RefreshingExpiredAccessToken&amp;wdenableroaming=1&amp;wdlcid=en-US&amp;wdorigin=Other&amp;wdredirectionreason=Force_SingleStepBoot</t>
  </si>
  <si>
    <t>Total</t>
  </si>
  <si>
    <t>33 Aplikasi</t>
  </si>
  <si>
    <t>Kelolaan Thomas</t>
  </si>
  <si>
    <t>Kelolaan Mbincar</t>
  </si>
  <si>
    <t>Kelolaan Marin</t>
  </si>
  <si>
    <t>Total tc</t>
  </si>
  <si>
    <t>Script automation</t>
  </si>
  <si>
    <t>Payroll</t>
  </si>
  <si>
    <t>Bulk Payment</t>
  </si>
  <si>
    <t>Transfer Management</t>
  </si>
  <si>
    <t>Tax Payment</t>
  </si>
  <si>
    <t>VA Billing</t>
  </si>
  <si>
    <t>Api Gateway</t>
  </si>
  <si>
    <t>Total TC</t>
  </si>
  <si>
    <t>Scripting Automation</t>
  </si>
  <si>
    <t>Snap Service</t>
  </si>
  <si>
    <t>Token snap v1&amp;v1.0</t>
  </si>
  <si>
    <t>BNIDirect</t>
  </si>
  <si>
    <t>OGP H2H</t>
  </si>
  <si>
    <t>Snap BI Service (RTL)</t>
  </si>
  <si>
    <t>SB Tapcash UBP</t>
  </si>
  <si>
    <t>SB</t>
  </si>
  <si>
    <t>SB PLN UBP icon+</t>
  </si>
  <si>
    <t>Pulsa Keagenan</t>
  </si>
  <si>
    <t>RDN RDL RDF</t>
  </si>
  <si>
    <t xml:space="preserve">Data Capaian </t>
  </si>
  <si>
    <t xml:space="preserve">No </t>
  </si>
  <si>
    <t>Npp</t>
  </si>
  <si>
    <t>Nama</t>
  </si>
  <si>
    <t>Aplikasi</t>
  </si>
  <si>
    <t>Januari</t>
  </si>
  <si>
    <t>Februari</t>
  </si>
  <si>
    <t>Maret</t>
  </si>
  <si>
    <t xml:space="preserve">Juni </t>
  </si>
  <si>
    <t>Juli</t>
  </si>
  <si>
    <t>Agustus</t>
  </si>
  <si>
    <t>September</t>
  </si>
  <si>
    <t>Oktober</t>
  </si>
  <si>
    <t>November</t>
  </si>
  <si>
    <t>Desember</t>
  </si>
  <si>
    <t>P057974</t>
  </si>
  <si>
    <t>SIlvester Kevin</t>
  </si>
  <si>
    <t>P063945</t>
  </si>
  <si>
    <t>Thomas Gunawan Sardjono</t>
  </si>
  <si>
    <t>P062927</t>
  </si>
  <si>
    <t>Marinda Ika Dewi Sakariana</t>
  </si>
  <si>
    <t>P062928</t>
  </si>
  <si>
    <t>Mbincar Rukun Sembiring</t>
  </si>
  <si>
    <t>Burhan Aditya</t>
  </si>
  <si>
    <t>Syafiq Ali Zhafran</t>
  </si>
  <si>
    <t>Willy Honandar</t>
  </si>
  <si>
    <t>Alfiko Utama</t>
  </si>
  <si>
    <t>Mikhael Adriel Pratama Gana</t>
  </si>
  <si>
    <t>Izaaz Waskito Widyarto</t>
  </si>
  <si>
    <t>Dani Yudistira Maulana</t>
  </si>
  <si>
    <t>Hanif Razin Rahmatullah</t>
  </si>
  <si>
    <t>Pierre Azhanzi Ibrahim (Autodebet)</t>
  </si>
  <si>
    <t>Zakiah Putri Madani (Avatar)</t>
  </si>
  <si>
    <t>Marcelino Oktaviansyah (Avatar)</t>
  </si>
  <si>
    <t>Firizki Fajri</t>
  </si>
  <si>
    <t>Ilham Ramadhan (Avatar)</t>
  </si>
  <si>
    <t>Pani Syaf Putra</t>
  </si>
  <si>
    <t>Abdul Aziz Permana (Avatar)</t>
  </si>
  <si>
    <t>Last Update 04 October 2024 08:10 WIB</t>
  </si>
  <si>
    <t>Data Capaian Scripting per-Individu</t>
  </si>
  <si>
    <t>Jan-W1</t>
  </si>
  <si>
    <t>Jan-W2</t>
  </si>
  <si>
    <t>Jan-W3</t>
  </si>
  <si>
    <t>Jan-W4</t>
  </si>
  <si>
    <t>Jan-W5</t>
  </si>
  <si>
    <t>Feb-W1</t>
  </si>
  <si>
    <t>Feb-W2</t>
  </si>
  <si>
    <t>Feb-W3</t>
  </si>
  <si>
    <t>Feb-W4</t>
  </si>
  <si>
    <t>Mar-W1</t>
  </si>
  <si>
    <t>Mar-W2</t>
  </si>
  <si>
    <t>Mar-W3</t>
  </si>
  <si>
    <t>Mar-W4</t>
  </si>
  <si>
    <t>Apr-W1</t>
  </si>
  <si>
    <t>Apr-W2</t>
  </si>
  <si>
    <t>Apr-W3</t>
  </si>
  <si>
    <t>Apr-W4</t>
  </si>
  <si>
    <t>May-W1</t>
  </si>
  <si>
    <t>May-W2</t>
  </si>
  <si>
    <t>May-W3</t>
  </si>
  <si>
    <t>May-W4</t>
  </si>
  <si>
    <t>May-W5</t>
  </si>
  <si>
    <t>Jun-W1</t>
  </si>
  <si>
    <t>Jun-W2</t>
  </si>
  <si>
    <t>Jun-W3</t>
  </si>
  <si>
    <t>Jun-W4</t>
  </si>
  <si>
    <t>Jul-W1</t>
  </si>
  <si>
    <t>Jul-W2</t>
  </si>
  <si>
    <t>Jul-W3</t>
  </si>
  <si>
    <t>Jul-W4</t>
  </si>
  <si>
    <t>Jul-W5</t>
  </si>
  <si>
    <t>Aug-W1</t>
  </si>
  <si>
    <t>Aug-W2</t>
  </si>
  <si>
    <t>Aug-W3</t>
  </si>
  <si>
    <t>Aug-W4</t>
  </si>
  <si>
    <t>Sep-W1</t>
  </si>
  <si>
    <t>Sep-W2</t>
  </si>
  <si>
    <t>Sep-W3</t>
  </si>
  <si>
    <t>Sep-W4</t>
  </si>
  <si>
    <t>Oct-W1</t>
  </si>
  <si>
    <t>Oct-W2</t>
  </si>
  <si>
    <t>Oct-W3</t>
  </si>
  <si>
    <t>Oct-W4</t>
  </si>
  <si>
    <t>Oct-W5</t>
  </si>
  <si>
    <t>Nov-W1</t>
  </si>
  <si>
    <t>Nov-W2</t>
  </si>
  <si>
    <t>Nov-W3</t>
  </si>
  <si>
    <t>Nov-W4</t>
  </si>
  <si>
    <t>Dec-W1</t>
  </si>
  <si>
    <t>Dec-W2</t>
  </si>
  <si>
    <t>Dec-W3</t>
  </si>
  <si>
    <t>Dec-W4</t>
  </si>
  <si>
    <t>BNI Direct Reguler / Reskining</t>
  </si>
  <si>
    <t>SMS Menu (Android)</t>
  </si>
  <si>
    <t>Wondr Bussiness</t>
  </si>
  <si>
    <t>LMS Wholesale Sprint 1</t>
  </si>
  <si>
    <t>Andinira Rizki Syafitri</t>
  </si>
  <si>
    <t>Al Khawarismi Atma Pratama</t>
  </si>
  <si>
    <t>Muhamad Ilyas Azmi Dewanto</t>
  </si>
  <si>
    <t>Tiplus Guarante Bank</t>
  </si>
  <si>
    <t>Yusuf Tri Wibowo</t>
  </si>
  <si>
    <t>Alexander Bernadus Sungkono</t>
  </si>
  <si>
    <t>Muhammad Yudho Ardianto</t>
  </si>
  <si>
    <t>Muhammad Akbar</t>
  </si>
  <si>
    <t>M. Alvin Fahrian</t>
  </si>
  <si>
    <t>Mafasyafa Annisa Zukhruff</t>
  </si>
  <si>
    <t>LMS Wholesale Sprint 2</t>
  </si>
  <si>
    <t>Gafiliano Gapili</t>
  </si>
  <si>
    <t>Unedo Ignasius Manalu</t>
  </si>
  <si>
    <t>No</t>
  </si>
  <si>
    <t xml:space="preserve">Aplikasi </t>
  </si>
  <si>
    <t>Status</t>
  </si>
  <si>
    <t>Pelaksana</t>
  </si>
  <si>
    <t>Year</t>
  </si>
  <si>
    <t>January</t>
  </si>
  <si>
    <t>February</t>
  </si>
  <si>
    <t>March</t>
  </si>
  <si>
    <t>May</t>
  </si>
  <si>
    <t>June</t>
  </si>
  <si>
    <t>July</t>
  </si>
  <si>
    <t>August</t>
  </si>
  <si>
    <t>October</t>
  </si>
  <si>
    <t>December</t>
  </si>
  <si>
    <t>Digisales</t>
  </si>
  <si>
    <t>MyCard Mobile</t>
  </si>
  <si>
    <t>RM Tools</t>
  </si>
  <si>
    <t>XPora</t>
  </si>
  <si>
    <t>SOA</t>
  </si>
  <si>
    <t>New DPLK</t>
  </si>
  <si>
    <t>Web Keagenan</t>
  </si>
  <si>
    <t>API Management</t>
  </si>
  <si>
    <t>SISKA</t>
  </si>
  <si>
    <t>MyCard Web</t>
  </si>
  <si>
    <t>H2H Remmitence</t>
  </si>
  <si>
    <t>SMS Menu</t>
  </si>
  <si>
    <t>BNI Agen 46</t>
  </si>
  <si>
    <t>Icons</t>
  </si>
  <si>
    <t>DAFTAR APLIKASI AKTIF BNI</t>
  </si>
  <si>
    <t>STA - ISA</t>
  </si>
  <si>
    <t>Description/Definition</t>
  </si>
  <si>
    <t>Main Building Block</t>
  </si>
  <si>
    <t>Sub Building Block</t>
  </si>
  <si>
    <t>Business Owner</t>
  </si>
  <si>
    <t>System Owner</t>
  </si>
  <si>
    <t>Team APS</t>
  </si>
  <si>
    <t>Criticality</t>
  </si>
  <si>
    <t>Transactional/ Mission Critical Product (1)</t>
  </si>
  <si>
    <t>Regulatory (BI/ OJK/ SWIFT/MC/ VISA/GPN) (2)</t>
  </si>
  <si>
    <t>Revenue Loss /Biz Critical (1)</t>
  </si>
  <si>
    <t>Operational Impact (Bank wide (1))</t>
  </si>
  <si>
    <t>Reputation/ Customer facing(1)</t>
  </si>
  <si>
    <t>Criticality Score</t>
  </si>
  <si>
    <t>AMOLOM0001</t>
  </si>
  <si>
    <t>ADK NET - Elektronik Administrasi Kredit</t>
  </si>
  <si>
    <t>Aplikasi untuk proses administrasi kredit, terdiri dari: eADK Home, ePK, ePolis, eAkta, eTaksasi, eSettlement, eRekanan, eFilling</t>
  </si>
  <si>
    <t>Operational Services</t>
  </si>
  <si>
    <t>Loan Operations</t>
  </si>
  <si>
    <t>COP</t>
  </si>
  <si>
    <t>RDL - Retail Credit Operation Delivery</t>
  </si>
  <si>
    <t>BOA</t>
  </si>
  <si>
    <t>3-Moderate</t>
  </si>
  <si>
    <t>Aktif</t>
  </si>
  <si>
    <t>AMORAC0002</t>
  </si>
  <si>
    <t>Ambit Focus - IRRBB (Interest Rate Risk In The Banking Book)</t>
  </si>
  <si>
    <t>Aplikasi utk perhitungan resiko tingkat suku bunga</t>
  </si>
  <si>
    <t>Risk &amp; Compliance</t>
  </si>
  <si>
    <t>Regulatory</t>
  </si>
  <si>
    <t>TRS</t>
  </si>
  <si>
    <t>ADV - Wholesale Core Services Department</t>
  </si>
  <si>
    <t>CBS</t>
  </si>
  <si>
    <t>2-High</t>
  </si>
  <si>
    <t>AMOSAL0007</t>
  </si>
  <si>
    <t>Aplikasi Pengundian</t>
  </si>
  <si>
    <t>Aplikasi undian untuk event/ program pemasaran BNI</t>
  </si>
  <si>
    <t>Customer Relationship Management</t>
  </si>
  <si>
    <t>Marketing</t>
  </si>
  <si>
    <t>CRP</t>
  </si>
  <si>
    <t>RDL - Customer Care Channel</t>
  </si>
  <si>
    <t>4-Non Critical</t>
  </si>
  <si>
    <t>AMOOES0008</t>
  </si>
  <si>
    <t>ASP</t>
  </si>
  <si>
    <t>Aplikasi Perpajakan</t>
  </si>
  <si>
    <t>Enterprise Support</t>
  </si>
  <si>
    <t>Finance &amp; Accounting</t>
  </si>
  <si>
    <t>WPP/WDC</t>
  </si>
  <si>
    <t>WDL - Integrated Dashboard &amp; Corporate Portal</t>
  </si>
  <si>
    <t>????</t>
  </si>
  <si>
    <t>AMOOES0009</t>
  </si>
  <si>
    <t>Asset Management</t>
  </si>
  <si>
    <t>Aplikasi untuk mencatat informasi aset tetap, dengan dilengkapi informasi tambahan : foto/gambar asset, nomor proyek, kode anggaran, geo tagging, legalitas, daftar penghuni Gedung/rumah dinas, asuransi dll</t>
  </si>
  <si>
    <t>Facilities Management</t>
  </si>
  <si>
    <t>PFA</t>
  </si>
  <si>
    <t>ADV - Enterprise Services Departement</t>
  </si>
  <si>
    <t>AFONFO0011</t>
  </si>
  <si>
    <t>Autodebet (baru)</t>
  </si>
  <si>
    <t>Aplikasi berbasis web application untuk mengatur pembayaran tagihan- tagihan mulai dari tagihan listrik, pascabayar, kartu kredit, BPJS, PDAM, layanan</t>
  </si>
  <si>
    <t>Products &amp; Services</t>
  </si>
  <si>
    <t>Payment</t>
  </si>
  <si>
    <t>RDP/RDC</t>
  </si>
  <si>
    <t>AMORAC0012</t>
  </si>
  <si>
    <t>Awareness &amp; Supervision Report (ASR)</t>
  </si>
  <si>
    <t>Aplikasi Awareness &amp; Supervision Report</t>
  </si>
  <si>
    <t>Internal Audit &amp; Compliance</t>
  </si>
  <si>
    <t>IAD</t>
  </si>
  <si>
    <t>AMOCSR0013</t>
  </si>
  <si>
    <t>Bancassurance Telesaving</t>
  </si>
  <si>
    <t>pengembangan berdasarkan aktivitas harian yang dilakukan, antara lain :
  1. Rekonsil data Nasabah
  2. Pendebetan/pembilingan premi
  3. Pengembangan premi asuransi
  4. Pembayaran no claim bonus</t>
  </si>
  <si>
    <t>Reconciliation</t>
  </si>
  <si>
    <t>WEM</t>
  </si>
  <si>
    <t>RDL - Retail Sales System</t>
  </si>
  <si>
    <t>AMOOES0016</t>
  </si>
  <si>
    <t>BARS</t>
  </si>
  <si>
    <t>Account Registry Custody</t>
  </si>
  <si>
    <t>Custody</t>
  </si>
  <si>
    <t>BOP</t>
  </si>
  <si>
    <t>AMOOES0018</t>
  </si>
  <si>
    <t>BB Online</t>
  </si>
  <si>
    <t>Portal untuk reporting sektor BB</t>
  </si>
  <si>
    <t>DMA (Data Management Analytic)</t>
  </si>
  <si>
    <t>AMORAC0019</t>
  </si>
  <si>
    <t>BCP Monitoring (AML System/Regional Compliance Officer)</t>
  </si>
  <si>
    <t>Aplikasi Monitoring BCP yang ada di Aplikasi AML System</t>
  </si>
  <si>
    <t>Anti Money Laundering</t>
  </si>
  <si>
    <t>CMP</t>
  </si>
  <si>
    <t>AMODAP0022</t>
  </si>
  <si>
    <t>Big Data</t>
  </si>
  <si>
    <t>Data storage untuk Analytics dan Customer facing application</t>
  </si>
  <si>
    <t>Enterprise Information System</t>
  </si>
  <si>
    <t>IDS</t>
  </si>
  <si>
    <t>AMOCSR0024</t>
  </si>
  <si>
    <t>Billing Payment System (BPS)</t>
  </si>
  <si>
    <t>Rekonsiliasi Bill Payment</t>
  </si>
  <si>
    <t>DGO</t>
  </si>
  <si>
    <t>WDL</t>
  </si>
  <si>
    <t>AMORAC0027</t>
  </si>
  <si>
    <t>BNI AML (Anti Money Laundering System)</t>
  </si>
  <si>
    <t>Aplikasi Anti Money Laundering</t>
  </si>
  <si>
    <t>AFOAFO0029</t>
  </si>
  <si>
    <t>BNI Contact Center</t>
  </si>
  <si>
    <t>Pusat layanan dan complaint handling bagi Nasabah dan Non Nasabah via BNI Call 1500046 utk mendapatkan informasi, melakukan transaksi, dan memperoleh solusi atas permasalahan layanan perbankan. Dan complaint handling utk internal BNI via IT Helpdesk (021 29946000), SAT (021 29926011), dan HCT (021 29946088).</t>
  </si>
  <si>
    <t>Channels (Bank Channels)</t>
  </si>
  <si>
    <t>Virtual</t>
  </si>
  <si>
    <t>CXC</t>
  </si>
  <si>
    <t>IFM</t>
  </si>
  <si>
    <t>AMORAC0030</t>
  </si>
  <si>
    <t>BNI Control Overview (BCO)</t>
  </si>
  <si>
    <t>Aplikasi untuk kontrol internal - Fase I</t>
  </si>
  <si>
    <t>Operational Risk</t>
  </si>
  <si>
    <t>AMOOES0031</t>
  </si>
  <si>
    <t>BNI Dashboard</t>
  </si>
  <si>
    <t>Business Intelligence &amp; Analytics</t>
  </si>
  <si>
    <t>AFONFO0033</t>
  </si>
  <si>
    <t>BNIdirect London (LDN)</t>
  </si>
  <si>
    <t>Global Transaction Banking (GTB) merupakan layanan transaction banking yang disediakan BNI bagi nasabah non perorangan yang ada di luar negeri, menggunakan aplikasi BNI Direct</t>
  </si>
  <si>
    <t>Channels (Customer Channels)</t>
  </si>
  <si>
    <t>Wholesale Customer</t>
  </si>
  <si>
    <t>WDL - BNI Direct KCLN</t>
  </si>
  <si>
    <t>AFONFO0034</t>
  </si>
  <si>
    <t>BNI Experience</t>
  </si>
  <si>
    <t>Aplikasi berbasis mobile yang berfungsi untuk memberikan informasi lokasi ATM dan Kantor Cabang BNI terdekat dari lokasi/posisi nasabah.</t>
  </si>
  <si>
    <t>Content &amp; Document Management</t>
  </si>
  <si>
    <t>MCM</t>
  </si>
  <si>
    <t>RDL - Retail Mobile App</t>
  </si>
  <si>
    <t>DCP</t>
  </si>
  <si>
    <t>AMORAC0035</t>
  </si>
  <si>
    <t>BNI for SLIK</t>
  </si>
  <si>
    <t>Aplikasi penunjang pelaporan Sistem Layanan Informasi Keuangan</t>
  </si>
  <si>
    <t>CPM, DMA</t>
  </si>
  <si>
    <t>AMOOES0036</t>
  </si>
  <si>
    <t>BNI Forum</t>
  </si>
  <si>
    <t>Portal media komunikasi internal berbasi Web Intranet untuk menyampaikan informasi berupa berita, panduan transaksi dan operasional juga sebagai media edukasi dan promosi yang terkoneksi ke iCons (Bancslink)</t>
  </si>
  <si>
    <t>Team Collaboration</t>
  </si>
  <si>
    <t>BNI Move (Digitalisasi KUR)</t>
  </si>
  <si>
    <t>Sistem onboarding dan pemrosesan pengajuan kredit secara digital yang terintegrasi dengan verifikator debitur</t>
  </si>
  <si>
    <t>Sales</t>
  </si>
  <si>
    <t>CMR</t>
  </si>
  <si>
    <t>AFOAFO0039</t>
  </si>
  <si>
    <t>BNI Obranch</t>
  </si>
  <si>
    <t>Aplikasi Pemantauan O-Branch yang bertujuan untuk meningkatkan jangkauan serta akses layanan perbankan kepada masyarakat khususnya pada daerah blank spot atau aksesbilitas terbatas.</t>
  </si>
  <si>
    <t>Branch</t>
  </si>
  <si>
    <t>DNS</t>
  </si>
  <si>
    <t>ADV - Workflow &amp; Automation Fepartment</t>
  </si>
  <si>
    <t>AMOSAL0040</t>
  </si>
  <si>
    <t>BNI Poin Plus</t>
  </si>
  <si>
    <t>Aplikasi yang akan dipakai untuk program loyalti nasabah BNI berbasis teknologi.</t>
  </si>
  <si>
    <t>Customer</t>
  </si>
  <si>
    <t>RDL - Monitoring &amp; Notification Service</t>
  </si>
  <si>
    <t>AFONFO0041</t>
  </si>
  <si>
    <t>BNI Simponi</t>
  </si>
  <si>
    <t>Aplikasi Mobile &amp; Website yang merupakan layanan online DPLK kepada Nasabah (a.l inquiry saldo, monitoring klaim) dan Calon Nasabah (a.l pendaftaran, simulasi)</t>
  </si>
  <si>
    <t>Retail Customer</t>
  </si>
  <si>
    <t>PSF</t>
  </si>
  <si>
    <t>RDL - Retail Mobile App (Simponi Mobile) &amp; RDL - Internet Banking (Simponi Web)</t>
  </si>
  <si>
    <t>AMOOES0042</t>
  </si>
  <si>
    <t>Branch Navigation</t>
  </si>
  <si>
    <t>Tools monitoring kinerja dan aktivitas operasional cabang bagi pimpinan.</t>
  </si>
  <si>
    <t>AFONFO0044</t>
  </si>
  <si>
    <t>Card Derivative Management (CDMA)</t>
  </si>
  <si>
    <t>Merupakan aplikasi atau sistem berbasis web service dan mobile sebagai sarana bagi Cabang BNI, Mahasiswa, Universitas/Perguruan Tinggi maupun institusi lainnya dalam menyampaikan permohonan order kartu mahasiswa</t>
  </si>
  <si>
    <t>AMOLOM0046</t>
  </si>
  <si>
    <t>Credit Bureau Automation System (CBAS)</t>
  </si>
  <si>
    <t>RTC</t>
  </si>
  <si>
    <t>AMORAC0048</t>
  </si>
  <si>
    <t>CIMS - Compliance Information Management System</t>
  </si>
  <si>
    <t>Aplikasi Compliance Monitoring System yg terdiri dari : Gratifikasi Online, CIX, Sertifikasi PP, Review PP, Monitoring Denda, AML Report, Kajian PAB, Tindak Lanjut Peraturan</t>
  </si>
  <si>
    <t>AMOLOM0049</t>
  </si>
  <si>
    <t>Collateral Data Management System (CDMS)</t>
  </si>
  <si>
    <t>Portal informasi data jaminan yang ada di BNI, dengan field tambahan yang harus dilengkapi di masing-masing unit. Data jaminan diperoleh dari ICONS</t>
  </si>
  <si>
    <t>AMOLOM0051</t>
  </si>
  <si>
    <t>Common Collection (CWX)</t>
  </si>
  <si>
    <t>sistem collection yang terintegrasi untuk mendukung Business Process Common Collection Consumer &amp; Retail</t>
  </si>
  <si>
    <t>Collection</t>
  </si>
  <si>
    <t>RDL</t>
  </si>
  <si>
    <t>AMOOES0052</t>
  </si>
  <si>
    <t>Content Manager On Demand (CMOD)</t>
  </si>
  <si>
    <t>Report Database</t>
  </si>
  <si>
    <t>APS</t>
  </si>
  <si>
    <t>ADV</t>
  </si>
  <si>
    <t>AMOLOM0053</t>
  </si>
  <si>
    <t>Cora - Credit Origination and Risk Assesment</t>
  </si>
  <si>
    <t>Aplikasi yang digunakan untuk proses origination dan risk assessment kredit produktif.</t>
  </si>
  <si>
    <t>Loan</t>
  </si>
  <si>
    <t>RDL - Consumer Loan</t>
  </si>
  <si>
    <t>AMOOES0054</t>
  </si>
  <si>
    <t>Corporate Strategy Management Tools (CSMT)</t>
  </si>
  <si>
    <t>Aplikasi pelaporan dalam penyusunan strategi maupun monitoring dalam proses strategic planning.</t>
  </si>
  <si>
    <t>Corporate Strategy &amp; Performance</t>
  </si>
  <si>
    <t>CDV</t>
  </si>
  <si>
    <t>ADV - Performance Management System</t>
  </si>
  <si>
    <t>AFONFO0055</t>
  </si>
  <si>
    <t>Corporate Website</t>
  </si>
  <si>
    <r>
      <rPr>
        <u/>
        <sz val="11"/>
        <color rgb="FF1155CC"/>
        <rFont val="&quot;Aptos Narrow&quot;, sans-serif"/>
      </rPr>
      <t>www.bni.co.id</t>
    </r>
  </si>
  <si>
    <t>CSE</t>
  </si>
  <si>
    <t>AMOLOM0056</t>
  </si>
  <si>
    <t>Credit Card Management System (CCMS)</t>
  </si>
  <si>
    <t>Aplikasi CCMS adalah aplikasi surrounding Kartu Kredit untuk melakukan aktivitas screening secara otomatis, refund, merging, screening OFAC list, simple posting dan chasing debit.</t>
  </si>
  <si>
    <t>Card Management</t>
  </si>
  <si>
    <t>CRD</t>
  </si>
  <si>
    <t>AMOLOM0057</t>
  </si>
  <si>
    <t>Credit Card Origination System (CCOS)</t>
  </si>
  <si>
    <t>Loan Origination System</t>
  </si>
  <si>
    <t>AMORAC0058</t>
  </si>
  <si>
    <t>Dashboard Hukum (SIPP)</t>
  </si>
  <si>
    <t>Sistem informasi pencatatan pelaporan perkara divisi hukum</t>
  </si>
  <si>
    <t>Legal</t>
  </si>
  <si>
    <t>HUK</t>
  </si>
  <si>
    <t>ADV - Enterprise Content Management</t>
  </si>
  <si>
    <t>AMOOES0059</t>
  </si>
  <si>
    <t>Dashboard Monitoring Agen46</t>
  </si>
  <si>
    <t>Dashboard Keagenan merupakan aplikasi Dashboard Monitoring untuk memperoleh data update dari aplikasi Agen46 Mobile dan Keagenan. Aplikasi ini membantu user untuk monitoring data transaksi dari nasabah yang ada di wilayah ataupun cabang.</t>
  </si>
  <si>
    <t>AGN</t>
  </si>
  <si>
    <t>RDL - Agen46</t>
  </si>
  <si>
    <t>AMOLOM0060</t>
  </si>
  <si>
    <t>Dashboard OPK</t>
  </si>
  <si>
    <t>Otomasi sistem secara digital untuk monitoring dan pelaporan dalam pemantauan kegiatan operasional kredit seperti data fasilitas kredit , jaminan dan permasalahanpermasalahannya secara real time.</t>
  </si>
  <si>
    <t>AMOOES0061</t>
  </si>
  <si>
    <t>Dashboard SMS Banking</t>
  </si>
  <si>
    <t>Dashboard Reporting SMS Banking BNI adalah dashboard untuk menampilkan summary report dan monitoring log data transaksi SMS Banking.</t>
  </si>
  <si>
    <t>RDL - Mobile Banking</t>
  </si>
  <si>
    <t>AMOOES0063</t>
  </si>
  <si>
    <t>Development Tool Monitoring ATM berbasis Agent (Agent Base)</t>
  </si>
  <si>
    <t>Aplikasi untuk monitoring dan maintenance ATM berbasis Agent.</t>
  </si>
  <si>
    <t>ADV - Bank Devices System</t>
  </si>
  <si>
    <t>AFONFO0064</t>
  </si>
  <si>
    <t>DigiCS</t>
  </si>
  <si>
    <t>DigiCS merupakan aplikasi yang digunakan untuk melakukan beberapa kegiatan customer service secara digital (Self Service) yang diimplementasi di seluruh outlet BNI. Performa dan utilitas DigiCS (dhi BNI Sonic) dapat dimonitoring secara langsung menggunakan tools MoniManager, dimana tools tersebut sudah terkoneksi dengan sistem BNI Sonic secara terpusat.</t>
  </si>
  <si>
    <t>Device/Machine</t>
  </si>
  <si>
    <t>AFONFO0065</t>
  </si>
  <si>
    <t>Digi Griya</t>
  </si>
  <si>
    <t>Aplikasi berbasis web yang digunakan untuk listing properti dan manajemen penjualan digital KPR</t>
  </si>
  <si>
    <t>RDL - GovTech</t>
  </si>
  <si>
    <t>AMOOES0066</t>
  </si>
  <si>
    <t>DigiHC</t>
  </si>
  <si>
    <t>Aplikasi HR berbasis mobile</t>
  </si>
  <si>
    <t>Human Resource Management</t>
  </si>
  <si>
    <t>HCS</t>
  </si>
  <si>
    <t>AMOOES0067</t>
  </si>
  <si>
    <t>Digipayroll</t>
  </si>
  <si>
    <t>Aplikasi yang ditawarkan kepada insitusi/perusahaan yang sudah atau yang akan bekerjasama dengan BNI untuk menggunakan payroll BNI</t>
  </si>
  <si>
    <t>WDL - GovTech</t>
  </si>
  <si>
    <t>Aplikasi penunjang aktivitas Sales</t>
  </si>
  <si>
    <t>SLN</t>
  </si>
  <si>
    <t>AFONFO0069</t>
  </si>
  <si>
    <t>Digital Invoice</t>
  </si>
  <si>
    <t>Aplikasi untuk membuat tagihan (invoice) dengan menggunakan metode transfer VA (Virtual Account)</t>
  </si>
  <si>
    <t>RDL - Transaction &amp; Services</t>
  </si>
  <si>
    <t>AFONFO0070</t>
  </si>
  <si>
    <t>Digital Platform (Omni Channel)</t>
  </si>
  <si>
    <t>Penyediaan BNI Digital Platform mencakup besaran Core Services (peningkatan elastisitas performance dan kapabilitas), Omni Channels (integrated &amp; seamless experiences), dan Digital Core (pelengkap kapabilitas dan meningkatkan agility Core Banking).</t>
  </si>
  <si>
    <t>RDL - Internet Banking</t>
  </si>
  <si>
    <t>AMOLOM0071</t>
  </si>
  <si>
    <t>Direktori Debitur Ditolak (3D)</t>
  </si>
  <si>
    <t>Aplikasi untuk monitoring keputusan pengajuan permohonan kredit oleh debitur</t>
  </si>
  <si>
    <t>Credit Risk</t>
  </si>
  <si>
    <t>WDL - Relationship Management System</t>
  </si>
  <si>
    <t>AMODAP0072</t>
  </si>
  <si>
    <t>DNA</t>
  </si>
  <si>
    <t>Informasi profil dan transaksi nasabah perorangan (nama aplikasi sebelumnya: Exadia)</t>
  </si>
  <si>
    <t>Data Models Management</t>
  </si>
  <si>
    <t>ABOLIB0073</t>
  </si>
  <si>
    <t>DPLK Accrual</t>
  </si>
  <si>
    <t>BNI Simponi (Simpanan Pensiun Bank BNI) merupakan Layanan program pensiun yang diselenggarakan oleh Dana Pensiun Lembaga Keuangan PT. Bank Negara Indonesia (Persero) Tbk (DPLK BNI) sejak tahun 1994 berdasarkan Undang-Undang Nomor 11 Tahun 1992 tentang Dana Pensiun.</t>
  </si>
  <si>
    <t>Pension Management</t>
  </si>
  <si>
    <t>ABOLIB0074</t>
  </si>
  <si>
    <t>DPLK Smile</t>
  </si>
  <si>
    <t>Aplikasi dana pensiun lembaga keuangan</t>
  </si>
  <si>
    <t>AMOLOM0075</t>
  </si>
  <si>
    <t>DPMS - Digital Pipeline Management System</t>
  </si>
  <si>
    <t>Aplikasi berbasis web untuk pre-Screening Digital Segmen Menengah</t>
  </si>
  <si>
    <t>CMB1/CMB2</t>
  </si>
  <si>
    <t>ADV - Human Capital Management System</t>
  </si>
  <si>
    <t>AMORAC0076</t>
  </si>
  <si>
    <t>Early Warning System (EWS)</t>
  </si>
  <si>
    <t>Aplikasi Early Warning System</t>
  </si>
  <si>
    <t>ERM</t>
  </si>
  <si>
    <t>AMOOES0077</t>
  </si>
  <si>
    <t>e-Arsip</t>
  </si>
  <si>
    <t>BNIdirect Trade</t>
  </si>
  <si>
    <t>Aplikasi penerbitan, pengecekan, pelaporan garansi bank untuk nasabah. Terdiri dari Web (e-bank Guarantee) &amp; Mobile (Bank Guarantee Mobile Checking). Nama lain: GB Online</t>
  </si>
  <si>
    <t>WDL - Supply Chain Service</t>
  </si>
  <si>
    <t>AMOOES0079</t>
  </si>
  <si>
    <t>E-Cash Supply</t>
  </si>
  <si>
    <t>Aplikasi berbasis web untuk mengendalikan permintaan cash suplly ATM/CRM dan untuk menilai kinerja pengelola ATM dalam melakukan manajement pengelolaan Kas ATM</t>
  </si>
  <si>
    <t>ADV - Branch Channel System</t>
  </si>
  <si>
    <t>AMODAP0080</t>
  </si>
  <si>
    <t>ECM - Enterprise Content Management</t>
  </si>
  <si>
    <t>Aplikasi untuk mengakomodir pengelolaan konten-konten seperti konten pedoman perusahaan</t>
  </si>
  <si>
    <t>PGV</t>
  </si>
  <si>
    <t>AFONFO0081</t>
  </si>
  <si>
    <t>BNIdirect Receivable Solution</t>
  </si>
  <si>
    <t>Pengelolaan aktivitas penerimaan dana (collection)</t>
  </si>
  <si>
    <t>Channels</t>
  </si>
  <si>
    <t>Open Banking</t>
  </si>
  <si>
    <t>WDL - API Management</t>
  </si>
  <si>
    <t>AMOMWI0082</t>
  </si>
  <si>
    <t>EDC Android Middleware Platform</t>
  </si>
  <si>
    <t>EDC Middleware Platform dibutuhkan sebuah solusi untuk dapat melakukan custom secara internal Aplikasi Android, Backend Services dan integration Backe</t>
  </si>
  <si>
    <t>AFONFO0084</t>
  </si>
  <si>
    <t>E-Form DAO</t>
  </si>
  <si>
    <t>Nama lain dari E-Form DOA. Merupakan aplikasi berbasis web (termasuk microsite dari channel BNI dan non-BNI) untuk pembukaan rekening digital, taplus, taplus muda dan taplus bisnis menggunakan KYC Face Recognition</t>
  </si>
  <si>
    <t>AFONFO0085</t>
  </si>
  <si>
    <t>e-Form Kartu Kredit</t>
  </si>
  <si>
    <t>Aplikasi pengajuan pembukaan pinjaman kartu kredit</t>
  </si>
  <si>
    <t>AFONFO0086</t>
  </si>
  <si>
    <t>e-Form Payroll</t>
  </si>
  <si>
    <t>Pembukaan rekening digital menggunakan face regocnition sebelumnya telah diimplementasikan untuk pembukaan rekening tabungan perorangan (DOA), yaitu Taplus, Tabi dan Taplus Pra Kerja, sehingga diharapkan dapat diimplementasikan juga untuk pembukaan rekening nasabah payroll</t>
  </si>
  <si>
    <t>AFONFO0087</t>
  </si>
  <si>
    <t>E-Form Pinjaman</t>
  </si>
  <si>
    <t>Aplikasi berbasis web application untuk pembukaan rekening pinjaman</t>
  </si>
  <si>
    <t>AFONFO0088</t>
  </si>
  <si>
    <t>E-Form Prakerja</t>
  </si>
  <si>
    <t>Aplikasi untuk membuka rekening tabungan bagi Program Pra Kerja</t>
  </si>
  <si>
    <t>AFONFO0089</t>
  </si>
  <si>
    <t>Eform Simpanan KCLN</t>
  </si>
  <si>
    <t>Aplikasi pengajuan pembukaan rekening KCLN</t>
  </si>
  <si>
    <t>AMOOES0090</t>
  </si>
  <si>
    <t>Electronic Absensi (E-Absensi)</t>
  </si>
  <si>
    <t>Aplikasi pencatatan kehadiran</t>
  </si>
  <si>
    <t>RDL/WDL</t>
  </si>
  <si>
    <t>AMOOES0091</t>
  </si>
  <si>
    <t>ELMS - Enterprise Leads Management System</t>
  </si>
  <si>
    <t>ELMS diharapkan mampu mengakomodir proses pemenuhan data leads secara end to end bagi DMA dan berbagai Divisi yang menggunakannya.</t>
  </si>
  <si>
    <t>DMA</t>
  </si>
  <si>
    <t>AMOLOM0092</t>
  </si>
  <si>
    <t>eLo - Electronic Loan Origination Produktif</t>
  </si>
  <si>
    <t>Aplikasi berbasis web untuk Loan Origination untuk pemrosesan permohonan pinjaman produktif dibawah 3M (KUR, KUR TKI, KUR Tani, BWU dan BCM)</t>
  </si>
  <si>
    <t>AMOLOM0093</t>
  </si>
  <si>
    <t>eLog</t>
  </si>
  <si>
    <t>Aplikasi pengajuan klaim ke asuransi</t>
  </si>
  <si>
    <t>SBP</t>
  </si>
  <si>
    <t>WDL - Consumer Loan</t>
  </si>
  <si>
    <t>AMOLOM0094</t>
  </si>
  <si>
    <t>e-Lo Konsumtif - Electronic Loan Origination Konsumtif</t>
  </si>
  <si>
    <t>AMOLOM0095</t>
  </si>
  <si>
    <t>e-Lo Subsidi (BP Tapera)</t>
  </si>
  <si>
    <t>Aplikasi khusus untuk pemenuhan subsidi BP Tapera untuk e-Lo Konsumer</t>
  </si>
  <si>
    <t>RDL - Corporate Transaction &amp; Services</t>
  </si>
  <si>
    <t>AMOOES0096</t>
  </si>
  <si>
    <t>Engine Notif CC</t>
  </si>
  <si>
    <t>Notifikasi pelanggan atas penggunakan Kartu Kredit</t>
  </si>
  <si>
    <t>Service</t>
  </si>
  <si>
    <t>AMOCSR0097</t>
  </si>
  <si>
    <t>Enterprise Rekon</t>
  </si>
  <si>
    <t>Citynet/Rec7. Rekonsiliasi DPT (Dana Pos Terbuka), bill payment, transfer antar bank</t>
  </si>
  <si>
    <t>ADV - Reconciliation System</t>
  </si>
  <si>
    <t>AMOOES0098</t>
  </si>
  <si>
    <t>E-Office</t>
  </si>
  <si>
    <t>Aplikasi administrasi persuratan</t>
  </si>
  <si>
    <t>STA</t>
  </si>
  <si>
    <t>AMOSAL0099</t>
  </si>
  <si>
    <t>e-PAK Lintas Musim (BNI Move Agri)</t>
  </si>
  <si>
    <t>Aplikasi perangkat analisa kredit yang dipergunakan untuk mengakomodir beberapa kali musim tanam musiman secara sekaligus dalam 1 (satu) perangkat.</t>
  </si>
  <si>
    <t>AMOOES0100</t>
  </si>
  <si>
    <t>ePolicy</t>
  </si>
  <si>
    <t>Aplikasi EPOLICY yang dipergunakan oleh user di unit penyalur KUR untuk menginput data pengajuan asuransi kerugian secara online kepada pihak asuradur Tripakarta</t>
  </si>
  <si>
    <t>AFONFO0102</t>
  </si>
  <si>
    <t>E-Procurement</t>
  </si>
  <si>
    <t>Aplikasi untuk proses pengadaan/procurement</t>
  </si>
  <si>
    <t>Procurement</t>
  </si>
  <si>
    <t>ADV - Regulatory Compliance</t>
  </si>
  <si>
    <t>ABOLIB0103</t>
  </si>
  <si>
    <t>e-Purse</t>
  </si>
  <si>
    <t>Mengelola pembayaran dengan menggunakan Kartu Uang Elektronik</t>
  </si>
  <si>
    <t>ADV - Prepaid Card System</t>
  </si>
  <si>
    <t>AMOOES0104</t>
  </si>
  <si>
    <t>e-Purse Portal</t>
  </si>
  <si>
    <t>Aplikasi E-Purse Portal merupakan aplikasi non transaksional (dengan cakupan di dalam internal Divisi/Satuan/Unit) perbankan BNI</t>
  </si>
  <si>
    <t>AMOOES0105</t>
  </si>
  <si>
    <t>Ereimbursement</t>
  </si>
  <si>
    <t>Sistem Reimburse Atensi Divisi Manajemen Wealth</t>
  </si>
  <si>
    <t>AMOOES0106</t>
  </si>
  <si>
    <t>Estatement</t>
  </si>
  <si>
    <t>Pengembangan Portal dan Dashboard New E-statement</t>
  </si>
  <si>
    <t>Statement</t>
  </si>
  <si>
    <t>AMOOES0108</t>
  </si>
  <si>
    <t>Execution Management BNI (4DX)</t>
  </si>
  <si>
    <t>Execution Management BNI merupakan suatu proses untuk membantu organisasi dalam mengelola perencanaan, pemantauan dan evaluasi proses strategi-strategi yang digunakan untuk melakukan eksekusi suatu pekerjaan dengan menggunakan metode 4DX.</t>
  </si>
  <si>
    <t>AMOOES0109</t>
  </si>
  <si>
    <t>Finance One (F1)</t>
  </si>
  <si>
    <t>Aplikasi Reporting General Ledger</t>
  </si>
  <si>
    <t>ACC</t>
  </si>
  <si>
    <t>AMOOES0110</t>
  </si>
  <si>
    <t>Fraud Detection System</t>
  </si>
  <si>
    <t>Aplikasi untuk mencegah terjadinya Fraud di BNI</t>
  </si>
  <si>
    <t>Fraud Management</t>
  </si>
  <si>
    <t>AFR</t>
  </si>
  <si>
    <t>AFONFO0113</t>
  </si>
  <si>
    <t>G20</t>
  </si>
  <si>
    <t>Aplikasi untuk kegiatan penunjang event G20 terkait pembayaran dan pemesanan</t>
  </si>
  <si>
    <t>AMOOES0124</t>
  </si>
  <si>
    <t>Go Trade HO</t>
  </si>
  <si>
    <t>Aplikasi document management trade</t>
  </si>
  <si>
    <t>Trade Finance</t>
  </si>
  <si>
    <t>INT</t>
  </si>
  <si>
    <t>AMODAP0129</t>
  </si>
  <si>
    <t>GoVar (HKG)</t>
  </si>
  <si>
    <t>Aplikasi VAR KCLN</t>
  </si>
  <si>
    <t>Market Risk</t>
  </si>
  <si>
    <t>ADV - KCLN Services</t>
  </si>
  <si>
    <t>AMODAP0130</t>
  </si>
  <si>
    <t>GoVAR (SNG)</t>
  </si>
  <si>
    <t>Aplikasi yang dipergunakan dalam pengukuran risiko pasar.</t>
  </si>
  <si>
    <t>ABOTRX0132</t>
  </si>
  <si>
    <t>GoWealth</t>
  </si>
  <si>
    <t>Wealth Management</t>
  </si>
  <si>
    <t>Investment &amp; Wealth Management</t>
  </si>
  <si>
    <t>ADV - Wealth Management System</t>
  </si>
  <si>
    <t>AMOOES0133</t>
  </si>
  <si>
    <t>Human Capital Management System (HCMS)</t>
  </si>
  <si>
    <t>Administrasi data personel pegawai BNI, sistem penggajian, e-learning</t>
  </si>
  <si>
    <t>iBank Remitt</t>
  </si>
  <si>
    <t>Front end transaksi remitt agent</t>
  </si>
  <si>
    <t>3rd Party</t>
  </si>
  <si>
    <t>AMOOES0136</t>
  </si>
  <si>
    <t>iConverter</t>
  </si>
  <si>
    <t>Aplikasi untuk mapping data report Cardlink BND370 ke server landing untuk proses pembukuan</t>
  </si>
  <si>
    <t>CPM</t>
  </si>
  <si>
    <t>AMORAC0137</t>
  </si>
  <si>
    <t>IFRS9 (PSAK71)</t>
  </si>
  <si>
    <t>Aplikasi laporan keuangan</t>
  </si>
  <si>
    <t>AMOOES0138</t>
  </si>
  <si>
    <t>IGMS (CRM-TRS)</t>
  </si>
  <si>
    <t>Aplikasi yang membantu tenaga pemasar dalam melakukan strategi pemasaran kepada customer.</t>
  </si>
  <si>
    <t>AMOOES0139</t>
  </si>
  <si>
    <t>Informasi Aset Tanah dan Bangunan</t>
  </si>
  <si>
    <t>Aplikasi berbasis website dan mobile yang dikembangkan untuk mempermudah tugas dari Divisi PFA untuk melakukan proses update (pengkinian data) maupun proses information retrieval (penelusuran informasi) terhadap aset yang ada.</t>
  </si>
  <si>
    <t>AMOOES0146</t>
  </si>
  <si>
    <t>Integrated Biometric System</t>
  </si>
  <si>
    <t>Aplikasi yang terhubung dengan E-KTP Reader untuk proses verifikasi biometric (fingerprint) kepada nasabah maupun calon nasabah untuk keperluan transaksi</t>
  </si>
  <si>
    <t>ADV - Bank Channel System</t>
  </si>
  <si>
    <t>AMOLOM0147</t>
  </si>
  <si>
    <t>Integrated Decision Automated System (IDEAS)</t>
  </si>
  <si>
    <t>Aplikasi Integrated Decision Automated System (IDEAS) aplikasi pengolahan credit scorecard model maupun pengaturan kebijakan dan strategis bisnis lainnya dalam segmen konsumer dan ritel.</t>
  </si>
  <si>
    <t>RDL - Retail Scoring Application</t>
  </si>
  <si>
    <t>AMOOES0148</t>
  </si>
  <si>
    <t>Integrated Human Capital System (IHCS)</t>
  </si>
  <si>
    <t>HR System (berisi 60 modul komprehensif terintegrasi)</t>
  </si>
  <si>
    <t>AFONFO0149</t>
  </si>
  <si>
    <t>Internet Banking</t>
  </si>
  <si>
    <t>Aplikasi Internet Banking</t>
  </si>
  <si>
    <t>AMOOES0151</t>
  </si>
  <si>
    <t>IT Framework</t>
  </si>
  <si>
    <t>Aplikasi Dokumentasi prosedur di BNI</t>
  </si>
  <si>
    <t>AMOLOM0155</t>
  </si>
  <si>
    <t>KLIP</t>
  </si>
  <si>
    <t>Suatu sistem/platform yang dapat mengakomodir segala kebutuhan terkait dengan perusahaan penjaminan (asuradur) untuk kredit produktif</t>
  </si>
  <si>
    <t>SBP, COP</t>
  </si>
  <si>
    <t>AMOOES0158</t>
  </si>
  <si>
    <t>KTP Reader</t>
  </si>
  <si>
    <t>e-KTP &amp; Biometric Reader Transaksi</t>
  </si>
  <si>
    <t>AMOOES0159</t>
  </si>
  <si>
    <t>KYC Custodian</t>
  </si>
  <si>
    <t>Aplikasi monitoring secara real-time nasabah custody</t>
  </si>
  <si>
    <t>AMORAC0160</t>
  </si>
  <si>
    <t>Lalu Lintas Devisa (LLD)</t>
  </si>
  <si>
    <t>Lalu lintas devisa</t>
  </si>
  <si>
    <t>AFONFO0161</t>
  </si>
  <si>
    <t>Lelang Agunan</t>
  </si>
  <si>
    <t>Aplikasi jaminan yang dikembangkan berbasis mobile apps dan website (integrasi mobile dan website). Migrasi dari DigiCatalog.</t>
  </si>
  <si>
    <t>CRR</t>
  </si>
  <si>
    <t>AMOOES0162</t>
  </si>
  <si>
    <t>Lets Go Travel</t>
  </si>
  <si>
    <t>BNI Lets Go Travel</t>
  </si>
  <si>
    <t>AMOOES0163</t>
  </si>
  <si>
    <t>Media Komunikasi RCO</t>
  </si>
  <si>
    <t>Aplikasi untuk menunjang tugas dan fungsi dari RCO dalam melakukan analisa transaksi mencurigakan berdasarkan alert yang dihasilkan oleh system EFM secara paperless dengan menggunakan aplikasi workflow.</t>
  </si>
  <si>
    <t>AMOOES0164</t>
  </si>
  <si>
    <t>Merchant Automation Screening OFAC</t>
  </si>
  <si>
    <t>Pembiayaan untuk debitur yang bekerjasama dengan American Express mensyaratkan screening calon debitur apakah termasuk dalam daftar hitam OFAC</t>
  </si>
  <si>
    <t>AMOOES0166</t>
  </si>
  <si>
    <t>MIS Portal: EIS, PMS, CRM, SRP, BAR (SAR), KIS, BBonline</t>
  </si>
  <si>
    <t>Portal untuk reporting</t>
  </si>
  <si>
    <t>AFOAFO0168</t>
  </si>
  <si>
    <t>Mobile Collection</t>
  </si>
  <si>
    <t>Merupakan aplikasi untuk monitoring dan reporting aktivitas penagihan yang dilakukan oleh Field Collector.</t>
  </si>
  <si>
    <t>AFONFO0169</t>
  </si>
  <si>
    <t>Mobile Remittance Tokyo (Digiremit)</t>
  </si>
  <si>
    <t>Aplikasi berbasis mobile yang memungkinkan nasabah KCLN Tokyo melakukan Remittance melalui smartphone, tablet, dan PC.</t>
  </si>
  <si>
    <t>Remittance</t>
  </si>
  <si>
    <t>AMOOES0170</t>
  </si>
  <si>
    <t>Monitoring Portal</t>
  </si>
  <si>
    <t>Aplikasi monitoring portal untuk pihak ketiga KSEI, TASPEN, ASABRI, SPAN</t>
  </si>
  <si>
    <t>AMOOES0171</t>
  </si>
  <si>
    <t>MTelePlus</t>
  </si>
  <si>
    <t>SMS Kartu Kredit</t>
  </si>
  <si>
    <t>AMOOES0172</t>
  </si>
  <si>
    <t>Mudik Bareng BNI</t>
  </si>
  <si>
    <t>Pengembangan Aplikasi Pendaftaran Seluruh Peserta Mudik Bareng BNI</t>
  </si>
  <si>
    <t>MyCard</t>
  </si>
  <si>
    <t>Aplikasi yang memungkinkan pemegang kartu kredit BNI mengetahui informasi mengenai Kartu Kredit BNI miliknya</t>
  </si>
  <si>
    <t>New BAMS &amp; CPR</t>
  </si>
  <si>
    <t>Aplikasi untuk proses pemantauan debitur / monitoring kredit. Modul terdiri dari : Portal New BAMS, CPR, FRP, TAP, RPM, PSB Online</t>
  </si>
  <si>
    <t>BNIdirect</t>
  </si>
  <si>
    <t>Aplikasi yang dapat menjembatani antara nasabah dan BNI yang terintegrasi secara end to end mulai dari informasi, transaksional dan layanan pasca penjualan yang dapat diakses secara online melalui satu aplikasi yang hanya membutuhkan sekali proses input data credential (single identity)</t>
  </si>
  <si>
    <t>WDL - Corporate Transaction &amp; Services</t>
  </si>
  <si>
    <t>AMORAC0178</t>
  </si>
  <si>
    <t>New Giro Wajib Minimum (GWM)</t>
  </si>
  <si>
    <t>Aplikasi untuk kebutuhan mitigasi risiko terkait likuiditas bank dan pemenuhan GWM setiap bank, menggantikan yg ada</t>
  </si>
  <si>
    <t>Assets &amp; Liabilities Management</t>
  </si>
  <si>
    <t>AMOLOM0179</t>
  </si>
  <si>
    <t>New Paperless dan Billing Tools &amp; eBilling berbasis Web (ECMS)</t>
  </si>
  <si>
    <t>ECMS adalah aplikasi surrounding system berbasis web untuk mendukung pengelolaan end-to-end transaksi kartu kredit yang efektif dan efisien serta terintegrasi dengan core system maupun surrounding system lainnya yang ada di bisnis kartu kredit BNI untuk meningkatkan layanan kepada pemegang kartu kredit.</t>
  </si>
  <si>
    <t>CX Comm</t>
  </si>
  <si>
    <t>Pengembangan Online Request Management (ORM) guna pencatatan dan eskalasi request / complain dari Nasabah</t>
  </si>
  <si>
    <t>AFOAFO0181</t>
  </si>
  <si>
    <t>Opening Account Alert System (OASE)</t>
  </si>
  <si>
    <t>Aplikasi otomasi pembukaan rek Giro, Taplus Bisnis Non Perorangan, Perubahan KCT</t>
  </si>
  <si>
    <t>WDL - BNI Direct Domestic</t>
  </si>
  <si>
    <t>AMORAC0182</t>
  </si>
  <si>
    <t>Operational Risk Management System (ORMS) &amp; Business Continuity Management (BCM)</t>
  </si>
  <si>
    <t>New Periskop. Aplikasi berbasis web untuk melakukan penerapan Operational Risk Management (ORM) serta Business Continuity Management (BCM).</t>
  </si>
  <si>
    <t>ADV - IT Regulatory Compliance System Team</t>
  </si>
  <si>
    <t>AMODAP0183</t>
  </si>
  <si>
    <t>Operation Data Store (ODS) - Operational Data Warehouse (ODW)</t>
  </si>
  <si>
    <t>Service operational data store dan operational data mart menyediakan data realtime atau mendekati realtime</t>
  </si>
  <si>
    <t>ADV - Data Integration &amp; Warehouse Departement</t>
  </si>
  <si>
    <t>AMOOES0184</t>
  </si>
  <si>
    <t>Otomasi Data Repository Stress Test</t>
  </si>
  <si>
    <t>Otomasi Data Repository Stress Test merupakan aplikasi yang digunakan Divisi ERM untuk otomasi pembuatan database stress test dalam bentuk data repository</t>
  </si>
  <si>
    <t>AMOOES0185</t>
  </si>
  <si>
    <t>Otomasi Kewenangan Aplikasi BNI (OKAB)</t>
  </si>
  <si>
    <t>Otomasi Pengelolaan Tabel Kewenangan Akses Aplikasi</t>
  </si>
  <si>
    <t>CISO</t>
  </si>
  <si>
    <t>AMOOES0188</t>
  </si>
  <si>
    <t>PIN Mailerless</t>
  </si>
  <si>
    <t>Pemberian PIN tanpa melalui surat</t>
  </si>
  <si>
    <t>AMOOES0189</t>
  </si>
  <si>
    <t>PKU Fits (Perjalanan Dinas - Travel Card, Persekot, CBO)</t>
  </si>
  <si>
    <t>Aplikasi pengajuan perjalanan dinas</t>
  </si>
  <si>
    <t>AMOOES0190</t>
  </si>
  <si>
    <t>Plafond GB (NCL)</t>
  </si>
  <si>
    <t>Aplikasi manajemen &amp; pemantauan plafon garansi bank nasabah</t>
  </si>
  <si>
    <t>AMOOES0191</t>
  </si>
  <si>
    <t>PMO Tools DMA</t>
  </si>
  <si>
    <t>Tools Management Project Divisi DMA</t>
  </si>
  <si>
    <t>AFONFO0192</t>
  </si>
  <si>
    <t>Portal BNI Xpora</t>
  </si>
  <si>
    <t>Portal melayani kebutuhan pengembangan UMKM dan Diaspora berorientasi ekspor</t>
  </si>
  <si>
    <t>RPB</t>
  </si>
  <si>
    <t>WDL - XPORA</t>
  </si>
  <si>
    <t>AMOOES0193</t>
  </si>
  <si>
    <t>Portal Combine Statement</t>
  </si>
  <si>
    <t>sistem aplikasi yang dapat melakukan otomasi pengiriman combined statement via email dan/atau dapat diakses melalui BNI Mbank dan BNI Ibank</t>
  </si>
  <si>
    <t>AMOOES0194</t>
  </si>
  <si>
    <t>Portal Dashboard PPA</t>
  </si>
  <si>
    <t>Sistem/Dashboard yang dapat menampung dan menyajikan data/informasi finansial maupun non finansial dari Perusahaan Anak.</t>
  </si>
  <si>
    <t>SMA</t>
  </si>
  <si>
    <t>AMOOES0195</t>
  </si>
  <si>
    <t>Portal Digital Operation</t>
  </si>
  <si>
    <t>Aplikasi berbasis web untuk workflow &amp; monitoring atas aktivitas digital operation</t>
  </si>
  <si>
    <t>AFONFO0197</t>
  </si>
  <si>
    <t>Portal Tabungan</t>
  </si>
  <si>
    <t>Aplikasi Portal Tabungan merupakan portal management informasi untuk produk Tabungan.</t>
  </si>
  <si>
    <t>RDL - IT Branch Channel System</t>
  </si>
  <si>
    <t>AMOOES0199</t>
  </si>
  <si>
    <t>Predictive Dialer System (PDS)</t>
  </si>
  <si>
    <t>Sistem untuk mengatur dan mengoptimalkan kebutuhan outbond calls secara otomatis</t>
  </si>
  <si>
    <t>AMORAC0200</t>
  </si>
  <si>
    <t>PSAK73</t>
  </si>
  <si>
    <t>Aplikasi berbasis web untuk memastikan perhitungan dan pembukuan atas otomasi “Aset Hak Guna” dan “Liabilitas Sewa” telah tepat dan sesuai dengan standar PSAK 73</t>
  </si>
  <si>
    <t>A0201</t>
  </si>
  <si>
    <t>RaiseCall</t>
  </si>
  <si>
    <t>Aplikasi CRM BNI Contact Center untuk pencatatan semua request dan complain nasabah melalui telepon, email, dan tax serta tools untuk inquiry data customer baik perbankan maupun kartu kredit.</t>
  </si>
  <si>
    <t>AMODAP0202</t>
  </si>
  <si>
    <t>Repository Exadata</t>
  </si>
  <si>
    <t>Repository Exadata merupakan penyimpanan data core dan transaksi untuk pengolahan report regulatory, management dan BAU</t>
  </si>
  <si>
    <t>AMOOES0203</t>
  </si>
  <si>
    <t>Rumah Jabatan</t>
  </si>
  <si>
    <t>Aplikasi berbasis web application untuk memudahkan Divisi PFA dalam hal monitoring dan penanganan pengajuan rumah jabatan pegawai BNI</t>
  </si>
  <si>
    <t>ADV - Low Code</t>
  </si>
  <si>
    <t>AMORAC0204</t>
  </si>
  <si>
    <t>Sanction Filter</t>
  </si>
  <si>
    <t>Aplikasi berbasis web application untuk mendeteksi AML (Anti Money Laundery) secara real time untuk transaksi yang mencurigakan</t>
  </si>
  <si>
    <t>ADV - Integration Payment Department</t>
  </si>
  <si>
    <t>AMOCSR0206</t>
  </si>
  <si>
    <t>Sentra Kas ATM (SKA)</t>
  </si>
  <si>
    <t>Sentra Kas ATM Monitoring dan Settlement</t>
  </si>
  <si>
    <t>AMOMWI0209</t>
  </si>
  <si>
    <t>Sharing Biller</t>
  </si>
  <si>
    <t>Untuk meningkatkan Fee Based Income (FBI), API Management dikembangkan dengan model bisnis aggregator dengan penambahan kapabilitas Web Portal.</t>
  </si>
  <si>
    <t>WPP/WDC, RDP/RDC</t>
  </si>
  <si>
    <t>AFOAFO0210</t>
  </si>
  <si>
    <t>SiManis - Otomasi Anggaran Investasi</t>
  </si>
  <si>
    <t>Aplikasi berbasis web untuk mengajukan usulan alokasi anggaran</t>
  </si>
  <si>
    <t>AMOLOM0211</t>
  </si>
  <si>
    <t>Single Integrated Monitoring System (SIMON)</t>
  </si>
  <si>
    <t>Single Integrated Monitoring System (SIMON) adalah aplikasi berbasis web, yang digunakan untuk memproses data-data kuantitatif (input data dari DMA, ERM dan CMR), upload file prediction sheet oleh tim member SIMON dan input kualitatif oleh SRM dan RM menjadi report/hasil kuantitatif yang bersifat analytic dengan tujuan membantu proses pengambilan keputusan.</t>
  </si>
  <si>
    <t>AMOOES0212</t>
  </si>
  <si>
    <t>Aplikasi monitoring saldo kas yang terintegrasi dan dapat diakses oleh seluruh Kantor Cabang, Kantor Cabang Pembantu, Kantor Wilayah, dan Kantor Pusat.</t>
  </si>
  <si>
    <t>AMORAC0213</t>
  </si>
  <si>
    <t>SISMONTAVAR BI-Aplikasi Pooling Data</t>
  </si>
  <si>
    <t>(Sistem Monitoring Transaksi Valuta Asing terhadap Rupiah) adalah sistem pemantauan transaksi valuta asing terhadap rupiah secara langsung dan seketika (real-time) milik Bank Indonesia yang diintegrasikan dengan sistem transaksi valas BNI melalui Aplikasi Interface Data SISMONTAVAR Nasabah</t>
  </si>
  <si>
    <t>AMOLOM0214</t>
  </si>
  <si>
    <t>Sistem Alat Bantu Analisa Kredit (SABAK)</t>
  </si>
  <si>
    <t>Sistem alat bantu dalam proses analisa kredit dengan fitur otomasi cashflow projection, risk rating template dan portfolio strategist</t>
  </si>
  <si>
    <t>WDL - Loan Management System</t>
  </si>
  <si>
    <t>AMOOES0215</t>
  </si>
  <si>
    <t>Sistem Bridging LIBOR Discontinuity</t>
  </si>
  <si>
    <t>Sistem kalkulasi dan valuasi suku bunga acuan menggunakan Risk-Free Rates (RFR) sebagai pengganti LIBOR</t>
  </si>
  <si>
    <t>Treasury</t>
  </si>
  <si>
    <t>AMOOES0216</t>
  </si>
  <si>
    <t>Sistem Otomasi Proyeksi Cashflow (BNI OPTIC)</t>
  </si>
  <si>
    <t>Cashflow monitoring</t>
  </si>
  <si>
    <t>WDL - Branch Channel</t>
  </si>
  <si>
    <t>AMOLOM0218</t>
  </si>
  <si>
    <t>Sistem Rehabilitasi DHN (SLOPOS)</t>
  </si>
  <si>
    <t>Aplikasi yang bertujuan untuk mengajukan dan memantau secara online setiap tahapan proses pembatalan tolakan cek/BG atau proses rehabilitasi nasabah DHN</t>
  </si>
  <si>
    <t>AMOLOM0220</t>
  </si>
  <si>
    <t>Smart CA</t>
  </si>
  <si>
    <t>Aplikasi web base untuk mengakomodir proses pengajuan aplikasi kredit</t>
  </si>
  <si>
    <t>WDL - Retail Productive Loan</t>
  </si>
  <si>
    <t>AMOLOM0221</t>
  </si>
  <si>
    <t>Smartdigi</t>
  </si>
  <si>
    <t>Merupakan engine yang memiliki dua fungsi besaran yaitu mendeteksi fraud sebagaimana fungsi dari aplikasi sebelumnya (Aplikasi CLPS) dan untuk melakukan verifikasi data nasabah/calon nasabah dari sumber data internal maupun eksternal secara terintegrasi.</t>
  </si>
  <si>
    <t>AFOAFO0222</t>
  </si>
  <si>
    <t>Smart Digital System (SDS)</t>
  </si>
  <si>
    <t>SDS for Customer Service - Customer Feedback sebagai pengembangan pada aplikasi Sales Kit Online</t>
  </si>
  <si>
    <t>SQU</t>
  </si>
  <si>
    <t>AFONFO0223</t>
  </si>
  <si>
    <t>BNIdirect FX</t>
  </si>
  <si>
    <t>Aplikasi untuk melakukan transaksi foreign exchange</t>
  </si>
  <si>
    <t>AFONFO0225</t>
  </si>
  <si>
    <t>Smart Remitance</t>
  </si>
  <si>
    <t>Front End aplikasi remittance di koresponden</t>
  </si>
  <si>
    <t>AFONFO0226</t>
  </si>
  <si>
    <t>Smart Remitance (SNG)</t>
  </si>
  <si>
    <t>Front end aplikasi remittance di KCLN Singapura</t>
  </si>
  <si>
    <t>AMOOES0228</t>
  </si>
  <si>
    <t>SMPM - Sistem Monitoring Pemeliharaan Merchant</t>
  </si>
  <si>
    <t>Aplikasi pemantauan operasional Merchant dari pemasangan sampai pemeliharaan EDC agar dapat dikelola secara akurat, dan SLA yang dijalankan.</t>
  </si>
  <si>
    <t>Merchant</t>
  </si>
  <si>
    <t>ADV - Merchant System</t>
  </si>
  <si>
    <t>SMS Banking</t>
  </si>
  <si>
    <t>Aplikasi SMS Banking</t>
  </si>
  <si>
    <t>AMOMWI0230</t>
  </si>
  <si>
    <t>sms token gateway</t>
  </si>
  <si>
    <t>One Time Password (OTP) yang akan dikirim oleh Bank melalui SMS ke nomor telepon selular sebagai multifactor authentication</t>
  </si>
  <si>
    <t>AFONFO0231</t>
  </si>
  <si>
    <t>Snap Direct Debit</t>
  </si>
  <si>
    <t>Aplikasi direct debit yang sudah disesuaikan oleh regulasi BI tentang publik API</t>
  </si>
  <si>
    <t>AMOLOM0235</t>
  </si>
  <si>
    <t>Sportif</t>
  </si>
  <si>
    <t>Aplikasi berbasis web digunakan untuk memberikan keputusan/persetujuan spesial rate produk kredit produktif yang diakses oleh Cabang/Wilayah dan Divisi</t>
  </si>
  <si>
    <t>AFONFO0243</t>
  </si>
  <si>
    <t>Tapcash Go</t>
  </si>
  <si>
    <t>Aplikasi pengguna Tapcash untuk inquiry, update, dan panduan top up balance</t>
  </si>
  <si>
    <t>AFOAFO0244</t>
  </si>
  <si>
    <t>Teras Custody</t>
  </si>
  <si>
    <t>Aplikasi berbasis web untuk mengendalikan permintaan cash supply ATM/CRM dan untuk menilai kinerja pengelola ATM dalam melakukan manajement pengelolaan Kas ATM</t>
  </si>
  <si>
    <t>AMOOES0246</t>
  </si>
  <si>
    <t>Token Velis (SDK based)</t>
  </si>
  <si>
    <t>Sistem kemanan tambahan untuk melindungi akun dan transaksi dengan mengirimkan token autentikasi di beberapa aplikasi</t>
  </si>
  <si>
    <t>AFOAFO0250</t>
  </si>
  <si>
    <t>Virtual Assistant</t>
  </si>
  <si>
    <t>BNI Call help center, sebelumnya Cinta (Chatbot)</t>
  </si>
  <si>
    <t>AMOOES0251</t>
  </si>
  <si>
    <t>Virtual EDC - Electronic Recurring Payment System (ERPS)</t>
  </si>
  <si>
    <t>Transaction System</t>
  </si>
  <si>
    <t>AFOAFO0252</t>
  </si>
  <si>
    <t>Walk In Customer (WIC)</t>
  </si>
  <si>
    <t>Aplikasi pencatatan nasabah WIC (setiap kali nasabah WIC bertransaksi icons akan mengirimkan data realtime ke WIC)</t>
  </si>
  <si>
    <t>AMORAC0253</t>
  </si>
  <si>
    <t>WBS - Whistle Blowing System</t>
  </si>
  <si>
    <t>Aplikasi pengaduan WBS Tindak Pidana Korupsi (TPK) yang terhubung dengan API Aroma KPK</t>
  </si>
  <si>
    <t>AFONFO0254</t>
  </si>
  <si>
    <t>yap!</t>
  </si>
  <si>
    <t>Channel transaksi berbasis push payment dengan source of fund kartu debit, kartu kredit, dan uang elektronik</t>
  </si>
  <si>
    <t>DMS - Document Management System</t>
  </si>
  <si>
    <t>Aplikasi DMS (Document Management System) merupakan aplikasi yang digunakan untuk menyimpan dokumen secara digital dan sebagai pencatatan peminjaman dokumen file asli dan file kerja seperti surat, memo, dll yang nantinya dipinjam oleh pihak internal maupun eksternal BNI</t>
  </si>
  <si>
    <t>AMOOES0256</t>
  </si>
  <si>
    <t>Portal E-Meterai</t>
  </si>
  <si>
    <t>Portal E-Meterai merupakan aplikasi untuk memproses pembubuhan Meterai Elektronik pada dokumen elektronik dhi. Invoice</t>
  </si>
  <si>
    <t>WDL - IT Low Code</t>
  </si>
  <si>
    <t>Aplikasi RM Tool merupakan aplikasi berbasis web yang diakses melalui jalur internet oleh User BNI dhi. RM/SRM dan Management user bisnis</t>
  </si>
  <si>
    <t>COB3</t>
  </si>
  <si>
    <t>AMOTRX0266</t>
  </si>
  <si>
    <t>iWealth (SNG)</t>
  </si>
  <si>
    <t>Aplikasi pengelolaan transaksi produk investasi bagi Nasabah Individu maupun Institusi dan memberikan laporan utk Nasabah (laporan konsolidasi) untuk KLN Singapore</t>
  </si>
  <si>
    <t>AMOLOM0272</t>
  </si>
  <si>
    <t>PACE 2.0</t>
  </si>
  <si>
    <t>Aplikasi yang digunakan untuk membaca dan menganalisa Bank Statement</t>
  </si>
  <si>
    <t>AMOLOM0274</t>
  </si>
  <si>
    <t>Central Limit System (CLS)</t>
  </si>
  <si>
    <t>Centralized limit</t>
  </si>
  <si>
    <t>LMS Wholesale</t>
  </si>
  <si>
    <t>Loan Management System segment Wholesale</t>
  </si>
  <si>
    <t>AFOAFO281</t>
  </si>
  <si>
    <t>SVS Online (KCT Application)</t>
  </si>
  <si>
    <t>Aplikasi untuk melihat Kartu Contoh Tandatangan (KCT) secara online</t>
  </si>
  <si>
    <t>AMOSAL0287</t>
  </si>
  <si>
    <t>Telesales</t>
  </si>
  <si>
    <t>Telesales merupakan aplikasi yang digunakan untuk melakukan akuisisi kartu kredit melalui media telepon kepada calon nasabah/nasabah BNI</t>
  </si>
  <si>
    <t>AMOTRX0290</t>
  </si>
  <si>
    <t>Aplikasi TWPAD</t>
  </si>
  <si>
    <t>Aplikasi bridging dengan sistem TWPAD TNI Angkatan Darat</t>
  </si>
  <si>
    <t>INS</t>
  </si>
  <si>
    <t>AMOOES0291</t>
  </si>
  <si>
    <t>Dashboard TAT</t>
  </si>
  <si>
    <t>Aplikasi monitoring untuk Turn Arround Time &amp; Kontrol Monitoring</t>
  </si>
  <si>
    <t>ORM</t>
  </si>
  <si>
    <t>ABOAST0292</t>
  </si>
  <si>
    <t>Joint Finance System</t>
  </si>
  <si>
    <t>Joint Finance System merupakan aplikasi kerjasama BNI dengan BNI Multifinance pada pembiayaan konsumer dengan menggunakan skema joint financing</t>
  </si>
  <si>
    <t>Joint Financing</t>
  </si>
  <si>
    <t>AMOOES0293</t>
  </si>
  <si>
    <t>VAR (TKY)</t>
  </si>
  <si>
    <t>Aplikasi VAR KCLN Tokyo</t>
  </si>
  <si>
    <t>AMODAP0296</t>
  </si>
  <si>
    <t>GoVar (LDN)</t>
  </si>
  <si>
    <t>Aplikasi VAR KCLN London</t>
  </si>
  <si>
    <t>AMODAP0297</t>
  </si>
  <si>
    <t>VAR (NYK)</t>
  </si>
  <si>
    <t>Aplikasi VAR KCLN New York</t>
  </si>
  <si>
    <t>AMODAP0298</t>
  </si>
  <si>
    <t>VAR (SEO)</t>
  </si>
  <si>
    <t>Aplikasi VAR KCLN Seoul</t>
  </si>
  <si>
    <t>Aplikasi untuk mengelola file transfer (Axway ST- Secure Transport) dan file transform (Axway Integrator)</t>
  </si>
  <si>
    <t>Integration</t>
  </si>
  <si>
    <t>File Transmission System</t>
  </si>
  <si>
    <t>AFONFO0303</t>
  </si>
  <si>
    <t>e-Form Simpanan DN</t>
  </si>
  <si>
    <t>Aplikasi pengajuan pembukaan rekening Dalam Negeri</t>
  </si>
  <si>
    <t>Aplikasi yang digunakan untuk mengelola inventory Surat Berharga dan pembukuan di Core System</t>
  </si>
  <si>
    <t>AFOOES0311</t>
  </si>
  <si>
    <t>Dashboard Kementerian dan Lembaga</t>
  </si>
  <si>
    <t>Dashboard Govtech</t>
  </si>
  <si>
    <t>AMOLOM0312</t>
  </si>
  <si>
    <t>Internal Rating System (IRS)</t>
  </si>
  <si>
    <t>Aplikasi yang digunakan untuk menghitung score rating kredit debitur</t>
  </si>
  <si>
    <t>TECH-0001</t>
  </si>
  <si>
    <t>EA Tool</t>
  </si>
  <si>
    <t>Aplikasi untuk mengelola arsitektur framework TI BNI</t>
  </si>
  <si>
    <t>TECH-0002</t>
  </si>
  <si>
    <t>Privilege Access Management (PAM)</t>
  </si>
  <si>
    <t>Aplikasi yang digunakan untuk mengelola user akses</t>
  </si>
  <si>
    <t>TECH-0003</t>
  </si>
  <si>
    <t>PVCS</t>
  </si>
  <si>
    <t>Project Management dan Change Control</t>
  </si>
  <si>
    <t>Last Update 12 Dec 2025 16:25 WIB</t>
  </si>
  <si>
    <t>37 aplikasi</t>
  </si>
  <si>
    <t>APP ID</t>
  </si>
  <si>
    <t>New APP ID</t>
  </si>
  <si>
    <t>Base Criticality</t>
  </si>
  <si>
    <t>Operational Impact (Bank wide (1)/Unit Wide (0.5))</t>
  </si>
  <si>
    <t>Parent App</t>
  </si>
  <si>
    <t>Parent App Name</t>
  </si>
  <si>
    <t>Keterangan</t>
  </si>
  <si>
    <t>Pengganti Sunset</t>
  </si>
  <si>
    <t>HA (App + DB)?</t>
  </si>
  <si>
    <t>Backup/DR</t>
  </si>
  <si>
    <t>DR Capacity</t>
  </si>
  <si>
    <t>Monitoring</t>
  </si>
  <si>
    <t>DC 2</t>
  </si>
  <si>
    <t>APP-0001</t>
  </si>
  <si>
    <t>9-Akan sunset</t>
  </si>
  <si>
    <t>APP-0002</t>
  </si>
  <si>
    <t>APP-0004</t>
  </si>
  <si>
    <t>1-Very Critical</t>
  </si>
  <si>
    <t>Ya</t>
  </si>
  <si>
    <t>APP-0007</t>
  </si>
  <si>
    <t>APP-0008</t>
  </si>
  <si>
    <t>2-Critical B</t>
  </si>
  <si>
    <t>New DC</t>
  </si>
  <si>
    <t>APP-0009</t>
  </si>
  <si>
    <t>APP-0010</t>
  </si>
  <si>
    <t>AMORAC0010</t>
  </si>
  <si>
    <t>Audit Management System (AMS)</t>
  </si>
  <si>
    <t>APP-0011</t>
  </si>
  <si>
    <t>APP-0012</t>
  </si>
  <si>
    <t>APP-0013</t>
  </si>
  <si>
    <t>APP-0014</t>
  </si>
  <si>
    <t>ABOTRX0014</t>
  </si>
  <si>
    <t>BaNCS Custody</t>
  </si>
  <si>
    <t>APP-0015</t>
  </si>
  <si>
    <t>AFOAFO0015</t>
  </si>
  <si>
    <t>Bancslink</t>
  </si>
  <si>
    <t>APP-0016</t>
  </si>
  <si>
    <t>BaRS</t>
  </si>
  <si>
    <t>APP-0017</t>
  </si>
  <si>
    <t>AMOMWI0017</t>
  </si>
  <si>
    <t>Base24</t>
  </si>
  <si>
    <t>APP-0018</t>
  </si>
  <si>
    <t>APP-0019</t>
  </si>
  <si>
    <t>APP-0021</t>
  </si>
  <si>
    <t>AMOCSR0021</t>
  </si>
  <si>
    <t>BI-FAST - CI Connector</t>
  </si>
  <si>
    <t>APP-0022</t>
  </si>
  <si>
    <t>Big Data (Cloudera)</t>
  </si>
  <si>
    <t>APP-0023</t>
  </si>
  <si>
    <t>AMOCSR0023</t>
  </si>
  <si>
    <t>BI-Kliring (TPKServer)</t>
  </si>
  <si>
    <t>APP-0024</t>
  </si>
  <si>
    <t>Digantikan Rekon Citynet (AMOCSR0097) - Tgl Sunset</t>
  </si>
  <si>
    <t>APP-0025</t>
  </si>
  <si>
    <t>AMOCSR0025</t>
  </si>
  <si>
    <t>RTGS</t>
  </si>
  <si>
    <t>Dipisah RTGS, BI -SSSS, BI-ETP</t>
  </si>
  <si>
    <t>APP-0027</t>
  </si>
  <si>
    <t>APP-0028</t>
  </si>
  <si>
    <t>AMORAC0028</t>
  </si>
  <si>
    <t>BNI Antasena</t>
  </si>
  <si>
    <t>cek apakah masuk LBU juga</t>
  </si>
  <si>
    <t>APP-0029</t>
  </si>
  <si>
    <t>APP-0030</t>
  </si>
  <si>
    <t>APP-0031</t>
  </si>
  <si>
    <t>APP-0032</t>
  </si>
  <si>
    <t>BNI Direct - Cash Management</t>
  </si>
  <si>
    <t>APP-0034</t>
  </si>
  <si>
    <t>APP-0035</t>
  </si>
  <si>
    <t>2-Critical A</t>
  </si>
  <si>
    <t>APP-0036</t>
  </si>
  <si>
    <t>APP-0038</t>
  </si>
  <si>
    <t>APP-0039</t>
  </si>
  <si>
    <t>APP-0040</t>
  </si>
  <si>
    <t>APP-0041</t>
  </si>
  <si>
    <t>APP-0042</t>
  </si>
  <si>
    <t>APP-0043</t>
  </si>
  <si>
    <t>AMOOES0043</t>
  </si>
  <si>
    <t>B-Secure</t>
  </si>
  <si>
    <t>Belum Ada</t>
  </si>
  <si>
    <t>APP-0044</t>
  </si>
  <si>
    <t>APP-0045</t>
  </si>
  <si>
    <t>ABOAST0045</t>
  </si>
  <si>
    <t>Cardlink</t>
  </si>
  <si>
    <t>APP-0046</t>
  </si>
  <si>
    <t>APP-0048</t>
  </si>
  <si>
    <t>APP-0049</t>
  </si>
  <si>
    <t>APP-0051</t>
  </si>
  <si>
    <t>APP-0052</t>
  </si>
  <si>
    <t>APP-0053</t>
  </si>
  <si>
    <t>APP-0054</t>
  </si>
  <si>
    <t>APP-0055</t>
  </si>
  <si>
    <t>APP-0056</t>
  </si>
  <si>
    <t>APP-0057</t>
  </si>
  <si>
    <t>APP-0058</t>
  </si>
  <si>
    <t>APP-0059</t>
  </si>
  <si>
    <t>APP-0060</t>
  </si>
  <si>
    <t>APP-0061</t>
  </si>
  <si>
    <t>APP-0062</t>
  </si>
  <si>
    <t>AMODAP0062</t>
  </si>
  <si>
    <t>Data Warehouse (Teradata)</t>
  </si>
  <si>
    <t>APP-0063</t>
  </si>
  <si>
    <t>APP-0064</t>
  </si>
  <si>
    <t>APP-0065</t>
  </si>
  <si>
    <t>APP-0066</t>
  </si>
  <si>
    <t>APP-0067</t>
  </si>
  <si>
    <t>APP-0068</t>
  </si>
  <si>
    <t>APP-0069</t>
  </si>
  <si>
    <t>APP-0070</t>
  </si>
  <si>
    <t>8-Belum Jalan</t>
  </si>
  <si>
    <t>APP-0071</t>
  </si>
  <si>
    <t>APP-0072</t>
  </si>
  <si>
    <t>DNA (Exadia)</t>
  </si>
  <si>
    <t>APP-0073</t>
  </si>
  <si>
    <t>APP-0074</t>
  </si>
  <si>
    <t>APP-0075</t>
  </si>
  <si>
    <t>APP-0076</t>
  </si>
  <si>
    <t>APP-0077</t>
  </si>
  <si>
    <t>APP-0078</t>
  </si>
  <si>
    <t>e-Bank Guarantee</t>
  </si>
  <si>
    <t>APP-0079</t>
  </si>
  <si>
    <t>APP-0080</t>
  </si>
  <si>
    <t>only ePP for now, will be used for others</t>
  </si>
  <si>
    <t>APP-0081</t>
  </si>
  <si>
    <t>e-Collection</t>
  </si>
  <si>
    <t>APP-0082</t>
  </si>
  <si>
    <t>Check GoLive Date</t>
  </si>
  <si>
    <t>On Progress</t>
  </si>
  <si>
    <t>APP-0084</t>
  </si>
  <si>
    <t>APP-0085</t>
  </si>
  <si>
    <t>E-Form Kartu Kredit</t>
  </si>
  <si>
    <t>APP-0086</t>
  </si>
  <si>
    <t>E-Form Payroll</t>
  </si>
  <si>
    <t>APP-0087</t>
  </si>
  <si>
    <t>APP-0088</t>
  </si>
  <si>
    <t>E-form Prakerja</t>
  </si>
  <si>
    <t>APP-0090</t>
  </si>
  <si>
    <t>APP-0091</t>
  </si>
  <si>
    <t>APP-0092</t>
  </si>
  <si>
    <t>APP-0093</t>
  </si>
  <si>
    <t>APP-0094</t>
  </si>
  <si>
    <t>APP-0095</t>
  </si>
  <si>
    <t>APP-0096</t>
  </si>
  <si>
    <t>APP-0097</t>
  </si>
  <si>
    <t>APP-0098</t>
  </si>
  <si>
    <t>APP-0099</t>
  </si>
  <si>
    <t>APP-0100</t>
  </si>
  <si>
    <t>APP-0102</t>
  </si>
  <si>
    <t>APP-0103</t>
  </si>
  <si>
    <t>E-Purse</t>
  </si>
  <si>
    <t>APP-0104</t>
  </si>
  <si>
    <t>APP-0105</t>
  </si>
  <si>
    <t>APP-0106</t>
  </si>
  <si>
    <t>eStatement</t>
  </si>
  <si>
    <t>APP-0107</t>
  </si>
  <si>
    <t>AMOOES0107</t>
  </si>
  <si>
    <t>implementasi E-Statement BNI Emerald</t>
  </si>
  <si>
    <t>APP-0108</t>
  </si>
  <si>
    <t>APP-0109</t>
  </si>
  <si>
    <t>APP-0110</t>
  </si>
  <si>
    <t>APP-0111</t>
  </si>
  <si>
    <t>FSCM</t>
  </si>
  <si>
    <t>APP-0112</t>
  </si>
  <si>
    <t>ABOTRX0112</t>
  </si>
  <si>
    <t>Fund Valuation &amp; Transfer Agency (Medalion)</t>
  </si>
  <si>
    <t>APP-0113</t>
  </si>
  <si>
    <t>APP-0116</t>
  </si>
  <si>
    <t>ABOTRX0116</t>
  </si>
  <si>
    <t>GLOBS</t>
  </si>
  <si>
    <t>APP-0117</t>
  </si>
  <si>
    <t>AMORAC0117</t>
  </si>
  <si>
    <t>Go AML</t>
  </si>
  <si>
    <t>APP-0124</t>
  </si>
  <si>
    <t>APP-0132</t>
  </si>
  <si>
    <t>APP-0133</t>
  </si>
  <si>
    <t>APP-0134</t>
  </si>
  <si>
    <t>IBank Remitt</t>
  </si>
  <si>
    <t>APP-0135</t>
  </si>
  <si>
    <t>iCONS</t>
  </si>
  <si>
    <t>APP-0136</t>
  </si>
  <si>
    <t>APP-0137</t>
  </si>
  <si>
    <t>APP-0138</t>
  </si>
  <si>
    <t>APP-0139</t>
  </si>
  <si>
    <t>APP-0146</t>
  </si>
  <si>
    <t>APP-0147</t>
  </si>
  <si>
    <t>integrate to LMS retail</t>
  </si>
  <si>
    <t>APP-0148</t>
  </si>
  <si>
    <t>APP-0149</t>
  </si>
  <si>
    <t>APP-0150</t>
  </si>
  <si>
    <t>AMORAC0150</t>
  </si>
  <si>
    <t>Interop DJP</t>
  </si>
  <si>
    <t>APP-0151</t>
  </si>
  <si>
    <t>APP-0154</t>
  </si>
  <si>
    <t>Keagenan</t>
  </si>
  <si>
    <t>APP-0155</t>
  </si>
  <si>
    <t>APP-0156</t>
  </si>
  <si>
    <t>ABOTRX0156</t>
  </si>
  <si>
    <t>Kondor+</t>
  </si>
  <si>
    <t>APP-0158</t>
  </si>
  <si>
    <t>APP-0159</t>
  </si>
  <si>
    <t>APP-0160</t>
  </si>
  <si>
    <t>APP-0161</t>
  </si>
  <si>
    <t>APP-0162</t>
  </si>
  <si>
    <t>APP-0163</t>
  </si>
  <si>
    <t>APP-0164</t>
  </si>
  <si>
    <t>APP-0165</t>
  </si>
  <si>
    <t>ABOAST0165</t>
  </si>
  <si>
    <t>Minicore Loan</t>
  </si>
  <si>
    <t>APP-0166</t>
  </si>
  <si>
    <t>MIS Portal: EIS, PMS, CRM, SRP, BAR (SAR), KIS, IRS, Bbonline</t>
  </si>
  <si>
    <t>APP-0167</t>
  </si>
  <si>
    <t>APP-0168</t>
  </si>
  <si>
    <t>APP-0170</t>
  </si>
  <si>
    <t>APP-0171</t>
  </si>
  <si>
    <t>APP-0172</t>
  </si>
  <si>
    <t>APP-0173</t>
  </si>
  <si>
    <t>APP-0174</t>
  </si>
  <si>
    <t>APP-0175</t>
  </si>
  <si>
    <t>New BNIDirect Platform (CXO)</t>
  </si>
  <si>
    <t>APP-0177</t>
  </si>
  <si>
    <t>ABOLIB0177</t>
  </si>
  <si>
    <t>New DPLK BNI Core System (DPLK Sure)</t>
  </si>
  <si>
    <t>APP-0178</t>
  </si>
  <si>
    <t>APP-0179</t>
  </si>
  <si>
    <t>APP-0180</t>
  </si>
  <si>
    <t>Online Request Management (ORM)</t>
  </si>
  <si>
    <t>APP-0181</t>
  </si>
  <si>
    <t>APP-0182</t>
  </si>
  <si>
    <t>APP-0183</t>
  </si>
  <si>
    <t>APP-0184</t>
  </si>
  <si>
    <t>APP-0185</t>
  </si>
  <si>
    <t>APP-0186</t>
  </si>
  <si>
    <t>ABOAST0186</t>
  </si>
  <si>
    <t>Otomasi Penerbitan Bank Garansi (OPBG)</t>
  </si>
  <si>
    <t>APP-0187</t>
  </si>
  <si>
    <t>AFONFO0187</t>
  </si>
  <si>
    <t>Personal Financial Management (PFM)</t>
  </si>
  <si>
    <t>APP-0188</t>
  </si>
  <si>
    <t>APP-0189</t>
  </si>
  <si>
    <t>APP-0190</t>
  </si>
  <si>
    <t>APP-0191</t>
  </si>
  <si>
    <t>APP-0192</t>
  </si>
  <si>
    <t>APP-0193</t>
  </si>
  <si>
    <t>APP-0194</t>
  </si>
  <si>
    <t>APP-0195</t>
  </si>
  <si>
    <t>APP-0196</t>
  </si>
  <si>
    <t>AMOOES0196</t>
  </si>
  <si>
    <t>Portal Requirement (Eksternal) - IHCS</t>
  </si>
  <si>
    <t>APP-0197</t>
  </si>
  <si>
    <t>APP-0198</t>
  </si>
  <si>
    <t>AMOOES0198</t>
  </si>
  <si>
    <t>Portal Vendor Management - IHCS</t>
  </si>
  <si>
    <t>APP-0199</t>
  </si>
  <si>
    <t>APP-0200</t>
  </si>
  <si>
    <t>APP-0201</t>
  </si>
  <si>
    <t>APP-0202</t>
  </si>
  <si>
    <t>APP-0203</t>
  </si>
  <si>
    <t>APP-0204</t>
  </si>
  <si>
    <t>APP-0206</t>
  </si>
  <si>
    <t>APP-0207</t>
  </si>
  <si>
    <t>AMOCSR0207</t>
  </si>
  <si>
    <t>Sentra Kas ATM iCONS</t>
  </si>
  <si>
    <t>APP-0208</t>
  </si>
  <si>
    <t>AMOCSR0208</t>
  </si>
  <si>
    <t>Sentra Kas CRM iCONS</t>
  </si>
  <si>
    <t>APP-0209</t>
  </si>
  <si>
    <t>APP-0210</t>
  </si>
  <si>
    <t>APP-0211</t>
  </si>
  <si>
    <t>APP-0212</t>
  </si>
  <si>
    <t>APP-0213</t>
  </si>
  <si>
    <t>APP-0214</t>
  </si>
  <si>
    <t>APP-0215</t>
  </si>
  <si>
    <t>APP-0216</t>
  </si>
  <si>
    <t>APP-0217</t>
  </si>
  <si>
    <t>ABOTRX0217</t>
  </si>
  <si>
    <t>Sistem Perbendaharaan dan Anggaran Negara</t>
  </si>
  <si>
    <t>APP-0218</t>
  </si>
  <si>
    <t>Sistem Rehabilitasi DHN (Slopos)</t>
  </si>
  <si>
    <t>APP-0219</t>
  </si>
  <si>
    <t>ABOTRX0219</t>
  </si>
  <si>
    <t>Sistem Subsidi (Bansos)</t>
  </si>
  <si>
    <t>APP-0220</t>
  </si>
  <si>
    <t>APP-0221</t>
  </si>
  <si>
    <t>APP-0222</t>
  </si>
  <si>
    <t>APP-0223</t>
  </si>
  <si>
    <t>Smart Forex</t>
  </si>
  <si>
    <t>APP-0225</t>
  </si>
  <si>
    <t>APP-0227</t>
  </si>
  <si>
    <t>AMOCSR0227</t>
  </si>
  <si>
    <t>SmartTPK</t>
  </si>
  <si>
    <t>APP-0228</t>
  </si>
  <si>
    <t>APP-0229</t>
  </si>
  <si>
    <t>APP-0230</t>
  </si>
  <si>
    <t>SMS Token Gateway</t>
  </si>
  <si>
    <t>APP-0232</t>
  </si>
  <si>
    <t>AMOMWI0232</t>
  </si>
  <si>
    <t>SOA System</t>
  </si>
  <si>
    <t>APP-0233</t>
  </si>
  <si>
    <t>AMOOES0233</t>
  </si>
  <si>
    <t>Social Media Care BNI</t>
  </si>
  <si>
    <t>APP-0234</t>
  </si>
  <si>
    <t>ABOTRX0234</t>
  </si>
  <si>
    <t>SPAN Bansos</t>
  </si>
  <si>
    <t>APP-0235</t>
  </si>
  <si>
    <t>APP-0241</t>
  </si>
  <si>
    <t>AMOCSR0241</t>
  </si>
  <si>
    <t>Swift System</t>
  </si>
  <si>
    <t>APP-0243</t>
  </si>
  <si>
    <t>APP-0244</t>
  </si>
  <si>
    <t>APP-0245</t>
  </si>
  <si>
    <t>TI Plus</t>
  </si>
  <si>
    <t>APP-0246</t>
  </si>
  <si>
    <t>APP-0249</t>
  </si>
  <si>
    <t>AMOOES0249</t>
  </si>
  <si>
    <t>Trade Platform (Trade Service)</t>
  </si>
  <si>
    <t>Digantikan GoTrade</t>
  </si>
  <si>
    <t>APP-0250</t>
  </si>
  <si>
    <t>APP-0251</t>
  </si>
  <si>
    <t>APP-0252</t>
  </si>
  <si>
    <t>APP-0253</t>
  </si>
  <si>
    <t>APP-0254</t>
  </si>
  <si>
    <t>APP-0255</t>
  </si>
  <si>
    <t>APP-0256</t>
  </si>
  <si>
    <t>APP-0257</t>
  </si>
  <si>
    <t>AMOOES0257</t>
  </si>
  <si>
    <t>Microservice Catalog Tools</t>
  </si>
  <si>
    <t>APP-0258</t>
  </si>
  <si>
    <t>AMOCSR0258</t>
  </si>
  <si>
    <t>Universal Biller &amp; Payment (UBP)</t>
  </si>
  <si>
    <t>On Progess</t>
  </si>
  <si>
    <t>APP-0259</t>
  </si>
  <si>
    <t>APP-0261</t>
  </si>
  <si>
    <t>A0261</t>
  </si>
  <si>
    <t>FAST</t>
  </si>
  <si>
    <t>APP-0264</t>
  </si>
  <si>
    <t>ABOTRX0264</t>
  </si>
  <si>
    <t>New WMS (Avaloq)</t>
  </si>
  <si>
    <t>APP-0270</t>
  </si>
  <si>
    <t>APP-0265</t>
  </si>
  <si>
    <t>Wondr</t>
  </si>
  <si>
    <t>APP-0260</t>
  </si>
  <si>
    <t>AMOOES0260</t>
  </si>
  <si>
    <t>Card Management System (CMS)</t>
  </si>
  <si>
    <t>AMOOES0270</t>
  </si>
  <si>
    <t>Promots (Procurement Monitoring)</t>
  </si>
  <si>
    <t>APP-0269</t>
  </si>
  <si>
    <t>ABOLIB0269</t>
  </si>
  <si>
    <t>New Prepaid System</t>
  </si>
  <si>
    <t>ABOTRX0270</t>
  </si>
  <si>
    <t>Murex MX.3 (TMS)</t>
  </si>
  <si>
    <t>APP-0271</t>
  </si>
  <si>
    <t>AMOMWI0271</t>
  </si>
  <si>
    <t>New ESB</t>
  </si>
  <si>
    <t>APP-0272</t>
  </si>
  <si>
    <t>APP-0273</t>
  </si>
  <si>
    <t>Smart VA</t>
  </si>
  <si>
    <t>APP-0279</t>
  </si>
  <si>
    <t>AMORAC0279</t>
  </si>
  <si>
    <t>Climate Risk Stress Testing (CRST)</t>
  </si>
  <si>
    <t>APP-0280</t>
  </si>
  <si>
    <t>APP-0281</t>
  </si>
  <si>
    <t>APP-0266</t>
  </si>
  <si>
    <t>APP-0283</t>
  </si>
  <si>
    <t>AMOOES0283</t>
  </si>
  <si>
    <t>Enterprise Financial System (EFS)</t>
  </si>
  <si>
    <t>Climate Risk Stress Testing</t>
  </si>
  <si>
    <t>Scenario ID</t>
  </si>
  <si>
    <t>TC_ID</t>
  </si>
  <si>
    <t>Scenario Name</t>
  </si>
  <si>
    <t>Test Case</t>
  </si>
  <si>
    <t>Test Case
Type</t>
  </si>
  <si>
    <t>Test Step</t>
  </si>
  <si>
    <t>List Syntax</t>
  </si>
  <si>
    <t>Expected Result</t>
  </si>
  <si>
    <t>Verification</t>
  </si>
  <si>
    <t>Note</t>
  </si>
  <si>
    <t>Run Date
1</t>
  </si>
  <si>
    <t>Filename
1</t>
  </si>
  <si>
    <t>Run Date
2</t>
  </si>
  <si>
    <t>Filename
2</t>
  </si>
  <si>
    <t>Status Automation</t>
  </si>
  <si>
    <t>Note Status Automation</t>
  </si>
  <si>
    <t>Pass Date
(HH Bulan TTTT)
(12 Juli 2022)</t>
  </si>
  <si>
    <t>PIC</t>
  </si>
  <si>
    <t>SMS</t>
  </si>
  <si>
    <t>Status Automation Library Dev</t>
  </si>
  <si>
    <t>Run Status
UFT</t>
  </si>
  <si>
    <t>SCSBK0001</t>
  </si>
  <si>
    <t>SBK0001-001</t>
  </si>
  <si>
    <t>User melakukan pengecekan Saldo</t>
  </si>
  <si>
    <t>User melakukan pengecekan informasi saldo</t>
  </si>
  <si>
    <t>Normal</t>
  </si>
  <si>
    <t xml:space="preserve">1. User menginput sintaks pada aplikasi SMS
2. User mengirimkan SMS ke 3346
3. User menginput PIN Transaksi </t>
  </si>
  <si>
    <t>SAL</t>
  </si>
  <si>
    <t>Mendapatkan informasi Saldo sesuai dengan rekening user</t>
  </si>
  <si>
    <t>Y</t>
  </si>
  <si>
    <t>DONE</t>
  </si>
  <si>
    <t>SBK0001-001-User melakukan pengecekan Saldo_Inquiry.doc
SBK0001-001-User melakukan pengecekan Saldo_Input PIN.doc</t>
  </si>
  <si>
    <t>SCSBK0001_20230202-164457434.pdf</t>
  </si>
  <si>
    <t>meydita</t>
  </si>
  <si>
    <t>SBK0001-002</t>
  </si>
  <si>
    <t>User salah memasukkan pin transaksi</t>
  </si>
  <si>
    <t>Abnormal</t>
  </si>
  <si>
    <t>1. User menginput sintaks pada aplikasi SMS
2. User mengirimkan SMS ke 3346
3. User menginput PIN transaksi yang salah</t>
  </si>
  <si>
    <t>Transaksi gagal dilakukan, muncul pesan "Maaf, Transaksi tidak dapat diproses. Anda melewati batas waktu transaksi. Silakan ulangi transaksi kembali dari awal."</t>
  </si>
  <si>
    <t>SBK0001-002-User salah memasukkan pin transaksi_Inquiry.doc
SBK0001-002-User salah memasukkan pin transaksi_Input PIN.doc</t>
  </si>
  <si>
    <t>SCSBK0001_20230202-191443642.pdf</t>
  </si>
  <si>
    <t>SCSBK0002</t>
  </si>
  <si>
    <t>SBK0002-001</t>
  </si>
  <si>
    <t>User melakukan pengecekan mutasi rekening</t>
  </si>
  <si>
    <t xml:space="preserve">User melakukan pemilihan menu informasi mutasi transaksi </t>
  </si>
  <si>
    <t>HST</t>
  </si>
  <si>
    <t>Mendapatkan informasi Mutasi rekening user</t>
  </si>
  <si>
    <t>SBK0002-001-User melakukan pemilihan menu informasi mutasi transaksi.doc</t>
  </si>
  <si>
    <t>SCSBK0002_20230202-111856604.pdf</t>
  </si>
  <si>
    <t>SCSBK0003</t>
  </si>
  <si>
    <t>SBK0003-001</t>
  </si>
  <si>
    <t>User melakukan pengecekan Rekening DPLK</t>
  </si>
  <si>
    <t>User melakukan pengecekan informasi rekening DPLK</t>
  </si>
  <si>
    <t xml:space="preserve">1. User menginput sintaks pada aplikasi SMS
2. User mengirimkan SMS ke 3346
</t>
  </si>
  <si>
    <t>INQ DPLK  804193633</t>
  </si>
  <si>
    <t>Mendapatkan informasi Rekening DPLK sesuai dengan rekening DPLK yang diinput</t>
  </si>
  <si>
    <t>SBK0003-001-User melakukan pengecekan informasi rekening DPLK_Inquiry.doc
SBK0003-001-User melakukan pengecekan informasi rekening DPLK_Input PIN.doc</t>
  </si>
  <si>
    <t>SBK0003-002</t>
  </si>
  <si>
    <t>User Salah menginput rekening DPLK</t>
  </si>
  <si>
    <t>INQ DPLK  804193666</t>
  </si>
  <si>
    <t>Transaksi gagal dilakukan, muncul pesan " DPLK02, Rekening belum terdaftar di Channel"</t>
  </si>
  <si>
    <t>SBK0003-002-User Salah menginput rekening DPLK_Inquiry.doc
SBK0003-002-User Salah menginput rekening DPLK_Input PIN.doc</t>
  </si>
  <si>
    <t>SCSBK0001_20230202-194447018.pdf</t>
  </si>
  <si>
    <t>02 Februari 2023</t>
  </si>
  <si>
    <t>SBK0003-003</t>
  </si>
  <si>
    <t>Transaksi gagal dilakukan, muncul pesan " Transaksi tidak dapat diproses.PIN yang Anda ketikkan salah.Silakan periksa kembali PIN Anda dan transaksi kembali dari awal"</t>
  </si>
  <si>
    <t>SBK0003-003-User salah memasukkan pin transaksi_Inquiry
SBK0003-003-User salah memasukkan pin transaksi_Input PIN</t>
  </si>
  <si>
    <t>SCSBK0001_20230206-095637328.pdf</t>
  </si>
  <si>
    <t>SCSBK0004</t>
  </si>
  <si>
    <t>SBK0004-001</t>
  </si>
  <si>
    <t>User melakukan pengecekan Daftar Rekening</t>
  </si>
  <si>
    <t>User melakukan pengecekan Informasi Daftar Rekening</t>
  </si>
  <si>
    <t>1. User menginput sintaks pada aplikasi SMS
2. User Mengirimkan SMS ke 3346</t>
  </si>
  <si>
    <t>DAFTAR REKENING</t>
  </si>
  <si>
    <t>Transaksi berhasil dilakukan, muncul pesan "1000150050 Rp 133.643.447,00
1000158265 Rp 9.000.000,00"</t>
  </si>
  <si>
    <t>SBK0004-001-User melakukan pengecekan Informasi Daftar Rekening_Inquiry.doc
SBK0004-001-User melakukan pengecekan Informasi Daftar Rekening_Input PIN.doc</t>
  </si>
  <si>
    <t>SCSBK0004_20230206-103017499.pdf</t>
  </si>
  <si>
    <t>SBK0004-002</t>
  </si>
  <si>
    <t>SBK0004-002-User salah memasukkan pin transaksi_Inquiry.doc
SBK0004-002-User salah memasukkan pin transaksi_Input PIN.doc</t>
  </si>
  <si>
    <t>SCSBK0005</t>
  </si>
  <si>
    <t>SBK0005-001</t>
  </si>
  <si>
    <t>User melakukan pengecekan informasi tagihan</t>
  </si>
  <si>
    <t>User melakukan pengecekan informasi tagihan - Listrik</t>
  </si>
  <si>
    <t>TAG PLN 21114567891</t>
  </si>
  <si>
    <t>Transaksi berhasil dilakukan, muncul pesan "Tagihan PLN 21114567891/PEL POSTPAID 968894
BL/TH 201506
Rp 300.000
Ref 20221017."</t>
  </si>
  <si>
    <t>SBK0005-001-User melakukan pengecekan informasi tagihan - Listrik_Inquiry.doc</t>
  </si>
  <si>
    <t>SCSBK0005_20230206-114546032.pdf</t>
  </si>
  <si>
    <t>SCSBK0006</t>
  </si>
  <si>
    <t>SBK0006-001</t>
  </si>
  <si>
    <t>User melakukan pengecekan infromasi tagihan telepon pasca bayar - Kartu Halo</t>
  </si>
  <si>
    <t>TAG HALO 123456</t>
  </si>
  <si>
    <t>Transaksi berhasil dilakukan, muncul pesan "Tagihan HALO 123456 an  sebesar Rp. 525.000]"</t>
  </si>
  <si>
    <t>SCSBK0006_20230207-143146361.pdf</t>
  </si>
  <si>
    <t>SBK0006-002</t>
  </si>
  <si>
    <t>User melakukan pengecekan infromasi tagihan telepon pasca bayar - Indosat Ooredoo</t>
  </si>
  <si>
    <t>TAG INDOSAT 085656546666</t>
  </si>
  <si>
    <t>Transaksi berhasil dilakukan, muncul pesan "Tagihan INDOSAT 085656546666 an SILVIA RAHMAH NUGRAH sebesar Rp. 120.000"</t>
  </si>
  <si>
    <t>SBK0006-003</t>
  </si>
  <si>
    <t>User melakukan pengecekan infromasi tagihan telepon pasca bayar - Telkom Pay</t>
  </si>
  <si>
    <t>TAG TELKOM 8114939135</t>
  </si>
  <si>
    <t>Transaksi berhasil dilakukan, muncul pesan "Tagihan TELKOM 8114939135 an JOKI VAN NISTELROOY sebesar Rp. 500.000"</t>
  </si>
  <si>
    <t>SCSBK0006_20230207-160631928.pdf</t>
  </si>
  <si>
    <t>SBK0006-004</t>
  </si>
  <si>
    <t>User melakukan pengecekan infromasi tagihan telepon pasca bayar - Xplor</t>
  </si>
  <si>
    <t>TAG XPLOR 3821230837</t>
  </si>
  <si>
    <t>Transaksi berhasil dilakukan, muncul pesan  "Tagihan XPLOR 3821230837 an ANDREA BERTOLLACCI sebesar Rp. 150.000"</t>
  </si>
  <si>
    <t>SBK0006-005</t>
  </si>
  <si>
    <t>User melakukan pengecekan infromasi tagihan telepon pasca bayar - 3 (Tri)</t>
  </si>
  <si>
    <t>TAG 3 3821230837</t>
  </si>
  <si>
    <t>Transaksi berhasil dilakukan, muncul pesan "Tagihan 3 3821230837 an CLOUD SEIFER sebesar Rp. 125.000"</t>
  </si>
  <si>
    <t>SCSBK0006_20230207-202034703.pdf</t>
  </si>
  <si>
    <t>SBK0006-006</t>
  </si>
  <si>
    <t>User melakukan pengecekan infromasi tagihan telepon pasca bayar - 3 (smartfren)</t>
  </si>
  <si>
    <t>TAG SMARTFREN 3821230837</t>
  </si>
  <si>
    <t>Transaksi berhasil ditampilkan dengan isi No. tagihan , Nama dan jumlah tagihan "Tagihan SMARTFREN 3821230837 an SI GANTENG ADI sebesar Rp. 100.000"</t>
  </si>
  <si>
    <t>SCSBK0006_20230207-204104861.pdf</t>
  </si>
  <si>
    <t>SCSBK0007</t>
  </si>
  <si>
    <t>SBK0007-001</t>
  </si>
  <si>
    <t>User melakukan pengecekan menu informasi tagihan internet/tv berlangganan</t>
  </si>
  <si>
    <t>User melakukan pengecekan infromasi tagihan telepon pasca bayar - Indovision</t>
  </si>
  <si>
    <t>TAG INDOVISION 1234567891234</t>
  </si>
  <si>
    <t>Transaksi berhasil dilakukan, muncul pesan "Tagihan INDOVISION No. 1234567891234 an. SARI ANGGRAINI sebesar Rp. 125.000."</t>
  </si>
  <si>
    <t>SCSBK0007_20230207-220928202.pdf</t>
  </si>
  <si>
    <t>SBK0007-002</t>
  </si>
  <si>
    <t>User melakukan pengecekan infromasi tagihan telepon pasca bayar - Transvision</t>
  </si>
  <si>
    <t>TAG TRANSVISION 1234567891234</t>
  </si>
  <si>
    <t>Transaksi berhasil dilakukan, muncul pesan  "TRANSVISION 1234567891234 an JOKI VAN NISTELROOY sebesar Rp. 500.000"</t>
  </si>
  <si>
    <t>SBK0007-003</t>
  </si>
  <si>
    <t>User melakukan pengecekan infromasi tagihan telepon pasca bayar - Indihome</t>
  </si>
  <si>
    <t>TAG TELKOM 3821230837</t>
  </si>
  <si>
    <t>Transaksi berhasil dilakukan, muncul pesan "Tagihan TELKOM 3821230837 an JOKI VAN NISTELROOY sebesar Rp. 500.000."</t>
  </si>
  <si>
    <t>SCSBK0008</t>
  </si>
  <si>
    <t>SBK0008-001</t>
  </si>
  <si>
    <t>User melakukan pengecekan menu informasi tagihan kartu kredit BNI</t>
  </si>
  <si>
    <t>User melakukan pengecekan infromasi tagihan kartu kredit BNI</t>
  </si>
  <si>
    <t>TAG BNI 5232390000000012</t>
  </si>
  <si>
    <t>Transaksi berhasil dilakukan, muncul pesan "Tagihan BNI No. 5232390000000012 an. BATIK 002 sebesar Rp. -20.054.226. Anda memiliki saldo kredit pada kartu Anda."</t>
  </si>
  <si>
    <t>SCSBK0008_20230208-100146292.pdf</t>
  </si>
  <si>
    <t>SCSBK0009</t>
  </si>
  <si>
    <t>SBK0009-001</t>
  </si>
  <si>
    <t>User melakukan transfer BNI</t>
  </si>
  <si>
    <t>User melakukan transfer BNI (Transfer Rekening BNI)</t>
  </si>
  <si>
    <t>1. User menginput sintaks pada aplikasi SMS
2. User Mengirimkan SMS ke 3346
3. User Input PIN Transaksi</t>
  </si>
  <si>
    <t>TRANSFER 317100155 50000</t>
  </si>
  <si>
    <t>Transaksi berhasil dilakukan, muncul pesan "Transfer Rp.10.000 ke 0317100155 an.Bpk FEBY &amp; KOHH &amp; telah berhasil. Reff: 900210."</t>
  </si>
  <si>
    <t>SCSBK0009_20230208-144940967.pdf</t>
  </si>
  <si>
    <t>SBK0009-002</t>
  </si>
  <si>
    <t>User melakukan transfer BNI (Transfer Dengan Berita)</t>
  </si>
  <si>
    <t>TRANSFER BERITA 317100155 10000 #HALO#</t>
  </si>
  <si>
    <t>Transaksi berhasil dilakukan, muncul pesan "Transfer Rp 10.000,- ke 0317100155 an.Bpk FEBY &amp; KOHH Berita: HALO telah berhasil. Reff:900213.."</t>
  </si>
  <si>
    <t>SBK0009-003</t>
  </si>
  <si>
    <t>User melakukan transfer BNI (Transfer Dengan Berita dan Notifikasi)</t>
  </si>
  <si>
    <t>TRANSFER BERITANOTIFIKASI 317100155 10000 #HALO# 081387901103</t>
  </si>
  <si>
    <t>Transaksi berhasil dilakukan, muncul pesan "Transfer Rp.10000 ke 0317100155 an.Bpk FEBY &amp; KOHH Berita: HALO telah berhasil. Reff:900216."
SMS Notif
"Yth Sdr Bpk FEBY &amp;, Anda telah menerima transfer dana melalui BNI SMS Banking, Nama pengirim:Ibu MEYMEY Rp10000. Ref:900216."</t>
  </si>
  <si>
    <t>SBK0009-004</t>
  </si>
  <si>
    <t>User melakukan transfer BNI (Transfer Rekening DPLK/BNI SIMPONI)</t>
  </si>
  <si>
    <t>SETOR DPLK 804193633 100000</t>
  </si>
  <si>
    <t>Transaksi berhasil dilakukan, muncul pesan "BNI SMS BANKING:19/10/2022 15:27 Setoran Rp 100.000 ke Rek DPLK 804193633/MEYDITA CAHYANI Berhasil."</t>
  </si>
  <si>
    <t>SBK0009-005</t>
  </si>
  <si>
    <t>User salah input rekening BNI</t>
  </si>
  <si>
    <t>Transaksi gagal dilakukan, muncul pesan "Transaksi tdk bisa diproses,periksa kembali rekening tujuan transfer Anda. Info:hub BNI Call 1500046 atau Cabang BNI terdekat."</t>
  </si>
  <si>
    <t>SCSBK0009_20230209-143101806.pdf</t>
  </si>
  <si>
    <t>SBK0009-006</t>
  </si>
  <si>
    <t>User salah input rekening DPLK/BNI SIMPONI</t>
  </si>
  <si>
    <t>SETOR DPLK 804193666 100000</t>
  </si>
  <si>
    <t>SBK0009-007</t>
  </si>
  <si>
    <t>User salah input PIN Transaksi</t>
  </si>
  <si>
    <t>Transaksi gagal, muncul pesan "Transaksi tidak dapat diproses.PIN yang Anda ketikkan salah.Silakan periksa kembali PIN Anda dan transaksi kembali dari awal"</t>
  </si>
  <si>
    <t>SCSBK0009_20230210-091448866.pdf</t>
  </si>
  <si>
    <t>SBK0009-008</t>
  </si>
  <si>
    <t>User melakukan transfer BNI (Transfer Rekening DPLK/BNI SIMPONI) dan User salah input PIN Transaksi</t>
  </si>
  <si>
    <t>SCSBK0009_20230210-095443406.pdf</t>
  </si>
  <si>
    <t>SCSBK0010</t>
  </si>
  <si>
    <t>SBK0010-001</t>
  </si>
  <si>
    <t>User melakukan transfer antar bank</t>
  </si>
  <si>
    <t>User melakukan transfer Antar Bank - Realtime Online (BCA)</t>
  </si>
  <si>
    <t>TRANSFER ANTARBANK 014123456 50000 ##</t>
  </si>
  <si>
    <t>Transaksi berhasil, muncul pesan "Transfer Rp50000 ke BCA 123456/SARI ANGGR telah berhasil. Ref:778716"</t>
  </si>
  <si>
    <t>SCSBK0011_20230216-134431560.pdf</t>
  </si>
  <si>
    <t>SBK0010-002</t>
  </si>
  <si>
    <t>User melakukan transfer Antar Bank - Realtime Online (Bank Mega)</t>
  </si>
  <si>
    <t>TRANSFER ANTARBANK 426123456 50000 ##</t>
  </si>
  <si>
    <t>Transaksi berhasil, muncul pesan "Transfer Rp50000 ke Bank Mega 123456/SARI ANGGR telah berhasil. Ref:778716"</t>
  </si>
  <si>
    <t>SCSBK0010_20230216-163636749.pdf</t>
  </si>
  <si>
    <t>SBK0010-003</t>
  </si>
  <si>
    <t>User melakukan transfer Antar Bank - Realtime Online (OCBC NISP)</t>
  </si>
  <si>
    <t>TRANSFER ANTARBANK 028123456 50000 ##</t>
  </si>
  <si>
    <t>Transaksi berhasil, muncul pesan "Transfer Rp50000 ke OCBC NISP 123456/SARI ANGGR telah berhasil. Ref:778716"</t>
  </si>
  <si>
    <t>SCSBK0010_20230216-170327125.pdf</t>
  </si>
  <si>
    <t>SBK0010-004</t>
  </si>
  <si>
    <t>User melakukan transfer Antar Bank - Realtime Online (Bank Maspion)</t>
  </si>
  <si>
    <t>TRANSFER ANTARBANK 157123456 50000 ##</t>
  </si>
  <si>
    <t>Transaksi berhasil, muncul pesan "Transfer Rp50000 ke Bank Maspion 123456/SARI ANGGR telah berhasil. Ref:778716"</t>
  </si>
  <si>
    <t>SCSBK0010_20230220-113824345.pdf</t>
  </si>
  <si>
    <t>SBK0010-005</t>
  </si>
  <si>
    <t>User melakukan transfer Antar Bank - Realtime Online (CIMB Niaga)</t>
  </si>
  <si>
    <t>TRANSFER ANTARBANK 022123456 50000 ##</t>
  </si>
  <si>
    <t>Transaksi berhasil, muncul pesan "Transfer Rp50000 ke CIMB Niaga 123456/SARI ANGGR telah berhasil. Ref:778716"</t>
  </si>
  <si>
    <t>SCSBK0010_20230216-211336823.pdf</t>
  </si>
  <si>
    <t>SBK0010-006</t>
  </si>
  <si>
    <t>User melakukan transfer Antar Bank - Realtime Online (BRI)</t>
  </si>
  <si>
    <t>TRANSFER ANTARBANK 002123456 50000 ##</t>
  </si>
  <si>
    <t>Transaksi berhasil, muncul pesan "Transfer Rp50000 ke BANK BRI 123456/SARI ANGGR telah berhasil. Ref:233022"</t>
  </si>
  <si>
    <t>SCSBK0010_20230410-154057418</t>
  </si>
  <si>
    <t>SBK0010-007</t>
  </si>
  <si>
    <t>User melakukan transfer Antar Bank - Realtime Online (MANDIRI)</t>
  </si>
  <si>
    <t>TRANSFER ANTARBANK 008123456 50000 ##</t>
  </si>
  <si>
    <t>Transaksi berhasil dilakukan, muncul pesan "Transfer Rp50000 ke MANDIRI 123456/SARI ANGGR telah berhasil. Ref:294339."</t>
  </si>
  <si>
    <t>SCSBK0010_20230221-162917223.pdf</t>
  </si>
  <si>
    <t>Meydita</t>
  </si>
  <si>
    <t>SBK0010-008</t>
  </si>
  <si>
    <t>User melakukan transfer Antar Bank - Realtime Online (BTN)</t>
  </si>
  <si>
    <t>TRANSFER ANTARBANK 200123456 50000 ##</t>
  </si>
  <si>
    <t>Transaksi berhasil dilakukan, muncul pesan "Transfer Rp50000 ke BANK BTN 123456/SARI ANGGR telah berhasil. Ref:296693."</t>
  </si>
  <si>
    <t>SCSBK0010_20230221-172743267.pdf</t>
  </si>
  <si>
    <t>SBK0010-009</t>
  </si>
  <si>
    <t>User melakukan transfer Antar Bank - Realtime Online dengan No HP dan Keterangan</t>
  </si>
  <si>
    <t>TRANSFER ANTARBANK 014123456 50000 6282246954857 #coba-coba#</t>
  </si>
  <si>
    <t>SCSBK0010_20230221-173945215.pdf</t>
  </si>
  <si>
    <t>SBK0010-010</t>
  </si>
  <si>
    <t>User melakukan transfer Antar Bank - Realtime Online : User salah input PIN Transaksi</t>
  </si>
  <si>
    <t>SCSBK0010_20230214-092245110.pdf</t>
  </si>
  <si>
    <t>SBK0010-011</t>
  </si>
  <si>
    <t>User melakukan transfer Antar Bank - Realtime Online : User salah input Rekening</t>
  </si>
  <si>
    <t>TRANSFER ANTARBANK 011123456 50000 ##</t>
  </si>
  <si>
    <t>SCSBK0010_20230221-175714247.pdf</t>
  </si>
  <si>
    <t>SCSBK0011</t>
  </si>
  <si>
    <t>SBK0011-001</t>
  </si>
  <si>
    <t>User melakukan Pembayaran Kartu Kredit</t>
  </si>
  <si>
    <t>User melakukan menu Pembayaran Kartu Kredit (BNI)</t>
  </si>
  <si>
    <t>PAY BNI 5489888809578302 100000</t>
  </si>
  <si>
    <t>Transaksi berhasil dilakukan, muncul pesan "BNI SMS BANKING:20/10/2022 14:51 Pembayaran CC BNI No.3563930011130003 an:DEDE PATCH 1 sebesar Rp 100.000,00 telah berhasil dilakukan, reff:245227."</t>
  </si>
  <si>
    <t>SCSBK0011_20230214-151532326.pdf</t>
  </si>
  <si>
    <t>SBK0011-002</t>
  </si>
  <si>
    <t>User melakukan menu Pembayaran Kartu Kredit (DBS)</t>
  </si>
  <si>
    <t>PAY DBS 5102176633344886 100000</t>
  </si>
  <si>
    <t>Transaksi berhasil dilakukan, muncul pesan "Pembayaran DBS No.5102176633344886 sebesar Rp 100.000,00 telah berhasil dilakukan, reff:245861."</t>
  </si>
  <si>
    <t>SCSBK0011_20230214-183128199.pdf</t>
  </si>
  <si>
    <t>SBK0011-003</t>
  </si>
  <si>
    <t>User melakukan menu Pembayaran Kartu Kredit (BRI)</t>
  </si>
  <si>
    <t>PAY BRI 4365028576034567 100000</t>
  </si>
  <si>
    <t>Transaksi berhasil dilakukan, muncul pesan "Pembayaran Kartu Kredit BRI No.4365028576034567 sebesar Rp 100.000,00, Adm BNI Rp 7500, Total 107.500,00 berhasil dilakukan, reff:247850"</t>
  </si>
  <si>
    <t>SCSBK0011_20230214-184910957.pdf</t>
  </si>
  <si>
    <t>SBK0011-004</t>
  </si>
  <si>
    <t>User melakukan menu Pembayaran Kartu Kredit (Bukopin)</t>
  </si>
  <si>
    <t>PAY BUKOPIN 4211680000000006 100000</t>
  </si>
  <si>
    <t>Transaksi berhasil dilakukan, muncul pesan "Pembayaran CC BUKOPIN No.4211680000000006 sebesar Rp 100.000,00 telah berhasil dilakukan, reff:250211."</t>
  </si>
  <si>
    <t>SCSBK0011_20230214-195509509.pdf</t>
  </si>
  <si>
    <t>SBK0011-005</t>
  </si>
  <si>
    <t>User melakukan menu Pembayaran Kartu Kredit (Citibank)</t>
  </si>
  <si>
    <t>PAY CITIBANK 4541780000000005 100000</t>
  </si>
  <si>
    <t>Transaksi berhasil dilakukan, muncul pesan "Pembayaran CITIBANK CREDIT CARD No.4541780000000005 sebesar Rp 100.000,00 telah berhasil dilakukan, reff:250761."</t>
  </si>
  <si>
    <t>SBK0011-006</t>
  </si>
  <si>
    <t>User melakukan menu Pembayaran Kartu Kredit (CIMB NIAGA)</t>
  </si>
  <si>
    <t>PAY NIAGA 4599200000000005 100000</t>
  </si>
  <si>
    <t>Transaksi berhasil dilakukan, muncul pesan "Pembayaran Niaga No.4599200000000005 sebesar Rp 100.000,00 telah berhasil dilakukan, reff:250802."</t>
  </si>
  <si>
    <t>SCSBK0011_20230214-205128378.pdf</t>
  </si>
  <si>
    <t>SBK0011-007</t>
  </si>
  <si>
    <t>User melakukan menu Pembayaran Kartu Kredit (Danamon)</t>
  </si>
  <si>
    <t>PAY DANAMON 2126000000000005 100000</t>
  </si>
  <si>
    <t>Transaksi berhasil dilakukan, muncul pesan "Pembayaran Danamon No.2126000000000005 sebesar Rp 100.000,00 telah berhasil dilakukan, reff:250814."</t>
  </si>
  <si>
    <t>SCSBK0011_20230214-211449724.pdf</t>
  </si>
  <si>
    <t>SBK0011-008</t>
  </si>
  <si>
    <t>User melakukan menu Pembayaran Kartu Kredit (HSBC)</t>
  </si>
  <si>
    <t>PAY HSBC 4009345924428230 100000</t>
  </si>
  <si>
    <t>Transaksi berhasil dilakukan, muncul pesan "Pembayaran HSBC No.4009345924428230 sebesar Rp 100.000,00 telah berhasil dilakukan, reff:250827."</t>
  </si>
  <si>
    <t>SBK0011-009</t>
  </si>
  <si>
    <t>User melakukan menu Pembayaran Kartu Kredit (Bank Mega)</t>
  </si>
  <si>
    <t>PAY MEGA 4201920068593803 100000</t>
  </si>
  <si>
    <t>Transaksi berhasil dilakukan, muncul pesan "Pembayaran MEGA No.4201920068593803 sebesar Rp 100.000,00 telah berhasil dilakukan, reff:245861."</t>
  </si>
  <si>
    <t>SBK0011-010</t>
  </si>
  <si>
    <t>User melakukan menu Pembayaran Kartu Kredit (Bank Permata)</t>
  </si>
  <si>
    <t>PAY PERMATA 4249730000000005 100000</t>
  </si>
  <si>
    <t>SBK0011-011</t>
  </si>
  <si>
    <t>User melakukan menu Pembayaran Kartu Kredit (Standard Chartered Bank)</t>
  </si>
  <si>
    <t>PAY SCB 4511960000000009 100000</t>
  </si>
  <si>
    <t>Transaksi berhasil dilakukan, muncul pesan "Pembayaran SCB No.4511960000000009 sebesar Rp 100.000,00 telah berhasil dilakukan, reff:250908."</t>
  </si>
  <si>
    <t>SCSBK0011_20230222-143146639.pdf</t>
  </si>
  <si>
    <t>SBK0011-012</t>
  </si>
  <si>
    <t>User melakukan menu Pembayaran Kartu Kredit (Panin Bank)</t>
  </si>
  <si>
    <t>PAY PANIN 4377000000000009 100000</t>
  </si>
  <si>
    <t>Transaksi berhasil dilakukan, muncul pesan "Pembayaran PANIN No.4377000000000009 sebesar Rp 100.000,00 telah berhasil dilakukan, reff:250908."</t>
  </si>
  <si>
    <t>SCSBK0011_20230222-150343283.pdf</t>
  </si>
  <si>
    <t>SBK0011-013</t>
  </si>
  <si>
    <t>User melakukan menu Pembayaran Kartu Kredit (UOB)</t>
  </si>
  <si>
    <t>PAY UOB 4026950000000008 100000</t>
  </si>
  <si>
    <t>Transaksi berhasil dilakukan, muncul pesan "Pembayaran UOB No.4026950000000008 sebesar Rp 100.000,00 telah berhasil dilakukan, reff:250931."</t>
  </si>
  <si>
    <t>SBK0011-014</t>
  </si>
  <si>
    <t>User salah input No Kartu Kredit</t>
  </si>
  <si>
    <t>PAY BRI 1234520068593803 100000</t>
  </si>
  <si>
    <t>Transaksi gagal dilakukan, muncul pesan "Transaksi tidak diproses.Nomor Kartu Kredit/KTA tidak dikenal.Info:hub BNI Call 1500046 atau Cabang BNI terdekat."</t>
  </si>
  <si>
    <t>SCSBK0011_20230222-162155909.pdf</t>
  </si>
  <si>
    <t>SBK0011-015</t>
  </si>
  <si>
    <t>PAY BNI 3563930011130003 100000</t>
  </si>
  <si>
    <t>SCSBK0012</t>
  </si>
  <si>
    <t>SBK0012-001</t>
  </si>
  <si>
    <t>User melakukan Pembayaran Telepon Pasca Bayar</t>
  </si>
  <si>
    <t>User melakukan pembayaran telepon pasca bayar - Kartu Halo</t>
  </si>
  <si>
    <t>PAY HALO 082123083768</t>
  </si>
  <si>
    <t>Transaksi berhasil dilakukan, muncul pesan "Pby HALO 082123083768 tag: 525.000 adm: 2500 total: 527500 telah berhasil. Reff: 151301"</t>
  </si>
  <si>
    <t>SCSBK0006_20230227-111341249.pdf</t>
  </si>
  <si>
    <t>SBK0012-002</t>
  </si>
  <si>
    <t>User melakukan pembayaran telepon pasca bayar - Indosat Ooredoo</t>
  </si>
  <si>
    <t>PAY INDOSAT 082123083768</t>
  </si>
  <si>
    <t>Transaksi berhasil dilakukan, muncul pesan "Pby INDOSAT 082123083768 tag: 120.000 adm: 2500 total: 122500 telah berhasil. Reff: 151327"</t>
  </si>
  <si>
    <t>SCSBK0006_20230227-145044951.pdf</t>
  </si>
  <si>
    <t>SBK0012-003</t>
  </si>
  <si>
    <t>User melakukan pembayaran telepon pasca bayar - Telkom Pay</t>
  </si>
  <si>
    <t>PAY TELKOM 082123083768</t>
  </si>
  <si>
    <t>Transaksi berhasil dilakukan, muncul pesan "Pby TELKOM 082123083768 tag: 500.000 adm: 0 total: 500000 telah berhasil. Reff: 151329"</t>
  </si>
  <si>
    <t>SCSBK0006_20230227-151542790.pdf</t>
  </si>
  <si>
    <t>SBK0012-004</t>
  </si>
  <si>
    <t>User melakukan pembayaran telepon pasca bayar - Xplor</t>
  </si>
  <si>
    <t>PAY XPLOR 082123083768</t>
  </si>
  <si>
    <t>Transaksi berhasil dilakukan, muncul pesan "Pby XPLOR 082123083768 tag: 150.000 adm: 2500 total: 152500 telah berhasil. Reff: 156444"</t>
  </si>
  <si>
    <t>SCSBK0006_20230227-154950121.pdf</t>
  </si>
  <si>
    <t>SBK0012-005</t>
  </si>
  <si>
    <t>User melakukan pembayaran telepon pasca bayar - 3 (Tri)</t>
  </si>
  <si>
    <t>PAY 3 082123083768</t>
  </si>
  <si>
    <t>Transaksi berhasil dilakukan, muncul pesan "Pby 3 082123083768 tag: 125.000 adm: 2500 total: 127500 telah berhasil. Reff: 152680"</t>
  </si>
  <si>
    <t>SCSBK0006_20230410-165339165</t>
  </si>
  <si>
    <t>SBK0012-006</t>
  </si>
  <si>
    <t>User melakukan pembayaran telepon pasca bayar - Smartfren</t>
  </si>
  <si>
    <t>PAY SMARTFREN 082123083768</t>
  </si>
  <si>
    <t>Transaksi berhasil dilakukan, muncul pesan "Pby SMARTFREN 082123083768 tag: 100.000 adm: 2500 total: 102500 telah berhasil. Reff: 153793"</t>
  </si>
  <si>
    <t>SCSBK0006_20230410-171801572</t>
  </si>
  <si>
    <t>SBK0012-007</t>
  </si>
  <si>
    <t>User salah input No HP</t>
  </si>
  <si>
    <t>PAY HALO 08212308376</t>
  </si>
  <si>
    <t>Transaksi gagal dilakukan, muncul pesan "Transaksi tdk dpt diproses. Nomor HP Anda:08212308376 belum terdaftar BNI SMS Banking. Silahkan kunjungi Cabang BNI Terdekat"</t>
  </si>
  <si>
    <t>SBK0012-008</t>
  </si>
  <si>
    <t>SCSBK0013</t>
  </si>
  <si>
    <t>SBK0013-001</t>
  </si>
  <si>
    <t>User melakukan Pembayaran Listrik</t>
  </si>
  <si>
    <t>User melakukan Pembayaran Listrik - Tagihan Listrik PLN</t>
  </si>
  <si>
    <t>PAY PLN 150000000014</t>
  </si>
  <si>
    <t>Transaksi berhasil dilakukan, muncul pesan "21/10/22 14:11 100914V0009683942017 150000000014 PEL POSTPAID 968894 R1/1300VA Bln JUN15-AGU15 Std 00000100-00000100 Rp 300000 Adm 9000 SUKSES"</t>
  </si>
  <si>
    <t>SCSBK0013_20230227-201059909.pdf</t>
  </si>
  <si>
    <t>SBK0013-002</t>
  </si>
  <si>
    <t>User melakukan Pembayaran Listrik - TNon Tagihan Listrik</t>
  </si>
  <si>
    <t>PAY PLNNONTAGLIS 01070123</t>
  </si>
  <si>
    <t>Transaksi berhasil dilakukan, muncul pesan "21/10/22 14:15 NOMOR RECEIPT4567890 PERUBAHAN DAYA1234567890A 150000000014 08DES11 JACKY CHAN123456789012345 537123456789 Rp 250.000,00 Adm 3000 SUKSES"</t>
  </si>
  <si>
    <t>SCSBK0013_20230512-100846362</t>
  </si>
  <si>
    <t>SBK0013-003</t>
  </si>
  <si>
    <t>SCSBK0014</t>
  </si>
  <si>
    <t>SBK0014-001</t>
  </si>
  <si>
    <t>User melakukan Pembayaran BPJS</t>
  </si>
  <si>
    <t>User melakukan pembayaran BPJS Kesehatan</t>
  </si>
  <si>
    <t>PAY BPJSKES 8888801738035562 4</t>
  </si>
  <si>
    <t>Transaksi berhasil dilakukan, muncul pesan "Pby BPJS KES 8888801738035562 IDTrx:8D1EBCBD497BAAB0 PADLIAL MUBA utk 4bln Rp 25.500 adm Rp0 Jml:1 Sukses.Ref:023464"</t>
  </si>
  <si>
    <t>SCSBK0014_20230228-113047776.pdf</t>
  </si>
  <si>
    <t>SBK0014-002</t>
  </si>
  <si>
    <t>User melakukan pembayaran BPJS Ketenagakerjaan (PU)</t>
  </si>
  <si>
    <t>PAY BPJSTK PU 140520210010 1</t>
  </si>
  <si>
    <t>Transaksi berhasil dilakukan, muncul pesan "Pby BPJSTK PU 140520210010 SUMITOMO HEAVY NPP:JJ0P6895 Bulan:12/2021 Total:Rp1.800.000,00 Berhasil.Ref:252147"</t>
  </si>
  <si>
    <t>SCSBK0014_20230228-143509733.pdf</t>
  </si>
  <si>
    <t>SBK0014-003</t>
  </si>
  <si>
    <t>User melakukan pembayaran BPJS Ketenagakerjaan (BPU)</t>
  </si>
  <si>
    <t>PAY BPJSTK BPU 3174042905850005 2</t>
  </si>
  <si>
    <t>Transaksi berhasil dilakukan, muncul pesan "Pby BPJSTK BPU 3174042905850005 TEGUH PRASETYO KodeIuran:900000054765 2 bulan Total: Rp 1.500.000 Berhasil. Ref:151313"</t>
  </si>
  <si>
    <t>SCSBK0014_20230315-133806775.pdf</t>
  </si>
  <si>
    <t>SBK0014-004</t>
  </si>
  <si>
    <t>User melakukan pembayaran BPJS Ketenagakerjaan (PMI)</t>
  </si>
  <si>
    <t>PAY BPJSTK PMI 3174042905850005 1</t>
  </si>
  <si>
    <t>Transaksi berhasil dilakukan, muncul pesan "Pby BPJSTK PMI 3174042905850005 TEGUH PRASETYO KodeIuran:900000054765 12 bulan Total: Rp 3.229.200 Berhasil. Ref:136499"</t>
  </si>
  <si>
    <t>SCSBK0014_20230310-110512513.pdf</t>
  </si>
  <si>
    <t>SBK0014-005</t>
  </si>
  <si>
    <t>User salah input  Nomor Tagihan BPJS Kesehatan</t>
  </si>
  <si>
    <t>PAY BPJSKES 1234501738035562 4</t>
  </si>
  <si>
    <t>Transaksi gagal dilakukan, muncul pesan "Pembayaran untuk nomor tersebut tidak tersedia. Hubungi BNI Call di 1500046 atau 0211500046 (ponsel)."</t>
  </si>
  <si>
    <t>SCSBK0014_20230403-101701042.pdf</t>
  </si>
  <si>
    <t>SBK0014-006</t>
  </si>
  <si>
    <t xml:space="preserve">User salah input  Nomor Tagihan BPJS Ketenagakerjaan </t>
  </si>
  <si>
    <t>PAY BPJSTK PMI 1234567890150005 1</t>
  </si>
  <si>
    <t>SCSBK0014_20230512-103124020</t>
  </si>
  <si>
    <t>SBK0014-007</t>
  </si>
  <si>
    <t>User salah input PIN Transaksi BPJS Kesehatan</t>
  </si>
  <si>
    <t>SCSBK0014_20230315-161527424.pdf</t>
  </si>
  <si>
    <t>SBK0014-008</t>
  </si>
  <si>
    <t xml:space="preserve">User salah input PIN Transaksi BPJS Ketenagakerjaan </t>
  </si>
  <si>
    <t>SCSBK0014_20230315-163253620.pdf</t>
  </si>
  <si>
    <t>SCSBK0015</t>
  </si>
  <si>
    <t>SBK0015-001</t>
  </si>
  <si>
    <t>User melakukan Pembayaran PDAM &amp; IPL</t>
  </si>
  <si>
    <t>User melakukan pembayaran PDAM &amp; IPL - AETRA Air Jakarta</t>
  </si>
  <si>
    <t>PAY PAM AETRA 123456</t>
  </si>
  <si>
    <t>Transaksi berhasil dilakukan, muncul pesan "AETRA 123456 SRIYANTO SEP18 Tag:87490 Denda:284068 Total:374.058,00 Adm2500 Sukses.Ref:260083"</t>
  </si>
  <si>
    <t>SBK0015-002</t>
  </si>
  <si>
    <t>User melakukan pembayaran PDAM &amp; IPL - Air Manado</t>
  </si>
  <si>
    <t>PAY PAM Manado 3812346</t>
  </si>
  <si>
    <t>Transaksi berhasil dilakukan, muncul pesan "Manado 3812346 SRIYANTO SEP18 Tag:87490 Denda:284068 Total:374.058,00 Adm2500 Sukses.Ref:260083"</t>
  </si>
  <si>
    <t>SBK0015-003</t>
  </si>
  <si>
    <t xml:space="preserve">User melakukan Pembayaran PDAM &amp; IPL - IPL/PAM BSD </t>
  </si>
  <si>
    <t>PAY PAM BSD 11001234</t>
  </si>
  <si>
    <t>Transaksi berhasil dilakukan, muncul pesan "PAM BSD No:20032164 Nama:ROZI LAWATI Tagihan:Rp20000 Total:Rp22.500 Admin:Rp2500 Berhasil. No Reff:155464"</t>
  </si>
  <si>
    <t>SBK0015-004</t>
  </si>
  <si>
    <t>User melakukan Pembayaran PDAM &amp; IPL - PALYJA</t>
  </si>
  <si>
    <t>PAY PAM PALYJA 38123456</t>
  </si>
  <si>
    <t>Transaksi berhasil dilakukan, muncul pesan "PALYJA 38123456 a/n REPITA SIL APR13 Tag:31698 Denda:0 Total:Rp31698 Adm 0.  Berhasil. No Reff:155464"</t>
  </si>
  <si>
    <t>SBK0015-005</t>
  </si>
  <si>
    <t xml:space="preserve">User melakukan pembayaran PDAM &amp; IPL -  PDAM ATB BATAM </t>
  </si>
  <si>
    <t>PAY PAM ATBBatam 123456</t>
  </si>
  <si>
    <t>Transaksi berhasil dilakukan, muncul pesan "PDAM ATBBATAM 123456 JAELANI MEI13 Tag:0 Denda:147500 Total:150.000,00 Adm2500 Sukses.Ref:266027"</t>
  </si>
  <si>
    <t>SBK0015-006</t>
  </si>
  <si>
    <t xml:space="preserve">User melakukan pembayaran PDAM &amp; IPL -  PDAM ATS PALEMBANG </t>
  </si>
  <si>
    <t>PAY PAM ATSPalembang 123456</t>
  </si>
  <si>
    <t>Transaksi berhasil dilakukan, muncul pesan "PDAM ATSPalembang 123456 JAELANI MEI13 Tag:0 Denda:147500 Total:150.000,00 Adm2500 Sukses.Ref:266179"</t>
  </si>
  <si>
    <t>SBK0015-007</t>
  </si>
  <si>
    <t xml:space="preserve">User melakukan pembayaranPDAM &amp; IPL - PDAM Balangan </t>
  </si>
  <si>
    <t>PAY PAM Balangan 123456</t>
  </si>
  <si>
    <t>Transaksi berhasil dilakukan, muncul pesan "PDAM Balangan 123456 JAELANI MEI13 Tag:0 Denda:147500 Total:150.000,00 Adm2500 Sukses.Ref:266179"</t>
  </si>
  <si>
    <t>SBK0015-008</t>
  </si>
  <si>
    <t>User melakukan pembayaran PDAM &amp; IPL -  PDAM Balikpapan</t>
  </si>
  <si>
    <t>PAY PAM Balikpapan 123456</t>
  </si>
  <si>
    <t>Transaksi berhasil dilakukan, muncul pesan "PDAM Balikpapan 123456 JAELANI MEI13 Tag:0 Denda:147500 Total:150.000,00 Adm2500 Sukses.Ref:266179"</t>
  </si>
  <si>
    <t>SBK0015-009</t>
  </si>
  <si>
    <t>User melakukan pembayaran PDAM &amp; IPL -  PDAM Bandar Lampung</t>
  </si>
  <si>
    <t>PAY PAM BandarLampung 123456</t>
  </si>
  <si>
    <t>Transaksi berhasil dilakukan, muncul pesan "PDAM BandarLampung 123456 JAELANI MEI13 Tag:0 Denda:147500 Total:150.000,00 Adm2500 Sukses.Ref:266027"</t>
  </si>
  <si>
    <t>SBK0015-010</t>
  </si>
  <si>
    <t>User melakukan pembayaran PDAM &amp; IPL -  PDAM Bangka Barat</t>
  </si>
  <si>
    <t>PAY PAM BangkaBarat 123456</t>
  </si>
  <si>
    <t>Transaksi berhasil dilakukan, muncul pesan "PDAM BangkaBarat 123456 JAELANI MEI13 Tag:0 Denda:147500 Total:150.000,00 Adm2500 Sukses.Ref:266027"</t>
  </si>
  <si>
    <t>SBK0015-011</t>
  </si>
  <si>
    <t>User melakukan pembayaran PDAM &amp; IPL -  PDAM Banjarmasin</t>
  </si>
  <si>
    <t>PAY PAM Banjarmasin 123456</t>
  </si>
  <si>
    <t>Transaksi berhasil dilakukan, muncul pesan "PDAM Banjarmasin 123456 JAELANI MEI13 Tag:0 Denda:147500 Total:150.000,00 Adm2500 Sukses.Ref:266027"</t>
  </si>
  <si>
    <t>SBK0015-012</t>
  </si>
  <si>
    <t>User melakukan pembayaran PDAM &amp; IPL -  PDAM Banyumas</t>
  </si>
  <si>
    <t>PAY PAM Banyumas 90041801</t>
  </si>
  <si>
    <t>Transaksi berhasil dilakukan, muncul pesan "PDAM Banyumas 90041801 HAMZUN ALI JUN21 Tag:10000 Denda:5000 Total:17.500 Adm2500 Sukses.Ref:111319"</t>
  </si>
  <si>
    <t>SBK0015-013</t>
  </si>
  <si>
    <t>User melakukan pembayaran PDAM &amp; IPL -  PDAM Barabai</t>
  </si>
  <si>
    <t>PAY PAM Barabai 123456</t>
  </si>
  <si>
    <t>Transaksi berhasil dilakukan, muncul pesan "PDAM Barabai 123456 HAMZUN ALI JUN21 Tag:10000 Denda:5000 Total:17.500 Adm2500 Sukses.Ref:111319"</t>
  </si>
  <si>
    <t>SBK0015-014</t>
  </si>
  <si>
    <t>User melakukan pembayaran PDAM &amp; IPL -  PDAM Berau</t>
  </si>
  <si>
    <t>PAY PAM Berau 1234566</t>
  </si>
  <si>
    <t>Transaksi berhasil dilakukan, muncul pesan "PDAM Berau 1234566 HAMZUN ALI JUN21 Tag:10000 Denda:5000 Total:17.500 Adm2500 Sukses.Ref:111319"</t>
  </si>
  <si>
    <t>SBK0015-015</t>
  </si>
  <si>
    <t>User melakukan pembayaran PDAM &amp; IPL -  PDAM Bojonegoro</t>
  </si>
  <si>
    <t>PAY PAM Bojonegoro 123456</t>
  </si>
  <si>
    <t>Transaksi berhasil dilakukan, muncul pesan "PDAM Bojonegoro 123456 HAMZUN ALI JUN21 Tag:10000 Denda:5000 Total:17.500 Adm2500 Sukses.Ref:111319"</t>
  </si>
  <si>
    <t>SBK0015-016</t>
  </si>
  <si>
    <t>User melakukan pembayaran PDAM &amp; IPL -  PDAM - Bukit Tinggi</t>
  </si>
  <si>
    <t>PAY PAM BukitTinggi 123456</t>
  </si>
  <si>
    <t>Transaksi berhasil dilakukan, muncul pesan "PDAM BukitTinggi 123456 HAMZUN ALI JUN21 Tag:10000 Denda:5000 Total:17.500 Adm2500 Sukses.Ref:111319"</t>
  </si>
  <si>
    <t>SBK0015-017</t>
  </si>
  <si>
    <t>User melakukan pembayaran PDAM &amp; IPL -  PDAM - Bantul</t>
  </si>
  <si>
    <t>PAY PAM Bantul 123456</t>
  </si>
  <si>
    <t>Transaksi berhasil dilakukan, muncul pesan "PDAM Bantul 123456 HAMZUN ALI JUN21 Tag:10000 Denda:5000 Total:17.500 Adm2500 Sukses.Ref:111319"</t>
  </si>
  <si>
    <t>SBK0015-018</t>
  </si>
  <si>
    <t>User melakukan pembayaran PDAM &amp; IPL -  PDAM - Badung (Balu)</t>
  </si>
  <si>
    <t>PAY PAM Badung 123456</t>
  </si>
  <si>
    <t>Transaksi berhasil dilakukan, muncul pesan "PDAM Badung 123456 HAMZUN ALI JUN21 Tag:10000 Denda:5000 Total:17.500 Adm2500 Sukses.Ref:111319"</t>
  </si>
  <si>
    <t>SBK0015-019</t>
  </si>
  <si>
    <t>User melakukan pembayaran PDAM &amp; IPL - PDAM Cilacap</t>
  </si>
  <si>
    <t>PAY PAM Cilacap 123456</t>
  </si>
  <si>
    <t>Transaksi berhasil dilakukan, muncul pesan "PDAM Cilacap 123456 HAMZUN ALI JUN21 Tag:10000 Denda:5000 Total:17.500 Adm2500 Sukses.Ref:111319"</t>
  </si>
  <si>
    <t>SBK0015-020</t>
  </si>
  <si>
    <t>User melakukan pembayaran PDAM &amp; IPL  - PDAM Denpasar</t>
  </si>
  <si>
    <t>PAY PAM Denpasar 123456</t>
  </si>
  <si>
    <t>Transaksi berhasil dilakukan, muncul pesan "PDAM Denpasar 123456 HAMZUN ALI JUN21 Tag:10000 Denda:5000 Total:17.500 Adm2500 Sukses.Ref:111319"</t>
  </si>
  <si>
    <t>SBK0015-021</t>
  </si>
  <si>
    <t>User melakukan pembayaran PDAM &amp; IPL  - PDAM Depok</t>
  </si>
  <si>
    <t>PAY PAM Depok 123456</t>
  </si>
  <si>
    <t>Transaksi berhasil dilakukan, muncul pesan "PDAM Depok 123456 HAMZUN ALI JUN21 Tag:10000 Denda:5000 Total:17.500 Adm2500 Sukses.Ref:111319"</t>
  </si>
  <si>
    <t>SBK0015-022</t>
  </si>
  <si>
    <t>User melakukan pembayaran PDAM &amp; IPL  - PDAM Gunung Kidul</t>
  </si>
  <si>
    <t>PAY PAM GunungKidul 123456</t>
  </si>
  <si>
    <t>Transaksi berhasil dilakukan, muncul pesan "PDAM GunungKidul 123456 HAMZUN ALI JUN21 Tag:10000 Denda:5000 Total:17.500 Adm2500 Sukses.Ref:111319"</t>
  </si>
  <si>
    <t>SBK0015-023</t>
  </si>
  <si>
    <t>User melakukan pembayaran PDAM &amp; IPL  - PDAM Intan Banjar</t>
  </si>
  <si>
    <t>PAY PAM IntanBanjar 123456</t>
  </si>
  <si>
    <t>Transaksi berhasil dilakukan, muncul pesan "PDAM IntanBanjar 123456 HAMZUN ALI JUN21 Tag:10000 Denda:5000 Total:17.500 Adm2500 Sukses.Ref:111319"</t>
  </si>
  <si>
    <t>SBK0015-024</t>
  </si>
  <si>
    <t>User melakukan pembayaran PDAM &amp; IPL  - Jayapura</t>
  </si>
  <si>
    <t>PAY PAM Jayapura 123456</t>
  </si>
  <si>
    <t>Transaksi berhasil dilakukan, muncul pesan "PDAM Jayapura 123456 HAMZUN ALI JUN21 Tag:10000 Denda:5000 Total:17.500 Adm2500 Sukses.Ref:111319"</t>
  </si>
  <si>
    <t>SBK0015-025</t>
  </si>
  <si>
    <t>User melakukan pembayaran PDAM &amp; IPL  - PDAM Kab. Bandung</t>
  </si>
  <si>
    <t>PAY PAM KabBandung 123456</t>
  </si>
  <si>
    <t>Transaksi berhasil dilakukan, muncul pesan "PDAM KabBandung 123456 HAMZUN ALI JUN21 Tag:10000 Denda:5000 Total:17.500 Adm2500 Sukses.Ref:111319"</t>
  </si>
  <si>
    <t>SBK0015-026</t>
  </si>
  <si>
    <t>User melakukan pembayaran PDAM &amp; IPL  - PDAM Kab. Solok</t>
  </si>
  <si>
    <t>PAY PAM KabSolok 123456</t>
  </si>
  <si>
    <t>Transaksi berhasil dilakukan, muncul pesan "PDAM KabSolok 123456 HAMZUN ALI JUN21 Tag:10000 Denda:5000 Total:17.500 Adm2500 Sukses.Ref:111319"</t>
  </si>
  <si>
    <t>SBK0015-027</t>
  </si>
  <si>
    <t>User melakukan pembayaran PDAM &amp; IPL  - PDAM Kabupaten Bogor</t>
  </si>
  <si>
    <t>PAY PAM KabBogor 123456</t>
  </si>
  <si>
    <t>Transaksi berhasil dilakukan, muncul pesan "PDAM KabBogor 123456 HAMZUN ALI JUN21 Tag:10000 Denda:5000 Total:17.500 Adm2500 Sukses.Ref:111319"</t>
  </si>
  <si>
    <t>SBK0015-028</t>
  </si>
  <si>
    <t>User melakukan pembayaran PDAM &amp; IPL  - PDAM Kab. Agam</t>
  </si>
  <si>
    <t>PAY PAM KabAgam 123456</t>
  </si>
  <si>
    <t>Transaksi berhasil dilakukan, muncul pesan "PDAM KabAgam 123456 HAMZUN ALI JUN21 Tag:10000 Denda:5000 Total:17.500 Adm2500 Sukses.Ref:111319"</t>
  </si>
  <si>
    <t>SBK0015-029</t>
  </si>
  <si>
    <t>User melakukan pembayaran PDAM &amp; IPL  - PDAM Kab, Kulon Progo</t>
  </si>
  <si>
    <t>PAY PAM KabKulon Progo 123456</t>
  </si>
  <si>
    <t>Transaksi berhasil dilakukan, muncul pesan "PDAM KabKulon Progo 123456 HAMZUN ALI JUN21 Tag:10000 Denda:5000 Total:17.500 Adm2500 Sukses.Ref:111319"</t>
  </si>
  <si>
    <t>SBK0015-030</t>
  </si>
  <si>
    <t>User melakukan pembayaran PDAM &amp; IPL  - PDAM Kab. Lumajang</t>
  </si>
  <si>
    <t>PAY PAM KabLumajang 123456</t>
  </si>
  <si>
    <t>Transaksi berhasil dilakukan, muncul pesan "PDAM  KabLumajang 123456 HAMZUN ALI JUN21 Tag:10000 Denda:5000 Total:17.500 Adm2500 Sukses.Ref:111319"</t>
  </si>
  <si>
    <t>SBK0015-031</t>
  </si>
  <si>
    <t>User melakukan pembayaran PDAM &amp; IPL  - PDAM Kab. Karawang</t>
  </si>
  <si>
    <t>PAY PAM KabKarawang 123456</t>
  </si>
  <si>
    <t>Transaksi berhasil dilakukan, muncul pesan "PDAM  KabKarawang 123456 HAMZUN ALI JUN21 Tag:10000 Denda:5000 Total:17.500 Adm2500 Sukses.Ref:111319"</t>
  </si>
  <si>
    <t>SBK0015-032</t>
  </si>
  <si>
    <t>User melakukan pembayaran PDAM &amp; IPL  - PDAM Klaten</t>
  </si>
  <si>
    <t>PAY PAM Klaten 123456</t>
  </si>
  <si>
    <t>Transaksi berhasil dilakukan, muncul pesan "PDAM Klaten 123456 HAMZUN ALI JUN21 Tag:10000 Denda:5000 Total:17.500 Adm2500 Sukses.Ref:111319"</t>
  </si>
  <si>
    <t>SBK0015-033</t>
  </si>
  <si>
    <t>User melakukan pembayaran PDAM &amp; IPL  - PDAM Kendal</t>
  </si>
  <si>
    <t>PAY PAM Kendal 123456</t>
  </si>
  <si>
    <t>Transaksi berhasil dilakukan, muncul pesan "PDAM Kendal 123456 HAMZUN ALI JUN21 Tag:10000 Denda:5000 Total:17.500 Adm2500 Sukses.Ref:111319"</t>
  </si>
  <si>
    <t>SBK0015-034</t>
  </si>
  <si>
    <t>User melakukan pembayaran PDAM &amp; IPL  - PDAM Kubu Raya</t>
  </si>
  <si>
    <t>PAY PAM KubuRaya 123456</t>
  </si>
  <si>
    <t>Transaksi berhasil dilakukan, muncul pesan "PDAM KubuRaya 123456 HAMZUN ALI JUN21 Tag:10000 Denda:5000 Total:17.500 Adm2500 Sukses.Ref:111319"</t>
  </si>
  <si>
    <t>SBK0015-035</t>
  </si>
  <si>
    <t>User melakukan pembayaran PDAM &amp; IPL  - PDAM Kota Bandung</t>
  </si>
  <si>
    <t>PAY PAM Bandung 123456</t>
  </si>
  <si>
    <t>Transaksi berhasil dilakukan, muncul pesan "PDAM Bandung 123456 HAMZUN ALI JUN21 Tag:10000 Denda:5000 Total:17.500 Adm2500 Sukses.Ref:111319"</t>
  </si>
  <si>
    <t>SBK0015-036</t>
  </si>
  <si>
    <t>User melakukan pembayaran PDAM &amp; IPL  - PDAM Kota Bekasi</t>
  </si>
  <si>
    <t>PAY PAM Bekasi 123456</t>
  </si>
  <si>
    <t>Transaksi berhasil dilakukan, muncul pesan "PDAM Bekasi 123456 HAMZUN ALI JUN21 Tag:10000 Denda:5000 Total:17.500 Adm2500 Sukses.Ref:111319"</t>
  </si>
  <si>
    <t>SBK0015-037</t>
  </si>
  <si>
    <t>User melakukan pembayaran PDAM &amp; IPL  - PDAM Kota Bogor</t>
  </si>
  <si>
    <t>PAY PAM Bogor 123456</t>
  </si>
  <si>
    <t>Transaksi berhasil dilakukan, muncul pesan "PDAM Bogor 123456 HAMZUN ALI JUN21 Tag:10000 Denda:5000 Total:17.500 Adm2500 Sukses.Ref:111319"</t>
  </si>
  <si>
    <t>SBK0015-038</t>
  </si>
  <si>
    <t>User melakukan pembayaran PDAM &amp; IPL  - PDAM Kota Malang</t>
  </si>
  <si>
    <t>PAY PAM Malang 123456</t>
  </si>
  <si>
    <t>Transaksi berhasil dilakukan, muncul pesan "PDAM Malang 123456 HAMZUN ALI JUN21 Tag:10000 Denda:5000 Total:17.500 Adm2500 Sukses.Ref:111319"</t>
  </si>
  <si>
    <t>SBK0015-039</t>
  </si>
  <si>
    <t>User melakukan pembayaran PDAM &amp; IPL  - PDAM Kota Semarang</t>
  </si>
  <si>
    <t>PAY PAM Semarang 123456</t>
  </si>
  <si>
    <t>Transaksi berhasil dilakukan, muncul pesan "PDAM Semarang 123456 HAMZUN ALI JUN21 Tag:10000 Denda:5000 Total:17.500 Adm2500 Sukses.Ref:111319"</t>
  </si>
  <si>
    <t>SBK0015-040</t>
  </si>
  <si>
    <t>User melakukan pembayaran PDAM &amp; IPL  - PDAM Kota Surabayar</t>
  </si>
  <si>
    <t>SBK0015-041</t>
  </si>
  <si>
    <t>User melakukan pembayaran PDAM &amp; IPL  - PDAM Kota Batu</t>
  </si>
  <si>
    <t>PAY PAM KotaBatu 123456</t>
  </si>
  <si>
    <t>Transaksi berhasil dilakukan, muncul pesan "PDAM KotaBatu 123456 HAMZUN ALI JUN21 Tag:10000 Denda:5000 Total:17.500 Adm2500 Sukses.Ref:111319"</t>
  </si>
  <si>
    <t>SBK0015-042</t>
  </si>
  <si>
    <t>User melakukan pembayaran PDAM &amp; IPL  - PDAM Lubur Sikaping (Pasaman)</t>
  </si>
  <si>
    <t>PAY PAM LubukSikaping 123456</t>
  </si>
  <si>
    <t>Transaksi berhasil dilakukan, muncul pesan "PDAM LubukSikaping 123456 HAMZUN ALI JUN21 Tag:10000 Denda:5000 Total:17.500 Adm2500 Sukses.Ref:111319"</t>
  </si>
  <si>
    <t>SBK0015-043</t>
  </si>
  <si>
    <t>User melakukan pembayaran PDAM &amp; IPL - PDAM Makassar</t>
  </si>
  <si>
    <t>PAY PAM Makassar 123456</t>
  </si>
  <si>
    <t>Transaksi berhasil dilakukan, muncul pesan "PDAM Makassar 123456 HAMZUN ALI JUN21 Tag:10000 Denda:5000 Total:17.500 Adm2500 Sukses.Ref:111319"</t>
  </si>
  <si>
    <t>SBK0015-044</t>
  </si>
  <si>
    <t>User melakukan pembayaran PDAM &amp; IPL  - PDAM Mamuju</t>
  </si>
  <si>
    <t>PAY PAM Mamuju 123456</t>
  </si>
  <si>
    <t>Transaksi berhasil dilakukan, muncul pesan "PDAM Mamuju 123456 HAMZUN ALI JUN21 Tag:10000 Denda:5000 Total:17.500 Adm2500 Sukses.Ref:111319"</t>
  </si>
  <si>
    <t>SBK0015-045</t>
  </si>
  <si>
    <t>User melakukan pembayaran PDAM &amp; IPL  - PDAM Mataram</t>
  </si>
  <si>
    <t>PAY PAM Mataram 123456</t>
  </si>
  <si>
    <t>Transaksi berhasil dilakukan, muncul pesan "PDAM Mataram 123456 HAMZUN ALI JUN21 Tag:10000 Denda:5000 Total:17.500 Adm2500 Sukses.Ref:111319"</t>
  </si>
  <si>
    <t>SBK0015-046</t>
  </si>
  <si>
    <t>User melakukan pembayaran PDAM &amp; IPL  - PDAM Padang</t>
  </si>
  <si>
    <t>PAY PAM Padang 123456</t>
  </si>
  <si>
    <t>Transaksi berhasil dilakukan, muncul pesan "PDAM Padang 123456 HAMZUN ALI JUN21 Tag:10000 Denda:5000 Total:17.500 Adm2500 Sukses.Ref:111319"</t>
  </si>
  <si>
    <t>SBK0015-047</t>
  </si>
  <si>
    <t>User melakukan pembayaran PDAM &amp; IPL  - PDAM Padang Panjang</t>
  </si>
  <si>
    <t>PAY PAM PadangPanjang 123456</t>
  </si>
  <si>
    <t>Transaksi berhasil dilakukan, muncul pesan "PDAM PadangPanjang 123456 HAMZUN ALI JUN21 Tag:10000 Denda:5000 Total:17.500 Adm2500 Sukses.Ref:111319"</t>
  </si>
  <si>
    <t>SBK0015-048</t>
  </si>
  <si>
    <t>User melakukan pembayaran PDAM &amp; IPL  - PDAM Palembang</t>
  </si>
  <si>
    <t>PAY PAM Palembang 123456</t>
  </si>
  <si>
    <t>Transaksi berhasil dilakukan, muncul pesan "PDAM Palembang 123456 HAMZUN ALI JUN21 Tag:10000 Denda:5000 Total:17.500 Adm2500 Sukses.Ref:111319"</t>
  </si>
  <si>
    <t>SBK0015-049</t>
  </si>
  <si>
    <t>User melakukan pembayaran PDAM &amp; IPL  - PDAM Payakumbuh</t>
  </si>
  <si>
    <t>PAY PAM Payakumbuh 123456</t>
  </si>
  <si>
    <t>Transaksi berhasil dilakukan, muncul pesan "PDAM Payakumbuh 123456 HAMZUN ALI JUN21 Tag:10000 Denda:5000 Total:17.500 Adm2500 Sukses.Ref:111319"</t>
  </si>
  <si>
    <t>SBK0015-050</t>
  </si>
  <si>
    <t>User melakukan pembayaran PDAM &amp; IPL  - PDAM Polewali</t>
  </si>
  <si>
    <t>PAY PAM Polewali 123456</t>
  </si>
  <si>
    <t>Transaksi berhasil dilakukan, muncul pesan "PDAM Polewali 123456 HAMZUN ALI JUN21 Tag:10000 Denda:5000 Total:17.500 Adm2500 Sukses.Ref:111319"</t>
  </si>
  <si>
    <t>SBK0015-051</t>
  </si>
  <si>
    <t>User melakukan pembayaran PDAM &amp; IPL  - PDAM Pontianak</t>
  </si>
  <si>
    <t>PAY PAM Pontianak 123456</t>
  </si>
  <si>
    <t>Transaksi berhasil dilakukan, muncul pesan "PDAM Pontianak 123456 HAMZUN ALI JUN21 Tag:10000 Denda:5000 Total:17.500 Adm2500 Sukses.Ref:111319"</t>
  </si>
  <si>
    <t>SBK0015-052</t>
  </si>
  <si>
    <t>User melakukan pembayaran PDAM &amp; IPL  - PDAM Probolinggo</t>
  </si>
  <si>
    <t>PAY PAM Probolinggo 123456</t>
  </si>
  <si>
    <t>Transaksi berhasil dilakukan, muncul pesan "PDAM Probolinggo 123456 HAMZUN ALI JUN21 Tag:10000 Denda:5000 Total:17.500 Adm2500 Sukses.Ref:111319"</t>
  </si>
  <si>
    <t>SBK0015-053</t>
  </si>
  <si>
    <t>User melakukan pembayaran PDAM &amp; IPL  - PDAM Purworejo</t>
  </si>
  <si>
    <t>PAY PAM Purworejo 123456</t>
  </si>
  <si>
    <t>Transaksi berhasil dilakukan, muncul pesan "PDAM Purworejo 123456 HAMZUN ALI JUN21 Tag:10000 Denda:5000 Total:17.500 Adm2500 Sukses.Ref:111319"</t>
  </si>
  <si>
    <t>SBK0015-054</t>
  </si>
  <si>
    <t>User melakukan pembayaran PDAM &amp; IPL  - PDAM Purwakarta</t>
  </si>
  <si>
    <t>PAY PAM Purwakarta 123456</t>
  </si>
  <si>
    <t>Transaksi berhasil dilakukan, muncul pesan "PDAM Purwakarta 123456 HAMZUN ALI JUN21 Tag:10000 Denda:5000 Total:17.500 Adm2500 Sukses.Ref:111319"</t>
  </si>
  <si>
    <t>SBK0015-055</t>
  </si>
  <si>
    <t>User melakukan pembayaran PDAM &amp; IPL  - PDAM Pesawaran</t>
  </si>
  <si>
    <t>PAY PAM Pesawaran 123456</t>
  </si>
  <si>
    <t>Transaksi berhasil dilakukan, muncul pesan "PDAM Pesawaran 123456 HAMZUN ALI JUN21 Tag:10000 Denda:5000 Total:17.500 Adm2500 Sukses.Ref:111319"</t>
  </si>
  <si>
    <t>SBK0015-056</t>
  </si>
  <si>
    <t>User melakukan pembayaran PDAM &amp; IPL  - PDAM Kotarawingin barat / Pangkalan Bun</t>
  </si>
  <si>
    <t>PAY PAM KotawaringinBarat 123456</t>
  </si>
  <si>
    <t>Transaksi berhasil dilakukan, muncul pesan "PDAM KotawaringinBarat 123456 HAMZUN ALI JUN21 Tag:10000 Denda:5000 Total:17.500 Adm2500 Sukses.Ref:111319"</t>
  </si>
  <si>
    <t>SBK0015-057</t>
  </si>
  <si>
    <t>User melakukan pembayaran PDAM &amp; IPL  - PDAM Samarinda</t>
  </si>
  <si>
    <t>PAY PAM Samarinda 123456</t>
  </si>
  <si>
    <t>Transaksi berhasil dilakukan, muncul pesan "PDAM Samarinda 123456 HAMZUN ALI JUN21 Tag:10000 Denda:5000 Total:17.500 Adm2500 Sukses.Ref:111319"</t>
  </si>
  <si>
    <t>SBK0015-058</t>
  </si>
  <si>
    <t>User melakukan pembayaran PDAM &amp; IPL  - PDAM Sampir</t>
  </si>
  <si>
    <t>PAY PAM Sampir 123456</t>
  </si>
  <si>
    <t>Transaksi berhasil dilakukan, muncul pesan "PDAM Sampir 123456 HAMZUN ALI JUN21 Tag:10000 Denda:5000 Total:17.500 Adm2500 Sukses.Ref:111319"</t>
  </si>
  <si>
    <t>SBK0015-059</t>
  </si>
  <si>
    <t>User melakukan pembayaran PDAM &amp; IPL  - PDAM Sidoarjo</t>
  </si>
  <si>
    <t>PAY PAM Sidoarjo 123456</t>
  </si>
  <si>
    <t>Transaksi berhasil dilakukan, muncul pesan "PDAM Sidoarjo 123456 HAMZUN ALI JUN21 Tag:10000 Denda:5000 Total:17.500 Adm2500 Sukses.Ref:111319"</t>
  </si>
  <si>
    <t>SBK0015-060</t>
  </si>
  <si>
    <t>User melakukan pembayaran PDAM &amp; IPL  -  PADAM Solo</t>
  </si>
  <si>
    <t>PAY PAM Solo 123456</t>
  </si>
  <si>
    <t>Transaksi berhasil dilakukan, muncul pesan "PDAM Solo 123456 HAMZUN ALI JUN21 Tag:10000 Denda:5000 Total:17.500 Adm2500 Sukses.Ref:111319"</t>
  </si>
  <si>
    <t>SBK0015-061</t>
  </si>
  <si>
    <t>User melakukan pembayaran PDAM &amp; IPL  -  PDAM Tanah Datar</t>
  </si>
  <si>
    <t>PAY PAM TanahDatar 123456</t>
  </si>
  <si>
    <t>Transaksi berhasil dilakukan, muncul pesan "PDAM TanahDatar 123456 HAMZUN ALI JUN21 Tag:10000 Denda:5000 Total:17.500 Adm2500 Sukses.Ref:111319"</t>
  </si>
  <si>
    <t>SBK0015-062</t>
  </si>
  <si>
    <t>User melakukan pembayaran PDAM &amp; IPL  -  PDAM Tobelo</t>
  </si>
  <si>
    <t>PAY PAM Tobelo 123456</t>
  </si>
  <si>
    <t>Transaksi berhasil dilakukan, muncul pesan "PDAM Tobelo 123456 HAMZUN ALI JUN21 Tag:10000 Denda:5000 Total:17.500 Adm2500 Sukses.Ref:111319"</t>
  </si>
  <si>
    <t>SBK0015-063</t>
  </si>
  <si>
    <t>User melakukan pembayaran PDAM &amp; IPL  -  PDAM Ternate</t>
  </si>
  <si>
    <t>PAY PAM Ternate 123456</t>
  </si>
  <si>
    <t>Transaksi berhasil dilakukan, muncul pesan "PDAM Ternate 123456 HAMZUN ALI JUN21 Tag:10000 Denda:5000 Total:17.500 Adm2500 Sukses.Ref:111319"</t>
  </si>
  <si>
    <t>SBK0015-064</t>
  </si>
  <si>
    <t>User melakukan pembayaran PDAM &amp; IPL  -  PDAM Temanggung</t>
  </si>
  <si>
    <t>PAY PAM Temanggung 123456</t>
  </si>
  <si>
    <t>Transaksi berhasil dilakukan, muncul pesan "PDAM Temanggung 123456 HAMZUN ALI JUN21 Tag:10000 Denda:5000 Total:17.500 Adm2500 Sukses.Ref:111319"</t>
  </si>
  <si>
    <t>SBK0015-065</t>
  </si>
  <si>
    <t>User melakukan pembayaran PDAM &amp; IPL  -  PDAM Wonosobo</t>
  </si>
  <si>
    <t>PAY PAM Wonosobo 123456</t>
  </si>
  <si>
    <t>Transaksi berhasil dilakukan, muncul pesan "PDAM Wonosobo 123456 HAMZUN ALI JUN21 Tag:10000 Denda:5000 Total:17.500 Adm2500 Sukses.Ref:111319"</t>
  </si>
  <si>
    <t>SBK0015-066</t>
  </si>
  <si>
    <t>User melakukan pembayaran PDAM &amp; IPL  -  Cianjur</t>
  </si>
  <si>
    <t>PAY PAM Cianjur 01030101</t>
  </si>
  <si>
    <t>Transaksi berhasil dilakukan, muncul pesan "PDAM Cianjur 01030101 PELANGG_PA FEB17 Tag:16750 Denda:0 Total:19.250 Adm2500 Sukses.Ref:352035"</t>
  </si>
  <si>
    <t>SBK0015-067</t>
  </si>
  <si>
    <t>User melakukan pembayaran PDAM &amp; IPL  -  Kab, Indramayu</t>
  </si>
  <si>
    <t>PAY PAM KabIndramayu 02004015341</t>
  </si>
  <si>
    <t>Transaksi berhasil dilakukan, muncul pesan "PDAM KabIndramayu 02004015341 PELANGG_ID FEB17 Tag:16750 Denda:0 Total:19.250 Adm2500 Sukses.Ref:367213"</t>
  </si>
  <si>
    <t>SBK0015-068</t>
  </si>
  <si>
    <t>User melakukan pembayaran PDAM &amp; IPL  -  Tasikmalaya</t>
  </si>
  <si>
    <t>PAY PAM Tasikmalaya 0101032221</t>
  </si>
  <si>
    <t>Transaksi berhasil dilakukan, muncul pesan "PDAM Tasikmalaya 0101032221 PELANGG_PA FEB17 Tag:16750 Denda:0 Total:19.250 Adm2500 Sukses.Ref:373609"</t>
  </si>
  <si>
    <t>SBK0015-069</t>
  </si>
  <si>
    <t>User melakukan pembayaran PDAM &amp; IPL  -  Subang</t>
  </si>
  <si>
    <t>PAY PAM Subang 027071</t>
  </si>
  <si>
    <t>Transaksi berhasil dilakukan, muncul pesan "PDAM Subang 027071 PELANGG_SU FEB17 Tag:16750 Denda:0 Total:19.250 Adm2500 Sukses.Ref:375175"</t>
  </si>
  <si>
    <t>SBK0015-070</t>
  </si>
  <si>
    <t>User melakukan pembayaran PDAM &amp; IPL  -  Sukabumi</t>
  </si>
  <si>
    <t>PAY PAM Sukabumi 01010630276</t>
  </si>
  <si>
    <t>Transaksi berhasil dilakukan, muncul pesan "PDAM Sukabumi 01010630276 STEFFEN SEP21 Tag:63719 Denda:0 Total:65.719 Adm2000 Sukses.Ref:132566"</t>
  </si>
  <si>
    <t>SBK0015-071</t>
  </si>
  <si>
    <t>User melakukan pembayaran PDAM &amp; IPL  -  Gresik</t>
  </si>
  <si>
    <t>PAY PAM Gresik 7200321</t>
  </si>
  <si>
    <t>Transaksi berhasil dilakukan, muncul pesan "PDAM Gresik 7200321 PELANGG_GR FEB17 Tag:16750 Denda:0 Total:19.250 Adm2500 Sukses.Ref:395096"</t>
  </si>
  <si>
    <t>SBK0015-072</t>
  </si>
  <si>
    <t>User melakukan pembayaran PDAM &amp; IPL - Pasuruan</t>
  </si>
  <si>
    <t>PAY PAM Pasuruan 02010012</t>
  </si>
  <si>
    <t>Transaksi berhasil dilakukan, muncul pesan "PDAM Pasuruan 02010012 PELANGG_PS JAN17 Tag:33500 Denda:3000 Total:39.500 Adm3000 Sukses.Ref:349140"</t>
  </si>
  <si>
    <t>SBK0015-073</t>
  </si>
  <si>
    <t>User melakukan pembayaran PDAM &amp; IPL  -  Kab, Sukabumi</t>
  </si>
  <si>
    <t xml:space="preserve">PAY PAM KabSukabumi 02030010861 </t>
  </si>
  <si>
    <t>Transaksi berhasil dilakukan, muncul pesan "PDAM KabSukabumi 02030010861 PELANGG_KA FEB17 Tag:16750 Denda:0 Total:19.250 Adm2500 Sukses.Ref:395351"</t>
  </si>
  <si>
    <t>SBK0015-074</t>
  </si>
  <si>
    <t>User melakukan pembayaran PDAM &amp; IPL  - Kab. Boyolali</t>
  </si>
  <si>
    <t xml:space="preserve">PAY PAM KabBoyolali 02030010861 </t>
  </si>
  <si>
    <t>Transaksi berhasil dilakukan, muncul pesan "PDAM KabBoyolali 02030010861 PELANGG_KA FEB17 Tag:16750 Denda:0 Total:19.250 Adm2500 Sukses.Ref:395351"</t>
  </si>
  <si>
    <t>SBK0015-075</t>
  </si>
  <si>
    <t>User melakukan pembayaran PDAM &amp; IPL  - Kab. Malang</t>
  </si>
  <si>
    <t xml:space="preserve">PAY PAM KabMalang 02030010861 </t>
  </si>
  <si>
    <t>Transaksi berhasil dilakukan, muncul pesan "PDAM KabMalang 02030010861 PELANGG_KA FEB17 Tag:16750 Denda:0 Total:19.250 Adm2500 Sukses.Ref:395351"</t>
  </si>
  <si>
    <t>SBK0015-076</t>
  </si>
  <si>
    <t>User melakukan pembayaran PDAM &amp; IPL  - Kab. Kebumen</t>
  </si>
  <si>
    <t xml:space="preserve">PAY PAM KabKabumen 123456 </t>
  </si>
  <si>
    <t>Transaksi berhasil dilakukan, muncul pesan "PDAM KabKabumen 02030010861 PELANGG_KA FEB17 Tag:16750 Denda:0 Total:19.250 Adm2500 Sukses.Ref:395351"</t>
  </si>
  <si>
    <t>SBK0015-077</t>
  </si>
  <si>
    <t>User melakukan pembayaran PDAM &amp; IPL  - Kab. Kudus</t>
  </si>
  <si>
    <t xml:space="preserve">PAY PAM KabKudus 02030010861 </t>
  </si>
  <si>
    <t>Transaksi berhasil dilakukan, muncul pesan "PDAM KabKudus 02030010861 PELANGG_KA FEB17 Tag:16750 Denda:0 Total:19.250 Adm2500 Sukses.Ref:395351"</t>
  </si>
  <si>
    <t>SBK0015-078</t>
  </si>
  <si>
    <t>User melakukan pembayaran PDAM &amp; IPL  - Kab. Pati (Tirta Bening)</t>
  </si>
  <si>
    <t xml:space="preserve">PAY PAM KabPati 123456 </t>
  </si>
  <si>
    <t>Transaksi berhasil dilakukan, muncul pesan "PDAM KabPati 123456 PELANGG_KA FEB17 Tag:16750 Denda:0 Total:19.250 Adm2500 Sukses.Ref:395351"</t>
  </si>
  <si>
    <t>SBK0015-079</t>
  </si>
  <si>
    <t>User melakukan pembayaran PDAM &amp; IPL  - Magelang</t>
  </si>
  <si>
    <t xml:space="preserve">PAY PAM Magelang 123456 </t>
  </si>
  <si>
    <t>Transaksi berhasil dilakukan, muncul pesan "PDAM Magelang 123456 PELANGG_KA FEB17 Tag:16750 Denda:0 Total:19.250 Adm2500 Sukses.Ref:395351"</t>
  </si>
  <si>
    <t>SBK0015-080</t>
  </si>
  <si>
    <t>User melakukan pembayaran PDAM &amp; IPL  - Kab. Situbondo</t>
  </si>
  <si>
    <t xml:space="preserve">PAY PAM KabSitubondo 123456 </t>
  </si>
  <si>
    <t>Transaksi berhasil dilakukan, muncul pesan "PDAM KabSitubondo 123456 PELANGG_KA FEB17 Tag:16750 Denda:0 Total:19.250 Adm2500 Sukses.Ref:395351"</t>
  </si>
  <si>
    <t>SBK0015-081</t>
  </si>
  <si>
    <t>User melakukan pembayaran PDAM &amp; IPL  - Madiun</t>
  </si>
  <si>
    <t xml:space="preserve">PAY PAM Madiun 123456 </t>
  </si>
  <si>
    <t>Transaksi berhasil dilakukan, muncul pesan "PDAM Madiun 123456 PELANGG_KA FEB17 Tag:16750 Denda:0 Total:19.250 Adm2500 Sukses.Ref:395351"</t>
  </si>
  <si>
    <t>SBK0015-082</t>
  </si>
  <si>
    <t>User melakukan pembayaran PDAM &amp; IPL  - Kab. Jepara</t>
  </si>
  <si>
    <t xml:space="preserve">PAY PAM KabJepara 123456 </t>
  </si>
  <si>
    <t>Transaksi berhasil dilakukan, muncul pesan "PDAM KabJepara 123456 PELANGG_KA FEB17 Tag:16750 Denda:0 Total:19.250 Adm2500 Sukses.Ref:395351"</t>
  </si>
  <si>
    <t>SBK0015-083</t>
  </si>
  <si>
    <t>User melakukan pembayaran PDAM &amp; IPL  - Kab. Banyuwangi</t>
  </si>
  <si>
    <t xml:space="preserve">PAY PAM KabBanyuwangi 123456 </t>
  </si>
  <si>
    <t>Transaksi berhasil dilakukan, muncul pesan "PDAM KabBanyuwangi 123456 PELANGG_KA FEB17 Tag:16750 Denda:0 Total:19.250 Adm2500 Sukses.Ref:395351"</t>
  </si>
  <si>
    <t>SBK0015-084</t>
  </si>
  <si>
    <t>User melakukan pembayaran PDAM &amp; IPL  - Kab. Jember</t>
  </si>
  <si>
    <t xml:space="preserve">PAY PAM KabJember 123456 </t>
  </si>
  <si>
    <t>Transaksi berhasil dilakukan, muncul pesan "PDAM Kabjember 123456 PELANGG_KA FEB17 Tag:16750 Denda:0 Total:19.250 Adm2500 Sukses.Ref:395351"</t>
  </si>
  <si>
    <t>SBK0015-085</t>
  </si>
  <si>
    <t>User melakukan pembayaran PDAM &amp; IPL  - Kab. Jombang</t>
  </si>
  <si>
    <t xml:space="preserve">PAY PAM KabJombang 123456 </t>
  </si>
  <si>
    <t>Transaksi berhasil dilakukan, muncul pesan "PDAM KabJombang 123456 PELANGG_KA FEB17 Tag:16750 Denda:0 Total:19.250 Adm2500 Sukses.Ref:395351"</t>
  </si>
  <si>
    <t>SBK0015-086</t>
  </si>
  <si>
    <t>User melakukan pembayaran PDAM &amp; IPL  - Kab. Garut</t>
  </si>
  <si>
    <t xml:space="preserve">PAY PAM KabJomKabGarut 123456 </t>
  </si>
  <si>
    <t>Transaksi berhasil dilakukan, muncul pesan "PDAM KabGarut 123456 PELANGG_KA FEB17 Tag:16750 Denda:0 Total:19.250 Adm2500 Sukses.Ref:395351"</t>
  </si>
  <si>
    <t>SBK0015-087</t>
  </si>
  <si>
    <t>User melakukan pembayaran PDAM &amp; IPL  - Pekalongan</t>
  </si>
  <si>
    <t xml:space="preserve">PAY PAM Pekalongan 123456 </t>
  </si>
  <si>
    <t>Transaksi berhasil dilakukan, muncul pesan "PDAM Pekalongan 123456 PELANGG_KA FEB17 Tag:16750 Denda:0 Total:19.250 Adm2500 Sukses.Ref:395351"</t>
  </si>
  <si>
    <t>SBK0015-088</t>
  </si>
  <si>
    <t>User melakukan pembayaran PDAM &amp; IPL  - Ponorogo</t>
  </si>
  <si>
    <t xml:space="preserve">PAY PAM Pnorogo123456 </t>
  </si>
  <si>
    <t>Transaksi berhasil dilakukan, muncul pesan "PDAM Pnorogo 123456 PELANGG_KA FEB17 Tag:16750 Denda:0 Total:19.250 Adm2500 Sukses.Ref:395351"</t>
  </si>
  <si>
    <t>SBK0015-089</t>
  </si>
  <si>
    <t>User melakukan pembayaran PDAM &amp; IPL  - Tirtanadi</t>
  </si>
  <si>
    <t xml:space="preserve">PAY PAM Tirtanadi 0101420006 </t>
  </si>
  <si>
    <t>Transaksi berhasil dilakukan, muncul pesan "PDAM Tirtanadi 0101420006 WONG LAI J NOV17 Tag:52740 Denda:0 Total:55.240 Adm2500 Sukses.Ref:377560"</t>
  </si>
  <si>
    <t>SBK0015-090</t>
  </si>
  <si>
    <t>User melakukan pembayaran PDAM &amp; IPL  - Solok</t>
  </si>
  <si>
    <t xml:space="preserve">PAY PAM Solok 123456 </t>
  </si>
  <si>
    <t>Transaksi berhasil dilakukan, muncul pesan "PDAM Solok 123456 PELANGG_KA FEB17 Tag:16750 Denda:0 Total:19.250 Adm2500 Sukses.Ref:395351"</t>
  </si>
  <si>
    <t>SBK0015-091</t>
  </si>
  <si>
    <t>User melakukan pe mbayaran PDAM &amp; IPL  - PDAM Kab. Wonogiri</t>
  </si>
  <si>
    <t xml:space="preserve">PAY PAM KabWonogiri 123456 </t>
  </si>
  <si>
    <t>Transaksi berhasil dilakukan, muncul pesan "PDAM KabWonogiri 123456 PELANGG_KA FEB17 Tag:16750 Denda:0 Total:19.250 Adm2500 Sukses.Ref:395351"</t>
  </si>
  <si>
    <t>SBK0015-092</t>
  </si>
  <si>
    <t>User melakukan pembayaran PDAM &amp; IPL  - PDAM Dharma Bengkulu</t>
  </si>
  <si>
    <t xml:space="preserve">PAY PAM DharmaBenkulu 123456 </t>
  </si>
  <si>
    <t>Transaksi berhasil dilakukan, muncul pesan "PDAM DharmaBengkulu 123456 PELANGG_KA FEB17 Tag:16750 Denda:0 Total:19.250 Adm2500 Sukses.Ref:395351"</t>
  </si>
  <si>
    <t>SBK0015-093</t>
  </si>
  <si>
    <t>User melakukan pembayaran PDAM &amp; IPL  - PDAM Kabupaten Tirta Bangka</t>
  </si>
  <si>
    <t xml:space="preserve">PAY PAM KabBangka 123456 </t>
  </si>
  <si>
    <t>Transaksi berhasil dilakukan, muncul pesan "PDAM KabBangka 123456 PELANGG_KA FEB17 Tag:16750 Denda:0 Total:19.250 Adm2500 Sukses.Ref:395351"</t>
  </si>
  <si>
    <t>SBK0015-094</t>
  </si>
  <si>
    <t>User melakukan pembayaran PDAM &amp; IPL  - PDAM Kab Bangkalan</t>
  </si>
  <si>
    <t xml:space="preserve">PAY PAM KabBangkalan 123456 </t>
  </si>
  <si>
    <t>Transaksi berhasil dilakukan, muncul pesan "PDAM KabBangkalan 123456 PELANGG_KA FEB17 Tag:16750 Denda:0 Total:19.250 Adm2500 Sukses.Ref:395351"</t>
  </si>
  <si>
    <t>SBK0015-095</t>
  </si>
  <si>
    <t>User melakukan pembayaran PDAM &amp; IPL  - PDAM Kabupaten Bangli</t>
  </si>
  <si>
    <t xml:space="preserve">PAY PAM KabBangli 123456 </t>
  </si>
  <si>
    <t>Transaksi berhasil dilakukan, muncul pesan "PDAM KabBangli 123456 PELANGG_KA FEB17 Tag:16750 Denda:0 Total:19.250 Adm2500 Sukses.Ref:395351"</t>
  </si>
  <si>
    <t>SBK0015-096</t>
  </si>
  <si>
    <t>User melakukan pembayaran PDAM &amp; IPL  - PDAM Kabupaten Bantaeng</t>
  </si>
  <si>
    <t xml:space="preserve">PAY PAM KabBantaeng 123456 </t>
  </si>
  <si>
    <t>Transaksi berhasil dilakukan, muncul pesan "PDAM KabBantaeng 123456 PELANGG_KA FEB17 Tag:16750 Denda:0 Total:19.250 Adm2500 Sukses.Ref:395351"</t>
  </si>
  <si>
    <t>SBK0015-097</t>
  </si>
  <si>
    <t>User melakukan pembayaran PDAM &amp; IPL  - PDAM Kab Barito Utara</t>
  </si>
  <si>
    <t xml:space="preserve">PAY PAM KabBaritoUtara 123456 </t>
  </si>
  <si>
    <t>Transaksi berhasil dilakukan, muncul pesan "PDAM KabBaritoUtara 123456 PELANGG_KA FEB17 Tag:16750 Denda:0 Total:19.250 Adm2500 Sukses.Ref:395351"</t>
  </si>
  <si>
    <t>SBK0015-098</t>
  </si>
  <si>
    <t>User melakukan pembayaran PDAM &amp; IPL  - PDAM Kab. Batang</t>
  </si>
  <si>
    <t xml:space="preserve">PAY PAM KabBatang 123456 </t>
  </si>
  <si>
    <t>Transaksi berhasil dilakukan, muncul pesan "PDAM KabBatang 123456 PELANGG_KA FEB17 Tag:16750 Denda:0 Total:19.250 Adm2500 Sukses.Ref:395351"</t>
  </si>
  <si>
    <t>SBK0015-099</t>
  </si>
  <si>
    <t>User melakukan pembayaran PDAM &amp; IPL  - PDAM Kab Batang Hari</t>
  </si>
  <si>
    <t xml:space="preserve">PAY PAM KabBatangHari 123456 </t>
  </si>
  <si>
    <t>Transaksi berhasil dilakukan, muncul pesan "PDAM KabBatangHari 123456 PELANGG_KA FEB17 Tag:16750 Denda:0 Total:19.250 Adm2500 Sukses.Ref:395351"</t>
  </si>
  <si>
    <t>SBK0015-100</t>
  </si>
  <si>
    <t>User melakukan pembayaran PDAM &amp; IPL  - PDAM Kabupaten Blitar</t>
  </si>
  <si>
    <t xml:space="preserve">PAY PAM KabBlitar 123456 </t>
  </si>
  <si>
    <t>Transaksi berhasil dilakukan, muncul pesan "PDAM KabBlitar 123456 PELANGG_KA FEB17 Tag:16750 Denda:0 Total:19.250 Adm2500 Sukses.Ref:395351"</t>
  </si>
  <si>
    <t>SBK0015-101</t>
  </si>
  <si>
    <t>User melakukan pembayaran PDAM &amp; IPL  - PDAM Kab Brebes</t>
  </si>
  <si>
    <t xml:space="preserve">PAY PAM KabBrebes 123456 </t>
  </si>
  <si>
    <t>Transaksi berhasil dilakukan, muncul pesan "PDAM KabBrebes 123456 PELANGG_KA FEB17 Tag:16750 Denda:0 Total:19.250 Adm2500 Sukses.Ref:395351"</t>
  </si>
  <si>
    <t>SBK0015-102</t>
  </si>
  <si>
    <t>User melakukan pembayaran PDAM &amp; IPL  - PDAM Ina Gelekat Kabupaten Flores Timur</t>
  </si>
  <si>
    <t xml:space="preserve">PAY PAM KabFloresTimur 123456 </t>
  </si>
  <si>
    <t>Transaksi berhasil dilakukan, muncul pesan "PDAM KabFloresTimur 123456 PELANGG_KA FEB17 Tag:16750 Denda:0 Total:19.250 Adm2500 Sukses.Ref:395351"</t>
  </si>
  <si>
    <t>SBK0015-103</t>
  </si>
  <si>
    <t>User melakukan pembayaran PDAM &amp; IPL  - PDAM Tirta Sanjiwani Kabupaten Gianyer</t>
  </si>
  <si>
    <t xml:space="preserve">PAY PAM KabGianyar 123456 </t>
  </si>
  <si>
    <t>Transaksi berhasil dilakukan, muncul pesan "PDAM KabGianyar 123456 PELANGG_KA FEB17 Tag:16750 Denda:0 Total:19.250 Adm2500 Sukses.Ref:395351"</t>
  </si>
  <si>
    <t>SBK0015-104</t>
  </si>
  <si>
    <t>User melakukan pembayaran PDAM &amp; IPL - PDAM Kab. Kapuas Hulu</t>
  </si>
  <si>
    <t xml:space="preserve">PAY PAM KabKapuasHulu 123456 </t>
  </si>
  <si>
    <t>Transaksi berhasil dilakukan, muncul pesan "PDAM KabKapuasHulu 123456 PELANGG_KA FEB17 Tag:16750 Denda:0 Total:19.250 Adm2500 Sukses.Ref:395351"</t>
  </si>
  <si>
    <t>SBK0015-105</t>
  </si>
  <si>
    <t>User melakukan pembayaran PDAM &amp; IPL  - PDAM Kab. Karanganyar</t>
  </si>
  <si>
    <t>PAY PAM KabKaranganyar 010400225</t>
  </si>
  <si>
    <t>Transaksi berhasil dilakukan, muncul pesan "PDAM KabKaranganyar 010400225 SASTRO MUG AGU21 Tag:31500 Denda:5000 Total:39.000 Adm2500 Sukses.Ref:126278"</t>
  </si>
  <si>
    <t>SBK0015-106</t>
  </si>
  <si>
    <t>User melakukan pembayaran PDAM &amp; IPL  - PDAM Tirta Sakti Kab. Kerinci</t>
  </si>
  <si>
    <t>PAY PAM KabKerinci 1234567</t>
  </si>
  <si>
    <t>SBK0015-107</t>
  </si>
  <si>
    <t>User melakukan pembayaran PDAM &amp; IPL  - PDAM Kab. Kolaka</t>
  </si>
  <si>
    <t>PAY PAM KabKolaka 123456</t>
  </si>
  <si>
    <t>SBK0015-108</t>
  </si>
  <si>
    <t>User melakukan pembayaran PDAM &amp; IPL  - PDAM Limau Kunci Kab. Lampung Barat</t>
  </si>
  <si>
    <t>PAY PAM KabLampungBarat 123456</t>
  </si>
  <si>
    <t>SBK0015-109</t>
  </si>
  <si>
    <t>User melakukan pembayaran PDAM &amp; IPL  - PDAM Tirta Gemilang Kab. Magelang</t>
  </si>
  <si>
    <t>SBK0015-110</t>
  </si>
  <si>
    <t>User melakukan pembayaran PDAM &amp; IPL  - PDAM Kabupaten Tirta Mahakam</t>
  </si>
  <si>
    <t>PAY PAM KabMagelang 14060439</t>
  </si>
  <si>
    <t>SBK0015-111</t>
  </si>
  <si>
    <t>User melakukan pembayaran PDAM &amp; IPL  - PDAM Kab. Majalengka</t>
  </si>
  <si>
    <t>PAY PAM KabMajalengka 14060439</t>
  </si>
  <si>
    <t>SBK0015-112</t>
  </si>
  <si>
    <t>User melakukan pembayaran PDAM &amp; IPL  - PDAM Apa Mening Kab. Malinau</t>
  </si>
  <si>
    <t>PAY PAM KabMalinau 123456</t>
  </si>
  <si>
    <t>SBK0015-113</t>
  </si>
  <si>
    <t>User melakukan pembayaran PDAM &amp; IPL  - PDAM Kab. Merauke</t>
  </si>
  <si>
    <t>PAY PAM KabMerauke</t>
  </si>
  <si>
    <t>SBK0015-114</t>
  </si>
  <si>
    <t>User melakukan pembayaran PDAM &amp; IPL  - PDAM Kabupaten Mojokerto</t>
  </si>
  <si>
    <t>PAY PAM KabMojokerto 1234567</t>
  </si>
  <si>
    <t>SBK0015-115</t>
  </si>
  <si>
    <t>User melakukan pembayaran PDAM &amp; IPL  - PDAM Kab. Ngawi</t>
  </si>
  <si>
    <t>PAY PAM KabNgawi 1234567</t>
  </si>
  <si>
    <t>SBK0015-116</t>
  </si>
  <si>
    <t>User melakukan pembayaran PDAM &amp; IPL  - PDAM Kabupaten Nunukan</t>
  </si>
  <si>
    <t>PAY PAM KabNunukan 1234567</t>
  </si>
  <si>
    <t>SBK0015-117</t>
  </si>
  <si>
    <t>User melakukan pembayaran PDAM &amp; IPL  - PDAM Kab. Pamekasan</t>
  </si>
  <si>
    <t>PAY PAM KabPamekasan 1234567</t>
  </si>
  <si>
    <t>SBK0015-118</t>
  </si>
  <si>
    <t>User melakukan pembayaran PDAM &amp; IPL  - PDAM Kab. Pekalongan</t>
  </si>
  <si>
    <t>PAY PAM KabPekalongan 1234567</t>
  </si>
  <si>
    <t>Transaksi berhasil dilakukan, muncul pesan "PDAM KabPekalongan 1234567 PELANGG_KA FEB17 Tag:16750 Denda:0 Total:19.250 Adm2500 Sukses.Ref:395351"</t>
  </si>
  <si>
    <t>SBK0015-119</t>
  </si>
  <si>
    <t>User melakukan pembayaran PDAM &amp; IPL  - PDAM Kabupaten Sekadau</t>
  </si>
  <si>
    <t>PAY PAM KabSekadau 12345</t>
  </si>
  <si>
    <t>SBK0015-120</t>
  </si>
  <si>
    <t>User melakukan pembayaran PDAM &amp; IPL  - Perumda Air Minum Wair Pu'an</t>
  </si>
  <si>
    <t>PAY PAM KabSikka 12345</t>
  </si>
  <si>
    <t>SBK0015-121</t>
  </si>
  <si>
    <t>User melakukan pembayaran PDAM &amp; IPL  - PDAM Tirtalihou Kab. Simalungin</t>
  </si>
  <si>
    <t>PAY PAM KabSimalungun 1234567</t>
  </si>
  <si>
    <t>SBK0015-122</t>
  </si>
  <si>
    <t>User melakukan pembayaran PDAM &amp; IPL  - PDAM Kab. Sukoharjo</t>
  </si>
  <si>
    <t>PAY PAM KabSukoharjo 1234567</t>
  </si>
  <si>
    <t>Transaksi berhasil dilakukan, muncul pesan "PDAM KabSukoharjo 1234567 PELANGG_KA FEB17 Tag:16750 Denda:0 Total:19.250 Adm2500 Sukses.Ref:395351"</t>
  </si>
  <si>
    <t>SBK0015-123</t>
  </si>
  <si>
    <t>User melakukan pembayaran PDAM &amp; IPL  - PDAM Kabupaten Tapin</t>
  </si>
  <si>
    <t>PAY PAM KabTapin 1234567</t>
  </si>
  <si>
    <t>SBK0015-124</t>
  </si>
  <si>
    <t>User melakukan pembayaran PDAM &amp; IPL  - PDAM Kab. Tegal</t>
  </si>
  <si>
    <t>PAY PAM Tegal 1234567</t>
  </si>
  <si>
    <t>SBK0015-125</t>
  </si>
  <si>
    <t>User melakukan pembayaran PDAM &amp; IPL  - PDAM Kab. Wajo</t>
  </si>
  <si>
    <t>PAY PAM KabWajo 1234567</t>
  </si>
  <si>
    <t>SBK0015-126</t>
  </si>
  <si>
    <t>User melakukan pembayaran PDAM &amp; IPL  - PDAM Kota Bekasi (Tirta Bhagasasi)</t>
  </si>
  <si>
    <t>PAY PAM KotaBekasi 1234567</t>
  </si>
  <si>
    <t>SBK0015-127</t>
  </si>
  <si>
    <t>User melakukan pembayaran PDAM &amp; IPL  - PDAM Kota Blitar</t>
  </si>
  <si>
    <t>PAY PAM KotaBlitar 03102010</t>
  </si>
  <si>
    <t>Transaksi berasil dilakukan , muncul pesan "PDAM KotaBlitar 03102010 WAWAN HOER JUN21 Tag:10000 Denda:5000 Total:17.500 Adm2500 Sukses.Ref:112182"</t>
  </si>
  <si>
    <t>SBK0015-128</t>
  </si>
  <si>
    <t>User melakukan pembayaran PDAM &amp; IPL  - PDAM Kota Kendari</t>
  </si>
  <si>
    <t>PAY PAM KotaKendari 123456</t>
  </si>
  <si>
    <t>SBK0015-129</t>
  </si>
  <si>
    <t>User melakukan pembayaran PDAM &amp; IPL  - PDAM kota Mojokerto</t>
  </si>
  <si>
    <t>PAY PAM KotaMojokerto 123456</t>
  </si>
  <si>
    <t>SBK0015-130</t>
  </si>
  <si>
    <t>User melakukan pembayaran PDAM &amp; IPL  - PDAM Kota ParePare</t>
  </si>
  <si>
    <t>PAY PAM KotaParePare 123456</t>
  </si>
  <si>
    <t>SBK0015-131</t>
  </si>
  <si>
    <t>User melakukan pembayaran PDAM &amp; IPL  - PDAM Kota Tarakan</t>
  </si>
  <si>
    <t>PAY PAM KotaTarakan 123456</t>
  </si>
  <si>
    <t>SBK0015-132</t>
  </si>
  <si>
    <t>User melakukan pembayaran PDAM &amp; IPL  - PDAM Lamongan</t>
  </si>
  <si>
    <t>PAY PAM Lamongan 123456</t>
  </si>
  <si>
    <t>SBK0015-133</t>
  </si>
  <si>
    <t>User melakukan pembayaran PDAM &amp; IPL  - PDAM Luwu Utara</t>
  </si>
  <si>
    <t>PAY PAM LuwuUtara 123456</t>
  </si>
  <si>
    <t>SBK0015-134</t>
  </si>
  <si>
    <t>User melakukan pembayaran PDAM &amp; IPL  - PDAM Magetan</t>
  </si>
  <si>
    <t>PAY PAM Magetan 123456</t>
  </si>
  <si>
    <t>SBK0015-135</t>
  </si>
  <si>
    <t>User melakukan pembayaran PDAM &amp; IPL  - PDAM Melawai</t>
  </si>
  <si>
    <t>PAY PAM Melawai 123456</t>
  </si>
  <si>
    <t>SBK0015-136</t>
  </si>
  <si>
    <t>User melakukan pembayaran PDAM &amp; IPL  - PDAM Melawi</t>
  </si>
  <si>
    <t>PAY PAM Melawi 123456</t>
  </si>
  <si>
    <t>SBK0015-137</t>
  </si>
  <si>
    <t>User melakukan pembayaran PDAM &amp; IPL  - PDAM Pacitan</t>
  </si>
  <si>
    <t>PAY PAM Pacitan 123456</t>
  </si>
  <si>
    <t>SBK0015-138</t>
  </si>
  <si>
    <t>User melakukan pembayaran PDAM &amp; IPL  - PDAM Palangka Raya</t>
  </si>
  <si>
    <t>PAY PAM PalangkaRaya 123456</t>
  </si>
  <si>
    <t>SBK0015-139</t>
  </si>
  <si>
    <t>User melakukan pembayaran PDAM &amp; IPL  - PDAM Pekanbaru</t>
  </si>
  <si>
    <t>PAY PAM Pekanbaru 123456</t>
  </si>
  <si>
    <t>SBK0015-140</t>
  </si>
  <si>
    <t>User melakukan pembayaran PDAM &amp; IPL  - PDAM  Pelangi Timur</t>
  </si>
  <si>
    <t>PAY PAM PelangiTImur 123456</t>
  </si>
  <si>
    <t>SBK0015-141</t>
  </si>
  <si>
    <t>User melakukan pembayaran PDAM &amp; IPL  - PDAM Prabumulih</t>
  </si>
  <si>
    <t>PAY PAM Prabumulih 123456</t>
  </si>
  <si>
    <t>SBK0015-142</t>
  </si>
  <si>
    <t>User melakukan pembayaran PDAM &amp; IPL  - PDAM Purbalingga</t>
  </si>
  <si>
    <t>PAY PAM Purbalingga 123456</t>
  </si>
  <si>
    <t>Transaksi berasil dilakukan , muncul pesan "PDAM Purbalingga 1234567 WAWAN HOER JUN21 Tag:10000 Denda:5000 Total:17.500 Adm2500 Sukses.Ref:112182"</t>
  </si>
  <si>
    <t>SBK0015-143</t>
  </si>
  <si>
    <t>User melakukan pembayaran PDAM &amp; IPL  - PDAM Salatiga</t>
  </si>
  <si>
    <t>PAY PAM Salatiga 123456</t>
  </si>
  <si>
    <t>SBK0015-144</t>
  </si>
  <si>
    <t>User melakukan pembayaran PDAM &amp; IPL  - PDAM Sijunjung</t>
  </si>
  <si>
    <t>PAY PAM Sijunjung  123456</t>
  </si>
  <si>
    <t>SBK0015-145</t>
  </si>
  <si>
    <t>User melakukan pembayaran PDAM &amp; IPL  - PDAM Sintang</t>
  </si>
  <si>
    <t>PAY PAM Sintang 123456</t>
  </si>
  <si>
    <t>SBK0015-146</t>
  </si>
  <si>
    <t>User melakukan pembayaran PDAM &amp; IPL  - PDAM Sleman</t>
  </si>
  <si>
    <t>PAY PAM Sleman 123456</t>
  </si>
  <si>
    <t>SBK0015-147</t>
  </si>
  <si>
    <t>User melakukan pembayaran PDAM &amp; IPL  - PDAM Sumenep</t>
  </si>
  <si>
    <t>PAY PAM Sumenep 123456</t>
  </si>
  <si>
    <t>SBK0015-148</t>
  </si>
  <si>
    <t>User melakukan pembayaran PDAM &amp; IPL  - PDAM Sungai Penuh</t>
  </si>
  <si>
    <t>PAY PAM SungaiPenuh 123456</t>
  </si>
  <si>
    <t>SBK0015-149</t>
  </si>
  <si>
    <t>User melakukan pembayaran PDAM &amp; IPL  - PDAM Tirta Barito Buntok</t>
  </si>
  <si>
    <t>PAY PAM TirtaBaritoBuntok 123456</t>
  </si>
  <si>
    <t>SBK0015-150</t>
  </si>
  <si>
    <t>User melakukan pembayaran PDAM &amp; IPL  - PDAM Tirta Batu Mentas</t>
  </si>
  <si>
    <t>PAY PAM TirtaBatuMentas 123456</t>
  </si>
  <si>
    <t>SBK0015-151</t>
  </si>
  <si>
    <t>User melakukan pembayaran PDAM &amp; IPL  - PDAM Tirta Bulian</t>
  </si>
  <si>
    <t>PAY PAM TirtaBulian 123456</t>
  </si>
  <si>
    <t>SBK0015-152</t>
  </si>
  <si>
    <t>User melakukan pembayaran PDAM &amp; IPL  - PDAM Tirtna Dhaha (Kota Kediri)</t>
  </si>
  <si>
    <t xml:space="preserve"> PAY PAM TirtaDhaha 123456</t>
  </si>
  <si>
    <t>SBK0015-153</t>
  </si>
  <si>
    <t>User melakukan pembayaran PDAM &amp; IPL  - PDAM Tirta Kandilo Kab paser</t>
  </si>
  <si>
    <t>PAY PAM TirtaKandilo 123456</t>
  </si>
  <si>
    <t>SBK0015-154</t>
  </si>
  <si>
    <t>User melakukan pembayaran PDAM &amp; IPL  - PDAM Tirta Lematang Lahat</t>
  </si>
  <si>
    <t>PAY PAM TirtaLematangLahat 123456</t>
  </si>
  <si>
    <t>SBK0015-155</t>
  </si>
  <si>
    <t>User melakukan pembayaran PDAM &amp; IPL  - PDAM Tirta Merangin Cab. Bangko</t>
  </si>
  <si>
    <t>PAY PAM TirtaMeranginCabBangko 123456</t>
  </si>
  <si>
    <t>SBK0015-156</t>
  </si>
  <si>
    <t>User melakukan pembayaran PDAM &amp; IPL  - PDAM Tirta Pinang Kota Pangkalpinang</t>
  </si>
  <si>
    <t>PAY PAM TirtaPinang 123456</t>
  </si>
  <si>
    <t>SBK0015-157</t>
  </si>
  <si>
    <t>User melakukan pembayaran PDAM &amp; IPL  - PDAM Tirta Ratu Samban Bengkulu Utara</t>
  </si>
  <si>
    <t>PAY PAM TirtaRatuSamban 123456</t>
  </si>
  <si>
    <t>SBK0015-158</t>
  </si>
  <si>
    <t>User melakukan pembayaran PDAM &amp; IPL  - PDAM Tirta Segah Berau</t>
  </si>
  <si>
    <t>PAY PAM TirtaSergaBerau 123456</t>
  </si>
  <si>
    <t>SBK0015-159</t>
  </si>
  <si>
    <t>User melakukan pembayaran PDAM &amp; IPL  - PDAM Tirta Uli Pematangsiantar</t>
  </si>
  <si>
    <t>PAY PAM TirtaUliPematangsiantar 123456</t>
  </si>
  <si>
    <t>SBK0015-160</t>
  </si>
  <si>
    <t>User melakukan pembayaran PDAM &amp; IPL  - PDAM Tirta Wening Trenggalek</t>
  </si>
  <si>
    <t>PAY PAM TirtaWeningTrenggalek 123456</t>
  </si>
  <si>
    <t>SBK0015-161</t>
  </si>
  <si>
    <t>User melakukan pembayaran PDAM &amp; IPL  - PDAM Tuban</t>
  </si>
  <si>
    <t>PAY PAM Tuban 123456</t>
  </si>
  <si>
    <t>SBK0015-162</t>
  </si>
  <si>
    <t>User melakukan pembayaran PDAM &amp; IPL  - PDAM Tulunggung</t>
  </si>
  <si>
    <t>PAY PAM Tulunggung 123456</t>
  </si>
  <si>
    <t>SBK0015-163</t>
  </si>
  <si>
    <t>User melakukan pembayaran PDAM &amp; IPL  - PDAM Yogyakarta</t>
  </si>
  <si>
    <t>PAY PAM Yogyakarta 123456</t>
  </si>
  <si>
    <t>Transaksi berasil dilakukan , muncul pesan "PDAM Yogyakarta 123456 WAWAN HOER JUN21 Tag:10000 Denda:5000 Total:17.500 Adm2500 Sukses.Ref:112182"</t>
  </si>
  <si>
    <t>SBK0015-164</t>
  </si>
  <si>
    <t>User melakukan pembayaran PDAM &amp; IPL  - PDAM Kab. Ketapang</t>
  </si>
  <si>
    <t>PAY PAM KabKetapang 1080475</t>
  </si>
  <si>
    <t>Transaksi berhasil dilakukan, muncul pesan "PDAM KabKetapang 1080475 ERNA HERAW FEB18 Tag:66000 Denda:0 Total:68.500,00 Adm2500 Sukses.Ref:269142"</t>
  </si>
  <si>
    <t>SBK0015-165</t>
  </si>
  <si>
    <t>User melakukan pembayaran PDAM &amp; IPL  - PDAM Kab. Kutai Kertanegara</t>
  </si>
  <si>
    <t>PAY PAM KabKutai 014332227</t>
  </si>
  <si>
    <t>Transaksi berhasil dilakukan, muncul pesan "PDAM KabKutaiKertan 014332227 a/n SUGENG PRA AGU20 Tag:112400 Denda:0 Total:Rp114900 Adm 2500 Sukses.Ref:269142"</t>
  </si>
  <si>
    <t>SBK0015-166</t>
  </si>
  <si>
    <t>User melakukan pembayaran PDAM &amp; IPL  - PDAM Kab. Lombok Timur</t>
  </si>
  <si>
    <t>PAY PAM KabLombok 090500818</t>
  </si>
  <si>
    <t>Transaksi berhasil dilakukan, muncul pesan "PDAM KabLombokTimur 090500818 a/n MULIANA PA FEB21 Tag:83975 Denda:0 Total:Rp86475 Adm 2500. Sukses.Ref:269142"</t>
  </si>
  <si>
    <t>SBK0015-167</t>
  </si>
  <si>
    <t>User melakukan pembayaran PDAM &amp; IPL  - PDAM Kab. Maluku Tenggara</t>
  </si>
  <si>
    <t>PAY PAM KabMaluku 100497</t>
  </si>
  <si>
    <t>Transaksi berhasil dilakukan, muncul pesan "PDAM KabMalukuTengg 100497 ASIAH FEB21 Tag:85000 Denda:0 Total:87.500,00 Adm2500 Sukses.Ref:269126"</t>
  </si>
  <si>
    <t>SBK0015-168</t>
  </si>
  <si>
    <t>User melakukan pembayaran PDAM &amp; IPL  - PDAM Kab. Oku Baturaja</t>
  </si>
  <si>
    <t>PAY PAM KabOku 1157051</t>
  </si>
  <si>
    <t>Transaksi berhasil dilakukan, muncul pesan PDAM KabOkuBaturaja 1157051 a/n RUDIYANTO JAN21 Tag:75000 Denda:0 Total:Rp76500 Adm 1500 Sukses.Ref:269126"</t>
  </si>
  <si>
    <t>SBK0015-169</t>
  </si>
  <si>
    <t>User melakukan pembayaran PDAM &amp; IPL  - PDAM Kota Pangkal Pinang</t>
  </si>
  <si>
    <t>PAY PAM PangkalPinang 12216</t>
  </si>
  <si>
    <t>Transaksi berhasil dilakukan, muncul pesan "PDAM KotaPangkalPin 12216 BAGUS TRI AGU20 Tag:85400 Denda:0 Total:86.900,00 Adm1500 Sukses.Ref:269161"</t>
  </si>
  <si>
    <t>SBK0015-170</t>
  </si>
  <si>
    <t>User melakukan pembayaran PDAM &amp; IPL  - PDAM Pancuran Telago</t>
  </si>
  <si>
    <t>PAY PAM PancuranTelago 01790190</t>
  </si>
  <si>
    <t>Transaksi berhasil dilakukan, muncul pesan "PDAM PancuranTelago 01790190 a/n AL-HIQNI AGU20 Tag:55000 Denda:0 Total:Rp56500 Adm 1500 Sukses.Ref:269161"</t>
  </si>
  <si>
    <t>SBK0015-171</t>
  </si>
  <si>
    <t>User melakukan pembayaran PDAM &amp; IPL  - PDAM Tarutung</t>
  </si>
  <si>
    <t>PAY PAM Tarutung 02170491</t>
  </si>
  <si>
    <t>Transaksi berhasil dilakukan, muncul pesan "PDAM Tarutung 02170491 a/n OP. SETIA APR21 Tag:28100 Denda:0 Total:Rp29600 Adm 1500 Sukses.Ref:269161"</t>
  </si>
  <si>
    <t>SBK0015-172</t>
  </si>
  <si>
    <t>User melakukan pembayaran PDAM &amp; IPL  - PDAM Tembilahan</t>
  </si>
  <si>
    <t>PAY PAM Tembilahan 11986</t>
  </si>
  <si>
    <t>Transaksi berhasil dilakukan, muncul pesan "PDAM Tembilahan 11986 a/n ABDUR ROHI MAR18 Tag:25500 Denda:0 Total:Rp27000 Adm 1500 Sukses.Ref:269161"</t>
  </si>
  <si>
    <t>SBK0015-173</t>
  </si>
  <si>
    <t>User melakukan pembayaran PDAM &amp; IPL  - PDAM Tirta Komodo</t>
  </si>
  <si>
    <t>PAY PAM TirtaKomodo 070300429</t>
  </si>
  <si>
    <t>Transaksi berhasil dilakukan, muncul pesan "PDAM TirtaKomodo 070300429 a/n BAHARUDIN AGU20 Tag:84800 Denda:0 Total:Rp87300 Adm 2500 Sukses.Ref:269161"</t>
  </si>
  <si>
    <t>SBK0015-174</t>
  </si>
  <si>
    <t>User melakukan pembayaran PDAM &amp; IPL  - PDAM Tirta Muaro Kab. Tebo</t>
  </si>
  <si>
    <t>PAY PAM TirtaMuaro 06020088</t>
  </si>
  <si>
    <t>Transaksi berhasil dilakukan, muncul pesan "PDAM TirtaMuaro 06020088 a/n SUHERMAN AGU20 Tag:84800 Denda:0 Total:Rp87300 Adm 2500 Sukses.Ref:269161"</t>
  </si>
  <si>
    <t>SBK0015-175</t>
  </si>
  <si>
    <t>User melakukan pembayaran PDAM &amp; IPL  - PDAM Tirta Tuah Benua Kutai Timur</t>
  </si>
  <si>
    <t>PAY PAM TirtaTuah 014613832</t>
  </si>
  <si>
    <t>Transaksi berhasil dilakukan, muncul pesan "PDAM TirtaTuahBenua 014613832 a/n SARIONO APR21 Tag:382835 Denda:0 Total:Rp385335 Adm 2500 Sukses.Ref:269161"</t>
  </si>
  <si>
    <t>SBK0015-176</t>
  </si>
  <si>
    <t>User melakukan pembayaran PDAM &amp; IPL  - PDAM TIRTA KEPRI</t>
  </si>
  <si>
    <t>PAY PAM TirtaKepri 042903204</t>
  </si>
  <si>
    <t>Transaksi berhasil dilakukan, muncul pesan "PDAM TirtaKepri 042903204 a/n NURHAYATI APR22 Tag:97000 Denda:0 Total:Rp99500 Adm 2500 Sukses.Ref:269161"</t>
  </si>
  <si>
    <t>SBK0015-177</t>
  </si>
  <si>
    <t>User melakukan pembayaran PDAM &amp; IPL  - PDAM Kota Lubuk Linggau</t>
  </si>
  <si>
    <t>PAY PAM LubukLinggau 221475</t>
  </si>
  <si>
    <t>Transaksi berhasil dilakukan, muncul pesan "PDAM KotaLubukLingg 221475 a/n SOBRI JAN18 Tag:29120 Denda:0 Total:Rp30620 Adm 1500 Sukses.Ref:269161"</t>
  </si>
  <si>
    <t>SBK0015-178</t>
  </si>
  <si>
    <t>User melakukan pembayaran PDAM &amp; IPL  - PDAM Kab. Timur Tengah Utara</t>
  </si>
  <si>
    <t>PAY PAM KabTimur 01060102847</t>
  </si>
  <si>
    <t>Transaksi berhasil dilakukan, muncul pesan "PDAM KabTimurTengah 01060102847 a/n A SURYAT M AGU20 Tag:40000 Denda:0 Total:Rp41500 Adm 1500 Sukses.Ref:269161"</t>
  </si>
  <si>
    <t>SBK0015-179</t>
  </si>
  <si>
    <t>User salah input syntax sms banking</t>
  </si>
  <si>
    <t>PAY PAM ATMBatam 123456</t>
  </si>
  <si>
    <t>Transaksi gagal dilakukan, muncul pesan "Transaksi tidak dapat diproses, perintah yang Anda ketikkan salah. Info:hub BNI Call 1500046 atau Cabang BNI terdekat."</t>
  </si>
  <si>
    <t>SBK0015-180</t>
  </si>
  <si>
    <t>SCSBK0016</t>
  </si>
  <si>
    <t>SBK0016-001</t>
  </si>
  <si>
    <t>User melakukan Pembayaran Internet/TV Berlangganan</t>
  </si>
  <si>
    <t>User melakukan Pembayaran Internet/TV Berlangganan - MNC Vision</t>
  </si>
  <si>
    <t>PAY MNCVISION 123456</t>
  </si>
  <si>
    <t>Transaksi berhasil dilakukan, muncul pesan "Pembayaran MNCVision 123456 an.SARI ANGGRAINI Rp.125000 berhasil. Reff:202210"</t>
  </si>
  <si>
    <t>SCSBK0016_20230412-141208499.pdf</t>
  </si>
  <si>
    <t>SBK0016-002</t>
  </si>
  <si>
    <t>User melakukan Pembayaran Internet/TV Berlangganan - Firt Media</t>
  </si>
  <si>
    <t>PAY FIRSTMEDIA 222123456789</t>
  </si>
  <si>
    <t>Transaksi berhasil dilakukan, muncul pesan "Pembayaran FIRSTMEDIA 222123456789 an.SARI ANGGRAINI Rp.125000 berhasil. Reff:202210"</t>
  </si>
  <si>
    <t>SCSBK0016_20230412-160417293.pdf</t>
  </si>
  <si>
    <t>SBK0016-003</t>
  </si>
  <si>
    <t>User melakukan Pembayaran Internet/TV Berlangganan - Transvision</t>
  </si>
  <si>
    <t>PAY TRANSVISION 1234566</t>
  </si>
  <si>
    <t>Trsansaksi berhasil dilakukan, muncul pesan " Pembayaran TRANSVISION 1234566 an JOKI VAN NISTELROOY sebesar Rp. 500.000 telah berhasil. Ref:272501"</t>
  </si>
  <si>
    <t>SCSBK0016_20230413-150752679.pdf</t>
  </si>
  <si>
    <t>SBK0016-004</t>
  </si>
  <si>
    <t>User melakukan Pembayaran Internet/TV Berlangganan - Indihome</t>
  </si>
  <si>
    <t>PAY TELKOM 1234566</t>
  </si>
  <si>
    <t>Trsansaksi berhasil dilakukan, muncul pesan "Pby TELKOM 1234566 tag: 500.000 adm: 2500 total: 502500 telah berhasil. Reff: 272569"</t>
  </si>
  <si>
    <t>SCSBK0016_20230413-152229842.pdf</t>
  </si>
  <si>
    <t>SBK0016-005</t>
  </si>
  <si>
    <t>SCSBK0016_20230413-153125271.pdf</t>
  </si>
  <si>
    <t>SCSBK0017</t>
  </si>
  <si>
    <t>SBK0017-001</t>
  </si>
  <si>
    <t>User melakukan Pembayaran Tiket</t>
  </si>
  <si>
    <t>User Melakukan Pembayaran Tiket - Garuda Indonesia</t>
  </si>
  <si>
    <t>PAY GARUDA 12345</t>
  </si>
  <si>
    <t>Transaksi berhasil dilakukan, muncul pesan "Pay GARUDA sukses
1234566
QWERTY123456789
An.ANDI NUGROHO SETIAWA
02 GA0300 CGK-DPS 2501 1000
02 GA0120 DPS-AMI 2801 0800
Rp.300.000,00
Ref:272658"</t>
  </si>
  <si>
    <t>SCSBK0017_20230413-124909492.pdf</t>
  </si>
  <si>
    <t>SBK0017-002</t>
  </si>
  <si>
    <t>User Melakukan Pembayaran Tiket - Lion Air</t>
  </si>
  <si>
    <t>PAY LION 12345</t>
  </si>
  <si>
    <t>Transaksi berhasil dilakukan, muncul pesan "Pay LION sukses
1234566
QWERTY123456789
An.BAMBANG HERMANTO INQ
02 LA0300 CGK-DPS 2501 1000
02 LA0120 DPS-MIL 2801 0800
Rp.100.000,00
Ref:272675"</t>
  </si>
  <si>
    <t>SCSBK0017_20230413-160500337.pdf</t>
  </si>
  <si>
    <t>SBK0017-003</t>
  </si>
  <si>
    <t>User Melakukan Pembayaran Tiket - Citilink</t>
  </si>
  <si>
    <t>PAY CITILINK 010011787878</t>
  </si>
  <si>
    <t>Transaksi berhasil dilakukan, muncul pesan "Pay CITILINK sukses
010011787878
ABCDEFGHIJKLMNO
An.JAYANTHI SAYUTHI MAN
18 ABJT50 CKG-BTJ 2208 1115
Rp.2.700.000,00
Ref:272714"</t>
  </si>
  <si>
    <t>SCSBK0017_20230414-092202518.pdf</t>
  </si>
  <si>
    <t>SBK0017-004</t>
  </si>
  <si>
    <t>SCSBK0017_20230414-110240102.pdf</t>
  </si>
  <si>
    <t>SCSBK0018</t>
  </si>
  <si>
    <t>SBK0018-001</t>
  </si>
  <si>
    <t>User melakukan Pembayaran ZIS &amp; Kurban</t>
  </si>
  <si>
    <t>User melakukan Pembayaran ZIS &amp; Kurban - Zakat</t>
  </si>
  <si>
    <t>ZAKAT PPSDMS 50000</t>
  </si>
  <si>
    <t>Transaksi berhasil dilakukan, muncul pesan "Anda telah melakukan pembayaran zakat melalui PPSDMS sebesar Rp 50.000. Reff. 94258406."</t>
  </si>
  <si>
    <t>SCSBK0018_20230414-140727216.pdf</t>
  </si>
  <si>
    <t>SBK0018-002</t>
  </si>
  <si>
    <t>User melakukan Pembayaran ZIS &amp; Kurban - Infaq</t>
  </si>
  <si>
    <t>INFAQ BAMUIS 50000</t>
  </si>
  <si>
    <t>Transaksi berhasil dilakukan, muncul pesan "Anda telah melakukan pembayaran infaq melalui BAMUIS sebesar Rp 50.000. Reff. 15631708."</t>
  </si>
  <si>
    <t>SCSBK0018_20230414-142132611.pdf</t>
  </si>
  <si>
    <t>SBK0018-003</t>
  </si>
  <si>
    <t>User melakukan Pembayaran ZIS &amp; Kurban - Kurban</t>
  </si>
  <si>
    <t>KURBAN DD 50000</t>
  </si>
  <si>
    <t>Transaksi berhasil dilakukan, muncul pesan "Anda telah melakukan pembayaran qurban melalui DD sebesar Rp 50.000. Reff. 15637026."</t>
  </si>
  <si>
    <t>SBK0018-004</t>
  </si>
  <si>
    <t>User melakukan Pembayaran ZIS &amp; Kurban - Wakaf Tunai</t>
  </si>
  <si>
    <t>WAKAFTUNAI DD 50000</t>
  </si>
  <si>
    <t>Transaksi berhasil dilakukan, muncul pesan "Anda telah melakukan pembayaran wakaf tunai melalui DD sebesar Rp 50.000. Reff. 15637321."</t>
  </si>
  <si>
    <t>SBK0018-005</t>
  </si>
  <si>
    <t>User melakukan Pembayaran ZIS &amp; Kurban - Wakaf Produkif</t>
  </si>
  <si>
    <t>WAKAFPRODUKTIF ACT 50000</t>
  </si>
  <si>
    <t>Transaksi berhasil dilakukan, muncul pesan "Anda telah melakukan pembayaran wakaf produktif melalui ACT sebesar Rp 50.000. Reff. 15637462."</t>
  </si>
  <si>
    <t>SCSBK0018_20230417-090924570.pdf</t>
  </si>
  <si>
    <t>SBK0018-006</t>
  </si>
  <si>
    <t>SCSBK0018_20230417-102850092.pdf</t>
  </si>
  <si>
    <t>SCSBK0019</t>
  </si>
  <si>
    <t>SBK0019-001</t>
  </si>
  <si>
    <t>User melakukan pembayaran penerimaan negara</t>
  </si>
  <si>
    <t>User melakukan pembayaran penerimaan negara - PNBP AHU (Fidusial)</t>
  </si>
  <si>
    <t>PAY PNBPAHU 123456</t>
  </si>
  <si>
    <t>Transaksi berhasil dilakukan, muncul pesan "PAY PNBPAHU No 2012121731100001 Tarif Rp.200.000.Transaksi dikenai biaya Rp.5.000. Reff. 15637462."</t>
  </si>
  <si>
    <t>SCSBK0019_20230417-104222796.pdf</t>
  </si>
  <si>
    <t>SBK0019-002</t>
  </si>
  <si>
    <t>User melakukan pembayaran penerimaan negara - PBB</t>
  </si>
  <si>
    <t>PAY PBB 160171001400311790 2022</t>
  </si>
  <si>
    <t>Transaksi berhasil dilakukan, muncul pesan "160171001400311790 2022 AIR PAOH KOL WA NTPD: Tag:Rp164188 Adm 3000 Total:Rp167188 Berhasil. Ref:200720"</t>
  </si>
  <si>
    <t>SBK0019-003</t>
  </si>
  <si>
    <t>User melakukan pembayaran penerimaan negara - Pajak Daerah (Banyuasin)</t>
  </si>
  <si>
    <t>PAY PAJAKDAERAH BANYUASIN 160171001400311790 2022</t>
  </si>
  <si>
    <t>Transaksi berhasil dilakukan, muncul pesan "PayCode:160720010000034293 BANYUASIN Tag:500000 Adm:3000 Total:Rp503000.Sukses.NTPD:D8B5A008AEF44264 Ref:146822"</t>
  </si>
  <si>
    <t>SBK0019-004</t>
  </si>
  <si>
    <t>User melakukan pembayaran penerimaan negara - Pajak Daerah (Kotawaringin)</t>
  </si>
  <si>
    <t>PAY PAJAKDAERAH KOTAWARINGIN 2326210590000511</t>
  </si>
  <si>
    <t>Transaksi berhasil dilakukan, muncul pesan "PayCode:2326210590000511 KOTAWARINGIN Tag:325000 Adm:3000 Total:Rp328000.Sukses.NTPD:33C37S1JP16E Ref:141469"</t>
  </si>
  <si>
    <t>SCSBK0019_20230526-153225870</t>
  </si>
  <si>
    <t>SBK0019-005</t>
  </si>
  <si>
    <t>User melakukan pembayaran penerimaan negara - Pajak Daerah (Bekasi)</t>
  </si>
  <si>
    <t>PAY PAJAKDAERAH BEKASI  3275022018046831</t>
  </si>
  <si>
    <t>Transaksi berhasil dilakukan, muncul pesan "PayCode:3275022018046831 BEKASI Tag:10000 Adm:5000 Total:Rp15000.Sukses.NTPD:B44P0PT3K7WQ Ref:139812"</t>
  </si>
  <si>
    <t>SCSBK0019_20230525-114458199</t>
  </si>
  <si>
    <t>SBK0019-006</t>
  </si>
  <si>
    <t>User melakukan pembayaran penerimaan negara - Pajak Daerah (Majalengka)</t>
  </si>
  <si>
    <t>PAY PAJAKDAERAH MAJALENGKA 2102011801000541</t>
  </si>
  <si>
    <t>Transaksi berhasil dilakukan, muncul pesan "PayCode:2102011801000541 MAJALENGKA Tag:10000 Adm:5000 Total:Rp15000.Sukses.NTPD:1V52OJQ7467M Ref:139959"</t>
  </si>
  <si>
    <t>SBK0019-007</t>
  </si>
  <si>
    <t>SCSBK0020</t>
  </si>
  <si>
    <t>SBK0020-001</t>
  </si>
  <si>
    <t>User melakukan pembayaran Asuransi</t>
  </si>
  <si>
    <t>User melakukan pembayaran penerimaan negara - Jiwasraya</t>
  </si>
  <si>
    <t>PAY JIWASRAYA AC000044444</t>
  </si>
  <si>
    <t>Transaksi berhasil dilakukan, muncul pesan "Pemb JIWASRAYA No. Polis. AC000044444 Kode BO OO APR-2015 Rp. 375.000 telah berhasil . Ref:087477"</t>
  </si>
  <si>
    <t>SCSBK0020_20230417-163102392.pdf</t>
  </si>
  <si>
    <t>SCSBK0020_20230526-161338255</t>
  </si>
  <si>
    <t>SBK0020-002</t>
  </si>
  <si>
    <t>User melakukan pembayaran penerimaan negara - AJB Bumiputera (Premi Pertama)</t>
  </si>
  <si>
    <t>PAY BUMIPUTERA PERTAMA 331881111</t>
  </si>
  <si>
    <t>Transaksi berhasil dilakukan, muncul pesan "Pembayaran Asuransi Premi Pertama AJB BUMIPUTERA No.SPAJ:331881111 Nama:ALESSANDRO FLOR Rp.123400 sukses. Ref:ABCDEFGHIJKLMNOP"</t>
  </si>
  <si>
    <t>SBK0020-003</t>
  </si>
  <si>
    <t>User melakukan pembayaran penerimaan negara - AJB Bumiputera (Premi Lanjutan)</t>
  </si>
  <si>
    <t>PAY BUMIPUTERA LANJUTAN 55900000101</t>
  </si>
  <si>
    <t>Transaksi berhasil dilakukan, muncul pesan "Pembayaran Premi Lanjutan BUMIPUTERA NoPol:55900000101 STEPHAN KAREEM JmlByr:Rp150000 JthTempo:12022016 sukses.Ref:ABCDEFGHIJKLMNOP"</t>
  </si>
  <si>
    <t>SBK0020-004</t>
  </si>
  <si>
    <t>User melakukan pembayaran penerimaan negara - AJB Bumiputera (TOP UP Premi)</t>
  </si>
  <si>
    <t>PAY BUMIPUTERA TOPUP 98982016 1000000</t>
  </si>
  <si>
    <t>Transaksi berhasil dilakukan, muncul pesan "Pembayaran TOP UP Premi BUMIPUTERA No.Polis: 98982016 Nama: STEPHAN KAREEM Rp. 1000000 sukses. Ref: ABCDEFGHIJKLMNOP"</t>
  </si>
  <si>
    <t>SBK0020-005</t>
  </si>
  <si>
    <t xml:space="preserve">Invalid Customer Number / Billing ID Not Exist </t>
  </si>
  <si>
    <t>PAY BUMIPUTERA TOPUP 444620081 300000</t>
  </si>
  <si>
    <t>Transaksi gagal, muncul pesan "TNomor SPAJ/Polis yang Anda masukkan salah atau tidak terdaftar. Hubungi BNI Call 1500046."</t>
  </si>
  <si>
    <t>SBK0020-006</t>
  </si>
  <si>
    <t>SCSBK0020_20230502-163436137.pdf</t>
  </si>
  <si>
    <t>SCSBK0020_20230526-165936737</t>
  </si>
  <si>
    <t>SCSBK0021</t>
  </si>
  <si>
    <t>SBK0021-001</t>
  </si>
  <si>
    <t>User melakukan pembayaran Pinjaman Personal</t>
  </si>
  <si>
    <t>User melakukan pembayaran Pinjaman Personal - Citibank</t>
  </si>
  <si>
    <t>PAY KTA CITIBANK 7204772902 50000</t>
  </si>
  <si>
    <t>Transaksi berhasil dilakukan, muncul pesan "Pembayaran KTA CITIBANK No.7204772902 sebesar Rp.50.000,00 berhasil,Reff"</t>
  </si>
  <si>
    <t>SCSBK0021_20230418-135420276.pdf</t>
  </si>
  <si>
    <t>SBK0021-002</t>
  </si>
  <si>
    <t>User melakukan pembayaran Pinjaman Personal - DBS</t>
  </si>
  <si>
    <t>PAY KTA DBS 3600000001 100000</t>
  </si>
  <si>
    <t>Transaksi berhasil dilakukan, muncul pesan "Pembayaran KTA DBS No.3600000001 sebesar Rp.100.000,00 berhasil,Reff.282047"</t>
  </si>
  <si>
    <t>SCSBK0021_20230418-140154343.pdf</t>
  </si>
  <si>
    <t>SCSBK0021_20230529-162702546</t>
  </si>
  <si>
    <t>SBK0021-003</t>
  </si>
  <si>
    <t>User melakukan pembayaran Pinjaman Personal - Standard Chartered</t>
  </si>
  <si>
    <t>PAY KTA SCB 30609245349 25000</t>
  </si>
  <si>
    <t>Transaksi berhasil dilakukan, muncul pesan "Pembayaran KTA SCB No.30609245349 sebesar Rp.25.000,00 berhasil,Reff"</t>
  </si>
  <si>
    <t>SCSBK0021_20230418-140811280.pdf</t>
  </si>
  <si>
    <t>SBK0021-004</t>
  </si>
  <si>
    <t>User melakukan pembayaran Pinjaman Personal - HSBC</t>
  </si>
  <si>
    <t>PAY KTA HSBC 045506458840 15000</t>
  </si>
  <si>
    <t>Transaksi berhasil dilakukan, muncul pesan "Pembayaran KTA HSBC No.045506458840 sebesar Rp.15.000,00 berhasil,Reff.040744"</t>
  </si>
  <si>
    <t>SCSBK0021_20230418-141434629.pdf</t>
  </si>
  <si>
    <t>SCSBK0021_20230531-151749720</t>
  </si>
  <si>
    <t>SBK0021-005</t>
  </si>
  <si>
    <t>User salah input NO KTA / No KTA TiIdak Sesuai</t>
  </si>
  <si>
    <t>PAY KTA DBS 5102176633344886 100000</t>
  </si>
  <si>
    <t>Transaksi gagal dilakukan, muncul pesan "Transaksi tidak dapat diproses. Nomor Kartu Kredit/KTA Anda tidak valid.Periksa kembali nomor Kartu Kredit/KTA Anda.]"</t>
  </si>
  <si>
    <t>SCSBK0021_20230427-163915052.pdf</t>
  </si>
  <si>
    <t>SBK0021-006</t>
  </si>
  <si>
    <t>SCSBK0021_20230418-144942380.pdf</t>
  </si>
  <si>
    <t>SCSBK0022</t>
  </si>
  <si>
    <t>SBK0022-001</t>
  </si>
  <si>
    <t>User melakukan pembayaran Samsat</t>
  </si>
  <si>
    <t>User melakukan pembayaran SAMSAT JATIM</t>
  </si>
  <si>
    <t>PAY SAMSAT 15011100000998877123</t>
  </si>
  <si>
    <t>Transaksi berhasil dilakukan, muncul pesan "Pby.PKB NOPOL:1100000998877123 Nama:D 120  KCE Gol:TROWA BARTON Rp.1.003.000 Sukses.Ref:A123456A01234567"</t>
  </si>
  <si>
    <t>SCSBK0022_20230529-141450334</t>
  </si>
  <si>
    <t>SBK0022-002</t>
  </si>
  <si>
    <t>User melakukan pembayaran SAMSAT DIGITAL NASIONAL (SIGNAL)</t>
  </si>
  <si>
    <t>PAY SIGNAL 1812345678111000000</t>
  </si>
  <si>
    <t>Transaksi berhasil dilakukan, muncul pesan "Pby SIGNAL 181234567811100000 I PUTU MEGA SUMANTARA DK279FF tag: 123.000 denda: 0 adm 10000 total: 133.000 berhasil. RRN: 947580013"</t>
  </si>
  <si>
    <t>SCSBK0022_20230427-091405814.pdf</t>
  </si>
  <si>
    <t>SBK0022-003</t>
  </si>
  <si>
    <t>SCSBK0022_20230427-141311007.pdf</t>
  </si>
  <si>
    <t>SCSBK0022_20230529-152736538</t>
  </si>
  <si>
    <t>SCSBK0023</t>
  </si>
  <si>
    <t>SBK0023-001</t>
  </si>
  <si>
    <t>User melakukan pembayaran Angsuran / Multifinance</t>
  </si>
  <si>
    <t>User melakukan pembayaran Angsuran / Multifinance - NSC Multi Finance</t>
  </si>
  <si>
    <t>PAY NSC 0912345678</t>
  </si>
  <si>
    <t>Transaksi berhasil dilakukan, muncul pesan "PNSC No.Kontrak:0912345678 Nama:JOHN DOE 05122013 Total:Rp.350000 Admin:Rp.0 berhasil. RRN: 947580013"</t>
  </si>
  <si>
    <t>SCSBK0023_20230426-085732250.pdf</t>
  </si>
  <si>
    <t xml:space="preserve">tidak bisa disimulasikan </t>
  </si>
  <si>
    <t>SBK0023-002</t>
  </si>
  <si>
    <t>User melakukan pembayaran Angsuran / Multifinance - BNI Multi Finance</t>
  </si>
  <si>
    <t>PAY BNIMF 123456</t>
  </si>
  <si>
    <t>Transaksi berhasil dilakukan, muncul pesan "BNIMF  No.Kontrak:123456 Nama:JOHN DOE 05122013 Total:Rp.350000 Admin:Rp.0 berhasil. RRN: 947580013"</t>
  </si>
  <si>
    <t>SBK0023-003</t>
  </si>
  <si>
    <t>User melakukan pembayaran Angsuran / Multifinance - Astra Credit Company</t>
  </si>
  <si>
    <t>PAY ACC 123456</t>
  </si>
  <si>
    <t>Transaksi berhasil dilakukan, muncul pesan "ACC No.Kontrak:123456 Nama:JOHN DOE 05122013 Total:Rp.350000 Admin:Rp.0 berhasil. RRN: 947580013"</t>
  </si>
  <si>
    <t>SBK0023-004</t>
  </si>
  <si>
    <t>User melakukan pembayaran Angsuran / Multifinance - Oto Credit</t>
  </si>
  <si>
    <t>PAY OTO 2012345678910</t>
  </si>
  <si>
    <t>Transaksi berhasil dilakukan, muncul pesan "OTO No.Kontrak:2012345678910 Nama:SASUKE MOTOR 20121224 Total:Rp.2920000 Admin:Rp.0 Sukses.Ref:013728"</t>
  </si>
  <si>
    <t>SCSBK0023_20230427-143520660.pdf</t>
  </si>
  <si>
    <t>SBK0023-005</t>
  </si>
  <si>
    <t>User melakukan pembayaran Angsuran / Multifinance - Adira Finance</t>
  </si>
  <si>
    <t>PAY ADIRA 021219140051</t>
  </si>
  <si>
    <t>Transaksi berhasil dilakukan, muncul pesan "ADIRA No:021219140051 Nama:SRI WULANDAR 20200818 Total:Rp.429167 Denda:Rp.25000 Adm:Rp.7500 Sukses.Ref:030571"</t>
  </si>
  <si>
    <t>SCSBK0023_20230605-102956040</t>
  </si>
  <si>
    <t>SBK0023-006</t>
  </si>
  <si>
    <t>User melakukan pembayaran Angsuran / Multifinance - FIF</t>
  </si>
  <si>
    <t>PAY FIF 50123456789</t>
  </si>
  <si>
    <t>Transaksi berhasil dilakukan, muncul pesan "FIF No:50123456789 Nama:SRI WULANDAR 20200818 Total:Rp.429167 Denda:Rp.25000 Adm:Rp.7500 Sukses.Ref:030571"</t>
  </si>
  <si>
    <t>SCSBK0023_20230427-144600269.pdf</t>
  </si>
  <si>
    <t>SBK0023-007</t>
  </si>
  <si>
    <t>User melakukan pembayaran Angsuran / Multifinance - Finansian / Kredit Plus</t>
  </si>
  <si>
    <t>PAY KREDITPLUS 90123456789</t>
  </si>
  <si>
    <t>Transaksi berhasil dilakukan, muncul pesan "KREDITPLUS No.Kontrak:90123456789 Nama:MARENDRA GLA 20121028 Total:Rp.390000 Admin:Rp.0 Sukses.Ref:030571"</t>
  </si>
  <si>
    <t>SCSBK0023_20230427-145540574.pdf</t>
  </si>
  <si>
    <t>SBK0023-008</t>
  </si>
  <si>
    <t>User melakukan pembayaran Angsuran / Multifinance - SMS Finance</t>
  </si>
  <si>
    <t>PAY SMS 80123456789</t>
  </si>
  <si>
    <t>Transaksi berhasil dilakukan, muncul pesan "SMS No.Kontrak:80123456789 Nama:MARENDRA GLA 20121028 Total:Rp.390000 Admin:Rp.0 Sukses.Ref:030571"</t>
  </si>
  <si>
    <t>SCSBK0023_20230427-152211153.pdf</t>
  </si>
  <si>
    <t>SBK0023-009</t>
  </si>
  <si>
    <t>User melakukan pembayaran Angsuran / Multifinance - Bussan Auto Finance</t>
  </si>
  <si>
    <t>PAY BAF 328180001164</t>
  </si>
  <si>
    <t>SBK0023-010</t>
  </si>
  <si>
    <t>Saldo tidak cukup</t>
  </si>
  <si>
    <t>PAY BAF 220010106020</t>
  </si>
  <si>
    <t>Transaksi gagal, muncul pesan "Transaksi Anda tdk dapat diproses karena saldo Anda tidak cukup. Info:hub BNI Call 1500046 atau Cabang BNI terdekat."</t>
  </si>
  <si>
    <t>SBK0023-011</t>
  </si>
  <si>
    <t>SCSBK0024</t>
  </si>
  <si>
    <t>SBK0024-001</t>
  </si>
  <si>
    <t>User melakukan pembayaran pendidikan</t>
  </si>
  <si>
    <t>User melakukan pembayaran pendiidikan - UTBK LTMPT</t>
  </si>
  <si>
    <t>PAY UTBK 46001488 4600001148</t>
  </si>
  <si>
    <t>Transaksi berhasil dilakukan, muncul pesan "Pby UTBK LTMPT KdBayar:46001488 Ujian:- NISN:4600001148 Nama:PESERTA BNI TES 38 TglLahir:01-02-2001 RP.150.000 berhasil. NoReff:113462"</t>
  </si>
  <si>
    <t>SCSBK0024_20230426-101513375.pdf</t>
  </si>
  <si>
    <t>SBK0024-002</t>
  </si>
  <si>
    <t>User melakukan pembayaran pendiidikan - UMPTKIN</t>
  </si>
  <si>
    <t>PAY UMPTKIN 8199170087499106</t>
  </si>
  <si>
    <t>Transaksi berhasil dilakukan, muncul pesan "Pembayaran UM PTKIN No SIP:8199170087499106 an. MUH. TASWIN No HP:082349155528 RP.200000 berhasil.NoReff:272621"</t>
  </si>
  <si>
    <t>SCSBK0024_20230426-103240932.pdf</t>
  </si>
  <si>
    <t>SBK0024-003</t>
  </si>
  <si>
    <t>PAY UMPTKIN 8199170080853945</t>
  </si>
  <si>
    <t>SCSBK0024_20230427-140126221.pdf</t>
  </si>
  <si>
    <t>SBK0024-004</t>
  </si>
  <si>
    <t>SCSBK0024_20230426-142008871.pdf</t>
  </si>
  <si>
    <t>SCSBK0025</t>
  </si>
  <si>
    <t>SBK0025-001</t>
  </si>
  <si>
    <t>User melakukan pembayaran KAI</t>
  </si>
  <si>
    <t>User melakukan pembayaran KAI - KAI</t>
  </si>
  <si>
    <t>PAY KAI 12124524500</t>
  </si>
  <si>
    <t>Transaksi berhasil dilakukan, muncul pesan "Pay KAI Z5D25B2 JAINAL BATARA KRESNA BD-GMR 1 EKS-1,1A 2019-02-24 0900 Rp.340.000 Admin 0 sukses.Ref:1466"</t>
  </si>
  <si>
    <t>SCSBK0025_20230426-161022055.pdf</t>
  </si>
  <si>
    <t>SBK0025-002</t>
  </si>
  <si>
    <t>User melakukan pembayaran KAI - Railink</t>
  </si>
  <si>
    <t>PAY RAILINK 7968626942551</t>
  </si>
  <si>
    <t>Transaksi berhasil dilakukan, muncul pesan "Pay Railink 7968626942551 ZASKIA REGULAR R Rp10000 Adm 4500 Rute:SDB - BST kuota:0 Sukses. Ref:124324"</t>
  </si>
  <si>
    <t>SCSBK0025_20230427-103621383.pdf</t>
  </si>
  <si>
    <t>SBK0025-003</t>
  </si>
  <si>
    <t>Saldo Tidak Cukup</t>
  </si>
  <si>
    <t>SCSBK0025_20230427-120928657.pdf</t>
  </si>
  <si>
    <t>hasil simulasi belum sesuai</t>
  </si>
  <si>
    <t>SBK0025-004</t>
  </si>
  <si>
    <t>SCSBK0025_20230427-110229095.pdf</t>
  </si>
  <si>
    <t>SCSBK0026</t>
  </si>
  <si>
    <t>SBK0026-001</t>
  </si>
  <si>
    <t>User melakukan pembayaran PGN</t>
  </si>
  <si>
    <t xml:space="preserve">User melakukan pembayaran PGN </t>
  </si>
  <si>
    <t>PAY PGN 016000033333</t>
  </si>
  <si>
    <t>Transaksi berhasil dilakukan, muncul pesan "PGN 016000033333 PELANGGAN MAR13-APR13 Vol:60 Ref:0319011839 Tag:Rp25.000 adm:2500 Tot:Rp27.500 Berhasil."</t>
  </si>
  <si>
    <t>SBK0026-002</t>
  </si>
  <si>
    <t>SCSBK0027</t>
  </si>
  <si>
    <t>SBK0027-001</t>
  </si>
  <si>
    <t>User melakukan pembayaran TKI</t>
  </si>
  <si>
    <t xml:space="preserve">PAY TKI 77777888889999911 </t>
  </si>
  <si>
    <t>Transaksi berhasil dilakukan, muncul pesan "Pembayaran TKI 77777888889999911 ABDI WIRA Jml:6 PPTKIS:003 Total:Rp 540.000 adm:6500 Berhasil. Ref:580556"</t>
  </si>
  <si>
    <t>SCSBK0027_20230428-095740828.pdf</t>
  </si>
  <si>
    <t>SBK0027-002</t>
  </si>
  <si>
    <t>SCSBK0027_20230428-101541057.pdf</t>
  </si>
  <si>
    <t>SCSBK0028</t>
  </si>
  <si>
    <t>SBK0028-001</t>
  </si>
  <si>
    <t>User melakukan pembayaran Kepelabuhanan</t>
  </si>
  <si>
    <t>User melakukan pembayaran Kepelabuhanan - PELINDO 2</t>
  </si>
  <si>
    <t xml:space="preserve">PAY PELINDO2 01334567890123 </t>
  </si>
  <si>
    <t>Transaksi berhasil dilakukan, muncul pesan "Pby Pelindo2 01334567890123 PT. PELABUHAN TANJUNG PRIOK NOTA E-SERVICE Ttl:Rp10.000 Adm:Rp 0 Trx Sukses.Reff:563724"</t>
  </si>
  <si>
    <t>SCSBK0028_20230428-110539225.pdf</t>
  </si>
  <si>
    <t>SBK0028-002</t>
  </si>
  <si>
    <t>SCSBK0029</t>
  </si>
  <si>
    <t>SBK0029-001</t>
  </si>
  <si>
    <t>User melakukan pembelian Token Listrik</t>
  </si>
  <si>
    <t>User melakukan Beli Token Listrik PLN</t>
  </si>
  <si>
    <t>TOP PLN 211121234567</t>
  </si>
  <si>
    <t>Transaksi berhasil dilakukan, muncul pesan "1111111111111111115
GAEA THE MOT
99999999999
211121234567
B1/2200VA
Rp 20000
kWh1650,7
Stroom/Token6287 0689 4652 5354 9586
ADM Rp3000"</t>
  </si>
  <si>
    <t>SBK0029-002</t>
  </si>
  <si>
    <t>User melakukan cek Status Token</t>
  </si>
  <si>
    <t>CEK PLN 211121234567 21112</t>
  </si>
  <si>
    <t>Transaksi berhasil dilakukan, muncul pesan "3123807529114503533
KRISTOPHORUS
04185662758
211121234567
R3/7700VA
Rp 900000
kWh562.4
Stroom/Token5831 4903 4419 8564 0131
ADM Rp3000"</t>
  </si>
  <si>
    <t>SBK0029-003</t>
  </si>
  <si>
    <t>SCSBK0030</t>
  </si>
  <si>
    <t>SBK0030-001</t>
  </si>
  <si>
    <t>User melakukan pembelian Pulsa</t>
  </si>
  <si>
    <t>User melakukan pembelian Pulsa - Voucher Telkomsel</t>
  </si>
  <si>
    <t>TOP 08123456789 40000</t>
  </si>
  <si>
    <t>Transaksi berhasil dilakukan, muncul pesan "Anda telah melakukan isi ulang pulsa 08123456789 sebesar Rp. 40.000 dengan biaya admin Rp. 1500. Reff:12916283"</t>
  </si>
  <si>
    <t>SCSBK0030_20230428-135518576.pdf</t>
  </si>
  <si>
    <t>SBK0030-002</t>
  </si>
  <si>
    <t>User melakukan pembelian Pulsa - Voucher Indosat Ooredoo</t>
  </si>
  <si>
    <t>TOP 085612345678 25000</t>
  </si>
  <si>
    <t>Transaksi berhasil dilakukan, muncul pesan "Topup INDOSAT ke nomor 085612345678 sebesar Rp.25.000  Admin:Rp.1500 berhasil. Reff: 16287539."</t>
  </si>
  <si>
    <t>SBK0030-003</t>
  </si>
  <si>
    <t xml:space="preserve"> User melakukan pembelian Pulsa - Voucher XL/AXIS</t>
  </si>
  <si>
    <t>TOP XL 081912341234 15000</t>
  </si>
  <si>
    <t>Transaksi berhasil dilakukan, muncul pesan "Topup XL No:081912341234 sebesar Rp15.000 adm Rp.1.500 berhasil. Reff:162879"</t>
  </si>
  <si>
    <t>SBK0030-004</t>
  </si>
  <si>
    <t>User melakukan pembelian Pulsa - 3 (TRI)</t>
  </si>
  <si>
    <t>TOP  3 08984690376 30000</t>
  </si>
  <si>
    <t>Transaksi berhasil dilakukan, muncul pesan "Topup 3 No:08984690376 sebesar Rp30.000 adm Rp.1.500 berhasil. Reff:162879"</t>
  </si>
  <si>
    <t>SBK0030-005</t>
  </si>
  <si>
    <t>User melakukan pembelian Pulsa - Smartfren</t>
  </si>
  <si>
    <t>TOP  FREN  088112345678 25000</t>
  </si>
  <si>
    <t>Transaksi berhasil dilakukan, muncul pesan "Topup fFREN No:088112345678 sebesar Rp25.000 adm Rp.1.500 berhasil. Reff:162879"</t>
  </si>
  <si>
    <t>SBK0030-006</t>
  </si>
  <si>
    <t>SCSBK0030_20230428-143241911.pdf</t>
  </si>
  <si>
    <t>SBK0030-007</t>
  </si>
  <si>
    <t>SCSBK0030_20230428-143924094.pdf</t>
  </si>
  <si>
    <t>SCSBK0031</t>
  </si>
  <si>
    <t>SBK0031-001</t>
  </si>
  <si>
    <t>User melakukan pembelian Paket Data</t>
  </si>
  <si>
    <t>User melakukan pembelian Paket Data - XL</t>
  </si>
  <si>
    <t>TOP XLData COMBO59 081900299079</t>
  </si>
  <si>
    <t>Transaksi berhasil dilakukan, muncul pesan "TOP XL_DATA 081900299079 INTERNET HOTROD Rp.30000 Admin 1500 Berhasil. Voucher  S/N:INI RECEIPT. No.Reff:288714"</t>
  </si>
  <si>
    <t>SBK0031-002</t>
  </si>
  <si>
    <t>User melakukan pembelian Paket Data - Indosat Ooredoo</t>
  </si>
  <si>
    <t>TOP INDOSATFREEDOM M 085656546666</t>
  </si>
  <si>
    <t>Transaksi berhasil dilakukan, muncul pesan "TOP INDOSAT OOREDOO Freedom M 1GB 085656546666 Rp.59.000 Admin 0 Berhasil. Reff:98421139"</t>
  </si>
  <si>
    <t>SCSBK0031_20230428-150849360.pdf</t>
  </si>
  <si>
    <t>SBK0031-003</t>
  </si>
  <si>
    <t>User melakukan pembelian Paket Data - Pulsa Internet Telkomsel</t>
  </si>
  <si>
    <t>TOP PULSA INTERNET TELKOMSEL 123456 25000</t>
  </si>
  <si>
    <t>Transaksi berhasil dilakukan, muncul pesan "Pembelian Pulsa Internet Telkomsel no:123456 sebesar Rp.25.000 Admin 1.500 Berhasil S/N:0000101596847552. NoRef:16292833"</t>
  </si>
  <si>
    <t>SBK0031-004</t>
  </si>
  <si>
    <t>User melakukan pembelian Paket Data - Paket Digital Telkomsel</t>
  </si>
  <si>
    <t>TOP DIGITAL TM25K 0812666666001</t>
  </si>
  <si>
    <t>Transaksi berhasil dilakukan, muncul pesan "TOP TELKOMSEL 0812666666001 DIGITAL TM25K Rp.25.000 Admin:Rp.1.500 Berhasil. Voucher S/N:0041078466328811. No.Reff:540562"</t>
  </si>
  <si>
    <t>SBK0031-005</t>
  </si>
  <si>
    <t>User melakukan pembelian Paket Data - Paket Data 3</t>
  </si>
  <si>
    <t>TOP PAKET DATA 3 AON 16GB 089812345678</t>
  </si>
  <si>
    <t>Transaksi berhasil dilakukan, muncul pesan "TOP 3 089812345678 AON 16GB Rp.25.000 Admin:Rp.1.500 Berhasil. Voucher S/N:0041078466328811. No.Reff:540562"</t>
  </si>
  <si>
    <t>SBK0031-006</t>
  </si>
  <si>
    <t>SCSBK0031_20230428-152223643.pdf</t>
  </si>
  <si>
    <t>SCSBK0033</t>
  </si>
  <si>
    <t>SBK0033-001</t>
  </si>
  <si>
    <t>User melakukan pembelian Voucher Orange TV</t>
  </si>
  <si>
    <t>TOP ORANGE 10000003 50000</t>
  </si>
  <si>
    <t>Transaksi berhasil dilakukan, muncul pesan "TPembelian voucher Orange TV Idpel.10000003 Rp. 50.000 berhasil. Reff.60289127"</t>
  </si>
  <si>
    <t>SCSBK0033_20230502-143117788.pdf</t>
  </si>
  <si>
    <t>SBK0033-002</t>
  </si>
  <si>
    <t>SCSBK0033_20230502-143743608.pdf</t>
  </si>
  <si>
    <t>SBK0033-003</t>
  </si>
  <si>
    <t>SCSBK0033_20230502-144451307.pdf</t>
  </si>
  <si>
    <t>SCSBK0034</t>
  </si>
  <si>
    <t>SBK0034-001</t>
  </si>
  <si>
    <t>User pembelian PGN</t>
  </si>
  <si>
    <t>TOP PGN 9091929390000 50000</t>
  </si>
  <si>
    <t>Transaksi berhasil dilakukan, muncul pesan "Top PGN PELANGGAN PGN PR 9091929390000 Kat: RT2 Hrg: Rp50000 Pjk: 1000 Materai: 2000 HrgGas: Rp7000 Vlm: 7 Adm: Rp2500 Total: Rp52500 telah berhasil.Reff:215493"</t>
  </si>
  <si>
    <t>SBK0034-002</t>
  </si>
  <si>
    <t>SCSBK0035</t>
  </si>
  <si>
    <t>SBK0035-001</t>
  </si>
  <si>
    <t>User melakukan Top-Up Uang Elektronik</t>
  </si>
  <si>
    <t>User melakukan Top-Up Uang Elektronik - Tapcash</t>
  </si>
  <si>
    <t>TOP TAPCASH 7546220000071886 10000</t>
  </si>
  <si>
    <t>Transaksi berhasil dilakukan, muncul pesan "Top Up Tapcash No.Kartu:7546220000071886 Rp.10.000 berhasil.Lakukan update balance di ATM berlogo BNI Tapcash NoReff:13826641."</t>
  </si>
  <si>
    <t>SCSBK0035_20230502-150440367.pdf</t>
  </si>
  <si>
    <t>SBK0035-002</t>
  </si>
  <si>
    <t>User melakukan Top-Up Uang Elektronik - LinkAja</t>
  </si>
  <si>
    <t>TOP LINK AJA 085396444498 90500</t>
  </si>
  <si>
    <t>Transaksi berhasil dilakukan, muncul pesan "Top Up LINK AJA No.HP:085396444498 Nama:MUH KASIM Rp90.500 Berhasil. No ref:415352"</t>
  </si>
  <si>
    <t>SBK0035-003</t>
  </si>
  <si>
    <t>User melakukan Top-Up Uang Elektronik - Gopay</t>
  </si>
  <si>
    <t>TOP GOPAY CUSTOMER 085396444498 150000</t>
  </si>
  <si>
    <t>Transaksi berhasil dilakukan, muncul pesan "TOP GOPAY CUSTOMER 085396444498 Nama:KRISNALDI DUMB Rp.150.000 adm Rp.1000 Berhasil. Reff:581841"</t>
  </si>
  <si>
    <t>SCSBK0035_20230502-152741538.pdf</t>
  </si>
  <si>
    <t>SBK0035-004</t>
  </si>
  <si>
    <t>User melakukan Top-Up Uang Elektronik - ShopeePay</t>
  </si>
  <si>
    <t>TOP SHOPEEPAY  8807081297175115 50000</t>
  </si>
  <si>
    <t>Transaksi berhasil dilakukan, muncul pesan "TOP SHOPEEPAY  8807081297175115 Nama:KRISNALDI DUMB Rp.50.000 adm Rp.1000 Berhasil. Reff:581841"</t>
  </si>
  <si>
    <t>SBK0035-005</t>
  </si>
  <si>
    <t>User melakukan Top-Up Uang Elektronik - OVO</t>
  </si>
  <si>
    <t>TOP OVO 8740081254974675 50000</t>
  </si>
  <si>
    <t>Transaksi berhasil dilakukan, muncul pesan "TOP OVO 8740081254974675 Nama:KRISNALDI DUMB Rp.50.000 adm Rp.1000 Berhasil. Reff:581841"</t>
  </si>
  <si>
    <t>SBK0035-006</t>
  </si>
  <si>
    <t>User melakukan Top-Up Uang Elektronik - Dana</t>
  </si>
  <si>
    <t>TOP DANA 8810081257118711 50000</t>
  </si>
  <si>
    <t>Transaksi berhasil dilakukan, muncul pesan "TOP DANA 8810081257118711 Nama:KRISNALDI DUMB Rp.50.000 adm Rp.1000 Berhasil. Reff:581841"</t>
  </si>
  <si>
    <t>SBK0035-007</t>
  </si>
  <si>
    <t>User melakukan Top-Up Uang Elektronik - I-Saku</t>
  </si>
  <si>
    <t>TOP ISAKU 8807081218365973 50000AC</t>
  </si>
  <si>
    <t>Transaksi berhasil dilakukan, muncul pesan "TopUp iSaku 8807081218365 Nama: SIDOMAR196 Rp 50000 Adm:Rp 0, Total:Rp 50.000. Sukses. Ref: 348092"</t>
  </si>
  <si>
    <t>SBK0035-008</t>
  </si>
  <si>
    <t>SCSBK0035_20230502-154229414.pdf</t>
  </si>
  <si>
    <t>SCSBK0036</t>
  </si>
  <si>
    <t>SBK0036-001</t>
  </si>
  <si>
    <t xml:space="preserve">Menguji bar pencarian </t>
  </si>
  <si>
    <t>13 Februari 2023</t>
  </si>
  <si>
    <t>SCSBK0036_20230213-135630608.pdf</t>
  </si>
  <si>
    <t>SBK0036-002</t>
  </si>
  <si>
    <t>SCSBK0036_20230213-162706735.pdf</t>
  </si>
  <si>
    <t>2 Maret 2023</t>
  </si>
  <si>
    <t>SCSBK0036_20230302-101219023.pdf</t>
  </si>
  <si>
    <t>SBK0036-003</t>
  </si>
  <si>
    <t>14 Februari 2023</t>
  </si>
  <si>
    <t>SCSBK0036_20230214-093514638.pdf</t>
  </si>
  <si>
    <t>SCSBK0036_20230302-111118064.pdf</t>
  </si>
  <si>
    <t>SBK0036-004</t>
  </si>
  <si>
    <t>SCSBK0036_20230214-145322209.pdf</t>
  </si>
  <si>
    <t>Rekening belum terdaftar di channel sms banking</t>
  </si>
  <si>
    <t>SBK0036-005</t>
  </si>
  <si>
    <t>SCSBK0036_20230214-160731999.pdf</t>
  </si>
  <si>
    <t>SBK0036-006</t>
  </si>
  <si>
    <t>15 Februari 2023</t>
  </si>
  <si>
    <t>SCSBK0036_20230215-093103881.pdf</t>
  </si>
  <si>
    <t>SBK0036-007</t>
  </si>
  <si>
    <t>SCSBK0036_20230215-113435796.pdf</t>
  </si>
  <si>
    <t>SBK0036-008</t>
  </si>
  <si>
    <t>SCSBK0037</t>
  </si>
  <si>
    <t>SBK0037-001</t>
  </si>
  <si>
    <t>SCSBK0037_20230215-144420478.pdf</t>
  </si>
  <si>
    <t>SCSBK0038</t>
  </si>
  <si>
    <t>SBK0038-001</t>
  </si>
  <si>
    <t>22 Februari 2023</t>
  </si>
  <si>
    <t>SCSBK0038_20230222-092653080.pdf</t>
  </si>
  <si>
    <t>SBK0038-002</t>
  </si>
  <si>
    <t>SCSBK0038_20230302-163202836.pdf</t>
  </si>
  <si>
    <t>SBK0038-003</t>
  </si>
  <si>
    <t>SBK0038-004</t>
  </si>
  <si>
    <t>3 Maret 20223</t>
  </si>
  <si>
    <t>SCSBK0038_20230303-094757970.pdf</t>
  </si>
  <si>
    <t>SBK0038-005</t>
  </si>
  <si>
    <t>SBK0038-006</t>
  </si>
  <si>
    <t>SCSBK0038_20230303-103812403.pdf</t>
  </si>
  <si>
    <t>SBK0038-007</t>
  </si>
  <si>
    <t>SBK0038-008</t>
  </si>
  <si>
    <t>SBK0038-009</t>
  </si>
  <si>
    <t>SCSBK0039</t>
  </si>
  <si>
    <t>SBK0039-001</t>
  </si>
  <si>
    <t>SCSBK0039_20230215-151706510.pdf</t>
  </si>
  <si>
    <t>SCSBK0040</t>
  </si>
  <si>
    <t>SBK0040-001</t>
  </si>
  <si>
    <t>SCSBK0040_20230215-162820159.pdf</t>
  </si>
  <si>
    <t>16 Maret 2023</t>
  </si>
  <si>
    <t>SCSBK0040_20230316-085433512.pdf</t>
  </si>
  <si>
    <t>SBK0040-002</t>
  </si>
  <si>
    <t>SBK0040-003</t>
  </si>
  <si>
    <t>SCSBK0040_20230316-093436529.pdf</t>
  </si>
  <si>
    <t>SBK0040-004</t>
  </si>
  <si>
    <t>16 Februari 2023</t>
  </si>
  <si>
    <t>SCSBK0040_20230216-094312066.pdf</t>
  </si>
  <si>
    <t>SCSBK0041</t>
  </si>
  <si>
    <t>SBK0041-001</t>
  </si>
  <si>
    <t>TRANSFER 31710015 50000</t>
  </si>
  <si>
    <t>SCSBK0041_20230216-095827700.pdf</t>
  </si>
  <si>
    <t>SBK0041-002</t>
  </si>
  <si>
    <t>SCSBK0042</t>
  </si>
  <si>
    <t>SBK0042-001</t>
  </si>
  <si>
    <t>SCSBK0042_20230216-110153460.pdf</t>
  </si>
  <si>
    <t>SCSBK0042_20230316-102609329.pdf</t>
  </si>
  <si>
    <t>SBK0042-002</t>
  </si>
  <si>
    <t>SCSBK0043</t>
  </si>
  <si>
    <t>SBK0043-001</t>
  </si>
  <si>
    <t>SCSBK0043_20230216-150601874.pdf</t>
  </si>
  <si>
    <t>SCSBK0043_20230316-105707972.pdf</t>
  </si>
  <si>
    <t>SBK0043-002</t>
  </si>
  <si>
    <t>SCSBK0043_20230216-151718829.pdf</t>
  </si>
  <si>
    <t>29 Maret 2023</t>
  </si>
  <si>
    <t>SCSBK0043_20230329-092730382.pdf</t>
  </si>
  <si>
    <t>SBK0043-003</t>
  </si>
  <si>
    <t>SCSBK0043_20230216-152910115.pdf</t>
  </si>
  <si>
    <t>SCSBK0043_20230329-093830822.pdf</t>
  </si>
  <si>
    <t>SBK0043-004</t>
  </si>
  <si>
    <t>SCSBK0043_20230216-154800557.pdf</t>
  </si>
  <si>
    <t>SCSBK0043_20230329-095057573.pdf</t>
  </si>
  <si>
    <t>SBK0043-005</t>
  </si>
  <si>
    <t>SCSBK0043_20230216-155851262.pdf</t>
  </si>
  <si>
    <t>SBK0043-006</t>
  </si>
  <si>
    <t>SCSBK0043_20230216-180756011.pdf</t>
  </si>
  <si>
    <t>SBK0043-007</t>
  </si>
  <si>
    <t>SCSBK0043_20230216-184720905.pdf</t>
  </si>
  <si>
    <t>SCSBK0043_20230329-132331505.pdf</t>
  </si>
  <si>
    <t>SBK0043-008</t>
  </si>
  <si>
    <t>status masih ada yang failed</t>
  </si>
  <si>
    <t>SBK0043-009</t>
  </si>
  <si>
    <t>User melakukan transfer Antar Bank - Realtime Online</t>
  </si>
  <si>
    <t>SCSBK0043_20230216-202542858.pdf</t>
  </si>
  <si>
    <t>SCSBK0043_20230329-105313707.pdf</t>
  </si>
  <si>
    <t>SBK0043-010</t>
  </si>
  <si>
    <t>SCSBK0043_20230329-125638222.pdf</t>
  </si>
  <si>
    <t>SBK0043-011</t>
  </si>
  <si>
    <t>TRANSFER ANTARBANK 1232718291 50000 ##</t>
  </si>
  <si>
    <t>01 Maret 2023</t>
  </si>
  <si>
    <t>SCSBK0043_20230301-101644867.pdf</t>
  </si>
  <si>
    <t>hasil simulasi masih belum sesuai</t>
  </si>
  <si>
    <t>SCSBK0044</t>
  </si>
  <si>
    <t>SBK0044-001</t>
  </si>
  <si>
    <t>17 Februari 2023</t>
  </si>
  <si>
    <t>SCSBK0044_20230217-094056300.pdf</t>
  </si>
  <si>
    <t>SBK0044-002</t>
  </si>
  <si>
    <t>SBK0044-003</t>
  </si>
  <si>
    <t>SBK0044-004</t>
  </si>
  <si>
    <t>SCSBK0044_20230217-104046367.pdf</t>
  </si>
  <si>
    <t>SBK0044-005</t>
  </si>
  <si>
    <t>SBK0044-006</t>
  </si>
  <si>
    <t>SBK0044-007</t>
  </si>
  <si>
    <t>SCSBK0044_20230217-140020403.pdf</t>
  </si>
  <si>
    <t>SBK0044-008</t>
  </si>
  <si>
    <t>SBK0044-009</t>
  </si>
  <si>
    <t>Transaksi Tidak Dapat Diproses</t>
  </si>
  <si>
    <t>SBK0044-010</t>
  </si>
  <si>
    <t>Nomor kartu kredit atau KTA tidak dikenal</t>
  </si>
  <si>
    <t>SBK0044-011</t>
  </si>
  <si>
    <t>SCSBK0044_20230217-145652197.pdf</t>
  </si>
  <si>
    <t>SCSBK0044_20230329-150233616.pdf</t>
  </si>
  <si>
    <t>SBK0044-012</t>
  </si>
  <si>
    <t>SBK0044-013</t>
  </si>
  <si>
    <t>SCSBK0044_20230329-151822935.pdf</t>
  </si>
  <si>
    <t>Udah Di Upload</t>
  </si>
  <si>
    <t>file tidak ada di Gdriver</t>
  </si>
  <si>
    <t>SBK0044-014</t>
  </si>
  <si>
    <t>08 Maret 2023</t>
  </si>
  <si>
    <t>SCSBK0044_20230308-161802607.pdf</t>
  </si>
  <si>
    <t>SBK0044-015</t>
  </si>
  <si>
    <t>07 Maret 2023</t>
  </si>
  <si>
    <t>SCSBK0044_20230307-094716591.pdf</t>
  </si>
  <si>
    <t>30 Maret 2023</t>
  </si>
  <si>
    <t>SCSBK0044_20230330-094833604.pdf</t>
  </si>
  <si>
    <t>SBK0044-016</t>
  </si>
  <si>
    <t>PAY HALO 123456</t>
  </si>
  <si>
    <t>SCSBK0044_20230301-114939190.pdf</t>
  </si>
  <si>
    <t>SBK0044-017</t>
  </si>
  <si>
    <t>SCSBK0044_20230307-105945623.pdf</t>
  </si>
  <si>
    <t>SBK0044-018</t>
  </si>
  <si>
    <t>28 Maret 2023</t>
  </si>
  <si>
    <t>SCSBK0044_20230328-140354859.pdf</t>
  </si>
  <si>
    <t>SBK0044-019</t>
  </si>
  <si>
    <t>SBK0044-020</t>
  </si>
  <si>
    <t>SCSBK0044_20230307-135844474.pdf</t>
  </si>
  <si>
    <t>SCSBK0045</t>
  </si>
  <si>
    <t>SBK0045-001</t>
  </si>
  <si>
    <t>20 Februari 2023</t>
  </si>
  <si>
    <t>SCSBK0045_20230220-090641524.pdf</t>
  </si>
  <si>
    <t>SCSBK0046</t>
  </si>
  <si>
    <t>SBK0046-001</t>
  </si>
  <si>
    <t>PAY HALO 08212345678</t>
  </si>
  <si>
    <t>Transaksi gagal dilakukan, muncul pesan "Transaksi tdk dpt diproses. Nomor HP Anda:08212345678 belum terdaftar BNI SMS Banking. Silahkan kunjungi Cabang BNI Terdekat"</t>
  </si>
  <si>
    <t>SCSBK0046_20230301-141549033.pdf</t>
  </si>
  <si>
    <t>SCSBK0047</t>
  </si>
  <si>
    <t>SBK0047-001</t>
  </si>
  <si>
    <t>SCSBK0047_20230308-104026351.pdf</t>
  </si>
  <si>
    <t>SCSBK0048</t>
  </si>
  <si>
    <t>SBK0048-001</t>
  </si>
  <si>
    <t>SCSBK0048_20230308-141629622.pdf</t>
  </si>
  <si>
    <t>SBK0048-002</t>
  </si>
  <si>
    <t>SCSBK0048_20230220-105519006.pdf</t>
  </si>
  <si>
    <t>SCSBK0048_20230330-101955119.pdf</t>
  </si>
  <si>
    <t>Udah Di Run Ulang</t>
  </si>
  <si>
    <t>SBK0048-003</t>
  </si>
  <si>
    <t>SCSBK0048_20230308-142445571.pdf</t>
  </si>
  <si>
    <t>SCSBK0049</t>
  </si>
  <si>
    <t>SBK0049-001</t>
  </si>
  <si>
    <t>SCSBK0049_20230220-115440873.pdf</t>
  </si>
  <si>
    <t>SCSBK0049_20230330-104446080.pdf</t>
  </si>
  <si>
    <t>Udah Di run Ulang</t>
  </si>
  <si>
    <t>SBK0049-002</t>
  </si>
  <si>
    <t>21 Februari 2023</t>
  </si>
  <si>
    <t>SCSBK0049_20230221-120246506.pdf</t>
  </si>
  <si>
    <t>SBK0049-003</t>
  </si>
  <si>
    <t>SCSBK0049_20230221-193522385.pdf</t>
  </si>
  <si>
    <t>SBK0049-004</t>
  </si>
  <si>
    <t>SBK0049-005</t>
  </si>
  <si>
    <t>SCSBK0049_20230330-105348278.pdf</t>
  </si>
  <si>
    <t>SBK0049-006</t>
  </si>
  <si>
    <t>SCSBK0049_20230221-130119704.pdf</t>
  </si>
  <si>
    <t>SBK0049-007</t>
  </si>
  <si>
    <t>SCSBK0049_20230221-132729640.pdf</t>
  </si>
  <si>
    <t>SBK0049-008</t>
  </si>
  <si>
    <t>PAY BPJSTK PMI 3174042905850005 4</t>
  </si>
  <si>
    <t>Nomor Tersebut Terdaftar, Sedangkan Test Case Diminta Nomor Tidak Terdaftar</t>
  </si>
  <si>
    <t>SCSBK0050</t>
  </si>
  <si>
    <t>SBK0050-001</t>
  </si>
  <si>
    <t>03 Maret 2023</t>
  </si>
  <si>
    <t>SCSBK0050_20230308-150444723.pdf</t>
  </si>
  <si>
    <t>SBK0050-002</t>
  </si>
  <si>
    <t>Transaksi Tidak Dapat Di Proses</t>
  </si>
  <si>
    <t>SBK0050-003</t>
  </si>
  <si>
    <t>file masih belum sesuai</t>
  </si>
  <si>
    <t>SBK0050-004</t>
  </si>
  <si>
    <t>SBK0050-005</t>
  </si>
  <si>
    <t>SBK0050-006</t>
  </si>
  <si>
    <t>SCSBK0050_20230221-150427760.pdf</t>
  </si>
  <si>
    <t>Response masih belum sesuai</t>
  </si>
  <si>
    <t>SBK0050-007</t>
  </si>
  <si>
    <t>SBK0050-008</t>
  </si>
  <si>
    <t>SBK0050-009</t>
  </si>
  <si>
    <t>SCSBK0050_20230221-170937889.pdf</t>
  </si>
  <si>
    <t>SBK0050-010</t>
  </si>
  <si>
    <t>SBK0050-011</t>
  </si>
  <si>
    <t>SBK0050-012</t>
  </si>
  <si>
    <t>SCSBK0050_20230221-173522462.pdf</t>
  </si>
  <si>
    <t>SBK0050-013</t>
  </si>
  <si>
    <t>SCSBK0050_20230221-200010214.pdf</t>
  </si>
  <si>
    <t>SBK0050-014</t>
  </si>
  <si>
    <t>SCSBK0050_20230221-181819231.pdf</t>
  </si>
  <si>
    <t>SBK0050-015</t>
  </si>
  <si>
    <t>SBK0050-016</t>
  </si>
  <si>
    <t>SBK0050-017</t>
  </si>
  <si>
    <t>SCSBK0050_20230221-185236371.pdf</t>
  </si>
  <si>
    <t>SBK0050-018</t>
  </si>
  <si>
    <t>SBK0050-019</t>
  </si>
  <si>
    <t>SBK0050-020</t>
  </si>
  <si>
    <t>SBK0050-021</t>
  </si>
  <si>
    <t>SBK0050-022</t>
  </si>
  <si>
    <t>SBK0050-023</t>
  </si>
  <si>
    <t>SBK0050-024</t>
  </si>
  <si>
    <t>SBK0050-025</t>
  </si>
  <si>
    <t>SBK0050-026</t>
  </si>
  <si>
    <t>SBK0050-027</t>
  </si>
  <si>
    <t>SBK0050-028</t>
  </si>
  <si>
    <t>SBK0050-029</t>
  </si>
  <si>
    <t>SBK0050-030</t>
  </si>
  <si>
    <t>SBK0050-031</t>
  </si>
  <si>
    <t>SBK0050-032</t>
  </si>
  <si>
    <t>SBK0050-033</t>
  </si>
  <si>
    <t>SBK0050-034</t>
  </si>
  <si>
    <t>SBK0050-035</t>
  </si>
  <si>
    <t>SBK0050-036</t>
  </si>
  <si>
    <t>SBK0050-037</t>
  </si>
  <si>
    <t>SBK0050-038</t>
  </si>
  <si>
    <t>SBK0050-039</t>
  </si>
  <si>
    <t>17 Maret 2023</t>
  </si>
  <si>
    <t>SCSBK0050_20230317-141942180.pdf</t>
  </si>
  <si>
    <t>SBK0050-040</t>
  </si>
  <si>
    <t>SBK0050-041</t>
  </si>
  <si>
    <t>SBK0050-042</t>
  </si>
  <si>
    <t>SBK0050-043</t>
  </si>
  <si>
    <t>SBK0050-044</t>
  </si>
  <si>
    <t>SBK0050-045</t>
  </si>
  <si>
    <t>SBK0050-046</t>
  </si>
  <si>
    <t>SBK0050-047</t>
  </si>
  <si>
    <t>SBK0050-048</t>
  </si>
  <si>
    <t>SBK0050-049</t>
  </si>
  <si>
    <t>SBK0050-050</t>
  </si>
  <si>
    <t>SBK0050-051</t>
  </si>
  <si>
    <t>SBK0050-052</t>
  </si>
  <si>
    <t>SBK0050-053</t>
  </si>
  <si>
    <t>SBK0050-054</t>
  </si>
  <si>
    <t>SBK0050-055</t>
  </si>
  <si>
    <t>SBK0050-056</t>
  </si>
  <si>
    <t>SBK0050-057</t>
  </si>
  <si>
    <t>SCSBK0050_20230317-150836468.pdf</t>
  </si>
  <si>
    <t>SBK0050-058</t>
  </si>
  <si>
    <t>SBK0050-059</t>
  </si>
  <si>
    <t>SBK0050-060</t>
  </si>
  <si>
    <t>SBK0050-061</t>
  </si>
  <si>
    <t>SBK0050-062</t>
  </si>
  <si>
    <t>SBK0050-063</t>
  </si>
  <si>
    <t>SBK0050-064</t>
  </si>
  <si>
    <t>SBK0050-065</t>
  </si>
  <si>
    <t>SBK0050-066</t>
  </si>
  <si>
    <t>SBK0050-067</t>
  </si>
  <si>
    <t>SBK0050-068</t>
  </si>
  <si>
    <t>SBK0050-069</t>
  </si>
  <si>
    <t>SBK0050-070</t>
  </si>
  <si>
    <t>SBK0050-071</t>
  </si>
  <si>
    <t>SBK0050-072</t>
  </si>
  <si>
    <t>SBK0050-073</t>
  </si>
  <si>
    <t>SBK0050-074</t>
  </si>
  <si>
    <t>SBK0050-075</t>
  </si>
  <si>
    <t>SBK0050-076</t>
  </si>
  <si>
    <t>SBK0050-077</t>
  </si>
  <si>
    <t>SBK0050-078</t>
  </si>
  <si>
    <t>SBK0050-079</t>
  </si>
  <si>
    <t>SBK0050-080</t>
  </si>
  <si>
    <t>SBK0050-081</t>
  </si>
  <si>
    <t>SBK0050-082</t>
  </si>
  <si>
    <t>SBK0050-083</t>
  </si>
  <si>
    <t>SBK0050-084</t>
  </si>
  <si>
    <t>SBK0050-085</t>
  </si>
  <si>
    <t>SBK0050-086</t>
  </si>
  <si>
    <t>SBK0050-087</t>
  </si>
  <si>
    <t>SBK0050-088</t>
  </si>
  <si>
    <t>SBK0050-089</t>
  </si>
  <si>
    <t>SBK0050-090</t>
  </si>
  <si>
    <t>SBK0050-091</t>
  </si>
  <si>
    <t>SBK0050-092</t>
  </si>
  <si>
    <t>SBK0050-093</t>
  </si>
  <si>
    <t>SBK0050-094</t>
  </si>
  <si>
    <t>SBK0050-095</t>
  </si>
  <si>
    <t>SBK0050-096</t>
  </si>
  <si>
    <t>SBK0050-097</t>
  </si>
  <si>
    <t>SBK0050-098</t>
  </si>
  <si>
    <t>SBK0050-099</t>
  </si>
  <si>
    <t>SBK0050-100</t>
  </si>
  <si>
    <t>SBK0050-101</t>
  </si>
  <si>
    <t>SBK0050-102</t>
  </si>
  <si>
    <t>SBK0050-103</t>
  </si>
  <si>
    <t>SBK0050-104</t>
  </si>
  <si>
    <t>SBK0050-105</t>
  </si>
  <si>
    <t>SBK0050-106</t>
  </si>
  <si>
    <t>SBK0050-107</t>
  </si>
  <si>
    <t>SBK0050-108</t>
  </si>
  <si>
    <t>SBK0050-109</t>
  </si>
  <si>
    <t>SBK0050-110</t>
  </si>
  <si>
    <t>SBK0050-111</t>
  </si>
  <si>
    <t>SBK0050-112</t>
  </si>
  <si>
    <t>SBK0050-113</t>
  </si>
  <si>
    <t>SBK0050-114</t>
  </si>
  <si>
    <t>SBK0050-115</t>
  </si>
  <si>
    <t>SBK0050-116</t>
  </si>
  <si>
    <t>SBK0050-117</t>
  </si>
  <si>
    <t>SBK0050-118</t>
  </si>
  <si>
    <t>SBK0050-119</t>
  </si>
  <si>
    <t>SBK0050-120</t>
  </si>
  <si>
    <t>SBK0050-121</t>
  </si>
  <si>
    <t>SBK0050-122</t>
  </si>
  <si>
    <t>SBK0050-123</t>
  </si>
  <si>
    <t>SBK0050-124</t>
  </si>
  <si>
    <t>SBK0050-125</t>
  </si>
  <si>
    <t>SBK0050-126</t>
  </si>
  <si>
    <t>SBK0050-127</t>
  </si>
  <si>
    <t>SBK0050-128</t>
  </si>
  <si>
    <t>SBK0050-129</t>
  </si>
  <si>
    <t>SBK0050-130</t>
  </si>
  <si>
    <t>SBK0050-131</t>
  </si>
  <si>
    <t>SBK0050-132</t>
  </si>
  <si>
    <t>SBK0050-133</t>
  </si>
  <si>
    <t>SBK0050-134</t>
  </si>
  <si>
    <t>SBK0050-135</t>
  </si>
  <si>
    <t>SBK0050-136</t>
  </si>
  <si>
    <t>SBK0050-137</t>
  </si>
  <si>
    <t>SBK0050-138</t>
  </si>
  <si>
    <t>SBK0050-139</t>
  </si>
  <si>
    <t>SBK0050-140</t>
  </si>
  <si>
    <t>SBK0050-141</t>
  </si>
  <si>
    <t>SBK0050-142</t>
  </si>
  <si>
    <t>SBK0050-143</t>
  </si>
  <si>
    <t>SBK0050-144</t>
  </si>
  <si>
    <t>SBK0050-145</t>
  </si>
  <si>
    <t>SBK0050-146</t>
  </si>
  <si>
    <t>SBK0050-147</t>
  </si>
  <si>
    <t>SBK0050-148</t>
  </si>
  <si>
    <t>SBK0050-149</t>
  </si>
  <si>
    <t>SBK0050-150</t>
  </si>
  <si>
    <t>SBK0050-151</t>
  </si>
  <si>
    <t>SBK0050-152</t>
  </si>
  <si>
    <t>SBK0050-153</t>
  </si>
  <si>
    <t>SBK0050-154</t>
  </si>
  <si>
    <t>SBK0050-155</t>
  </si>
  <si>
    <t>SBK0050-156</t>
  </si>
  <si>
    <t>SBK0050-157</t>
  </si>
  <si>
    <t>SBK0050-158</t>
  </si>
  <si>
    <t>SBK0050-159</t>
  </si>
  <si>
    <t>SBK0050-160</t>
  </si>
  <si>
    <t>SBK0050-161</t>
  </si>
  <si>
    <t>SBK0050-162</t>
  </si>
  <si>
    <t>SBK0050-163</t>
  </si>
  <si>
    <t>SBK0050-164</t>
  </si>
  <si>
    <t>SBK0050-165</t>
  </si>
  <si>
    <t>SBK0050-166</t>
  </si>
  <si>
    <t>SBK0050-167</t>
  </si>
  <si>
    <t>SBK0050-168</t>
  </si>
  <si>
    <t>SBK0050-169</t>
  </si>
  <si>
    <t>SBK0050-170</t>
  </si>
  <si>
    <t>SBK0050-171</t>
  </si>
  <si>
    <t>SBK0050-172</t>
  </si>
  <si>
    <t>SBK0050-173</t>
  </si>
  <si>
    <t>SBK0050-174</t>
  </si>
  <si>
    <t>SBK0050-175</t>
  </si>
  <si>
    <t>SBK0050-176</t>
  </si>
  <si>
    <t>SBK0050-177</t>
  </si>
  <si>
    <t>SBK0050-178</t>
  </si>
  <si>
    <t>SBK0050-179</t>
  </si>
  <si>
    <t>SBK0050-180</t>
  </si>
  <si>
    <t>SCSBK0051</t>
  </si>
  <si>
    <t>SBK0051-001</t>
  </si>
  <si>
    <t>User melakukan Pembayaran Internet/TTV Berlangganan - MNC Vision</t>
  </si>
  <si>
    <t>09 Maret 2023</t>
  </si>
  <si>
    <t>SCSBK0051_20230309-100841176.pdf</t>
  </si>
  <si>
    <t>SBK0051-002</t>
  </si>
  <si>
    <t>User melakukan Pembayaran Internet/TTV Berlangganan - Firt Media</t>
  </si>
  <si>
    <t>SCSBK0051_20230222-141409636.pdf</t>
  </si>
  <si>
    <t>SBK0051-003</t>
  </si>
  <si>
    <t>User melakukan Pembayaran Internet/TTV Berlangganan - Transvision</t>
  </si>
  <si>
    <t>SCSBK0051_20230309-113606356.pdf</t>
  </si>
  <si>
    <t>SBK0051-004</t>
  </si>
  <si>
    <t>User melakukan Pembayaran Internet/TTV Berlangganan - Indihome</t>
  </si>
  <si>
    <t>SBK0051-005</t>
  </si>
  <si>
    <t>SCSBK0052</t>
  </si>
  <si>
    <t>SBK0052-001</t>
  </si>
  <si>
    <t>User Melakukan Pembayaran Tiket- Garuda Indonesia</t>
  </si>
  <si>
    <t>23 Februari 2023</t>
  </si>
  <si>
    <t>SCSBK0052_20230223-152720780.pdf</t>
  </si>
  <si>
    <t>SBK0052-002</t>
  </si>
  <si>
    <t>SBK0052-003</t>
  </si>
  <si>
    <t>User Melakukan Pembayaran Tkiet - Citilink</t>
  </si>
  <si>
    <t>SBK0052-004</t>
  </si>
  <si>
    <t>SCSBK0053</t>
  </si>
  <si>
    <t>SBK0053-001</t>
  </si>
  <si>
    <t>SCSBK0053_20230223-111210742.pdf</t>
  </si>
  <si>
    <t>SBK0053-002</t>
  </si>
  <si>
    <t>SBK0053-003</t>
  </si>
  <si>
    <t>SBK0053-004</t>
  </si>
  <si>
    <t>SBK0053-005</t>
  </si>
  <si>
    <t>SBK0053-006</t>
  </si>
  <si>
    <t>SCSBK0054</t>
  </si>
  <si>
    <t>SBK0054-001</t>
  </si>
  <si>
    <t>SCSBK0054_20230223-140958221.pdf</t>
  </si>
  <si>
    <t>Hasil simulasi masih ada yg failed</t>
  </si>
  <si>
    <t>SBK0054-002</t>
  </si>
  <si>
    <t>SBK0054-003</t>
  </si>
  <si>
    <t>Perintah Sintaks Salah</t>
  </si>
  <si>
    <t>SBK0054-004</t>
  </si>
  <si>
    <t>SCSBK0054_20230328-143224776.pdf</t>
  </si>
  <si>
    <t>SBK0054-005</t>
  </si>
  <si>
    <t>SCSBK0054_20230328-144915663.pdf</t>
  </si>
  <si>
    <t>SBK0054-006</t>
  </si>
  <si>
    <t>31 Maret 2023</t>
  </si>
  <si>
    <t>SCSBK0054_20230331-150909613.pdf</t>
  </si>
  <si>
    <t>SBK0054-007</t>
  </si>
  <si>
    <t>SBK0054-008</t>
  </si>
  <si>
    <t>SBK0054-009</t>
  </si>
  <si>
    <t>SBK0054-010</t>
  </si>
  <si>
    <t>SBK0054-011</t>
  </si>
  <si>
    <t>SBK0054-012</t>
  </si>
  <si>
    <t>SBK0054-013</t>
  </si>
  <si>
    <t>24 Februari 2023</t>
  </si>
  <si>
    <t>SCSBK0054_20230224-094211217.pdf</t>
  </si>
  <si>
    <t>SCSBK0055</t>
  </si>
  <si>
    <t>SBK0055-001</t>
  </si>
  <si>
    <t>SBK0055-002</t>
  </si>
  <si>
    <t>SCSBK0055_20230224-110143296.pdf</t>
  </si>
  <si>
    <t>SBK0055-003</t>
  </si>
  <si>
    <t>SBK0055-004</t>
  </si>
  <si>
    <t>SBK0055-005</t>
  </si>
  <si>
    <t>SCSBK0055_20230224-135433601.pdf</t>
  </si>
  <si>
    <t>SBK0055-006</t>
  </si>
  <si>
    <t>SBK0055-007</t>
  </si>
  <si>
    <t>SCSBK0056</t>
  </si>
  <si>
    <t>SBK0056-001</t>
  </si>
  <si>
    <t>SCSBK0056_20230316-143819570.pdf</t>
  </si>
  <si>
    <t>SCSBK0057</t>
  </si>
  <si>
    <t>SBK0057-001</t>
  </si>
  <si>
    <t>SCSBK0058</t>
  </si>
  <si>
    <t>SBK0058-001</t>
  </si>
  <si>
    <t>SBK0058-002</t>
  </si>
  <si>
    <t>SBK0058-003</t>
  </si>
  <si>
    <t>SBK0058-004</t>
  </si>
  <si>
    <t>SBK0058-005</t>
  </si>
  <si>
    <t>SBK0058-006</t>
  </si>
  <si>
    <t>SBK0058-007</t>
  </si>
  <si>
    <t>SBK0058-008</t>
  </si>
  <si>
    <t>SBK0058-009</t>
  </si>
  <si>
    <t>SBK0058-010</t>
  </si>
  <si>
    <t>SBK0058-011</t>
  </si>
  <si>
    <t>SCSBK0059</t>
  </si>
  <si>
    <t>SBK0059-001</t>
  </si>
  <si>
    <t>SBK0059-002</t>
  </si>
  <si>
    <t>Transaksi gagal, muncul pesan "Pembayaran UM PTKIN No SIP:8199170087499106 an. MUH. TASWIN No HP:082349155528 RP.200000 berhasil.NoReff:272621"</t>
  </si>
  <si>
    <t>27 Februari 2023</t>
  </si>
  <si>
    <t>SCSBK0059_20230227-110530143.pdf</t>
  </si>
  <si>
    <t>file belum di upload ke Gdrive</t>
  </si>
  <si>
    <t>SBK0059-003</t>
  </si>
  <si>
    <t>SCSBK0059_20230227-112625786.pdf</t>
  </si>
  <si>
    <t>SBK0059-004</t>
  </si>
  <si>
    <t>SCSBK0060</t>
  </si>
  <si>
    <t>SBK0060-001</t>
  </si>
  <si>
    <t>15 Maret 2023</t>
  </si>
  <si>
    <t>SCSBK0060_20230315-104632517.pdf</t>
  </si>
  <si>
    <t>SBK0060-002</t>
  </si>
  <si>
    <t>SCSBK0060_20230315-112031166.pdf</t>
  </si>
  <si>
    <t>SBK0060-003</t>
  </si>
  <si>
    <t>Saldo Cukup Sedangkan DI TC Saldo Tidak Cukup</t>
  </si>
  <si>
    <t>SBK0060-004</t>
  </si>
  <si>
    <t>SCSBK0061</t>
  </si>
  <si>
    <t>SBK0061-001</t>
  </si>
  <si>
    <t>14 Maret 2023</t>
  </si>
  <si>
    <t>SCSBK0061_20230314-114952264.pdf</t>
  </si>
  <si>
    <t>SBK0061-002</t>
  </si>
  <si>
    <t>SCSBK0062</t>
  </si>
  <si>
    <t>SBK0062-001</t>
  </si>
  <si>
    <t>13 Maret 2023</t>
  </si>
  <si>
    <t>SCSBK0062_20230313-162633285.pdf</t>
  </si>
  <si>
    <t>SBK0062-002</t>
  </si>
  <si>
    <t>SCSBK0063</t>
  </si>
  <si>
    <t>SBK0063-001</t>
  </si>
  <si>
    <t>SBK0063-002</t>
  </si>
  <si>
    <t>SCSBK0064</t>
  </si>
  <si>
    <t>SBK0064-001</t>
  </si>
  <si>
    <t>SBK0064-002</t>
  </si>
  <si>
    <t>SCSBK0064_20230227-143047880.pdf</t>
  </si>
  <si>
    <t>file belum di upload di Gdriver</t>
  </si>
  <si>
    <t>SBK0064-003</t>
  </si>
  <si>
    <t>SCSBK0065</t>
  </si>
  <si>
    <t>SBK0065-001</t>
  </si>
  <si>
    <t>SBK0065-002</t>
  </si>
  <si>
    <t>SBK0065-003</t>
  </si>
  <si>
    <t>SBK0065-004</t>
  </si>
  <si>
    <t>SBK0065-005</t>
  </si>
  <si>
    <t>SBK0065-006</t>
  </si>
  <si>
    <t>SBK0065-007</t>
  </si>
  <si>
    <t>SCSBK0066</t>
  </si>
  <si>
    <t>SBK0066-001</t>
  </si>
  <si>
    <t>SBK0066-002</t>
  </si>
  <si>
    <t>SBK0066-003</t>
  </si>
  <si>
    <t>SCSBK0066_20230331-155620595.pdf</t>
  </si>
  <si>
    <t>SBK0066-004</t>
  </si>
  <si>
    <t>SBK0066-005</t>
  </si>
  <si>
    <t>SBK0066-006</t>
  </si>
  <si>
    <t>27 Maret 2023</t>
  </si>
  <si>
    <t>SCSBK0066_20230327-090527063.pdf</t>
  </si>
  <si>
    <t>SCSBK0067</t>
  </si>
  <si>
    <t>SBK0067-001</t>
  </si>
  <si>
    <t>21 Maret 2023</t>
  </si>
  <si>
    <t>SCSBK0067_20230321-100541880.pdf</t>
  </si>
  <si>
    <t>SBK0067-002</t>
  </si>
  <si>
    <t>Message Tidak Sesuai</t>
  </si>
  <si>
    <t>SBK0067-003</t>
  </si>
  <si>
    <t>SCSBK0068</t>
  </si>
  <si>
    <t>SBK0068-001</t>
  </si>
  <si>
    <t>Gagal Menerima Dari Biller</t>
  </si>
  <si>
    <t>SBK0068-002</t>
  </si>
  <si>
    <t>SCSBK0069</t>
  </si>
  <si>
    <t>SBK0069-001</t>
  </si>
  <si>
    <t>SCSBK0069_20230314-083558847.pdf</t>
  </si>
  <si>
    <t>SBK0069-002</t>
  </si>
  <si>
    <t>No Handphone Salah</t>
  </si>
  <si>
    <t>SBK0069-003</t>
  </si>
  <si>
    <t>SCSBK0069_20230321-090951252.pdf</t>
  </si>
  <si>
    <t>hasil simulasi tidak sesuai</t>
  </si>
  <si>
    <t>SBK0069-004</t>
  </si>
  <si>
    <t>SBK0069-005</t>
  </si>
  <si>
    <t>SBK0069-006</t>
  </si>
  <si>
    <t>SBK0069-007</t>
  </si>
  <si>
    <t>TOP ISAKU 8807081218365973 50000</t>
  </si>
  <si>
    <t>SCSBK0069_20230321-093409834.pdf</t>
  </si>
  <si>
    <t>SBK0069-008</t>
  </si>
  <si>
    <t>done</t>
  </si>
  <si>
    <t>Pass Date</t>
  </si>
  <si>
    <t>Total Pass</t>
  </si>
  <si>
    <t>in progress</t>
  </si>
  <si>
    <t>pending</t>
  </si>
  <si>
    <t>confirmation</t>
  </si>
  <si>
    <t>no verification</t>
  </si>
  <si>
    <t>Feb-W5</t>
  </si>
  <si>
    <t>Mar-W5</t>
  </si>
  <si>
    <t>List Data</t>
  </si>
  <si>
    <t>Screen OMNI</t>
  </si>
  <si>
    <t>OMNI0001</t>
  </si>
  <si>
    <t>OMNI0001-001</t>
  </si>
  <si>
    <t>Login</t>
  </si>
  <si>
    <t>Normal - Login with valid password and captcha (numeric)</t>
  </si>
  <si>
    <t>1. Login aplikasi omni
2. Masukan User ID
3. Masukan Kata sandi
4. Masukan kode captcha</t>
  </si>
  <si>
    <t>Successfully logged in</t>
  </si>
  <si>
    <t>Bisa semiAutomate</t>
  </si>
  <si>
    <t>4 Januari 2023</t>
  </si>
  <si>
    <t>OMNI0001 - Login_20230104-140426809</t>
  </si>
  <si>
    <t>Kevin</t>
  </si>
  <si>
    <t>OMNI0001-002</t>
  </si>
  <si>
    <t>Normal - Login with valid password and captcha (alphanumeric)</t>
  </si>
  <si>
    <t>OMNI0001 - Login_20230104-140737618</t>
  </si>
  <si>
    <t>OMNI0001-003</t>
  </si>
  <si>
    <t>Abnormal - Login with invalid captcha 1x</t>
  </si>
  <si>
    <t>1. Login aplikasi omni
2. Masukan User ID
3. Masukan Kata sandi
4. Masukan kode captcha salah</t>
  </si>
  <si>
    <t>Failed to login and got an invalid captcha message</t>
  </si>
  <si>
    <t>OMNI0001 - Login_20230104-171240170</t>
  </si>
  <si>
    <t>OMNI0001-004</t>
  </si>
  <si>
    <t>Abnormal - Login with invalid captcha 3x</t>
  </si>
  <si>
    <t>1. Login aplikasi omni
2. Masukan User ID
3. Masukan Kata sandi
4. Masukan kode captcha salah ke 3 kali</t>
  </si>
  <si>
    <t>Failed to login and account is temporarily blocked</t>
  </si>
  <si>
    <t>6 Februari 2023</t>
  </si>
  <si>
    <t>OMNI0001 - Login_20230206-122525785</t>
  </si>
  <si>
    <t>OMNI0001-005</t>
  </si>
  <si>
    <t>Abnormal - Login with invalid password 1x</t>
  </si>
  <si>
    <t>1. Login aplikasi omni
2. Masukan User ID
3. Masukan Kata sandi salah
4. Masukan kode captcha</t>
  </si>
  <si>
    <t>Failed to Login</t>
  </si>
  <si>
    <t>OMNI0001 - Login_20230104-172113813</t>
  </si>
  <si>
    <t>OMNI0001-006</t>
  </si>
  <si>
    <t>Abnormal - Login with invalid password 3x</t>
  </si>
  <si>
    <t>1. Login aplikasi omni
2. Masukan User ID
3. Masukan Kata sandi salah ke 3 kali
4. Masukan kode captcha</t>
  </si>
  <si>
    <t>OMNI0001 - Login_20230206-150251934</t>
  </si>
  <si>
    <t>OMNI0001-007</t>
  </si>
  <si>
    <t>Abnormal - Login with invalid user id</t>
  </si>
  <si>
    <t>1. Login aplikasi omni
2. Masukan User ID salah
3. Masukan Kata sandi
4. Masukan kode captcha</t>
  </si>
  <si>
    <t>OMNI0001 - Login_20230104-170642168</t>
  </si>
  <si>
    <t>OMNI0002</t>
  </si>
  <si>
    <t>OMNI0002-001</t>
  </si>
  <si>
    <t>Homepage</t>
  </si>
  <si>
    <t>Normal - Name from core banking shown</t>
  </si>
  <si>
    <t>1. Login aplikasi omni
2. Masukan User ID
3. Masukan Kata sandi
4. Masukan kode captcha
5. Masuk ke halaman homepage</t>
  </si>
  <si>
    <t>success shown name from core banking</t>
  </si>
  <si>
    <t>29 Desember 2022</t>
  </si>
  <si>
    <t>OMNI0002 - Homepage_20221229-122713170</t>
  </si>
  <si>
    <t>OMNI0002-002</t>
  </si>
  <si>
    <t>Normal - New name from core banking shown</t>
  </si>
  <si>
    <t>success shown new name from core banking</t>
  </si>
  <si>
    <t>OMNI0002 - Homepage_20221229-123041739</t>
  </si>
  <si>
    <t>OMNI0002-003</t>
  </si>
  <si>
    <t>Normal - Foto from DB shown</t>
  </si>
  <si>
    <t>success shown foto from DB</t>
  </si>
  <si>
    <t>OMNI0002 - Homepage_20221229-123614676</t>
  </si>
  <si>
    <t>OMNI0002-004</t>
  </si>
  <si>
    <t>Normal - Greeting shown according to server time</t>
  </si>
  <si>
    <t>greeting shown to server time</t>
  </si>
  <si>
    <t>OMNI0002 - Homepage_20221229-124730310</t>
  </si>
  <si>
    <t>OMNI0002-005</t>
  </si>
  <si>
    <t>Abnormal - Name from core is more than max length (30char)</t>
  </si>
  <si>
    <t>OMNI0002 - Homepage_20221229-130443682</t>
  </si>
  <si>
    <t>OMNI0003</t>
  </si>
  <si>
    <t>OMNI0003-001</t>
  </si>
  <si>
    <t>Homepage Portofolio</t>
  </si>
  <si>
    <t>Normal - Show 1 DPLK account balance</t>
  </si>
  <si>
    <t>1 of  DPLK balance is added to the total savings and is displayed on the savings card on the homepage.</t>
  </si>
  <si>
    <t>OMNI0003-002</t>
  </si>
  <si>
    <t>Normal - Show total of several DPLK accounts balance</t>
  </si>
  <si>
    <t>The total DPLK balance is added to the total savings and is displayed on the savings card on the homepage.</t>
  </si>
  <si>
    <t>OMNI0003-003</t>
  </si>
  <si>
    <t>Abnormal - No DPLK account</t>
  </si>
  <si>
    <t>3 Januari 2023</t>
  </si>
  <si>
    <t>OMNI0003 - Homepage Portofolio_20230103-141743753</t>
  </si>
  <si>
    <t>OMNI0003-004</t>
  </si>
  <si>
    <t>Abnormal - DPLK Account closed</t>
  </si>
  <si>
    <t>DPLK account balances that have been closed are not included in the total savings balance card.</t>
  </si>
  <si>
    <t>OMNI0003-005</t>
  </si>
  <si>
    <t>Normal - Show 1 rekening surat berharga balance</t>
  </si>
  <si>
    <t>Sedang ada maintenance, tested on 16/02/2023</t>
  </si>
  <si>
    <t>Successfully show 1 account of SBN in detail feature card invest.</t>
  </si>
  <si>
    <t>OMNI0003-006</t>
  </si>
  <si>
    <t>Normal - Show all rekening surat berharga balance</t>
  </si>
  <si>
    <t>Successfully to show all rekening surat berharga balance in detail feature card invest.</t>
  </si>
  <si>
    <t>OMNI0003-007</t>
  </si>
  <si>
    <t>Normal - Show update balance of redempted SBN account</t>
  </si>
  <si>
    <t>Successfully to show update balance of redempted SBN account in detail feature card invest.</t>
  </si>
  <si>
    <t>OMNI0003-008</t>
  </si>
  <si>
    <t>Abnormal - No SBN account</t>
  </si>
  <si>
    <t>Failed to show SBN account in feature detail card invest.</t>
  </si>
  <si>
    <t>26 Januari 2023</t>
  </si>
  <si>
    <t>OMNI0003 - Homepage Portofolio_20230126-150334083</t>
  </si>
  <si>
    <t>OMNI0003-009</t>
  </si>
  <si>
    <t>Abnormal - Rekening surat berharga with completed order status</t>
  </si>
  <si>
    <t>OMNI0003-010</t>
  </si>
  <si>
    <t>Normal - Show 1 reksadana account balance</t>
  </si>
  <si>
    <t>Successfully show 1 account of Mutual Funds in detail feature card invest.</t>
  </si>
  <si>
    <t>OMNI0003-011</t>
  </si>
  <si>
    <t>Normal - Show all reksadana account balance</t>
  </si>
  <si>
    <t>Successfully to show all Mutual Funds in detail feature card invest.</t>
  </si>
  <si>
    <t>OMNI0003-012</t>
  </si>
  <si>
    <t>Normal - Show update balance of redempted reksadana account</t>
  </si>
  <si>
    <t>Successfully to show update balance of redempted reksadana account in detail feature card invest.</t>
  </si>
  <si>
    <t>OMNI0003-013</t>
  </si>
  <si>
    <t>Abnormal - No reksadana account</t>
  </si>
  <si>
    <t xml:space="preserve">Failed to show reksadana account in feature detail </t>
  </si>
  <si>
    <t>OMNI0003 - Homepage Portofolio_20230126-151915898</t>
  </si>
  <si>
    <t>OMNI0003-014</t>
  </si>
  <si>
    <t>Abnormal - Reksadana account with no balance</t>
  </si>
  <si>
    <t>Failed to show reksadana account with no balance in card invest</t>
  </si>
  <si>
    <t>OMNI0003-015</t>
  </si>
  <si>
    <t>Normal - Show total balance of Taplus, Tapenas, Giro, Deposito (IDR)</t>
  </si>
  <si>
    <t>success shown total balance of tabungan (IDR)</t>
  </si>
  <si>
    <t>28 Desember 2022</t>
  </si>
  <si>
    <t>OMNI0003 - Homepage Portofolio_20221228-150359748</t>
  </si>
  <si>
    <t>OMNI0003-016</t>
  </si>
  <si>
    <t>Normal - Show total balance of Taplus, Tapenas, Giro, Deposito (IDR dan non IDR)</t>
  </si>
  <si>
    <t>success shown total balance of tabungan (IDR &amp; Non IDR)</t>
  </si>
  <si>
    <t>OMNI0003 - Homepage Portofolio_20221228-150740489</t>
  </si>
  <si>
    <t>OMNI0003-017</t>
  </si>
  <si>
    <t>Abnormal - Tabungan with closed status</t>
  </si>
  <si>
    <t>not accumulate taplus account closed status</t>
  </si>
  <si>
    <t>OMNI0003 - Homepage Portofolio_20230216-111403471</t>
  </si>
  <si>
    <t>OMNI0003-018</t>
  </si>
  <si>
    <t>Abnormal - No balance</t>
  </si>
  <si>
    <t>sucess accumulation total balance of tabungan</t>
  </si>
  <si>
    <t>OMNI0003-019</t>
  </si>
  <si>
    <t>Normal - Show total balance of pinjaman</t>
  </si>
  <si>
    <t>success shown total balance of pinjaman</t>
  </si>
  <si>
    <t>OMNI0003 - Homepage Portofolio_20230126-143458963</t>
  </si>
  <si>
    <t>OMNI0003-020</t>
  </si>
  <si>
    <t>Abnormal - Pinjaman with closed status</t>
  </si>
  <si>
    <t>not accumulate pinjaman account closed status</t>
  </si>
  <si>
    <t>OMNI0003-021</t>
  </si>
  <si>
    <t>Abnormal - No account</t>
  </si>
  <si>
    <t>not shown accumulation and success shown according to figma</t>
  </si>
  <si>
    <t>OMNI0003 - Homepage Portofolio_20230126-151534662</t>
  </si>
  <si>
    <t>OMNI0004</t>
  </si>
  <si>
    <t>OMNI0004-001</t>
  </si>
  <si>
    <t>My Account</t>
  </si>
  <si>
    <t>Normal - Show list of DPLK Account</t>
  </si>
  <si>
    <t>- Success to show DPLK account in list
- Screen ui is as designed as figma</t>
  </si>
  <si>
    <t>OMNI0004 - My Account_20221229-150044903</t>
  </si>
  <si>
    <t>OMNI0004-002</t>
  </si>
  <si>
    <t>Normal - Show Detail of DPLK Account</t>
  </si>
  <si>
    <t>- Success to view detail of DPLK account
- Screen ui is as designed as figma</t>
  </si>
  <si>
    <t>OMNI0004 - My Account_20230103-102622479</t>
  </si>
  <si>
    <t>OMNI0004-003</t>
  </si>
  <si>
    <t>Abnormal - No DPLK Account</t>
  </si>
  <si>
    <t>- Success to show list with no DPLK account
- Screen ui is as designed as figma</t>
  </si>
  <si>
    <t>OMNI0004 - My Account_20221229-141401494</t>
  </si>
  <si>
    <t>OMNI0004-004</t>
  </si>
  <si>
    <t>Normal - Mutasi Rekening DPLK Bassed On Last Transactions</t>
  </si>
  <si>
    <t>18 Januari 2023</t>
  </si>
  <si>
    <t>OMNI0004 - My Account_20230118-134338568</t>
  </si>
  <si>
    <t>OMNI0004-005</t>
  </si>
  <si>
    <t>Normal - Mutasi Rekening DPLK Bassed On This Week Transactions</t>
  </si>
  <si>
    <t>7 Februari 2023</t>
  </si>
  <si>
    <t>OMNI0004 - My Account_20230207-120344811</t>
  </si>
  <si>
    <t>OMNI0004-006</t>
  </si>
  <si>
    <t>Normal - Mutasi Rekening DPLK Bassed On This month Transactions</t>
  </si>
  <si>
    <t>OMNI0004 - My Account_20230118-135409384</t>
  </si>
  <si>
    <t>OMNI0004-007</t>
  </si>
  <si>
    <t>Normal - Mutasi Rekening DPLK Bassed On This Time Period Transactions</t>
  </si>
  <si>
    <t>20 Januari 2023</t>
  </si>
  <si>
    <t>OMNI0004 - My Account_20230120-143345771</t>
  </si>
  <si>
    <t>OMNI0004-008</t>
  </si>
  <si>
    <t>Abnormal - Transaction History No Found</t>
  </si>
  <si>
    <t>OMNI0004 - My Account_20230120-142119457</t>
  </si>
  <si>
    <t>OMNI0005</t>
  </si>
  <si>
    <t>OMNI0005-001</t>
  </si>
  <si>
    <t>Transfer Reguler</t>
  </si>
  <si>
    <t>Normal - Transfer To Bank Himbara (Mandiri)</t>
  </si>
  <si>
    <t>- Transaction Success
- Screen ui is as designed as figma</t>
  </si>
  <si>
    <t>1 Februari 2023</t>
  </si>
  <si>
    <t>OMNI0005 - Transfer Reguler_20230201-125705836</t>
  </si>
  <si>
    <t>OMNI0005-002</t>
  </si>
  <si>
    <t>Normal - Transfer To Bank Himbara (BRI)</t>
  </si>
  <si>
    <t>OMNI0005 - Transfer Reguler_20230104-174240426</t>
  </si>
  <si>
    <t>OMNI0005-003</t>
  </si>
  <si>
    <t>Normal - Transfer To Bank Prima (BCA) Add To Daftar Favorite</t>
  </si>
  <si>
    <t>5 Januari 2023</t>
  </si>
  <si>
    <t>OMNI0005 - Transfer Reguler_20230105-132406356</t>
  </si>
  <si>
    <t>OMNI0005-004</t>
  </si>
  <si>
    <t>Normal - Transfer To Bank Prima (BCA) Transaction Again</t>
  </si>
  <si>
    <t>OMNI0005 - Transfer Reguler_20230105-125558560</t>
  </si>
  <si>
    <t>OMNI0005-005</t>
  </si>
  <si>
    <t>Abnormal - Transfer To Bank Himbara insuficient fund (Mandiri)</t>
  </si>
  <si>
    <t>- Transaction Fail
- Screen ui is as designed as figma</t>
  </si>
  <si>
    <t>5 Desember 2022</t>
  </si>
  <si>
    <t>OMNI0005 - Transfer Reguler_20221205-155652731</t>
  </si>
  <si>
    <t>OMNI0005-006</t>
  </si>
  <si>
    <t>Abnormal - Transfer To Bank Prima insuficient fund (BCA)</t>
  </si>
  <si>
    <t>OMNI0005-007</t>
  </si>
  <si>
    <t>Abnormal - Transfer To Bank Himbara Wrong Password 1x (Mandiri)</t>
  </si>
  <si>
    <t>OMNI0005 - Transfer Reguler_20230201-130723174</t>
  </si>
  <si>
    <t>OMNI0005-008</t>
  </si>
  <si>
    <t>Abnormal - Transfer To Bank Prima Wrong Password 1x (BCA)</t>
  </si>
  <si>
    <t>OMNI0005 - Transfer Reguler_20230105-124105250</t>
  </si>
  <si>
    <t>OMNI0005-009</t>
  </si>
  <si>
    <t>Abnormal - Transfer To Bank Himbara Password Blocked (Mandiri)</t>
  </si>
  <si>
    <t>OMNI0005 - Transfer Reguler_20230201-132636783</t>
  </si>
  <si>
    <t>OMNI0005-010</t>
  </si>
  <si>
    <t>Abnormal - Transfer To Bank Prima Password Blocked (BCA)</t>
  </si>
  <si>
    <t>6 Januari 2023</t>
  </si>
  <si>
    <t>OMNI0005 - Transfer Reguler_20230106-150823513</t>
  </si>
  <si>
    <t>OMNI0005-011</t>
  </si>
  <si>
    <t>Abnormal - Transfer To Bank Himbara Timeout when Payment (Mandiri)</t>
  </si>
  <si>
    <t>OMNI0005-012</t>
  </si>
  <si>
    <t>Abnormal - Transfer To Bank Prima Timeout when Payment (BCA)</t>
  </si>
  <si>
    <t>OMNI0006</t>
  </si>
  <si>
    <t>OMNI0006-001</t>
  </si>
  <si>
    <t>E-Wallet</t>
  </si>
  <si>
    <t>Normal - Top Up Gopay Customer Choose Transaction Now</t>
  </si>
  <si>
    <t>26 Desember 2022</t>
  </si>
  <si>
    <t>OMNI0006 - Top Up Gopay_20221226-094213861</t>
  </si>
  <si>
    <t>OMNI0006-002</t>
  </si>
  <si>
    <t>Normal - Top Up Gopay Merchant Choose Transaction Today</t>
  </si>
  <si>
    <t>Waktu Transaksi Hanya Bisa
"Sekarang"</t>
  </si>
  <si>
    <t>OMNI0006-003</t>
  </si>
  <si>
    <t>Normal - Top Up Gopay Driver Choose Transaction Tomorrow</t>
  </si>
  <si>
    <t>OMNI0006-004</t>
  </si>
  <si>
    <t>Normal - Top Up Gopay Customer or Merchant or Driver Choose Transaction in 2 Days</t>
  </si>
  <si>
    <t>OMNI0006-005</t>
  </si>
  <si>
    <t>Normal - Show Password Top Up Gopay Customer or Merchant or Driver</t>
  </si>
  <si>
    <t>OMNI0006 - Top Up Gopay_20221226-095055485</t>
  </si>
  <si>
    <t>OMNI0006-006</t>
  </si>
  <si>
    <t>Normal - Top Up Gopay Customer or Merchant or Driver add to Daftar Favorite</t>
  </si>
  <si>
    <t>OMNI0006 - Top Up Gopay_20221226-103608424</t>
  </si>
  <si>
    <t>OMNI0006-007</t>
  </si>
  <si>
    <t>Normal - Top Up Gopay Customer Transaction Again</t>
  </si>
  <si>
    <t>OMNI0006 - Top Up Gopay_20221226-102017462</t>
  </si>
  <si>
    <t>OMNI0006-008</t>
  </si>
  <si>
    <t>Normal - Top Up Gopay Merchant Transaction Again</t>
  </si>
  <si>
    <t>OMNI0006 - Top Up Gopay_20221226-102506669</t>
  </si>
  <si>
    <t>OMNI0006-009</t>
  </si>
  <si>
    <t>Normal - Top Up Gopay Driver Transaction Again</t>
  </si>
  <si>
    <t>OMNI0006 - Top Up Gopay_20221226-102926489</t>
  </si>
  <si>
    <t>OMNI0006-010</t>
  </si>
  <si>
    <t>Abnormal - Top Up Gopay Customer insuficient fund</t>
  </si>
  <si>
    <t>23 Desember 2022</t>
  </si>
  <si>
    <t>OMNI0006 - Top Up Gopay_20221223-172657036</t>
  </si>
  <si>
    <t>OMNI0006-011</t>
  </si>
  <si>
    <t>Abnormal - Top Up Gopay Merchant insuficient fund</t>
  </si>
  <si>
    <t>OMNI0006 - Top Up Gopay_20221223-173005830</t>
  </si>
  <si>
    <t>OMNI0006-012</t>
  </si>
  <si>
    <t>Abnormal - Top Up Gopay Driver insuficient fund</t>
  </si>
  <si>
    <t>OMNI0006 - Top Up Gopay_20221223-173353336</t>
  </si>
  <si>
    <t>OMNI0006-013</t>
  </si>
  <si>
    <t>Abnormal - Top Up Gopay Customer Wrong Token eSecure</t>
  </si>
  <si>
    <t>OMNI0006 - Top Up Gopay_20221223-174343738</t>
  </si>
  <si>
    <t>OMNI0006-014</t>
  </si>
  <si>
    <t>Abnormal - Top Up Gopay Merchant Wrong Token eSecure</t>
  </si>
  <si>
    <t>OMNI0006 - Top Up Gopay_20221223-174614243</t>
  </si>
  <si>
    <t>OMNI0006-015</t>
  </si>
  <si>
    <t>Abnormal - Top Up Gopay Driver Wrong Token eSecure</t>
  </si>
  <si>
    <t>OMNI0006 - Top Up Gopay_20221223-175802163</t>
  </si>
  <si>
    <t>OMNI0006-016</t>
  </si>
  <si>
    <t>Abnormal - Top Up Gopay Customer - Below Of Minimum Limit &lt;10.000</t>
  </si>
  <si>
    <t>OMNI0006 - Top Up Gopay_20221223-180055394</t>
  </si>
  <si>
    <t>OMNI0006-017</t>
  </si>
  <si>
    <t>Abnormal - Top Up Gopay Merchant - Below Of Minimum Limit &lt;10.000</t>
  </si>
  <si>
    <t>OMNI0006 - Top Up Gopay_20221223-180404634</t>
  </si>
  <si>
    <t>OMNI0006-018</t>
  </si>
  <si>
    <t>Abnormal - Top Up Gopay Driver - Below Of Minimum Limit &lt;10.000</t>
  </si>
  <si>
    <t>OMNI0006 - Top Up Gopay_20221223-181524248</t>
  </si>
  <si>
    <t>OMNI0006-019</t>
  </si>
  <si>
    <t>Abnormal - Top Up Gopay Customer MSISDN not registered</t>
  </si>
  <si>
    <t>OMNI0006 - Top Up Gopay_20221130-155811895</t>
  </si>
  <si>
    <t>OMNI0006-020</t>
  </si>
  <si>
    <t>Abnormal - Top Up Gopay Merchant MSISDN not registered</t>
  </si>
  <si>
    <t>OMNI0006 - Top Up Gopay_20221130-155953242</t>
  </si>
  <si>
    <t>OMNI0006-021</t>
  </si>
  <si>
    <t>Abnormal - Top Up Gopay Driver MSISDN not registered</t>
  </si>
  <si>
    <t>OMNI0006 - Top Up Gopay_20221130-160133494</t>
  </si>
  <si>
    <t>OMNI0006-022</t>
  </si>
  <si>
    <t>Abnormal - Top Up Gopay Customer Payment Timeout Error</t>
  </si>
  <si>
    <t>OMNI0006-023</t>
  </si>
  <si>
    <t>Abnormal - Top Up Gopay Merchant Payment Timeout Error</t>
  </si>
  <si>
    <t>OMNI0006-024</t>
  </si>
  <si>
    <t>Abnormal - Top Up Gopay Driver Payment Timeout Error</t>
  </si>
  <si>
    <t>OMNI0006-025</t>
  </si>
  <si>
    <t>Abnormal - Top Up Gopay Customer Transaction Exceeded the Maximum Limit</t>
  </si>
  <si>
    <t>OMNI0006 - Top Up Gopay_20221228-102801712</t>
  </si>
  <si>
    <t>OMNI0006-026</t>
  </si>
  <si>
    <t>Abnormal - Top Up Gopay Merchant Transaction Exceeded the Maximum Limit</t>
  </si>
  <si>
    <t>OMNI0006 - Top Up Gopay_20221228-103013973</t>
  </si>
  <si>
    <t>OMNI0006-027</t>
  </si>
  <si>
    <t>Abnormal - Top Up Gopay Driver Transaction Exceeded the Maximum Limit</t>
  </si>
  <si>
    <t>OMNI0006 - Top Up Gopay_20221228-103543295</t>
  </si>
  <si>
    <t>OMNI0006-028</t>
  </si>
  <si>
    <t>Abnormal - Top Up Gopay Customer Transaction Under Minimum Limit Fund Account</t>
  </si>
  <si>
    <t>OMNI0006 - Top Up Gopay_20230126-130431193</t>
  </si>
  <si>
    <t>OMNI0006-029</t>
  </si>
  <si>
    <t>Abnormal - Top Up Gopay Merchant Transaction Under Minimum Limit Fund Account</t>
  </si>
  <si>
    <t>OMNI0006 - Top Up Gopay_20230126-132429254</t>
  </si>
  <si>
    <t>OMNI0006-030</t>
  </si>
  <si>
    <t>Abnormal - Top Up Gopay Driver Transaction Under Minimum Limit Fund Account</t>
  </si>
  <si>
    <t>OMNI0006 - Top Up Gopay_20230126-132849494</t>
  </si>
  <si>
    <t>OMNI0006-031</t>
  </si>
  <si>
    <t>Abnormal - Top Up Gopay Customer Via Menu Transfer VA Billing</t>
  </si>
  <si>
    <t>OMNI0006 - Top Up Gopay_20230217-144955080</t>
  </si>
  <si>
    <t>OMNI0006-032</t>
  </si>
  <si>
    <t>Abnormal - Top Up Gopay Merchant Via Menu Transfer VA Billing</t>
  </si>
  <si>
    <t>OMNI0006 - Top Up Gopay_20230217-145520144</t>
  </si>
  <si>
    <t>OMNI0006-033</t>
  </si>
  <si>
    <t>Abnormal - Top Up Gopay Driver Via Menu Transfer VA Billing</t>
  </si>
  <si>
    <t>OMNI0006 - Top Up Gopay_20230217-150041367</t>
  </si>
  <si>
    <t>OMNI0007</t>
  </si>
  <si>
    <t>OMNI0007-001</t>
  </si>
  <si>
    <t>Normal - Top Up LinkAja Choose Transaction Now</t>
  </si>
  <si>
    <t>1 Desember 2022</t>
  </si>
  <si>
    <t>OMNI0007 - TopUp LinkAja_20221201-103209008</t>
  </si>
  <si>
    <t>OMNI0007-002</t>
  </si>
  <si>
    <t>Normal - Top Up LinkAja Choose Transaction Today</t>
  </si>
  <si>
    <t>OMNI0007-003</t>
  </si>
  <si>
    <t>Normal - Top Up LinkAja Choose Transaction Tomorrow</t>
  </si>
  <si>
    <t>OMNI0007-004</t>
  </si>
  <si>
    <t>Normal - Top Up LinkAja Choose Transaction in 2 Days</t>
  </si>
  <si>
    <t>OMNI0007-005</t>
  </si>
  <si>
    <t>Normal - Show Password Top Up LinkAja</t>
  </si>
  <si>
    <t>OMNI0007 - TopUp LinkAja_20221201-103706087</t>
  </si>
  <si>
    <t>OMNI0007-006</t>
  </si>
  <si>
    <t>Normal - Top Up LinkAja add to Daftar Favorite</t>
  </si>
  <si>
    <t>2 Februari 2023</t>
  </si>
  <si>
    <t>OMNI0007 - Top Up LinkAja_20230202-135033339</t>
  </si>
  <si>
    <t>OMNI0007-007</t>
  </si>
  <si>
    <t>Normal - Top Up LinkAja Transaction Again</t>
  </si>
  <si>
    <t>OMNI0007 - TopUp LinkAja_20221201-113753420</t>
  </si>
  <si>
    <t>OMNI0007-008</t>
  </si>
  <si>
    <t>Abnormal - Top Up LinkAja insuficient fund</t>
  </si>
  <si>
    <t>OMNI0007 - TopUp LinkAja_20221201-112947608</t>
  </si>
  <si>
    <t>OMNI0007-009</t>
  </si>
  <si>
    <t>Abnormal - Top Up LinkAja Wrong Token eSecure</t>
  </si>
  <si>
    <t>OMNI0007 - TopUp LinkAja_20221201-114751764</t>
  </si>
  <si>
    <t>OMNI0007-010</t>
  </si>
  <si>
    <t>Abnormal - Top Up LinkAja MSISDN not registered</t>
  </si>
  <si>
    <t>OMNI0007 - TopUp LinkAja_20221201-113250048</t>
  </si>
  <si>
    <t>OMNI0007-011</t>
  </si>
  <si>
    <t>Abnormal - Top Up LinkAja Transaction Exceeded the Maximum Limit</t>
  </si>
  <si>
    <t>30 Januari 2023</t>
  </si>
  <si>
    <t>OMNI0007 - TopUp LinkAja_20230130-092425836</t>
  </si>
  <si>
    <t>OMNI0008</t>
  </si>
  <si>
    <t>OMNI0008-001</t>
  </si>
  <si>
    <t>Prepaid</t>
  </si>
  <si>
    <t>Normal - Purchase Pulsa Telkomsel Transaction Now (Denom 25k)</t>
  </si>
  <si>
    <t>OMNI0008 - Prepaid Pulsa_20230103-143743146</t>
  </si>
  <si>
    <t>OMNI0008-002</t>
  </si>
  <si>
    <t>Normal - Purchase Pulsa Telkomsel Transaction Today (Denom 50k) Add To Daftar Favorite</t>
  </si>
  <si>
    <t>OMNI0008-003</t>
  </si>
  <si>
    <t>Normal - Purchase Pulsa Telkomsel Transaction Tomorrow (Denom 100k)</t>
  </si>
  <si>
    <t>OMNI0008-004</t>
  </si>
  <si>
    <t>Normal - Purchase Pulsa Telkomsel Transaction in 2 Days (Denom 500k)</t>
  </si>
  <si>
    <t>OMNI0008-005</t>
  </si>
  <si>
    <t>Normal - Purchase Pulsa Telkomsel Transaction Again</t>
  </si>
  <si>
    <t>OMNI0008 - Prepaid Pulsa_20230106-094923909</t>
  </si>
  <si>
    <t>OMNI0008-006</t>
  </si>
  <si>
    <t>Abnormal - Purchase Pulsa Telkomsel Wrong Token eSecure 1x</t>
  </si>
  <si>
    <t>OMNI0008 - Prepaid Pulsa_20230103-175017183</t>
  </si>
  <si>
    <t>OMNI0008-007</t>
  </si>
  <si>
    <t>Abnormal - Purchase Pulsa Telkomsel Token eSecure Blocked</t>
  </si>
  <si>
    <t>OMNI0008 - Prepaid Pulsa_20230106-141042425</t>
  </si>
  <si>
    <t>OMNI0008-008</t>
  </si>
  <si>
    <t>Abnormal - Purchase Pulsa Telkomsel Insuficient Fund</t>
  </si>
  <si>
    <t>13 Januari 2023</t>
  </si>
  <si>
    <t>OMNI0008 - Prepaid Pulsa_20230113-090128533</t>
  </si>
  <si>
    <t>OMNI0008-009</t>
  </si>
  <si>
    <t>Abnormal - Purchase Pulsa Telkomsel Under Minimum Limit Fund</t>
  </si>
  <si>
    <t>27 Januari 2023</t>
  </si>
  <si>
    <t>OMNI0008 - Prepaid Pulsa_20230127-095654511</t>
  </si>
  <si>
    <t>OMNI0008-010</t>
  </si>
  <si>
    <t>Normal - Purchase Pulsa Indosat Transaction Now (Denom 200k)</t>
  </si>
  <si>
    <t>2 Desember 2022</t>
  </si>
  <si>
    <t>OMNI0008 - Prepaid Pulsa_20221202-114245049</t>
  </si>
  <si>
    <t>OMNI0008-011</t>
  </si>
  <si>
    <t>Normal - Purchase Pulsa Indosat Transaction Today (Denom 50k)</t>
  </si>
  <si>
    <t>OMNI0008-012</t>
  </si>
  <si>
    <t>Normal - Purchase Pulsa Indosat Transaction Tomorrow (Denom 100k)</t>
  </si>
  <si>
    <t>OMNI0008-013</t>
  </si>
  <si>
    <t>Normal - Purchase Pulsa Indosat Transaction in 2 Days Add To Daftar Favorite (Denom 500k)</t>
  </si>
  <si>
    <t>OMNI0008-014</t>
  </si>
  <si>
    <t>Normal - Purchase Pulsa Indosat Transaction Again</t>
  </si>
  <si>
    <t>16 Januari 2023</t>
  </si>
  <si>
    <t>OMNI0008 - Prepaid Pulsa_20230116-144400350</t>
  </si>
  <si>
    <t>OMNI0008-015</t>
  </si>
  <si>
    <t>Abnormal - Purchase Pulsa Indosat Wrong Token eSecure 1x</t>
  </si>
  <si>
    <t>OMNI0008 - Prepaid Pulsa_20230106-111028228</t>
  </si>
  <si>
    <t>OMNI0008-016</t>
  </si>
  <si>
    <t>Abnormal - Purchase Pulsa Indosat Token eSecure Blocked</t>
  </si>
  <si>
    <t>OMNI0008 - Prepaid Pulsa_20230106-140547656</t>
  </si>
  <si>
    <t>OMNI0008-017</t>
  </si>
  <si>
    <t>Abnormal - Purchase Pulsa Indosat Insuficient Fund</t>
  </si>
  <si>
    <t>OMNI0008 - Prepaid Pulsa_20230113-085637408</t>
  </si>
  <si>
    <t>OMNI0008-018</t>
  </si>
  <si>
    <t>Abnormal - Purchase Pulsa Indosat Under Minimum Limit Fund</t>
  </si>
  <si>
    <t>OMNI0008 - Prepaid Pulsa_20230127-100317754</t>
  </si>
  <si>
    <t>OMNI0008-019</t>
  </si>
  <si>
    <t>Normal - Purchase Pulsa XL Transaction Now Add To Daftar Favorite (Denom 15k)</t>
  </si>
  <si>
    <t>OMNI0008 - Prepaid Pulsa_20230113-153717126</t>
  </si>
  <si>
    <t>OMNI0008-020</t>
  </si>
  <si>
    <t>Normal - Purchase Pulsa XL Transaction Today (Denom 50k)</t>
  </si>
  <si>
    <t>OMNI0008-021</t>
  </si>
  <si>
    <t>Normal - Purchase Pulsa XL Transaction Tomorrow (Denom 100k)</t>
  </si>
  <si>
    <t>OMNI0008-022</t>
  </si>
  <si>
    <t>Normal - Purchase Pulsa XL Transaction in 2 Days (Denom 500k)</t>
  </si>
  <si>
    <t>OMNI0008-023</t>
  </si>
  <si>
    <t>Normal - Purchase Pulsa XL Transaction Again</t>
  </si>
  <si>
    <t>24 Januari 2023</t>
  </si>
  <si>
    <t>OMNI0008 - Prepaid Pulsa_20230124-143942731</t>
  </si>
  <si>
    <t>OMNI0008-024</t>
  </si>
  <si>
    <t>Abnormal - Purchase Pulsa XL Wrong Token eSecure 1x</t>
  </si>
  <si>
    <t>OMNI0008 - Prepaid Pulsa_20230106-112603279</t>
  </si>
  <si>
    <t>OMNI0008-025</t>
  </si>
  <si>
    <t>Abnormal - Purchase Pulsa XL Token eSecure Blocked</t>
  </si>
  <si>
    <t>OMNI0008 - Prepaid Pulsa_20230106-135940752</t>
  </si>
  <si>
    <t>OMNI0008-026</t>
  </si>
  <si>
    <t>Abnormal - Purchase Pulsa XL Insuficient Fund</t>
  </si>
  <si>
    <t>OMNI0008 - Prepaid Pulsa_20230113-085241450</t>
  </si>
  <si>
    <t>OMNI0008-027</t>
  </si>
  <si>
    <t>Abnormal - Purchase Pulsa XL Under Minimum Limit Fund</t>
  </si>
  <si>
    <t>OMNI0008 - Prepaid Pulsa_20230127-100917446</t>
  </si>
  <si>
    <t>OMNI0008-028</t>
  </si>
  <si>
    <t>Normal - Purchase Pulsa 3 Transaction Now (Denom 500k)</t>
  </si>
  <si>
    <t>OMNI0008 - Prepaid Pulsa_20230116-140833170</t>
  </si>
  <si>
    <t>OMNI0008-029</t>
  </si>
  <si>
    <t>Normal - Purchase Pulsa 3 Transaction Today (Denom 50k)</t>
  </si>
  <si>
    <t>OMNI0008-030</t>
  </si>
  <si>
    <t>Normal - Purchase Pulsa 3 Transaction Tomorrow Add To Daftar Favorite (Denom 100k)</t>
  </si>
  <si>
    <t>OMNI0008-031</t>
  </si>
  <si>
    <t>Normal - Purchase Pulsa 3 Transaction in 2 Days (Denom 500k)</t>
  </si>
  <si>
    <t>OMNI0008-032</t>
  </si>
  <si>
    <t>Normal - Purchase Pulsa 3 Transaction Again</t>
  </si>
  <si>
    <t>OMNI0008 - Prepaid Pulsa_20230124-131658069</t>
  </si>
  <si>
    <t>OMNI0008-033</t>
  </si>
  <si>
    <t>Abnormal - Purchase Pulsa 3 Wrong Password 1x</t>
  </si>
  <si>
    <t>OMNI0008 - Prepaid Pulsa_20230106-113117618</t>
  </si>
  <si>
    <t>OMNI0008-034</t>
  </si>
  <si>
    <t>Abnormal - Purchase Pulsa 3 Password Blocked</t>
  </si>
  <si>
    <t>OMNI0008 - Prepaid Pulsa_20230106-135254127</t>
  </si>
  <si>
    <t>OMNI0008-035</t>
  </si>
  <si>
    <t>Abnormal - Purchase Pulsa 3 Insuficient Fund</t>
  </si>
  <si>
    <t>OMNI0008 - Prepaid Pulsa_20230113-084658737</t>
  </si>
  <si>
    <t>OMNI0008-036</t>
  </si>
  <si>
    <t>Abnormal - Purchase Pulsa 3 Under  Minimum Limit Fund</t>
  </si>
  <si>
    <t>OMNI0008 - Prepaid Pulsa_20230127-101358300</t>
  </si>
  <si>
    <t>OMNI0008-037</t>
  </si>
  <si>
    <t>Normal - Purchase Pulsa Smartfren Transaction Now (Denom 1000k)</t>
  </si>
  <si>
    <t>OMNI0008 - Prepaid Pulsa_20230116-143445990</t>
  </si>
  <si>
    <t>OMNI0008-038</t>
  </si>
  <si>
    <t>Normal - Purchase Pulsa Smartfren  Transaction Today Add To Daftar Favorite (Denom 50k)</t>
  </si>
  <si>
    <t>OMNI0008-039</t>
  </si>
  <si>
    <t>Normal - Purchase Pulsa Smartfren  Transaction Tomorrow (Denom 100k)</t>
  </si>
  <si>
    <t>OMNI0008-040</t>
  </si>
  <si>
    <t>Normal - Purchase Pulsa Smartfren  Transaction in 2 Days (Denom 500k)</t>
  </si>
  <si>
    <t>OMNI0008-041</t>
  </si>
  <si>
    <t>Normal - Purchase Pulsa Smartfren Transaction Again</t>
  </si>
  <si>
    <t>OMNI0008 - Prepaid Pulsa_20230124-132750731</t>
  </si>
  <si>
    <t>OMNI0008-042</t>
  </si>
  <si>
    <t>Abnormal - Purchase Pulsa Smartfren Wrong Password 1x</t>
  </si>
  <si>
    <t>OMNI0008 - Prepaid Pulsa_20230106-131203081</t>
  </si>
  <si>
    <t>OMNI0008-043</t>
  </si>
  <si>
    <t>Abnormal - Purchase Pulsa Smartfren Password Blocked</t>
  </si>
  <si>
    <t>OMNI0008 - Prepaid Pulsa_20230106-134653503</t>
  </si>
  <si>
    <t>OMNI0008-044</t>
  </si>
  <si>
    <t>Abnormal - Purchase Pulsa Smartfren Insuficient Fund</t>
  </si>
  <si>
    <t>OMNI0008 - Prepaid Pulsa_20230113-084018393</t>
  </si>
  <si>
    <t>OMNI0008-045</t>
  </si>
  <si>
    <t>Abnormal - Purchase Pulsa Smartfren Under Minimum Limit Fund</t>
  </si>
  <si>
    <t>OMNI0008 - Prepaid Pulsa_20230127-101927196</t>
  </si>
  <si>
    <t>OMNI0009</t>
  </si>
  <si>
    <t>OMNI0009-001</t>
  </si>
  <si>
    <t>Normal - Purchase Mobile Data Package Telkomsel Transaction Now</t>
  </si>
  <si>
    <t>27 Desember 2022</t>
  </si>
  <si>
    <t>OMNI0009 - Prepaid Paket Data_20221227-141620056</t>
  </si>
  <si>
    <t>OMNI0009-002</t>
  </si>
  <si>
    <t>Normal - Purchase Mobile Data Package Telkomsel Transaction Today</t>
  </si>
  <si>
    <t>OMNI0009-003</t>
  </si>
  <si>
    <t>Normal - Purchase Mobile Data Package Telkomsel Transaction Tomorrow</t>
  </si>
  <si>
    <t>OMNI0009-004</t>
  </si>
  <si>
    <t>Normal - Purchase Mobile Data Package Telkomsel Transaction in 2 Days Add To Daftar Favorite</t>
  </si>
  <si>
    <t>OMNI0009-005</t>
  </si>
  <si>
    <t>Abnormal - Purchase Mobile Data Package Telkomsel Wrong Token eSecure</t>
  </si>
  <si>
    <t>OMNI0009 - Prepaid Paket Data_20221227-144634596</t>
  </si>
  <si>
    <t>OMNI0009-006</t>
  </si>
  <si>
    <t>Abnormal - Purchase Mobile Data Package Telkomsel Empty Token eSecure</t>
  </si>
  <si>
    <t>OMNI0009 - Prepaid Paket Data_20230116-133002376</t>
  </si>
  <si>
    <t>OMNI0009-007</t>
  </si>
  <si>
    <t>Abnormal - Purchase Mobile Data Package Telkomsel Insuficiend Fund</t>
  </si>
  <si>
    <t>OMNI0009 - Prepaid Paket Data_20230113-092316927</t>
  </si>
  <si>
    <t>OMNI0009-008</t>
  </si>
  <si>
    <t>Normal - Purchase Mobile Data Package Indosat Transaction Now Add To Daftar Favorite</t>
  </si>
  <si>
    <t>OMNI0009 - Prepaid Paket Data_20230105-144056939</t>
  </si>
  <si>
    <t>OMNI0009-009</t>
  </si>
  <si>
    <t>Normal - Purchase Mobile Data Package Indosat Transaction Today</t>
  </si>
  <si>
    <t>OMNI0009-010</t>
  </si>
  <si>
    <t>Normal - Purchase Mobile Data Package Indosat Transaction Tomorrow</t>
  </si>
  <si>
    <t>OMNI0009-011</t>
  </si>
  <si>
    <t>Normal - Purchase Mobile Data Package Indosat Transaction in 2 Days</t>
  </si>
  <si>
    <t>OMNI0009-012</t>
  </si>
  <si>
    <t>Abnormal - Purchase Mobile Data Package Indosat Wrong Token eSecure</t>
  </si>
  <si>
    <t>OMNI0009 - Prepaid Paket Data_20230105-161725031</t>
  </si>
  <si>
    <t>OMNI0009-013</t>
  </si>
  <si>
    <t>Abnormal - Purchase Mobile Data Package Indosat Empty Token eSecure</t>
  </si>
  <si>
    <t>OMNI0009 - Prepaid Paket Data_20230118-175009610</t>
  </si>
  <si>
    <t>OMNI0009-014</t>
  </si>
  <si>
    <t>Abnormal - Purchase Mobile Data Package Indosat Insuficiend Fund</t>
  </si>
  <si>
    <t>OMNI0009 - Prepaid Paket Data_20230113-093052352</t>
  </si>
  <si>
    <t>OMNI0009-015</t>
  </si>
  <si>
    <t>Normal - Purchase Mobile Data Package XL Transaction Now</t>
  </si>
  <si>
    <t>OMNI0009 - Prepaid Paket Data_20230105-160047373</t>
  </si>
  <si>
    <t>OMNI0009-016</t>
  </si>
  <si>
    <t xml:space="preserve">Normal - Purchase Mobile Data Package XL Transaction Today </t>
  </si>
  <si>
    <t>OMNI0009-017</t>
  </si>
  <si>
    <t>Normal - Purchase Mobile Data Package XL Transaction Tomorrow Add To Daftar Favorite</t>
  </si>
  <si>
    <t>OMNI0009-018</t>
  </si>
  <si>
    <t>Normal - Purchase Mobile Data Package XL Transaction in 2 Days</t>
  </si>
  <si>
    <t>OMNI0009-019</t>
  </si>
  <si>
    <t>Abnormal - Purchase Mobile Data Package XL Wrong Token eSecure</t>
  </si>
  <si>
    <t>OMNI0009 - Prepaid Paket Data_20230105-162152738</t>
  </si>
  <si>
    <t>OMNI0009-020</t>
  </si>
  <si>
    <t>Abnormal - Purchase Mobile Data Package XL Empty Token eSecure</t>
  </si>
  <si>
    <t>OMNI0009 - Prepaid Paket Data_20230118-174327692</t>
  </si>
  <si>
    <t>OMNI0009-021</t>
  </si>
  <si>
    <t>Abnormal - Purchase Mobile Data Package XL Insuficiend Fund</t>
  </si>
  <si>
    <t>OMNI0009 - Prepaid Paket Data_20230113-094200620</t>
  </si>
  <si>
    <t>OMNI0009-022</t>
  </si>
  <si>
    <t>Normal - Purchase Mobile Data Package Smartfren Transaction Now</t>
  </si>
  <si>
    <t>Out of scope, "Please Input Valid Phone Number" , tested 18/01/2023</t>
  </si>
  <si>
    <t>OMNI0009-023</t>
  </si>
  <si>
    <t xml:space="preserve">Normal - Purchase Mobile Data Package Smartfren Transaction Today </t>
  </si>
  <si>
    <t>OMNI0009-024</t>
  </si>
  <si>
    <t>Normal - Purchase Mobile Data Package Smartfren Transaction Tomorrow</t>
  </si>
  <si>
    <t>OMNI0009-025</t>
  </si>
  <si>
    <t>Normal - Purchase Mobile Data Package Smartfren Transaction in 2 Days Add To Daftar Favorite</t>
  </si>
  <si>
    <t>OMNI0009-026</t>
  </si>
  <si>
    <t>Abnormal - Purchase Mobile Data Package Smartfren Wrong Token eSecure</t>
  </si>
  <si>
    <t>OMNI0009-027</t>
  </si>
  <si>
    <t>Abnormal - Purchase Mobile Data Package Smartfren Empty Token eSecure</t>
  </si>
  <si>
    <t>OMNI0009-028</t>
  </si>
  <si>
    <t>Abnormal - Purchase Mobile Data Package Smartfren Insuficiend Fund</t>
  </si>
  <si>
    <t>OMNI0009-029</t>
  </si>
  <si>
    <t>Normal - Purchase Mobile Data Package Three Transaction Now</t>
  </si>
  <si>
    <t>OMNI0009-030</t>
  </si>
  <si>
    <t xml:space="preserve">Normal - Purchase Mobile Data Package Three Transaction Today </t>
  </si>
  <si>
    <t>OMNI0009-031</t>
  </si>
  <si>
    <t>Normal - Purchase Mobile Data Package Three Transaction Tomorrow</t>
  </si>
  <si>
    <t>OMNI0009-032</t>
  </si>
  <si>
    <t>Normal - Purchase Mobile Data Package Three Transaction in 2 Days Add To Daftar Favorite</t>
  </si>
  <si>
    <t>OMNI0009-033</t>
  </si>
  <si>
    <t>Abnormal - Purchase Mobile Data Package Three Wrong Token eSecure</t>
  </si>
  <si>
    <t>OMNI0009-034</t>
  </si>
  <si>
    <t>Abnormal - Purchase Mobile Data Package Three Empty Token eSecure</t>
  </si>
  <si>
    <t>OMNI0009-035</t>
  </si>
  <si>
    <t>Abnormal - Purchase Mobile Data Package Three Insuficiend Fund</t>
  </si>
  <si>
    <t>OMNI0010</t>
  </si>
  <si>
    <t>OMNI0010-001</t>
  </si>
  <si>
    <t>Postpaid</t>
  </si>
  <si>
    <t>Normal - Purchase Transaction TelkomPay Now</t>
  </si>
  <si>
    <t>Will be delivered on next phase, tested 25/01/2023</t>
  </si>
  <si>
    <t>OMNI0010-002</t>
  </si>
  <si>
    <t>Normal - Purchase Transaction TelkomPay Today</t>
  </si>
  <si>
    <t>OMNI0010-003</t>
  </si>
  <si>
    <t>Normal - Purchase Transaction TelkomPay Tomorrow</t>
  </si>
  <si>
    <t>OMNI0010-004</t>
  </si>
  <si>
    <t>Normal - Purchase Transaction TelkomPay in 2 Days Add To Daftar Favorite</t>
  </si>
  <si>
    <t>OMNI0010-005</t>
  </si>
  <si>
    <t>Normal - Purchase Telkompay Transaction Again</t>
  </si>
  <si>
    <t>OMNI0010-006</t>
  </si>
  <si>
    <t>Abnormal - Purchase Transaction TelkomPay Wrong Token eSecure</t>
  </si>
  <si>
    <t>OMNI0010-007</t>
  </si>
  <si>
    <t>Abnormal - Purchase Transaction TelkomPay Empty Token eSecure</t>
  </si>
  <si>
    <t>OMNI0010-008</t>
  </si>
  <si>
    <t>Abnormal - Purchase Transaction TelkomPay MSISDN Not Registered</t>
  </si>
  <si>
    <t>OMNI0010-009</t>
  </si>
  <si>
    <t>Abnormal - Purchase Transaction TelkomPay Bill Already Paid</t>
  </si>
  <si>
    <t>OMNI0010-010</t>
  </si>
  <si>
    <t>Abnormal - Purchase Transaction TelkomPay  Insuficiend Fund</t>
  </si>
  <si>
    <t>OMNI0010-011</t>
  </si>
  <si>
    <t>Abnormal - Purchase Transaction TelkomPay  Token eSecure Blocked</t>
  </si>
  <si>
    <t>OMNI0010-012</t>
  </si>
  <si>
    <t>Normal - Purchase Transaction Telkomsel Halo Now Add To Daftar Favorite</t>
  </si>
  <si>
    <t>Transaction step:
1. Pembayaran --&gt; Telepon Pascabayar
2. Input Kartu Halo MSISDN
3. Time Transaction = Now
4. Tick checklist add to favorite
5. Do transaction with as is flow existing</t>
  </si>
  <si>
    <t>OMNI0010 - Postpaid_20230105-180014029</t>
  </si>
  <si>
    <t>OMNI0010-013</t>
  </si>
  <si>
    <t>Normal - Purchase Transaction Telkomsel Halo Today</t>
  </si>
  <si>
    <t>Transaction step:
1. Pembayaran --&gt; Telepon Pascabayar
2. Input Kartu Halo MSISDN
3. Time Transaction = Today
4. Do transaction with as is flow existing</t>
  </si>
  <si>
    <t>OMNI0010-014</t>
  </si>
  <si>
    <t>Normal - Purchase Transaction Telkomsel Halo Tomorrow</t>
  </si>
  <si>
    <t>Transaction step:
1. Pembayaran --&gt; Telepon Pascabayar
2. Input Kartu Halo MSISDN
3. Time Transaction = Tomorrow
4. Do transaction with as is flow existing</t>
  </si>
  <si>
    <t>OMNI0010-015</t>
  </si>
  <si>
    <t>Normal - Purchase Transaction Telkomsel Halo in 2 Days</t>
  </si>
  <si>
    <t>Transaction step:
1. Pembayaran --&gt; Telepon Pascabayar
2. Input Kartu Halo MSISDN
3. Time Transaction = in 2 Days
4. Do transaction with as is flow existing</t>
  </si>
  <si>
    <t>OMNI0010-016</t>
  </si>
  <si>
    <t>Normal - Purchase Telkomsel Halo Transaction Again</t>
  </si>
  <si>
    <t>OMNI0010 - Postpaid_20230124-155908552</t>
  </si>
  <si>
    <t>OMNI0010-017</t>
  </si>
  <si>
    <t>Abnormal - Purchase Transaction Telkomsel Halo Wrong Token eSecure</t>
  </si>
  <si>
    <t>OMNI0010 - Postpaid_20230124-154315423</t>
  </si>
  <si>
    <t>OMNI0010-018</t>
  </si>
  <si>
    <t>Abnormal - Purchase Transaction Telkomsel Halo Empty Token eSecure</t>
  </si>
  <si>
    <t>OMNI0010 - Postpaid_20230124-153638715</t>
  </si>
  <si>
    <t>OMNI0010-019</t>
  </si>
  <si>
    <t>Abnormal - Purchase Transaction Telkomsel Halo MSISDN Not Registered</t>
  </si>
  <si>
    <t>31 Januari 2023</t>
  </si>
  <si>
    <t>OMNI0010 - Postpaid_20230131-160050983</t>
  </si>
  <si>
    <t>OMNI0010-020</t>
  </si>
  <si>
    <t>Abnormal - Purchase Transaction Telkomsel Halo Bill Already Paid</t>
  </si>
  <si>
    <t>OMNI0010 - Postpaid_20230202-104526358</t>
  </si>
  <si>
    <t>OMNI0010-021</t>
  </si>
  <si>
    <t>Abnormal - Purchase Transaction Telkomsel Halo Insuficiend Fund</t>
  </si>
  <si>
    <t>25 Januari 2023</t>
  </si>
  <si>
    <t>OMNI0010 - Postpaid_20230125-103815041</t>
  </si>
  <si>
    <t>OMNI0010-022</t>
  </si>
  <si>
    <t>Abnormal - Purchase Transaction Telkomsel Halo Token eSecure Blocked</t>
  </si>
  <si>
    <t>OMNI0010 - Postpaid_20230106-142707815</t>
  </si>
  <si>
    <t>OMNI0010-023</t>
  </si>
  <si>
    <t>Normal - Purchase Transaction Indosat Oreedoo Now Add To Daftar Favorite</t>
  </si>
  <si>
    <t>Transaksi Berhasil, Tetapi Tidak Masuk Ke Daftar Favorit</t>
  </si>
  <si>
    <t>OMNI0010-024</t>
  </si>
  <si>
    <t>Normal - Purchase Transaction Indosat Oreedoo Today Add To Daftar Favorite</t>
  </si>
  <si>
    <t>OMNI0010-025</t>
  </si>
  <si>
    <t>Normal - Purchase Transaction Indosat Oreedoo Tomorrow</t>
  </si>
  <si>
    <t>OMNI0010-026</t>
  </si>
  <si>
    <t>Normal - Purchase Transaction Indosat Oreedoo in 2 Days</t>
  </si>
  <si>
    <t>OMNI0010-027</t>
  </si>
  <si>
    <t>Abnormal - Purchase Transaction Indosat Oreedoo Wrong Token eSecure</t>
  </si>
  <si>
    <t>OMNI0010 - Postpaid_20230118-160721181</t>
  </si>
  <si>
    <t>OMNI0010-028</t>
  </si>
  <si>
    <t>Abnormal - Purchase Transaction Indosat Oreedoo Empty Token eSecure</t>
  </si>
  <si>
    <t>OMNI0010 - Postpaid_20230118-153929949</t>
  </si>
  <si>
    <t>OMNI0010-029</t>
  </si>
  <si>
    <t>Abnormal - Purchase Transaction Indosat Oreedoo MSISDN Not Registered</t>
  </si>
  <si>
    <t>OMNI0010 - Postpaid_20230201-124905708</t>
  </si>
  <si>
    <t>OMNI0010-030</t>
  </si>
  <si>
    <t>Abnormal - Purchase Transaction Indosat Oreedoo Bill Paid</t>
  </si>
  <si>
    <t>3 Februari 2023</t>
  </si>
  <si>
    <t>OMNI0010 - Postpaid_20230203-090052816</t>
  </si>
  <si>
    <t>OMNI0010-031</t>
  </si>
  <si>
    <t>Abnormal - Purchase Transaction Indosat Oreedoo Insuficiend Fund</t>
  </si>
  <si>
    <t>OMNI0010 - Postpaid_20230125-114026052</t>
  </si>
  <si>
    <t>OMNI0010-032</t>
  </si>
  <si>
    <t>Normal - Purchase Transaction XPLOR/XL Now Add To Daftar Favorite</t>
  </si>
  <si>
    <t>OMNI0010-033</t>
  </si>
  <si>
    <t>Normal - Purchase Transaction XPLOR/XL Today</t>
  </si>
  <si>
    <t>OMNI0010-034</t>
  </si>
  <si>
    <t>Normal - Purchase Transaction XPLOR/XL Tomorrow  Add To Daftar Favorite</t>
  </si>
  <si>
    <t>OMNI0010-035</t>
  </si>
  <si>
    <t>Normal - Purchase Transaction XPLOR/XL in 2 Days</t>
  </si>
  <si>
    <t>OMNI0010-036</t>
  </si>
  <si>
    <t>Abnormal - Purchase Transaction XPLOR/XL Wrong Token eSecure</t>
  </si>
  <si>
    <t>OMNI0010 - Postpaid_20230127-111058104</t>
  </si>
  <si>
    <t>OMNI0010-037</t>
  </si>
  <si>
    <t>Abnormal - Purchase Transaction XPLOR/XL Empty Token eSecure</t>
  </si>
  <si>
    <t>OMNI0010 - Postpaid_20230127-111454372</t>
  </si>
  <si>
    <t>OMNI0010-038</t>
  </si>
  <si>
    <t>Abnormal - Purchase Transaction XPLOR/XL MSISDN Not Registered</t>
  </si>
  <si>
    <t>OMNI0010 - Postpaid_20230131-153708063</t>
  </si>
  <si>
    <t>OMNI0010-039</t>
  </si>
  <si>
    <t>Abnormal - Purchase Transaction XPLOR/XL Bill Already Paid</t>
  </si>
  <si>
    <t>OMNI0010 - Postpaid_20230202-104943991</t>
  </si>
  <si>
    <t>OMNI0010-040</t>
  </si>
  <si>
    <t>Abnormal - Purchase Transaction XPLOR/XL Insuficiend Fund</t>
  </si>
  <si>
    <t>OMNI0010 - Postpaid_20230127-114006372</t>
  </si>
  <si>
    <t>OMNI0010-041</t>
  </si>
  <si>
    <t>Normal - Purchase Transaction Three Now Add To Daftar Favorite</t>
  </si>
  <si>
    <t>OMNI0010-042</t>
  </si>
  <si>
    <t>Normal - Purchase Transaction Three Today</t>
  </si>
  <si>
    <t>OMNI0010-043</t>
  </si>
  <si>
    <t>Normal - Purchase Transaction Three Tomorrow</t>
  </si>
  <si>
    <t>OMNI0010-044</t>
  </si>
  <si>
    <t>Normal - Purchase Transaction Three in 2 Days Add To Daftar Favorite</t>
  </si>
  <si>
    <t>OMNI0010-045</t>
  </si>
  <si>
    <t>Abnormal - Purchase Transaction Three Wrong Token eSecure</t>
  </si>
  <si>
    <t>OMNI0010 - Postpaid_20230118-161736110</t>
  </si>
  <si>
    <t>OMNI0010-046</t>
  </si>
  <si>
    <t>Abnormal - Purchase Transaction Three Empty Token eSecure</t>
  </si>
  <si>
    <t>OMNI0010 - Postpaid_20230118-153452885</t>
  </si>
  <si>
    <t>OMNI0010-047</t>
  </si>
  <si>
    <t>Abnormal - Purchase Transaction Three MSISDN Not Registered</t>
  </si>
  <si>
    <t>OMNI0010 - Postpaid_20230201-111932767</t>
  </si>
  <si>
    <t>OMNI0010-048</t>
  </si>
  <si>
    <t>Abnormal - Purchase Transaction Three Bill Already Paid</t>
  </si>
  <si>
    <t>OMNI0010 - Postpaid_20230203-171408718</t>
  </si>
  <si>
    <t>OMNI0010-049</t>
  </si>
  <si>
    <t>Abnormal - Purchase Transaction Three Insuficiend Fund</t>
  </si>
  <si>
    <t>OMNI0010 - Postpaid_20230127-114926446</t>
  </si>
  <si>
    <t>OMNI0011</t>
  </si>
  <si>
    <t>OMNI0011-001</t>
  </si>
  <si>
    <t>Normal - List existing taplus</t>
  </si>
  <si>
    <t>successfully display a list of taplus savings according to figma</t>
  </si>
  <si>
    <t>11 Januari 2023</t>
  </si>
  <si>
    <t>OMNI0011 - My Account_20230111-123949329</t>
  </si>
  <si>
    <t>OMNI0011-002</t>
  </si>
  <si>
    <t>Normal - List existing giro</t>
  </si>
  <si>
    <t>shown list tabungan of giro</t>
  </si>
  <si>
    <t>OMNI0011 - My Account_20230111-124806865</t>
  </si>
  <si>
    <t>OMNI0011-003</t>
  </si>
  <si>
    <t>Normal - List taplus saldo 14 digit</t>
  </si>
  <si>
    <t>shown list tabungan of taplus 14 digit</t>
  </si>
  <si>
    <t>OMNI0011 - My Account_20230124-173019063</t>
  </si>
  <si>
    <t>OMNI0011-004</t>
  </si>
  <si>
    <t>Normal - List taplus status dormant</t>
  </si>
  <si>
    <t>shown list tabungan of taplus status dormant</t>
  </si>
  <si>
    <t>OMNI0011 - My Account_20230131-094826241</t>
  </si>
  <si>
    <t>OMNI0011-005</t>
  </si>
  <si>
    <t>Normal - Detail Tabungan status open balance 0</t>
  </si>
  <si>
    <t>10 Januari 2023</t>
  </si>
  <si>
    <t>OMNI0011 - My Account_20230110-162849000</t>
  </si>
  <si>
    <t>OMNI0011-006</t>
  </si>
  <si>
    <t>Normal - Detail Tabungan status open balance 12digit</t>
  </si>
  <si>
    <t>success shown detail tabungan status open balance 12 digit same as figma</t>
  </si>
  <si>
    <t>OMNI0011 - My Account_20230110-164449856</t>
  </si>
  <si>
    <t>OMNI0011-007</t>
  </si>
  <si>
    <t>Normal - Detail Tabungan status dormant</t>
  </si>
  <si>
    <t>Success shown detail tabungan status dormant according to figma</t>
  </si>
  <si>
    <t>OMNI0011 - My Account_20230111-090648013</t>
  </si>
  <si>
    <t>OMNI0011-008</t>
  </si>
  <si>
    <t>Abnormal - List taplus status tutup</t>
  </si>
  <si>
    <t>doesn't show list tabungan of taplus close status</t>
  </si>
  <si>
    <t>OMNI0011 - My Account_20230131-104656868</t>
  </si>
  <si>
    <t>OMNI0011-009</t>
  </si>
  <si>
    <t>OMNI0011 - My Account_20230131-133227342</t>
  </si>
  <si>
    <t>OMNI0011-010</t>
  </si>
  <si>
    <t>Normal - List existing deposito</t>
  </si>
  <si>
    <t>shown list tabungan of deposito</t>
  </si>
  <si>
    <t>9 Januari 2023</t>
  </si>
  <si>
    <t>OMNI0011 - My Account_20230109-143128188</t>
  </si>
  <si>
    <t>OMNI0011-011</t>
  </si>
  <si>
    <t>Normal - List deposito saldo 14 digit</t>
  </si>
  <si>
    <t>shown list tabungan of deposito 14 digit</t>
  </si>
  <si>
    <t>OMNI0011 - My Account_20230109-154512300</t>
  </si>
  <si>
    <t>OMNI0011-012</t>
  </si>
  <si>
    <t>Normal - List deposito status dormant</t>
  </si>
  <si>
    <t>shown list tabungan of deposito status dormant</t>
  </si>
  <si>
    <t>OMNI0011 - My Account_20230109-161930200</t>
  </si>
  <si>
    <t>OMNI0011-013</t>
  </si>
  <si>
    <t>Normal - Detail deposito status open balance 0</t>
  </si>
  <si>
    <t>OMNI0011 - My Account_20230109-165046835</t>
  </si>
  <si>
    <t>OMNI0011-014</t>
  </si>
  <si>
    <t>Normal - Detail deposito status open balance 12digit</t>
  </si>
  <si>
    <t>OMNI0011-015</t>
  </si>
  <si>
    <t>Normal - Detail deposito status dormant</t>
  </si>
  <si>
    <t>OMNI0011 - My Account_20230110-171409536</t>
  </si>
  <si>
    <t>OMNI0011-016</t>
  </si>
  <si>
    <t>Abnormal - List deposito status tutup</t>
  </si>
  <si>
    <t>doesn't  show list tabungan of deposito status close</t>
  </si>
  <si>
    <t>OMNI0011 - My Account_20230131-134720978</t>
  </si>
  <si>
    <t>OMNI0011-017</t>
  </si>
  <si>
    <t>doesn't show list tabungan of 
deposito no account</t>
  </si>
  <si>
    <t>OMNI0011 - My Account_20230109-145400255</t>
  </si>
  <si>
    <t>OMNI0011-018</t>
  </si>
  <si>
    <t>Normal - List existing tapenas</t>
  </si>
  <si>
    <t>Success show list existing tapenas</t>
  </si>
  <si>
    <t>OMNI0011 - My Account_20230109-123234030</t>
  </si>
  <si>
    <t>OMNI0011-019</t>
  </si>
  <si>
    <t>Normal - List tapenas saldo 14 digit</t>
  </si>
  <si>
    <t>Success show list tapenas saldo 
14 digit, there is an overlap 
balance after displaying 14-digit 
balance, attached document.</t>
  </si>
  <si>
    <t>12 Januari 2023</t>
  </si>
  <si>
    <t>OMNI0011 - My Account_20230112-162504033</t>
  </si>
  <si>
    <t>OMNI0011-020</t>
  </si>
  <si>
    <t>Normal - List tapenas status dormant</t>
  </si>
  <si>
    <t>Success show list tapenas status 
dormant.</t>
  </si>
  <si>
    <t>OMNI0011 - My Account_20230112-160537588</t>
  </si>
  <si>
    <t>OMNI0011-021</t>
  </si>
  <si>
    <t>Abnormal - List tapenas status tutup</t>
  </si>
  <si>
    <t>Failed show list tapenas status tutup</t>
  </si>
  <si>
    <t>OMNI0011 - My Account_20230131-141110615</t>
  </si>
  <si>
    <t>OMNI0011-022</t>
  </si>
  <si>
    <t>Failed show list tapenas with no 
account.</t>
  </si>
  <si>
    <t>OMNI0011 - My Account_20230109-125139233</t>
  </si>
  <si>
    <t>OMNI0011-023</t>
  </si>
  <si>
    <t>Normal - Detail tapenas status open balance 0</t>
  </si>
  <si>
    <t>Success detail tapenas status open balance 0</t>
  </si>
  <si>
    <t>OMNI0011 - My Account_20230112-170401039</t>
  </si>
  <si>
    <t>OMNI0011-024</t>
  </si>
  <si>
    <t>Normal - Detail tapenas status open balance 12digit</t>
  </si>
  <si>
    <t>Success detail tapenas status open balance 12digit</t>
  </si>
  <si>
    <t>OMNI0011 - My Account_20230112-171206876</t>
  </si>
  <si>
    <t>OMNI0011-025</t>
  </si>
  <si>
    <t>Normal - Detail tapenas status dormant</t>
  </si>
  <si>
    <t>Success detail tapenas status dormant</t>
  </si>
  <si>
    <t>OMNI0011 - My Account_20230124-110735551</t>
  </si>
  <si>
    <t>OMNI0012</t>
  </si>
  <si>
    <t>OMNI0012-001</t>
  </si>
  <si>
    <t>Transfer</t>
  </si>
  <si>
    <t>Normal - Transfer BNI within limit</t>
  </si>
  <si>
    <t>Success transfer BNI within limit</t>
  </si>
  <si>
    <t>OMNI0012 - Transfer BNI_20221227-093022140</t>
  </si>
  <si>
    <t>OMNI0012-002</t>
  </si>
  <si>
    <t>Abnormal - Transfer BNI below limit</t>
  </si>
  <si>
    <t>Failed transfer BNI below limit</t>
  </si>
  <si>
    <t>OMNI0012 - Transfer BNI_20221227-092533869</t>
  </si>
  <si>
    <t>OMNI0012-003</t>
  </si>
  <si>
    <t>Abnormal - Transfer BNI more than limit</t>
  </si>
  <si>
    <t>Failed transfer BNI more than limit</t>
  </si>
  <si>
    <t>OMNI0012 - Transfer BNI_20221227-092227841</t>
  </si>
  <si>
    <t>OMNI0012-004</t>
  </si>
  <si>
    <t>Abnormal - Transfer BNI beneficiary not exist</t>
  </si>
  <si>
    <t>Failed transfer BNI beneficiary not exist</t>
  </si>
  <si>
    <t>OMNI0012 - Transfer BNI_20221227-091727919</t>
  </si>
  <si>
    <t>OMNI0012-005</t>
  </si>
  <si>
    <t>Abnormal - Transfer BNI balance not sufficient</t>
  </si>
  <si>
    <t>Failed transfer BNI balance not sufficient</t>
  </si>
  <si>
    <t>OMNI0012 - Transfer BNI_20221227-094011894</t>
  </si>
  <si>
    <t>OMNI0012-006</t>
  </si>
  <si>
    <t>Normal - Transfer BNI With Dormant Status</t>
  </si>
  <si>
    <t>Success transfer BNI with dormant status</t>
  </si>
  <si>
    <t>OMNI0012 - Transfer BNI_20221228-121956188</t>
  </si>
  <si>
    <t>OMNI0012-007</t>
  </si>
  <si>
    <t>Abnormal - Transfer BNI With Closed Status</t>
  </si>
  <si>
    <t>Failed transfer BNI With Closed Status</t>
  </si>
  <si>
    <t>OMNI0012 - Transfer BNI_20230105-111215153</t>
  </si>
  <si>
    <t>OMNI0012-008</t>
  </si>
  <si>
    <t>Abnormal - Transfer BNI with SOF Dormant</t>
  </si>
  <si>
    <t>Taplus dormant account is not available in source of fund dropdown</t>
  </si>
  <si>
    <t>OMNI0012 - Transfer BNI_20230130-132607314</t>
  </si>
  <si>
    <t>OMNI0013</t>
  </si>
  <si>
    <t>OMNI0013-001</t>
  </si>
  <si>
    <t>Normal - RTGS within limit in user segmen MASS</t>
  </si>
  <si>
    <t>success transfer RTGS user segmen MASS</t>
  </si>
  <si>
    <t>OMNI0013 - Transfer RTGS_20230104-132810333</t>
  </si>
  <si>
    <t>OMNI0013-002</t>
  </si>
  <si>
    <t>Normal - RTGS for WNA</t>
  </si>
  <si>
    <t>success transfer RTGS for WNA</t>
  </si>
  <si>
    <t>OMNI0013 - Transfer RTGS_20230124-121729784</t>
  </si>
  <si>
    <t>OMNI0013-003</t>
  </si>
  <si>
    <t>Abnormal - RTGS below limit in user segmen AFFLUENT</t>
  </si>
  <si>
    <t>OMNI0013 - Transfer RTGS_20221227-110805844</t>
  </si>
  <si>
    <t>OMNI0013-004</t>
  </si>
  <si>
    <t>Abnormal - RTGS more than limit in user segmen EMERALD</t>
  </si>
  <si>
    <t>failed transfer RTGS more than limit in user segmen EMERALD</t>
  </si>
  <si>
    <t>OMNI0013 - Transfer RTGS_20230104-134028901</t>
  </si>
  <si>
    <t>OMNI0013-005</t>
  </si>
  <si>
    <t>Abnormal - RTGS after 15.00 WIB</t>
  </si>
  <si>
    <t>failed transfer RTGS after 15:00 WIB</t>
  </si>
  <si>
    <t>OMNI0013 - Transfer RTGS_20221227-160258753</t>
  </si>
  <si>
    <t>OMNI0013-006</t>
  </si>
  <si>
    <t>Abnormal - RTGS balance not sufficient</t>
  </si>
  <si>
    <t>failed transfer RTGS balance not sufficient</t>
  </si>
  <si>
    <t>OMNI0013 - Transfer RTGS_20221227-113230487</t>
  </si>
  <si>
    <t>OMNI0013-007</t>
  </si>
  <si>
    <t>Abnormal - Wrong 2FA token</t>
  </si>
  <si>
    <t>OMNI0013 - Transfer RTGS_20221227-115656416</t>
  </si>
  <si>
    <t>OMNI0014</t>
  </si>
  <si>
    <t>OMNI0014-001</t>
  </si>
  <si>
    <t>Normal - Kliring Transaction Now</t>
  </si>
  <si>
    <t>OMNI0014 - Transfer Kliring_20221227-100037720</t>
  </si>
  <si>
    <t>OMNI0014-002</t>
  </si>
  <si>
    <t xml:space="preserve">Transfer </t>
  </si>
  <si>
    <t>Abnormal - Kliring Transaction After 15.00 WIB</t>
  </si>
  <si>
    <t>OMNI0014 - Transfer Kliring_20221226-152547872</t>
  </si>
  <si>
    <t>OMNI0014-003</t>
  </si>
  <si>
    <t>Abnormal - Kliring Transaction More Than Maximum Limit 100.000.000</t>
  </si>
  <si>
    <t>OMNI0014 - Transfer Kliring_20221227-095442518</t>
  </si>
  <si>
    <t>OMNI0014-004</t>
  </si>
  <si>
    <t>Abnormal - Kliring Transaction Wrong Password.</t>
  </si>
  <si>
    <t>OMNI0014 - Transfer Kliring_20221227-102048427</t>
  </si>
  <si>
    <t>OMNI0014-005</t>
  </si>
  <si>
    <t>Abnormal - Kliring Transaction Insuficient Fund</t>
  </si>
  <si>
    <t>OMNI0014 - Transfer Kliring_20221227-102728772</t>
  </si>
  <si>
    <t>OMNI0015</t>
  </si>
  <si>
    <t>OMNI0015-001</t>
  </si>
  <si>
    <t>Registrasi/Aktivasi</t>
  </si>
  <si>
    <t>Normal - Transaction Registration Saving Account</t>
  </si>
  <si>
    <t>OMNI0015-002</t>
  </si>
  <si>
    <t>Normal - Login with Newly Created Registration User Saving Account</t>
  </si>
  <si>
    <t>OMNI0015-003</t>
  </si>
  <si>
    <t>Abnormal - Input Debit Card less than 8 digits</t>
  </si>
  <si>
    <t>OMNI0015-004</t>
  </si>
  <si>
    <t>Abnormal - Incorrect Saving Account Number</t>
  </si>
  <si>
    <t>OMNI0015-005</t>
  </si>
  <si>
    <t>Abnormal - Incorrect date of birth format</t>
  </si>
  <si>
    <t>OMNI0015-006</t>
  </si>
  <si>
    <t>Abnormal - Incorrect Card PIN</t>
  </si>
  <si>
    <t>OMNI0015-007</t>
  </si>
  <si>
    <t>Abnormal - Transaction Registration Saving Account Unmatch Password on Confirmation Password Field</t>
  </si>
  <si>
    <t>OMNI0015-008</t>
  </si>
  <si>
    <t xml:space="preserve">Abnormal - Incorrect OTP </t>
  </si>
  <si>
    <t>OMNI0015-009</t>
  </si>
  <si>
    <t>Normal - Registration Credit Card</t>
  </si>
  <si>
    <t>OMNI0015-010</t>
  </si>
  <si>
    <t>Normal - Login with Newly Created Registration User Credit Account</t>
  </si>
  <si>
    <t>OMNI0015-011</t>
  </si>
  <si>
    <t>Abnormal - Incorrect ID Number (No KTP)</t>
  </si>
  <si>
    <t>OMNI0015-012</t>
  </si>
  <si>
    <t>OMNI0015-013</t>
  </si>
  <si>
    <t>Abnormal - Incorrect Credit Card Number</t>
  </si>
  <si>
    <t>OMNI0015-014</t>
  </si>
  <si>
    <t>Abnormal - Inccorect Credit Card Expired Date</t>
  </si>
  <si>
    <t>OMNI0015-015</t>
  </si>
  <si>
    <t>OMNI0015-016</t>
  </si>
  <si>
    <t>OMNI0015-017</t>
  </si>
  <si>
    <t>Abnormal - Transaction Registration Credit Account Unmatch Password on Confirmation Password Field</t>
  </si>
  <si>
    <t>OMNI0016</t>
  </si>
  <si>
    <t>OMNI0016-001</t>
  </si>
  <si>
    <t>Normal - Internet Payment with fee in one biller account</t>
  </si>
  <si>
    <t>Successfully internet payment transaction with fee in one biller account</t>
  </si>
  <si>
    <t>OMNI0016 - Payment_20221228-161533794</t>
  </si>
  <si>
    <t>OMNI0016-002</t>
  </si>
  <si>
    <t>Normal - Internet Payment with fee in separate biller account</t>
  </si>
  <si>
    <t>Successfully internet payment transaction with fee in separate biller account</t>
  </si>
  <si>
    <t>OMNI0016 - Payment_20230106-102756645</t>
  </si>
  <si>
    <t>OMNI0016-003</t>
  </si>
  <si>
    <t>Abnormal - Billing number 0</t>
  </si>
  <si>
    <t>Failed internet payment with billing account 0</t>
  </si>
  <si>
    <t>OMNI0016 - Payment_20230215-174908968</t>
  </si>
  <si>
    <t>OMNI0016-004</t>
  </si>
  <si>
    <t>Abnormal - Billing number not exist</t>
  </si>
  <si>
    <t>Failed internet payment with billing number no exist</t>
  </si>
  <si>
    <t>OMNI0016 - Payment_20230214-140243375</t>
  </si>
  <si>
    <t>OMNI0016-005</t>
  </si>
  <si>
    <t>Abnormal - Billing has been paid</t>
  </si>
  <si>
    <t>Failed internet payment with billing number has been paid</t>
  </si>
  <si>
    <t>OMNI0016 - Payment_20230214-141527163</t>
  </si>
  <si>
    <t>OMNI0016-006</t>
  </si>
  <si>
    <t>Abnormal - Balance not sufficient</t>
  </si>
  <si>
    <t>Failed internet payment with balance not sufficient</t>
  </si>
  <si>
    <t>OMNI0016 - Payment_20230125-100447499</t>
  </si>
  <si>
    <t>OMNI0016-007</t>
  </si>
  <si>
    <t>Failed internet payment with wrong 2FA token</t>
  </si>
  <si>
    <t>OMNI0016 - Payment_20221228-162956807</t>
  </si>
  <si>
    <t>OMNI0017</t>
  </si>
  <si>
    <t>OMNI0017-001</t>
  </si>
  <si>
    <t>Normal - Transaksi terakhir</t>
  </si>
  <si>
    <t>Successfully display the last transaction</t>
  </si>
  <si>
    <t>OMNI0017 - My Account_20230116-103026846</t>
  </si>
  <si>
    <t>OMNI0017-002</t>
  </si>
  <si>
    <t>Normal - Minggu ini</t>
  </si>
  <si>
    <t>Successfully  display transaction history data for the last 1 week</t>
  </si>
  <si>
    <t>OMNI0017 - My Account_20230116-110934615</t>
  </si>
  <si>
    <t>OMNI0017-003</t>
  </si>
  <si>
    <t>Normal - Bulan ini</t>
  </si>
  <si>
    <t>Successfully display transaction history data for the last 1 month.</t>
  </si>
  <si>
    <t>OMNI0017 - My Account_20230116-111702262</t>
  </si>
  <si>
    <t>OMNI0017-004</t>
  </si>
  <si>
    <t>Normal - Jangka waktu by customer</t>
  </si>
  <si>
    <t>Successfully displaying historical transaction data according to the time range selected by the customer.</t>
  </si>
  <si>
    <t>OMNI0017 - My Account_20230118-183552875</t>
  </si>
  <si>
    <t>OMNI0017-005</t>
  </si>
  <si>
    <t>Normal - History for billpayment transaction</t>
  </si>
  <si>
    <t>Successfully displays transaction history data from bill payments.</t>
  </si>
  <si>
    <t>10 Februari 2023</t>
  </si>
  <si>
    <t>OMNI0017 - My Account_20230210-170708449</t>
  </si>
  <si>
    <t>OMNI0017-006</t>
  </si>
  <si>
    <t>Normal - History for transfer bni</t>
  </si>
  <si>
    <t>Successfully displays transaction history data from Transfer BNI</t>
  </si>
  <si>
    <t>OMNI0017 - My Account_20230213-164716649</t>
  </si>
  <si>
    <t>OMNI0017-007</t>
  </si>
  <si>
    <t>Normal - History for interbank transfer</t>
  </si>
  <si>
    <t>Successfully displays transaction history data from interbank transfer</t>
  </si>
  <si>
    <t>OMNI0017-008</t>
  </si>
  <si>
    <t>Normal - History for rtgs transaction</t>
  </si>
  <si>
    <t>Successfully displays transaction history data from RTGS transfer</t>
  </si>
  <si>
    <t>OMNI0017 - My Account_20230214-091657818</t>
  </si>
  <si>
    <t>OMNI0017-009</t>
  </si>
  <si>
    <t>Normal - History for receiving transfer</t>
  </si>
  <si>
    <t>Successfully displays transaction history data from receiving transfer</t>
  </si>
  <si>
    <t>OMNI0017 - My Account_20230210-172947591</t>
  </si>
  <si>
    <t>OMNI0017-010</t>
  </si>
  <si>
    <t>Normal - Download 1 month history</t>
  </si>
  <si>
    <t>Successfully to display transaction history from specified date</t>
  </si>
  <si>
    <t>9 Februari 2023</t>
  </si>
  <si>
    <t>OMNI0017 - My Account_20230209-103914434</t>
  </si>
  <si>
    <t>OMNI0017-011</t>
  </si>
  <si>
    <t>Normal - Download specified date history</t>
  </si>
  <si>
    <t>OMNI0017 - My Account_20230209-104709505</t>
  </si>
  <si>
    <t>OMNI0017-012</t>
  </si>
  <si>
    <t>Abnormal - No history in specified date</t>
  </si>
  <si>
    <t>OMNI0017 - My Account_20230120-110504342</t>
  </si>
  <si>
    <t>OMNI0017-013</t>
  </si>
  <si>
    <t>Sucess Shown Historical Transaction
Deposito - Last Transaction according to VD</t>
  </si>
  <si>
    <t>OMNI0017 - My Account_20230116-113122008</t>
  </si>
  <si>
    <t>OMNI0017-014</t>
  </si>
  <si>
    <t>Sucess Shown Historical Transaction
Deposito - This Week</t>
  </si>
  <si>
    <t>OMNI0017 - My Account_20230116-114104710</t>
  </si>
  <si>
    <t>OMNI0017-015</t>
  </si>
  <si>
    <t>Sucess Shown Historical Transaction
Deposito - This Month</t>
  </si>
  <si>
    <t>OMNI0017 - My Account_20230116-115104771</t>
  </si>
  <si>
    <t>OMNI0017-016</t>
  </si>
  <si>
    <t>8 Februari 2023</t>
  </si>
  <si>
    <t>OMNI0017 - My Account_20230208-150413826</t>
  </si>
  <si>
    <t>OMNI0017-017</t>
  </si>
  <si>
    <t xml:space="preserve">Success download 1 month 
history Transaction </t>
  </si>
  <si>
    <t>OMNI0017 - My Account_20230203-165238485</t>
  </si>
  <si>
    <t>OMNI0017-018</t>
  </si>
  <si>
    <t>OMNI0017 - My Account_20230208-104243786</t>
  </si>
  <si>
    <t>OMNI0017-019</t>
  </si>
  <si>
    <t>failed shown Historical Transaction
Deposito - No history in specified date</t>
  </si>
  <si>
    <t>OMNI0017 - My Account_20230120-112158226</t>
  </si>
  <si>
    <t>OMNI0017-020</t>
  </si>
  <si>
    <t>Abnormal - History of closed account</t>
  </si>
  <si>
    <t>failed shown Historical 
Transaction Deposito - 
History of closed account</t>
  </si>
  <si>
    <t>OMNI0017 - My Account_20230207-165727285</t>
  </si>
  <si>
    <t>OMNI0017-021</t>
  </si>
  <si>
    <t>Show last history transaction tapenas</t>
  </si>
  <si>
    <t>OMNI0017 - My Account_20230116-121745375</t>
  </si>
  <si>
    <t>OMNI0017-022</t>
  </si>
  <si>
    <t>Show this week historical transaction of list tapenas</t>
  </si>
  <si>
    <t>OMNI0017 - My Account_20230116-124000177</t>
  </si>
  <si>
    <t>OMNI0017-023</t>
  </si>
  <si>
    <t>Show this month history transaction tapenas</t>
  </si>
  <si>
    <t>OMNI0017 - My Account_20230116-124655870</t>
  </si>
  <si>
    <t>OMNI0017-024</t>
  </si>
  <si>
    <t>Show term by customer history transaction</t>
  </si>
  <si>
    <t>OMNI0017 - My Account_20230120-115842353</t>
  </si>
  <si>
    <t>OMNI0017-025</t>
  </si>
  <si>
    <t>Success download 1 month history transaction</t>
  </si>
  <si>
    <t>OMNI0017 - My Account_20230203-170706849</t>
  </si>
  <si>
    <t>OMNI0017-026</t>
  </si>
  <si>
    <t>Success download specified date history</t>
  </si>
  <si>
    <t>OMNI0017 - My Account_20230208-140205929</t>
  </si>
  <si>
    <t>OMNI0017-027</t>
  </si>
  <si>
    <t>Failed show history in specified date</t>
  </si>
  <si>
    <t>OMNI0017 - My Account_20230120-113518697</t>
  </si>
  <si>
    <t>OMNI0017-028</t>
  </si>
  <si>
    <t>Failed show closed account in dropdown</t>
  </si>
  <si>
    <t>OMNI0017 - My Account_20230207-164956767</t>
  </si>
  <si>
    <t>OMNI0017-029</t>
  </si>
  <si>
    <t>Normal - List existing pinjaman produktif</t>
  </si>
  <si>
    <t>Successfully dIsplay list of productive loan account</t>
  </si>
  <si>
    <t>OMNI0017 - My Account_20230111-132512240</t>
  </si>
  <si>
    <t>OMNI0017-030</t>
  </si>
  <si>
    <t>Normal - List pinjaman produktif outstanding 14 digit</t>
  </si>
  <si>
    <t>Successfully dIsplay list of productive loan account with 14 digit outstanding</t>
  </si>
  <si>
    <t>OMNI0017 - My Account_20230111-155731350</t>
  </si>
  <si>
    <t>OMNI0017-031</t>
  </si>
  <si>
    <t>Normal - List pinjaman produktif status pelunasan</t>
  </si>
  <si>
    <t>Successfully dIsplay list of productive loan account with "pelunasan" status</t>
  </si>
  <si>
    <t>OMNI0017-032</t>
  </si>
  <si>
    <t>Normal - Detail pinjaman produktif</t>
  </si>
  <si>
    <t>Successfully dIsplay detail of productive loan account</t>
  </si>
  <si>
    <t>OMNI0017 - My Account_20230118-103126789</t>
  </si>
  <si>
    <t>OMNI0017-033</t>
  </si>
  <si>
    <t>Normal - Detail pinjaman produktif balance 12digit</t>
  </si>
  <si>
    <t>Successfully dIsplay detail of productive loan account with 12 digit</t>
  </si>
  <si>
    <t>19 Januari 2023</t>
  </si>
  <si>
    <t>OMNI0017 - My Account_20230119-133458726</t>
  </si>
  <si>
    <t>OMNI0017-034</t>
  </si>
  <si>
    <t>Abnormal - Detail pinjaman produktif status pelunasan</t>
  </si>
  <si>
    <t>Successfully dIsplay detail of productive loan account with "pelunasan" status</t>
  </si>
  <si>
    <t>OMNI0017 - My Account_20230119-162703223</t>
  </si>
  <si>
    <t>OMNI0017-035</t>
  </si>
  <si>
    <t>Normal - List existing pinjaman konsumptif</t>
  </si>
  <si>
    <t>Successfully dIsplay list of consumptive loan account</t>
  </si>
  <si>
    <t>OMNI0017 - My Account_20230111-144050410</t>
  </si>
  <si>
    <t>OMNI0017-036</t>
  </si>
  <si>
    <t>Normal - List pinjaman konsumptif outstanding 12 digit</t>
  </si>
  <si>
    <t>Successfully dIsplay list of consumptive loan account with 12 digit outstanding</t>
  </si>
  <si>
    <t>OMNI0017 - My Account_20230119-154348957</t>
  </si>
  <si>
    <t>OMNI0017-037</t>
  </si>
  <si>
    <t>Normal - List pinjaman konsumptif status pelunasan</t>
  </si>
  <si>
    <t>Successfully dIsplay list of consumptive loan account with "pelunasan" status</t>
  </si>
  <si>
    <t>OMNI0017-038</t>
  </si>
  <si>
    <t xml:space="preserve">Normal - Detail pinjaman konsumptif </t>
  </si>
  <si>
    <t>Successfully dIsplay detail of consumptive loan account</t>
  </si>
  <si>
    <t>OMNI0017 - My Account_20230118-101726306</t>
  </si>
  <si>
    <t>OMNI0017-039</t>
  </si>
  <si>
    <t>Normal - Detail pinjaman konsumptif balance 12digit</t>
  </si>
  <si>
    <t>Successfully dIsplay detail of consumptive loan account with 12 digit</t>
  </si>
  <si>
    <t>OMNI0017 - My Account_20230119-135113313</t>
  </si>
  <si>
    <t>OMNI0017-040</t>
  </si>
  <si>
    <t>Abnormal - Detail pinjaman konsumptif status pelunasan</t>
  </si>
  <si>
    <t>Successfully dIsplay detail of consumptive loan account with "pelunasan" status</t>
  </si>
  <si>
    <t>OMNI0017 - My Account_20230120-091357114</t>
  </si>
  <si>
    <t>Done Development</t>
  </si>
  <si>
    <t>TOTAL DEV</t>
  </si>
  <si>
    <t>TOTAL Verification</t>
  </si>
  <si>
    <t>W5-NOV</t>
  </si>
  <si>
    <t>335 TC</t>
  </si>
  <si>
    <t>W1-DEC</t>
  </si>
  <si>
    <t>W2-DEC</t>
  </si>
  <si>
    <t>W4-DEC</t>
  </si>
  <si>
    <t>W5-DEC</t>
  </si>
  <si>
    <t>W1-JAN</t>
  </si>
  <si>
    <t>W2-JAN</t>
  </si>
  <si>
    <t>W3-JAN</t>
  </si>
  <si>
    <t>17 Januari 2023</t>
  </si>
  <si>
    <t>23 Januari 2023</t>
  </si>
  <si>
    <t>W4-JAN</t>
  </si>
  <si>
    <t>W5-JAN</t>
  </si>
  <si>
    <t>W1-FEB</t>
  </si>
  <si>
    <t>4 Februari 2023</t>
  </si>
  <si>
    <t>5 Februari 2023</t>
  </si>
  <si>
    <t>W2-FEB</t>
  </si>
  <si>
    <t>11 Februari 2023</t>
  </si>
  <si>
    <t>12 Februari 2023</t>
  </si>
  <si>
    <t>W3-FEB</t>
  </si>
  <si>
    <t>18 Februari 2023</t>
  </si>
  <si>
    <t>19 Februari 2023</t>
  </si>
  <si>
    <t>W4-FEB</t>
  </si>
  <si>
    <t>25 Februari 2023</t>
  </si>
  <si>
    <t>26 Februari 2023</t>
  </si>
  <si>
    <t>W5-FEB</t>
  </si>
  <si>
    <t>28 Februari 2023</t>
  </si>
  <si>
    <t>Request Message</t>
  </si>
  <si>
    <t>Database</t>
  </si>
  <si>
    <t>Screen Globs</t>
  </si>
  <si>
    <t>SCH0001</t>
  </si>
  <si>
    <t>HTH0001-001</t>
  </si>
  <si>
    <t>Melakukan transaksi Realtime OUR untuk ccy IDR to IDR</t>
  </si>
  <si>
    <t>Melakukan request PO dengan menghit service Globs dengan rekening VA</t>
  </si>
  <si>
    <t>Cek message request PO yang menghit service Globs</t>
  </si>
  <si>
    <t>- orderingname : Sukiran
- beneficiaryname : helda
- currency : IDR
- detailcharges : OUR
- beneficiaryaccount : 9870000000076501</t>
  </si>
  <si>
    <t>- Berhasil Request PO dengan menghit service Globs untuk rekening VA
- Message terbentuk dengan point-point yang harus ada :
1. Services type
2. Beneficary account
3. Beneficary name
Sesuai requirement</t>
  </si>
  <si>
    <t>31 Agustus 2022</t>
  </si>
  <si>
    <t>SCH0001 Melakukan transaksi Realtime OUR untuk ccy IDR to IDR_SD_Results.pdf</t>
  </si>
  <si>
    <t>Dio</t>
  </si>
  <si>
    <t>SCH0002</t>
  </si>
  <si>
    <t>HTH0002-001</t>
  </si>
  <si>
    <t>Melakukan transaksi Realtime OUR untuk ccy USD to IDR</t>
  </si>
  <si>
    <t>- orderingname : Sukiran
- beneficiaryname : helda
- currency : USD
- detailcharges : OUR
- beneficiaryaccount : 9870000000076501</t>
  </si>
  <si>
    <t>REKG TRANSFER TIDAK ADA</t>
  </si>
  <si>
    <t>SCH0002 Melakukan transaksi Realtime OUR untuk ccy USD to IDR_SD_Results.pdf</t>
  </si>
  <si>
    <t>SCH0003</t>
  </si>
  <si>
    <t>HTH0003-001</t>
  </si>
  <si>
    <t>Melakukan transaksi Realtime BEN untuk ccy IDR to IDR</t>
  </si>
  <si>
    <t>- orderingname : Sukiran
- beneficiaryname : helda
- currency : IDR
- detailcharges : BEN
- beneficiaryaccount : 9870000000076501</t>
  </si>
  <si>
    <t>SCH0003 Melakukan transaksi Realtime BEN untuk ccy IDR to IDR_SD_Results.pdf</t>
  </si>
  <si>
    <t>SCH0004</t>
  </si>
  <si>
    <t>HTH0004-001</t>
  </si>
  <si>
    <t>Melakukan transaksi Realtime SHA untuk ccy IDR to IDR</t>
  </si>
  <si>
    <t>- orderingname : Sukiran
- beneficiaryname : helda
- currency : IDR
- detailcharges : SHA
- beneficiaryaccount : 9870000000076501</t>
  </si>
  <si>
    <t>SCH0004 Melakukan transaksi Realtime SHA untuk ccy IDR to IDR_SD_Results.pdf</t>
  </si>
  <si>
    <t>SCH0005</t>
  </si>
  <si>
    <t>HTH0005-001</t>
  </si>
  <si>
    <t>Melakukan transaksi Non Realtime OUR untuk ccy IDR to IDR</t>
  </si>
  <si>
    <t>- orderingname : Habibie
- beneficiaryname : helda
- currency : IDR
- detailcharges : OUR
- beneficiaryaccount : 9870000000076501</t>
  </si>
  <si>
    <t>Berhasil Request PO dengan menghit service Globs untuk rekening VA</t>
  </si>
  <si>
    <t>SCH0005 Melakukan transaksi Non Realtime OUR untuk ccy IDR to IDR_SD_Results.pdf</t>
  </si>
  <si>
    <t>SCH0006</t>
  </si>
  <si>
    <t>HTH0006-001</t>
  </si>
  <si>
    <t>Melakukan transaksi Non Realtime OUR untuk ccy USD to IDR</t>
  </si>
  <si>
    <t>- orderingname : Habibie
- beneficiaryname : helda
- currency : USD
- detailcharges : OUR
- beneficiaryaccount : 9870000000076501</t>
  </si>
  <si>
    <t>SCH0006 Melakukan transaksi Non Realtime OUR untuk ccy USD to IDR_SD_Results.pdf</t>
  </si>
  <si>
    <t>SCH0007</t>
  </si>
  <si>
    <t>HTH0007-001</t>
  </si>
  <si>
    <t>Melakukan transaksi Non Realtime BEN untuk ccy IDR to IDR</t>
  </si>
  <si>
    <t>- orderingname : Habibie
- beneficiaryname : helda
- currency : IDR
- detailcharges : BEN
- beneficiaryaccount : 9870000000076501</t>
  </si>
  <si>
    <t>SCH0007 Melakukan transaksi Non Realtime BEN untuk ccy IDR to IDR_SD_Results.pdf</t>
  </si>
  <si>
    <t>SCH0008</t>
  </si>
  <si>
    <t>HTH0008-001</t>
  </si>
  <si>
    <t>Melakukan transaksi Non Realtime BEN untuk ccy USD to IDR</t>
  </si>
  <si>
    <t>- orderingname : Habibie
- beneficiaryname : helda
- currency : USD
- detailcharges : BEN
- beneficiaryaccount : 9870000000076501</t>
  </si>
  <si>
    <t>SCH0008 Melakukan transaksi Non Realtime BEN untuk ccy USD to IDR_SD_Results.pdf</t>
  </si>
  <si>
    <t>SCH0009</t>
  </si>
  <si>
    <t>HTH0009-001</t>
  </si>
  <si>
    <t>Melakukan transaksi Non Realtime SHA untuk ccy IDR to IDR</t>
  </si>
  <si>
    <t>- orderingname : Habibie
- beneficiaryname : helda
- currency : IDR
- detailcharges : SHA
- beneficiaryaccount : 9870000000076501</t>
  </si>
  <si>
    <t>SCH0009 Melakukan transaksi Non Realtime SHA untuk ccy IDR to IDR_SD_Results.pdf</t>
  </si>
  <si>
    <t>SCH0010</t>
  </si>
  <si>
    <t>HTH0010-001</t>
  </si>
  <si>
    <t>Melakukan transaksi Non Realtime SHA untuk ccy USD to IDR</t>
  </si>
  <si>
    <t>- orderingname : Habibie
- beneficiaryname : helda
- currency : USD
- detailcharges : SHA
- beneficiaryaccount : 9870000000076501</t>
  </si>
  <si>
    <t>SCH0010 Melakukan transaksi Non Realtime SHA untuk ccy USD to IDR_SD_Results.pdf</t>
  </si>
  <si>
    <t>SCH0011</t>
  </si>
  <si>
    <t>HTH0011-001</t>
  </si>
  <si>
    <t>Melakukan transaksi Interbank Non Realtime OUR</t>
  </si>
  <si>
    <t>H2H Interbank Non Realtime – OUR</t>
  </si>
  <si>
    <t>Hit service /inquiry
Hit service /transfer</t>
  </si>
  <si>
    <t>- serviceType : INTERBANK
- beneficiaryAccount : 317415633
- beneficiaryName : Sdr DIO SETIAWAN
- acctWithInstName : 009
- detailCharges : OUR</t>
  </si>
  <si>
    <t>Has Been Paid</t>
  </si>
  <si>
    <t>SCH0011 Melakukan transaksi Interbank Non Realtime OUR_SD_Results.pdf</t>
  </si>
  <si>
    <t>SCH0012</t>
  </si>
  <si>
    <t>HTH0012-001</t>
  </si>
  <si>
    <t>Melakukan transaksi Interbank Non Realtime BEN</t>
  </si>
  <si>
    <t>H2H Interbank Non Realtime – BEN</t>
  </si>
  <si>
    <t>- serviceType : INTERBANK
- beneficiaryAccount : 317415633
- beneficiaryName : Sdr DIO SETIAWAN
- acctWithInstName : 009
- detailCharges : BEN</t>
  </si>
  <si>
    <t>SCH0012 Melakukan transaksi Interbank Non Realtime BEN_SD_Results.pdf</t>
  </si>
  <si>
    <t>SCH0013</t>
  </si>
  <si>
    <t>HTH0013-001</t>
  </si>
  <si>
    <t>Melakukan transaksi Interbank Non Realtime SHA</t>
  </si>
  <si>
    <t>H2H Interbank Non Realtime – SHA</t>
  </si>
  <si>
    <t>- serviceType : INTERBANK
- beneficiaryAccount : 317415633
- beneficiaryName : Sdr DIO SETIAWAN
- acctWithInstName : 009
- detailCharges : SHA</t>
  </si>
  <si>
    <t>SCH0013 Melakukan transaksi Interbank Non Realtime SHA_SD_Results.pdf</t>
  </si>
  <si>
    <t>SCH0014</t>
  </si>
  <si>
    <t>HTH0014-001</t>
  </si>
  <si>
    <t>Melakukan transaksi Interbank Realtime Nightmode OUR</t>
  </si>
  <si>
    <t>H2H Interbank Realtime Nightmode – OUR</t>
  </si>
  <si>
    <t>Paid STP</t>
  </si>
  <si>
    <t>SCH0014 Melakukan transaksi Interbank Realtime Nightmode OUR_1_SD_Results.pdf</t>
  </si>
  <si>
    <t>SCH0015</t>
  </si>
  <si>
    <t>HTH0015-001</t>
  </si>
  <si>
    <t>Melakukan transaksi Interbank Realtime Non Nightmode BEN</t>
  </si>
  <si>
    <t>H2H Interbank Realtime Non Nightmode – BEN</t>
  </si>
  <si>
    <t>SCH0015 Melakukan transaksi Interbank Realtime Non Nightmode BEN_1_SD_Results.pdf</t>
  </si>
  <si>
    <t>SCH0016</t>
  </si>
  <si>
    <t>HTH0016-001</t>
  </si>
  <si>
    <t>Melakukan transaksi Interbank Realtime Non Nightmode SHA</t>
  </si>
  <si>
    <t>H2H Interbank Realtime Non Nightmode – SHA</t>
  </si>
  <si>
    <t>SCH0016 Melakukan transaksi Interbank Realtime Non Nightmode SHA_1_SD_Results.pdf</t>
  </si>
  <si>
    <t>SCH0017</t>
  </si>
  <si>
    <t>HTH0017-001</t>
  </si>
  <si>
    <t>Melakukan transaksi Inhouse BNI OUR</t>
  </si>
  <si>
    <t>H2H Inhouse BNI – OUR</t>
  </si>
  <si>
    <t>Hit service /transfer</t>
  </si>
  <si>
    <t>- serviceType : BNI
- beneficiaryAccount : 317415633
- beneficiaryName : Sdr DIO SETIAWAN
- detailCharges : OUR</t>
  </si>
  <si>
    <t>SCH0017 Melakukan transaksi Inhouse BNI OUR_SD_Results.pdf</t>
  </si>
  <si>
    <t>SCH0018</t>
  </si>
  <si>
    <t>HTH0018-001</t>
  </si>
  <si>
    <t>Melakukan transaksi Inhouse BNI BEN</t>
  </si>
  <si>
    <t>H2H Inhouse BNI – BEN</t>
  </si>
  <si>
    <t>- serviceType : BNI
- beneficiaryAccount : 317415633
- beneficiaryName : Sdr DIO SETIAWAN
- detailCharges : BEN</t>
  </si>
  <si>
    <t>SCH0018 Melakukan transaksi Inhouse BNI BEN_SD_Results.pdf</t>
  </si>
  <si>
    <t>SCH0019</t>
  </si>
  <si>
    <t>HTH0019-001</t>
  </si>
  <si>
    <t>Melakukan transaksi Inhouse BNI SHA</t>
  </si>
  <si>
    <t>H2H Inhouse BNI – SHA</t>
  </si>
  <si>
    <t>- serviceType : BNI
- beneficiaryAccount : 317415633
- beneficiaryName : Sdr DIO SETIAWAN
- detailCharges : SHA</t>
  </si>
  <si>
    <t>SCH0019 Melakukan transaksi Inhouse BNI SHA_SD_Results.pdf</t>
  </si>
  <si>
    <t>SCH0020</t>
  </si>
  <si>
    <t>HTH0020-001</t>
  </si>
  <si>
    <t>H2H Non Real Time Normal Bni Transfer</t>
  </si>
  <si>
    <t>Normal Bni Transfer</t>
  </si>
  <si>
    <t>Acc Inq
Proses PO</t>
  </si>
  <si>
    <t>- counterPartId : BNINGB2LXXX
- serviceType : BNI
- beneficiaryAccount : 317415633
- beneficiaryName : Sdr DIO SETIAWAN</t>
  </si>
  <si>
    <t>Acc Inq : Available
Proses PO : OK</t>
  </si>
  <si>
    <t>T</t>
  </si>
  <si>
    <t>SCH0020 H2H Non Real Time Normal Bni Transfer_SD_Results.pdf</t>
  </si>
  <si>
    <t>SCH0021</t>
  </si>
  <si>
    <t>HTH0021-001</t>
  </si>
  <si>
    <t>H2H Non Real Time Normal Bni Tunai (Cash)</t>
  </si>
  <si>
    <t>Normal Bni Tunai (Cash)</t>
  </si>
  <si>
    <t>- counterPartId : BNINGB2LXXX
- serviceType : BNI
- beneficiaryAccount :
- beneficiaryName : Sdr DIO SETIAWAN</t>
  </si>
  <si>
    <t>SCH0021 H2H Non Real Time Normal Bni Tunai (Cash)_SD_Results.pdf</t>
  </si>
  <si>
    <t>SCH0022</t>
  </si>
  <si>
    <t>HTH0022-001</t>
  </si>
  <si>
    <t>H2H Non Real Time Normal Non Bni Transfer Interbank</t>
  </si>
  <si>
    <t>Normal Non Bni Transfer Interbank</t>
  </si>
  <si>
    <t>- counterPartId : BNINGB2LXXX
- serviceType : INTERBANK
- beneficiaryAccount : 001001001
- beneficiaryName : SARI ANGGRAINI
- acctWithInstName : 002</t>
  </si>
  <si>
    <t>SCH0022 H2H Non Real Time Normal Non Bni Transfer Interbank_SD_Results.pdf</t>
  </si>
  <si>
    <t>SCH0023</t>
  </si>
  <si>
    <t>HTH0023-001</t>
  </si>
  <si>
    <t>H2H Non Real Time Normal Non Bni Kliring</t>
  </si>
  <si>
    <t>Normal Non Bni Kliring</t>
  </si>
  <si>
    <t>- counterPartId : BNINGB2LXXX
- serviceType : CLR
- beneficiaryAccount : 001001001
- beneficiaryName : SARI ANGGRAINI
- acctWithInstName : 002</t>
  </si>
  <si>
    <t>SCH0023 H2H Non Real Time Normal Non Bni Kliring_SD_Results.pdf</t>
  </si>
  <si>
    <t>SCH0024</t>
  </si>
  <si>
    <t>HTH0024-001</t>
  </si>
  <si>
    <t>H2H Non Real Time Normal Non Bni RTGS</t>
  </si>
  <si>
    <t>Normal Non Bni RTGS</t>
  </si>
  <si>
    <t>- counterPartId : BNINGB2LXXX
- serviceType : RTGS
- beneficiaryAccount : 317415633
- beneficiaryName : Sdr DIO SETIAWAN
- acctWithInstName : 009</t>
  </si>
  <si>
    <t>SCH0024 H2H Non Real Time Normal Non Bni RTGS_SD_Results.pdf</t>
  </si>
  <si>
    <t>SCH0025</t>
  </si>
  <si>
    <t>HTH0025-001</t>
  </si>
  <si>
    <t>H2H Non Real Time Abnormal Beneficiary account has closed</t>
  </si>
  <si>
    <t>Abnormal Beneficiary account has closed</t>
  </si>
  <si>
    <t>- counterPartId : BNINGB2LXXX
- serviceType : BNI
- beneficiaryAccount : 315584024
- beneficiaryName : Sdr RIZQYO FATH AKBAR</t>
  </si>
  <si>
    <t>Acc Inq : Not Available
Proses PO : OK</t>
  </si>
  <si>
    <t>SCH0025 H2H Non Real Time Abnormal Beneficiary account has closed_SD_Results.pdf</t>
  </si>
  <si>
    <t>SCH0026</t>
  </si>
  <si>
    <t>HTH0026-001</t>
  </si>
  <si>
    <t>H2H Non Real Time Abnormal Bank code not registered</t>
  </si>
  <si>
    <t>Abnormal Bank code not registered</t>
  </si>
  <si>
    <t>Acc Inq</t>
  </si>
  <si>
    <t>- counterPartId : BNINGB2LXXX
- acctWithInstName : 001</t>
  </si>
  <si>
    <t>Acc Inq : SYSTEM FAILURE, PLEASE TRY AGAIN</t>
  </si>
  <si>
    <t>SCH0026 H2H Non Real Time Abnormal Bank code not registered_SD_Results.pdf</t>
  </si>
  <si>
    <t>SCH0027</t>
  </si>
  <si>
    <t>HTH0027-001</t>
  </si>
  <si>
    <t>H2H Non Real Time Abnormal Balance not enough</t>
  </si>
  <si>
    <t>Abnormal Balance not enough</t>
  </si>
  <si>
    <t>- counterPartId : BNINGB2LXXX
- serviceType : BNI
- amount : 24903268</t>
  </si>
  <si>
    <t>SCH0027 H2H Non Real Time Abnormal Balance not enough_SD_Results.pdf</t>
  </si>
  <si>
    <t>SCH0028</t>
  </si>
  <si>
    <t>HTH0028-001</t>
  </si>
  <si>
    <t>H2H Non Real Time Abnormal Interbank transaction &gt; IDR 25 Million</t>
  </si>
  <si>
    <t>Abnormal Interbank transaction &gt; IDR 25 Million</t>
  </si>
  <si>
    <t>- counterPartId : BNINGB2LXXX
- serviceType : Interbank
- amount : 26503268</t>
  </si>
  <si>
    <t>Acc Inq : Available
Proses PO : AMOUNT PO CAN NOT MORE THAN 25000000</t>
  </si>
  <si>
    <t>SCH0028 H2H Non Real Time Abnormal Interbank transaction lebih dari IDR 25 Million_SD_Results.pdf</t>
  </si>
  <si>
    <t>SCH0029</t>
  </si>
  <si>
    <t>HTH0029-001</t>
  </si>
  <si>
    <t>H2H Non Real Time Abnormal Benef account block</t>
  </si>
  <si>
    <t>Abnormal Benef account block</t>
  </si>
  <si>
    <t>- counterPartId : BNINGB2LXXX
- serviceType : BNI
- beneficiaryAccount : 317211027
- beneficiaryName : Sdr RAIHAN ATHALLAH</t>
  </si>
  <si>
    <t>SCH0029 H2H Non Real Time Abnormal Benef account block_SD_Results.pdf</t>
  </si>
  <si>
    <t>SCH0030</t>
  </si>
  <si>
    <t>HTH0030-001</t>
  </si>
  <si>
    <t>H2H Non Real Time Abnormal Timeout (interbank)</t>
  </si>
  <si>
    <t>Abnormal Timeout (interbank)</t>
  </si>
  <si>
    <t>- counterPartId : BNINGB2LXXX
- beneficiaryAccount : 317415633</t>
  </si>
  <si>
    <t>SCH0030 H2H Non Real Time Abnormal Timeout (interbank)_SD_Results.pdf</t>
  </si>
  <si>
    <t>SCH0031</t>
  </si>
  <si>
    <t>HTH0031-001</t>
  </si>
  <si>
    <t>H2H Non Real Time Abnormal Correspondent account block</t>
  </si>
  <si>
    <t>Abnormal Correspondent account block</t>
  </si>
  <si>
    <t>SCH0031 H2H Non Real Time Abnormal Correspondent account block_SD_Results.pdf</t>
  </si>
  <si>
    <t>SCH0032</t>
  </si>
  <si>
    <t>HTH0032-001</t>
  </si>
  <si>
    <t>H2H Non Real Time Normal BNI Transfer &gt; Hit SafeWatch</t>
  </si>
  <si>
    <t>Normal BNI Transfer &gt; Hit SafeWatch</t>
  </si>
  <si>
    <t>Proses PO</t>
  </si>
  <si>
    <t>Proses PO : OK</t>
  </si>
  <si>
    <t>SCH0032 H2H Non Real Time Normal BNI Transfer Hit SafeWatch_SD_Results.pdf</t>
  </si>
  <si>
    <t>SCH0033</t>
  </si>
  <si>
    <t>HTH0033-001</t>
  </si>
  <si>
    <t>H2H Non Real Time Normal BNI Transfer Interbank &gt; Hit SafeWatch</t>
  </si>
  <si>
    <t>Normal BNI Transfer Interbank &gt; Hit SafeWatch</t>
  </si>
  <si>
    <t>SCH0033 H2H Non Real Time Normal BNI Transfer Interbank Hit SafeWatch_SD_Results.pdf</t>
  </si>
  <si>
    <t>SCH0034</t>
  </si>
  <si>
    <t>HTH0034-001</t>
  </si>
  <si>
    <t>H2H Non Real Time Abnormal BNI Transfer &gt; Non Hit SafeWatch</t>
  </si>
  <si>
    <t>Abnormal BNI Transfer &gt; Non Hit SafeWatch</t>
  </si>
  <si>
    <t>SCH0034 H2H Non Real Time Abnormal BNI Transfer Non Hit SafeWatch_SD_Results.pdf</t>
  </si>
  <si>
    <t>SCH0035</t>
  </si>
  <si>
    <t>HTH0035-001</t>
  </si>
  <si>
    <t>H2H Non Real Time Normal BNI Transfer Interbank &gt; Non Hit SafeWatch</t>
  </si>
  <si>
    <t>Normal BNI Transfer Interbank &gt; Non Hit SafeWatch</t>
  </si>
  <si>
    <t>SCH0035 H2H Non Real Time Normal BNI Transfer Interbank Non Hit SafeWatch_SD_Results.pdf</t>
  </si>
  <si>
    <t>SCH0036</t>
  </si>
  <si>
    <t>HTH0036-001</t>
  </si>
  <si>
    <t>H2H Real Time Normal Bni Transfer</t>
  </si>
  <si>
    <t>- counterPartId : MERCMYK1XXX
- serviceType : BNI
- beneficiaryAccount : 317415633
- beneficiaryName : Sdr DIO SETIAWAN</t>
  </si>
  <si>
    <t>Acc Inq : Available
Proses PO : PAID</t>
  </si>
  <si>
    <t>SCH0036 H2H Real Time Normal Bni Transfer_SD_Results.pdf</t>
  </si>
  <si>
    <t>SCH0037</t>
  </si>
  <si>
    <t>HTH0037-001</t>
  </si>
  <si>
    <t>H2H Real Time Normal Bni Tunai (Cash)</t>
  </si>
  <si>
    <t>- counterPartId : MERCMYK1XXX
- serviceType : BNI
- beneficiaryAccount :
- beneficiaryName : Sdr DIO SETIAWAN</t>
  </si>
  <si>
    <t>Proses PO : PAYABLE</t>
  </si>
  <si>
    <t>SCH0037 H2H Real Time Normal Bni Tunai (Cash)_SD_Results.pdf</t>
  </si>
  <si>
    <t>SCH0038</t>
  </si>
  <si>
    <t>HTH0038-001</t>
  </si>
  <si>
    <t>H2H Real Time Normal Non Bni Transfer Interbank</t>
  </si>
  <si>
    <t>- counterPartId : MERCMYK1XXX
- serviceType : INTERBANK
- beneficiaryAccount : 317415633
- beneficiaryName : Sdr DIO SETIAWAN
- acctWithInstName : 009</t>
  </si>
  <si>
    <t>SCH0038 H2H Real Time Normal Non Bni Transfer Interbank_1_SD_Results.pdf</t>
  </si>
  <si>
    <t>SCH0039</t>
  </si>
  <si>
    <t>HTH0039-001</t>
  </si>
  <si>
    <t>H2H Real Time Normal Non Bni Kliring</t>
  </si>
  <si>
    <t>- counterPartId : MERCMYK1XXX
- serviceType : CLR
- beneficiaryAccount : 317415633
- beneficiaryName : Sdr DIO SETIAWAN
- acctWithInstName : 009</t>
  </si>
  <si>
    <t>SCH0039 H2H Real Time Normal Non Bni Kliring_SD_Results.pdf</t>
  </si>
  <si>
    <t>SCH0040</t>
  </si>
  <si>
    <t>HTH0040-001</t>
  </si>
  <si>
    <t>H2H Real Time Normal Non Bni RTGS</t>
  </si>
  <si>
    <t>- counterPartId : MERCMYK1XXX
- serviceType : RTGS
- beneficiaryAccount : 317415633
- beneficiaryName : Sdr DIO SETIAWAN
- acctWithInstName : 009</t>
  </si>
  <si>
    <t>SCH0040 H2H Real Time Normal Non Bni RTGS_SD_Results.pdf</t>
  </si>
  <si>
    <t>SCH0041</t>
  </si>
  <si>
    <t>HTH0041-001</t>
  </si>
  <si>
    <t>H2H Real Time Abnormal Beneficiary account has closed</t>
  </si>
  <si>
    <t>- counterPartId : MERCMYK1XXX
- serviceType : BNI
- beneficiaryAccount : 315584024
- beneficiaryName : Sdr RIZQYO FATH AKBAR</t>
  </si>
  <si>
    <t>Acc Inq : Not Available
Proses PO : ACCOUNT STOPPED</t>
  </si>
  <si>
    <t>Proses PO : CLOSED ACCOUNT</t>
  </si>
  <si>
    <t>SCH0041 H2H Real Time Abnormal Beneficiary account has closed_SD_Results.pdf</t>
  </si>
  <si>
    <t>SCH0042</t>
  </si>
  <si>
    <t>HTH0042-001</t>
  </si>
  <si>
    <t>H2H Real Time Abnormal Bank code not registered</t>
  </si>
  <si>
    <t>- counterPartId : MERCMYK1XXX
- acctWithInstName : 001</t>
  </si>
  <si>
    <t>SCH0042 H2H Real Time Abnormal Bank code not registered_SD_Results.pdf</t>
  </si>
  <si>
    <t>SCH0043</t>
  </si>
  <si>
    <t>HTH0043-001</t>
  </si>
  <si>
    <t>H2H Real Time Abnormal Balance not enough</t>
  </si>
  <si>
    <t>- counterPartId : MERCMYK1XXX
- serviceType : BNI
- amount : 24903268</t>
  </si>
  <si>
    <t>Acc Inq : Available
Proses PO : INSUFFICIENT FUND</t>
  </si>
  <si>
    <t>SCH0043 H2H Real Time Abnormal Balance not enough_SD_Results.pdf</t>
  </si>
  <si>
    <t>SCH0044</t>
  </si>
  <si>
    <t>HTH0044-001</t>
  </si>
  <si>
    <t>H2H Real Time Abnormal Interbank transaction &gt; IDR 25 Million</t>
  </si>
  <si>
    <t>- counterPartId : MERCMYK1XXX
- serviceType : Interbank
- amount : 26503268</t>
  </si>
  <si>
    <t>Acc Inq : Available
Proses PO : AMOUNT PO CAN NOT MORE THAN IDR 25,000,000</t>
  </si>
  <si>
    <t>SCH0044 H2H Real Time Abnormal Interbank transaction lebih dari IDR 25 Million_SD_Results.pdf</t>
  </si>
  <si>
    <t>SCH0045</t>
  </si>
  <si>
    <t>HTH0045-001</t>
  </si>
  <si>
    <t>H2H Real Time Abnormal Benef account block</t>
  </si>
  <si>
    <t>SCH0045 H2H Real Time Abnormal Benef account block_SD_Results.pdf</t>
  </si>
  <si>
    <t>SCH0046</t>
  </si>
  <si>
    <t>HTH0046-001</t>
  </si>
  <si>
    <t>H2H Real Time Abnormal Timeout (interbank)</t>
  </si>
  <si>
    <t>- counterPartId : MERCMYK1XXX
- beneficiaryAccount : 317415633</t>
  </si>
  <si>
    <t>SCH0046 H2H Real Time Abnormal Timeout (interbank)_SD_Results.pdf</t>
  </si>
  <si>
    <t>SCH0047</t>
  </si>
  <si>
    <t>HTH0047-001</t>
  </si>
  <si>
    <t>H2H Real Time Abnormal Correspondent account block</t>
  </si>
  <si>
    <t>- counterPartId : MERCMYK1XXX
- serviceType : BNI
- beneficiaryAccount : 317211027
- beneficiaryName : Sdr RAIHAN ATHALLAH</t>
  </si>
  <si>
    <t>SCH0047 H2H Real Time Abnormal Correspondent account block_SD_Results.pdf</t>
  </si>
  <si>
    <t>SCH0048</t>
  </si>
  <si>
    <t>HTH0048-001</t>
  </si>
  <si>
    <t>H2H Real Time Abnormal Amount transfer (IDR) has decimal</t>
  </si>
  <si>
    <t>Abnormal Amount transfer (IDR) has decimal</t>
  </si>
  <si>
    <t>- counterPartId : MERCMYK1XXX
- serviceType : BNI
- amount : 549,032</t>
  </si>
  <si>
    <t>Proses PO : INVALID DECIMAL IN TELLER CURRENCY</t>
  </si>
  <si>
    <t>SCH0048 H2H Real Time Abnormal Amount transfer (IDR) has decimal_SD_Results.pdf</t>
  </si>
  <si>
    <t>SCH0049</t>
  </si>
  <si>
    <t>HTH0049-001</t>
  </si>
  <si>
    <t>H2H Real Time Normal BNI Transfer &gt;  Hit SafeWatch</t>
  </si>
  <si>
    <t>Normal BNI Transfer &gt;  Hit SafeWatch</t>
  </si>
  <si>
    <t>Proses PO : PAID</t>
  </si>
  <si>
    <t>SCH0049 H2H Real Time Normal BNI Transfer Hit SafeWatch_SD_Results.pdf</t>
  </si>
  <si>
    <t>SCH0050</t>
  </si>
  <si>
    <t>HTH0050-001</t>
  </si>
  <si>
    <t>H2H Real Time Abnormal BNI Transfer &gt; Non Hit SafeWatch</t>
  </si>
  <si>
    <t>SCH0050 H2H Real Time Abnormal BNI Transfer Non Hit SafeWatch_SD_Results.pdf</t>
  </si>
  <si>
    <t>SCH0051</t>
  </si>
  <si>
    <t>HTH0051-001</t>
  </si>
  <si>
    <t>H2H Real Time night mode Normal Bni Transfer</t>
  </si>
  <si>
    <t>SCH0051 H2H Real Time night mode Normal Bni Transfer_SD_Results.pdf</t>
  </si>
  <si>
    <t>SCH0052</t>
  </si>
  <si>
    <t>HTH0052-001</t>
  </si>
  <si>
    <t>H2H Real Time night mode Normal Bni Tunai (Cash)</t>
  </si>
  <si>
    <t>SCH0052 H2H Real Time night mode Normal Bni Tunai (Cash)_SD_Results.pdf</t>
  </si>
  <si>
    <t>SCH0053</t>
  </si>
  <si>
    <t>HTH0053-001</t>
  </si>
  <si>
    <t>H2H Real Time night mode Normal Non Bni Transfer Interbank</t>
  </si>
  <si>
    <t>SCH0053 H2H Real Time night mode Normal Non Bni Transfer Interbank_1_SD_Results.pdf</t>
  </si>
  <si>
    <t>SCH0054</t>
  </si>
  <si>
    <t>HTH0054-001</t>
  </si>
  <si>
    <t>H2H Real Time night mode Normal Non Bni Kliring</t>
  </si>
  <si>
    <t>SCH0054 H2H Real Time night mode Normal Non Bni Kliring_SD_Results.pdf</t>
  </si>
  <si>
    <t>SCH0055</t>
  </si>
  <si>
    <t>HTH0055-001</t>
  </si>
  <si>
    <t>H2H Real Time night mode Normal Non Bni RTGS</t>
  </si>
  <si>
    <t>SCH0055 H2H Real Time night mode Normal Non Bni RTGS_SD_Results.pdf</t>
  </si>
  <si>
    <t>SCH0056</t>
  </si>
  <si>
    <t>HTH0056-001</t>
  </si>
  <si>
    <t>H2H Real Time night mode Abnormal Beneficiary account has closed</t>
  </si>
  <si>
    <t>SCH0056 H2H Real Time night mode Abnormal Beneficiary account has closed_SD_Results.pdf</t>
  </si>
  <si>
    <t>SCH0057</t>
  </si>
  <si>
    <t>HTH0057-001</t>
  </si>
  <si>
    <t>H2H Real Time night mode Abnormal Bank code not registered</t>
  </si>
  <si>
    <t>SCH0057 H2H Real Time night mode Abnormal Bank code not registered_SD_Results.pdf</t>
  </si>
  <si>
    <t>SCH0058</t>
  </si>
  <si>
    <t>HTH0058-001</t>
  </si>
  <si>
    <t>H2H Real Time night mode Abnormal Balance not enough</t>
  </si>
  <si>
    <t>SCH0058 H2H Real Time night mode Abnormal Balance not enough_SD_Results.pdf</t>
  </si>
  <si>
    <t>SCH0059</t>
  </si>
  <si>
    <t>HTH0059-001</t>
  </si>
  <si>
    <t>H2H Real Time night mode Abnormal Interbank transaction &gt; IDR 25 Million</t>
  </si>
  <si>
    <t>SCH0059 H2H Real Time night mode Abnormal Interbank transaction lebih dari IDR 25 Million_SD_Results.pdf</t>
  </si>
  <si>
    <t>SCH0060</t>
  </si>
  <si>
    <t>HTH0060-001</t>
  </si>
  <si>
    <t>H2H Real Time night mode Abnormal Benef account block</t>
  </si>
  <si>
    <t>SCH0060 H2H Real Time night mode Abnormal Benef account block_SD_Results.pdf</t>
  </si>
  <si>
    <t>SCH0061</t>
  </si>
  <si>
    <t>HTH0061-001</t>
  </si>
  <si>
    <t>H2H Real Time night mode Abnormal Timeout (interbank)</t>
  </si>
  <si>
    <t>SCH0061 H2H Real Time night mode Abnormal Timeout (interbank)_SD_Results.pdf</t>
  </si>
  <si>
    <t>SCH0062</t>
  </si>
  <si>
    <t>HTH0062-001</t>
  </si>
  <si>
    <t>H2H Real Time night mode Abnormal Correspondent account block</t>
  </si>
  <si>
    <t>SCH0062 H2H Real Time night mode Abnormal Correspondent account block_SD_Results.pdf</t>
  </si>
  <si>
    <t>SCH0063</t>
  </si>
  <si>
    <t>HTH0063-001</t>
  </si>
  <si>
    <t>H2H Real Time night mode Abnormal Amount transfer (IDR) has decimal</t>
  </si>
  <si>
    <t>SCH0063 H2H Real Time night mode Abnormal Amount transfer (IDR) has decimal_SD_Results.pdf</t>
  </si>
  <si>
    <t>SCH0064</t>
  </si>
  <si>
    <t>HTH0064-001</t>
  </si>
  <si>
    <t>Api Remittance Malaysia (IDR)</t>
  </si>
  <si>
    <t>Hit data menggunakan counterpart = GKLUMYK1XXX</t>
  </si>
  <si>
    <t>- counterPartId : GKLUMYK1XXX
- currency : IDR
- amount : 50000
- detailCharges : OUR</t>
  </si>
  <si>
    <t>Status PID</t>
  </si>
  <si>
    <t>SCH0064 Api Remittance Malaysia (IDR)_SD_Results.pdf</t>
  </si>
  <si>
    <t>SCH0065</t>
  </si>
  <si>
    <t>HTH0065-001</t>
  </si>
  <si>
    <t>Api Remittance Malaysia (USD &gt;=50rb)</t>
  </si>
  <si>
    <t>- counterPartId : GKLUMYK1XXX
- currency : USD
- amount : 50000
- detailCharges : OUR</t>
  </si>
  <si>
    <t>Status PAYABLE</t>
  </si>
  <si>
    <t>SCH0065 Api Remittance Malaysia (USD lebih dari sama dengan 50rb)_SD_Results.pdf</t>
  </si>
  <si>
    <t>SCH0066</t>
  </si>
  <si>
    <t>HTH0066-001</t>
  </si>
  <si>
    <t>Api Remittance Korea (IDR)</t>
  </si>
  <si>
    <t>Hit data menggunakan counterpart = GMEXKRS1XXX</t>
  </si>
  <si>
    <t>- counterPartId : GMEXKRS1XXX
- currency : IDR
- amount : 58028
- detailCharges : OUR</t>
  </si>
  <si>
    <t>SCH0066 Api Remittance Korea (IDR)_SD_Results.pdf</t>
  </si>
  <si>
    <t>SCH0067</t>
  </si>
  <si>
    <t>HTH0067-001</t>
  </si>
  <si>
    <t>Api Remittance Korea (USD &gt;=50rb)</t>
  </si>
  <si>
    <t>- counterPartId : GMEXKRS1XXX
- currency : USD
- amount : 58025
- detailCharges : OUR</t>
  </si>
  <si>
    <t>SCH0067 Api Remittance Korea (USD lebih dari sama dengan 50rb)_SD_Results.pdf</t>
  </si>
  <si>
    <t>SCH0068</t>
  </si>
  <si>
    <t>HTH0068-001</t>
  </si>
  <si>
    <t>API REMITTANCE Arab Saudi (IDR)</t>
  </si>
  <si>
    <t>Hit data menggunakan counterpart = RJHISARIXXX</t>
  </si>
  <si>
    <t>- counterPartId : RJHISARIXXX
- currency : IDR
- amount : 52000
- detailCharges : OUR</t>
  </si>
  <si>
    <t>SCH0068 API REMITTANCE Arab Saudi (IDR)_SD_Results.pdf</t>
  </si>
  <si>
    <t>SCH0069</t>
  </si>
  <si>
    <t>HTH0069-001</t>
  </si>
  <si>
    <t>API REMITTANCE Arab Saudi (USD =&gt;50rb)</t>
  </si>
  <si>
    <t>- counterPartId : RJHISARIXXX
- currency : USD
- amount : 52000
- detailCharges : OUR</t>
  </si>
  <si>
    <t>SCH0069 API REMITTANCE Arab Saudi (USD lebih dari sama dengan 50rb)_SD_Results.pdf</t>
  </si>
  <si>
    <t>SCH0070</t>
  </si>
  <si>
    <t>HTH0070-001</t>
  </si>
  <si>
    <t>Hit &gt;3x data dengan servicetype Interbank</t>
  </si>
  <si>
    <t>Hit processPO &gt;3x</t>
  </si>
  <si>
    <t>- serviceType : Interbank
- currency : IDR
- amount : 2501
- beneficiaryAccount : 123456
- beneficiaryName : YUDHA YUDHA</t>
  </si>
  <si>
    <t>Berhasil melakukan hit data</t>
  </si>
  <si>
    <t>SCH0070 Hit lebih dari 3x data dengan servicetype Interbank_SD_Results.pdf</t>
  </si>
  <si>
    <t>SCH0071</t>
  </si>
  <si>
    <t>HTH0071-001</t>
  </si>
  <si>
    <t>Trx dg Akun 17 digit (IDR)</t>
  </si>
  <si>
    <t>Hit TRX IDR</t>
  </si>
  <si>
    <t>Hit trx menggunakan beneficiary account 17 digit dengan ccy IDR</t>
  </si>
  <si>
    <t>- currency : IDR
- beneficiaryAccount : 0000000205300116 
- beneficiaryName : Sdr JULIO PASHA ARIGI</t>
  </si>
  <si>
    <t>Berhasil hit trx dengan status PAID</t>
  </si>
  <si>
    <t>SCH0071 Trx dg Akun 17 digit (IDR)_SD_Results.pdf</t>
  </si>
  <si>
    <t>SCH0072</t>
  </si>
  <si>
    <t>HTH0072-001</t>
  </si>
  <si>
    <t>Trx dg Akun 17 digit (USD &lt;50K)</t>
  </si>
  <si>
    <t>Hit TRX USD &lt; 50k</t>
  </si>
  <si>
    <t>Hit trx menggunakan beneficiary account 17 digit dengan ccy USD</t>
  </si>
  <si>
    <t>- currency : USD
- amount : 5000
- beneficiaryAccount : 0000000205300116 
- beneficiaryName : Sdr JULIO PASHA ARIGI</t>
  </si>
  <si>
    <t>SCH0072 Trx dg Akun 17 digit (USD kurang dari 50K)_SD_Results.pdf</t>
  </si>
  <si>
    <t>SCH0073</t>
  </si>
  <si>
    <t>HTH0073-001</t>
  </si>
  <si>
    <t>Trx dg Akun 17 digit (USD &gt; 50K)</t>
  </si>
  <si>
    <t>Hit TRX USD &gt; 50k</t>
  </si>
  <si>
    <t>- currency : USD
- amount : 51000
- beneficiaryAccount : 0000000205300116 
- beneficiaryName : Sdr JULIO PASHA ARIGI</t>
  </si>
  <si>
    <t>Berhasil hit trx dengan status Payable</t>
  </si>
  <si>
    <t>SCH0073 Trx dg Akun 17 digit (USD lebih dari 50K)_SD_Results.pdf</t>
  </si>
  <si>
    <t>SCH0074</t>
  </si>
  <si>
    <t>HTH0074-001</t>
  </si>
  <si>
    <t>EBAYIDK1XXX untuk Realtime</t>
  </si>
  <si>
    <t>Hit trx melalui SOAP UI dengan bic = EBAYIDK1XXX</t>
  </si>
  <si>
    <t>Hit trx untuk non-realtime dengan ccy = IDR dan detailcharges = OUR</t>
  </si>
  <si>
    <t>- counterPartId : EBAYIDK1XXX
- serviceType : BNI
- currency : IDR
- detailCharges : OUR</t>
  </si>
  <si>
    <t>Berhasil hit message dan terbentuk 16 digit RefBNI</t>
  </si>
  <si>
    <t>SCH0074 EBAYIDK1XXX untuk Realtime_SD_Results.pdf</t>
  </si>
  <si>
    <t>SCH0075</t>
  </si>
  <si>
    <t>HTH0075-001</t>
  </si>
  <si>
    <t>EBAYIDK1XXX untuk Kliring</t>
  </si>
  <si>
    <t>- counterPartId : EBAYIDK1XXX
- serviceType : CLR
- currency : IDR
- detailCharges : OUR</t>
  </si>
  <si>
    <t>SCH0075 EBAYIDK1XXX untuk Kliring_SD_Results.pdf</t>
  </si>
  <si>
    <t>SCH0076</t>
  </si>
  <si>
    <t>HTH0076-001</t>
  </si>
  <si>
    <t>EBAYIDK1XXX untuk RTGS</t>
  </si>
  <si>
    <t>- counterPartId : EBAYIDK1XXX
- serviceType : RTGS
- currency : IDR
- detailCharges : OUR</t>
  </si>
  <si>
    <t>SCH0076 EBAYIDK1XXX untuk RTGS_SD_Results.pdf</t>
  </si>
  <si>
    <t>SCH0077</t>
  </si>
  <si>
    <t>HTH0077-001</t>
  </si>
  <si>
    <t>EBAYIDK1XXX untuk BNI Cash</t>
  </si>
  <si>
    <t>SCH0077 EBAYIDK1XXX untuk BNI Cash_SD_Results.pdf</t>
  </si>
  <si>
    <t>SCH0078</t>
  </si>
  <si>
    <t>HTH0078-001</t>
  </si>
  <si>
    <t>BNINGB2LXXX untuk Non-Realtime</t>
  </si>
  <si>
    <t>- counterPartId : BNINGB2LXXX
- serviceType : BNI
- currency : IDR
- detailCharges : OUR</t>
  </si>
  <si>
    <t>SCH0078 BNINGB2LXXX untuk Non-Realtime_SD_Results.pdf</t>
  </si>
  <si>
    <t>SCH0079</t>
  </si>
  <si>
    <t>HTH0079-001</t>
  </si>
  <si>
    <t>Integrasi API Management SMJ Teratai Malaysia</t>
  </si>
  <si>
    <t>PO Info Inquiry</t>
  </si>
  <si>
    <t>Cek PO Info Inquiry pada SOAP UI</t>
  </si>
  <si>
    <t>refNumber : SMJBD100015
senderBIC : SMJTMYK1XXX</t>
  </si>
  <si>
    <t>PO Info Inquiry Successful</t>
  </si>
  <si>
    <t>SCH0079 Integrasi API Management SMJ Teratai Malaysia_SD_Results.pdf</t>
  </si>
  <si>
    <t>HTH0079-002</t>
  </si>
  <si>
    <t>Vostro Inquiry IDR</t>
  </si>
  <si>
    <t>Cek Vostro Inquiry pada SOAP UI</t>
  </si>
  <si>
    <t>counterPartId : SMJTMYK1XXX
ccy : IDR</t>
  </si>
  <si>
    <t>Got vostro account name, balance, currency etc</t>
  </si>
  <si>
    <t>HTH0079-003</t>
  </si>
  <si>
    <t>Vostro Inquiry USD</t>
  </si>
  <si>
    <t>counterPartId : SMJTMYK1XXX
ccy : USD</t>
  </si>
  <si>
    <t>HTH0079-004</t>
  </si>
  <si>
    <t>Normal – Inquiry Account</t>
  </si>
  <si>
    <t>refNumber : SMJCASH100024
senderBIC : SMJTMYK1XXX</t>
  </si>
  <si>
    <t>Got account name and account availability</t>
  </si>
  <si>
    <t>HTH0079-005</t>
  </si>
  <si>
    <t>Abnormal - Inquiry Account (Account not available)</t>
  </si>
  <si>
    <t>refNumber : SMJBD10001150
senderBIC : SMJTMYK1XXX</t>
  </si>
  <si>
    <t>Unable to got acccount name and account status not available</t>
  </si>
  <si>
    <t>HTH0079-006</t>
  </si>
  <si>
    <t>Normal - Bni Transfer with currency IDR</t>
  </si>
  <si>
    <t>refNumber : SMJBD100010
senderBIC : SMJTMYK1XXX</t>
  </si>
  <si>
    <t>Transfer to BNI Account IDR successfully accepted</t>
  </si>
  <si>
    <t>HTH0079-007</t>
  </si>
  <si>
    <t>Normal - Bni Transfer with currency USD</t>
  </si>
  <si>
    <t>refNumber : SMJBD100011
senderBIC : SMJTMYK1XXX</t>
  </si>
  <si>
    <t>Transfer to BNI Account USD successfully accepted</t>
  </si>
  <si>
    <t>HTH0079-008</t>
  </si>
  <si>
    <t>Normal - Bni Tunai (Cash)</t>
  </si>
  <si>
    <t>Transaction Incoming Cash Successfully accepted</t>
  </si>
  <si>
    <t>HTH0079-009</t>
  </si>
  <si>
    <t>Normal - Non Bni – Interbank Transfer</t>
  </si>
  <si>
    <t>refNumber : SMJBD100017
senderBIC : SMJTMYK1XXX</t>
  </si>
  <si>
    <t>Transaction Incoming Interbank successfully accepted</t>
  </si>
  <si>
    <t>HTH0079-010</t>
  </si>
  <si>
    <t>Normal - Non Bni – Clearing</t>
  </si>
  <si>
    <t>refNumber : SMJBD100018
senderBIC : SMJTMYK1XXX</t>
  </si>
  <si>
    <t>Transaction Incoming Clearing successfully accepted</t>
  </si>
  <si>
    <t>SCH0080</t>
  </si>
  <si>
    <t>HTH0080-001</t>
  </si>
  <si>
    <t>Transaksi Incoming Tunai (Cash) yang di PID</t>
  </si>
  <si>
    <t>Normal - PoInfoInquiry Cash</t>
  </si>
  <si>
    <t>ProcessPO
PoInfoInquiry</t>
  </si>
  <si>
    <t>beneficiaryAccount : 
beneficiaryName : Ibu KURNIA SARI DARMA SISWI</t>
  </si>
  <si>
    <t>PAID</t>
  </si>
  <si>
    <t>SCH0080 Transaksi Incoming Tunai (Cash) yang di PID_SD_Results.pdf</t>
  </si>
  <si>
    <t>SCH0081</t>
  </si>
  <si>
    <t>HTH0081-001</t>
  </si>
  <si>
    <t>Transaksi Incoming dengan kondisi Rekening Koresponden tidak terdaftar</t>
  </si>
  <si>
    <t>Abnormal – Rekening koresponden tidak terdaftar</t>
  </si>
  <si>
    <t>ProcessPO</t>
  </si>
  <si>
    <t>counterPartId : FINTIDK1XXX
currency : USD</t>
  </si>
  <si>
    <t>COVER ACCOUNT NOT FOUND</t>
  </si>
  <si>
    <t>SCH0081 Transaksi Incoming dengan kondisi Rekening Koresponden tidak terdaftar_SD_Results.pdf</t>
  </si>
  <si>
    <t>SCH0082</t>
  </si>
  <si>
    <t>HTH0082-001</t>
  </si>
  <si>
    <t>Transaksi dengan nomor referensi yang telah terdaftar</t>
  </si>
  <si>
    <t>Abnormal - Referensi sudah ada</t>
  </si>
  <si>
    <t>Hit ProcessPO ke 1 
ProcessPO ke 2 menggunakan referensi yang sudah ada
ProcessPO ke 3 menggunakan referensi yang sudah ada</t>
  </si>
  <si>
    <t>refNumber : UFT221019084713</t>
  </si>
  <si>
    <t>PAYMENT ORDER ALREADY EXIST
BE ADVISED MERCMYK1XXX. POSSIBLE DUPLICATE OF REF. UFT221019084713</t>
  </si>
  <si>
    <t>SCH0082 Transaksi dengan nomor referensi yang telah terdaftar_SD_Results.pdf</t>
  </si>
  <si>
    <t>SCH0083</t>
  </si>
  <si>
    <t>HTH0083-001</t>
  </si>
  <si>
    <t>Transaksi dengan rekening berbeda</t>
  </si>
  <si>
    <t>Abnormal - rekening berbeda</t>
  </si>
  <si>
    <t>beneficiaryAccount : 31741563</t>
  </si>
  <si>
    <t>NO SUCH ACCOUNT</t>
  </si>
  <si>
    <t>SCH0083 Transaksi dengan rekening berbeda_SD_Results.pdf</t>
  </si>
  <si>
    <t>SCH0084</t>
  </si>
  <si>
    <t>HTH0084-001</t>
  </si>
  <si>
    <t>Transaksi dengan Amount dengan koma (,)</t>
  </si>
  <si>
    <t>Abnormal – Amount dengan koma (,)</t>
  </si>
  <si>
    <t>amount : 250000,00</t>
  </si>
  <si>
    <t>Exception Description</t>
  </si>
  <si>
    <t>SCH0084 Transaksi dengan Amount dengan koma_SD_Results.pdf</t>
  </si>
  <si>
    <t>SCH0085</t>
  </si>
  <si>
    <t>HTH0085-001</t>
  </si>
  <si>
    <t>Transaksi dengan  pecahan decimal di bawah Rp. 50 sen</t>
  </si>
  <si>
    <t>Normal Transfer to BNI dengan pecahan decimal di bawah Rp. 50 sen</t>
  </si>
  <si>
    <t>Inquiry account
POProcess</t>
  </si>
  <si>
    <t>amount : 1000000.49</t>
  </si>
  <si>
    <t>SCH0085 Transaksi dengan  pecahan decimal di bawah Rp. 50 sen_SD_Results.pdf</t>
  </si>
  <si>
    <t>SCH0086</t>
  </si>
  <si>
    <t>HTH0086-001</t>
  </si>
  <si>
    <t>Transaksi dengan  pecahan decimal di atas Rp. 50 sen</t>
  </si>
  <si>
    <t>Normal Transfer to BNI dengan pecahan decimal di atas Rp. 50 sen</t>
  </si>
  <si>
    <t>amount : 1000000.51</t>
  </si>
  <si>
    <t>SCH0086 Transaksi dengan  pecahan decimal di atas Rp. 50 sen_SD_Results.pdf</t>
  </si>
  <si>
    <t>SCH0087</t>
  </si>
  <si>
    <t>HTH0087-001</t>
  </si>
  <si>
    <t>Transaksi dengan Amount dengan cents tidak bulat ccy USD</t>
  </si>
  <si>
    <t>Abnormal – Amount dengan cents tidak bulat ccy USD</t>
  </si>
  <si>
    <t>currency : USD
amount : 4.55</t>
  </si>
  <si>
    <t>SCH0087 Transaksi dengan Amount dengan cents tidak bulat ccy USD_SD_Results.pdf</t>
  </si>
  <si>
    <t>SCH0088</t>
  </si>
  <si>
    <t>HTH0088-001</t>
  </si>
  <si>
    <t>Transaksi dengan Amount lebih dari 1 Billlion</t>
  </si>
  <si>
    <t>Normal – Amount lebih dari 1 Billlion</t>
  </si>
  <si>
    <t>VostroInquiry
AccountInfoInquiry
ProcessPO</t>
  </si>
  <si>
    <t>amount : 1000000000.00</t>
  </si>
  <si>
    <t>PAYABLE</t>
  </si>
  <si>
    <t>SCH0088 Transaksi dengan Amount lebih dari 1 Billlion_SD_Results.pdf</t>
  </si>
  <si>
    <t>SCH0089</t>
  </si>
  <si>
    <t>HTH0089-001</t>
  </si>
  <si>
    <t>Transaksi dengan  Beneficiary name panjang</t>
  </si>
  <si>
    <t>Abnormal – Beneficiary name panjang</t>
  </si>
  <si>
    <t>InquiryAccount
ProcessPo
POInfoInquiry</t>
  </si>
  <si>
    <t>accountNumber : 315906847
accountName : Sdri DENADA ISMA ELVANDARI SARI PUTRA DEWI</t>
  </si>
  <si>
    <t>PAID. Length BEN NAME 60 char</t>
  </si>
  <si>
    <t>SCH0089 Transaksi dengan  Beneficiary name panjang_SD_Results.pdf</t>
  </si>
  <si>
    <t>SCH0090</t>
  </si>
  <si>
    <t>HTH0090-001</t>
  </si>
  <si>
    <t>Transaksi dengan beneficiary nama special character</t>
  </si>
  <si>
    <t>Normal – Special Character</t>
  </si>
  <si>
    <t>accountNumber : 315757850
accountName : Sdr WAFI &amp;amp; ASLAM</t>
  </si>
  <si>
    <t xml:space="preserve">PAID
Tidak membaca special character.
</t>
  </si>
  <si>
    <t>SCH0090 Transaksi dengan beneficiary nama special character_SD_Results.pdf</t>
  </si>
  <si>
    <t>SCH0091</t>
  </si>
  <si>
    <t>HTH0091-001</t>
  </si>
  <si>
    <t>Transaksi dengan beneficiary name salutasi ibu dihilangkan</t>
  </si>
  <si>
    <t>Normal – Salutasi Ibu</t>
  </si>
  <si>
    <t>accountNumber : 315585765
accountName : KURNIA SARI DARMA SISWI</t>
  </si>
  <si>
    <t xml:space="preserve">PAID
Hanya membaca Nama nasabah di icons, tidak membaca title
</t>
  </si>
  <si>
    <t>SCH0091 Transaksi dengan beneficiary name salutasi ibu dihilangkan_SD_Results.pdf</t>
  </si>
  <si>
    <t>SCH0092</t>
  </si>
  <si>
    <t>HTH0092-001</t>
  </si>
  <si>
    <t>Transaksi dengan beneficiary name salutasi saudari (sdri) dihilangkan</t>
  </si>
  <si>
    <t>Normal – Salutasi Saudari</t>
  </si>
  <si>
    <t>accountNumber : 315906847
accountName : DENADA ISMA ELVANDARI SARI PUTRA DEWI</t>
  </si>
  <si>
    <t>SCH0092 Transaksi dengan beneficiary name salutasi saudari (sdri) dihilangkan_SD_Results.pdf</t>
  </si>
  <si>
    <t>SCH0093</t>
  </si>
  <si>
    <t>HTH0093-001</t>
  </si>
  <si>
    <t>Transaksi dengan  acctWithInstcode tidak sesuai, selain A &amp; D</t>
  </si>
  <si>
    <t>Abnormal -  acctWithInstcode tidak sesuai, selain A &amp; D</t>
  </si>
  <si>
    <t>processPO</t>
  </si>
  <si>
    <t>acctWithInstcode : S</t>
  </si>
  <si>
    <t>ACCOUNT WITH INSTITUTION CODE SHOULD BE FILLED BY 'A' OR 'D'</t>
  </si>
  <si>
    <t>SCH0093 Transaksi dengan  acctWithInstcode tidak sesuai selain A dan D_SD_Results.pdf</t>
  </si>
  <si>
    <t>SCH0094</t>
  </si>
  <si>
    <t>HTH0094-001</t>
  </si>
  <si>
    <t>Transaksi dengan acctWithInstName tidak sesuai</t>
  </si>
  <si>
    <t>Abnormal – acctWithInstName tidak sesuai</t>
  </si>
  <si>
    <t>acctWithInstName : BNINIDJAXXXS</t>
  </si>
  <si>
    <t>UNQUALIFIED PO</t>
  </si>
  <si>
    <t>SCH0094 Transaksi dengan acctWithInstName tidak sesuai_SD_Results.pdf</t>
  </si>
  <si>
    <t>SCH0095</t>
  </si>
  <si>
    <t>HTH0095-001</t>
  </si>
  <si>
    <t>Transaksi dengan Charges tidak ada</t>
  </si>
  <si>
    <t>Abnormal – Charges tidak ada</t>
  </si>
  <si>
    <t>detailCharges : ABC</t>
  </si>
  <si>
    <t>DETAIL CHARGES SHOULD BE FILLED BY 'SHA', 'BEN' OR 'OUR'</t>
  </si>
  <si>
    <t>SCH0095 Transaksi dengan Charges tidak ada_SD_Results.pdf</t>
  </si>
  <si>
    <t>SCH0096</t>
  </si>
  <si>
    <t>HTH0096-001</t>
  </si>
  <si>
    <t>Transaksi dengan Mandatory field tidak diisi</t>
  </si>
  <si>
    <t>Abnormal – counterPartId tidak diisi</t>
  </si>
  <si>
    <t>EJB Exception:</t>
  </si>
  <si>
    <t>SCH0096 Transaksi dengan Mandatory field tidak diisi_SD_Results.pdf</t>
  </si>
  <si>
    <t>HTH0096-002</t>
  </si>
  <si>
    <t>Abnormal – refNumber tidak diisi</t>
  </si>
  <si>
    <t>HTH0096-003</t>
  </si>
  <si>
    <t>Abnormal – trxDate tidak diisi</t>
  </si>
  <si>
    <t>HTH0096-004</t>
  </si>
  <si>
    <t>Abnormal – currency tidak diisi</t>
  </si>
  <si>
    <t>HTH0096-005</t>
  </si>
  <si>
    <t>Abnormal – amount tidak diisi</t>
  </si>
  <si>
    <t>HTH0096-006</t>
  </si>
  <si>
    <t>Abnormal – orderingName tidak diisi</t>
  </si>
  <si>
    <t>MANDATORY FIELD(S) EMPTY</t>
  </si>
  <si>
    <t>HTH0096-007</t>
  </si>
  <si>
    <t>Abnormal – beneficiaryName tidak diisi</t>
  </si>
  <si>
    <t>HTH0096-008</t>
  </si>
  <si>
    <t>Abnormal – acctWithInstcode tidak diisi</t>
  </si>
  <si>
    <t>HTH0096-009</t>
  </si>
  <si>
    <t>Abnormal – acctWithInstName tidak diisi</t>
  </si>
  <si>
    <t>FIELD Account With Institution Name IS MANDATORY</t>
  </si>
  <si>
    <t>HTH0096-010</t>
  </si>
  <si>
    <t>Abnormal – detailCharges tidak diisi</t>
  </si>
  <si>
    <t>SCH0097</t>
  </si>
  <si>
    <t>HTH0097-001</t>
  </si>
  <si>
    <t>Transaksi dengan  Rekening nasabah salah</t>
  </si>
  <si>
    <t>Abnormal – Rekening nasabah salah</t>
  </si>
  <si>
    <t>beneficiaryAccount : 315585767</t>
  </si>
  <si>
    <t>SCH0097 Transaksi dengan  Rekening nasabah salah_SD_Results.pdf</t>
  </si>
  <si>
    <t>SCH0098</t>
  </si>
  <si>
    <t>HTH0098-001</t>
  </si>
  <si>
    <t>Transaksi Virtual Account</t>
  </si>
  <si>
    <t>Normal – Transaksi Virtual Account</t>
  </si>
  <si>
    <t>InquiryAccount
ProcessPO</t>
  </si>
  <si>
    <t>accountNumber : 9880002500000001</t>
  </si>
  <si>
    <t>SCH0098 Transaksi Virtual Account_SD_Results.pdf</t>
  </si>
  <si>
    <t>SCH0099</t>
  </si>
  <si>
    <t>HTH0099-001</t>
  </si>
  <si>
    <t>Transaksi dengan currency tidak ditemukan</t>
  </si>
  <si>
    <t>Abnormal – Currency tidak ditemukan</t>
  </si>
  <si>
    <t>counterPartId : SOLARNETXXX</t>
  </si>
  <si>
    <t>CORRESPONDENT ACCOUNT FOR SOLARNETXXX currency IDR NOT FOUND</t>
  </si>
  <si>
    <t>SCH0099 Transaksi dengan currency tidak ditemukan_SD_Results.pdf</t>
  </si>
  <si>
    <t>SCH0100</t>
  </si>
  <si>
    <t>HTH0100-001</t>
  </si>
  <si>
    <t>Pengembangan H2H Remittance untuk koresponden KLEX</t>
  </si>
  <si>
    <t>Normal – BNI Transfer IDR</t>
  </si>
  <si>
    <t>accountInfoInquiry
processPO
poInfoInquiry
vostroInquiry</t>
  </si>
  <si>
    <t>counterPartId: KLEXMYK1XXX</t>
  </si>
  <si>
    <t>SCH0100 Pengembangan H2H Remittance untuk koresponden KLEX_SD_Results.pdf</t>
  </si>
  <si>
    <t>HTH0100-002</t>
  </si>
  <si>
    <t>Normal – BNI Transfer USD</t>
  </si>
  <si>
    <t>HTH0100-003</t>
  </si>
  <si>
    <t>Normal – BNI Tunai/ Cash</t>
  </si>
  <si>
    <t>processPO
poInfoInquiry</t>
  </si>
  <si>
    <t>HTH0100-004</t>
  </si>
  <si>
    <t>Normal – Non BNI Transfer Interbank</t>
  </si>
  <si>
    <t>HTH0100-005</t>
  </si>
  <si>
    <t>Abnormal – Timeout (Interbank)</t>
  </si>
  <si>
    <t>accountInfoInquiry</t>
  </si>
  <si>
    <t>HTH0100-006</t>
  </si>
  <si>
    <t>Abnormal – Referensi sudah ada (dari Refnum, counterpartid, amount)</t>
  </si>
  <si>
    <t>HTH0100-007</t>
  </si>
  <si>
    <t>Abnormal – Rekening Nasabah hold/ blokir</t>
  </si>
  <si>
    <t>accountInfoInquiry
processPO
poInfoInquiry</t>
  </si>
  <si>
    <t>HTH0100-008</t>
  </si>
  <si>
    <t>Abnormal – Rekening Nasabah tutup/ stop</t>
  </si>
  <si>
    <t>HTH0100-009</t>
  </si>
  <si>
    <t>vostroInquiry</t>
  </si>
  <si>
    <t>HTH0100-010</t>
  </si>
  <si>
    <t>Abnormal - Currency tidak ada di parameter ibumpdep</t>
  </si>
  <si>
    <t>HTH0100-011</t>
  </si>
  <si>
    <t>Abnormal – Saldo rekening koresponden tidak mencukupi</t>
  </si>
  <si>
    <t>vostroInquiry
processPO
poInfoInquiry</t>
  </si>
  <si>
    <t>HTH0100-012</t>
  </si>
  <si>
    <t>Abnormal – Rekening koresponden Hold/ blokir</t>
  </si>
  <si>
    <t>vostroInquiry
processPO</t>
  </si>
  <si>
    <t>HTH0100-013</t>
  </si>
  <si>
    <t>Abnormal – Rekening koresponden Stop</t>
  </si>
  <si>
    <t>HTH0100-014</t>
  </si>
  <si>
    <t>Abnormal – Transaksi interbank lebih dari 20 juta</t>
  </si>
  <si>
    <t>HTH0100-015</t>
  </si>
  <si>
    <t>Abnormal – Kode bank tidak terdaftar</t>
  </si>
  <si>
    <t>SCH0101</t>
  </si>
  <si>
    <t>HTH0101-001</t>
  </si>
  <si>
    <t>Pengembangan H2H Remittance untuk koresponden EZMONEY</t>
  </si>
  <si>
    <t>counterPartId: EZMEMYK1XXX</t>
  </si>
  <si>
    <t>SCH0101 Pengembangan H2H Remittance untuk koresponden EZMONEY_SD_Results.pdf</t>
  </si>
  <si>
    <t>HTH0101-002</t>
  </si>
  <si>
    <t>vostroInquiry
accountInfoInquiry
processPO</t>
  </si>
  <si>
    <t>HTH0101-003</t>
  </si>
  <si>
    <t>HTH0101-004</t>
  </si>
  <si>
    <t>Normal – Non BNI Transfer Interbank Bersama</t>
  </si>
  <si>
    <t>HTH0101-005</t>
  </si>
  <si>
    <t>Normal – Non BNI Clearing</t>
  </si>
  <si>
    <t>HTH0101-006</t>
  </si>
  <si>
    <t>Normal – Non BNI RTGS</t>
  </si>
  <si>
    <t>HTH0101-007</t>
  </si>
  <si>
    <t>HTH0101-008</t>
  </si>
  <si>
    <t>Abnormal – Referensi sudah ada (dari BIC, counterpartid, amount)</t>
  </si>
  <si>
    <t>HTH0101-009</t>
  </si>
  <si>
    <t>Abnormal – Rekening Nasabah tutup</t>
  </si>
  <si>
    <t>HTH0101-010</t>
  </si>
  <si>
    <t>Abnormal – Rekening Nasabah tidak ada di ICONS</t>
  </si>
  <si>
    <t>accountInfoInquiry
processPO</t>
  </si>
  <si>
    <t>HTH0101-011</t>
  </si>
  <si>
    <t>HTH0101-012</t>
  </si>
  <si>
    <t>processPO
vostroInquiry</t>
  </si>
  <si>
    <t>HTH0101-013</t>
  </si>
  <si>
    <t>HTH0101-014</t>
  </si>
  <si>
    <t>HTH0101-015</t>
  </si>
  <si>
    <t>Abnormal – Saldo rekening koresponden tidak cukup</t>
  </si>
  <si>
    <t>HTH0101-016</t>
  </si>
  <si>
    <t>HTH0101-017</t>
  </si>
  <si>
    <t>HTH0101-018</t>
  </si>
  <si>
    <t xml:space="preserve">Abnormal - Tanggal transaksi &gt; sekarang </t>
  </si>
  <si>
    <t>SCH0102</t>
  </si>
  <si>
    <t>HTH0102-001</t>
  </si>
  <si>
    <t>Pengembangan H2H Remittance untuk koresponden TML</t>
  </si>
  <si>
    <t>counterPartId: TMLRMYK1XXX</t>
  </si>
  <si>
    <t>SCH0102 Pengembangan H2H Remittance untuk koresponden TML_SD_Results.pdf</t>
  </si>
  <si>
    <t>HTH0102-002</t>
  </si>
  <si>
    <t>HTH0102-003</t>
  </si>
  <si>
    <t>HTH0102-004</t>
  </si>
  <si>
    <t>Normal – Non BNI Transfer Interbank (Link)</t>
  </si>
  <si>
    <t>HTH0102-005</t>
  </si>
  <si>
    <t>HTH0102-006</t>
  </si>
  <si>
    <t>HTH0102-007</t>
  </si>
  <si>
    <t>HTH0102-008</t>
  </si>
  <si>
    <t>HTH0102-009</t>
  </si>
  <si>
    <t>HTH0102-010</t>
  </si>
  <si>
    <t>HTH0102-011</t>
  </si>
  <si>
    <t>HTH0102-012</t>
  </si>
  <si>
    <t>HTH0102-013</t>
  </si>
  <si>
    <t>HTH0102-014</t>
  </si>
  <si>
    <t>HTH0102-015</t>
  </si>
  <si>
    <t>SCH0103</t>
  </si>
  <si>
    <t>HTH0103-001</t>
  </si>
  <si>
    <t>Pengembangan H2H Remittance untuk koresponden BFC</t>
  </si>
  <si>
    <t>Normal - Bni Transfer</t>
  </si>
  <si>
    <t>counterPartId: BFCCBHBMXXX</t>
  </si>
  <si>
    <t>SCH0103 Pengembangan H2H Remittance untuk koresponden BFC_SD_Results.pdf</t>
  </si>
  <si>
    <t>HTH0103-002</t>
  </si>
  <si>
    <t>HTH0103-003</t>
  </si>
  <si>
    <t>Normal - Non Bni – Transfer Interbank</t>
  </si>
  <si>
    <t>HTH0103-004</t>
  </si>
  <si>
    <t>Normal - Non Bni – Kliring</t>
  </si>
  <si>
    <t>HTH0103-005</t>
  </si>
  <si>
    <t>Normal - Non Bni RTGS</t>
  </si>
  <si>
    <t>HTH0103-006</t>
  </si>
  <si>
    <t>Abnormal – Rekening Nasabah Tutup</t>
  </si>
  <si>
    <t>HTH0103-007</t>
  </si>
  <si>
    <t>Abnormal – Kode Bank tidak terdaftar</t>
  </si>
  <si>
    <t>HTH0103-008</t>
  </si>
  <si>
    <t>Abnormal – Saldo tidak cukup</t>
  </si>
  <si>
    <t>HTH0103-009</t>
  </si>
  <si>
    <t>Abnormal – Transaksi Interbank lebih dari 20 juta</t>
  </si>
  <si>
    <t>accountInfoInquiry
processPO
vostroInquiry</t>
  </si>
  <si>
    <t>HTH0103-010</t>
  </si>
  <si>
    <t>Abnormal – Rekening Blokir</t>
  </si>
  <si>
    <t>HTH0103-011</t>
  </si>
  <si>
    <t>accountInfoInquiry
accountInfoInquiry</t>
  </si>
  <si>
    <t>HTH0103-012</t>
  </si>
  <si>
    <t>Abnormal – Rekening Koresponden Blokir</t>
  </si>
  <si>
    <t>HTH0103-013</t>
  </si>
  <si>
    <t>Abnormal – Rekening Koresponden Stop</t>
  </si>
  <si>
    <t>accountInfoInquiry
processPO
vostroInquiry
poInfoInquiry</t>
  </si>
  <si>
    <t>SCH0104</t>
  </si>
  <si>
    <t>HTH0104-001</t>
  </si>
  <si>
    <t>Pengembangan H2H Remittance untuk koresponden UAE Exchange</t>
  </si>
  <si>
    <t>Normal - Bni Transfer IDR</t>
  </si>
  <si>
    <t>counterPartId: UAEXAEAAXXX</t>
  </si>
  <si>
    <t>SCH0104 Pengembangan H2H Remittance untuk koresponden UAE Exchange_SD_Results.pdf</t>
  </si>
  <si>
    <t>HTH0104-002</t>
  </si>
  <si>
    <t>Normal - Bni Transfer USD</t>
  </si>
  <si>
    <t>HTH0104-003</t>
  </si>
  <si>
    <t>Normal - Bni Tunai (Cash) IDR</t>
  </si>
  <si>
    <t>HTH0104-004</t>
  </si>
  <si>
    <t>Normal - Bni Tunai (Cash) USD</t>
  </si>
  <si>
    <t>HTH0104-005</t>
  </si>
  <si>
    <t>HTH0104-006</t>
  </si>
  <si>
    <t>HTH0104-007</t>
  </si>
  <si>
    <t>HTH0104-008</t>
  </si>
  <si>
    <t>HTH0104-009</t>
  </si>
  <si>
    <t>HTH0104-010</t>
  </si>
  <si>
    <t>HTH0104-011</t>
  </si>
  <si>
    <t>HTH0104-012</t>
  </si>
  <si>
    <t>HTH0104-013</t>
  </si>
  <si>
    <t>HTH0104-014</t>
  </si>
  <si>
    <t>SCH0105</t>
  </si>
  <si>
    <t>HTH0105-001</t>
  </si>
  <si>
    <t>Pengembangan H2H Remittance untuk koresponden Al Ansari</t>
  </si>
  <si>
    <t>counterPartId: ALANAEA1XXX</t>
  </si>
  <si>
    <t>SCH0105 Pengembangan H2H Remittance untuk koresponden Al Ansari_SD_Results.pdf</t>
  </si>
  <si>
    <t>HTH0105-002</t>
  </si>
  <si>
    <t>HTH0105-003</t>
  </si>
  <si>
    <t>processPO
poInfoInquiry
vostroInquiry</t>
  </si>
  <si>
    <t>HTH0105-004</t>
  </si>
  <si>
    <t>HTH0105-005</t>
  </si>
  <si>
    <t>HTH0105-006</t>
  </si>
  <si>
    <t>HTH0105-007</t>
  </si>
  <si>
    <t>HTH0105-008</t>
  </si>
  <si>
    <t>HTH0105-009</t>
  </si>
  <si>
    <t>HTH0105-010</t>
  </si>
  <si>
    <t>HTH0105-011</t>
  </si>
  <si>
    <t>HTH0105-012</t>
  </si>
  <si>
    <t>HTH0105-013</t>
  </si>
  <si>
    <t>HTH0105-014</t>
  </si>
  <si>
    <t>HTH0105-015</t>
  </si>
  <si>
    <t>HTH0105-016</t>
  </si>
  <si>
    <t>HTH0105-017</t>
  </si>
  <si>
    <t>SCH0106</t>
  </si>
  <si>
    <t>HTH0106-001</t>
  </si>
  <si>
    <t>Pengembangan H2H Remittance untuk koresponden Golden KL</t>
  </si>
  <si>
    <t>counterPartId: GKLUMYK1XXX</t>
  </si>
  <si>
    <t>SCH0106 Pengembangan H2H Remittance untuk koresponden Golden KL_SD_Results.pdf</t>
  </si>
  <si>
    <t>HTH0106-002</t>
  </si>
  <si>
    <t>Normal – Bni Transfer with Decimal Amount</t>
  </si>
  <si>
    <t>HTH0106-003</t>
  </si>
  <si>
    <t>HTH0106-004</t>
  </si>
  <si>
    <t>HTH0106-005</t>
  </si>
  <si>
    <t>HTH0106-006</t>
  </si>
  <si>
    <t>Normal - Non Bni - RTGS</t>
  </si>
  <si>
    <t>HTH0106-007</t>
  </si>
  <si>
    <t>Abnormal – Benef Account has closed</t>
  </si>
  <si>
    <t>HTH0106-008</t>
  </si>
  <si>
    <t>Abnormal – Bank Code not registered</t>
  </si>
  <si>
    <t>HTH0106-009</t>
  </si>
  <si>
    <t>Abnormal – Interbank Transaction &gt; IDR 20 Million</t>
  </si>
  <si>
    <t>HTH0106-010</t>
  </si>
  <si>
    <t>Abnormal – Balance not enough</t>
  </si>
  <si>
    <t>accountInfoInquiry
vostroInquiry
processPO</t>
  </si>
  <si>
    <t>HTH0106-011</t>
  </si>
  <si>
    <t>Abnormal – Benef Account Blocked</t>
  </si>
  <si>
    <t>HTH0106-012</t>
  </si>
  <si>
    <t>HTH0106-013</t>
  </si>
  <si>
    <t>Abnormal – Correspondent Account Stop or Close</t>
  </si>
  <si>
    <t>SCH0107</t>
  </si>
  <si>
    <t>HTH0107-001</t>
  </si>
  <si>
    <t>Pengembangan H2H Remittance Untuk Koresponden Finnet</t>
  </si>
  <si>
    <t>counterPartId: FINTIDK1XXX</t>
  </si>
  <si>
    <t>SCH0107 Pengembangan H2H Remittance Untuk Koresponden Finnet_SD_Results.pdf</t>
  </si>
  <si>
    <t>HTH0107-002</t>
  </si>
  <si>
    <t>HTH0107-003</t>
  </si>
  <si>
    <t>HTH0107-004</t>
  </si>
  <si>
    <t>HTH0107-005</t>
  </si>
  <si>
    <t>HTH0107-006</t>
  </si>
  <si>
    <t>HTH0107-007</t>
  </si>
  <si>
    <t>HTH0107-008</t>
  </si>
  <si>
    <t>HTH0107-009</t>
  </si>
  <si>
    <t>HTH0107-010</t>
  </si>
  <si>
    <t>HTH0107-011</t>
  </si>
  <si>
    <t>HTH0107-012</t>
  </si>
  <si>
    <t>HTH0107-013</t>
  </si>
  <si>
    <t>SCH0108</t>
  </si>
  <si>
    <t>HTH0108-001</t>
  </si>
  <si>
    <t>Pengembangan H2H Remittance Untuk Koresponden Ebay Indonesia</t>
  </si>
  <si>
    <t>counterPartId: EBAYIDK1XXX</t>
  </si>
  <si>
    <t>SCH0108 Pengembangan H2H Remittance Untuk Koresponden Ebay Indonesia_SD_Results.pdf</t>
  </si>
  <si>
    <t>HTH0108-002</t>
  </si>
  <si>
    <t>HTH0108-003</t>
  </si>
  <si>
    <t>HTH0108-004</t>
  </si>
  <si>
    <t>HTH0108-005</t>
  </si>
  <si>
    <t>HTH0108-006</t>
  </si>
  <si>
    <t>HTH0108-007</t>
  </si>
  <si>
    <t>HTH0108-008</t>
  </si>
  <si>
    <t>HTH0108-009</t>
  </si>
  <si>
    <t>HTH0108-010</t>
  </si>
  <si>
    <t>HTH0108-011</t>
  </si>
  <si>
    <t>HTH0108-012</t>
  </si>
  <si>
    <t>HTH0108-013</t>
  </si>
  <si>
    <t>SCH0109</t>
  </si>
  <si>
    <t>HTH0109-001</t>
  </si>
  <si>
    <t xml:space="preserve">Pengembangan H2H Remittance untuk koresponden IMEI        </t>
  </si>
  <si>
    <t>counterPartId: IMERMYK1XXX</t>
  </si>
  <si>
    <t>SCH0109 Pengembangan H2H Remittance untuk koresponden IMEI_SD_Results.pdf</t>
  </si>
  <si>
    <t>HTH0109-002</t>
  </si>
  <si>
    <t>HTH0109-003</t>
  </si>
  <si>
    <t>HTH0109-004</t>
  </si>
  <si>
    <t>HTH0109-005</t>
  </si>
  <si>
    <t>HTH0109-006</t>
  </si>
  <si>
    <t>HTH0109-007</t>
  </si>
  <si>
    <t>HTH0109-008</t>
  </si>
  <si>
    <t>HTH0109-009</t>
  </si>
  <si>
    <t>HTH0109-010</t>
  </si>
  <si>
    <t>HTH0109-011</t>
  </si>
  <si>
    <t>HTH0109-012</t>
  </si>
  <si>
    <t>HTH0109-013</t>
  </si>
  <si>
    <t>Pass Date 2022</t>
  </si>
  <si>
    <t>Aug-W5</t>
  </si>
  <si>
    <t>Sep-W5</t>
  </si>
  <si>
    <t>Pass Date 2023</t>
  </si>
  <si>
    <t>Screen Xpora</t>
  </si>
  <si>
    <t>SCXP0001</t>
  </si>
  <si>
    <t>XPO0001-001</t>
  </si>
  <si>
    <t>Register as Buyer</t>
  </si>
  <si>
    <t>Register pada halaman register lalu pilih Gabung sebagai pemasok</t>
  </si>
  <si>
    <t>Masuk kehalaman registrasi
- Checklis Domestic &amp; International Product</t>
  </si>
  <si>
    <t>QAS UAT Document CR 31852,31854,31855,31856,31857,31858 Xpora-Profiling UMKM  full approved.pdf</t>
  </si>
  <si>
    <t>Berhasil register sebagai pemasok</t>
  </si>
  <si>
    <t>TAKE OUT</t>
  </si>
  <si>
    <t>fitur sudah dihilangkan dan tampilan sudah berubah di url terbaru</t>
  </si>
  <si>
    <t>XPO0001-002</t>
  </si>
  <si>
    <t>Verifikasi akun</t>
  </si>
  <si>
    <t>Verify di email</t>
  </si>
  <si>
    <t>Berhasil verifikasi akun</t>
  </si>
  <si>
    <t>XPO0001-003</t>
  </si>
  <si>
    <t>Login kembali dengan input no token</t>
  </si>
  <si>
    <t>Login kembali &gt; Masukkan OTP</t>
  </si>
  <si>
    <t>Berhasil login</t>
  </si>
  <si>
    <t>XPO0001-004</t>
  </si>
  <si>
    <t>Masuk ke halaman profile</t>
  </si>
  <si>
    <t>Lihat profile &gt; Informasi Pribadi</t>
  </si>
  <si>
    <t>Berhasil masuk halaman profil</t>
  </si>
  <si>
    <t>XPO0001-005</t>
  </si>
  <si>
    <t>Edit data diri</t>
  </si>
  <si>
    <t>Perbaharui data diri</t>
  </si>
  <si>
    <t>Berhasil edit data diri</t>
  </si>
  <si>
    <t>XPO0001-006</t>
  </si>
  <si>
    <t>Edit data perusahaan (Prefereable business as Buyer)</t>
  </si>
  <si>
    <t>Data perusahaan 
- Muncul error message jika email diinput bukan format email
- Edit data usaha (Prefereable business as Buyer)
- Data berhasil diedit</t>
  </si>
  <si>
    <t>Berhasil edit data perusahaan dengan catatan email diinput dengan format email (Prefereable business as Buyer)</t>
  </si>
  <si>
    <t>SCXP0002</t>
  </si>
  <si>
    <t>XPO0002-001</t>
  </si>
  <si>
    <t>Register as Suplier</t>
  </si>
  <si>
    <t>Register pada halaman register lalu pilih Gabung sebagai Suplier (isi 2 check box)</t>
  </si>
  <si>
    <t>Masuk kehalaman registrasi
- Checklis 2 checkbox</t>
  </si>
  <si>
    <t>Berhasil register sebagai supplier</t>
  </si>
  <si>
    <t>XPO0002-002</t>
  </si>
  <si>
    <t>XPO0002-003</t>
  </si>
  <si>
    <t>Login kembali &gt; Lihat profile</t>
  </si>
  <si>
    <t>XPO0002-004</t>
  </si>
  <si>
    <t>XPO0002-005</t>
  </si>
  <si>
    <t>XPO0002-006</t>
  </si>
  <si>
    <t>Edit data perusahaan (Prefereable business as Direct Eksportir)</t>
  </si>
  <si>
    <t>Data perusahaan 
- Ada error message jika alamat email tidak ditulis dengan format email
- Perbahuri data
- Data berhasil diupdate</t>
  </si>
  <si>
    <t>Berhasil edit data perusahaan dengan catatan email diinput dengan format email (Prefereable business as Direct Eksportir)</t>
  </si>
  <si>
    <t>SCXP0003</t>
  </si>
  <si>
    <t>XPO0003-001</t>
  </si>
  <si>
    <t>Register pada halaman register lalu pilih Gabung sebagai Supplier (ceklis 1 checkbox)</t>
  </si>
  <si>
    <t>Masuk kehalaman registrasi
- Checklis 1 checkbox</t>
  </si>
  <si>
    <t>Berhasil register sebagai Suplier</t>
  </si>
  <si>
    <t>XPO0003-002</t>
  </si>
  <si>
    <t>XPO0003-003</t>
  </si>
  <si>
    <t>XPO0003-004</t>
  </si>
  <si>
    <t>XPO0003-005</t>
  </si>
  <si>
    <t>XPO0003-006</t>
  </si>
  <si>
    <t>Edit data perusahaan (Prefereable business as Indirect Eksportir)</t>
  </si>
  <si>
    <t>Berhasil edit data perusahaan dengan catatan email diinput dengan format email (Prefereable business as Indirect Eksportir)</t>
  </si>
  <si>
    <t>SCXP0004</t>
  </si>
  <si>
    <t>XPO0004-001</t>
  </si>
  <si>
    <t>Login “Google Account”</t>
  </si>
  <si>
    <t>1. Masuk ke website Xpora dengan Portal Client dan klik masuk
2. Insert email dan password lalu klik selanjutnya</t>
  </si>
  <si>
    <t>QAS Testing Strategy Execution Xpora Iterasi 1 &amp; 2.pdf</t>
  </si>
  <si>
    <t>Berhasil login Xpora dengan menggunakan Google Account</t>
  </si>
  <si>
    <t>SCXP0004 - Login_20220922-094823134.pdf</t>
  </si>
  <si>
    <t>SCXP0005</t>
  </si>
  <si>
    <t>XPO0005-001</t>
  </si>
  <si>
    <t>Enchance Profile Management</t>
  </si>
  <si>
    <t>1. Login di website Xpora dengan menggunakan Portal Client lalu Klik Lihat Profile
2. Pilih Informasi Personal dan klik Ubah Informasi
3. Pilih data yang akan di ubah dan simpan</t>
  </si>
  <si>
    <t>Berhasil melakukan update data diri dan data usaha secara mandiri</t>
  </si>
  <si>
    <t>SCXP0005 - Enchance Profile_20220922-104101235.pdf</t>
  </si>
  <si>
    <t>SCXP0006</t>
  </si>
  <si>
    <t>XPO0006-001</t>
  </si>
  <si>
    <t>Verifikasi Email User</t>
  </si>
  <si>
    <t>1. Login di website Xpora dengan menggunakan Portal Client dan Lihat Profile
2. Pilih Informasi Personal dan klik Verifikasi Akun
3. Buka Aplikasi Email
4. Klik Verifikasi Alamat Email</t>
  </si>
  <si>
    <t>Email verifikasi akun Xpora terkirim ke email user dan user berhasil memverifikasi</t>
  </si>
  <si>
    <t>SCXP0006 - Verifikasi Email_20221025-083430610.pdf</t>
  </si>
  <si>
    <t>SCXP0007</t>
  </si>
  <si>
    <t>XPO0007-001</t>
  </si>
  <si>
    <t>Enhance UI Inspirasi</t>
  </si>
  <si>
    <t>1. Masuk ke website Xpora dengan menggunakan Portal Client pilih Menu Inspirasi</t>
  </si>
  <si>
    <t>Halaman UI Inspirasi sudah sesuai</t>
  </si>
  <si>
    <t>SCXP0007 - Enhance UI Inspirasi_20220923-091623478.pdf</t>
  </si>
  <si>
    <t>SCXP0008</t>
  </si>
  <si>
    <t>XPO0008-001</t>
  </si>
  <si>
    <t>Function Filter &amp; Search</t>
  </si>
  <si>
    <t>1. Masuk ke website Xpora dengan menggunakan Portal Client
2. Pilih Menu Ekspansi Bisnis
3. Pilih Domestik dan Internasional
4. Pilih Jenis Pasar, Jenis Produk, Produk tujuan dan Insert kata kunci di Cari Produk
5. Pilih Cari Pemasok
6. Pilih Jenis Produk, Produk tujuan dan Insert kata kunci di Cari Produk
7. Pilih Menu Inspirasi
8. Pilih Kategori atau insert kata kunci untuk mencari</t>
  </si>
  <si>
    <t>Fungsi filter dan search berjalan untuk setiap jenis kategori yang dipilih</t>
  </si>
  <si>
    <t>SXCP0008 - Filter &amp; Search_20220923-092904840.pdf</t>
  </si>
  <si>
    <t>SCXP0009</t>
  </si>
  <si>
    <t>XPO0009-001</t>
  </si>
  <si>
    <t>Rating Review</t>
  </si>
  <si>
    <t>1. Masuk ke website Xpora dengan menggunakan Portal Client dan Pilih menu Inspirasi
2. Pilih Pelatihan Bisnis &amp; Event
3. Pilih Video Inspirasi</t>
  </si>
  <si>
    <t>Dapat memberikan rating dan review terhadap pembelajaran di Xpora</t>
  </si>
  <si>
    <t>SCXP0009 - Rating Review_20220926-092714181.pdf</t>
  </si>
  <si>
    <t>SCXP0010</t>
  </si>
  <si>
    <t>XPO0010-001</t>
  </si>
  <si>
    <t>Notifikasi Inspirasi</t>
  </si>
  <si>
    <t>1. Masuk ke website Xpora dengan menggunakan Portal Client dan Pilih menu Inspirasi
2. Pilih Pelatihan Bisnis lalu klik daftar sekarang</t>
  </si>
  <si>
    <t>Berhasil update notifikasi pembelajaran dan pendaftaran</t>
  </si>
  <si>
    <t>SCXP0010 - Notifikasi Inspirasi_20220927-111924266.pdf</t>
  </si>
  <si>
    <t>SCXP0011</t>
  </si>
  <si>
    <t>XPO0011-001</t>
  </si>
  <si>
    <t>Term and Condition</t>
  </si>
  <si>
    <t>1. Masuk web Xpora dengan menggunakan portal client lalu pilih Beranda
2. Pilih Sistem Digital UMKM lalu klik Lihat Tools
3. Daftar Chatat</t>
  </si>
  <si>
    <t>Term and Condition Chatat pada Sistem Digital UMKM sudah muncul dan sesuai</t>
  </si>
  <si>
    <t>SCXP0011 - Term and Condition_20220927-090947261.pdf</t>
  </si>
  <si>
    <t>SCXP0012</t>
  </si>
  <si>
    <t>XPO0012-001</t>
  </si>
  <si>
    <t>Notifikasi Xpora</t>
  </si>
  <si>
    <t>1. Masuk web Xpora dengan menggunakan portal client</t>
  </si>
  <si>
    <t>Notifikasi sudah ada pada portal client</t>
  </si>
  <si>
    <t>SCXP0012 - Notifikasi Xpora_20220926-090315609.pdf</t>
  </si>
  <si>
    <t>SCXP0013</t>
  </si>
  <si>
    <t>XPO0013-001</t>
  </si>
  <si>
    <t>Login User Menggunakan Google Account</t>
  </si>
  <si>
    <t>1. Masuk web Xpora dengan menggunakan portal client lalu Klik Masuk
2. Klik Sig in with Google
3. Pilih akun Google yang akan didaftar
4. Pilih Konfirm
5. Isi data, ceklis S&amp;K, klik Daftar Xpora</t>
  </si>
  <si>
    <t>User berhasil sigin dan login menggunakan akun Google</t>
  </si>
  <si>
    <t>SCXP0013 - Login Google Account_20220927-112258406.pdf</t>
  </si>
  <si>
    <t>SCXP0014</t>
  </si>
  <si>
    <t>XPO0014-001</t>
  </si>
  <si>
    <t>Function Filter &amp; Search User pada Portal Admin</t>
  </si>
  <si>
    <t>1. Masuk web Xpora dengan menggunakan portal admin lalu Pilih Menu Daftar Pengguna
2. Klik filter dan insert nama pengguna yang akan dicari
3. Untuk Penggunana filter pilih menu Kurikulum Bisnis atau Video atau Kelas atau Ekspor atau Lokal atau 
Pemasok
4. Klik filter dan pilih kategori yang ingin dicari</t>
  </si>
  <si>
    <t>Fungsi Filter Berjalan untuk Setiap Jenis Kategori yang Dipilih, dan Search User Berjalan untuk Setiap User yang Dicari</t>
  </si>
  <si>
    <t>SCXP0014 - Function Filter &amp; Search User Pada Portal Admin_20220927-093350209.pdf</t>
  </si>
  <si>
    <t>SCXP0015</t>
  </si>
  <si>
    <t>XPO0015-001</t>
  </si>
  <si>
    <t>Enhance Penambahan Inspirasi (Flow &amp; Action) pada Portal Admin</t>
  </si>
  <si>
    <t>1. Masuk web Xpora dengan menggunakan portal admin lalu Pilih menu Inspirasi</t>
  </si>
  <si>
    <t>Berhasil Enhance penambahan inspirasi (Flow &amp; Action) pada portal admin</t>
  </si>
  <si>
    <t>SCXP0015 - Enhance Penambahan Inspirasi (Flow &amp; Action) Pada Portal Admin_20220921-162249558.pdf</t>
  </si>
  <si>
    <t>SCXP0016</t>
  </si>
  <si>
    <t>XPO0016-001</t>
  </si>
  <si>
    <t>Manajemen Admin User pada Portal Admin</t>
  </si>
  <si>
    <t>1. Masuk web Xpora dengan menggunakan portal admin lakukan CRUD pada berbagai menu yang tersedia</t>
  </si>
  <si>
    <t>CRUD admin dengan Roles berbeda</t>
  </si>
  <si>
    <t>SCXP0016 - Manajemen Admin User Pada Portal Admin_20221004-140141415.pdf</t>
  </si>
  <si>
    <t>SCXP0017</t>
  </si>
  <si>
    <t>XPO0017-001</t>
  </si>
  <si>
    <t>Penyimpanan Hasil CLB pada Portal Admin</t>
  </si>
  <si>
    <t>1. Masuk web Xpora dengan menggunakan portal admin lalu Pilih menu daftar pengguna
2. Klik detail
3. Pilih CLB</t>
  </si>
  <si>
    <t>History penyimpanan hasil CLB sudah ada pada detail data pengguna pada portal admin</t>
  </si>
  <si>
    <t>SCXP0017 - Penyimpanan Hasil CLB Pada Portal Admin_20220926-094714359.pdf</t>
  </si>
  <si>
    <t>SCXP0018</t>
  </si>
  <si>
    <t>XPO0018-001</t>
  </si>
  <si>
    <t>Penambahan Konten Solusi Digital (BNI DIGIHEDGE)</t>
  </si>
  <si>
    <t>1. Masuk web Xpora dengan menggunakan portal client Pilih Lihat Tools pada Solusi Digital UMKM</t>
  </si>
  <si>
    <t>Tools bisnis untuk solusi digital BNI DIGIHEDGE sukses ditambahkan</t>
  </si>
  <si>
    <t>SCXP0018 - Konten DIGIHEDGE_20220928-091126936.pdf</t>
  </si>
  <si>
    <t>SCXP0019</t>
  </si>
  <si>
    <t>XPO0019-001</t>
  </si>
  <si>
    <t>Pengembangan Kapabilitas Modul Inspirasi untuk Konten Kurikulum</t>
  </si>
  <si>
    <t>1. Masuk web Xpora dengan menggunakan portal admin lalu Klik Inspirasi kemudian pilih menu Kurikulum Bisnis</t>
  </si>
  <si>
    <t>Konten kurikulum bisnis di pembelajaran Xpora telah ditambahkan dan materi pembelajaran bisa dipilih</t>
  </si>
  <si>
    <t>SCXP0019 - Pengembangan Kapabilitas Modul Inspirasi Untuk Konten Kurikulum_20220922-151750219.pdf</t>
  </si>
  <si>
    <t>SCXP0020</t>
  </si>
  <si>
    <t>XPO0020-001</t>
  </si>
  <si>
    <t>Penambahan Materi Konten Kurikulum dari Partner (Universitas) ke Modul Inspirasi (Kurikulum)</t>
  </si>
  <si>
    <t>1. Masuk web Xpora dengan menggunakan portal admin lalu Klik Inspirasi dan pilih menu Kurikulum Bisnis</t>
  </si>
  <si>
    <t>Materi konten kurikulum partner (Universitas) berhasil ditambahkan ke modul inspirasi</t>
  </si>
  <si>
    <t>SCXP0020 - Penambahan Materi Konten Kurikulum dari Partner (Universitas) ke Modul Inspirasi (Kurikulum)_20220923-100840092.pdf</t>
  </si>
  <si>
    <t>SCXP0021</t>
  </si>
  <si>
    <t>XPO0021-001</t>
  </si>
  <si>
    <t>Penambahan Konten untuk Modul Pelatihan dari SMESCO (Sparc Kampus)</t>
  </si>
  <si>
    <t>1. Masuk web Xpora dengan menggunakan portal client lalu Klik Inspirasi</t>
  </si>
  <si>
    <t>Materi konten kurikulum dari SMESCO (Sparc Kampus) berhasil ditambahkan ke modul inspirasi</t>
  </si>
  <si>
    <t>SCXP0021 - Kurikulum Bisnis_20220928-091436506.pdf</t>
  </si>
  <si>
    <t>SCXP0022</t>
  </si>
  <si>
    <t>XPO0022-001</t>
  </si>
  <si>
    <t>Penambahan Konten Video dari OSS terkait Tutorial OSS</t>
  </si>
  <si>
    <t>1. Masuk web Xpora dengan menggunakan portal admin lalu pilih Legalitas</t>
  </si>
  <si>
    <t>Materi konten video dari OSS terkait tutorial OSS berhasil ditambahkan</t>
  </si>
  <si>
    <t>SCXP0022 - Penambahan Konten Video dari OSS terkait Tutorial OSS_20220923-092909843.pdf</t>
  </si>
  <si>
    <t>SCXP0023</t>
  </si>
  <si>
    <t>XPO0023-001</t>
  </si>
  <si>
    <t>Output Pengajuan Solusi Pendanaan adalah IOL</t>
  </si>
  <si>
    <t>1. Masuk web Xpora dengan menggunakan portal client lalu Pilih menu Pendanaan
2. Pilih Pinjaman Ekspor
3. Pilih Fast Trex atau BWU Fast Trex
4. Pilih tempat pengajuan
5. Isi Data kemudian klik selanjutnya
6. Lengkapi informasi usaha lalu pilih Proses Pengajuan
7. Pilih Lihat atau Download PDF</t>
  </si>
  <si>
    <t>Berhasil melakukan pengajuan solusi pendanaan melalui IOL</t>
  </si>
  <si>
    <t>SCXP0023 - Pengajuan Pendanaan_20221005-114947002.pdf</t>
  </si>
  <si>
    <t>SCXP0024</t>
  </si>
  <si>
    <t>XPO0024-001</t>
  </si>
  <si>
    <t>History Pengajuan dan IOL pada Profile Management</t>
  </si>
  <si>
    <t>1. Masuk web Xpora dengan menggunakan portal client lalu Pilih Lihat Profile
2. Klik Solusi Pendanaan</t>
  </si>
  <si>
    <t>History pengajuan pendanaan dapat dilihat Kembali di profile management</t>
  </si>
  <si>
    <t>SCXP0024 - History Pengajuan_20220929-105036324.pdf</t>
  </si>
  <si>
    <t>SCXP0025</t>
  </si>
  <si>
    <t>XPO0025-001</t>
  </si>
  <si>
    <t>Pintu Masuk OSS di Xpora pada Fitur Leglitas</t>
  </si>
  <si>
    <t>1. Masuk web Xpora dengan menggunakan portal client lalu Pilih Legalitas
2. Klik Selengkapnya</t>
  </si>
  <si>
    <t>OSS di halaman Legalitas berhasil muncul</t>
  </si>
  <si>
    <t>SCXP0025 - Narasi Legalitas OSS_20220929-111131075.pdf</t>
  </si>
  <si>
    <t>SCXP0026</t>
  </si>
  <si>
    <t>XPO0026-001</t>
  </si>
  <si>
    <t>Narasi Legalitas terkait OSS, Partnership dan Fungsi</t>
  </si>
  <si>
    <t>1. Masuk web Xpora dengan menggunakan portal client lalu Pilih Legalitas</t>
  </si>
  <si>
    <t>Narasi legalitas terkait OSS, Partnership Fungsi dapat berjalan dengan baik</t>
  </si>
  <si>
    <t>SCXP0026 - Narasi Legalitas OSS_20220930-083809115.pdf</t>
  </si>
  <si>
    <t>SCXP0027</t>
  </si>
  <si>
    <t>XPO0027-001</t>
  </si>
  <si>
    <t>CTA Direct ke Website OSS (beranda &gt; https://oss.go.id)</t>
  </si>
  <si>
    <t>1. Masuk web Xpora dengan menggunakan portal client lalu Pilih Legalitas
2. Klik Selengkapnya
3. Pilih buka website</t>
  </si>
  <si>
    <t>Direct ke website Oss berhasil terlink</t>
  </si>
  <si>
    <t>SCXP0027 - CTA Direct OSS_20220930-084138969.pdf</t>
  </si>
  <si>
    <t>SCXP0028</t>
  </si>
  <si>
    <t>XPO0028-001</t>
  </si>
  <si>
    <t>CTA Panduan OSS Link</t>
  </si>
  <si>
    <t>1. Masuk web Xpora dengan menggunakan portal client lalu Pilih Legalitas
2. Pilih Ajukan Perijinan Usaha Micro dan Kecil
3. Klik Buka Panduan</t>
  </si>
  <si>
    <t>Berhasil direct ke website OSS untuk membuka Panduan OSS</t>
  </si>
  <si>
    <t>SCXP0028 - CTA Panduan OSS_20220930-085440030.pdf</t>
  </si>
  <si>
    <t>SCXP0029</t>
  </si>
  <si>
    <t>XPO0029-001</t>
  </si>
  <si>
    <t>CTA Ajukan Perijinan Usaha Micro dan Kecil Link</t>
  </si>
  <si>
    <t>1. Masuk web Xpora dengan menggunakan portal client lalu Pilih Legalitas
2. Pilih Panduan OSS
3. Klik Buka Panduan</t>
  </si>
  <si>
    <t>Berhasil direct ke website OSS untuk membuka Panduan Ajukan Perijinan Usaha Micro dan Kecil</t>
  </si>
  <si>
    <t>SCXP0029 - CTA Ajukan Perijinan_20221003-105904951.pdf</t>
  </si>
  <si>
    <t>SCXP0030</t>
  </si>
  <si>
    <t>XPO0030-001</t>
  </si>
  <si>
    <t>CTA Ajukan Perijinan Usaha Menengah dan Link</t>
  </si>
  <si>
    <t>1. Masuk web Xpora dengan menggunakan portal client lalu Pilih Legalitas
2. Pilih Ajukan Perijinan Usaha Menangah dan Besar
3. Klik Buka Panduan</t>
  </si>
  <si>
    <t>Berhasil direct ke website OSS untuk membuka Panduan Ajukan Perijinan Usaha Menengah dan Besar</t>
  </si>
  <si>
    <t>SCXP0030 - CTA Ajukan Perijinan_20221003-110253748.pdf</t>
  </si>
  <si>
    <t>SCXP0031</t>
  </si>
  <si>
    <t>XPO0031-001</t>
  </si>
  <si>
    <t>Narasi, Konten &amp; Hasil Review dari Cabang BNI</t>
  </si>
  <si>
    <t>1. Narasi dan Konten pada halaman Beranda
2. Narasi dan Konten pada halaman Sistem Digital
3. Narasi dan Konten pada halaman Pendanaan &gt; Non-Ekspor
4. Narasi dan Konten pada halaman E-form
5. Narasi dan Konten pada halaman Inspirasi
6. Narasi dan Konten pada halaman Registrasi
7. Narasi dan Konten pada halaman Tentang Xpora</t>
  </si>
  <si>
    <t>Update Konten dan Narasi dari Cabang telah sesuai</t>
  </si>
  <si>
    <t>SCXP0031 - Narasi Xpora_20221003-110745910.pdf</t>
  </si>
  <si>
    <t>SCXP0032</t>
  </si>
  <si>
    <t>XPO0032-001</t>
  </si>
  <si>
    <t>Penambahan Konten Berita dari OSS (Juknis dan Juklak)</t>
  </si>
  <si>
    <t>1. Masuk web Xpora dengan menggunakan portal client lalu Pilih Beranda</t>
  </si>
  <si>
    <t>Berhasil ditambahkan Konten berita dari OSS (Juklak dan Juknis)</t>
  </si>
  <si>
    <t>SCXP0032 - Konten Berita Xpora_20221004-085532606.pdf</t>
  </si>
  <si>
    <t>SCXP0033</t>
  </si>
  <si>
    <t>XPO0033-001</t>
  </si>
  <si>
    <t>Pengembangan CMS dari Modul Inspirasi (Kurikulum) untuk Upload Data Konten Kurikulum dari Partner dan Konten SPARC Campus (SMESCO)</t>
  </si>
  <si>
    <t>1. Masuk web Xpora dengan menggunakan portal admin lalu Pilih Kurikulum Bisnis</t>
  </si>
  <si>
    <t>Admin berhasil upload data konten kurikulum dari partner dan konten Sparc Campus (SMESCO) di Modul Inspirasi</t>
  </si>
  <si>
    <t>SCXP0033 - Pengembangan CMS dari Modul Inspirasi (Kurikulum) untuk Upload Data Konten Kurikulum dari Partner dan Konten SPARC Campus (SMESCO)_20220923-102328589.pdf</t>
  </si>
  <si>
    <t>SCXP0034</t>
  </si>
  <si>
    <t>XPO0034-001</t>
  </si>
  <si>
    <t>Penambahan Materi Video Inspirasi dari OSS Terkait Tutorial OSS dan Tampil di Portal Legalitas dan di Inspirasi</t>
  </si>
  <si>
    <t>1. Masuk web Xpora dengan menggunakan portal Client lalu Pilih Legalitas</t>
  </si>
  <si>
    <t>Sudah terdapat video inspirasi terkait tutorial OSS</t>
  </si>
  <si>
    <t>SCXP0034 - Video Tutorial OSS_20221004-094809834.pdf</t>
  </si>
  <si>
    <t>SCXP0035</t>
  </si>
  <si>
    <t>XPO0035-001</t>
  </si>
  <si>
    <t>Remake Header Xpora - Memastikan Logo Xpora tampil di header homepage website ekspora</t>
  </si>
  <si>
    <t>Memastikan Logo Xpora tampil di header homepage website Xpora</t>
  </si>
  <si>
    <t>1. Buka website Xpora, akan muncul homepage website
2. Pada homepage cek bagian header sisi kiri</t>
  </si>
  <si>
    <t>https://docs.google.com/spreadsheets/d/1THLbW3NGkXah3eIeJV7IsvR_ANbdzihgAAL01WdPXD8/edit?usp=sharing</t>
  </si>
  <si>
    <t>Terdapat logo Xpora pada bagian sisi kiri header website</t>
  </si>
  <si>
    <t>SCXP0035 - Logo Xpora Tampil_20221005-132848068.pdf</t>
  </si>
  <si>
    <t>SCXP0035 - Logo Xpora Tampil_20221219-100659829.pdf</t>
  </si>
  <si>
    <t>SCXP0036</t>
  </si>
  <si>
    <t>XPO0036-001</t>
  </si>
  <si>
    <t>Remake Header Xpora - Memastikan alamat email xpora dan nomer telpon call center BNI tampil di Header homepage website Xpora</t>
  </si>
  <si>
    <t>Memastikan alamat email xpora dan nomer telpon call center BNI tampil di Header homepage website Xpora</t>
  </si>
  <si>
    <t>1. Buka website Xpora, akan muncul homepage website
2. Pada homepage cek bagian header bagian tengah</t>
  </si>
  <si>
    <t>Terdapat alamat email Xpora dan nomer telpon call center BNI di bagian sis tengah header website</t>
  </si>
  <si>
    <t>SCXP0036 - Call Center &amp; Email_20221005-142425545.pdf</t>
  </si>
  <si>
    <t>SCXP0036 - Call Center &amp; Email_20221219-101414890.pdf</t>
  </si>
  <si>
    <t>SCXP0037</t>
  </si>
  <si>
    <t>XPO0037-001</t>
  </si>
  <si>
    <t>Remake Header Xpora - Pengecekan Menu Fitur di homepage yang memiliki submenu Inspirasi, Ekspansi Market, Legalitas, dan Cek Level Bisnis</t>
  </si>
  <si>
    <t>Pengecekan Menu Fitur di homepage yang memiliki submenu Inspirasi, Ekspansi Market, Legalitas, dan Cek Level Bisnis</t>
  </si>
  <si>
    <t>1. Buka website Xpora, akan muncul homepage website
2. Arahkan kursor ke Menu Fitur
3. Akan tampil hover action yang berisikan submenu dari Menu Fitur
4. Arahkan kursor ke submenu Inspirasi, Ekspansi Market, Legalitas dan Cek Level Bisnis</t>
  </si>
  <si>
    <t>1. Menu Fitur dapat diakses melalui hover action
2. submenu Inspirasi berisikan sesuai dengan design website
3. Pada website testing submenu Ekspansi Market tidak ada dan isi submenu juga tidak sesuai dengan design website
4. Submenu Legalitas dan Cek Level Bisnis sesuai dengan Design Website</t>
  </si>
  <si>
    <t>SCXP0037 - Cek Menu Fitur_20221006-084249264.pdf</t>
  </si>
  <si>
    <t>SCXP0037 - Cek Menu Fitur_20221219-102415057.pdf</t>
  </si>
  <si>
    <t>SCXP0038</t>
  </si>
  <si>
    <t>XPO0038-001</t>
  </si>
  <si>
    <t>Remake Header Xpora - Pengecekan menu Layanan BNI di homepage yang memiliki submenu Solusi Pengelolaan Keuangan, Solusi Pendanaan, Solusi Digital UMKM</t>
  </si>
  <si>
    <t>Pengecekan menu Layanan BNI di homepage yang memiliki submenu Solusi Pengelolaan Keuangan, Solusi Pendanaan, Solusi Digital UMKM</t>
  </si>
  <si>
    <t>1. Buka website Xpora, akan muncul homepage website
2. Arahkan kursor ke Menu Layanan BNI
3. Akan tampil hover action yang berisikan submenu dari Menu Layanan BNI
4. Arahkan kursor ke submenu Solusi Pengelolaan Keuangan, Solusi Pendanaan, dan Solusi Digital UMKM</t>
  </si>
  <si>
    <t>1. Submenu Solusi Pengelolaan Keuangan sesuai dengan design website
2. Submenu Solusi Pendanaan sesuai dengan design website
3. submenu Solusi Digital UMKM sesuai dengan design website</t>
  </si>
  <si>
    <t>SCXP0038 - Cek Menu Layanan BNI_20221006-084343283.pdf</t>
  </si>
  <si>
    <t>SCXP0038 - Cek Menu Layanan BNI_20221219-102645070.pdf</t>
  </si>
  <si>
    <t>SCXP0039</t>
  </si>
  <si>
    <t>XPO0039-001</t>
  </si>
  <si>
    <t>Remake Header Xpora - Pengecekan Menu Info di homepage yang berisikan kontak</t>
  </si>
  <si>
    <t>Pengecekan Menu Info di homepage yang berisikan kontak</t>
  </si>
  <si>
    <t>1. Buka website Xpora, akan muncul hompage website
2. Arahkan Kursor dan Klik Menu Info</t>
  </si>
  <si>
    <t>Menu Info pada homepage sesuai dengan design website</t>
  </si>
  <si>
    <t>SCXP0039 - Pengecekan Menu Info_20221007-132211396.pdf</t>
  </si>
  <si>
    <t>SCXP0039 - Pengecekan Menu Info_20221219-103749821.pdf</t>
  </si>
  <si>
    <t>SCXP0040</t>
  </si>
  <si>
    <t>XPO0040-001</t>
  </si>
  <si>
    <t>Remake Header Xpora - Pengecekan Menu Tentang Xpora di homepage yang berisikan About Us</t>
  </si>
  <si>
    <t>Pengecekan Menu Tentang Xpora di homepage yang berisikan About Us</t>
  </si>
  <si>
    <t>1. Buka website Xpora, akan muncul hompage website
2. Arahkan Kursor dan Klik Menu Tentang Xpora</t>
  </si>
  <si>
    <t>Menu Tentang Xpora pada homepage sesuai dengan design website</t>
  </si>
  <si>
    <t>SCXP0040 - Menu Tentang Xpora_20221006-084924010.pdf</t>
  </si>
  <si>
    <t>SCXP0040 - Menu Tentang Xpora_20221219-104420574.pdf</t>
  </si>
  <si>
    <t>SCXP0041</t>
  </si>
  <si>
    <t>XPO0041-001</t>
  </si>
  <si>
    <t>Remake Header Xpora - Memastikan opsi bahasa tampil di header homepage xpora dan default pada website xpora berbahasa Indonesia</t>
  </si>
  <si>
    <t>Memastikan opsi bahasa tampil di header homepage xpora dan default pada website xpora berbahasa Indonesia</t>
  </si>
  <si>
    <t>1. Buka website Xpora, akan muncul homepage website
2. Pada homepage cek pada bagian header website bagian sisi kanan
3. cek kata perkata pada homepage memastikan bahasa Indonesia menjadi default di website Xpora</t>
  </si>
  <si>
    <t>1. Pada header website Terdapat tombol opsi pemilihan bahasa indonesia dan bahasa inggirs dan berfungsi sesuai design
2. bahasa default website adalah bahasa Indonesia</t>
  </si>
  <si>
    <t>SCXP0041 - Opsi Bahasa_20221007-090300848.pdf</t>
  </si>
  <si>
    <t>SCXP0041 - Opsi Bahasa_20221219-110836673.pdf</t>
  </si>
  <si>
    <t>SCXP0042</t>
  </si>
  <si>
    <t>XPO0042-001</t>
  </si>
  <si>
    <t>Remake Header Xpora - Memastikan menu Daftar dan Masuk hilang setelah user melakukan Login pada website Xpora</t>
  </si>
  <si>
    <t>Memastikan menu Daftar dan Masuk hilang setelah user melakukan Login pada website Xpora</t>
  </si>
  <si>
    <t>1. Buka website Xpora, akan muncul homepage website
2. Klik tombol Masuk untuk Login, akan muncul halaman login
3. Masukkan Username dan Password, kemudian klik tombol masuk
4. Cek pada homepage setelah login Menu Daftar dan Masuk hilang setelah melakukan Login</t>
  </si>
  <si>
    <t>Setelah user melakukan login, menu daftar dan masuk hilang sesuai dengan design website</t>
  </si>
  <si>
    <t>SCXP0042 - User Melakukan Login_20221007-091242952.pdf</t>
  </si>
  <si>
    <t>SCXP0042 - User Melakukan Login_20221219-112417960.pdf</t>
  </si>
  <si>
    <t>SCXP0043</t>
  </si>
  <si>
    <t>XPO0043-001</t>
  </si>
  <si>
    <t>Remake Header Xpora - Memastikan Detail User tampil setelah melakukan Login seperti tombol notifikasi, avatar user, nama user dan Menu yang berisikan : Profile, Setting, dan Logout</t>
  </si>
  <si>
    <t>Memastikan Detail User tampil setelah melakukan Login seperti tombol notifikasi, avatar user, nama user dan Menu yang berisikan : Profile, Setting, dan Logout</t>
  </si>
  <si>
    <t>1. Buka website Xpora, akan muncul homepage website
2. Klik tombol Masuk untuk Login, akan muncul halaman login
3. Masukkan Username dan Password, kemudian klik tombol masuk
4. Cek pada homepage setelah login terdapat tombol notifikasi, avatar user, nama user dan Menu yang berisikan : Profil, Setting, dan Logout</t>
  </si>
  <si>
    <t>Setelah user melakukan login, menu daftar dan masuk hilang digantikan dengan tombol notifikasi, avatar user, nama user dan tombol Menu yang berisikan : Profilm setting dan Logout sesuai dengan design website</t>
  </si>
  <si>
    <t>SCXP0043 - Detail Setelah Login_20221007-092416262.pdf</t>
  </si>
  <si>
    <t>SCXP0043 - Detail Setelah Login_20221219-113455352.pdf</t>
  </si>
  <si>
    <t>SCXP0044</t>
  </si>
  <si>
    <t>XPO0044-001</t>
  </si>
  <si>
    <t>Remake Header Xpora - Memastikan Logo Xpora, Opsi Bahasa, dan tombol Notifikasi tampil pada homepage setelah User melakukan Login</t>
  </si>
  <si>
    <t>Memastikan Logo Xpora, Opsi Bahasa, dan tombol Notifikasi tampil pada homepage setelah User melakukan Login</t>
  </si>
  <si>
    <t>1. Buka website Xpora menggunakan perangkat mobile, akan muncul homepage website
2. cek pada bagian header website pastikan terdapat logo xpora, opsi bahasa, dan tombol notifikasi. Tombol notifikasi tampil di homepage ketika user melakukan Login</t>
  </si>
  <si>
    <t>Terdapat Logo Xpora, Opsi bahasa dan tombol notifikasi pada header website ketika user melakukan login</t>
  </si>
  <si>
    <t>tidak bisa diotomasi menggunakan mobile browser (object tidak ditemukan)</t>
  </si>
  <si>
    <t>SCXP0045</t>
  </si>
  <si>
    <t>XPO0045-001</t>
  </si>
  <si>
    <t>Remake Header Xpora - Memastikan menu Fitur dapat diakses melalui homepage di section Layanan Kami. Untuk Keseluruhan Menu dapat diakses melalui tombol Menu Lainnya terdiri dari Menu Fitur yang berisikan Submenu Inspirasi, Ekspansi Market, Legalitas, Cek Level Bisnis. Menu Layanan BNI ynag berisikan submenu Solusi Pengelolaan Keuangan, Solusi Pendanaan, dan Solusi Digital UMKM. Menu Info dan Menu Tentang Kami</t>
  </si>
  <si>
    <t>Memastikan menu Fitur dapat diakses melalui homepage di section Layanan Kami. Untuk Keseluruhan Menu dapat diakses melalui tombol Menu Lainnya terdiri dari Menu Fitur yang berisikan Submenu Inspirasi, Ekspansi Market, Legalitas, Cek Level Bisnis. Menu Layanan BNI ynag berisikan submenu Solusi Pengelolaan Keuangan, Solusi Pendanaan, dan Solusi Digital UMKM. Menu Info dan Menu Tentang Kami</t>
  </si>
  <si>
    <t>1. Buka website Xpora menggunakan perangkat mobile, akan muncul homepage website
2. Pada homepage pilih section Layanan Kami, Pastikan setiap menunya dapat diakses
3. pada homepage pilih Menu Lainnya, akan muncul jendela baru tampil dari bawah layar secara sliding
4. cek isi jendela yang terdiri dari Menu Fitur, Layanan BNI, Info dan Tentang Kami
5. Pencet diluar jendela menu untuk menutup Menu Lainnya</t>
  </si>
  <si>
    <t>1. Pada halaman homepage, section Layanan Kami setiap menu dapat di klik
2. Menu Lainnya dapat diakses dan terdiri dari Menu Fitur dan Layanan BNI
3. Terdapat Info dan Tentang kami pada Menu Lainnya.
4. Pada design Web test Submenu Fitur yaitu Ekspansi Bisnis, tidak sesuai dengan design website di figma yang seharusnya Ekspansi Market
5. Jendela Menu Lainnya dapat di close dengan sentuh layar mobile diluar jendela Menu Lainnya</t>
  </si>
  <si>
    <t>SCXP0046</t>
  </si>
  <si>
    <t>XPO0046-001</t>
  </si>
  <si>
    <t>Remake Header Xpora - Memastikan pada floating bottom nav menu sebelum login terdiri dari tombol Daftar dan Masuk, setelah user melakukan Login makan floating bottom nav menu berubah menjadi tombol Home, Business Matching dan Profile</t>
  </si>
  <si>
    <t>Memastikan pada floating bottom nav menu sebelum login terdiri dari tombol Daftar dan Masuk, setelah user melakukan Login makan floating bottom nav menu berubah menjadi tombol Home, Business Matching dan Profile</t>
  </si>
  <si>
    <t>1. Buka website Xpora menggunakan perangkat mobile, akan muncul homepage website
2. Pilih menu Masuk untuk melakukan login
3. Masukkan username dan password
4. pastikan menu daftar dan masuk berubah menjadi Home, Business Matching dan Profile setelah user melakukan login</t>
  </si>
  <si>
    <t xml:space="preserve">1. Menu pada jendela layang Daftar dan Masuk pada bagian bawah website berubah ketika user melakukan login
2. Menu pada Jendela layang setelah login yaitu Home, business Expansion dan Profil
3. Menu pada jendela layang tidak sesuai dengan design pada figma
</t>
  </si>
  <si>
    <t>SCXP0047</t>
  </si>
  <si>
    <t>XPO0047-001</t>
  </si>
  <si>
    <t>Remake Halaman Register - Memastikan Pengunjung website Xpora dapat mendaftarkan dirinya ke Platform Xpora</t>
  </si>
  <si>
    <t>Memastikan Pengunjung website Xpora dapat mendaftarkan dirinya ke Platform Xpora</t>
  </si>
  <si>
    <t>1. Buka halaman beranda Xpora
2. Pilih menu register pada header
3. pilih menu “Daftar Sebagai Eksportir” atau “Daftar Sebagai Diaspora”</t>
  </si>
  <si>
    <t>muncul menu pop up “Bergabunglah Bersama Kami”</t>
  </si>
  <si>
    <t>SCXP0047 - Registrasi Xpora_20221010-094240751.pdf</t>
  </si>
  <si>
    <t>SCXP0047 - Registrasi Xpora_20221219-131350985.pdf</t>
  </si>
  <si>
    <t>SCXP0048</t>
  </si>
  <si>
    <t>XPO0048-001</t>
  </si>
  <si>
    <t>Remake Halaman Register - Memastikan Pengunjung website  Xpora yang menggunakan mobile dapat mendaftarkan dirinya ke Platform Xpora</t>
  </si>
  <si>
    <t>Memastikan Pengunjung website  Xpora yang menggunakan mobile dapat mendaftarkan dirinya ke Platform Xpora</t>
  </si>
  <si>
    <t xml:space="preserve">1. buka halaman beranda Xpora
2. pilih menu “Daftar" pada bagian "Daftar" dan "Masuk"                                           3. terdapat halaman "Bergabunglah Bersama Kami" </t>
  </si>
  <si>
    <t>SCXP0049</t>
  </si>
  <si>
    <t>XPO0049-001</t>
  </si>
  <si>
    <t>Remake Halaman Register - Sebelum Melakukan Registrasi pada website Xpora, Pengunjung mendapat Penjelasan mengenai Eksportir pada halaman "Sebagai Eksportir"</t>
  </si>
  <si>
    <t>Sebelum Melakukan Registrasi pada website Xpora, Pengunjung mendapat Penjelasan mengenai Eksportir pada halaman "Sebagai Eksportir"</t>
  </si>
  <si>
    <t>1. Buka halaman beranda Xpora
2. pilih menu “Daftar Sebagai Eksportir”
3. muncul menu pop up 1 “Bergabunglah Bersama Kami” 
4. klik button Selanjutnya
5. muncul menu pop up 2 “Sebagai Eksportir” 
6. klik button Selanjutnya</t>
  </si>
  <si>
    <t>muncul menu pop up “Sebagai Eksportir”</t>
  </si>
  <si>
    <t>SCXP0049 - Registrasi Eksportir_20221010-094617108.pdf</t>
  </si>
  <si>
    <t>20 Desember 2022</t>
  </si>
  <si>
    <t>SCXP0049 - Registrasi Eksportir_20221220-081458496.pdf</t>
  </si>
  <si>
    <t>SCXP0050</t>
  </si>
  <si>
    <t>XPO0050-001</t>
  </si>
  <si>
    <t>Remake Halaman Register - Memastikan bahwa sebelum Pengunjung website Xpora melakukan registrasi, Pengunjung mendapat Penjelasan mengenai Diaspora pada halaman "Sebagai Diaspora"</t>
  </si>
  <si>
    <t>Memastikan bahwa sebelum Pengunjung website Xpora melakukan registrasi, Pengunjung mendapat Penjelasan mengenai Diaspora pada halaman "Sebagai Diaspora"</t>
  </si>
  <si>
    <t>1. Buka halaman beranda Xpora
2. pilih menu “Daftar Sebagai Diaspora”
3. muncul menu pop up 1 “Bergabunglah Bersama Kami” 
4. klik button Selanjutnya
5. muncul menu pop up 2 “Sebagai Diaspora” 
6. klik button Selanjutnya</t>
  </si>
  <si>
    <t>muncul menu pop up “Sebagai Diaspora”</t>
  </si>
  <si>
    <t>SCXP0050 - Registrasi Diaspora_20221011-094532595.pdf</t>
  </si>
  <si>
    <t>SCXP0050 - Registrasi Diaspora_20221220-081631363.pdf</t>
  </si>
  <si>
    <t>SCXP0051</t>
  </si>
  <si>
    <t>XPO0051-001</t>
  </si>
  <si>
    <t>Remake Halaman Register - Memastikan Pengunjung dapat melakukan  pengisian form pada halaman "Mendaftar Sebagai Eksportir" atau "Mendaftar Sebagai Diaspora"</t>
  </si>
  <si>
    <t>Memastikan Pengunjung dapat melakukan  pengisian form pada halaman "Mendaftar Sebagai Eksportir" atau "Mendaftar Sebagai Diaspora"</t>
  </si>
  <si>
    <t>1. setelah klik button selanjutnya pada halaman sebelumnya 
2. pengunjung akan diminta untukmengisi form register “Mendaftar Sebagai Eksportir” atau “Mendaftar Sebagai Diaspora”
3. akan muncul halaman “Selamat Registrasi Berhasil”
4. Klik button “BukaAplikasi Email”
5. setelah pengunjung melakukan verifikasi email, akan muncul halaman “Selamat Akun Anda telah Terverifikasi”
6. klik button “Ke Halaman Login”
7. pengunjung dapat melakukan Login</t>
  </si>
  <si>
    <t>1. Pengunjung mendapatkan email untuk verifikasi akun
2. Pengunjung berhasil melakukan Login</t>
  </si>
  <si>
    <t>SCXP0051 - User Registrasi_20221026-090520958.pdf</t>
  </si>
  <si>
    <t>SCXP0052</t>
  </si>
  <si>
    <t>XPO0052-001</t>
  </si>
  <si>
    <t>Remake Halaman Register - Pengunjung dengan pengguna Mobile dapat melakukan pengisian Form dimana diminta pengisian berupa : Nama, No. Telp, Email, Password dan Konfirmasi Password</t>
  </si>
  <si>
    <t>Pengunjung dengan pengguna Mobile dapat melakukan pengisian Form dimana diminta pengisian berupa : Nama, No. Telp, Email, Password dan Konfirmasi Password</t>
  </si>
  <si>
    <t>1. Pada halaman 1 “Bergabunglah Bersama Kami”
2. Klik button “Selanjutnya”
3. pada halaman 2 “Mendaftar Sebagai Eksportir/Diaspora” pengunjung diminta untuk mengisi data
4. klik “Selanjutnya”
5. halaman 3 “Email &amp; Password” pengunjung mengisi form
6. klik “Daftar”
7. Akan muncul halaman “Selamat Registrasi Berhasil”
8. pengunjung melakukan Verifikasi Email
9. pada halaman “Selamat Akun Anda Telah Terverifikasi” klik button “Ke Halaman Login”
10. pengunjung melakukan Login</t>
  </si>
  <si>
    <t>SCXP0053</t>
  </si>
  <si>
    <t>XPO0053-001</t>
  </si>
  <si>
    <t>Remake Halaman Register - User juga dapat melakukan pendaftaran melalui akun Google. Ketika melakukan pendaftaran dengan Google, user cuma diminta untuk mengisi :  *Tipe user *No. Telp *Password *persetujuan syarat dan ketentuan *Recaptcha</t>
  </si>
  <si>
    <t>User juga dapat melakukan pendaftaran melalui akun Google. Ketika melakukan pendaftaran dengan Google, user cuma diminta untuk mengisi :  *Tipe user *No. Telp *Password *persetujuan syarat dan ketentuan *Recaptcha</t>
  </si>
  <si>
    <t xml:space="preserve">1. Buka Halaman Beranda Xpora                               
2. Pilih button "Masuk"                                                           
3. Terdapat menu pop up "Selamat Datang"                                                            
4. Pengunjung dapat melakukan Login melalui akun Google dengan klik "Masuk dengan Google"                      
5. Setelah pengunjung melakukan Login, akan diarahkan kembali ke halaman Beranda Xpora </t>
  </si>
  <si>
    <t>Pengunjung dapat melakukan Login melalui akun Google</t>
  </si>
  <si>
    <t>SCXP0053 - Daftar Dengan Google_20221010-124155541.pdf</t>
  </si>
  <si>
    <t>SCXP0053 - Daftar Dengan Google_20221220-090147753.pdf</t>
  </si>
  <si>
    <t>SCXP0054</t>
  </si>
  <si>
    <t>XPO0054-001</t>
  </si>
  <si>
    <t>Remake Halaman Login Xpora - User dapat Login ke website Xpora menggunakan email Google di perangkat Desktop maupun mobile</t>
  </si>
  <si>
    <t>User dapat Login ke website Xpora menggunakan email Google di perangkat Desktop maupun mobile</t>
  </si>
  <si>
    <t>1. Buka website Xpora, akan muncul halaman homepage
2. arah kursor kearah tombol Masuk untuk melakukan login
3. Pilih tombol Masuk Dengan Google, untuk melanjutkan user login terintegrasi dengan email google
4. Muncul jendela login email google, masukkan username dan Password mail google
5. Jika berhasil login akan kembali ke homepage website Xpora</t>
  </si>
  <si>
    <t>User berhasil login menggunakan akun yang terintegrasi dengan mail google</t>
  </si>
  <si>
    <t>SCXP0054 - Login Google Account_20221010-103550233.pdf</t>
  </si>
  <si>
    <t>SCXP0054 - Login Google Account_20221220-085522337.pdf</t>
  </si>
  <si>
    <t>SCXP0055</t>
  </si>
  <si>
    <t>XPO0055-001</t>
  </si>
  <si>
    <t>Remake Halaman Home / Landing Xpora - Pengunjung website Xpora dapat penjelasan apa itu user Xpora Eksportir &amp; Diaspora dibagian header banner, pengunjung akan langsung diarahkan ke halaman form register bila klik button Eksportir &amp; Diaspora</t>
  </si>
  <si>
    <t>Pengunjung website Xpora dapat penjelasan apa itu user Xpora Eksportir &amp; Diaspora dibagian header banner, pengunjung akan langsung diarahkan ke halaman form register bila klik button Eksportir &amp; Diaspora</t>
  </si>
  <si>
    <t>1. Pengunjung Xpora membuka halaman home page website Xpora                                                                                                                                     2. Pengunjung dapat melakukan pendaftaran sebagai Eskportir maupun Diaspora pada bagian header                                                                              3. klik button "Daftar Sebagai Eksportir" atau "Daftar Sebagai Diaspora"                                                                                                                                       4. Muncul Menu Pop up                                                                                                                                                                                                              5. Kemudian pengunjung akan diarahkan ke halaman form Register</t>
  </si>
  <si>
    <t>Pengunjung dapat langsung mengakses form register Eksportir &amp; Diaspora melalui header banner</t>
  </si>
  <si>
    <t>SCXP0055 - Eksportir &amp; Diaspora_20221011-095648855.pdf</t>
  </si>
  <si>
    <t>SCXP0055 - Eksportir &amp; Diaspora_20221220-090408813.pdf</t>
  </si>
  <si>
    <t>SCXP0056</t>
  </si>
  <si>
    <t>XPO0056-001</t>
  </si>
  <si>
    <t>Remake Halaman Home / Landing Xpora - Memastikan Menu Permintaan Terbaru dimana terdapat Negara, Nama Komoditas, dan Jumlah Permintaan yang selalu running</t>
  </si>
  <si>
    <t>Memastikan Menu Permintaan Terbaru dimana terdapat Negara, Nama Komoditas, dan Jumlah Permintaan yang selalu running</t>
  </si>
  <si>
    <t>1. Pengunjung Xpora mengakses halaman home page website Xpora                                                                                                                                   2. Scroll sampai pada menu "Permintaan Terbaru"</t>
  </si>
  <si>
    <t>Pengunjung website Xpora dapat melihat menu Permintaan Terbaru tanpa melakukan Login</t>
  </si>
  <si>
    <t>SCXP0056 - Permintaan Terbaru_20221011-095828322.pdf</t>
  </si>
  <si>
    <t>SCXP0056 - Permintaan Terbaru_20221220-091523551.pdf</t>
  </si>
  <si>
    <t>SCXP0057</t>
  </si>
  <si>
    <t>XPO0057-001</t>
  </si>
  <si>
    <t>Remake Halaman Home / Landing Xpora - Cek Level Bisnis Button yang akan selalu dengan tombol floating dan fixed</t>
  </si>
  <si>
    <t>Cek Level Bisnis Button yang akan selalu dengan tombol floating dan fixed</t>
  </si>
  <si>
    <t>1. Buka Website Xpora
2. Pada halaman homepage pastikan ada tombol floating dan fixed untuk cek level bisnis</t>
  </si>
  <si>
    <t>Tidak ada Cek Level Business dengan fitur floating dan fixed</t>
  </si>
  <si>
    <t>SCXP0058</t>
  </si>
  <si>
    <t>XPO0058-001</t>
  </si>
  <si>
    <t>Remake Halaman Home / Landing Xpora - Terdapat Kalender Kegiatan dimana                             -Greyed Out (sudah lewat tanggal sekarang)                                                    -Blue (masih aktif)                                                                          -Hover (pop up dan shadowed)                                                                -Alternate background color on mobile                                                                                                                                            -Arrow prev dan next</t>
  </si>
  <si>
    <t>Terdapat Kalender Kegiatan dimana                             -Greyed Out (sudah lewat tanggal sekarang)                                                    -Blue (masih aktif)                                                                          -Hover (pop up dan shadowed)                                                                -Alternate background color on mobile                                                                                                                                            -Arrow prev dan next</t>
  </si>
  <si>
    <t>1. Buka website Xpora
2. pada halaman homepage skroll kebawah sampai ada menu "Jadwal Kegiatan"
3. Arahkan kurson pada menu-menu dari "Jadwal Kegiatan"</t>
  </si>
  <si>
    <t>1. Tanggal yang sudah terlewat dengan status Greyed Out
2. Jadwal yang masih aktif font berwarna biru
3. memiliki fitur hover dan pop-up
4. Terdapat tombol panah "Prev" dan "Next"</t>
  </si>
  <si>
    <t>SCXP0058 - Jadwal Kegiatan_20221012-094621289.pdf</t>
  </si>
  <si>
    <t>SCXP0058 - Jadwal Kegiatan_20221220-095115510.pdf</t>
  </si>
  <si>
    <t>SCXP0059</t>
  </si>
  <si>
    <t>XPO0059-001</t>
  </si>
  <si>
    <t>Remake Halaman Home / Landing Xpora - Permintaan Terpopuler Xpora terdapat Kategori Komoditas, Negara, Total Permintaan (tidak ditampilkan di tab negara), dan Catatan (untuk awal ini dibuat all time dulu, ketika di klik akan langsung diarahkan pada halaman market request dengan filter kategori/negara, Number 1 only viewable after login dan hanya dapat bisa diakses melalui Desktop).</t>
  </si>
  <si>
    <t>Permintaan Terpopuler Xpora terdapat Kategori Komoditas, Negara, Total Permintaan (tidak ditampilkan di tab negara), dan Catatan (untuk awal ini dibuat all time dulu, ketika di klik akan langsung diarahkan pada halaman market request dengan filter kategori/negara, Number 1 only viewable after login dan hanya dapat bisa diakses melalui Desktop).</t>
  </si>
  <si>
    <t>1. Pengunjung Xpora mengakses halaman home page website Xpora                                                                                                                                   2. Scroll sampai pada menu "Permintaan Terpopuler Diaspora"                                                                                                                                                         3. Pada menu Permintaan terpopuler terdapat 2 kategori yaitu Komoditas dan Negara                                                                                                        4. Klik button "Lihat Semua Permintaan Pasar"                                                                                                                                                                           5. Pengunjung akan diarahkan pada halaman Market Request                                                                                                                                                    6. Pengunjung diharapkan melakukan Login terlebih dahulu bila ingin melihat Number 1</t>
  </si>
  <si>
    <t>Pengunjung dapat melihat semua permintaan pasar yang dapat diakses melalui Permintaan pasar dan dapat mengakses kategori Komoditas &amp; Negara</t>
  </si>
  <si>
    <t>SCXP0059 - Permintaan Populer_20221012-092819336.pdf</t>
  </si>
  <si>
    <t>SCXP0059 - Permintaan Populer_20221220-104255252.pdf</t>
  </si>
  <si>
    <t>SCXP0060</t>
  </si>
  <si>
    <t>XPO0060-001</t>
  </si>
  <si>
    <t>Remake Halaman Home / Landing Xpora - Keuntungan bisnis matching Xpora dimana terdapat pergantian image on hover dan pop up &amp; shadowed yang hanya bisa di akses melalui Desktop</t>
  </si>
  <si>
    <t>Keuntungan bisnis matching Xpora dimana terdapat pergantian image on hover dan pop up &amp; shadowed yang hanya bisa di akses melalui Desktop</t>
  </si>
  <si>
    <t>1. Pengunjung Xpora mengakses halaman home page website Xpora                                                                                                                                   2. Scroll sampai pada menu "Keuntungan Businees Matching di Xpora"</t>
  </si>
  <si>
    <t>Terdapat detail penjelasan mengenai keuntungan bisnis matching di Xpora yang diharapkan dapat mengedukasi pengunjung website Xpora</t>
  </si>
  <si>
    <t>SCXP0060 - Business Matching_20221013-100014104.pdf</t>
  </si>
  <si>
    <t>SCXP0060 - Business Matching_20221220-104502503.pdf</t>
  </si>
  <si>
    <t>SCXP0061</t>
  </si>
  <si>
    <t>XPO0061-001</t>
  </si>
  <si>
    <t>Remake Halaman Home / Landing Xpora - Terdapat halaman Cari Pembeli di Luar Negeri yang hanya dapat di akses melalui Desktop</t>
  </si>
  <si>
    <t>Terdapat halaman Cari Pembeli di Luar Negeri yang hanya dapat di akses melalui Desktop</t>
  </si>
  <si>
    <t>1. Pengunjung Xpora mengakses halaman home page website Xpora                                                                                                                                            2. Scroll sampai pada menu "Cari Pembeli di Luar Negeri"                                                                                                                                                            3. Klik button "Mulai Mencari Pembeli"                                                                                                                                                                                    4. Pengunjung akan diarahkan pada halaman Market Request</t>
  </si>
  <si>
    <t>Pengunjung dapat mengakses halaman Market Request melalui menu Cari Pembeli di Luar Negeri</t>
  </si>
  <si>
    <t>SCXP0061 - Cari Pembeli Luar_20221013-100134452.pdf</t>
  </si>
  <si>
    <t>SCXP0061 - Cari Pembeli Luar_20221220-104744337.pdf</t>
  </si>
  <si>
    <t>SCXP0062</t>
  </si>
  <si>
    <t>XPO0062-001</t>
  </si>
  <si>
    <t>Remake Header Xpora - Memastikan Logo Xpora tampil di footer homepage website Xpora</t>
  </si>
  <si>
    <t>Memastikan Logo Xpora tampil di footer homepage website Xpora</t>
  </si>
  <si>
    <t>1. Buka website Xpora, akan muncul homepage website
2. Cek bagian sisi kiri footer, pastikan terdapat logo Xpora</t>
  </si>
  <si>
    <t>Terdapat logo Xpora pada sisi kiri Footer website</t>
  </si>
  <si>
    <t>SCXP0062 - Logo Xpora Di Footer_20221013-094041871.pdf</t>
  </si>
  <si>
    <t>SCXP0062 - Logo Xpora Di Footer_20221222-155807852.pdf</t>
  </si>
  <si>
    <t>SCXP0063</t>
  </si>
  <si>
    <t>XPO0063-001</t>
  </si>
  <si>
    <t>Remake Header Xpora - Memastikan Informasi Produk seperti Deskripsi, Term of Service, dan Privacy Policy tampil di footer homepage website Xpora</t>
  </si>
  <si>
    <t>Memastikan Informasi Produk seperti Deskripsi, Term of Service, dan Privacy Policy tampil di footer homepage website Xpora</t>
  </si>
  <si>
    <t>1. Buka website Xpora, akan muncul homepage website
2. Cek bagian sisi tengah footer, pastikan Deskripsi, Term of Service dan Privacy Policy tampil pada footer website</t>
  </si>
  <si>
    <t>Terdapat Deskripsi, Term os Service dan Privacy Policy pada sisi tengah footer website</t>
  </si>
  <si>
    <t>SCXP0063 - Privasi dan Layanan_20221013-095531335.pdf</t>
  </si>
  <si>
    <t>21 Desember 2022</t>
  </si>
  <si>
    <t>SCXP0063 - Privasi dan Layanan_20221221-075513350.pdf</t>
  </si>
  <si>
    <t>SCXP0064</t>
  </si>
  <si>
    <t>XPO0064-001</t>
  </si>
  <si>
    <t>Remake Header Xpora - Memastikan pada di footer homepage terdapat informasi tentang Terdaftar dan diawasi oleh OJK dan LPS serta logonya</t>
  </si>
  <si>
    <t>Memastikan pada di footer homepage terdapat informasi tentang Terdaftar dan diawasi oleh OJK dan LPS serta logonya</t>
  </si>
  <si>
    <t>1. Buka website Xpora, akan muncul homepage website
2. Cek bagian sisi kanan footer, pastikan informasi tentang Terdaftar dan Diawasi oleh OJK dan LPS tampil pada footer website</t>
  </si>
  <si>
    <t>Terdapat informasi tentang Terdaftar dan Diawasi Oleh OJK dan LPS pada sisi kanan footer website</t>
  </si>
  <si>
    <t>SCXP0064 - OJK dan LPS_20221013-095701261.pdf</t>
  </si>
  <si>
    <t>SCXP0064 - OJK dan LPS_20221221-075651759.pdf</t>
  </si>
  <si>
    <t>SCXP0065</t>
  </si>
  <si>
    <t>XPO0065-001</t>
  </si>
  <si>
    <t>Remake Header Xpora - Memastikan Footer tidak tampil pada saat website Xpora diakses menggunakan perangkat mobile</t>
  </si>
  <si>
    <t>Memastikan Footer tidak tampil pada saat website Xpora diakses menggunakan perangkat mobile</t>
  </si>
  <si>
    <t>1. Buka Website Xpora di perangkat mobile, akan muncul homepage website
2. Scroll homepage ke bawah
3. Pastikan Footer tidak tampil di homepage website</t>
  </si>
  <si>
    <t>Footer tidak tampil ketika membuka website Xpora menggunakan perangkat mobile</t>
  </si>
  <si>
    <t>SCXP0066</t>
  </si>
  <si>
    <t>XPO0066-001</t>
  </si>
  <si>
    <t>Remake Header Xpora - Memastikan Privacy dan Terms of Service muncul di halaman Tentang Kami ketika mengakses website Xpora</t>
  </si>
  <si>
    <t>Memastikan Privacy dan Terms of Service muncul di halaman Tentang Kami ketika mengakses website Xpora</t>
  </si>
  <si>
    <t>1. Buka Website Xpora, akan muncul homepage website
2. Pilih Menu Tentang Kami
3. Pastikan menampilkan Privacy dan Terms of Service pada halaman Tentang Kami</t>
  </si>
  <si>
    <t>Privacy dan Terms of Service muncul di halaman Tentang Kami</t>
  </si>
  <si>
    <t>SCXP0066 - Privasi &amp; Layanan_20221014-094716639.pdf</t>
  </si>
  <si>
    <t>SCXP0066 - Privasi &amp; Layanan_20221221-075928011.pdf</t>
  </si>
  <si>
    <t>SCXP0067</t>
  </si>
  <si>
    <t>XPO0067-001</t>
  </si>
  <si>
    <t>Remake Halaman Notifikasi Xpora - Memastikan fitur notifikasi berfungsi pada website Xpora yang diakses dari perangkat Desktop maupun Mobile</t>
  </si>
  <si>
    <t>Memastikan fitur notifikasi berfungsi pada website Xpora yang diakses dari perangkat Desktop maupun Mobile</t>
  </si>
  <si>
    <t>SCXP0067 - Cek Notifikasi_20221014-133942672.pdf</t>
  </si>
  <si>
    <t>SCXP0067 - Cek Notifikasi_20221221-080320155.pdf</t>
  </si>
  <si>
    <t>SCXP0068</t>
  </si>
  <si>
    <t>XPO0068-001</t>
  </si>
  <si>
    <t>Remake Halaman Notifikasi Xpora - Pada menu notifikasi jika kondisi state terisi pastikan terdapat :
1. Load More
2. Jumlah item standar memiliki 10 item, tiap item berisikan:
- Pesan notifikasi
- Waktu notifikasi
- Ikon notifikasi
- tombol dapat di klik ke area notifikasi</t>
  </si>
  <si>
    <t>Pada menu notifikasi jika kondisi state terisi pastikan terdapat :
1. Load More
2. Jumlah item standar memiliki 10 item, tiap item berisikan:
- Pesan notifikasi
- Waktu notifikasi
- Ikon notifikasi
- tombol dapat di klik ke area notifikasi</t>
  </si>
  <si>
    <t>SCXP0068 - Cek Notifikasi_20221017-090317054.pdf</t>
  </si>
  <si>
    <t>SCXP0068 - Cek Notifikasi_20221221-081241585.pdf</t>
  </si>
  <si>
    <t>SCXP0069</t>
  </si>
  <si>
    <t>XPO0069-001</t>
  </si>
  <si>
    <t>Remake Halaman Notifikasi Xpora - Pastikan user mendapatkan notifikasi ketika akun user sudah berhasil terverifikasi</t>
  </si>
  <si>
    <t>Pastikan user mendapatkan notifikasi ketika akun user sudah berhasil terverifikasi</t>
  </si>
  <si>
    <t>SCXP0069 - Notifikasi User_20221017-085525274.pdf</t>
  </si>
  <si>
    <t>SCXP0070</t>
  </si>
  <si>
    <t>XPO0070-001</t>
  </si>
  <si>
    <t>Remake Halaman Notifikasi Xpora - Pastikan user diasopra mendapatkan Notifikasi terdiri dari :
1. Menunggu approval market request
2. Notif Approve ataupun reject market request</t>
  </si>
  <si>
    <t>Pastikan user diasopra mendapatkan Notifikasi terdiri dari :
1. Menunggu approval market request
2. Notif Approve ataupun reject market request</t>
  </si>
  <si>
    <t>SCXP0070 - Notifikasi Diaspora_20221018-085414621.pdf</t>
  </si>
  <si>
    <t>SCXP0070 - Notifikasi Diaspora_20221221-083900671.pdf</t>
  </si>
  <si>
    <t>SCXP0071</t>
  </si>
  <si>
    <t>XPO0071-001</t>
  </si>
  <si>
    <t>Remake Halaman Notifikasi Xpora - Pastikan user eksportir mendapatkan Notifikasi terdiri dari:
1. Menunggu approval submit komoditas
2. Notif Approve ataupun reject komoditas</t>
  </si>
  <si>
    <t>Pastikan user eksportir mendapatkan Notifikasi terdiri dari:
1. Menunggu approval submit komoditas
2. Notif Approve ataupun reject komoditas</t>
  </si>
  <si>
    <t>SCXP0071 - Notifikasi Eksportir_20221018-134618434.pdf</t>
  </si>
  <si>
    <t>SCXP0071 - Notifikasi Eksportir_20221221-085230501.pdf</t>
  </si>
  <si>
    <t>SCXP0072</t>
  </si>
  <si>
    <t>XPO0072-001</t>
  </si>
  <si>
    <t>Remake Halaman Notifikasi Xpora - Memastikan notifikasi untuk Matchmaking Log akun Diaspora dan Eskportir terdiri dari:
1. Tampil norifikasi Setelah approval penawaran
2. Tampil notifikasi invitation meeting dan dipastikan bukan untuk meeting backdate
3. Tampil notifikasi ketika update sales kontrak
4. Tampil notifikasi ketika input atau remove dokumen pembayaran
5. Tampil notifikasi ketika input atau remove bill of lading
6. Tampil notifikasi ketika mendapatkan foto pengiriman
7. Tampil notifikasi ketika mendapatkan foto penerimaan
8. Tampil notifikasi setelah user menyelesaikan rangkaian ekspor
9. Tampil notifikasi unutk user memberikan feedback</t>
  </si>
  <si>
    <t>Memastikan notifikasi untuk Matchmaking Log akun Diaspora dan Eskportir terdiri dari:
1. Tampil norifikasi Setelah approval penawaran
2. Tampil notifikasi invitation meeting dan dipastikan bukan untuk meeting backdate
3. Tampil notifikasi ketika update sales kontrak
4. Tampil notifikasi ketika input atau remove dokumen pembayaran
5. Tampil notifikasi ketika input atau remove bill of lading
6. Tampil notifikasi ketika mendapatkan foto pengiriman
7. Tampil notifikasi ketika mendapatkan foto penerimaan
8. Tampil notifikasi setelah user menyelesaikan rangkaian ekspor
9. Tampil notifikasi unutk user memberikan feedback</t>
  </si>
  <si>
    <t>1. Setelah buat penawaran dikomoditas menuju ke admin approval terus menuju menu matchamking ? machmaking log ? approve setelah di approve muncul notif komoditas diapprove. 
2. Setelah di approve, admin nanti bisa buat jadwal meeting &gt; muncul notifikasi meeting created
3. Setelah selesai meeting nanti di input hasil meeting &gt; muncul notifikasi sales
4. Klik button dokumen pembayaran isi form &gt; muncul notifikasi input pembayaran (issue untuk button removed belum ada)
5, 6, 7. Pilih dokumen pengiriman isi form &gt; notifikasi muncul
8, 9. Update status &gt; muncul notif</t>
  </si>
  <si>
    <t>SCXP0072 - Remake Halaman Notifikasi Xpora_20221027-152430877.pdf</t>
  </si>
  <si>
    <t>SCXP0072 - Remake Halaman Notifikasi Xpora_20221221-140955628.pdf</t>
  </si>
  <si>
    <t>SCXP0073</t>
  </si>
  <si>
    <t>XPO0073-001</t>
  </si>
  <si>
    <t>Remake Halaman Landing Business Expansion - Memastikan Pengunjung website Xpora dapat mengakses halaman Komoditas</t>
  </si>
  <si>
    <t>Memastikan Pengunjung website Xpora dapat mengakses halaman Komoditas</t>
  </si>
  <si>
    <t>1. klik beranda pada website Xpora
2. arahkan kursor pada menu “Fitur”
3. pilih menu “Ekspansi Market”
4. akan muncul menu “Market Request", "Komoditas Xpora", "Calender Event Business Matching" dan "Request Katalog"
5. klik “Komoditas Xpora”
6. terdapat halaman Komoditi</t>
  </si>
  <si>
    <t>Terdapat halaman komoditas yang dapat diakses pengunjung</t>
  </si>
  <si>
    <t>SCXP0073 - Remake Halaman Landing Business Expansion - Memastikan Pengunjung Website Xpora Dapat Mengakses Halaman Komoditas_20221010-153155273.pdf</t>
  </si>
  <si>
    <t>SCXP0073 - Halaman Komoditas_20221222-084711599.pdf</t>
  </si>
  <si>
    <t>SCXP0074</t>
  </si>
  <si>
    <t>XPO0074-001</t>
  </si>
  <si>
    <t>Remake Halaman Landing Business Expansion - Memastikan Pengunjung website Xpora dapat mengakses halaman Market Request</t>
  </si>
  <si>
    <t>Memastikan Pengunjung website Xpora dapat mengakses halaman Market Request</t>
  </si>
  <si>
    <t>1. klik beranda Xpora
2. arahkan kursor pada menu “Fitur”
3. klik menu "Ekspansi Market"
4. kemudian klik "Market Request"
5. terdapat halaman "New Request" dan "Populer Request"</t>
  </si>
  <si>
    <t>pengunjung dapat mengakses halaman Market Request</t>
  </si>
  <si>
    <t>SCXP0074 - Remake Halaman Landing Business Expansion - Memastikan Pengunjung Website Xpora Dapat Mengakses Halaman Market Request_20221010-155544821.pdf</t>
  </si>
  <si>
    <t>SCXP0074 - Permintaan Pasar_20221222-084847855.pdf</t>
  </si>
  <si>
    <t>SCXP0075</t>
  </si>
  <si>
    <t>XPO0075-001</t>
  </si>
  <si>
    <t>Remake Halaman Landing Business Expansion - Pengunjung website Xpora dengan pengguna Mobile dapat mengakses halaman Komoditas</t>
  </si>
  <si>
    <t>Pengunjung website Xpora dengan pengguna Mobile dapat mengakses halaman Komoditas</t>
  </si>
  <si>
    <t xml:space="preserve">1. Klik Beranda Xpora
2. Pilih “Menu Lainnya”
3. terdapat menu pop up, pilih menu “Ekspansi Market”
4. akan mucul halaman Komoditi
</t>
  </si>
  <si>
    <t>pengunjung dapat mengakses halaman komoditas</t>
  </si>
  <si>
    <t>SCXP0076</t>
  </si>
  <si>
    <t>XPO0076-001</t>
  </si>
  <si>
    <t>Remake Halaman Landing Business Expansion - Pengunjung dengan pengguna Mobile dapat mengakses halaman Market Request</t>
  </si>
  <si>
    <t>Pengunjung dengan pengguna Mobile dapat mengakses halaman Market Request</t>
  </si>
  <si>
    <t xml:space="preserve">
1. klik “Menu Lainnya" 
2. terdapat menu pop up, pilih menu “Ekspansi Market” 4.Scroll sampai pada menu “New Request” dan “Populer Request”
5. pada halaman “Categories” pengunjung dapat menetukan kategori “Sort By” atau “Filter By”
6. pada kategori “Sort By” pengunjung dapat memilih : Latest / Oldest
7. pada kategori “Filter By” pengunjung dapat memilih : 30 days ago / Today / Last Week / Yesterday / Lest Month, Inconterms, Country, Category, dan Country Of Destination”
8. klik “Apply Filter”</t>
  </si>
  <si>
    <t>1. Pengunjung dapat mengakses halaman  “New Request” dan “Populer Request” dan halaman “Categories”
2. Pengunjung dapat apply filter</t>
  </si>
  <si>
    <t>SCXP0077</t>
  </si>
  <si>
    <t>XPO0077-001</t>
  </si>
  <si>
    <t>Remake Halaman Landing Business Expansion - Pada menu "Business Matching" Pengunjung dapat melihat area jadwal kegiatan dan dapat memastikan area pendaftaran komoditas dan area pendaftaran market request dapat dilakukan</t>
  </si>
  <si>
    <t>Pada menu "Business Matching" Pengunjung dapat melihat area jadwal kegiatan dan dapat memastikan area pendaftaran komoditas dan area pendaftaran market request dapat dilakukan</t>
  </si>
  <si>
    <t>1. Arahkan kursor ke Menu "Fitur"
2. Pilih Submenu "Ekpansi Market"
3. Akan tampil halaman "Ekspansi Market"</t>
  </si>
  <si>
    <t>Terdapat "Jadwal kegiatan" pada bagian atas halaman Komoditas Xpora dimana pengunjung dapat melihat area jadwal kegiatan tersebut</t>
  </si>
  <si>
    <t>SCXP0077 - Remake Halaman Landing Business Expansion - Pada Menu Business Matching Pengunjung Dapat Melihat Area Jadwal Kegiatan dan Area Pendaftaran Komoditas_20221010-162444854.pdf</t>
  </si>
  <si>
    <t>SCXP0077 - Ekspansi Bisnis_20221222-085852830.pdf</t>
  </si>
  <si>
    <t>SCXP0078</t>
  </si>
  <si>
    <t>XPO0078-001</t>
  </si>
  <si>
    <t>Remake Halaman Landing Business Expansion - Terdapat Kalender Kegiatan dimana -Greyed Out (sudah lewat tanggal sekarang) -Blue (masih aktif) -Hover (pop up dan shadowed) -Alternate background color on mobile -Arrow prev dan next</t>
  </si>
  <si>
    <t>Terdapat Kalender Kegiatan dimana -Greyed Out (sudah lewat tanggal sekarang) -Blue (masih aktif) -Hover (pop up dan shadowed) -Alternate background color on mobile -Arrow prev dan next</t>
  </si>
  <si>
    <t>1. Buka website Xpora
2. Pada halaman homepage terdapat menu "Jadwal Kegiatan"
3. Arahkan kursor ke menu tersebut
4. Pastikan kegiatan yang sudah terlewat berwarna Greyed Out
5. Kegiatan yang aktfi berwarna "Biru"
6. Arahkan kursor pada kegiatan yang aktif pastikan memiliki fitur Pop-up dan shadowed pada bagian kegiatan aktif yang dipilih
7. Pastikan memiliki panah prev dan next untuk menggeser kegiatan yang tersedia</t>
  </si>
  <si>
    <t>Pada Jadwal kegiatan, fitur greyed out, hover, pop-up dan tombol Prev Next terdapat pada jadwal kegiatan yang berada pada halaman "Ekspansi market"</t>
  </si>
  <si>
    <t>SCXP0078 - Kalender Kegiatan_20221019-091304160.pdf</t>
  </si>
  <si>
    <t>SCXP0078 - Kalender Kegiatan_20221221-090846029.pdf</t>
  </si>
  <si>
    <t>SCXP0079</t>
  </si>
  <si>
    <t>XPO0079-001</t>
  </si>
  <si>
    <t>Halaman Daftar Komoditas (Diaspora) - Memastikan pengunjung dapat melihat semua daftar komoditas</t>
  </si>
  <si>
    <t>Memastikan pengunjung dapat melihat semua daftar komoditas</t>
  </si>
  <si>
    <t>1. Buka website Xpora
2. Pilih Menu "Fitur" pada halaman homepage
3. Pilih submenu "Ekspansi Market"
4. Plih "Komoditas Xpora"
5. Scroll pada halaman ini untuk melihat All Komoditas yang tersedia</t>
  </si>
  <si>
    <t>Semua Komoditas tampil di halaman Komodtias Xpora</t>
  </si>
  <si>
    <t>SCXP0079 - Halaman Komoditas (Diaspora) - Memastikan Pengunjung Dapat Melihat Semua Daftar Komoditas_20221011-095713359.pdf</t>
  </si>
  <si>
    <t>SCXP0079 - Daftar Komoditas_20221222-090707226.pdf</t>
  </si>
  <si>
    <t>SCXP0080</t>
  </si>
  <si>
    <t>XPO0080-001</t>
  </si>
  <si>
    <t>Halaman Daftar Komoditas (Diaspora) - Memastikan pengunjung dapat melihat detail Komoditas dengan memilih salah satu Komoditas yang tersedia</t>
  </si>
  <si>
    <t>Memastikan pengunjung dapat melihat detail Komoditas dengan memilih salah satu Komoditas yang tersedia</t>
  </si>
  <si>
    <t>1. Pada Halaman Komoditas Xpora, Pilih salah satu Komoditas yang tersedia
2. Akan tampil detial komoditas yang dipilih sebelumnya</t>
  </si>
  <si>
    <t>Komoditas yang dipilih tampil dengan halaman jendela yang menampilkan info detail komodtias tersebut</t>
  </si>
  <si>
    <t>SCXP0080 - Halaman Daftar Komoditas (Diaspora) - Memastikan Pengunjung Dapat Melihat Detail Komoditas_20221011-112058581.pdf</t>
  </si>
  <si>
    <t>SCXP0080 - Detail Komoditas_20221222-091123295.pdf</t>
  </si>
  <si>
    <t>SCXP0081</t>
  </si>
  <si>
    <t>XPO0081-001</t>
  </si>
  <si>
    <t>Halaman Daftar Komoditas (Diaspora) - Lakukan Login dengan akun Diaspora, akan tampil landing page terdiri dari :
1. Area Jadwal Kegiatan
2. Landing Page Otomatis berubah menjadi dashboard Diaspora yang menampilkan info tentang komoditas</t>
  </si>
  <si>
    <t>Lakukan Login dengan akun Diaspora, akan tampil landing page terdiri dari :
1. Area Jadwal Kegiatan
2. Landing Page Otomatis berubah menjadi dashboard Diaspora yang menampilkan info tentang komoditas</t>
  </si>
  <si>
    <t>1. Pilih tombol "Masuk"
2. masukkan username dan password dengan akun diaspora
3. Setelah login user akan berada pada landing page yang menampilkan info komoditas dan Area Jadwal Kegiatan</t>
  </si>
  <si>
    <t>User yang melakukan login dengan akun Diaspora, setelah berhasil login berikutnya tampil halaman landing page dashboard Diaspora yang terdiri Area Jadwal kegiatan dan Daftar komoditas yang tersedia</t>
  </si>
  <si>
    <t>SCXP0081 - Halaman Daftar Komoditas (Diaspora)_20221011-103731427.pdf</t>
  </si>
  <si>
    <t>SCXP0081 - Landing Page_20221222-092703490.pdf</t>
  </si>
  <si>
    <t>SCXP0082</t>
  </si>
  <si>
    <t>XPO0082-001</t>
  </si>
  <si>
    <t>Halaman Daftar Komoditas (Diaspora) - Memastikan memiliki halaman apply komoditas</t>
  </si>
  <si>
    <t>Memastikan memiliki halaman apply komoditas</t>
  </si>
  <si>
    <t>1. Pilih salah satu komoditas yang tersedia
2. Muncul jendela detail komoditas
3. halaman Apply Komoditas tampil berupa Form Pengajuan</t>
  </si>
  <si>
    <t>Halaman Apply komoditas tersedia untuk akun Diaspora</t>
  </si>
  <si>
    <t>SCXP0082 - Apply Komoditas_20221017-113343321.pdf</t>
  </si>
  <si>
    <t>SCXP0082 - Apply Komoditas_20221221-091809734.pdf</t>
  </si>
  <si>
    <t>SCXP0083</t>
  </si>
  <si>
    <t>XPO0083-001</t>
  </si>
  <si>
    <t>Halaman Daftar Komoditas (Diaspora) - Memastikan pada penambahan bagian pada pemilihan market request yang telah dimiliki sebagai berikut :
- ketika memilih market request, maka form akan auto fill dengan value dari market request yang dipilih
- dapat di edit
- Ketika di edit, pastikan request market yang di edit akan di treat sebagai submisi baru
- pada proses approval dapat dilakukan di level matchmaking log
- tidak di tampilkan secara publik</t>
  </si>
  <si>
    <t>Memastikan pada penambahan bagian pada pemilihan market request yang telah dimiliki sebagai berikut :
- ketika memilih market request, maka form akan auto fill dengan value dari market request yang dipilih
- dapat di edit
- Ketika di edit, pastikan request market yang di edit akan di treat sebagai submisi baru
- pada proses approval dapat dilakukan di level matchmaking log
- tidak di tampilkan secara publik</t>
  </si>
  <si>
    <t>1. Buka website Xpora, kemudian user login menggunakan akun Diaspora
2. Masukkan username dan password berikut capcha
3. User akan di redirect langsung ke halaman Dashboard
4. Pilih "Request List" untuk melihat daftar "request market" yang telah diajukan
5. Pilih salah satu "Request Market", akan tampil Form auto fill dengan value dari market request yang dipilih
6. Pastikan semua data di form dapat di edit
7. Setelah "Request Market" di edit akan menjadi submisi baru
8. Submisi baru akan muncul dalam menu Matchmaking Log" untuk menunggu proses Approval dari admin
9. Request Market yang diajukan bersifat pribadi, tidak dapat ditampilkan ke publik</t>
  </si>
  <si>
    <t>Pada pemilihan "Request Market" yang dipilih data pada form auto fill dengan market request yang dipilih, dan dapat di edit yang akan dianggap menjadi submisi baru. Kemudian menunggu proses approval yang masuk di bagian Matchmaking Log.</t>
  </si>
  <si>
    <t>SCXP0083 - Permintaan Pasar_20221123-103922430.pdf</t>
  </si>
  <si>
    <t>SCXP0083 - Permintaan Pasar_20221222-101513930.pdf</t>
  </si>
  <si>
    <t>SCXP0084</t>
  </si>
  <si>
    <t>XPO0084-001</t>
  </si>
  <si>
    <t>Halaman Daftar Komoditas (Diaspora) - Memastikan dapat terintegrasi dalam pembuatan offering komoditas</t>
  </si>
  <si>
    <t>Memastikan dapat terintegrasi dalam pembuatan offering komoditas</t>
  </si>
  <si>
    <t>1. Buka website Xpora
2. Pada halaman dashboard skrol kebawah untuk memilih komodtias yang tersedia
3. klik salah satu komodtias
4. Pastikan pada Detail Halaman Komoditas terdapat tombol "Buat Penawaran"</t>
  </si>
  <si>
    <t>Terintegrasi dengan penawaran komodtias ketika memilih komoditas yagn tersedia</t>
  </si>
  <si>
    <t>SCXP0084 - Halaman Daftar Komoditas (Diaspora) - Memastikan Dapat Terintegrasi Dalam Pembuatan Offering Komoditas_20221011-113758834.pdf</t>
  </si>
  <si>
    <t>SCXP0084 - Penawaran Komoditas_20221223-092011258.pdf</t>
  </si>
  <si>
    <t>SCXP0085</t>
  </si>
  <si>
    <t>XPO0085-001</t>
  </si>
  <si>
    <t>Halaman Daftar Request (Eksportir) - Memastikan pengunjung dapat melihat semua daftar Market Request</t>
  </si>
  <si>
    <t>Memastikan pengunjung dapat melihat semua daftar Market Request</t>
  </si>
  <si>
    <t>1. Buka website Xpora
2. Pilih Menu "Fitur" pada halaman homepage
3. Pilih submenu "Ekspansi Market"
4. Plih "Market Request"
5. Scroll pada halaman ini untuk melihat All Market Request yang tersedia</t>
  </si>
  <si>
    <t>Halaman "All Market Request" tampil ketika pengunjung memilih menu "Market Request"</t>
  </si>
  <si>
    <t>SCXP0085 - Halaman Daftar Request (Eksportir) - Memastikan Pengunjung Dapat Melihat Semua Daftar Market Request_20221011-120040586.pdf</t>
  </si>
  <si>
    <t>SCXP0085 - Permintaan Pasar_20221223-092817156.pdf</t>
  </si>
  <si>
    <t>SCXP0086</t>
  </si>
  <si>
    <t>XPO0086-001</t>
  </si>
  <si>
    <t>Halaman Daftar Request (Eksportir) - Memastikan pengunjung dapat melihat detail Market Request dengan memilih salah satu Market Request yang tersedia</t>
  </si>
  <si>
    <t>Memastikan pengunjung dapat melihat detail Market Request dengan memilih salah satu Market Request yang tersedia</t>
  </si>
  <si>
    <t>1. Pada Halaman Market Request, Pilih salah satu Market Request yang tersedia
2. Akan tampil detial Market Request yang dipilih sebelumnya</t>
  </si>
  <si>
    <t>Halaman "Detail Market Request" bisa di akses ketika memilih Markter Request yang tersedia di halaman menu "Market Request"</t>
  </si>
  <si>
    <t>SCXP0086 - Halaman Daftar Request (Eksportir) - Memastikan Pengunjung Dapat Melihat Detail Market Request Salah Satu Market Request_20221012-104705181.pdf</t>
  </si>
  <si>
    <t>SCXP0086 - Detail Per Pasar_20221223-095530830.pdf</t>
  </si>
  <si>
    <t>SCXP0087</t>
  </si>
  <si>
    <t>XPO0087-001</t>
  </si>
  <si>
    <t>Halaman Daftar Request (Eksportir) - Lakukan Login dengan akun Eksportir, akan tampil landing page terdiri dari :
1. Area Jadwal Kegiatan
2. Landing Page Otomatis berubah menjadi dashboard Eksportir yang menampilkan info tentang Market Request</t>
  </si>
  <si>
    <t>Lakukan Login dengan akun Eksportir, akan tampil landing page terdiri dari :
1. Area Jadwal Kegiatan
2. Landing Page Otomatis berubah menjadi dashboard Eksportir yang menampilkan info tentang Market Request</t>
  </si>
  <si>
    <t>1. Pilih tombol "Masuk"
2. masukkan username dan password dengan akun Eksportir
3. Setelah login user akan berada pada landing page yang menampilkan info Market Request dan Area Jadwal Kegiatan</t>
  </si>
  <si>
    <t>User yang melakukan login dengan akun Eksporitr, setelah berhasil login berikutnya tampil halaman landing page dashboard Eksportir yang terdiri Area Jadwal kegiatan dan Daftar Market Request yang tersedia</t>
  </si>
  <si>
    <t>SCXP0087 - Halaman Daftar Request (Eksportir) - Lakukan Login Dengan Akun Eksportir_20221012-110008343.pdf</t>
  </si>
  <si>
    <t>SCXP0087 - Landing Page_20221223-100015029.pdf</t>
  </si>
  <si>
    <t>SCXP0088</t>
  </si>
  <si>
    <t>XPO0088-001</t>
  </si>
  <si>
    <t>Halaman Daftar Request (Eksportir) - Memastikan memiliki halaman apply Market Request</t>
  </si>
  <si>
    <t>Memastikan memiliki halaman apply Market Request</t>
  </si>
  <si>
    <t>1. Pilih salah satu market request yang tersedia
2. Muncul jendela detail request
3. halaman Apply request tampil berupa Form Pengajuan</t>
  </si>
  <si>
    <t>Halaman Apply Request tersedia untuk akun Diaspora</t>
  </si>
  <si>
    <t>SCXP0088 - Halaman Daftar Request (Eksportir) - Memastikan Memiliki Halaman Apply Market Request_20221012-134754648.pdf</t>
  </si>
  <si>
    <t>SCXP0088 - Form Penawaran_20221223-100543056.pdf</t>
  </si>
  <si>
    <t>SCXP0089</t>
  </si>
  <si>
    <t>XPO0089-001</t>
  </si>
  <si>
    <t>Halaman Daftar Request (Eksportir) - Memastikan pada penambahan bagian pada pemilihan komoditas yang telah dimiliki sebagai berikut :
- ketika memilih komoditas, maka form akan auto fill dengan value dari komoditas yang dipilih
- dapat di edit
- Ketika di edit, pastikan komoditas yang di edit akan di treat sebagai submisi baru
- pada proses approval dapat dilakukan di level matchmaking log
- tidak di tampilkan secara publik</t>
  </si>
  <si>
    <t>Memastikan pada penambahan bagian pada pemilihan komoditas yang telah dimiliki sebagai berikut :
- ketika memilih komoditas, maka form akan auto fill dengan value dari komoditas yang dipilih
- dapat di edit
- Ketika di edit, pastikan komoditas yang di edit akan di treat sebagai submisi baru
- pada proses approval dapat dilakukan di level matchmaking log
- tidak di tampilkan secara publik</t>
  </si>
  <si>
    <t>1. Buka website Xpora, kemudian user login menggunakan akun Eksportir
2. Masukkan username dan password berikut capcha
3. User akan di redirect langsung ke halaman Dashboard
4. Pilih "Comodity List" untuk melihat daftar "Komoditas" yang telah diajukan
5. Pilih salah satu "Komoditas", akan tampil Form auto fill dengan value dari komoditas yang dipilih
6. Pastikan semua data di form dapat di edit
7. Setelah "Komodtias" di edit akan menjadi submisi baru
8. Submisi baru akan muncul dalam menu "Matchmaking Log" untuk menunggu proses Approval dari admin
9. Komodtias yang diajukan bersifat pribadi, tidak dapat ditampilkan ke publik</t>
  </si>
  <si>
    <t>Pada pemilihan "Komoditas" yang dipilih data pada form auto fill dengan komoditas yang dipilih, dan dapat di edit yang akan dianggap menjadi submisi baru. Kemudian meunggu proses approval yang masuk di bagian Matchmaking Log.</t>
  </si>
  <si>
    <t>SCXP0089 - Penambahan Komoditas_20221020-100927149.pdf</t>
  </si>
  <si>
    <t>SCXP0089 - Penambahan Komoditas_20221223-110037501.pdf</t>
  </si>
  <si>
    <t>SCXP0090</t>
  </si>
  <si>
    <t>XPO0090-001</t>
  </si>
  <si>
    <t>Halaman Daftar Request (Eksportir) - Memastikan dapat terintegrasi dalam pembuatan offering market request</t>
  </si>
  <si>
    <t>Memastikan dapat terintegrasi dalam pembuatan offering market request</t>
  </si>
  <si>
    <t>1. Buka website Xpora
2. Pada halaman dashboard skrol kebawah untuk memilih market request yang tersedia
3. klik salah satu market request
4. Pastikan pada Detail Halaman Komoditas terdapat tombol "Buat Penawaran"</t>
  </si>
  <si>
    <t>Terintegrasi dengan penawaran market request yang tersedia ketika memilih market request yagn tersedia</t>
  </si>
  <si>
    <t>SCXP0090 - Halaman Daftar Request (Eksportir) - Memastikan Dapat Terintegrasi Dalam Pembuatan Offering Market Request_20221012-151301947.pdf</t>
  </si>
  <si>
    <t>SCXP0090 - Halaman Daftar Request (Eksportir)_20221223-131242577.pdf</t>
  </si>
  <si>
    <t>SCXP0091</t>
  </si>
  <si>
    <t>XPO0091-001</t>
  </si>
  <si>
    <t>Halaman Matchmaking Log - Memastikan User dengan akun Eksportir, setelah melakukan pengisian form pengajuan penambahan komoditas sampai dengan tuntas, user akan dialihkan langsung kehalaman Matchmaking Log yang berisikan Daftar Pengajuan Komoditas yang telah diajukan</t>
  </si>
  <si>
    <t>Memastikan User dengan akun Eksportir, setelah melakukan pengisian form pengajuan penambahan komoditas sampai dengan tuntas, user akan dialihkan langsung kehalaman Matchmaking Log yang berisikan Daftar Pengajuan Komoditas yang telah diajukan</t>
  </si>
  <si>
    <t>1. Buka website Xpora
2. user Login menggunakan Akun Eksportir
3. Arahkan Kursor ke tombol "Logo Akun"
4. pilih "Dashboard"
5. Pada Halaman dashboard terdapat Menu Matchmaking Log yang berisikan Daftar pengajuan Komoditas</t>
  </si>
  <si>
    <t>Halaman Matchmaking Log tampil setelah user mengisi pengajuan komoditas</t>
  </si>
  <si>
    <t>SCXP0091 - Matchmaking Log_20221017-123052596.pdf</t>
  </si>
  <si>
    <t>SCXP0091 - Matchmaking Log_20221223-110933459.pdf</t>
  </si>
  <si>
    <t>SCXP0092</t>
  </si>
  <si>
    <t>XPO0092-001</t>
  </si>
  <si>
    <t>Halaman Matchmaking Log - Memastikan User dengan akun Diaspora, setelah melakukan pengisian form pengajuan penambahan Request sampai dengan tuntas, user akan dialihkan langsung kehalaman Matchmaking Log yang berisikan Daftar Pengajuan Request yang telah diajukan</t>
  </si>
  <si>
    <t>Memastikan User dengan akun Diaspora, setelah melakukan pengisian form pengajuan penambahan Request sampai dengan tuntas, user akan dialihkan langsung kehalaman Matchmaking Log yang berisikan Daftar Pengajuan Request yang telah diajukan</t>
  </si>
  <si>
    <t>1. Buka website Xpora
2. user Login menggunakan Akun Diaspora
3. Arahkan Kursor ke tombol "Logo Akun"
4. pilih "Dashboard"
5. Pada halaman dashboard terdapat Menu Matchmaking Log yang berisikan daftar pengajuan Market request</t>
  </si>
  <si>
    <t>Halaman Matchmaking Log tampil setelah user mengisi pengajuan Permintaan Pasar</t>
  </si>
  <si>
    <t>SCXP0092 - Matchmaking Log_20221017-121906868.pdf</t>
  </si>
  <si>
    <t>SCXP0092 - Matchmaking Log_20221223-111258100.pdf</t>
  </si>
  <si>
    <t>SCXP0093</t>
  </si>
  <si>
    <t>XPO0093-001</t>
  </si>
  <si>
    <t>Halaman Matchmaking Log - Memastikan user dengan akun Eksportir dan Diaspora pada halaman "Dashboard" Matchmaking Log Section hanya 2 item saja</t>
  </si>
  <si>
    <t>Memastikan user dengan akun Eksportir dan Diaspora pada halaman "Dashboard" Matchmaking Log Section hanya 2 item saja</t>
  </si>
  <si>
    <t>1. Buka website Xpora
2. Login menggunakan akun "Eksportir" "maupun "Diaspora"
3. User akan di redirect ke halaman Dashboard
4. Pastikan "Matchmaking Log Section" hanya ada 2 item</t>
  </si>
  <si>
    <t>pada Matchmaking Log di halaman dashboard memiliki 2 item</t>
  </si>
  <si>
    <t>SCXP0093 - Halaman Matchmaking Log_20221014-112546898.pdf</t>
  </si>
  <si>
    <t>SCXP0093 - Halaman Matchmaking Log_20221223-134652812.pdf</t>
  </si>
  <si>
    <t>SCXP0094</t>
  </si>
  <si>
    <t>XPO0094-001</t>
  </si>
  <si>
    <t>Halaman Matchmaking Log - Memastikan pada Daftar Matchmaking log memiliki fitur filter dan memiliki fitur pagination untuk halaman Matchmaking Log</t>
  </si>
  <si>
    <t>Memastikan pada Daftar Matchmaking log memiliki fitur filter dan memiliki fitur pagination untuk halaman Matchmaking Log</t>
  </si>
  <si>
    <t>1. Pada Dashboard "Eskportir" maupun "Diaspora" pilih tombol "Filter" pada bagian "Matchmaking Log"
2. Pastikan Matchmaking Log memiliki fitur "Pagination"</t>
  </si>
  <si>
    <t>Matchmaking Log Memiliki fitur filter dan fitur Pagination ketika melihat semua Matchmaking Log</t>
  </si>
  <si>
    <t>SCXP0094 - Halaman Matchmaking Log_20221213-132951162.pdf</t>
  </si>
  <si>
    <t>SCXP0094 - Halaman Matchmaking Log_20221223-140936083.pdf</t>
  </si>
  <si>
    <t>SCXP0095</t>
  </si>
  <si>
    <t>XPO0095-001</t>
  </si>
  <si>
    <t>Halaman Matchmaking Log - Pada Detail Matchmaking Log harus terdapat :
- Exportir Name, Diaspora Name, Matchmaking ID, dan tanggal Matchmaking
- Terdapat section update progress matcmaking
- terdapat section dokumen matchmaking seperti sales contact, bill of lading, dang payment
- terdapat detail market request
- Terdapat detail komoditas
- tersedia Feedback accesible setelah done</t>
  </si>
  <si>
    <t>Pada Detail Matchmaking Log harus terdapat :
- Exportir Name, Diaspora Name, Matchmaking ID, dan tanggal Matchmaking
- Terdapat section update progress matcmaking
- terdapat section dokumen matchmaking seperti sales contact, bill of lading, dang payment
- terdapat detail market request
- Terdapat detail komoditas
- tersedia Feedback accesible setelah done</t>
  </si>
  <si>
    <t>1. Masih pada Dashboard "Eksportir" maupun "Diaspora" pilih kearah menu "Matchmaking Log"
2. Pilih salah satu Matchmaking log
3. Pastikan pada List "Matchmaking Log" terdapat detail :
- nama "Eksportir" atau "Diaspora", Matchmaking ID, dan tanggal Matchmaking
- Section Update Progress Matchmaking
- Section dokumen Matchmaking seperti sales contact, bill of lading dan payment
- Pastikan terdapat detail market request maupun eksportir
- Pastikan tersedia feedback accesible</t>
  </si>
  <si>
    <t>1. Pada Detail Matchmaking Log terdapat detail-detail dari Eksportir maupun Diaspora
2. Tidak terdapat akses feedback pada bagian detail matchmaking log</t>
  </si>
  <si>
    <t>SCXP0095 - Matchmaking Log_20221021-094228545.pdf</t>
  </si>
  <si>
    <t>SCXP0095 - Halaman Matchmaking Log_20221226-091134456.pdf</t>
  </si>
  <si>
    <t>SCXP0096</t>
  </si>
  <si>
    <t>XPO0096-001</t>
  </si>
  <si>
    <t xml:space="preserve">Halaman Matchmaking Log - Pada bagian Admin memastikan proses sesuai dengan yang diajukan seperti :
- Approval
- Progress yang berjalan :
 * Setup Meeting, adalah meeting yang di input merupakan meeting hasil kesepakatan dari admin untuk akun dengan pengguna Eksportir maupun Diaspora
* email notifikasi dilakukan dari zoom
- Update data meliputi :
* Kontrak (hanya yang terbaru yang dapat dilihat client)
* Shipment (Dokumen Pengiriman, Foto Pengiriman, Foto Penerimaan)
- Proses Pembayaran
* DP atau bayar penuh
* Dokumen pembayaran ditampilkan semua
- adanya catatan lainnya
</t>
  </si>
  <si>
    <t>Pada bagian Admin memastikan proses sesuai dengan yang diajukan seperti :
- Approval
- Progress yang berjalan :
 * Setup Meeting, adalah meeting yang di input merupakan meeting hasil kesepakatan dari admin untuk akun dengan pengguna Eksportir maupun Diaspora
* email notifikasi dilakukan dari zoom
- Update data meliputi :
* Kontrak (hanya yang terbaru yang dapat dilihat client)
* Shipment (Dokumen Pengiriman, Foto Pengiriman, Foto Penerimaan)
- Proses Pembayaran
* DP atau bayar penuh
* Dokumen pembayaran ditampilkan semua
- adanya catatan lainnya</t>
  </si>
  <si>
    <t xml:space="preserve">1. Buka website admin Xpora
2. Isi username dan password admin
3. ketika sudah login, pilih menu "Matchmaking" pada bagian kiri
4. Pilih Submenu "Matchmaking Log"
5. Terdapat List "Matchmaking Log"
6. Klik Tombol "Detail" untuk melihat detail dari List pengajuan "Matchmaking Log"
</t>
  </si>
  <si>
    <t>SCXP0096 - Halaman Matchmaking Log_20221021-112638342.pdf</t>
  </si>
  <si>
    <t>SCXP0096 - Halaman Matchmaking Log_20221226-092525046.pdf</t>
  </si>
  <si>
    <t>SCXP0097</t>
  </si>
  <si>
    <t>XPO0097-001</t>
  </si>
  <si>
    <t>Submisi Posting Komoditas - Memastikan bahwa data yang sudah disubmit sebagai pengajuan dan mendapat approval dari admin, data akan muncul ke daftar komoditas yang di publis</t>
  </si>
  <si>
    <t>Memastikan bahwa data yang sudah disubmit sebagai pengajuan dan mendapat approval dari admin, data akan muncul ke daftar komoditas yang di publis</t>
  </si>
  <si>
    <t>1. Masuk ke halaman beranda Xpora                                                                                                                                                                                                        2. lakukan Login terlebih dulu                                                                                                                                                                                                                             3. klik menu "Fitur"                                                                                                                                                                                                                                          4. pilih menu "Ekspansi Market"                                                                                                                                                                                                                   5. klik menu "Komoditas Xpora"                                                                                                                                                                                                                           6. kemudian scroll sampai halaman komoditas                                                                                                                                                                                        7. Data terbaru yang telah di approve oleh admin akan muncul pada halaman "Komoditi Terbaru"</t>
  </si>
  <si>
    <t>Pengunjung/Admin dapat melihat data komoditas terbaru yang telah di approve</t>
  </si>
  <si>
    <t>SCXP0097 - Submisi Posting Komoditas_20221020-140527364.pdf</t>
  </si>
  <si>
    <t>SCXP0097 - Submisi Posting Komoditas_20221226-093327327.pdf</t>
  </si>
  <si>
    <t>SCXP0098</t>
  </si>
  <si>
    <t>XPO0098-001</t>
  </si>
  <si>
    <t>Submisi Posting Komoditas - Melakukan Pengecekan pada data ketika akan disubmit sebagai pengajuan, akan ada approval dari admin sebelum bisa di publish</t>
  </si>
  <si>
    <t>Melakukan Pengecekan pada data ketika akan disubmit sebagai pengajuan, akan ada approval dari admin sebelum bisa di publish</t>
  </si>
  <si>
    <t>1. Melakukan Login sebagai admin dengan memasukan Email dan password                                                                                                                                       2. Setelah Login, admin akan diarakan pada halaman Dashboard                                                                          3. Scroll pada menu dibawah Dashboard, pilih menu "Ekspansi Pasar"                                                                    4. klik menu Pengajuan</t>
  </si>
  <si>
    <t>admin dapat mengakses halaman pengajuan untuk melakukan pengecekan data</t>
  </si>
  <si>
    <t>SCXP0098 - Submisi Posting Komoditas_20221021-084057117.pdf</t>
  </si>
  <si>
    <t>SCXP0098 - Submisi Posting Komoditas_20221226-094301054.pdf</t>
  </si>
  <si>
    <t>SCXP0099</t>
  </si>
  <si>
    <t>XPO0099-001</t>
  </si>
  <si>
    <t>Submisi Posting Komoditas - Memastikan Submit Komoditas hanya dapat dilakukan setelah Login dan hanya dapat dilakukan oleh pengguna dengan Peran Eksportir</t>
  </si>
  <si>
    <t>Memastikan Submit Komoditas hanya dapat dilakukan setelah Login dan hanya dapat dilakukan oleh pengguna dengan Peran Eksportir</t>
  </si>
  <si>
    <t xml:space="preserve">Form komoditas berisikan data-data berikut:
- Nama Komoditas
   *Mandatory
- Kategori Komoditas
   *Mandatory
- Exwork Price
   *Mandatory
   *Currency (Hanya support USD dan IDR)
   *Price (Bilangan bulat tidak ada desimal)
- Kapasitas Produksi
   *Mandatory
   *Jumlah Kapasitas Produksi (Bilangan bulat tidak ada desimal)
   *Unit Kapasitas Produksi
-Minimum Quantity
   *Mandatory
   *Minimum Quantity Order (Bilangan bulat tidak ada desimal)
   *Minimum Quantity Order Unit
-Packaging
   *Mandatory
-HS Code
   *Mandatory
   *Otomatis terisi dari pemilihan kategori komoditas
   *Dapat di override oleh pengguna
-Detail Spesifikasi
   *Mandatory
-Upload Foto
   *Min. 1 foto
-Detail Tambahan:
   *Sub-Kateogri Komoditas (Dipilih dari sub-kategori komoditas (ada di reference document))
-Tipe Prosessing Komoditas
   *Raw
   *Processed
-Kapasitas per Packaging
   *Kapasitas per Packaging
   *Unit Kapasitas per Packaging
-Brand Name
-Feature Komoditas
-Shelf Life (Month)
   *Bilangan bulat tidak ada desimal
-Place of Origin (Negara)
   *Default Indonesia </t>
  </si>
  <si>
    <t>muncul menu pop up dimana pengunjung diminta Login</t>
  </si>
  <si>
    <t>SCXP0099 - Submisi Posting Komoditas_20221021-162412185.pdf</t>
  </si>
  <si>
    <t>SCXP0099 - Submisi Posting Komoditas_20221226-100614538.pdf</t>
  </si>
  <si>
    <t>SCXP0100</t>
  </si>
  <si>
    <t>XPO0100-001</t>
  </si>
  <si>
    <t>Submisi Posting Komoditas - Pengisian Submit Komoditas dengan pengunaan Mobile dapat dilakukan setelah Login dan hanya dapat dilakukan oleh Eksportir</t>
  </si>
  <si>
    <t>Pengisian Submit Komoditas dengan pengunaan Mobile dapat dilakukan setelah Login dan hanya dapat dilakukan oleh Eksportir</t>
  </si>
  <si>
    <t>1. klik beranda pada website Xpora 2. pilih "Menu Lainnya"                     3. pilih "Ekspansi Market"                 4. terdapat halaman komoditas              5. pilih "Posting Komoditas"              6. terdapat halaman dimana pengunjung diminta untuk melakukan Login</t>
  </si>
  <si>
    <t>terdapat halaman menu Login "Selamat Datang"</t>
  </si>
  <si>
    <t>SCXP0101</t>
  </si>
  <si>
    <t>XPO0101-001</t>
  </si>
  <si>
    <t>Submisi Posting Komoditas - Pengunjung dapat melihat history perubahan status dan catatan penolakan terhadap pengajuan komoditas, namun cuma catatan dan status terakhir yang ditampilkan</t>
  </si>
  <si>
    <t>Pengunjung dapat melihat history perubahan status dan catatan penolakan terhadap pengajuan komoditas, namun cuma catatan dan status terakhir yang ditampilkan</t>
  </si>
  <si>
    <t>1. Melakukan Login sebagai admin dengan memasukan Email dan password                                                                                                                                       2. Setelah Login, admin akan diarakan pada halaman Dashboard                                                                                                                                                          3. Scroll pada menu dibawah Dashboard, pilih menu "Posting"                                                                                                                                                               4. klik menu "Komoditas"                                                                                                                                                                                                                           5. Pilih salah satu data yang diinginkan, kemudia klik "Detail"                                                                                                                                                                           6. akan muncul halaman dari detail komoditas scroll halaman sampai halaman akhir akan terlihat History Of Approval                                                                                       7. Pada halaman tersebut admin masih dapat melakukan Reject data maupun Approval data</t>
  </si>
  <si>
    <t>Admin dapat mengakses halaman komoditas untuk melihat catatan dan status terakhir yang ditampilkan</t>
  </si>
  <si>
    <t>SCXP0101 - Submisi Posting Komoditas_20221020-153429789.pdf</t>
  </si>
  <si>
    <t>SCXP0101 - Submisi Posting Komoditas_20221226-102133932.pdf</t>
  </si>
  <si>
    <t>SCXP0102</t>
  </si>
  <si>
    <t>XPO0102-001</t>
  </si>
  <si>
    <t>Submisi Posting Market Request - Memastikan posting market request dapat dilakukan oleh user yang melakukan login pada website Xpora dan Memastikan akses market request dapat dilakukan dengan user Diaspora</t>
  </si>
  <si>
    <t>Memastikan posting market request dapat dilakukan oleh user yang melakukan login pada website Xpora dan Memastikan akses market request dapat dilakukan dengan user Diaspora</t>
  </si>
  <si>
    <t>1. Buka website Xpora
2. Pilih tombol Masuk untuk melakukan login
3. Masukkan Username dan password, akun yang digunakan merupakan user Diaspora</t>
  </si>
  <si>
    <t>User dapat Login menggunakan akun diaspora</t>
  </si>
  <si>
    <t>SCXP0102 - Submisi Posting Market Request_20221213-140229193.pdf</t>
  </si>
  <si>
    <t>SCXP0102 - Submisi Posting Market Request_20221226-102428350.pdf</t>
  </si>
  <si>
    <t>SCXP0103</t>
  </si>
  <si>
    <t>XPO0103-001</t>
  </si>
  <si>
    <t>Submisi Posting Market Request - Pengisian form berupa : 
* Nama Komoditas : Mandatory
* Kategori Komoditas : Mandatory, Daftar kategori komoditas
, autocomplete
* Komoditas Quality : Mandatory, Quantity (Bilangan Bulat), Unit
* Destinasi Negara : Mandatory
* Incontern / Jenis Pengiriman : Mandatory, radio Button (FOB, CIF, CNF, Other Input Manual
* Metode Pembayaran : Mandatory, Radio Button ( LC, T/T, Other Input Manual)
*Request Frequency : Mandatory, Dalam 1 tahun akan berapa kali request, Input Text
* Upload : min. 1 Poto</t>
  </si>
  <si>
    <t>Pengisian form berupa : 
* Nama Komoditas : Mandatory
* Kategori Komoditas : Mandatory, Daftar kategori komoditas
, autocomplete
* Komoditas Quality : Mandatory, Quantity (Bilangan Bulat), Unit
* Destinasi Negara : Mandatory
* Incontern / Jenis Pengiriman : Mandatory, radio Button (FOB, CIF, CNF, Other Input Manual
* Metode Pembayaran : Mandatory, Radio Button ( LC, T/T, Other Input Manual)
*Request Frequency : Mandatory, Dalam 1 tahun akan berapa kali request, Input Text
* Upload : min. 1 Poto</t>
  </si>
  <si>
    <t>1. Setelah User login
2. Klik Tombol Posting Request
3. Akan tampil halaman Posting Request Form yang terdiri dari Nama Komoditas, Kategori Komoditas, Komoditas Quality, Destinasi Negara, Incontern/Jenis Pengiriman, Metode Pembayaran, Request Frequency, dan Kolom Upload Poto</t>
  </si>
  <si>
    <t>Pada Posting Request Form terdapat Nama Komoditas, Kategori Komoditas, Komoditas Quality, Destinasi Negara, Incontern/Jenis Pengiriman, Metode Pembayaran, Request Frequency, dan Kolom Upload Poto</t>
  </si>
  <si>
    <t>SCXP0103 - Submisi Posting Market Request - Pengisian Form_20221018-085858197.pdf</t>
  </si>
  <si>
    <t>SCXP0103 - Submisi Posting Market Request_20221226-103445523.pdf</t>
  </si>
  <si>
    <t>SCXP0104</t>
  </si>
  <si>
    <t>XPO0104-001</t>
  </si>
  <si>
    <t>Submisi Posting Market Request - Memastikan pengisian data bisa di save sebagai
* Draf
* Pengajuan :
- Ketika disubmit sebagai pengajuan, akan ada approval dari admin sebelum bisa di publish
- Setelah di approve baru tampil ke daftar komoditas yang public</t>
  </si>
  <si>
    <t>Memastikan pengisian data bisa di save sebagai
* Draf
* Pengajuan :
- Ketika disubmit sebagai pengajuan, akan ada approval dari admin sebelum bisa di publish
- Setelah di approve baru tampil ke daftar komoditas yang public</t>
  </si>
  <si>
    <t>SCXP0104 - Permintaan Pasar_20221123-110227236.pdf</t>
  </si>
  <si>
    <t>SCXP0104 - Permintaan Pasar_20221226-122102923.pdf</t>
  </si>
  <si>
    <t>SCXP0105</t>
  </si>
  <si>
    <t>XPO0105-001</t>
  </si>
  <si>
    <t>Submisi Posting Market Request - Memastikan permintaan Market Request oleh user dengan tipe akun Diaspora dapat dilakukan apporval maupun reject oleh admin Xpora</t>
  </si>
  <si>
    <t>Memastikan permintaan Market Request oleh user dengan tipe akun Diaspora dapat dilakukan apporval maupun reject oleh admin Xpora</t>
  </si>
  <si>
    <t xml:space="preserve">1. User diharuskan login dengan menggunakan akun Diaspora
2. setelah login , pada dashboard pilih "Posting Request"
3. Isi Form permintaan pasar  sampai dengan selesai
4.  User Akan ditampilkan Halaman Daftar Permintaan
5. permintaan user akan dilakukan screening oleh Admin  </t>
  </si>
  <si>
    <t>User dengan akun Diaspora yang mengajukan permintaan pasar dapat di approve ataupun reject oleh admin Xpora</t>
  </si>
  <si>
    <t>SCXP0105 - Submisi Posting Market Request_20221019-145504974.pdf</t>
  </si>
  <si>
    <t>SCXP0105 - Submisi Posting Market Request_20221227-112251000.pdf</t>
  </si>
  <si>
    <t>SCXP0106</t>
  </si>
  <si>
    <t>XPO0106-001</t>
  </si>
  <si>
    <t>Submisi Posting Market Request - Setelah Admin xpora melakukan approval maupun reject, memastikan user mendapatkan history perubahan status dan catatan penolakan terhadap Market Request yang diajukan</t>
  </si>
  <si>
    <t>Setelah Admin xpora melakukan approval maupun reject, memastikan user mendapatkan history perubahan status dan catatan penolakan terhadap Market Request yang diajukan</t>
  </si>
  <si>
    <t>1. Buka Dashboard Diaspora
2. pilih tombol "Request List"
3. Akan muncul history perubahan status di approve maupun di reject
4. bagian reject memiliki catatan reject</t>
  </si>
  <si>
    <t>Terdapat history perubahan status dan catatan penolakan terhadap Market Request yang di Reject</t>
  </si>
  <si>
    <t>SCXP0106 - Submisi Posting Market Request_20221019-151907308.pdf</t>
  </si>
  <si>
    <t>SCXP0106 - Submisi Posting Market Request_20221227-115159408.pdf</t>
  </si>
  <si>
    <t>SCXP0107</t>
  </si>
  <si>
    <t>XPO0107-001</t>
  </si>
  <si>
    <t>Submisi Posting Market Request - Memastikan pada perubahan status dan catatan hanya permintaan terakhir yang dapat ditampilkan</t>
  </si>
  <si>
    <t>Memastikan pada perubahan status dan catatan hanya permintaan terakhir yang dapat ditampilkan</t>
  </si>
  <si>
    <t>1. Buka Dashboard Diaspora
2. pilih tombol "Request List"
3. Akan tampil halaman Daftar Permintaan</t>
  </si>
  <si>
    <t>permintaan user terakhir yang tampil ketika melakukan perubahan status dan catatan</t>
  </si>
  <si>
    <t>SCXP0107 - Submisi Posting Market Request_20221019-154026889.pdf</t>
  </si>
  <si>
    <t>SCXP0107 - Submisi Posting Market Request_20221227-115449786.pdf</t>
  </si>
  <si>
    <t>SCXP0108</t>
  </si>
  <si>
    <t>XPO0108-001</t>
  </si>
  <si>
    <t>Home Page - Terdapat contact xpora, logo xpora, dan alih bahasa pada header</t>
  </si>
  <si>
    <t>Terdapat contact xpora, logo xpora, dan alih bahasa pada header</t>
  </si>
  <si>
    <t>https://docs.google.com/document/d/1uRLUougp64tBM6EkXCorCqghATBkYB8Y/edit?usp=sharing&amp;ouid=110886663018735637046&amp;rtpof=true&amp;sd=true</t>
  </si>
  <si>
    <t>Sudah ada contact xpora, logo xpora, dan alih bahasa di header</t>
  </si>
  <si>
    <t>SCXP0108 - Cek Header_20221026-122141461.pdf</t>
  </si>
  <si>
    <t>SCXP0108 - Cek Header_20221227-122629817.pdf</t>
  </si>
  <si>
    <t>SCXP0109</t>
  </si>
  <si>
    <t>XPO0109-001</t>
  </si>
  <si>
    <t>Home Page - Pop up muncul Ketika diklik button “ Daftar Sebagai Eksportir” dan “Daftar Sebagai Diaspora”</t>
  </si>
  <si>
    <t>Pop up muncul Ketika diklik button “ Daftar Sebagai Eksportir” dan “Daftar Sebagai Diaspora”</t>
  </si>
  <si>
    <t>Pop up berhasil muncul ketika button diklik</t>
  </si>
  <si>
    <t>SCXP0109 - Pop Up Daftar_20221026-122659262.pdf</t>
  </si>
  <si>
    <t>SCXP0109 - Pop Up Daftar_20221227-122751834.pdf</t>
  </si>
  <si>
    <t>SCXP0110</t>
  </si>
  <si>
    <t>XPO0110-001</t>
  </si>
  <si>
    <t>Home Page - Bagian Permintaan Terbaru klik salah satu data akan beralih kehalaman detail data tersebut</t>
  </si>
  <si>
    <t>Bagian Permintaan Terbaru klik salah satu data akan beralih kehalaman detail data tersebut</t>
  </si>
  <si>
    <t>Berhasil beralih ke halaman detail permintaan</t>
  </si>
  <si>
    <t>SCXP0110 - Permintaan Terbaru_20221026-123431096.pdf</t>
  </si>
  <si>
    <t>SCXP0110 - Permintaan Terbaru_20221227-123734328.pdf</t>
  </si>
  <si>
    <t>SCXP0111</t>
  </si>
  <si>
    <t>XPO0111-001</t>
  </si>
  <si>
    <t>Home Page - Bagian Jadwal Kegiatan
Pelatihan dan Business Matching :
Untuk jadwal pelatihan yang sudah berlalu berwarna abu-abu dan untuk yang akan datang berwarna biru. Daftar Pelatihan yang akan datang &gt; Pop up login</t>
  </si>
  <si>
    <t>Bagian Jadwal Kegiatan
Pelatihan dan Business Matching :
Untuk jadwal pelatihan yang sudah berlalu berwarna abu-abu dan untuk yang akan datang berwarna biru. Daftar Pelatihan yang akan datang &gt; Pop up login</t>
  </si>
  <si>
    <t>Coloring font untuk Pelatihan dan Business Matching sudah sesuai dan untuk pelatihan yang akan datang berhasil muncul popup login ketika ingin mendaftar</t>
  </si>
  <si>
    <t>SCXP0111 - Jadwal Kegiatan_20221027-100300289.pdf</t>
  </si>
  <si>
    <t>SCXP0111 - Jadwal Kegiatan_20221227-130654562.pdf</t>
  </si>
  <si>
    <t>SCXP0112</t>
  </si>
  <si>
    <t>XPO0112-001</t>
  </si>
  <si>
    <t xml:space="preserve">Home Page - Bagian Permintaan Terpopuler Diaspora :
Peringkat 1st untuk Komoditas dan Negara hanya dapat dilihat setelah melakukan login
Klik button lihat semua permintaan pasar maka akan beralih ke halaman permintaan pasar </t>
  </si>
  <si>
    <t xml:space="preserve">Bagian Permintaan Terpopuler Diaspora :
Peringkat 1st untuk Komoditas dan Negara hanya dapat dilihat setelah melakukan login
Klik button lihat semua permintaan pasar maka akan beralih ke halaman permintaan pasar 
</t>
  </si>
  <si>
    <t>Urutan 1st sudah sesuai dan berhasil lihat semua permintaan populer</t>
  </si>
  <si>
    <t>SCXP0112 - Permintaan Populer_20221027-102310480.pdf</t>
  </si>
  <si>
    <t>SCXP0112 - Permintaan Populer_20221227-130823153.pdf</t>
  </si>
  <si>
    <t>SCXP0113</t>
  </si>
  <si>
    <t>XPO0113-001</t>
  </si>
  <si>
    <t>Home Page - Bagian cari pembeli di luar negeri : 
Klik button cari Mulai Mencari Pembeli maka akan beralih ke halaman permintaan pasar Klik button Posting Request &gt; muncul Pop up login</t>
  </si>
  <si>
    <t xml:space="preserve">Bagian cari pembeli di luar negeri : 
Klik button cari Mulai Mencari Pembeli maka akan beralih ke halaman permintaan pasar Klik button Posting Request &gt; muncul Pop up login
</t>
  </si>
  <si>
    <t>Berhasil beralih ke halaman permintaan pasar dan pop up login berhasil muncul</t>
  </si>
  <si>
    <t>SCXP0113 - Cari Pembeli Luar_20221027-102424314.pdf</t>
  </si>
  <si>
    <t>SCXP0113 - Cari Pembeli Luar_20221227-130936796.pdf</t>
  </si>
  <si>
    <t>SCXP0114</t>
  </si>
  <si>
    <t>XPO0114-001</t>
  </si>
  <si>
    <t>Home Page - Bagian footer terdapat logo xpora, kebijakan Privasi dan layanan, dan logo OJK dan LPS</t>
  </si>
  <si>
    <t>Bagian footer terdapat logo xpora, kebijakan Privasi dan layanan, dan logo OJK dan LPS</t>
  </si>
  <si>
    <t>Sudah ada logo xpora, OJK dan LPS dan untuk Kebijakan Privasi dan Layanan berhasil beralih kehalaman tersebut ketika diklik</t>
  </si>
  <si>
    <t>SCXP0114 - Cek Footer_20221028-100620483.pdf</t>
  </si>
  <si>
    <t>SCXP0114 - Cek Footer_20221227-131131302.pdf</t>
  </si>
  <si>
    <t>SCXP0115</t>
  </si>
  <si>
    <t>XPO0115-001</t>
  </si>
  <si>
    <t>Home Page - Masuk ke menu Fitur &gt; Ekspansi Bisnis &gt; Posting Komoditi atau Permintaan &gt; Pop Up login</t>
  </si>
  <si>
    <t>Masuk ke menu Fitur &gt; Ekspansi Bisnis &gt; Posting Komoditi atau Permintaan &gt; Pop Up login</t>
  </si>
  <si>
    <t>Pop up login berhasil muncul ketika akan melakukan posting komoditi atau Permintaan</t>
  </si>
  <si>
    <t>SCXP0115 - Pop Up Login_20221028-101021488.pdf</t>
  </si>
  <si>
    <t>SCXP0115 - Pop Up Login_20221227-131340995.pdf</t>
  </si>
  <si>
    <t>SCXP0116</t>
  </si>
  <si>
    <t>XPO0116-001</t>
  </si>
  <si>
    <t>Registrasi - Masuk ke portal client &gt; Klik button Daftar</t>
  </si>
  <si>
    <t>Masuk ke portal client &gt; Klik button Daftar</t>
  </si>
  <si>
    <t>Berhasil beralih ke popup Daftar</t>
  </si>
  <si>
    <t>SCXP0116 - Pop Up Daftar_20221028-101221612.pdf</t>
  </si>
  <si>
    <t>SCXP0116 - Pop Up Daftar_20230104-091725028.pdf</t>
  </si>
  <si>
    <t>SCXP0117</t>
  </si>
  <si>
    <t>XPO0117-001</t>
  </si>
  <si>
    <t>Registrasi - 1. Daftar sebagai Diaspora &gt; Lengkapi form &gt; Daftar
2. Cek email &gt; Verifikasi Akun</t>
  </si>
  <si>
    <t>1. Daftar sebagai Diaspora &gt; Lengkapi form &gt; Daftar
2. Cek email &gt; Verifikasi Akun</t>
  </si>
  <si>
    <t>Berhasil daftar dan muncul pop up verifikasi akun melalui email
Berhasil verifikasi akun</t>
  </si>
  <si>
    <t>SCXP0117 - Daftar Diaspora_20221130-134915656.pdf</t>
  </si>
  <si>
    <t>SCXP0118</t>
  </si>
  <si>
    <t>XPO0118-001</t>
  </si>
  <si>
    <t>Registrasi - 1. Daftar sebagai Eksportir &gt; Lengkapi form &gt; Daftar
2. Cek email &gt; Verifikasi Akun</t>
  </si>
  <si>
    <t>1. Daftar sebagai Eksportir &gt; Lengkapi form &gt; Daftar
2. Cek email &gt; Verifikasi Akun</t>
  </si>
  <si>
    <t>SCXP0118 - Daftar Eksportir_20221130-140302187.pdf</t>
  </si>
  <si>
    <t>SCXP0119</t>
  </si>
  <si>
    <t>XPO0119-001</t>
  </si>
  <si>
    <t>Registrasi - Daftar sebagai Eksportir atau Diaspora &gt; Klik Daftar dengan Google</t>
  </si>
  <si>
    <t>Daftar sebagai Eksportir atau Diaspora &gt; Klik Daftar dengan Google</t>
  </si>
  <si>
    <t>Berhasil daftar dengan Google</t>
  </si>
  <si>
    <t>SCXP0119 - Daftar Dengan Google_20221125-111446339.pdf</t>
  </si>
  <si>
    <t>SCXP0120</t>
  </si>
  <si>
    <t>XPO0120-001</t>
  </si>
  <si>
    <t>Registrasi - Masuk ke portal client &gt; Klik Button Masuk &gt; Lupa Kata Sandi &gt; Isi form yang ada &gt; Masuk Email &gt; Ubah Kata sandi</t>
  </si>
  <si>
    <t>Masuk ke portal client &gt; Klik Button Masuk &gt; Lupa Kata Sandi &gt; Isi form yang ada &gt; Masuk Email &gt; Ubah Kata sandi</t>
  </si>
  <si>
    <t>Berhasil merubah kata sandi</t>
  </si>
  <si>
    <t>SCXP0120 - Reset Kata Sandi_20221123-143719175.pdf</t>
  </si>
  <si>
    <t>SCXP0121</t>
  </si>
  <si>
    <t>XPO0121-001</t>
  </si>
  <si>
    <t>Registrasi - Dengan menggunakan Mobile &gt; pilih daftar &gt; pilih Registrasi sebagai Eksportir atau Diaspora &gt; Cek Email &gt; Verifikasi Akun</t>
  </si>
  <si>
    <t>Dengan menggunakan Mobile &gt; pilih daftar &gt; pilih Registrasi sebagai Eksportir atau Diaspora &gt; Cek Email &gt; Verifikasi Akun</t>
  </si>
  <si>
    <t>Berhasil membuat akun baru dengan menggunakan mobile</t>
  </si>
  <si>
    <t>SCXP0122</t>
  </si>
  <si>
    <t>XPO0122-001</t>
  </si>
  <si>
    <t>Login Sebagai Diaspora (Dashboard) - Terdapat informasi pada halaman homepage bahwa akun tersebut login sebagai diaspora</t>
  </si>
  <si>
    <t>Terdapat informasi pada halaman homepage bahwa akun tersebut login sebagai diaspora</t>
  </si>
  <si>
    <t>Berhasil memberikan informasi</t>
  </si>
  <si>
    <t>SCXP0122 - Login Diaspora_20221104-101256978.pdf</t>
  </si>
  <si>
    <t>SCXP0122 - Login Diaspora_20230103-084145495.pdf</t>
  </si>
  <si>
    <t>SCXP0123</t>
  </si>
  <si>
    <t>XPO0123-001</t>
  </si>
  <si>
    <t>Login Sebagai Diaspora (Dashboard) - Bagian Jadwal Kegiatan
Pelatihan dan Business Matching :
Untuk jadwal pelatihan yang sudah berlalu berwarna abu-abu dan untuk yang akan dating berwarna biru. Klik Lihat semua maka akan beralih ke halaman Pelatihan dan bisnis</t>
  </si>
  <si>
    <t>Bagian Jadwal Kegiatan
Pelatihan dan Business Matching :
Untuk jadwal pelatihan yang sudah berlalu berwarna abu-abu dan untuk yang akan dating berwarna biru. Klik Lihat semua maka akan beralih ke halaman Pelatihan dan bisnis</t>
  </si>
  <si>
    <t>Font Coloring dan prev next sudah sesuai serta berhasil beralih ke halaman Pelatihan dan Bisnis</t>
  </si>
  <si>
    <t>SCXP0123 - Jadwal Kegiatan_20221101-113510433.pdf</t>
  </si>
  <si>
    <t>SCXP0123 - Jadwal Kegiatan_20230103-084725734.pdf</t>
  </si>
  <si>
    <t>SCXP0124</t>
  </si>
  <si>
    <t>XPO0124-001</t>
  </si>
  <si>
    <t>Login Sebagai Diaspora (Dashboard) - Bagian Komoditas “
Pilih salah satu komoditas kemudian akan beralih ke halaman preview product</t>
  </si>
  <si>
    <t xml:space="preserve">Bagian Komoditas “
Pilih salah satu komoditas kemudian akan beralih ke halaman preview product
</t>
  </si>
  <si>
    <t>Halaman berhasil beralih ke preview product</t>
  </si>
  <si>
    <t>SCXP0124 - Detail Komoditas_20221102-115223862.pdf</t>
  </si>
  <si>
    <t>SCXP0124 - Detail Komoditas_20230104-092742768.pdf</t>
  </si>
  <si>
    <t>SCXP0125</t>
  </si>
  <si>
    <t>XPO0125-001</t>
  </si>
  <si>
    <t>Akun Diaspora (Matchmaking Log – Posting Request) - Terdapat informasi matchmaking yang sudah dibuat dan dapat dilakukan filtering dan sort by</t>
  </si>
  <si>
    <t>Terdapat informasi matchmaking yang sudah dibuat dan dapat dilakukan filtering dan sort by</t>
  </si>
  <si>
    <t>Berhasil filtering dan sort by serta melihat semua data matchmaking log yang ada</t>
  </si>
  <si>
    <t>SCXP0125 - Matchmaking Diaspora_20221102-101659708.pdf</t>
  </si>
  <si>
    <t>SCXP0125 - Matchmaking Diaspora_20230104-093445839.pdf</t>
  </si>
  <si>
    <t>SCXP0126</t>
  </si>
  <si>
    <t>XPO0126-001</t>
  </si>
  <si>
    <t>Akun Diaspora (Matchmaking Log – Posting Request) - Klik button Posting Request isi form yang ada &gt; simpan sebagai draft &gt; kemudian beralih ke halaman Daftar Permintaan Pasar &gt; Draft</t>
  </si>
  <si>
    <t>Klik button Posting Request isi form yang ada &gt; simpan sebagai draft &gt; kemudian beralih ke halaman Daftar Permintaan Pasar &gt; Draft</t>
  </si>
  <si>
    <t>Berhasil menyimpan sebagai draft</t>
  </si>
  <si>
    <t>SCXP0126 - Posting Permintaan_20221102-111116252.pdf</t>
  </si>
  <si>
    <t>SCXP0126 - Posting Permintaan_20230105-091712063.pdf</t>
  </si>
  <si>
    <t>SCXP0127</t>
  </si>
  <si>
    <t>XPO0127-001</t>
  </si>
  <si>
    <t>Akun Diaspora (Matchmaking Log – Posting Request) - Pilih data pada bagian draft &gt; Update dan Ajukan &gt; kemudian beralih ke halaman Daftar Permintaan Pasar &gt;  Menunggu Persetujuan &gt; dapat melakukan filtering dan sort by</t>
  </si>
  <si>
    <t>Pilih data pada bagian draft &gt; Update dan Ajukan &gt; kemudian beralih ke halaman Daftar Permintaan Pasar &gt;  Menunggu Persetujuan &gt; dapat melakukan filtering dan sort by</t>
  </si>
  <si>
    <t>Berhasil Mengajukan Permintaan</t>
  </si>
  <si>
    <t>SCXP0127 - Ajukan Permintaan_20221103-104253300.pdf</t>
  </si>
  <si>
    <t>SCXP0127 - Ajukan Permintaan_20230105-093736853.pdf</t>
  </si>
  <si>
    <t>SCXP0128</t>
  </si>
  <si>
    <t>XPO0128-001</t>
  </si>
  <si>
    <t>Akun Diaspora (Matchmaking Log – Posting Request) - Ketika request berhasil disimpan muncul notifikasi “Market Request Submitted” dan request ada pada bagian “Menunggu Persetujuan”</t>
  </si>
  <si>
    <t>Ketika request berhasil disimpan muncul notifikasi “Market Request Submitted” dan request ada pada bagian “Menunggu Persetujuan”</t>
  </si>
  <si>
    <t>Berhasil muncul notifikasi dan request ada pada bagian “Menunggu Persetujuan”</t>
  </si>
  <si>
    <t>SCXP0128 - Notifikasi Submit_20221103-105747360.pdf</t>
  </si>
  <si>
    <t>SCXP0128 - Notifikasi Submit_20230109-102920161.pdf</t>
  </si>
  <si>
    <t>SCXP0129</t>
  </si>
  <si>
    <t>XPO0129-001</t>
  </si>
  <si>
    <t>Akun Diaspora (Matchmaking Log – Posting Request) - Lakukan Approve menggunakan admin approval ke menu Approval Konten &gt; Market Request &gt; Notifikasi</t>
  </si>
  <si>
    <t>Lakukan Approve menggunakan admin approval ke menu Approval Konten &gt; Market Request &gt; Notifikasi</t>
  </si>
  <si>
    <t>Admin berhasil approve request dan muncul notifikasi bahwa request telah di-approve oleh admin dan request berpindah ke bagian “Diposting”</t>
  </si>
  <si>
    <t>SCXP0129 - Akun Diaspora (Matchmaking Log - Posting Request)_20221101-162518666</t>
  </si>
  <si>
    <t>SCXP0129 - Akun Diaspora (Matchmaking Log - Posting Request)_20230109-110133796.pdf</t>
  </si>
  <si>
    <t>SCXP0130</t>
  </si>
  <si>
    <t>XPO0130-001</t>
  </si>
  <si>
    <t>Akun Diaspora (Matchmaking Log – Posting Request) - Lakukan Reject menggunakan admin approval ke menu Approval Konten &gt; Market Request &gt; Notifikasi</t>
  </si>
  <si>
    <t>Lakukan Reject menggunakan admin approval ke menu Approval Konten &gt; Market Request &gt; Notifikasi</t>
  </si>
  <si>
    <t>Admin berhasil approve request dan muncul notifikasi bahwa request telah di-approve oleh admin “Di tolak”</t>
  </si>
  <si>
    <t>SCXP0130 - Akun Diaspora (Matchmaking Log - Posting Request)_20221213-143828338.pdf</t>
  </si>
  <si>
    <t>SCXP0130 - Akun Diaspora (Matchmaking Log - Posting Request)_20230109-112240774.pdf</t>
  </si>
  <si>
    <t>SCXP0131</t>
  </si>
  <si>
    <t>XPO0131-001</t>
  </si>
  <si>
    <t>Akun Diaspora  (Matchmaking Log – Penawaran) - Pilih komoditas yang ada &gt; Klik button buat penawaran &gt; Isi form yang ada atau bisa pilih salah satu option komoditas yang ada di atas form posting permintaan</t>
  </si>
  <si>
    <t>Pilih komoditas yang ada &gt; Klik button buat penawaran &gt; Isi form yang ada atau bisa pilih salah satu option komoditas yang ada di atas form posting permintaan</t>
  </si>
  <si>
    <t>Berhasil membuat penawaran</t>
  </si>
  <si>
    <t>SCXP0131 - Penawaran Komoditas_20221109-123335273.pdf</t>
  </si>
  <si>
    <t>SCXP0131 - Penawaran Komoditas_20230201-103402820.pdf</t>
  </si>
  <si>
    <t>SCXP0132</t>
  </si>
  <si>
    <t>XPO0132-001</t>
  </si>
  <si>
    <t>Akun Diaspora  (Matchmaking Log – Penawaran) - Lakukan Approve menggunakan admin approval ke menu Matchmaking &gt; Matchmaking Log &gt; Notifikasi</t>
  </si>
  <si>
    <t>Lakukan Approve menggunakan admin approval ke menu Matchmaking &gt; Matchmaking Log &gt; Notifikasi</t>
  </si>
  <si>
    <t>Admin berhasil Approve dan muncul notifikasi bahwa req telah di-approve oleh admin dan penawaran beralih ke bagian “Berlangsung”</t>
  </si>
  <si>
    <t>SCXP0132 - Akun Diaspora (Matchmaking Log - Penawaran)_20221102-154033700</t>
  </si>
  <si>
    <t>SCXP0132 - Akun Diaspora (Matchmaking Log - Penawaran)_20230202-084137828.pdf</t>
  </si>
  <si>
    <t>SCXP0133</t>
  </si>
  <si>
    <t>XPO0133-001</t>
  </si>
  <si>
    <t>Akun Diaspora  (Matchmaking Log – Penawaran) - Admin mengatur jadwal meeting</t>
  </si>
  <si>
    <t>Admin mengatur jadwal meeting</t>
  </si>
  <si>
    <t>Muncul notifikasi jadwal meeting pada akun diaspora</t>
  </si>
  <si>
    <t>SCXP0133 - Akun Diaspora (Matchmaking Log - Penawaran)_20221213-151443626.pdf</t>
  </si>
  <si>
    <t>SCXP0133 - Akun Diaspora (Matchmaking Log - Penawaran)_20230202-085215513.pdf</t>
  </si>
  <si>
    <t>SCXP0134</t>
  </si>
  <si>
    <t>XPO0134-001</t>
  </si>
  <si>
    <t>Akun Diaspora  (Matchmaking Log – Penawaran) - Admin mengupload hasil meeting</t>
  </si>
  <si>
    <t>Admin mengupload hasil meeting</t>
  </si>
  <si>
    <t>Klik data matchmaking log pada bagian sales contract muncul file upload hasil meeting oleh admin</t>
  </si>
  <si>
    <t>SCXP0134 - Akun Diaspora (Matchmaking Log - Penawaran)_20221103-095741552</t>
  </si>
  <si>
    <t>SCXP0134 - Akun Diaspora (Matchmaking Log - Penawaran)_20230202-091001901.pdf</t>
  </si>
  <si>
    <t>SCXP0135</t>
  </si>
  <si>
    <t>XPO0135-001</t>
  </si>
  <si>
    <t>Akun Diaspora  (Matchmaking Log – Penawaran) - Admin melakukan update status menjadi On Progress – Transaction</t>
  </si>
  <si>
    <t>Admin melakukan update status menjadi On Progress – Transaction</t>
  </si>
  <si>
    <t>Pada akun diaspora dapat melakukan upload bill of lading dan payment reciept</t>
  </si>
  <si>
    <t>SCXP0135 - Akun Diaspora (Matchmaking Log - Penawaran)_20221104-141317764</t>
  </si>
  <si>
    <t>SCXP0135 - Akun Diaspora (Matchmaking Log - Penawaran)_20230202-093542297.pdf</t>
  </si>
  <si>
    <t>SCXP0136</t>
  </si>
  <si>
    <t>XPO0136-001</t>
  </si>
  <si>
    <t>Akun Diaspora  (Matchmaking Log – Penawaran) - Menggunakan Akun diaspora upload bill of lading &gt; Document type = foto penerimaan &gt; isi form yang ada</t>
  </si>
  <si>
    <t>Menggunakan Akun diaspora upload bill of lading &gt; Document type = foto penerimaan &gt; isi form yang ada</t>
  </si>
  <si>
    <t>Berhasil upload foto penerimaan dan muncul notifikasi</t>
  </si>
  <si>
    <t>SCXP0136 - Upload Penerimaan_20221206-093257580.pdf</t>
  </si>
  <si>
    <t>SCXP0136 - Upload Penerimaan_20230105-101615740.pdf</t>
  </si>
  <si>
    <t>SCXP0137</t>
  </si>
  <si>
    <t>XPO0137-001</t>
  </si>
  <si>
    <t>Akun Diaspora  (Matchmaking Log – Penawaran) - Menggunakan Akun diaspora upload bill of lading &gt; Document type = dokumen pembayaran &gt; isi form yang ada</t>
  </si>
  <si>
    <t>Menggunakan Akun diaspora upload bill of lading &gt; Document type = dokumen pembayaran &gt; isi form yang ada</t>
  </si>
  <si>
    <t>Berhasil upload dokumen pembayaran dan muncul notifikasi</t>
  </si>
  <si>
    <t>SCXP0137 - Upload Pembayaran_20221206-112427087.pdf</t>
  </si>
  <si>
    <t>SCXP0137 - Upload Pembayaran_20230105-102111228.pdf</t>
  </si>
  <si>
    <t>SCXP0138</t>
  </si>
  <si>
    <t>XPO0138-001</t>
  </si>
  <si>
    <t>Akun Diaspora  (Matchmaking Log – Penawaran) - Menggunakan Akun diaspora Payment Receipt &gt; isi form yang ada</t>
  </si>
  <si>
    <t>Menggunakan Akun diaspora Payment Receipt &gt; isi form yang ada</t>
  </si>
  <si>
    <t>Berhasil upload payment receipt dan muncul notifikasi</t>
  </si>
  <si>
    <t>SCXP0138 - Upload Payment_20221130-130526005.pdf</t>
  </si>
  <si>
    <t>SCXP0138 - Upload Payment_20230202-095249636.pdf</t>
  </si>
  <si>
    <t>SCXP0139</t>
  </si>
  <si>
    <t>XPO0139-001</t>
  </si>
  <si>
    <t>Akun Diaspora  (Matchmaking Log – Penawaran) - Menggunakan Admin, klik pembayaran &gt; Dokumen pembayaran &gt; Tipe Dokumen = “Tanda Terima” &gt; Isi form yang ada</t>
  </si>
  <si>
    <t>Menggunakan Admin, klik pembayaran &gt; Dokumen pembayaran &gt; Tipe Dokumen = “Tanda Terima” &gt; Isi form yang ada</t>
  </si>
  <si>
    <t>Berhasil submit dan pada diaspora muncul notifikasi bill of lading</t>
  </si>
  <si>
    <t>Fitur sudah dihilangkan</t>
  </si>
  <si>
    <t>SCXP0140</t>
  </si>
  <si>
    <t>XPO0140-001</t>
  </si>
  <si>
    <t>Akun Diaspora  (Matchmaking Log – Penawaran) - Menggunakan Admin, klik pembayaran &gt; Dokumen pembayaran &gt; Tipe Dokumen = “Bukti Pembayaran” &gt; Isi form yang ada</t>
  </si>
  <si>
    <t>Menggunakan Admin, klik pembayaran &gt; Dokumen pembayaran &gt; Tipe Dokumen = “Bukti Pembayaran” &gt; Isi form yang ada</t>
  </si>
  <si>
    <t>SCXP0140 - Akun Diaspora  (Matchmaking Log – Penawaran)_20221201-100516599.pdf</t>
  </si>
  <si>
    <t>SCXP0140 - Akun Diaspora  (Matchmaking Log – Penawaran)_20230202-100922941.pdf</t>
  </si>
  <si>
    <t>SCXP0141</t>
  </si>
  <si>
    <t>XPO0141-001</t>
  </si>
  <si>
    <t>Akun Diaspora  (Matchmaking Log – Penawaran) - Menggunakan Admin, klik pengiriman&gt; Dokumen pengiriman &gt; Tipe Dokumen = “Dokumen Pengiriman” &gt; Isi form yang ada</t>
  </si>
  <si>
    <t>Menggunakan Admin, klik pengiriman&gt; Dokumen pengiriman &gt; Tipe Dokumen = “Dokumen Pengiriman” &gt; Isi form yang ada</t>
  </si>
  <si>
    <t>Berhasil submit dokumen pengiriman dan pada diaspora muncul notifikasi upload shipment dan file ada pada payment receipt</t>
  </si>
  <si>
    <t>SCXP0141 - Akun Diaspora (Matchmaking Log – Penawaran)_20221201-103549214.pdf</t>
  </si>
  <si>
    <t>SCXP0141 - Akun Diaspora (Matchmaking Log – Penawaran)_20230202-110319941.pdf</t>
  </si>
  <si>
    <t>SCXP0142</t>
  </si>
  <si>
    <t>XPO0142-001</t>
  </si>
  <si>
    <t>Akun Diaspora  (Matchmaking Log – Penawaran) - Menggunakan Admin, klik pengiriman&gt; Dokumen pengiriman &gt; Tipe Dokumen = “Foto Pengiriman” &gt; Isi form yang ada</t>
  </si>
  <si>
    <t>Menggunakan Admin, klik pengiriman&gt; Dokumen pengiriman &gt; Tipe Dokumen = “Foto Pengiriman” &gt; Isi form yang ada</t>
  </si>
  <si>
    <t>Berhasil submit foto pengiriman dan pada diaspora muncul notifikasi pengiriman dan file ada pada Pengiriman</t>
  </si>
  <si>
    <t>SCXP0142 - Akun Diaspora  (Matchmaking Log – Penawaran)_20221201-105638574.pdf</t>
  </si>
  <si>
    <t>SCXP0142 - Akun Diaspora  (Matchmaking Log – Penawaran)_20230202-111749138.pdf</t>
  </si>
  <si>
    <t>SCXP0143</t>
  </si>
  <si>
    <t>XPO0143-001</t>
  </si>
  <si>
    <t>Akun Diaspora  (Matchmaking Log – Penawaran) - Menggunakan Admin, klik pengiriman&gt; Dokumen pengiriman &gt; Tipe Dokumen = “Foto Penerimaan” &gt; Isi form yang ada</t>
  </si>
  <si>
    <t>Menggunakan Admin, klik pengiriman&gt; Dokumen pengiriman &gt; Tipe Dokumen = “Foto Penerimaan” &gt; Isi form yang ada</t>
  </si>
  <si>
    <t>Berhasil submit foto penerimaan dan pada diaspora muncul notifikasi pengiriman dan file ada pada Diterima</t>
  </si>
  <si>
    <t>SCXP0143 - Akun Diaspora  (Matchmaking Log – Penawaran)_20221201-113506829.pdf</t>
  </si>
  <si>
    <t>SCXP0143 - Akun Diaspora  (Matchmaking Log – Penawaran)_20230202-112931796.pdf</t>
  </si>
  <si>
    <t>SCXP0144</t>
  </si>
  <si>
    <t>XPO0144-001</t>
  </si>
  <si>
    <t>Akun Diaspora  (Matchmaking Log – Penawaran) - Setelah proses selesai menggunakan Admin ubah status matchmaking log menjadi Done</t>
  </si>
  <si>
    <t>Setelah proses selesai menggunakan Admin ubah status matchmaking log menjadi Done</t>
  </si>
  <si>
    <t>Berhasil merubah status dan pada diaspora muncul notifikasi matcmaking done dan isi feedback serta data berpindah ke bagian “Selesai”</t>
  </si>
  <si>
    <t>SCXP0144 - Akun Diaspora  (Matchmaking Log – Penawaran)_20221201-143743324.pdf</t>
  </si>
  <si>
    <t>SCXP0144 - Akun Diaspora  (Matchmaking Log – Penawaran)_20230203-104745347.pdf</t>
  </si>
  <si>
    <t>SCXP0145</t>
  </si>
  <si>
    <t>XPO0145-001</t>
  </si>
  <si>
    <t>SCXP0145 - Penawaran Komoditas_20221124-085906725.pdf</t>
  </si>
  <si>
    <t>SCXP0145 - Penawaran Komoditas_20230203-105341878.pdf</t>
  </si>
  <si>
    <t>SCXP0146</t>
  </si>
  <si>
    <t>XPO0146-001</t>
  </si>
  <si>
    <t>Akun Diaspora  (Matchmaking Log – Penawaran) - Menggunakan admin lakukan reject penawaran</t>
  </si>
  <si>
    <t>Menggunakan admin lakukan reject penawaran</t>
  </si>
  <si>
    <t>Berhasil melakukan reject penawaran dan pada akun diaspora muncul notifikasi</t>
  </si>
  <si>
    <t>SCXP0146 - Akun Diaspora (Matchmaking Log - Penawaran)_20221104-111639884</t>
  </si>
  <si>
    <t>SCXP0146 - Akun Diaspora (Matchmaking Log - Penawaran)_20230203-145241858.pdf</t>
  </si>
  <si>
    <t>SCXP0147</t>
  </si>
  <si>
    <t>XPO0147-001</t>
  </si>
  <si>
    <t>SCXP0147 - Penawaran Komoditas_20221124-090606013.pdf</t>
  </si>
  <si>
    <t>SCXP0147 - Penawaran Komoditas_20230203-145814241.pdf</t>
  </si>
  <si>
    <t>SCXP0148</t>
  </si>
  <si>
    <t>XPO0148-001</t>
  </si>
  <si>
    <t>SCXP0148 - Akun Diaspora (Matchmaking Log - Penawaran)_20221107-110157125</t>
  </si>
  <si>
    <t>SCXP0148 - Akun Diaspora (Matchmaking Log - Penawaran)_20230206-085335479.pdf</t>
  </si>
  <si>
    <t>SCXP0149</t>
  </si>
  <si>
    <t>XPO0149-001</t>
  </si>
  <si>
    <t>Akun Diaspora  (Matchmaking Log – Penawaran) - Menggunakan Admin ubah status penawaran menjadi “Cancelled”</t>
  </si>
  <si>
    <t>Menggunakan Admin ubah status penawaran menjadi “Cancelled”</t>
  </si>
  <si>
    <t>Penawaran berhasil di cancelled dan notifikasi muncul pada akun diaspora serta penawaran berpindah ke bagian “Dibatalkan”</t>
  </si>
  <si>
    <t>SCXP0149 - Akun Diaspora (Matchmaking Log - Penawaran)_20221104-162947554</t>
  </si>
  <si>
    <t>SCXP0149 - Akun Diaspora (Matchmaking Log - Penawaran)_20230206-093357963.pdf</t>
  </si>
  <si>
    <t>SCXP0150</t>
  </si>
  <si>
    <t>XPO0150-001</t>
  </si>
  <si>
    <t>Akun Diaspora (Menu Inspirasi) - Pilih Fitur &gt; Inspirasi &gt; Pada menu inspirasi dapat melakukan filtering by kategori popular atau level inspirasi</t>
  </si>
  <si>
    <t>Pilih Fitur &gt; Inspirasi &gt; Pada menu inspirasi dapat melakukan filtering by kategori popular atau level inspirasi</t>
  </si>
  <si>
    <t>Berhasil melakukan filtering</t>
  </si>
  <si>
    <t>SCXP0150 - Filtering Inspirasi_20221121-104019114.pdf</t>
  </si>
  <si>
    <t>SCXP0150 - Filtering Inspirasi_20230103-085718161.pdf</t>
  </si>
  <si>
    <t>SCXP0151</t>
  </si>
  <si>
    <t>XPO0151-001</t>
  </si>
  <si>
    <t>Akun Diaspora (Menu Inspirasi) - Pada bagian Jadwal kegiatan pilih salah satu Pelatihan &gt; Daftar sekarang &gt; Pemberian rating hanya bisa diberikan setelah kelas dimulai</t>
  </si>
  <si>
    <t>Pada bagian Jadwal kegiatan pilih salah satu Pelatihan &gt; Daftar sekarang &gt; Pemberian rating hanya bisa diberikan setelah kelas dimulai</t>
  </si>
  <si>
    <t>Berhasil terdaftar dan rating bisa diberikan setelah kelas dimulai</t>
  </si>
  <si>
    <t>SCXP0151 - Terdaftar Pelatihan_20221124-115235281.pdf</t>
  </si>
  <si>
    <t>SCXP0151 - Terdaftar Pelatihan_20221228-081420987.pdf</t>
  </si>
  <si>
    <t>SCXP0152</t>
  </si>
  <si>
    <t>XPO0152-001</t>
  </si>
  <si>
    <t>Akun Diaspora (Menu Inspirasi) - Pada bagian Video Inspirasi pilih salah satu Video &gt; Putar Video &gt; Pemberian rating</t>
  </si>
  <si>
    <t>Pada bagian Video Inspirasi pilih salah satu Video &gt; Putar Video &gt; Pemberian rating</t>
  </si>
  <si>
    <t>Berhasil ke bagian putar video dan dapat memberikan rating</t>
  </si>
  <si>
    <t>SCXP0152 - Video Inspirasi_20221124-084702696.pdf</t>
  </si>
  <si>
    <t>SCXP0152 - Video Inspirasi_20221228-081943628.pdf</t>
  </si>
  <si>
    <t>SCXP0153</t>
  </si>
  <si>
    <t>XPO0153-001</t>
  </si>
  <si>
    <t>Akun Diaspora (Menu Ekspansi Bisnis) - Pilih fitur &gt; Ekspansi bisnis &gt; Pada bagian atas terdapat jadwal kegiatan</t>
  </si>
  <si>
    <t>Pilih fitur &gt; Ekspansi bisnis &gt; Pada bagian atas terdapat jadwal kegiatan</t>
  </si>
  <si>
    <t>Jadwal kegiatan ada pada menu Ekspansi Bisnis</t>
  </si>
  <si>
    <t>SCXP0153 - Ekspansi Bisnis_20221031-100105507.pdf</t>
  </si>
  <si>
    <t>SCXP0153 - Ekspansi Bisnis_20221228-082604302.pdf</t>
  </si>
  <si>
    <t>SCXP0154</t>
  </si>
  <si>
    <t>XPO0154-001</t>
  </si>
  <si>
    <t>Akun Diaspora (Menu Ekspansi Bisnis) - Terdapat preview komoditas dan permintaan pasar</t>
  </si>
  <si>
    <t>Terdapat preview komoditas dan permintaan pasar</t>
  </si>
  <si>
    <t>Sudah ada data komoditas dan permintaan pasar</t>
  </si>
  <si>
    <t>SCXP0154 - Preview Eks Bisnis_20221101-110758509.pdf</t>
  </si>
  <si>
    <t>SCXP0154 - Preview Eks Bisnis_20230104-094427481.pdf</t>
  </si>
  <si>
    <t>SCXP0155</t>
  </si>
  <si>
    <t>XPO0155-001</t>
  </si>
  <si>
    <t>Akun Diaspora (Menu Ekspansi Bisnis) - Pilih fitur &gt; Ekspansi Bisnis &gt; Permintaan Pasar</t>
  </si>
  <si>
    <t>Pilih fitur &gt; Ekspansi Bisnis &gt; Permintaan Pasar</t>
  </si>
  <si>
    <t>Berhasil masuk ke menu Permintaan Pasar</t>
  </si>
  <si>
    <t>SCXP0155 - Permintaan Pasar_20221101-111005222.pdf</t>
  </si>
  <si>
    <t>SCXP0155 - Permintaan Pasar_20221228-083051165.pdf</t>
  </si>
  <si>
    <t>SCXP0156</t>
  </si>
  <si>
    <t>XPO0156-001</t>
  </si>
  <si>
    <t>Akun Diaspora (Menu Ekspansi Bisnis) - Dapat melakukan filtering by Permintaan Baru dan Permintaan terpopuler</t>
  </si>
  <si>
    <t>Dapat melakukan filtering by Permintaan Baru dan Permintaan terpopuler</t>
  </si>
  <si>
    <t>Berhasil melakukan filtering by Permintaan Baru dan Permintaan Terpopupler</t>
  </si>
  <si>
    <t>SCXP0156 - Market Request_20221108-093717051.pdf</t>
  </si>
  <si>
    <t>SCXP0156 - Market Request_20230104-094701973.pdf</t>
  </si>
  <si>
    <t>SCXP0157</t>
  </si>
  <si>
    <t>XPO0157-001</t>
  </si>
  <si>
    <t>Akun Diaspora (Menu Ekspansi Bisnis) - Pada bagian Categories dapat melakukan filtering by today, yesterday, 7 days ago, 30 days ago, Category, Incoterm, Country of Destination dan sort by latest oldest</t>
  </si>
  <si>
    <t>Pada bagian Categories dapat melakukan filtering by today, yesterday, 7 days ago, 30 days ago, Category, Incoterm, Country of Destination dan sort by latest oldest</t>
  </si>
  <si>
    <t>SCXP0157 - Market Request_20221107-105816325.pdf</t>
  </si>
  <si>
    <t>SCXP0157 - Market Request_20230104-095109716.pdf</t>
  </si>
  <si>
    <t>SCXP0158</t>
  </si>
  <si>
    <t>XPO0158-001</t>
  </si>
  <si>
    <t>Akun Diaspora (Menu Ekspansi Bisnis) - Pilih fitur &gt; Ekspansi Bisnis &gt; Komoditas Xpora</t>
  </si>
  <si>
    <t>Pilih fitur &gt; Ekspansi Bisnis &gt; Komoditas Xpora</t>
  </si>
  <si>
    <t>Berhasil masuk ke menu Komoditas Xpora</t>
  </si>
  <si>
    <t>SCXP0158 - Komoditas Xpora_20221107-102622393.pdf</t>
  </si>
  <si>
    <t>SCXP0158 - Komoditas Xpora_20221228-083540463.pdf</t>
  </si>
  <si>
    <t>SCXP0159</t>
  </si>
  <si>
    <t>XPO0159-001</t>
  </si>
  <si>
    <t>Akun Diaspora (Menu Ekspansi Bisnis) - Dapat melakukan filtering by Komoditas Baru dan Komoditas terpopuler</t>
  </si>
  <si>
    <t>Dapat melakukan filtering by Komoditas Baru dan Komoditas terpopuler</t>
  </si>
  <si>
    <t>Berhasil melakukan filtering by Komoditas Baru dan Komoditas Terpopupler</t>
  </si>
  <si>
    <t>SCXP0159 - Filtering Komoditas_20221108-095100788.pdf</t>
  </si>
  <si>
    <t>SCXP0159 - Filtering Komoditas_20230104-095453542.pdf</t>
  </si>
  <si>
    <t>SCXP0160</t>
  </si>
  <si>
    <t>XPO0160-001</t>
  </si>
  <si>
    <t>Akun Diaspora (Menu Ekspansi Bisnis) - Pada bagian Semua Komoditi bisa melakukan filtering by Category dan Sort by latest oldest</t>
  </si>
  <si>
    <t>Pada bagian Semua Komoditi bisa melakukan filtering by Category dan Sort by latest oldest</t>
  </si>
  <si>
    <t>SCXP0160 - Filtering Komoditas_20221122-142942955.pdf</t>
  </si>
  <si>
    <t>SCXP0160 - Filtering Komoditas_20230104-101206104.pdf</t>
  </si>
  <si>
    <t>SCXP0161</t>
  </si>
  <si>
    <t>XPO0161-001</t>
  </si>
  <si>
    <t>Akun Diaspora (Menu Legalitas) - Pilih Fitur &gt; Legalitas &gt; Panduan OSS &gt; Pada Halaman Legalitas klik Buku panduan maka akan beralih ke url OSS</t>
  </si>
  <si>
    <t>Pilih Fitur &gt; Legalitas &gt; Panduan OSS &gt; Pada Halaman Legalitas klik Buku panduan maka akan beralih ke url OSS</t>
  </si>
  <si>
    <t>Berhasil beralih ke url OSS</t>
  </si>
  <si>
    <t>SCXP0161 - Direct OSS_20221110-112819513.pdf</t>
  </si>
  <si>
    <t>SCXP0161 - Direct OSS_20221213-141126744.pdf</t>
  </si>
  <si>
    <t>SCXP0161 - Direct OSS_20221228-084647482.pdf</t>
  </si>
  <si>
    <t>SCXP0162</t>
  </si>
  <si>
    <t>XPO0162-001</t>
  </si>
  <si>
    <t>Akun Diaspora (Menu Legalitas) - Klik Tutorial OSS</t>
  </si>
  <si>
    <t>Klik Tutorial OSS</t>
  </si>
  <si>
    <t>Berhasil play video tutorial OSS</t>
  </si>
  <si>
    <t>SCXP0162 - Tutorial OSS_20221125-104113559.pdf</t>
  </si>
  <si>
    <t>SCXP0163</t>
  </si>
  <si>
    <t>XPO0163-001</t>
  </si>
  <si>
    <t>Akun Diaspora (Menu CLB) - Pilih fitur &gt; CLB &gt; Cek Cepat &gt; Isi form yang ada &gt; Muncul hasil survey</t>
  </si>
  <si>
    <t>Pilih fitur &gt; CLB &gt; Cek Cepat &gt; Isi form yang ada &gt; Muncul hasil survey</t>
  </si>
  <si>
    <t>Berhasil muncul hasil survey dan hasil survey juga muncul pada halaman profile</t>
  </si>
  <si>
    <t>SCXP0163 - Cek Level Bisnis_20221109-140313803.pdf</t>
  </si>
  <si>
    <t>SCXP0163 - Cek Level Bisnis_20230105-104729947.pdf</t>
  </si>
  <si>
    <t>SCXP0164</t>
  </si>
  <si>
    <t>XPO0164-001</t>
  </si>
  <si>
    <t>Akun Diaspora (Menu CLB) - Pilih fitur &gt; CLB &gt; Cek Mendalam &gt; Isi form yang ada &gt; Muncul hasil survey</t>
  </si>
  <si>
    <t>Pilih fitur &gt; CLB &gt; Cek Mendalam &gt; Isi form yang ada &gt; Muncul hasil survey</t>
  </si>
  <si>
    <t>SCXP0164 - Cek Level Bisnis_20221110-105626541.pdf</t>
  </si>
  <si>
    <t>SCXP0164 - Cek Level Bisnis_20230105-105509670.pdf</t>
  </si>
  <si>
    <t>SCXP0165</t>
  </si>
  <si>
    <t>XPO0165-001</t>
  </si>
  <si>
    <t>Akun Diaspora (Menu Solusi Pendanaan) - Pilih Layanan BNI &gt; Solusi Pendanaan &gt; Pinjaman Non Ekspor &gt; Jika dipilih salah satu maka akan beralih ke web masing-masing solusi pendanaan</t>
  </si>
  <si>
    <t>Pilih Layanan BNI &gt; Solusi Pendanaan &gt; Pinjaman Non Ekspor &gt; Jika dipilih salah satu maka akan beralih ke web masing-masing solusi pendanaan</t>
  </si>
  <si>
    <t>Berhasil beralih ke web masing-masing solusi pendanaan</t>
  </si>
  <si>
    <t>SCXP0165 - Pendanaan Non Ekspor_20221111-090349506.pdf</t>
  </si>
  <si>
    <t>SCXP0165 - Pendanaan Non Ekspor_20221229-090629373.pdf</t>
  </si>
  <si>
    <t>SCXP0166</t>
  </si>
  <si>
    <t>XPO0166-001</t>
  </si>
  <si>
    <t>Akun Diaspora (Menu Solusi Pendanaan) - Pilih Layanan BNI &gt; Layanan Bisnis &gt; Solusi Pendanaan &gt; Pinjaman Ekspor &gt;Fast Trex &gt; Isi form yg ada</t>
  </si>
  <si>
    <t>Pilih Layanan BNI &gt; Layanan Bisnis &gt; Solusi Pendanaan &gt; Pinjaman Ekspor &gt;Fast Trex &gt; Isi form yg ada</t>
  </si>
  <si>
    <t>Berhasil melakukan pengajuan dan dapat ditrack di halaman Profile</t>
  </si>
  <si>
    <t>SCXP0166 - Pendanaan Ekspor_20221125-095633716.pdf</t>
  </si>
  <si>
    <t>SCXP0166 - Pendanaan Ekspor_20230105-155102098.pdf</t>
  </si>
  <si>
    <t>SCXP0167</t>
  </si>
  <si>
    <t>XPO0167-001</t>
  </si>
  <si>
    <t>Akun Diaspora (Menu Solusi Digital UMKM) - Pilih Layanan BNI &gt; Layanan Bisnis &gt; Solusi Digital UMKM &gt; Pilih salah satu solusi digital UMKM maka akan beralih ke web masing-masing solusi digital UMKM</t>
  </si>
  <si>
    <t>Pilih Layanan BNI &gt; Layanan Bisnis &gt; Solusi Digital UMKM &gt; Pilih salah satu solusi digital UMKM maka akan beralih ke web masing-masing solusi digital UMKM</t>
  </si>
  <si>
    <t>Berhasil beralih ke web masing-masing solusi digital UMKM</t>
  </si>
  <si>
    <t>SCXP0167 - Solusi Digital UMKM_20221122-103545880.pdf</t>
  </si>
  <si>
    <t>SCXP0167 - Solusi Digital UMKM_20221229-100147535.pdf</t>
  </si>
  <si>
    <t>SCXP0168</t>
  </si>
  <si>
    <t>XPO0168-001</t>
  </si>
  <si>
    <t>Akun Diaspora (Menu Berita Xpora) - Pilih Berita Xpora &gt; Baca Selengkapnya</t>
  </si>
  <si>
    <t>Pilih Berita Xpora &gt; Baca Selengkapnya</t>
  </si>
  <si>
    <t>Berhasil masuk ke halaman Berita Xpora dan berhasil membaca berita</t>
  </si>
  <si>
    <t>SCXP0168 - Berita Xpora_20221122-120045057.pdf</t>
  </si>
  <si>
    <t>SCXP0168 - Berita Xpora_20221229-100050219.pdf</t>
  </si>
  <si>
    <t>SCXP0169</t>
  </si>
  <si>
    <t>XPO0169-001</t>
  </si>
  <si>
    <t>Akun Diaspora (Menu Tentang Xpora) - Pilih Tentang Xpora &gt; Hubungi Xpora</t>
  </si>
  <si>
    <t>Pilih Tentang Xpora &gt; Hubungi Xpora</t>
  </si>
  <si>
    <t>Berhasil masuk kehalaman Tentang Xpora dan halaman Hubungi Xpora</t>
  </si>
  <si>
    <t>SCXP0169 - Tentang Xpora_20221111-131125996.pdf</t>
  </si>
  <si>
    <t>SCXP0169 - Tentang Xpora_20221229-100221261.pdf</t>
  </si>
  <si>
    <t>SCXP0170</t>
  </si>
  <si>
    <t>XPO0170-001</t>
  </si>
  <si>
    <t>Akun Diaspora (Menu Tentang Xpora) - Isi saran/informasi/complain pada halaman hubungi xpora</t>
  </si>
  <si>
    <t>Isi saran/informasi/complain pada halaman hubungi xpora</t>
  </si>
  <si>
    <t>Berhasil submit saran/informasi/complaint</t>
  </si>
  <si>
    <t>SCXP0170 - Form Hubungi Xpora_20221111-135508962.pdf</t>
  </si>
  <si>
    <t>SCXP0170 - Form Hubungi Xpora_20221229-100554549.pdf</t>
  </si>
  <si>
    <t>SCXP0171</t>
  </si>
  <si>
    <t>XPO0171-001</t>
  </si>
  <si>
    <t>Login Sebagai Eksportir (Dashboard) - Terdapat informasi pada halaman homepage bahwa akun tersebut login sebagai Eksportir</t>
  </si>
  <si>
    <t>Terdapat informasi pada halaman homepage bahwa akun tersebut login sebagai Eksportir</t>
  </si>
  <si>
    <t>Berhasil login sebagai eksportir</t>
  </si>
  <si>
    <t>SCXP0171 - Login Sebagai Eksportir (Dashboard)_20221108-104328563</t>
  </si>
  <si>
    <t>SCXP0171 - Login Sebagai Eksportir (Dashboard)_20230104-092030190.pdf</t>
  </si>
  <si>
    <t>SCXP0172</t>
  </si>
  <si>
    <t>XPO0172-001</t>
  </si>
  <si>
    <t>Login Sebagai Eksportir (Dashboard) - Bagian Jadwal Kegiatan
Pelatihan dan Business Matching :
Untuk jadwal pelatihan yang sudah berlalu berwarna abu-abu dan untuk yang akan dating berwarna biru &gt; Lihat semua maka akan beralih ke halaman Pelatihan dan bisnis</t>
  </si>
  <si>
    <t>Bagian Jadwal Kegiatan
Pelatihan dan Business Matching :
Untuk jadwal pelatihan yang sudah berlalu berwarna abu-abu dan untuk yang akan dating berwarna biru &gt; Lihat semua maka akan beralih ke halaman Pelatihan dan bisnis</t>
  </si>
  <si>
    <t>Font Coloring dan prev next sudah sesuai serta berhasil beralih kehalaman pelatihan dan bisnis</t>
  </si>
  <si>
    <t>SCXP0172 - Jadwal Kegiatan_20221114-081501157.pdf</t>
  </si>
  <si>
    <t>SCXP0172 - Jadwal Kegiatan_20221229-102300407.pdf</t>
  </si>
  <si>
    <t>SCXP0173</t>
  </si>
  <si>
    <t>XPO0173-001</t>
  </si>
  <si>
    <t>Login Sebagai Eksportir (Dashboard) - Bagian Permintaan Pasar &gt; Pilih salah satu Permintaan Pasar kemudian akan beralih ke halaman preview product</t>
  </si>
  <si>
    <t>Bagian Permintaan Pasar &gt; Pilih salah satu Permintaan Pasar kemudian akan beralih ke halaman preview product</t>
  </si>
  <si>
    <t>SCXP0173 - Preview Product_20221114-084659002.pdf</t>
  </si>
  <si>
    <t>SCXP0173 - Preview Product_20230105-160320339.pdf</t>
  </si>
  <si>
    <t>SCXP0174</t>
  </si>
  <si>
    <t>XPO0174-001</t>
  </si>
  <si>
    <t>Akun Eksportir (Matchmaking Log – Posting Komoditi) - Terdapat informasi matchmaking yang sudah dibuat dan dapat dilakukan filtering dan sort by</t>
  </si>
  <si>
    <t>SCXP0174 - Filter Matchmaking_20221114-085038107.pdf</t>
  </si>
  <si>
    <t>SCXP0174 - Filter Matchmaking_20230106-091727142.pdf</t>
  </si>
  <si>
    <t>SCXP0175</t>
  </si>
  <si>
    <t>XPO0175-001</t>
  </si>
  <si>
    <t>Akun Eksportir (Matchmaking Log – Posting Komoditi) - Klik button Posting Komoditi isi form yang ada &gt; simpan sebagai draft &gt; kemudian beralih ke halaman Daftar Komoditi &gt; Draft &gt; dapat melakukan filtering dan sort by</t>
  </si>
  <si>
    <t>Klik button Posting Komoditi isi form yang ada &gt; simpan sebagai draft &gt; kemudian beralih ke halaman Daftar Komoditi &gt; Draft &gt; dapat melakukan filtering dan sort by</t>
  </si>
  <si>
    <t>Berhasil menyimpan komoditi di draft</t>
  </si>
  <si>
    <t>SCXP0175 - Komoditi Draft_20221114-111153809.pdf</t>
  </si>
  <si>
    <t>SCXP0175 - Komoditi Draft_20230106-093711372.pdf</t>
  </si>
  <si>
    <t>SCXP0176</t>
  </si>
  <si>
    <t>XPO0176-001</t>
  </si>
  <si>
    <t>Akun Eksportir (Matchmaking Log – Posting Komoditi) - Pilih komoditi yang ada pada draft &gt; Update dan Ajukan &gt; kemudian beralih ke halaman Daftar Komoditi &gt; Menunggu persetujuan &gt; dapat melakukan filtering dan sort by</t>
  </si>
  <si>
    <t>Pilih komoditi yang ada pada draft &gt; Update dan Ajukan &gt; kemudian beralih ke halaman Daftar Komoditi &gt; Menunggu persetujuan &gt; dapat melakukan filtering dan sort by</t>
  </si>
  <si>
    <t>Berhasil melakukan pengajuan komoditi</t>
  </si>
  <si>
    <t>SCXP0176 - Pengajuan Komoditi_20221115-091734078.pdf</t>
  </si>
  <si>
    <t>SCXP0176 - Pengajuan Komoditi_20230206-102805402.pdf</t>
  </si>
  <si>
    <t>SCXP0177</t>
  </si>
  <si>
    <t>XPO0177-001</t>
  </si>
  <si>
    <t>Akun Eksportir (Matchmaking Log – Posting Komoditi) - Ketika request berhasil disimpan muncul notifikasi “Market Request Submitted” dan request ada pada bagian “Menunggu Persetujuan”</t>
  </si>
  <si>
    <t>SCXP0177 - Request Komoditi_20221115-092702624.pdf</t>
  </si>
  <si>
    <t>SCXP0177 - Request Komoditi_20230206-104504740.pdf</t>
  </si>
  <si>
    <t>SCXP0178</t>
  </si>
  <si>
    <t>XPO0178-001</t>
  </si>
  <si>
    <t>Akun Eksportir (Matchmaking Log – Posting Komoditi) - Lakukan Approve menggunakan admin approval ke menu Approval Konten &gt; Komoditas &gt; Notifikasi</t>
  </si>
  <si>
    <t>Lakukan Approve menggunakan admin approval ke menu Approval Konten &gt; Komoditas &gt; Notifikasi</t>
  </si>
  <si>
    <t>Admin berhasil approve request dan data berpindah ke menu Matchmaking &gt; Komoditi serta muncul notifikasi bahwa request telah di-approve oleh admin dan request berpindah ke bagian “Diposting”</t>
  </si>
  <si>
    <t>SCXP0178 - Akun Eksportir (Matchmaking Log – Posting Komoditi)_20221121-150135373.pdf</t>
  </si>
  <si>
    <t>SCXP0178 - Akun Eksportir (Matchmaking Log – Posting Komoditi)_20230206-113334979.pdf</t>
  </si>
  <si>
    <t>SCXP0179</t>
  </si>
  <si>
    <t>XPO0179-001</t>
  </si>
  <si>
    <t>Akun Eksportir (Matchmaking Log – Posting Komoditi) - Lakukan Reject menggunakan admin approval ke menu Approval Konten &gt; Komoditas &gt; Notifikasi</t>
  </si>
  <si>
    <t>Lakukan Reject menggunakan admin approval ke menu Approval Konten &gt; Komoditas &gt; Notifikasi</t>
  </si>
  <si>
    <t>SCXP0179 - Akun Eksportir (Matchmaking Log – Posting Komoditi)_20221130-131158810.pdf</t>
  </si>
  <si>
    <t>SCXP0179 - Akun Eksportir (Matchmaking Log – Posting Komoditi)_20230206-135020972.pdf</t>
  </si>
  <si>
    <t>SCXP0180</t>
  </si>
  <si>
    <t>XPO0180-001</t>
  </si>
  <si>
    <t>Akun Eksportir (Matchmaking Log – Penawaran) - Pilih Permintaan Pasar yang ada &gt; Klik button buat penawaran &gt; Isi form yang ada atau bisa pilih salah satu option komoditas yang ada di atas form posting permintaan</t>
  </si>
  <si>
    <t>Pilih Permintaan Pasar yang ada &gt; Klik button buat penawaran &gt; Isi form yang ada atau bisa pilih salah satu option komoditas yang ada di atas form posting permintaan</t>
  </si>
  <si>
    <t>SCXP0180 - Eksportir Penawaran_20221115-114832718.pdf</t>
  </si>
  <si>
    <t>SCXP0180 - Eksportir Penawaran_20230206-140934547.pdf</t>
  </si>
  <si>
    <t>SCXP0181</t>
  </si>
  <si>
    <t>XPO0181-001</t>
  </si>
  <si>
    <t>Akun Eksportir (Matchmaking Log – Penawaran) - Lakukan Approve menggunakan admin approval ke menu Matchmaking &gt; Matchmaking Log &gt; Notifikasi</t>
  </si>
  <si>
    <t>Terdapat Issue Pada Notifikasi. Nama Komoditasnya Belum Muncul. Lihat Pada Gambar Ke - 15</t>
  </si>
  <si>
    <t>SCXP0181 - Akun Eksportir (Matchmaking Log - Penawaran)_20221107-112851736</t>
  </si>
  <si>
    <t>SCXP0181 - Akun Eksportir (Matchmaking Log - Penawaran)_20230206-143508750.pdf</t>
  </si>
  <si>
    <t>SCXP0182</t>
  </si>
  <si>
    <t>XPO0182-001</t>
  </si>
  <si>
    <t>Akun Eksportir (Matchmaking Log – Penawaran) - Admin mengatur jadwal meeting</t>
  </si>
  <si>
    <t>Muncul notifikasi jadwal meeting pada akun eksportir</t>
  </si>
  <si>
    <t>SCXP0182 - Akun Eksportir (Matchmaking Log - Penawaran)_20221107-115640737</t>
  </si>
  <si>
    <t>SCXP0182 - Akun Eksportir (Matchmaking Log - Penawaran)_20230206-153732233.pdf</t>
  </si>
  <si>
    <t>SCXP0183</t>
  </si>
  <si>
    <t>XPO0183-001</t>
  </si>
  <si>
    <t>Akun Eksportir (Matchmaking Log – Penawaran) - Admin mengupload hasil meeting</t>
  </si>
  <si>
    <t>SCXP0183 - Akun Eksportir (Matchmaking Log - Penawaran)_20221202-102451245.pdf</t>
  </si>
  <si>
    <t>SCXP0183 - Akun Eksportir (Matchmaking Log - Penawaran)_20230207-091040363.pdf</t>
  </si>
  <si>
    <t>SCXP0184</t>
  </si>
  <si>
    <t>XPO0184-001</t>
  </si>
  <si>
    <t>Akun Eksportir (Matchmaking Log – Penawaran) - Admin melakukan update status menjadi On Progress – Transaction</t>
  </si>
  <si>
    <t>Pada akun eksportir dapat melakukan upload bill of lading dan payment reciept</t>
  </si>
  <si>
    <t>SCXP0184 - Akun Eksportir (Matchmaking Log – Penawaran)_20221202-103437687.pdf</t>
  </si>
  <si>
    <t>SCXP0184 - Akun Eksportir (Matchmaking Log – Penawaran)_20230207-091910796.pdf</t>
  </si>
  <si>
    <t>SCXP0185</t>
  </si>
  <si>
    <t>XPO0185-001</t>
  </si>
  <si>
    <t>Akun Eksportir (Matchmaking Log – Penawaran) - Menggunakan Akun diaspora upload bill of lading &gt; Document type = foto pengiriman &gt; isi form yang ada</t>
  </si>
  <si>
    <t>Menggunakan Akun Eksportir upload bill of lading &gt; Document type = foto pengiriman &gt; isi form yang ada</t>
  </si>
  <si>
    <t>Berhasil upload foto pengiriman dan muncul notifikasi</t>
  </si>
  <si>
    <t>SCXP0185 - Bill Of Lading_20221202-110539956.pdf</t>
  </si>
  <si>
    <t>SCXP0185 - Bill Of Lading_20230207-092456988.pdf</t>
  </si>
  <si>
    <t>SCXP0186</t>
  </si>
  <si>
    <t>XPO0186-001</t>
  </si>
  <si>
    <t>Akun Eksportir (Matchmaking Log – Penawaran) - Menggunakan Akun diaspora upload bill of lading &gt; Document type = bill of lading &gt; isi form yang ada</t>
  </si>
  <si>
    <t>Menggunakan Akun Eksportir upload bill of lading &gt; Document type = bill of lading &gt; isi form yang ada</t>
  </si>
  <si>
    <t>Berhasil upload bill of lading dan muncul notifikasi</t>
  </si>
  <si>
    <t>SCXP0186 - Bill Of Lading_20221215-091621061.pdf</t>
  </si>
  <si>
    <t>SCXP0186 - Bill Of Lading_20230207-093249634.pdf</t>
  </si>
  <si>
    <t>SCXP0187</t>
  </si>
  <si>
    <t>XPO0187-001</t>
  </si>
  <si>
    <t>Akun Eksportir (Matchmaking Log – Penawaran) - Menggunakan Akun diaspora Payment Receipt &gt; isi form yang ada</t>
  </si>
  <si>
    <t>Menggunakan Akun Eksportir Payment Receipt &gt; isi form yang ada</t>
  </si>
  <si>
    <t>SCXP0188</t>
  </si>
  <si>
    <t>XPO0188-001</t>
  </si>
  <si>
    <t>Akun Eksportir (Matchmaking Log – Penawaran) - Menggunakan Admin, klik pembayaran &gt; Dokumen pembayaran &gt; Tipe Dokumen = “Tanda Terima” &gt; Isi form yang ada</t>
  </si>
  <si>
    <t>SCXP0189</t>
  </si>
  <si>
    <t>XPO0189-001</t>
  </si>
  <si>
    <t>Akun Eksportir (Matchmaking Log – Penawaran) - Menggunakan Admin, klik pembayaran &gt; Dokumen pembayaran &gt; Tipe Dokumen = “Bukti Pembayaran” &gt; Isi form yang ada</t>
  </si>
  <si>
    <t>SCXP0189 - Akun Eksportir (Matchmaking Log – Penawaran)_20221202-142528233.pdf</t>
  </si>
  <si>
    <t>SCXP0189 - Akun Eksportir (Matchmaking Log – Penawaran)_20230207-100327702.pdf</t>
  </si>
  <si>
    <t>SCXP0190</t>
  </si>
  <si>
    <t>XPO0190-001</t>
  </si>
  <si>
    <t>Akun Eksportir (Matchmaking Log – Penawaran) - Menggunakan Admin, klik pengiriman&gt; Dokumen pengiriman &gt; Tipe Dokumen = “Dokumen Pengiriman” &gt; Isi form yang ada</t>
  </si>
  <si>
    <t>Berhasil submit dokumen pengiriman dan pada eksportir muncul notifikasi upload shipment dan file ada pada payment receipt</t>
  </si>
  <si>
    <t>SCXP0190 - Akun Eksportir (Matchmaking Log – Penawaran)_20221205-085047576.pdf</t>
  </si>
  <si>
    <t>SCXP0190 - Akun Eksportir (Matchmaking Log – Penawaran)_20230207-101126821.pdf</t>
  </si>
  <si>
    <t>SCXP0191</t>
  </si>
  <si>
    <t>XPO0191-001</t>
  </si>
  <si>
    <t>Akun Eksportir (Matchmaking Log – Penawaran) - Menggunakan Admin, klik pengiriman&gt; Dokumen pengiriman &gt; Tipe Dokumen = “Foto Pengiriman” &gt; Isi form yang ada</t>
  </si>
  <si>
    <t>Berhasil submit foto pengiriman dan pada eksportir muncul notifikasi pengiriman dan file ada pada Pengiriman</t>
  </si>
  <si>
    <t>SCXP0191 - Akun Eksportir (Matchmaking Log – Penawaran)_20221205-085722847.pdf</t>
  </si>
  <si>
    <t>SCXP0191 - Akun Eksportir (Matchmaking Log – Penawaran)_20230207-102338447.pdf</t>
  </si>
  <si>
    <t>SCXP0192</t>
  </si>
  <si>
    <t>XPO0192-001</t>
  </si>
  <si>
    <t>Akun Eksportir (Matchmaking Log – Penawaran) - Menggunakan Admin, klik pengiriman&gt; Dokumen pengiriman &gt; Tipe Dokumen = “Foto Penerimaan” &gt; Isi form yang ada</t>
  </si>
  <si>
    <t>Berhasil submit foto penerimaan dan pada eksportir muncul notifikasi pengiriman dan file ada pada Diterima</t>
  </si>
  <si>
    <t>SCXP0192 - Akun Eksportir (Matchmaking Log – Penawaran)_20221205-090449482.pdf</t>
  </si>
  <si>
    <t>SCXP0192 - Akun Eksportir (Matchmaking Log – Penawaran)_20230207-103016398.pdf</t>
  </si>
  <si>
    <t>SCXP0193</t>
  </si>
  <si>
    <t>XPO0193-001</t>
  </si>
  <si>
    <t>Akun Eksportir (Matchmaking Log – Penawaran) - Setelah proses selesai menggunakan Admin ubah status matchmaking log menjadi Done</t>
  </si>
  <si>
    <t>Berhasil merubah status dan pada eksportir muncul notifikasi matcmaking done dan isi feedback serta data berpindah ke bagian “Selesai”</t>
  </si>
  <si>
    <t>SCXP0193 - Akun Eksportir (Matchmaking Log – Penawaran)_20221215-131839584.pdf</t>
  </si>
  <si>
    <t>SCXP0193 - Akun Eksportir (Matchmaking Log – Penawaran)_20230207-104152052.pdf</t>
  </si>
  <si>
    <t>SCXP0194</t>
  </si>
  <si>
    <t>XPO0194-001</t>
  </si>
  <si>
    <t>Akun Eksportir (Matchmaking Log – Penawaran) - Isi feedback pada matchmaking log yang statusnya sudah done</t>
  </si>
  <si>
    <t>Isi feedback pada matchmaking log yang statusnya sudah done</t>
  </si>
  <si>
    <t xml:space="preserve">Berhasil input feedback </t>
  </si>
  <si>
    <t>SCXP0194 - Feedback Matchmaking_20221205-103102273.pdf</t>
  </si>
  <si>
    <t>SCXP0194 - Feedback Matchmaking_20230207-105552349.pdf</t>
  </si>
  <si>
    <t>SCXP0195</t>
  </si>
  <si>
    <t>XPO0195-001</t>
  </si>
  <si>
    <t>SCXP0195 - Penawaran Pasar_20221116-134243264.pdf</t>
  </si>
  <si>
    <t>SCXP0195 - Penawaran Pasar_20230207-112240712.pdf</t>
  </si>
  <si>
    <t>SCXP0196</t>
  </si>
  <si>
    <t>XPO0196-001</t>
  </si>
  <si>
    <t>Akun Eksportir (Matchmaking Log – Penawaran) - Menggunakan admin lakukan reject penawaran</t>
  </si>
  <si>
    <t>Berhasil melakukan reject penawaran dan pada akun eksportir muncul notifikasi</t>
  </si>
  <si>
    <t>SCXP0196 - Akun Eksportir (Matchmaking Log - Penawaran)_20221108-095513432</t>
  </si>
  <si>
    <t>SCXP0196 - Akun Eksportir (Matchmaking Log - Penawaran)_20230207-113903332.pdf</t>
  </si>
  <si>
    <t>SCXP0197</t>
  </si>
  <si>
    <t>XPO0197-001</t>
  </si>
  <si>
    <t>SCXP0197 - Penawaran Pasar_20221122-122617810.pdf</t>
  </si>
  <si>
    <t>SCXP0197 - Penawaran Pasar_20230207-131803289.pdf</t>
  </si>
  <si>
    <t>SCXP0198</t>
  </si>
  <si>
    <t>XPO0198-001</t>
  </si>
  <si>
    <t>SCXP0198 - Akun Eksportir (Matchmaking Log - Penawaran)_20221108-101941963</t>
  </si>
  <si>
    <t>SCXP0198 - Akun Eksportir (Matchmaking Log - Penawaran)_20230207-133748243.pdf</t>
  </si>
  <si>
    <t>SCXP0199</t>
  </si>
  <si>
    <t>XPO0199-001</t>
  </si>
  <si>
    <t>Akun Eksportir (Matchmaking Log – Penawaran) - Menggunakan Admin ubah status penawaran menjadi “Cancelled”</t>
  </si>
  <si>
    <t>Penawaran berhasil di cancelled dan notifikasi muncul pada akun eksportir serta penawaran berpindah ke bagian “Dibatalkan”</t>
  </si>
  <si>
    <t>SCXP0199 - Akun Eksportir (Matchmaking Log - Penawaran)_20221108-103425131</t>
  </si>
  <si>
    <t>SCXP0199 - Akun Eksportir (Matchmaking Log - Penawaran)_20230207-144514134.pdf</t>
  </si>
  <si>
    <t>SCXP0200</t>
  </si>
  <si>
    <t>XPO0200-001</t>
  </si>
  <si>
    <t>Akun Eksportir (Menu Inspirasi) - Pilih Fitur &gt; Inspirasi &gt; Pada menu inspirasi dapat melakukan filtering by kategori popular atau level inspirasPilih Fitur &gt; Inspirasi &gt; Pada menu inspirasi dapat melakukan filtering by kategori popular atau level inspirasi</t>
  </si>
  <si>
    <t>Pilih Fitur &gt; Inspirasi &gt; Pada menu inspirasi dapat melakukan filtering by kategori popular atau level inspirasPilih Fitur &gt; Inspirasi &gt; Pada menu inspirasi dapat melakukan filtering by kategori popular atau level inspirasi</t>
  </si>
  <si>
    <t>SCXP0200 - Filtering Inspirasi_20221116-103842437.pdf</t>
  </si>
  <si>
    <t>SCXP0200 - Filtering Inspirasi_20230103-110927575.pdf</t>
  </si>
  <si>
    <t>SCXP0201</t>
  </si>
  <si>
    <t>XPO0201-001</t>
  </si>
  <si>
    <t xml:space="preserve">Akun Eksportir (Menu Inspirasi) - Pada bagian Jadwal kegiatan pilih salah satu Pelatihan &gt; Daftar sekarang &gt; Pemberian rating hanya bisa diberikan setelah kelas dimulai </t>
  </si>
  <si>
    <t xml:space="preserve">Pada bagian Jadwal kegiatan pilih salah satu Pelatihan &gt; Daftar sekarang &gt; Pemberian rating hanya bisa diberikan setelah kelas dimulai </t>
  </si>
  <si>
    <t>SCXP0201 - Daftar Pelatihan_20221116-102956456.pdf</t>
  </si>
  <si>
    <t>SCXP0201 - Daftar Pelatihan_20221229-102943006.pdf</t>
  </si>
  <si>
    <t>SCXP0202</t>
  </si>
  <si>
    <t>XPO0202-001</t>
  </si>
  <si>
    <t>Akun Eksportir (Menu Inspirasi) - Pada bagian Video Inspirasi pilih salah satu Video &gt; Putar Video &gt; Pemberian rating</t>
  </si>
  <si>
    <t>Berhasil ke bagian putar video dan dapan memberikan rating</t>
  </si>
  <si>
    <t>SCXP0202 - Video Inspirasi_20221116-101735918.pdf</t>
  </si>
  <si>
    <t>SCXP0202 - Video Inspirasi_20221229-110219817.pdf</t>
  </si>
  <si>
    <t>SCXP0203</t>
  </si>
  <si>
    <t>XPO0203-001</t>
  </si>
  <si>
    <t>Akun Eksportir (Menu Ekspansi Bisnis) - Pilih fitur &gt; Ekspansi bisnis &gt; Pada bagian atas terdapat jadwal kegiatan</t>
  </si>
  <si>
    <t>SCXP0203 - Jadwal Kegiatan_20221116-094810662.pdf</t>
  </si>
  <si>
    <t>SCXP0203 - Jadwal Kegiatan_20221229-111009676.pdf</t>
  </si>
  <si>
    <t>SCXP0204</t>
  </si>
  <si>
    <t>XPO0204-001</t>
  </si>
  <si>
    <t>Akun Eksportir (Menu Ekspansi Bisnis) - Terdapat preview komoditas dan permintaan pasar</t>
  </si>
  <si>
    <t>SCXP0204 - Preview Ekspansi_20221117-083823337.pdf</t>
  </si>
  <si>
    <t>SCXP0204 - Preview Ekspansi_20230106-094502980.pdf</t>
  </si>
  <si>
    <t>SCXP0205</t>
  </si>
  <si>
    <t>XPO0205-001</t>
  </si>
  <si>
    <t>Akun Eksportir (Menu Ekspansi Bisnis) - Pilih fitur &gt; Ekspansi Bisnis &gt; Permintaan Pasar</t>
  </si>
  <si>
    <t>SCXP0205 - Permintaan Pasar_20221117-084217433.pdf</t>
  </si>
  <si>
    <t>SCXP0205 - Permintaan Pasar_20221229-150505148.pdf</t>
  </si>
  <si>
    <t>SCXP0206</t>
  </si>
  <si>
    <t>XPO0206-001</t>
  </si>
  <si>
    <t>Akun Eksportir (Menu Ekspansi Bisnis) - Dapat melakukan filtering by Permintaan Baru dan Permintaan terpopuler</t>
  </si>
  <si>
    <t>SCXP0206 - Filter Permintaan_20221117-090646555.pdf</t>
  </si>
  <si>
    <t>SCXP0206 - Filter Permintaan_20230106-094824945.pdf</t>
  </si>
  <si>
    <t>SCXP0207</t>
  </si>
  <si>
    <t>XPO0207-001</t>
  </si>
  <si>
    <t>Akun Eksportir (Menu Ekspansi Bisnis) - Pada bagian Categories dapat melakukan filtering by today, yesterday, 7 days ago, 30 days ago, Category, Incoterm, Country of Destination dan sort by latest oldest</t>
  </si>
  <si>
    <t>SCXP0207 - Filter By Categories_20221117-090944898.pdf</t>
  </si>
  <si>
    <t>SCXP0207 - Filter By Categories_20230106-095811110.pdf</t>
  </si>
  <si>
    <t>SCXP0208</t>
  </si>
  <si>
    <t>XPO0208-001</t>
  </si>
  <si>
    <t>Akun Eksportir (Menu Ekspansi Bisnis) - Pilih fitur &gt; Ekspansi Bisnis &gt; Komoditas Xpora</t>
  </si>
  <si>
    <t>SCXP0208 - Komoditas Xpora_20221129-111405339.pdf</t>
  </si>
  <si>
    <t>SCXP0208 - Komoditas Xpora_20221229-150708171.pdf</t>
  </si>
  <si>
    <t>SCXP0209</t>
  </si>
  <si>
    <t>XPO0209-001</t>
  </si>
  <si>
    <t>Akun Eksportir (Menu Ekspansi Bisnis) - Dapat melakukan filtering by Komoditas Baru dan Komoditas terpopuler</t>
  </si>
  <si>
    <t>SCXP0209 - Filtering Komoditas_20221129-110701261.pdf</t>
  </si>
  <si>
    <t>SCXP0209 - Filtering Komoditas_20230106-101513458.pdf</t>
  </si>
  <si>
    <t>SCXP0210</t>
  </si>
  <si>
    <t>XPO0210-001</t>
  </si>
  <si>
    <t>Akun Eksportir (Menu Ekspansi Bisnis) - Pada bagian Semua Komoditi bisa melakukan filtering by Category dan Sort by latest oldest</t>
  </si>
  <si>
    <t>SCXP0210 - Filter Komoditas_20221129-111114814.pdf</t>
  </si>
  <si>
    <t>SCXP0210 - Filter Komoditas_20230106-102657681.pdf</t>
  </si>
  <si>
    <t>SCXP0211</t>
  </si>
  <si>
    <t>XPO0211-001</t>
  </si>
  <si>
    <t>Akun Eksportir (Menu Legalitas) - Pilih Fitur &gt; Legalitas &gt; Panduan OSS &gt; Pada Halaman Legalitas klik Buku panduan maka akan beralih ke url OSS</t>
  </si>
  <si>
    <t>SCXP0211 - Direct OSS_20221214-103403960.pdf</t>
  </si>
  <si>
    <t>SCXP0211 - Direct OSS_20230103-132651096.pdf</t>
  </si>
  <si>
    <t>SCXP0212</t>
  </si>
  <si>
    <t>XPO0212-001</t>
  </si>
  <si>
    <t>Akun Eksportir (Menu Legalitas) - Klik Tutorial OSS</t>
  </si>
  <si>
    <t>SCXP0212 - Akun Eksportir (Menu Legalitas)_20221031-143554607</t>
  </si>
  <si>
    <t>SCXP0213</t>
  </si>
  <si>
    <t>XPO0213-001</t>
  </si>
  <si>
    <t>Akun Eksportir (Menu CLB) - Pilih fitur &gt; CLB &gt; Cek Cepat &gt; Isi form yang ada &gt; Muncul hasil survey</t>
  </si>
  <si>
    <t>SCXP0213 - Cek Level Bisnis_20221118-102904210.pdf</t>
  </si>
  <si>
    <t>SCXP0213 - Cek Level Bisnis_20230106-103315911.pdf</t>
  </si>
  <si>
    <t>SCXP0214</t>
  </si>
  <si>
    <t>XPO0214-001</t>
  </si>
  <si>
    <t>Akun Eksportir (Menu CLB) - Pilih fitur &gt; CLB &gt; Cek Mendalam &gt; Isi form yang ada &gt; Muncul hasil survey</t>
  </si>
  <si>
    <t>SCXP0214 - Cek Level Bisnis_20221118-111202390.pdf</t>
  </si>
  <si>
    <t>SCXP0214 - Cek Level Bisnis_20230106-105222837.pdf</t>
  </si>
  <si>
    <t>SCXP0215</t>
  </si>
  <si>
    <t>XPO0215-001</t>
  </si>
  <si>
    <t>Akun Eksportir (Menu Solusi Pendanaan) - Pilih Layanan BNI &gt; Layanan Bisnis &gt; Solusi Pendanaan &gt; Pinjaman Non Ekspor &gt; Jika dipilih salah satu maka akan beralih ke web masing-masing solusi pendanaan</t>
  </si>
  <si>
    <t>Pilih Layanan BNI &gt; Layanan Bisnis &gt; Solusi Pendanaan &gt; Pinjaman Non Ekspor &gt; Jika dipilih salah satu maka akan beralih ke web masing-masing solusi pendanaan</t>
  </si>
  <si>
    <t>SCXP0215 - Pendanaan Non Ekspor_20221118-110138765.pdf</t>
  </si>
  <si>
    <t>SCXP0215 - Pendanaan Non Ekspor_20230103-140310593.pdf</t>
  </si>
  <si>
    <t>SCXP0216</t>
  </si>
  <si>
    <t>XPO0216-001</t>
  </si>
  <si>
    <t>Akun Eksportir (Menu Solusi Pendanaan) - Pilih Layanan BNI &gt; Layanan Bisnis &gt; Solusi Pendanaan &gt; Pinjaman Ekspor &gt;Fast Trex &gt; Isi form yg ada</t>
  </si>
  <si>
    <t>SCXP0216 - Pendanaan Ekspor_20221129-112402536.pdf</t>
  </si>
  <si>
    <t>SCXP0216 - Pendanaan Ekspor_20230109-134303969.pdf</t>
  </si>
  <si>
    <t>SCXP0217</t>
  </si>
  <si>
    <t>XPO0217-001</t>
  </si>
  <si>
    <t>SCXP0217 - Solusi Digital UMKM_20221121-094131991.pdf</t>
  </si>
  <si>
    <t>SCXP0217 - Solusi Digital UMKM_20230103-143350881.pdf</t>
  </si>
  <si>
    <t>SCXP0218</t>
  </si>
  <si>
    <t>XPO0218-001</t>
  </si>
  <si>
    <t>SCXP0218 - Akun Diaspora (Menu Berita Xpora)_20221031-151814750</t>
  </si>
  <si>
    <t>SCXP0218 - Berita Xpora_20221207-091748290.pdf</t>
  </si>
  <si>
    <t>SCXP0218 - Berita Xpora_20230103-150614477.pdf</t>
  </si>
  <si>
    <t>SCXP0219</t>
  </si>
  <si>
    <t>XPO0219-001</t>
  </si>
  <si>
    <t xml:space="preserve">Berhasil masuk kehalaman Tentang Xpora dan halaman Hubungi Xpora </t>
  </si>
  <si>
    <t>SCXP0219 - Akun Diaspora (Menu Tentang Xpora)_20221028-165829554.pdf</t>
  </si>
  <si>
    <t>SCXP0219 - Akun Diaspora (Menu Tentang Xpora)_20230104-082332601.pdf</t>
  </si>
  <si>
    <t>SCXP0220</t>
  </si>
  <si>
    <t>XPO0220-001</t>
  </si>
  <si>
    <t>Akun Diaspora (Menu Tentang Xpora) - Isi saran/informasi/complain pada halaman hubungi xpora &gt; Muncul Pop Up</t>
  </si>
  <si>
    <t>Isi saran/informasi/complain pada halaman hubungi xpora &gt; Muncul Pop Up</t>
  </si>
  <si>
    <t xml:space="preserve">Berhasil submit saran/informasi/complaint </t>
  </si>
  <si>
    <t>SCXP0220 - Akun Diaspora (Menu Tentang Xpora)_20221031-103417926</t>
  </si>
  <si>
    <t>SCXP0220 - Saran Xpora_20221207-092812971.pdf</t>
  </si>
  <si>
    <t>SCXP0220 - Saran Xpora_20230104-082755992.pdf</t>
  </si>
  <si>
    <t>SCXP0221</t>
  </si>
  <si>
    <t>XPO0221-001</t>
  </si>
  <si>
    <t>Home Page Menggunakan Mobile - Pada halaman Home Page terdapat floating button “Daftar” dan “Masuk” serta tidak ada footer</t>
  </si>
  <si>
    <t>Pada halaman Home Page terdapat floating button “Daftar” dan “Masuk” serta tidak ada footer</t>
  </si>
  <si>
    <t>Floating button berfungsi dengan baik dan footer tidak ada</t>
  </si>
  <si>
    <t>SCXP0222</t>
  </si>
  <si>
    <t>XPO0222-001</t>
  </si>
  <si>
    <t>Home Page Menggunakan Mobile - Terdapat button “Menu Lainnya” untuk melihat menu-menu yang tersedia</t>
  </si>
  <si>
    <t>Terdapat button “Menu Lainnya” untuk melihat menu-menu yang tersedia</t>
  </si>
  <si>
    <t>Button “Menu Lainnya” berfungsi dengan baik</t>
  </si>
  <si>
    <t>SCXP0223</t>
  </si>
  <si>
    <t>XPO0223-001</t>
  </si>
  <si>
    <t>Home Page Menggunakan Mobile - Pada bagian Pelatihan dan Business Matching yang sudah berlalu berwarna abu-abu dan yang akan datang berwarna biru</t>
  </si>
  <si>
    <t>Pada bagian Pelatihan dan Business Matching yang sudah berlalu berwarna abu-abu dan yang akan datang berwarna biru</t>
  </si>
  <si>
    <t>Font Coloring sudah sesuai</t>
  </si>
  <si>
    <t>SCXP0224</t>
  </si>
  <si>
    <t>XPO0224-001</t>
  </si>
  <si>
    <t>Home Page Menggunakan Mobile - Masuk ke Menu Lainnya &gt; Ekspansi Bisnis &gt; Posting Komoditi atau Permintaan &gt; Beralih kehalaman login</t>
  </si>
  <si>
    <t>Masuk ke Menu Lainnya &gt; Ekspansi Bisnis &gt; Posting Komoditi atau Permintaan &gt; Beralih kehalaman login</t>
  </si>
  <si>
    <t>Berhasil beralih ke halaman login ketika akan melakukan posting komoditi atau Permintaan</t>
  </si>
  <si>
    <t>SCXP0225</t>
  </si>
  <si>
    <t>XPO0225-001</t>
  </si>
  <si>
    <t>Login sebagai Eksportir /  Diaspora - Pada header terdapat logo Xpora, alih bahasa dan button notifikasi</t>
  </si>
  <si>
    <t>Pada header terdapat logo Xpora, alih bahasa dan button notifikasi</t>
  </si>
  <si>
    <t>Header sudah sesuai</t>
  </si>
  <si>
    <t>SCXP0225 - Cek Header_20221121-095036693.pdf</t>
  </si>
  <si>
    <t>SCXP0225 - Cek Header_20230104-084857785.pdf</t>
  </si>
  <si>
    <t>SCXP0226</t>
  </si>
  <si>
    <t>XPO0226-001</t>
  </si>
  <si>
    <t>Login sebagai Eksportir /  Diaspora - Terdapat Floating button “Beranda”, “Ekspansi Bisnis” dan Profile</t>
  </si>
  <si>
    <t>Terdapat Floating button “Beranda”, “Ekspansi Bisnis” dan Profile</t>
  </si>
  <si>
    <t>Floating button berfungsi dengan baik</t>
  </si>
  <si>
    <t>SCXP0227</t>
  </si>
  <si>
    <t>XPO0227-001</t>
  </si>
  <si>
    <t>Login sebagai Eksportir /  Diaspora - Pilih “Ekspansi Bisnis” &gt; “Komoditi Baru” atau “Permintaan Baru” &gt; Isi form yang ada &gt; Simpan</t>
  </si>
  <si>
    <t>Pilih “Ekspansi Bisnis” &gt; “Komoditi Baru” atau “Permintaan Baru” &gt; Isi form yang ada &gt; Simpan</t>
  </si>
  <si>
    <t xml:space="preserve">Berhasil menyimpan permintaan dan data akan muncul di bagian “Menunggu Persetujuan” serta muncul notifikasi </t>
  </si>
  <si>
    <t>SCXP0227 - Menyimpan Permintaan_20221205-113021176.pdf</t>
  </si>
  <si>
    <t>SCXP0228</t>
  </si>
  <si>
    <t>XPO0228-001</t>
  </si>
  <si>
    <t>Feedback video inspirasi</t>
  </si>
  <si>
    <t>Pilih menu Inspirasi &gt; Video Inspirasi</t>
  </si>
  <si>
    <t>QAS Testing Strategy Execution Xpora Wave 3 V2.docx</t>
  </si>
  <si>
    <t>Berhasil ke menu Inspirasi</t>
  </si>
  <si>
    <t>SCXP0228 - Feedback Video_20221207-085403211.pdf</t>
  </si>
  <si>
    <t>SCXP0228 - Feedback Video_20230104-085449810.pdf</t>
  </si>
  <si>
    <t>XPO0228-002</t>
  </si>
  <si>
    <t>Pilih salah satu video &gt; Isi rating dan umpan Balik</t>
  </si>
  <si>
    <t>Berhasil memberikan Rating dan Umpan Balik</t>
  </si>
  <si>
    <t>SCXP0229</t>
  </si>
  <si>
    <t>XPO0229-001</t>
  </si>
  <si>
    <t>Page Complaint</t>
  </si>
  <si>
    <t>Pilih menu Tentang Xpora &gt; Hubungi Kami</t>
  </si>
  <si>
    <t>Berhasil ke menu Hubungi Kami</t>
  </si>
  <si>
    <t>SCXP0229 - Page Complaint_20221207-095802209.pdf</t>
  </si>
  <si>
    <t>SCXP0229 - Page Complaint_20230104-090733143.pdf</t>
  </si>
  <si>
    <t>XPO0229-002</t>
  </si>
  <si>
    <t>Pilih kategori pesan = Komplain</t>
  </si>
  <si>
    <t>Berhasil mengirimkan komplain</t>
  </si>
  <si>
    <t>SCXP0230</t>
  </si>
  <si>
    <t>XPO0230-001</t>
  </si>
  <si>
    <t>Matchmakin Log</t>
  </si>
  <si>
    <t>Login akun Diaspora &gt; Pilih salah satu komoditas &gt; Buat penawaran</t>
  </si>
  <si>
    <t>Berhasil beralih kehalaman buat penawaran</t>
  </si>
  <si>
    <t>SCXP0230 - Matchmakin Log_20221215-092815431.pdf</t>
  </si>
  <si>
    <t>SCXP0230 - Matchmakin Log_20230109-115843529.pdf</t>
  </si>
  <si>
    <t>XPO0230-002</t>
  </si>
  <si>
    <t>Isi form posting permintaan atau bisa pilih salah satu dari permintaan pasar yang sudah tersedia &gt; Simpan</t>
  </si>
  <si>
    <t>Berhasil simpan Penawaran</t>
  </si>
  <si>
    <t>SCXP0231 - Matchmakin Log_20230109-130249300.pdf</t>
  </si>
  <si>
    <t>SCXP0231</t>
  </si>
  <si>
    <t>XPO0231-001</t>
  </si>
  <si>
    <t>Login menggunakan portal admin &gt; pilih menu Matchamking &gt; Matchmaking Log &gt; Detail &gt; Approve</t>
  </si>
  <si>
    <t>Berhasil approve data</t>
  </si>
  <si>
    <t>SCXP0231 - Matchmakin Log_20221208-090011867.pdf</t>
  </si>
  <si>
    <t>SCXP0231 - Matchmakin Log_20230110-101704353.pdf</t>
  </si>
  <si>
    <t>SCXP0232</t>
  </si>
  <si>
    <t>XPO0232-001</t>
  </si>
  <si>
    <t>Login akun Diaspora &gt; Notifikasi</t>
  </si>
  <si>
    <t>Notifikasi “Offering Market Request Approved”</t>
  </si>
  <si>
    <t>SCXP0232 - Matchmakin Log_20221208-094716974.pdf</t>
  </si>
  <si>
    <t>SCXP0233</t>
  </si>
  <si>
    <t>XPO0233-001</t>
  </si>
  <si>
    <t>Login akun Eksportir &gt; matchmaking log yang telah dibuat menggunakan diaspora maka aka nada juga pada akun Eksportir yang komoditasnya dipilih</t>
  </si>
  <si>
    <t>Terdapat Matchamking Log yang sama dengan akun Diaspora</t>
  </si>
  <si>
    <t>SCXP0233 - Matchmakin Log_20221208-100103962.pdf</t>
  </si>
  <si>
    <t>SCXP0233 - Matchmakin Log_20230208-085941951.pdf</t>
  </si>
  <si>
    <t>SCXP0234</t>
  </si>
  <si>
    <t>XPO0234-001</t>
  </si>
  <si>
    <t>Login sebagai admin &gt; pilih menu Matchamking &gt; Matchmaking Log &gt; Set Up Meeting &gt; set tanggal/jam mulai yang sudah berlalu</t>
  </si>
  <si>
    <t>Berhasil melakukan set up dengan tanggal/jam meeting yang sudah berlalu</t>
  </si>
  <si>
    <t>SCXP0234 - Matchmakin Log_20221208-113827381.pdf</t>
  </si>
  <si>
    <t>SCXP0234 - Matchmakin Log_20230208-100247160.pdf</t>
  </si>
  <si>
    <t>SCXP0235</t>
  </si>
  <si>
    <t>XPO0235-001</t>
  </si>
  <si>
    <t>Login sebagai Admin &gt; Input hasil meeting &gt; Terdapat Notifikasi pada akun Diaspora dan Eksportir
Nb : Pada akun diaspora/eksportir data masuk ke Kontrak Penjualan</t>
  </si>
  <si>
    <t>Berhasil melakukan input hasil meeting dan notifikasi = “Sales Kontrak Telah Disepakati”</t>
  </si>
  <si>
    <t>SCXP0235 - Matchmakin Log_20221212-083102526.pdf</t>
  </si>
  <si>
    <t>SCXP0235 - Matchmakin Log_20230208-101833769.pdf</t>
  </si>
  <si>
    <t>SCXP0236</t>
  </si>
  <si>
    <t>XPO0236-001</t>
  </si>
  <si>
    <t>Login sebagai admin &gt; Matchmaking Log &gt; Set Up Meeting &gt; set tanggal/jam mulai yang akan datang</t>
  </si>
  <si>
    <t>Berhasil set up meeting yang akan datang</t>
  </si>
  <si>
    <t>SCXP0236 - Matchmakin Log_20221212-085355145.pdf</t>
  </si>
  <si>
    <t>SCXP0236 - Matchmakin Log_20230208-102223725.pdf</t>
  </si>
  <si>
    <t>SCXP0237</t>
  </si>
  <si>
    <t>XPO0237-001</t>
  </si>
  <si>
    <t>Login sebagai Akun Diaspora dan Eksportir &gt; Notifikasi pada akun Diaspora dan Eksportir serta ada penambahan subbagian Jadwal Pertemuan pada detail data matchmaking log tersebut</t>
  </si>
  <si>
    <t>Berhasil muncul notifikasi  = “Meeting Created” dan adanya subbagianJadwal Pertemuan</t>
  </si>
  <si>
    <t>SCXP0237 - Matchmakin Log_20221212-092349306.pdf</t>
  </si>
  <si>
    <t>SCXP0237 - Matchmakin Log_20230208-110606887.pdf</t>
  </si>
  <si>
    <t>SCXP0238</t>
  </si>
  <si>
    <t>XPO0238-001</t>
  </si>
  <si>
    <t>Login sebagai Admin &gt; Tunggu sampai meeting dimulai/selesai maka akan muncul button input hasil meeting</t>
  </si>
  <si>
    <t>Berhasil melakukan input hasil meeting dan notifikasi = “Sales Kontrak Telah Disepakati” serta dokumen yang tampil adalah dokumen terakhir yang diupload</t>
  </si>
  <si>
    <t>SCXP0238 - Matchmakin Log_20221212-095615619.pdf</t>
  </si>
  <si>
    <t>SCXP0238 - Matchmakin Log_20230208-113940844.pdf</t>
  </si>
  <si>
    <t>SCXP0239</t>
  </si>
  <si>
    <t>XPO0239-001</t>
  </si>
  <si>
    <t>Login sebagai Admin &gt; Update status menjadi “On Progress – Transaction”</t>
  </si>
  <si>
    <t>Berhasil merubah status</t>
  </si>
  <si>
    <t>SCXP0239 - Matchmakin Log_20221212-103514600.pdf</t>
  </si>
  <si>
    <t>SCXP0239 - Matchmakin Log_20230208-125852058.pdf</t>
  </si>
  <si>
    <t>SCXP0240</t>
  </si>
  <si>
    <t>XPO0240-001</t>
  </si>
  <si>
    <t>Login sebagai Admin  &gt; subbagian Pembayaran &gt; Dokumen Pembayaran &gt;Tipe Dokumen = “Bukti Pembayaran” &gt; Notifikasi.
Nb : Pada akun diaspora/eksportir data masuk ke dokumen pembayaran</t>
  </si>
  <si>
    <t>Berhail upload Bukti pembayaran dan Notifikasi pada akun Diaspora dan Eksportir sudah ada = “Upload Payment Anda Berhasil!”</t>
  </si>
  <si>
    <t>SCXP0240 - Matchmakin Log_20221213-082904380.pdf</t>
  </si>
  <si>
    <t>SCXP0240 - Matchmakin Log_20230208-135757980.pdf</t>
  </si>
  <si>
    <t>SCXP0241</t>
  </si>
  <si>
    <t>XPO0241-001</t>
  </si>
  <si>
    <t>Login sebagai Admin &gt; Pengiriman &gt; Tipe Dokumen = “Bill Of Lading” &gt; Isi field yg ada  &gt; Notifikasi
Nb : Pada akun diaspora/eksportir data masuk ke Bill Of Lading</t>
  </si>
  <si>
    <t>Berhasil melakukan upload bill of lading dan notifikasi pada akun Diaspora dan Eksportir= “Upload Bill of Lading Anda Berhasil”</t>
  </si>
  <si>
    <t>SCXP0241 - Matchmakin Log_20221213-083728740.pdf</t>
  </si>
  <si>
    <t>SCXP0241 - Matchmakin Log_20230208-140442067.pdf</t>
  </si>
  <si>
    <t>SCXP0242</t>
  </si>
  <si>
    <t>XPO0242-001</t>
  </si>
  <si>
    <t>Login sebagai Admin &gt; Pengiriman &gt; Tipe Dokumen = “Foto Pengiriman” &gt; Isi field yg ada  &gt; Notifikasi
Nb : Pada akun diaspora/eksportir data masuk ke Foto Pengiriman</t>
  </si>
  <si>
    <t>Berhasil melakukan Foto Pengiriman dan notifikasi pada akun Diaspora dan Eksportir= “Upload Foto Pengiriman Anda Berhasil”</t>
  </si>
  <si>
    <t>SCXP0242 - Matchmakin Log_20221213-084557012.pdf</t>
  </si>
  <si>
    <t>SCXP0242 - Matchmakin Log_20230210-143358603.pdf</t>
  </si>
  <si>
    <t>SCXP0243</t>
  </si>
  <si>
    <t>XPO0243-001</t>
  </si>
  <si>
    <t>Login sebagai Admin &gt; Pengiriman &gt; Tipe Dokumen = “Foto Penerimaan” &gt; Isi field yg ada  &gt; Notifikasi
Nb : Pada akun diaspora/eksportir data masuk ke Foto Penerimaan</t>
  </si>
  <si>
    <t>Berhasil melakukan Foto Penerimaan dan notifikasi pada akun Diaspora dan Eksportir= “Upload Foto Penerimaan Anda Berhasil”</t>
  </si>
  <si>
    <t>SCXP0243 - Matchmakin Log_20221213-085859341.pdf</t>
  </si>
  <si>
    <t>SCXP0243 - Matchmakin Log_20230210-144054260.pdf</t>
  </si>
  <si>
    <t>SCXP0244</t>
  </si>
  <si>
    <t>XPO0244-001</t>
  </si>
  <si>
    <t>Login Sebagai Eksportir (Upload dokumen lewat ui Eksportir) &gt; matchmaking log yang akan diproses &gt; sub bagian Dokumen &gt; Upload &gt; Upload dokumen Bill Of Lading dan Foto Pengiriman &gt; Submit &gt; Notifikasi
Nb : Pada akun diaspora/eksportir data masuk ke Bill Of Lading dan Foto Pengiriman</t>
  </si>
  <si>
    <t>Berhasil melakukan Foto Pengiriman dan notifikasi pada akun Diaspora dan Eksportir= “Upload Foto Pengiriman Anda Berhasil” dan “Upload Bill Of Lading Anda Berhasil!”</t>
  </si>
  <si>
    <t>SCXP0244 - Matchmakin Log_20221213-105137493.pdf</t>
  </si>
  <si>
    <t>SCXP0244 - Matchmakin Log_20230210-151624169.pdf</t>
  </si>
  <si>
    <t>SCXP0245</t>
  </si>
  <si>
    <t>XPO0245-001</t>
  </si>
  <si>
    <t>Login Sebagai Eksportir (Upload dokumen lewat ui Eksportir) &gt; matchmaking log yang akan diproses &gt; sub bagian Dokumen &gt; Upload &gt; Upload Dokumen Pembayaran dan Foto Penerimaan &gt; Submit &gt; Notifikasi
Nb : Pada akun diaspora/eksportir data masuk ke Dokumen Pembayaran dan Foto Penerimaan</t>
  </si>
  <si>
    <t>Berhasil melakukan Foto Penerimaan dan notifikasi pada akun Diaspora dan Eksportir= “Upload Foto Penerimaan Anda Berhasil” dan “Upload Payment Anda Berhasil!”</t>
  </si>
  <si>
    <t>SCXP0245 - Matchmakin Log_20221214-080344503.pdf</t>
  </si>
  <si>
    <t>SCXP0245 - Matchmakin Log_20230210-161252373.pdf</t>
  </si>
  <si>
    <t>SCXP0246</t>
  </si>
  <si>
    <t>XPO0246-001</t>
  </si>
  <si>
    <t>Login sebagai Admin &gt; Ubah status = “Done”  &gt; Notifikasi pada Diaspora dan Eksportir</t>
  </si>
  <si>
    <t>Berhasil merubah status dan terdapat notifikasi pada Diaspora dan Eksportir = “Jangan Lupa Isi Feedback Reminder!” dan “Matchmaking Done”</t>
  </si>
  <si>
    <t>SCXP0246 - Matchmakin Log_20221214-090251092.pdf</t>
  </si>
  <si>
    <t>SCXP0246 - Matchmakin Log_20230210-170339137.pdf</t>
  </si>
  <si>
    <t>SCXP0247</t>
  </si>
  <si>
    <t>XPO0247-001</t>
  </si>
  <si>
    <t>Login sebagai Eksporitr &gt; pilih matchmaking yang sudah selesai &gt; Isi feedback</t>
  </si>
  <si>
    <t>Berhasil isi feedback</t>
  </si>
  <si>
    <t>SCXP0247 - Feedback Eksportir_20221215-110227466.pdf</t>
  </si>
  <si>
    <t>SCXP0247 - Feedback Eksportir_20230210-171641434.pdf</t>
  </si>
  <si>
    <t>SCXP0248</t>
  </si>
  <si>
    <t>XPO0248-001</t>
  </si>
  <si>
    <t>Login sebagai akun Diaspora &gt; pilih matchmaking yang sudah selesai &gt; Isi feedback</t>
  </si>
  <si>
    <t>SCXP0248 - Feedback Diaspora_20221215-111356522.pdf</t>
  </si>
  <si>
    <t>SCXP0248 - Feedback Diaspora_20230210-172003606.pdf</t>
  </si>
  <si>
    <t>SCXP0249</t>
  </si>
  <si>
    <t>XPO0249-001</t>
  </si>
  <si>
    <t>Login sebagai Admin &gt; pilih matchmaking &gt; Matcmaking Log &gt; data dengan status done dan ada sub bagian untuk riwayat hasil Feedback</t>
  </si>
  <si>
    <t>Terdapat Riwayat hasil Feedback akun diaspora dan eksportir</t>
  </si>
  <si>
    <t>SCXP0249 - Matchmakin Log_20221215-123155373.pdf</t>
  </si>
  <si>
    <t>SCXP0249 - Matchmakin Log_20230210-191700402.pdf</t>
  </si>
  <si>
    <t>SCXP0250</t>
  </si>
  <si>
    <t>XPO0250-001</t>
  </si>
  <si>
    <t>Add New Komoditas</t>
  </si>
  <si>
    <t>Login sebagai Eksporitr &gt; pilih Posting Komoditas &gt; Komoditas Baru &gt; Isi field yang ada &gt; Save &gt; Notifikasi</t>
  </si>
  <si>
    <t>Berhasil menyimpan komoditas terbaru di sub menu “Menunggu Persetujuan” dan muncul Notifikasi “Komoditas Submitted”</t>
  </si>
  <si>
    <t>SCXP0250 - Add New Komoditas_20221214-102948429.pdf</t>
  </si>
  <si>
    <t>SCXP0250 - Add New Komoditas_20230210-194223929.pdf</t>
  </si>
  <si>
    <t>SCXP0251</t>
  </si>
  <si>
    <t>XPO0251-001</t>
  </si>
  <si>
    <t>Login sebagai Admin &gt; pilih approvl konten &gt; komoditas &gt; Detail &gt; Approve &gt; Notifikasi</t>
  </si>
  <si>
    <t>Data berhasil disapprove dan berpindah kemenu Matchmaking &gt; Komoditas dan muncul notifikasi “Komoditas Approved”</t>
  </si>
  <si>
    <t>SCXP0251 - Add New Komoditas_20221214-111314374.pdf</t>
  </si>
  <si>
    <t>SCXP0251 - Add New Komoditas_20230210-195204312.pdf</t>
  </si>
  <si>
    <t>Pending</t>
  </si>
  <si>
    <t>Take Out</t>
  </si>
  <si>
    <t>Nov-W5</t>
  </si>
  <si>
    <t>Scenario_ID</t>
  </si>
  <si>
    <t>Screen DigiSales</t>
  </si>
  <si>
    <t>DB</t>
  </si>
  <si>
    <t>FTP</t>
  </si>
  <si>
    <t>File</t>
  </si>
  <si>
    <t>Postman</t>
  </si>
  <si>
    <t>SCD0001</t>
  </si>
  <si>
    <t xml:space="preserve">SCD0001-001
</t>
  </si>
  <si>
    <t>Login Penyelia</t>
  </si>
  <si>
    <t>Menguji Keberhasilan login sebagai Penyelia</t>
  </si>
  <si>
    <t>- Input Data Login
- Login Berhasil
- Berhasil Logout</t>
  </si>
  <si>
    <t>-Berhasil melakukan login
 -Tertampil profik dan data user yang melakukan login</t>
  </si>
  <si>
    <t>9 Juni 2022</t>
  </si>
  <si>
    <t>SCD0001 - Login_20220609-140415372.pdf</t>
  </si>
  <si>
    <t>8 Juli 2022</t>
  </si>
  <si>
    <t>SCD0001 - Login_20220708-150449386.pdf</t>
  </si>
  <si>
    <t xml:space="preserve">SCD0001-002
</t>
  </si>
  <si>
    <t>Login Penyelia SRM</t>
  </si>
  <si>
    <t>Menguji Keberhasilan login sebagai Penyelia SRM</t>
  </si>
  <si>
    <t>Putri</t>
  </si>
  <si>
    <t>SCD0001-003</t>
  </si>
  <si>
    <t>Login Pimpinan Cabang</t>
  </si>
  <si>
    <t>Menguji Keberhasilan login sebagai Pimpinan Cabang</t>
  </si>
  <si>
    <t>SCD0001-004</t>
  </si>
  <si>
    <t>Login Pimpinan Wilayah</t>
  </si>
  <si>
    <t>Menguji Keberhasilan login sebagai Pimpinan Wilayah</t>
  </si>
  <si>
    <t>SCD0001-005</t>
  </si>
  <si>
    <t>Login Sales</t>
  </si>
  <si>
    <t>Menguji Keberhasilan login sebagai Sales</t>
  </si>
  <si>
    <t xml:space="preserve">SCD0001-006
</t>
  </si>
  <si>
    <t>Login Admin SLN</t>
  </si>
  <si>
    <t>Menguji Keberhasilan login sebagai Admin SLN</t>
  </si>
  <si>
    <t>SCD0002</t>
  </si>
  <si>
    <t>SCD0002-001</t>
  </si>
  <si>
    <t>Force Update Nomor WhatsApp</t>
  </si>
  <si>
    <t>Normal - Force Update Nomor WhatsApp ketika Sales login ke dalam Aplikasi
DigiSales</t>
  </si>
  <si>
    <t>Login ke dalam Aplikasi DigiSales mobile browser menggunakan user Sales yang belum terdapat Nomor WhatsApp pada Aplikasi DigiSales</t>
  </si>
  <si>
    <t>User : 31229
Pass : digisales123/</t>
  </si>
  <si>
    <t>· Muncul Force Update Nomor WhatsApp ketika Sales login ke dalam Aplikasi DigiSales jika Nomor WhatsApp dari user Sales terkait belum terdapat pada Aplikasi DigiSales.</t>
  </si>
  <si>
    <t>8 Juni 2022</t>
  </si>
  <si>
    <t>SCD0002 - Force Update WA_20220608-141539946.pdf</t>
  </si>
  <si>
    <t>7 Juli 2022</t>
  </si>
  <si>
    <t>SCD0002 - Force Update WA_20220707-111749385.pdf</t>
  </si>
  <si>
    <t>SCD0002-002</t>
  </si>
  <si>
    <t>Informasi Leads via whatsapp</t>
  </si>
  <si>
    <t>Normal - Mengirim Informasi Leads dengan scenario : Cart terdapat 2 Leads, tahapan Follow Up terdapat 0 Leads serta tahapan Monitoring terdapat 3 Leads,</t>
  </si>
  <si>
    <t xml:space="preserve">- Login sebagai Sales
- Pada menu pipeline sesuaikan informasi Leads dengan scenario : Cart terdapat 2 Leads, tahapan Follow Up terdapat 0 Leads serta tahapan Monitoring terdapat 3 Leads
- Sistem akan mengirimkan informasi leads melalui WhatsApp ke nomor WA Sales yang terdaftar di Digisales setiap hari menggunakan scheduler </t>
  </si>
  <si>
    <t>· Berhasil mengirimkan pesan melalui WhatsApp ke nomor WA Sales yang terdaftar di Digisales, pesannya sebagai berikut :
  Selamat Pagi Bapak / Ibu Monx
  dengan ini kami sampaikan pada PipeLine Bapak / Ibu terdapat Calon Nasabah sebagai berikut:
  - Tahapan Cart = 2 Calon Nasabah
  - Tahapan Monitoring = 3 Calon Nasabah
  Mohon untuk dapat dilanjutkan prosesnya.
  Informasi lebih detail, Bapak / Ibu dapat melihat pada Pipeline di Aplikasi DigiSales Anda.
  · Pengiriman informasi leads dikirim setiap hari menggunakan scheduler
  · Scheduler ini di set (dijalankan) setelah scheduler pengiriman ulang tahun nasabah kelolaan</t>
  </si>
  <si>
    <t>perlu jalanin scheduler dan perlu device mobile untuk cek notifikasi whatsapp</t>
  </si>
  <si>
    <t>SCD0002-003</t>
  </si>
  <si>
    <t>Mengirim Informasi Leads dengan scenario : Cart terdapat 1 Leads, tahapan Follow Up terdapat 2 Leads serta tahapan Monitoring terdapat 3 Leads</t>
  </si>
  <si>
    <t xml:space="preserve">- Login sebagai Sales
- Pada menu pipeline sesuaikan Informasi Leads dengan scenario : Cart terdapat 1 Leads, tahapan Follow Up terdapat 2 Leads serta tahapan Monitoring terdapat 3 Leads
- Sistem akan mengirimkan informasi leads melalui WhatsApp ke nomor WA Sales yang terdaftar di Digisales setiap hari menggunakan scheduler </t>
  </si>
  <si>
    <t>· Berhasil mengirimkan pesan melalui WhatsApp ke nomor WA Sales yang terdaftar di Digisales, pesannya sebagai berikut :
  Selamat Pagi Bapak / Ibu Monx
  dengan ini kami sampaikan pada PipeLine Bapak / Ibu terdapat Calon Nasabah sebagai berikut:
  - Tahapan Cart = 1 Calon Nasabah
  - Tahapan Follow Up = 2 Calon Nasabah
  - Tahapan Monitoring = 3 Calon Nasabah
  Mohon untuk dapat dilanjutkan prosesnya.
  Informasi lebih detail, Bapak / Ibu dapat melihat pada Pipeline di Aplikasi DigiSales Anda.
  · Pengiriman informasi leads dikirim setiap hari menggunakan scheduler
  · Scheduler ini di set (dijalankan) setelah scheduler pengiriman ulang tahun nasabah kelolaan</t>
  </si>
  <si>
    <t>SCD0002-004</t>
  </si>
  <si>
    <t>Mengirim Informasi Leads dengan scenario : tahapan Follow Up terdapat 2 Leads serta tahapan Monitoring terdapat 3 Leads</t>
  </si>
  <si>
    <t xml:space="preserve">- Login sebagai Sales
- Pada menu pipeline sesuaikan Informasi Leads dengan scenario : tahapan Follow Up terdapat 2 Leads serta tahapan Monitoring terdapat 3 Leads
- Sistem akan mengirimkan informasi leads melalui WhatsApp ke nomor WA Sales yang terdaftar di Digisales setiap hari menggunakan scheduler </t>
  </si>
  <si>
    <t>· Ber Berhasil mengirimkan pesan melalui WhatsApp ke nomor WA Sales yang terdaftar di Digisales, pesannya sebagai berikut :
  Selamat Pagi Bapak / Ibu Monx
  dengan ini kami sampaikan pada PipeLine Bapak / Ibu terdapat Calon Nasabah sebagai berikut:
  Tahapan Follow Up = 2 Calon Nasabah 
  Mohon untuk dapat dilanjutkan prosesnya.
  Informasi lebih detail, Bapak / Ibu dapat melihat pada Pipeline di Aplikasi DigiSales Anda.
  · Pengiriman informasi leads dikirim setiap hari menggunakan scheduler
  · Scheduler ini di set (dijalankan) setelah scheduler pengiriman ulang tahun nasabah kelolaan</t>
  </si>
  <si>
    <t>SCD0002-005</t>
  </si>
  <si>
    <t>Normal - Mengirim Informasi Leads dengan scenario : Cart terdapat 7 Leads</t>
  </si>
  <si>
    <t xml:space="preserve">- Login sebagai Sales
- Pada menu pipeline sesuaikan Informasi Leads dengan scenario : Cart terdapat 7 Leads
- Sistem akan mengirimkan informasi leads melalui WhatsApp ke nomor WA Sales yang terdaftar di Digisales setiap hari menggunakan scheduler </t>
  </si>
  <si>
    <t>· Berhasil mengirimkan pesan melalui WhatsApp ke nomor WA Sales yang terdaftar di Digisales, pesannya sebagai berikut :
  Selamat Pagi Bapak / Ibu Monx
  dengan ini kami sampaikan pada PipeLine Bapak / Ibu terdapat Calon Nasabah sebagai berikut:
  - Tahapan Cart = 7 Calon Nasabah
  Mohon untuk dapat dilanjutkan prosesnya.
  Informasi lebih detail, Bapak / Ibu dapat melihat pada Pipeline di Aplikasi DigiSales Anda.
  · Pengiriman informasi leads dikirim setiap hari menggunakan scheduler
  · Scheduler ini di set (dijalankan) setelah scheduler pengiriman ulang tahun nasabah kelolaan</t>
  </si>
  <si>
    <t>SCD0002-006</t>
  </si>
  <si>
    <t>Mengirim Informasi Leads dengan scenario : Follow Up terdapat 5</t>
  </si>
  <si>
    <t xml:space="preserve">- Login sebagai Sales
- Pada menu pipeline sesuaikan Informasi Leads dengan scenario : Follow Up terdapat 5
- Sistem akan mengirimkan informasi leads melalui WhatsApp ke nomor WA Sales yang terdaftar di Digisales setiap hari menggunakan scheduler </t>
  </si>
  <si>
    <t>· Berhasil mengirimkan pesan melalui WhatsApp ke nomor WA Sales yang terdaftar di Digisales, pesannya sebagai berikut :
  Selamat Pagi Bapak / Ibu Monx
  dengan ini kami sampaikan pada PipeLine Bapak / Ibu terdapat Calon Nasabah sebagai berikut:
  - Tahapan Follow Up = 5 Calon Nasabah
  Mohon untuk dapat dilanjutkan prosesnya.
  Informasi lebih detail, Bapak / Ibu dapat melihat pada Pipeline di Aplikasi DigiSales Anda.
  · Pengiriman informasi leads dikirim setiap hari menggunakan scheduler
  · Scheduler ini di set (dijalankan) setelah scheduler pengiriman ulang tahun nasabah kelolaan</t>
  </si>
  <si>
    <t>SCD0002-007</t>
  </si>
  <si>
    <t>Normal - Mengirim Informasi Leads dengan scenario : tahapan Monitoring terdapat 5 Leads</t>
  </si>
  <si>
    <t xml:space="preserve">- Login sebagai Sales
- Pada menu pipeline sesuaikan Informasi Leads dengan scenario : tahapan Monitoring terdapat 5 Leads
- Sistem akan mengirimkan informasi leads melalui WhatsApp ke nomor WA Sales yang terdaftar di Digisales setiap hari menggunakan scheduler </t>
  </si>
  <si>
    <t>· Berhasil mengirimkan pesan melalui WhatsApp ke nomor WA Sales yang terdaftar di Digisales, pesannya sebagai berikut :
  Selamat Pagi Bapak / Ibu Monx
  dengan ini kami sampaikan pada PipeLine Bapak / Ibu terdapat Calon Nasabah sebagai berikut:
  - Tahapan Monitoring = 5 Calon Nasabah
  Mohon untuk dapat dilanjutkan prosesnya.
  Informasi lebih detail, Bapak / Ibu dapat melihat pada Pipeline di Aplikasi DigiSales Anda.
  · Pengiriman informasi leads dikirim setiap hari menggunakan scheduler
  · Scheduler ini di set (dijalankan) setelah scheduler pengiriman ulang tahun nasabah kelolaan</t>
  </si>
  <si>
    <t>SCD0002-008</t>
  </si>
  <si>
    <t>Normal - Sales tidak memiliki leads untuk pada tahap Cart, Followup &amp; Monitoring</t>
  </si>
  <si>
    <t>· Tidak akan mengirim whatsapp terkait Informasi Leads</t>
  </si>
  <si>
    <t>SCD0003</t>
  </si>
  <si>
    <t>SCD0003-001</t>
  </si>
  <si>
    <t>Melakukan generate referal code di setiap proses digisales</t>
  </si>
  <si>
    <t>Normal - Melakukan generate referal code di setiap proses digisales</t>
  </si>
  <si>
    <t>- Login Digisales mobile browser menggunakan user sales
- Masuk kemenu Pipeline -&gt; Monitoring
- Klik Button Referal</t>
  </si>
  <si>
    <t>Berhasil di-generate tidak mengikutsertakan angka 0 dan huruf O, misalkan Kode Referral yang di-generate adalah XTL3VW67.</t>
  </si>
  <si>
    <t>10 Juni 2022</t>
  </si>
  <si>
    <t>SCD0010 - Referal Code_20220610-135102377.pdf</t>
  </si>
  <si>
    <t>SCD0010 - Referal Code_20220707-112203126.pdf</t>
  </si>
  <si>
    <t>SCD0003-002</t>
  </si>
  <si>
    <t>Melakukan apply hasil generate referal code di setiap proses digisales</t>
  </si>
  <si>
    <t>Normal - Melakukan apply hasil generate referal code di setiap proses digisales</t>
  </si>
  <si>
    <t>- Login Digisales mobile browser menggunakan user sales
- Masuk kemenu Pipeline -&gt; Monitoring
- Klik Button Detail
- Klik Link Produk</t>
  </si>
  <si>
    <t>user : 55210</t>
  </si>
  <si>
    <t>Muncul pop up Berhasil mengirim link</t>
  </si>
  <si>
    <t>SCD0011 - Produk Detail_20220610-151117591.pdf</t>
  </si>
  <si>
    <t>SCD0011 - Produk Detail_20220707-121611550.pdf</t>
  </si>
  <si>
    <t>SCD0004</t>
  </si>
  <si>
    <t>SCD0004-001</t>
  </si>
  <si>
    <t>Normal - Upload File ke Storage</t>
  </si>
  <si>
    <t>Admin SLN melakukan Upload File ke Storage melalui ftp</t>
  </si>
  <si>
    <t>- Remote server digisales
- Masuk ke path
- Upload file</t>
  </si>
  <si>
    <t>FileDist18042022_5.dat</t>
  </si>
  <si>
    <t>- Berhasil masuk ke Server Aplikasi Digisales
 - Tersedia folder FTP di server Aplikasi Digisales
 - Behasil melakukan upload file</t>
  </si>
  <si>
    <t>13 Juni 2022</t>
  </si>
  <si>
    <t>SCD0012 - Upload Filezilla_20220613-153139706.pdf</t>
  </si>
  <si>
    <t>SCD0012 - Upload Filezilla_20220707-124529353.pdf</t>
  </si>
  <si>
    <t>SCD0004-002</t>
  </si>
  <si>
    <t>Normal - Upload List File dengan ketentuan
 - Tipe File : teks file
 - Format Kolom Informasi:
 o Region_Code
 o Branch_Code
 o File_Name
 o Password_File</t>
  </si>
  <si>
    <t>· Login pada aplikasi digisales menggunakan user Admin SLN
· Admin SLN melakukan upload File yang berupa daftar file-file yang berada di Storage DigiSales dan mengisi form dengan lengkap</t>
  </si>
  <si>
    <t>- Login sebagai admin divisi SLN
- Menu upload file list
- Upload file distribution
- Upload file list</t>
  </si>
  <si>
    <t>- Berhasil melakukan upload file
 - List File yang diupload muncul pada list</t>
  </si>
  <si>
    <t>15 Juni 2022</t>
  </si>
  <si>
    <t>SCD0013 - Upload List File_20220615-102720521.pdf</t>
  </si>
  <si>
    <t>SCD0013 - Upload List File_20220707-132637859.pdf</t>
  </si>
  <si>
    <t>SCD0004-003</t>
  </si>
  <si>
    <t>Normal - Upload List File dengan ketentuan :
 - Tipe File : teks file
 - Format Kolom Informasi:
 o Region_Code
 o Branch_Code
 o File_Name
 o Password_File
 - Sebagian data kolom Region_Code tidak diisi
 - Sebagian data kolom region_code dan branch_code tidak diisi</t>
  </si>
  <si>
    <t>SCD0014 - Upload List File_20220615-112905046.pdf</t>
  </si>
  <si>
    <t>SCD0014 - Upload List File_20220707-133218253.pdf</t>
  </si>
  <si>
    <t>SCD0004-004</t>
  </si>
  <si>
    <t>Normal - Upload List File dengan ketentuan :
 - Tipe File : teks file
 - Format Kolom Informasi:
 o Region_Code
 o Branch_Code
 o File_Name
 o Password_File
 - Untuk kolom region_code dan branch_code beberapa file tidak diisi</t>
  </si>
  <si>
    <t>SCD0015 - Upload List File_20220615-113402495.pdf</t>
  </si>
  <si>
    <t>SCD0015 - Upload List File_20220707-091314655.pdf</t>
  </si>
  <si>
    <t>SCD0004-005</t>
  </si>
  <si>
    <t>Abnormal – Upload List File dengan tidak mengisi field mandatory</t>
  </si>
  <si>
    <t>· Login pada aplikasi digisales menggunakan user Admin SLN
· Admin SLN melakukan upload File yang berupa daftar file-file yang berada di Storage DigiSales dengan tidak mengisi field pada form upload</t>
  </si>
  <si>
    <t>- Login sebagai admin divisi SLN
- Menu upload file list
- Upload file distribution
- Upload file list dengan isi field mandatory kosong</t>
  </si>
  <si>
    <t>- Upload file gagal</t>
  </si>
  <si>
    <t>SCD0016 - Upload List File_20220615-144815372.pdf</t>
  </si>
  <si>
    <t>6 Juli 2022</t>
  </si>
  <si>
    <t>SCD0016 - Upload List File_20220706-100427050.pdf</t>
  </si>
  <si>
    <t>SCD0004-006</t>
  </si>
  <si>
    <t>Normal – Daftar upload list file setelah 1 bulan dari expired</t>
  </si>
  <si>
    <t>- Login sebagai admin divisi SLN
- Menu upload file list
- Upload file distribution
- Check upload file yang sudah expired lebih dari 1 bulan</t>
  </si>
  <si>
    <t>- List filed sudah tidak muncul</t>
  </si>
  <si>
    <t>5 Juli 2022</t>
  </si>
  <si>
    <t>SCD0017 - Expired 1 bulan_20220705-101119940.pdf</t>
  </si>
  <si>
    <t>SCD0017 - Expired 1 bulan_20220707-092757804.pdf</t>
  </si>
  <si>
    <t>SCD0004-007</t>
  </si>
  <si>
    <t>Normal - Edit List File</t>
  </si>
  <si>
    <t>- Login sebagai admin divisi SLN
- Menu upload file list
- Upload file distribution
- Upload file list
- Edit file list</t>
  </si>
  <si>
    <t>- Hanya field Keterangan dan Expired Date yang dapat dilakukan perubahan.
 - Field File Name disable (tidak dapat dilakukan perubahan)
 - Edit berhasil dilakukan</t>
  </si>
  <si>
    <t>SCD0018 - Upload &amp; Edit_20220615-154814480.pdf</t>
  </si>
  <si>
    <t>SCD0018 - Upload &amp; Edit_20220707-093618002.pdf</t>
  </si>
  <si>
    <t>SCD0004-008</t>
  </si>
  <si>
    <t>Abnormal - Edit List File tidak mengisi field mandatory</t>
  </si>
  <si>
    <t>- Edit gagal dilakukan</t>
  </si>
  <si>
    <t>SCD0019 - Upload &amp; Edit_20220615-155959049.pdf</t>
  </si>
  <si>
    <t>SCD0019 - Upload &amp; Edit_20220707-094108292.pdf</t>
  </si>
  <si>
    <t>SCD0004-009</t>
  </si>
  <si>
    <t>Normal – Assign</t>
  </si>
  <si>
    <t>- Login sebagai admin divisi SLN
- Menu upload file list
- Upload file distribution
- Upload file list
- Check file list
- assign role</t>
  </si>
  <si>
    <t>- Tipe pada Field inputan Role merupakan multiple select 
 - Muncul popup konfirmasi
 - Berhasil melakukan assign</t>
  </si>
  <si>
    <t>16 Juni 2022</t>
  </si>
  <si>
    <t>SCD0020 - Upload &amp; Assign_20220616-105540378.pdf</t>
  </si>
  <si>
    <t>SCD0020 - Upload &amp; Assign_20220707-094717249.pdf</t>
  </si>
  <si>
    <t>SCD0004-010</t>
  </si>
  <si>
    <t>Assign role yang dipilih Pimpinan Wilayah dan/atau Penyelia SRM pada data file kolom region_code tidak diisi</t>
  </si>
  <si>
    <t>- Proses assign error
 - Muncul popup error</t>
  </si>
  <si>
    <t>SCD0021 - Upload &amp; Assign_20220616-104849541.pdf</t>
  </si>
  <si>
    <t>SCD0021 - Upload &amp; Assign_20220708-091915087.pdf</t>
  </si>
  <si>
    <t>SCD0004-011</t>
  </si>
  <si>
    <t>Assign role yang dipilih selain Pimpinan Wilayah dan/atau Penyelia SRM pada data file kolom region_code dan tidak diisi</t>
  </si>
  <si>
    <t>14 Juni 2022</t>
  </si>
  <si>
    <t>SCD0022 - Upload &amp; Assign_20220614-153510709.pdf</t>
  </si>
  <si>
    <t>SCD0022 - Upload &amp; Assign_20220706-093536679.pdf</t>
  </si>
  <si>
    <t>SCD0004-012</t>
  </si>
  <si>
    <t>Active/Inactive pada list file</t>
  </si>
  <si>
    <t>- Login sebagai admin divisi SLN
- Menu upload file list
- Upload file distribution
- Upload file list
- Klik inactive
- Check dengan NPP bersangkutan
- File list di dalam menu download file sales hilang</t>
  </si>
  <si>
    <t>- Berhasil melakukan active/inactive pada list file</t>
  </si>
  <si>
    <t>30 Juni 2022</t>
  </si>
  <si>
    <t>SCD0023 - Active and Inactive_20220630-144323941.pdf</t>
  </si>
  <si>
    <t>SCD0023 - Active and Inactive_20220708-093220758.pdf</t>
  </si>
  <si>
    <t>SCD0005</t>
  </si>
  <si>
    <t>SCD0005-001</t>
  </si>
  <si>
    <t>Normal – Download pada jam 10:00 s.d 06:00 WIB</t>
  </si>
  <si>
    <t>- Login sebagai NPP Sales
- Check download file
- Download file
- Check icon mata untuk membuka password file
- Check Tanggal ketika di download
- Download file hilang</t>
  </si>
  <si>
    <t>- Aktifitas klik tombol Mata akan direkam oleh sistem sebagai salah satu informasi pada Report Audit Trail.
 - Pastikan file yang ada pada list belum expired, aktif dan user telah diberikan hak akses
 - Pastikan jika File List telah Expired, maka seluruh File-File yang terdapat dalam File List tersebut tidak dapat didownload.
 - Berhasil mendownload file
 - Download hanya bisa dilakukan 1x, setelah dilakukan download url filename menjadi tidak aktif.
 - Kolom Status mempunyai 2 informasi sebagai berikut:
 - NEW : Menandakan file tersebut belum di download oleh user
 - Downloaded : Menandakan file tersebut telah di download oleh user
 - Aktifitas Download akan direkam oleh sistem sebagai salah satu informasi pada Report Audit Trail.
 - Kolom Tanggal berisikan Tanggal Update, yaitu akan berisikan Tanggal Upload jika file belum pernah di download. Namun apabila file telah didownload maka akan berisikan Tanggal Download terakhir.
 - Kolom User berisikan SYSTEM untuk file yang belum pernah di download oleh user. Apabila telah di download oleh user, maka kolom User akan berisikan informasi dari user terakhir yang melakukan Download.</t>
  </si>
  <si>
    <t>1 Juli 2022</t>
  </si>
  <si>
    <t>SCD0024 - Download File_20220701-142131428.pdf</t>
  </si>
  <si>
    <t>SCD0024 - Download File_20220708-100823911.pdf</t>
  </si>
  <si>
    <t>SCD0005-002</t>
  </si>
  <si>
    <t>Abnormal – Download diluar jam 10:00 s.d 06:00 WIB</t>
  </si>
  <si>
    <t>- Login dengan NPP Sales
- Menu download file
- Download file ketika di luar jam 10.00 sampai 06.00
- File gagal di download</t>
  </si>
  <si>
    <t>- File tidak dapat didownload</t>
  </si>
  <si>
    <t>4 Juli 2022</t>
  </si>
  <si>
    <t>SCD0025 - Download File_20220704-085305754.pdf</t>
  </si>
  <si>
    <t>SCD0025 - Download File_20220708-093900131.pdf</t>
  </si>
  <si>
    <t>SCD0005-003</t>
  </si>
  <si>
    <t>Monitoring – membuka gembok</t>
  </si>
  <si>
    <t>- Login dengan NPP divisi admin SLN
- Menu monitoring dan reset
- Klik icon gembok pada file yang sudah pernah di download
- Icon gembok sudah terbuka
- Check kembali dengan NPP sales sesuai region dan branch code
- File dapat di download kembali</t>
  </si>
  <si>
    <t>- Gembok terbuka dan user yang diassign dapat melakukan download file kembali
 - Status akan menjadi NEW</t>
  </si>
  <si>
    <t>29 Juni 2022</t>
  </si>
  <si>
    <t>SCD0026 - Membuka Gembok_20220629-155928147.pdf</t>
  </si>
  <si>
    <t>SCD0026 - Membuka Gembok_20220708-103627859.pdf</t>
  </si>
  <si>
    <t>SCD0005-004</t>
  </si>
  <si>
    <t>Monitoring – mengunci gembok</t>
  </si>
  <si>
    <t>- Login dengan NPP sales
- Menu download file
- Download salah satu file
- Login dengan admin divisi SLN
- Check monitong dan reset
- Pada file bersangkutan terdapat icon gembok artinya file terkunci sudah tidak dapat di download lagi</t>
  </si>
  <si>
    <t>- Gembok terkunci dan user yang diassign tidak dapat melakukan download file</t>
  </si>
  <si>
    <t>SCD0027 - Mengunci Gembok_20220629-160612176.pdf</t>
  </si>
  <si>
    <t>SCD0027 - Mengunci Gembok_20220708-104245475.pdf</t>
  </si>
  <si>
    <t>SCD0005-005</t>
  </si>
  <si>
    <t>Monitoring – filter</t>
  </si>
  <si>
    <t>- Login dengan admin divisi SLN
- Menu monitoring dan reset
- Filtering dengan 4 field di menu tersebut</t>
  </si>
  <si>
    <t>- Filter berhasil dilakukan 
 - Muncul data yang dicari</t>
  </si>
  <si>
    <t>SCD0028 - Monitoring Filter_20220701-142303929.pdf</t>
  </si>
  <si>
    <t>SCD0028 - Monitoring Filter_20220708-142339947.pdf</t>
  </si>
  <si>
    <t>SCD0005-006</t>
  </si>
  <si>
    <t>Abnormal - Monitoring – filter</t>
  </si>
  <si>
    <t>- Filter gagal dilakukan</t>
  </si>
  <si>
    <t>28 Juni 2022</t>
  </si>
  <si>
    <t>SCD0029 - Monitoring Filter_20220628-163732979.pdf</t>
  </si>
  <si>
    <t>SCD0029 - Monitoring Filter_20220706-101111432.pdf</t>
  </si>
  <si>
    <t>SCD0005-007</t>
  </si>
  <si>
    <t>Normal - Fungsi Audit Trail</t>
  </si>
  <si>
    <t>- Login dengan admin divisi SLN
- Menu audit trail
- Search dengan date yang ditentukan
- Klik generate</t>
  </si>
  <si>
    <t>- Berhasil menampilkan data yang dicari berdasarkan tanggal 
 - Pastikan data sesuai dengan aktifitas yang sudah dilakukan :
 · Aktivitas user melakukan Download File
 · Aktivitas user melihat password (dengan meng-klik tombol mata)
 - Kolom ACTION adalah aktifitas user yang direkam oleh system, yaitu aktivitas melihat Password (VIEW) serta aktivitas Download File (DOWNLOAD) 
 - Format kolom INFO : kode_wilayah,kode_cabang [nama_file]</t>
  </si>
  <si>
    <t>23 Juni 2022</t>
  </si>
  <si>
    <t>SCD0030 - Generate Audit_20220623-151154219.pdf</t>
  </si>
  <si>
    <t>SCD0030 - Generate Audit_20220708-142835327.pdf</t>
  </si>
  <si>
    <t>SCD0005-008</t>
  </si>
  <si>
    <t>Normal - Fungsi Audit Trail – export to CSV</t>
  </si>
  <si>
    <t>- Login dengan admin divisi SLN
- Menu audit trail
- Search dengan date yang ditentukan
- Klik export to CSV</t>
  </si>
  <si>
    <t>- Berhasil melakukan Export To CSV
 - Export File ke format .csv dengan pemisah (delimiter) menggunakan tanda pipe ( | ) dengan kolom informasi sebagai berikut:
 · No
 · NPP
 · Nama
 · Action
 · Info
 · TimeStamp</t>
  </si>
  <si>
    <t>24 Juni 2022</t>
  </si>
  <si>
    <t>SCD0031 - Download CSV_20220624-145911233.pdf</t>
  </si>
  <si>
    <t>SCD0031 - Download CSV_20220708-143208110.pdf</t>
  </si>
  <si>
    <t>SCD0005-009</t>
  </si>
  <si>
    <t>Abnormal - Fungsi Audit Trail salah satu atau kedua field tanggal tidak diisi</t>
  </si>
  <si>
    <t>- Gagal, data tidak berhasil dimunculkan</t>
  </si>
  <si>
    <t>SCD0032 - Abnormal Download CSV_20220624-150139029.pdf</t>
  </si>
  <si>
    <t>SCD0032 - Abnormal Download CSV_20220706-100723741.pdf</t>
  </si>
  <si>
    <t>SCD0006</t>
  </si>
  <si>
    <t>SCD0006-001</t>
  </si>
  <si>
    <t>Validasi penyediaan sumber data untuk report pencapaian booster</t>
  </si>
  <si>
    <t>- Query di sql dari database Digisales_KPI dan digisales SAPM</t>
  </si>
  <si>
    <t>Sumber Data yang digunakan adalah SAPM dengan menggunakan mekanisme Feeding data dari SAPM ke DigiSales menggunakan konsep pertukaran data Database ke Database (DB to DB).</t>
  </si>
  <si>
    <t>SCD0033 - DB Pencapaian Booster_20220609-133903556.pdf</t>
  </si>
  <si>
    <t>SCD0033 - DB Pencapaian Booster_20220708-145824414.pdf</t>
  </si>
  <si>
    <t>SCD0007</t>
  </si>
  <si>
    <t>SCD0007-001</t>
  </si>
  <si>
    <t>Hak Akses Report Pencapaian Booster user Sales</t>
  </si>
  <si>
    <t>- Login Digisales Portal
- Dashboard
- Menu Pencapaian Booster dengan user Sales</t>
  </si>
  <si>
    <t>Pastikan yang mendapatkan hak akses report pencapaian booster yaitu Sales</t>
  </si>
  <si>
    <t>2 Juni 2022</t>
  </si>
  <si>
    <t>SCD0034 - Report Booster_20220602-162456466.pdf</t>
  </si>
  <si>
    <t>11 Juli 2022</t>
  </si>
  <si>
    <t>SCD0034 - Report Booster_20220711-085202366.pdf</t>
  </si>
  <si>
    <t>SCD0007-002</t>
  </si>
  <si>
    <t>Hak Akses Report Pencapaian Booster user Penyelia</t>
  </si>
  <si>
    <t>- Login Digisales Portal
- Dashboard
- Menu Pencapaian Booster dengan user Penyelia</t>
  </si>
  <si>
    <t>Pastikan yang mendapatkan hak akses report pencapaian booster yaitu Penyelia</t>
  </si>
  <si>
    <t>SCD0007-003</t>
  </si>
  <si>
    <t>Hak Akses Report Pencapaian Booster user Pemimpin Cabang</t>
  </si>
  <si>
    <t>- Login Digisales Portal
- Dashboard
- Menu Pencapaian Booster dengan user Pemimpin Cabang</t>
  </si>
  <si>
    <t>Pastikan yang mendapatkan hak akses report pencapaian booster yaitu Pemimpin Cabang</t>
  </si>
  <si>
    <t>SCD0007-004</t>
  </si>
  <si>
    <t>Hak Akses Report Pencapaian Booster user Pemimpin Wilayah</t>
  </si>
  <si>
    <t>- Login Digisales Portal
- Dashboard
- Menu Pencapaian Booster dengan user Pemimpin Wilayah</t>
  </si>
  <si>
    <t>Pastikan yang mendapatkan hak akses report pencapaian booster yaitu Pemimpin Wilayah</t>
  </si>
  <si>
    <t>SCD0007-005</t>
  </si>
  <si>
    <t>Hak Akses Report Pencapaian Booster user Penyelia SRM</t>
  </si>
  <si>
    <t>- Login Digisales Portal
- Dashboard
- Menu Pencapaian Booster dengan user Penyelia SRM</t>
  </si>
  <si>
    <t>Pastikan yang mendapatkan hak akses report pencapaian booster yaitu Penyelia SRM</t>
  </si>
  <si>
    <t>SCD0007-006</t>
  </si>
  <si>
    <t>Hak Akses Report Pencapaian Booster user Admin SLN</t>
  </si>
  <si>
    <t>- Login Digisales Portal
- Dashboard
- Menu Pencapaian Booster dengan user Admin SLN</t>
  </si>
  <si>
    <t>Pastikan yang mendapatkan hak akses report pencapaian booster yaitu Admin SLN</t>
  </si>
  <si>
    <t>SCD0007-007</t>
  </si>
  <si>
    <t>Normal – Report Pencapaian Booster User Sales</t>
  </si>
  <si>
    <t>- Login Digisales Portal
- Dashboard
- Menu Pencapaian Booster dengan user Sales
- Filter NPP sales</t>
  </si>
  <si>
    <t>· Pastikan field filter NPP hanya dapat memilih Sales-nya sendiri
 · Field Nama dan Sales Type terisi otomatis
 · Berhasil menampilkan data report pencapaian booster sesuai dengan yang difilter
 · Data yang ditampilkan pada report booster meliputi No, CIF, Rekening, Nama Nasabah, Program, Point</t>
  </si>
  <si>
    <t>SCD0035 - Search Booster_20220614-150730291.pdf</t>
  </si>
  <si>
    <t>SCD0035 - Search Booster_20220711-085818021.pdf</t>
  </si>
  <si>
    <t>SCD0007-008</t>
  </si>
  <si>
    <t>Normal – Report Pencapaian Booster User Penyelia</t>
  </si>
  <si>
    <t>- Login Digisales Portal
- Dashboard
- Menu Pencapaian Booster dengan user Penyelia
- Filter NPP sales</t>
  </si>
  <si>
    <t>· Pastikan field filter NPP hanya dapat memilih Sales yang berada dalan kewenangan Penyelia tersebut
 · Field Nama dan Sales Type terisi otomatis
 · Berhasil menampilkan data report pencapaian booster sesuai dengan yang difilter
 · Data yang ditampilkan pada report booster meliputi No, CIF, Rekening, Nama Nasabah, Program, Point</t>
  </si>
  <si>
    <t>SCD0036 - Search Booster_20220614-121350448.pdf</t>
  </si>
  <si>
    <t>SCD0036 - Search Booster_20220711-090340302.pdf</t>
  </si>
  <si>
    <t>SCD0007-009</t>
  </si>
  <si>
    <t>Normal – Report Pencapaian Booster User Pemimpin Cabang</t>
  </si>
  <si>
    <t>- Login Digisales Portal
- Dashboard
- Menu Pencapaian Booster dengan user Pemimpin cabang
- Filter NPP sales</t>
  </si>
  <si>
    <t>· Pastikan field filter NPP hanya dapat memilih Sales yang berada dalam Cabang tersebut
 · Field Nama dan Sales Type terisi otomatis
 · Berhasil menampilkan data report pencapaian booster sesuai dengan yang difilter
 · Data yang ditampilkan pada report booster meliputi No, CIF, Rekening, Nama Nasabah, Program, Point</t>
  </si>
  <si>
    <t>SCD0037 - Search Booster_20220614-125430124.pdf</t>
  </si>
  <si>
    <t>SCD0037 - Search Booster_20220711-090911673.pdf</t>
  </si>
  <si>
    <t>SCD0007-010</t>
  </si>
  <si>
    <t>Normal – Report Pencapaian Booster User Pemimpin Wilayah</t>
  </si>
  <si>
    <t>· Login pada aplikasi Digisales menggunakan user Pemimpin Wilayah
 · Masuk ke menu report pencapaian booster
 · Isi setiap field filter
 · Klik icons search</t>
  </si>
  <si>
    <t>· Pastikan field filter NPP hanya dapat memilih Sales yang berada dalam Cabang-Cabang di Wilayah tersebut
 · Field Nama dan Sales Type terisi otomatis
 · Berhasil menampilkan data report pencapaian booster sesuai dengan yang difilter
 · Data yang ditampilkan pada report booster meliputi No, CIF, Rekening, Nama Nasabah, Program, Point</t>
  </si>
  <si>
    <t>SCD0038 - Search Booster_20220614-131300281.pdf</t>
  </si>
  <si>
    <t>SCD0038 - Search Booster_20220711-091324427.pdf</t>
  </si>
  <si>
    <t>SCD0007-011</t>
  </si>
  <si>
    <t>Normal – Report Pencapaian Booster User Penyelia SRM</t>
  </si>
  <si>
    <t>- Login Digisales Portal
- Dashboard
- Menu Pencapaian Booster dengan user Penyelia SRM
- Filter NPP sales dengan type penyelia SRM</t>
  </si>
  <si>
    <t>· Pastikan field filter NPP hanya dapat memilih Sales tipe SRM
 · Field Nama dan Sales Type terisi otomatis
 · Berhasil menampilkan data report pencapaian booster sesuai dengan yang difilter
 · Data yang ditampilkan pada report booster meliputi No, CIF, Rekening, Nama Nasabah, Program, Point</t>
  </si>
  <si>
    <t>SCD0039 - Search Booster_20220614-142040725.pdf</t>
  </si>
  <si>
    <t>SCD0039 - Search Booster_20220711-092453554.pdf</t>
  </si>
  <si>
    <t>SCD0007-012</t>
  </si>
  <si>
    <t>Normal – Report Pencapaian Booster User Admin SLN</t>
  </si>
  <si>
    <t>- Login Digisales Portal
- Dashboard
- Menu Pencapaian Booster dengan user Admin SLN
- Filter NPP sales dengan terbuka ke semua sales (dapat melihat sales type SRM)</t>
  </si>
  <si>
    <t>· Pastikan field filter NPP dapat memilih semua Sales
 · Field Nama dan Sales Type terisi otomatis
 · Berhasil menampilkan data report pencapaian booster sesuai dengan yang difilter
 · Data yang ditampilkan pada report booster meliputi No, CIF, Rekening, Nama Nasabah, Program, Point</t>
  </si>
  <si>
    <t>SCD0040 - Search Booster_20220614-143940870.pdf</t>
  </si>
  <si>
    <t>SCD0040 - Search Booster_20220711-093224086.pdf</t>
  </si>
  <si>
    <t>SCD0007-013</t>
  </si>
  <si>
    <t>Abnormal – Report Pencapaian Booster User Sales</t>
  </si>
  <si>
    <t>- Login digisales portal
- Masuk ke menu report pencapaian booster
- Lakukan search tanpa mengisi seluruh field mandatory</t>
  </si>
  <si>
    <t>- Gagal menampilkan data report</t>
  </si>
  <si>
    <t>6 Juni 2022</t>
  </si>
  <si>
    <t>SCD0041 - Abnor-Search Booster_20220606-112324157</t>
  </si>
  <si>
    <t>SCD0041 - Abnor-Search Booster_20220711-095755507.pdf</t>
  </si>
  <si>
    <t>SCD0007-014</t>
  </si>
  <si>
    <t>Abnormal – Report Pencapaian Booster User Penyelia</t>
  </si>
  <si>
    <t>SCD0007-015</t>
  </si>
  <si>
    <t>Abnormal – Report Pencapaian Booster User Pemimpin Cabang</t>
  </si>
  <si>
    <t>SCD0007-016</t>
  </si>
  <si>
    <t>Abnormal – Report Pencapaian Booster User Pemimpin Wilayah</t>
  </si>
  <si>
    <t>SCD0007-017</t>
  </si>
  <si>
    <t>Abnormal – Report Pencapaian Booster User Penyelia SRM</t>
  </si>
  <si>
    <t>SCD0007-018</t>
  </si>
  <si>
    <t>Abnormal – Report Pencapaian Booster User Admin SLN</t>
  </si>
  <si>
    <t>SCD0008</t>
  </si>
  <si>
    <t>SCD0008-001</t>
  </si>
  <si>
    <t>Inquiry &amp; filtering Data Lead Dedicated</t>
  </si>
  <si>
    <t>- Login
- Masuk ke menu store
- Masuk ke menu dedicated
- Filter data
- Tampilkan data</t>
  </si>
  <si>
    <t>· Berhasil menampilkan list Lead Dedicated
 · Berhasil filter data Lead Dedicated</t>
  </si>
  <si>
    <t>17 Juni 2022</t>
  </si>
  <si>
    <t>SCD0042- Filter Lead Dedicated_20220617-140544235.pdf</t>
  </si>
  <si>
    <t>SCD0042- Filter Lead Dedicated_20220711-103122134.pdf</t>
  </si>
  <si>
    <t>SCD0008-002</t>
  </si>
  <si>
    <t>Inquiry &amp; filtering Data Lead Free</t>
  </si>
  <si>
    <t>- Login
- Masuk ke menu Store
- Masuk ke menu Free
- Filter data
- Tampilkan data</t>
  </si>
  <si>
    <t>· Berhasil menampilkan list Lead Free
 · Berhasil filter data Lead Free</t>
  </si>
  <si>
    <t>SCD0043- Filter Lead Free_20220617-142353578.pdf</t>
  </si>
  <si>
    <t>SCD0043- Filter Lead Free_20220711-103533615.pdf</t>
  </si>
  <si>
    <t>SCD0008-003</t>
  </si>
  <si>
    <t>Inquiry &amp; filtering Data Lead Kelolaan</t>
  </si>
  <si>
    <t>- Login
- Masuk ke menu store
- Masuk ke menu kelolaan
- Filter data
- Tampilkan data</t>
  </si>
  <si>
    <t>· Berhasil menampilkan list Lead Kelolaan
 · Berhasil filter data Lead Kelolaan</t>
  </si>
  <si>
    <t>20 Juni 2022</t>
  </si>
  <si>
    <t>SCD0044- Filter Lead Kelolaan_20220620-141028277.pdf</t>
  </si>
  <si>
    <t>SCD0044- Filter Lead Kelolaan_20220711-105629043.pdf</t>
  </si>
  <si>
    <t>SCD0008-004</t>
  </si>
  <si>
    <t>Inquiry &amp; filtering Data Lead Prosprek</t>
  </si>
  <si>
    <t>- Login
- Masuk ke menu store
- Masuk ke menu prospek
- Filter data
- Tampilkan data</t>
  </si>
  <si>
    <t>· Berhasil menampilkan list Lead Prospek
 · Berhasil filter data Lead Prospek</t>
  </si>
  <si>
    <t>SCD0045- Filter Lead Prospek_20220620-142450419.pdf</t>
  </si>
  <si>
    <t>SCD0045- Filter Lead Prospek_20220711-110417916.pdf</t>
  </si>
  <si>
    <t>SCD0008-005</t>
  </si>
  <si>
    <t>Inquiry &amp; filtering Data Pipeline Monitoring</t>
  </si>
  <si>
    <t>- Login
- Masuk ke menu pipeline
- Masuk ke menu monitoring
- Filter data
- Tampilkan data</t>
  </si>
  <si>
    <t>· Berhasil menampilkan data Monitoring
 · Berhasil filter data Monitoring</t>
  </si>
  <si>
    <t>21 Juni 2022</t>
  </si>
  <si>
    <t>SCD0046- Filter Pipe Monitoring_20220621-153239219.pdf</t>
  </si>
  <si>
    <t>SCD0046- Filter Pipe Monitoring_20220711-110709206.pdf</t>
  </si>
  <si>
    <t>SCD0008-006</t>
  </si>
  <si>
    <t>Inquiry &amp; filtering Data Pipeline Closing</t>
  </si>
  <si>
    <t>- Login
- Masuk ke menu pipeline
- Masuk ke menu closing
- Filter data
- Tampilkan data</t>
  </si>
  <si>
    <t>· Berhasil menampilkan data Closing
 · Berhasil filter data Closing</t>
  </si>
  <si>
    <t>SCD0047- Filter Pipe Closing_20220621-153550491.pdf</t>
  </si>
  <si>
    <t>SCD0047- Filter Pipe Closing_20220711-111608383.pdf</t>
  </si>
  <si>
    <t>SCD0008-007</t>
  </si>
  <si>
    <t>Inquiry &amp; filtering Data Pipeline Follow Up</t>
  </si>
  <si>
    <t>- Login
- Masuk ke menu pipeline
- Masuk ke menu follow up
- Filter data
- Tampilkan data</t>
  </si>
  <si>
    <t>· Berhasil menampilkan data Follow Up
 · Berhasil filter data Follow Up</t>
  </si>
  <si>
    <t>22 Juni 2022</t>
  </si>
  <si>
    <t>SCD0048- Filter Pipe Follow Up_20220622-150803515.pdf</t>
  </si>
  <si>
    <t>SCD0048- Filter Pipe Follow Up_20220711-112810086.pdf</t>
  </si>
  <si>
    <t>SCD0008-008</t>
  </si>
  <si>
    <t>Inquiry &amp; filtering Data Pipeline Chart</t>
  </si>
  <si>
    <t>- Login
- Masuk ke menu pipeline
- Masuk ke menu cart
- Filter data
- Tampilkan data</t>
  </si>
  <si>
    <t>· Berhasil menampilkan data Chart
 · Berhasil filter data Chartm</t>
  </si>
  <si>
    <t>SCD0049- Filter Pipe Cart_20220622-151054626.pdf</t>
  </si>
  <si>
    <t>SCD0049- Filter Pipe Cart_20220711-113204362.pdf</t>
  </si>
  <si>
    <t>SCD0008-009</t>
  </si>
  <si>
    <t>Inquiry Account Plan – Usulan</t>
  </si>
  <si>
    <t>- Login
- Masuk ke menu home
- Masuk ke menu account plan
- Masuk ke menu usulan account planning
- Filter data
- Tampilkan data</t>
  </si>
  <si>
    <t>Berhasil menampilkan data Account Plan - Usulan</t>
  </si>
  <si>
    <t>SCD0050- Account Plan - Usulan_20220623-150805234.pdf</t>
  </si>
  <si>
    <t>SCD0050- Account Plan - Usulan_20220711-113427910.pdf</t>
  </si>
  <si>
    <t>SCD0009</t>
  </si>
  <si>
    <t>SCD0009-001</t>
  </si>
  <si>
    <t>Penambahan Tiering Area pada Digisales</t>
  </si>
  <si>
    <t>- SELECT KODE_CABANG, KODE_AREA FROM dbo.MASTER_WILAYAH ;</t>
  </si>
  <si>
    <t>Berhasil menambahkan Parameter/Tebel Area sesuai pada BSDD point 2.1</t>
  </si>
  <si>
    <t>27 Juni 2022</t>
  </si>
  <si>
    <t>SCD0051 - Tiering Area_20220627-160021113.pdf</t>
  </si>
  <si>
    <t>SCD0051 - Tiering Area_20220711-115105993.pdf</t>
  </si>
  <si>
    <t>SCD0009-002</t>
  </si>
  <si>
    <t>Penambahan Parameter Mapping Wilayah Kelolaan untuk SRM</t>
  </si>
  <si>
    <t>SELECT a.Npp,a.Nama,b.Wilayah_code,c.NamaWilayah FROM dbo.Tbl_Pegawai a
JOIN dbo.Tbl_Wilayah_Pegawai b  ON a.Npp=b.npp
          JOIN dbo.Tbl_Unit_Wilayah c ON c.Code=b.Wilayah_code;</t>
  </si>
  <si>
    <t>Berhasil menambahkan Parameter Mapping Wilayah Kelolaan untuk SRM pada BSDD point 2.2</t>
  </si>
  <si>
    <t>SCD0052 - Mapping Wilayah_20220627-103158797.pdf</t>
  </si>
  <si>
    <t>SCD0052 - Mapping Wilayah_20220711-115409034.pdf</t>
  </si>
  <si>
    <t>SCD0010</t>
  </si>
  <si>
    <t>SCD0010-001</t>
  </si>
  <si>
    <t>Penyesuaian Kriteria Customer Flagging secara Umum (Pada portal &amp; Mobile) : 
 Melakukan Proses Seluruh Aktifitas yang membutuhkan Approval</t>
  </si>
  <si>
    <t>- Sales Mengajukan customer flaging ke penyelia(SPV)
- SPV Approval atau reject pengajuan sales, data yang telah di approval akan ke Pemimpin cabanga
- Pemimpin Cabang approval atau reject customer flaging</t>
  </si>
  <si>
    <t>Login :
55210 = Sales
32362 = Supervisor
23344 = Pimpinan Cabang
CIF : 10157009680</t>
  </si>
  <si>
    <t>send to penyelia --&gt;approval 1 (Penyelia) --&gt; send to BM --&gt; approval 2 (BM</t>
  </si>
  <si>
    <t>kendala data cif dan user, karena datanya hanya sekali pakai, dan memerlukan bantuan dev untuk pencarian datanya</t>
  </si>
  <si>
    <t>SCD0010-002</t>
  </si>
  <si>
    <t>Penyesuaian Kriteria Customer Flagging secara Umum (Pada portal &amp; Mobile) : 
 Apabila Sales tersebut sebelumnya telah melakukan proses pengajuan Customer Flagging, maka Proses Send to Penyelia baru dapat dilakukan jika Proses Pengajuan Customer Flagging sebelumnya telah selesai dilakukan (telah melalui tahapan Approval 2 [BM]).</t>
  </si>
  <si>
    <t>- Menu Pengajuan nasabah
- Tambah data nasabah kelolaan</t>
  </si>
  <si>
    <t>Login :
55210 = Sales
32362 = Supervisor
23344 = Pimpinan Cabang</t>
  </si>
  <si>
    <t>Berhasil &amp; Proses Send to Penyelia baru dapat dilakukan jika Proses Pengajuan Customer Flagging sebelumnya telah selesai dilakukan (telah melalui tahapan Approval 2 [BM])</t>
  </si>
  <si>
    <t>SCD0010-003</t>
  </si>
  <si>
    <t>Sales dapat mengajukan usulan</t>
  </si>
  <si>
    <t>- Login sebagai sales
- Klik tanda panah untuk send to penyelia</t>
  </si>
  <si>
    <t>User :55210 = Sales</t>
  </si>
  <si>
    <t>Hanya dapat melakukan usulan Dari tanggal 15 sampai dengan Akhir Bulan</t>
  </si>
  <si>
    <t>SCD0055 - Sales Usulan_20220628-144012888.pdf</t>
  </si>
  <si>
    <t>16 Agustus 2022</t>
  </si>
  <si>
    <t>SCD0055 - Sales Usulan_20220816-112719399.pdf</t>
  </si>
  <si>
    <t>SCD0010-004</t>
  </si>
  <si>
    <t>Setelah sales melakukan pengajuan usulan, akan melaikan Approval Penyelia dan BM</t>
  </si>
  <si>
    <t>- Approval penyelia (SPV)
- Approval BM (Pemimpin Cabang)</t>
  </si>
  <si>
    <t>Approval Penyelia dan BM hanya dari tanggal 15 sampai dengan tanggal 2 di Bulan Berikutnya</t>
  </si>
  <si>
    <t>SCD0010-005</t>
  </si>
  <si>
    <t>Expired usulan Flagging (masih dalam proses menunggu Approval)</t>
  </si>
  <si>
    <t>- Menu customer flagging</t>
  </si>
  <si>
    <t>Sales Baru : 55210</t>
  </si>
  <si>
    <t>Expired usulan Flagging pada Tanggal 3 jam 00:00 WIB</t>
  </si>
  <si>
    <t>SCD0010-006</t>
  </si>
  <si>
    <t>Melakukan Penutupan Fungsi Customer Flagging</t>
  </si>
  <si>
    <t>- Sales add to flagging</t>
  </si>
  <si>
    <t>Sales Baru : 53824</t>
  </si>
  <si>
    <t>- Hanya dari tanggal 3 sampai tanggal 14 penutupan fungsi customer flagging
- Button add to flagging tidak muncul saat masuk periode 3-14</t>
  </si>
  <si>
    <t>SCD0058 - Penutupan Flagging_20220704-112956650.pdf</t>
  </si>
  <si>
    <t>SCD0058 - Penutupan Flagging_20220711-120643158.pdf</t>
  </si>
  <si>
    <t>SCD0010-007</t>
  </si>
  <si>
    <t>Sales mengajukan usulan pada awal bulan tanggal 3 -14</t>
  </si>
  <si>
    <t xml:space="preserve">- Mengajukan usulan pada awal bulan tanggal 3-14 </t>
  </si>
  <si>
    <t>Sales Baru : 55210
CIF : 9684888241</t>
  </si>
  <si>
    <t>Gagal mengusulkan</t>
  </si>
  <si>
    <t>SCD0059 - Abnormal Usulan_20220705-142855595.pdf</t>
  </si>
  <si>
    <t>SCD0059 - Abnormal Usulan_20220711-122457559.pdf</t>
  </si>
  <si>
    <t>SCD0010-008</t>
  </si>
  <si>
    <t>Setelah sales melakukan pengajuan usulan, akan melaikan Approval Penyelia dan BM pada awal bulan tanggal 3-14</t>
  </si>
  <si>
    <t>- Login sebagai spv pnyelia coba approve 1 pengajuan di menu list flagging
- Login sebagai pcb bm coba approve 1 pengajuan di menu list flagging</t>
  </si>
  <si>
    <t>Sales Baru : 55210
CIF: 9837653125</t>
  </si>
  <si>
    <t>- Gagal melanjutkan proses approval ke penyelia(spv), dan ke BM(PCB)</t>
  </si>
  <si>
    <t>SCD0010-009</t>
  </si>
  <si>
    <t>Expired usulan Flagging (masih dalam proses menunggu Approval) sebelum tanggal 3</t>
  </si>
  <si>
    <t>Belum Expired</t>
  </si>
  <si>
    <t>SCD0010-010</t>
  </si>
  <si>
    <t>Melakukan Penutupan Fungsi Customer Flagging pada tanggal 1, 2 dan melebihi tanggal 14</t>
  </si>
  <si>
    <t>- Gagal mengajukan flagging karna Button add to flagging nya tidak ada 
- Button add to flagging tidak muncul saat masuk periode tgl 1,2</t>
  </si>
  <si>
    <t>SCD0010-011</t>
  </si>
  <si>
    <t>CRO Sales Baru (Sales yang belum mempunyai kelolaan) Hanya dapat menggunakan fitur Bulk Upload Pengajuan Flagging</t>
  </si>
  <si>
    <t>- Login dengan user sales baru
- Sales download templet untuk bulk uploade
- Dan isi sesuai cif dan customer name yang akan di ajukan lalu drag&amp;drop</t>
  </si>
  <si>
    <t>Sales Baru : 34204
CIF : 9902815448</t>
  </si>
  <si>
    <t>Berhasil</t>
  </si>
  <si>
    <t>SCD0010-012</t>
  </si>
  <si>
    <t>CRO Sales Baru (Sales yang belum mempunyai kelolaan) - Nasabah yang diajukan adalah Nasabah Perorangan</t>
  </si>
  <si>
    <t>- Login dengan user sales baru
- Uploade tipe nasabah per orangan</t>
  </si>
  <si>
    <t>Sales Baru : 34204 (32683)
CIF : 9902815448</t>
  </si>
  <si>
    <t>Sesuai</t>
  </si>
  <si>
    <t>SCD0010-013</t>
  </si>
  <si>
    <t>CRO Sales Baru (Sales yang belum mempunyai kelolaan) - Nasabah yang diajukan adalah Nasabah Non Perorangan</t>
  </si>
  <si>
    <t>- Login dengan user sales baru
- Uploade tipe nasabah non perorangan</t>
  </si>
  <si>
    <t>Sales Baru : 25594 (32683)
CIF : 10066201094</t>
  </si>
  <si>
    <t>Gagal</t>
  </si>
  <si>
    <t>SCD0010-014</t>
  </si>
  <si>
    <t>CRO Sales Baru (Sales yang belum mempunyai kelolaan) AUM per Nasabah yang diajukan minimal 500 Juta</t>
  </si>
  <si>
    <t>- AUM per Nasabah yang diajukan minimal 500 Juta</t>
  </si>
  <si>
    <t>Sales Baru : 26640
Cif : 9831045599, 9052757146</t>
  </si>
  <si>
    <t>SCD0010-015</t>
  </si>
  <si>
    <t>CRO Sales Baru (Sales yang belum mempunyai kelolaan) AUM per Nasabah yang diajukan Besar dari 500 Juta ( tidak ada batasan maximum)</t>
  </si>
  <si>
    <t>- AUM per Nasabah yang diajukan Besar dari 500 Juta ( tidak ada batasan maximum)</t>
  </si>
  <si>
    <t>Sales Baru : 18452
Cif : 9549283772</t>
  </si>
  <si>
    <t>SCD0010-016</t>
  </si>
  <si>
    <t>CRO Sales Baru (Sales yang belum mempunyai kelolaan) AUM per Nasabah yang diajukan Kurang dari 500 Juta</t>
  </si>
  <si>
    <t>- Mengajukan nasabah dengan AUM per nasabah kurang dari 500 juta</t>
  </si>
  <si>
    <t>Sales Baru : 22994
CIF : 9111860251,9551263365,9614246818,9934121270,9936811353</t>
  </si>
  <si>
    <t>SCD0010-017</t>
  </si>
  <si>
    <t>CRO Sales Baru (Sales yang belum mempunyai kelolaan) mengajukan Nasabah yang berlokasi sama dengan petugas Sales yang mengajukan.
 Menggunakan mekanisme sebagai berikut:
 a. Dari DPK tertinggi Nasabah yang diajukan, diperoleh informasi Nomor Rekening
 b. Atas informasi Rekening (point a.), diperoleh Cabang untuk Rekening tersebut
 c. Cabang Sales wajib sama dengan Cabang Rekening Nasabah yang diajukan (point b.)</t>
  </si>
  <si>
    <t>- mekanisme sebagai berikut:
a. Dari DPK tertinggi Nasabah yang diajukan, diperoleh informasi Nomor Rekening
b. Atas informasi Rekening (point a.), diperoleh Cabang untuk Rekening tersebut
c. Cabang Sales wajib sama dengan Cabang Rekening Nasabah yang diajukan (point b.)</t>
  </si>
  <si>
    <t>Sales Baru : 29593
CIF : 10071643864</t>
  </si>
  <si>
    <t>SCD0010-018</t>
  </si>
  <si>
    <t>CRO Sales Baru (Sales yang belum mempunyai kelolaan) mengajukan Nasabah yang berlokasi tidak sama dengan petugas Sales yang mengajukan.</t>
  </si>
  <si>
    <t>- Sales uploade data nasabah yang berlokasi tidak sama dengan sales yang mengajukan</t>
  </si>
  <si>
    <t>Sales Baru : 22994
CIF : 9158507312</t>
  </si>
  <si>
    <t>SCD0010-019</t>
  </si>
  <si>
    <t>CRO Sales Baru (Sales yang belum mempunyai kelolaan) mengajukan nasabah yang bukan merupakan Nasabah Debitur (Produktif)</t>
  </si>
  <si>
    <t>- Nasabah mengajukan nasabah yang bukan berupakan nasabah debitur</t>
  </si>
  <si>
    <t>Sales Baru : 38502
CIF :10059213847</t>
  </si>
  <si>
    <t>SCD0010-020</t>
  </si>
  <si>
    <t>CRO Sales Baru (Sales yang belum mempunyai kelolaan) mengajukan Nasabah Debitur (Produktif)</t>
  </si>
  <si>
    <t>- mengajukan Nasabah Debitur</t>
  </si>
  <si>
    <t>Sales Baru : 26640
CIF : 9902815448</t>
  </si>
  <si>
    <t>SCD0010-021</t>
  </si>
  <si>
    <t>CRO Sales Baru (Sales yang belum mempunyai kelolaan) - Nasabah yang diajukan bukan merupakan kelolaan Sales lain</t>
  </si>
  <si>
    <t>- Mengajukan nasabah yang bukan kelolaan sales lain</t>
  </si>
  <si>
    <t>Sales Baru : 26640
CIF : 9902815448, 9902815448</t>
  </si>
  <si>
    <t>SCD0010-022</t>
  </si>
  <si>
    <t>CRO Sales Baru (Sales yang belum mempunyai kelolaan) - Nasabah yang diajukan merupakan kelolaan Sales lain</t>
  </si>
  <si>
    <t>- Nasabah yang di ajukan adalah nasabah yang sudah merupakan kelolaan sales lain</t>
  </si>
  <si>
    <t>Sales Baru : 26640
CIF : 9831045599</t>
  </si>
  <si>
    <t>SCD0010-023</t>
  </si>
  <si>
    <t>CRO Sales Baru (Sales yang belum mempunyai kelolaan) - Nasabah yang diajukan bukan merupakan Nasabah kelolaan HLB</t>
  </si>
  <si>
    <t>- Nasabah yang diajukan bukan merupakan Nasabah kelolaan HLB</t>
  </si>
  <si>
    <t>Sales Baru : 29211
CIF : 9966930679</t>
  </si>
  <si>
    <t>SCD0010-024</t>
  </si>
  <si>
    <t>CRO Sales Baru (Sales yang belum mempunyai kelolaan) - Nasabah yang diajukan merupakan Nasabah kelolaan HLB</t>
  </si>
  <si>
    <t>- Nasabah yang diajukan merupakan Nasabah kelolaan HLB</t>
  </si>
  <si>
    <t>Sales Baru : 29211
CIF : 9201582654</t>
  </si>
  <si>
    <t>SCD0010-025</t>
  </si>
  <si>
    <t>CRO Sales Baru (Sales yang belum mempunyai kelolaan) - Nasabah yang diajukan bukan merupakan Nasabah kelolaan Agen (mis. Agen46)</t>
  </si>
  <si>
    <t>- Nasabah yang diajukan bukan merupakan Nasabah kelolaan Agen (mis. Agen46)</t>
  </si>
  <si>
    <t>Sales Baru : 31749
CIF : 9736941866</t>
  </si>
  <si>
    <t>SCD0010-026</t>
  </si>
  <si>
    <t>CRO Sales Baru (Sales yang belum mempunyai kelolaan) - Nasabah yang diajukan merupakan Nasabah kelolaan Agen (mis. Agen46)</t>
  </si>
  <si>
    <t>- Nasabah yang diajukan merupakan Nasabah kelolaan Agen</t>
  </si>
  <si>
    <t>Sales Baru : 42859
CIF : 9427170609</t>
  </si>
  <si>
    <t>SCD0010-027</t>
  </si>
  <si>
    <t>CRO Sales Baru (Sales yang belum mempunyai kelolaan) - Pada saat Bulk Upload, untuk Total AUM yang diajukan wajib memenuhi kriteria sebagai berikut:
 a. CRO MGR: Total AUM Nasabah yang diajukan adalah minimal 500 Milyard
 b. CRO AMGR: Total AUM Nasabah yang diajukan adalah minimal 300 Milyard</t>
  </si>
  <si>
    <t>- CRO MGR: Total AUM Nasabah yang diajukan adalah minimal 500 Milyard
- CRO AMGR: Total AUM Nasabah yang diajukan adalah minimal 300 Milyard</t>
  </si>
  <si>
    <t>User : MGR 25644 / AMGR 28252
CIF 
CROMGR : 9470228854
CROAMGR : 9317025411</t>
  </si>
  <si>
    <t>SCD0010-028</t>
  </si>
  <si>
    <t>CRO Sales Baru (Sales yang belum mempunyai kelolaan) - Pada saat Bulk Upload, untuk Total AUM yang diajukan wajib memenuhi kriteria sebagai berikut:
 a. CRO MGR: Total AUM Nasabah yang diajukan adalah Kurang 500 Milyard
 b. CRO AMGR: Total AUM Nasabah yang diajukan adalah Kurang 300 Milyard</t>
  </si>
  <si>
    <t>- Login sebagai Sales CRO MGR
- Login sebagain Sales CRO AMGR</t>
  </si>
  <si>
    <t>SCD0010-029</t>
  </si>
  <si>
    <t>SRM Sales Baru (Sales yang belum mempunyai kelolaan) - Hanya dapat menggunakan fitur Bulk Upload Pengajuan Flagging</t>
  </si>
  <si>
    <t>- Login dengan user sales baru SRM</t>
  </si>
  <si>
    <t>User : 18733</t>
  </si>
  <si>
    <t>SCD0010-030</t>
  </si>
  <si>
    <t>SRM Sales Baru (Sales yang belum mempunyai kelolaan) - Nasabah yang diajukan adalah Nasabah Perorangan</t>
  </si>
  <si>
    <t>- Nasabah yang di ajukan adalah nasabah perorangan</t>
  </si>
  <si>
    <t>User : 18733
CIF : 9935484960</t>
  </si>
  <si>
    <t>SCD0010-031</t>
  </si>
  <si>
    <t>SRM Sales Baru (Sales yang belum mempunyai kelolaan) -Nasabah yang diajukan adalah Nasabah Non Perorangan</t>
  </si>
  <si>
    <t>- Nasabah yang di ajukan adalah nasabah non perorangan</t>
  </si>
  <si>
    <t>User : 18733
CIF : 9936913149</t>
  </si>
  <si>
    <t>SCD0010-032</t>
  </si>
  <si>
    <t>SRM Sales Baru (Sales yang belum mempunyai kelolaan) - AUM per Nasabah yang diajukan minimal 500 Juta</t>
  </si>
  <si>
    <t>- Mengajukan nasabah perorangan dengan minimal AUM per nasabah 500 Jt</t>
  </si>
  <si>
    <t>User : 18733
CIF : 9936995247</t>
  </si>
  <si>
    <t>SCD0010-033</t>
  </si>
  <si>
    <t>SRM Sales Baru (Sales yang belum mempunyai kelolaan) - AUM per Nasabah yang diajukan lebih dari 500 Juta ( tidak ada batasan maximum)</t>
  </si>
  <si>
    <t>- AUM per Nasabah yang diajukan lebih dari 500 Juta ( tidak ada batasan maximum)</t>
  </si>
  <si>
    <t>SCD0010-034</t>
  </si>
  <si>
    <t>SRM Sales Baru (Sales yang belum mempunyai kelolaan) - AUM per Nasabah yang diajukan Kurang dari 500 Juta</t>
  </si>
  <si>
    <t>- Per nasabah yang di ajukan memiliki AUM kurang dari 500 Jt</t>
  </si>
  <si>
    <t>User : 18733
CIF : 9936913149 ,9935484960</t>
  </si>
  <si>
    <t>SCD0010-035</t>
  </si>
  <si>
    <t>SRM Sales Baru (Sales yang belum mempunyai kelolaan) - mengajukan Nasabah yang berlokasi sama dengan petugas Sales yang mengajukan.
 Menggunakan mekanisme sebagai berikut:
 a. Nasabah yang diajukan berada pada cakupan Wilayah dari pengelolaan petugas SRM yang mengajukan.
 b. Daftar pengelolaan Wilayah SRM dapat mengacu kepada Parameter Mapping Wilayah Kelolaan untuk SRM.</t>
  </si>
  <si>
    <t>- Nasabah yang diajukan berada pada cakupan Wilayah dari pengelolaan petugas SRM yang mengajukan.
- Daftar pengelolaan Wilayah SRM dapat mengacu kepada Parameter Mapping Wilayah Kelolaan untuk SRM.</t>
  </si>
  <si>
    <t>SCD0010-036</t>
  </si>
  <si>
    <t>SRM Sales Baru (Sales yang belum mempunyai kelolaan) - mengajukan Nasabah yang berlokasi tidak sama dengan petugas Sales yang mengajukan.</t>
  </si>
  <si>
    <t>- mengajukan Nasabah yang berlokasi tidak sama dengan petugas Sales yang mengajukan.</t>
  </si>
  <si>
    <t>User : 18733
CIF : 9158507312</t>
  </si>
  <si>
    <t>SCD0010-037</t>
  </si>
  <si>
    <t>SRM Sales Baru (Sales yang belum mempunyai kelolaan) - mengajukan nasabah yang bukan merupakan Nasabah Debitur (Produktif)</t>
  </si>
  <si>
    <t>- mengajukan nasabah yang bukan merupakan Nasabah Debitur</t>
  </si>
  <si>
    <t>SCD0010-038</t>
  </si>
  <si>
    <t>SRM Sales Baru (Sales yang belum mempunyai kelolaan) - mengajukan Nasabah Debitur (Produktif)</t>
  </si>
  <si>
    <t>SCD0010-039</t>
  </si>
  <si>
    <t>SRM Sales Baru (Sales yang belum mempunyai kelolaan) - Nasabah yang diajukan bukan merupakan kelolaan Sales lain</t>
  </si>
  <si>
    <t>- Nasabah yang diajukan bukan merupakan kelolaan Sales lain</t>
  </si>
  <si>
    <t>User : 20213
CIF : 9936964558</t>
  </si>
  <si>
    <t>SCD0010-040</t>
  </si>
  <si>
    <t>SRM Sales Baru (Sales yang belum mempunyai kelolaan) - Nasabah yang diajukan merupakan kelolaan Sales lain</t>
  </si>
  <si>
    <t>- Nasabah yang diajukan merupakan kelolaan Sales lain</t>
  </si>
  <si>
    <t>User : 20213
CIF : 9936913149</t>
  </si>
  <si>
    <t>SCD0010-041</t>
  </si>
  <si>
    <t>SRM Sales Baru (Sales yang belum mempunyai kelolaan) - Nasabah yang diajukan bukan merupakan Nasabah kelolaan HLB</t>
  </si>
  <si>
    <t>User : 18733
CIF : 9936964558</t>
  </si>
  <si>
    <t>SCD0010-042</t>
  </si>
  <si>
    <t>SRM Sales Baru (Sales yang belum mempunyai kelolaan) - Nasabah yang diajukan merupakan Nasabah kelolaan HLB</t>
  </si>
  <si>
    <t>User : 20792
CIF : 10062346602</t>
  </si>
  <si>
    <t>SCD0010-043</t>
  </si>
  <si>
    <t>SRM Sales Baru (Sales yang belum mempunyai kelolaan) - Nasabah yang diajukan bukan merupakan Nasabah kelolaan Agen (mis. Agen46)</t>
  </si>
  <si>
    <t>User : 20213
CIF : 9937135789</t>
  </si>
  <si>
    <t>SCD0010-044</t>
  </si>
  <si>
    <t>SRM Sales Baru (Sales yang belum mempunyai kelolaan) - Pada saat Bulk Upload, untuk Total AUM yang diajukan wajib memenuhi kriteria sebagai berikut:
 SRM: Total AUM Nasabah yang diajukan adalah minimal 750 Milyard</t>
  </si>
  <si>
    <t>- Total AUM Nasabah yang diajukan adalah minimal 750 Milyard</t>
  </si>
  <si>
    <t>SCD0010-045</t>
  </si>
  <si>
    <t>SRM Sales Baru (Sales yang belum mempunyai kelolaan) - Pada saat Bulk Upload, untuk Total AUM yang diajukan wajib memenuhi kriteria sebagai berikut:
 SRM: Total AUM Nasabah yang diajukan adalah kurang dari 750 Milyard</t>
  </si>
  <si>
    <t>- Total AUM Nasabah yang diajukan adalah kurang dari 750 Milyard</t>
  </si>
  <si>
    <t>User : 57419
CIF : 9936964558, 9936995247</t>
  </si>
  <si>
    <t>SCD0010-046</t>
  </si>
  <si>
    <t>CRO Sales Lama (Sales yang sudah mempunyai kelolaan) - Tidak dapat menggunakan fitur Bulk Upload Pengajuan Flagging</t>
  </si>
  <si>
    <t>- Tidak dapat menggunakan fitur Bulk Upload Pengajuan Flagging</t>
  </si>
  <si>
    <t>User : 32468</t>
  </si>
  <si>
    <t>SCD0010-047</t>
  </si>
  <si>
    <t>CRO Sales Lama (Sales yang sudah mempunyai kelolaan) - Nasabah yang diajukan adalah Nasabah Perorangan</t>
  </si>
  <si>
    <t>- Nasabah yang diajukan adalah Nasabah Perorangan</t>
  </si>
  <si>
    <t>User : 32468
CIF : 9479158490</t>
  </si>
  <si>
    <t>SCD0010-048</t>
  </si>
  <si>
    <t>CRO Sales Lama (Sales yang sudah mempunyai kelolaan) - Nasabah yang diajukan adalah Nasabah Non Perorangan</t>
  </si>
  <si>
    <t>- Nasabah yang diajukan adalah Nasabah Non Perorangan</t>
  </si>
  <si>
    <t>User : 32468
CIF : 9433705550</t>
  </si>
  <si>
    <t>SCD0010-049</t>
  </si>
  <si>
    <t>CRO Sales Lama (Sales yang sudah mempunyai kelolaan) - AUM per Nasabah yang diajukan minimal 500 Juta</t>
  </si>
  <si>
    <t>SCD0010-050</t>
  </si>
  <si>
    <t>CRO Sales Lama (Sales yang sudah mempunyai kelolaan) - AUM per Nasabah yang diajukan Lebih dari 500 Juta (Tidak ada batasan Maximum</t>
  </si>
  <si>
    <t>- AUM per Nasabah yang diajukan Lebih dari  500 Juta (Tidak ada batasan Maximum)</t>
  </si>
  <si>
    <t>SCD0010-051</t>
  </si>
  <si>
    <t>CRO Sales Lama (Sales yang sudah mempunyai kelolaan) - AUM per Nasabah yang diajukan kurang 500 Juta</t>
  </si>
  <si>
    <t>- AUM per Nasabah yang diajukan kurang 500 Juta</t>
  </si>
  <si>
    <t>SCD0010-052</t>
  </si>
  <si>
    <t>CRO Sales Lama (Sales yang sudah mempunyai kelolaan) - Nasabah yang diajukan berlokasi sama dengan petugas Sales yang mengajukan.
 Menggunakan mekanisme sebagai berikut:
 a. Dari DPK tertinggi Nasabah yang diajukan, diperoleh informasi Nomor Rekening
 b. Atas informasi Rekening (point a.), diperoleh Cabang untuk Rekening tersebut
 c. Cabang Sales wajib sama dengan Cabang Rekening Nasabah yang diajukan (point b.)</t>
  </si>
  <si>
    <t>- Nasabah yang diajukan berlokasi sama dengan petugas Sales yang mengajukan.
- Menggunakan mekanisme sebagai berikut:
a. Dari DPK tertinggi Nasabah yang diajukan, diperoleh informasi Nomor Rekening
b. Atas informasi Rekening (point a.), diperoleh Cabang untuk Rekening tersebut
c. Cabang Sales wajib sama dengan Cabang Rekening Nasabah yang diajukan (point b.)</t>
  </si>
  <si>
    <t>User : 32468
CIF : 9052757146</t>
  </si>
  <si>
    <t>SCD0010-053</t>
  </si>
  <si>
    <t>CRO Sales Lama (Sales yang sudah mempunyai kelolaan) - Nasabah yang diajukan berlokasi tidak sama dengan petugas Sales yang mengajukan.</t>
  </si>
  <si>
    <t>- Nasabah yang diajukan berlokasi tidak sama dengan petugas Sales yang mengajukan.</t>
  </si>
  <si>
    <t>User : 32468
CIF : 9936995247</t>
  </si>
  <si>
    <t>SCD0010-054</t>
  </si>
  <si>
    <t>CRO Sales Lama (Sales yang sudah mempunyai kelolaan) - mengajukan Nasabah Debitur (Produktif)</t>
  </si>
  <si>
    <t>User : 32468
CIF : 9935484960</t>
  </si>
  <si>
    <t>SCD0010-055</t>
  </si>
  <si>
    <t>CRO Sales Lama (Sales yang sudah mempunyai kelolaan) - Nasabah yang diajukan bukan merupakan kelolaan Sales lain</t>
  </si>
  <si>
    <t>SCD0010-056</t>
  </si>
  <si>
    <t>CRO Sales Lama (Sales yang sudah mempunyai kelolaan) - Nasabah yang diajukan merupakan kelolaan Sales lain</t>
  </si>
  <si>
    <t>User : 34204
CIF : 9831045599</t>
  </si>
  <si>
    <t>SCD0010-057</t>
  </si>
  <si>
    <t>CRO Sales Lama (Sales yang sudah mempunyai kelolaan) - Nasabah yang diajukan bukan merupakan Nasabah kelolaan HLB</t>
  </si>
  <si>
    <t>User : 32468
CIF : 10059213847</t>
  </si>
  <si>
    <t>SCD0010-058</t>
  </si>
  <si>
    <t>CRO Sales Lama (Sales yang sudah mempunyai kelolaan) - Nasabah yang diajukan merupakan Nasabah kelolaan HLB</t>
  </si>
  <si>
    <t>User : 32468
CIF : 10072664011</t>
  </si>
  <si>
    <t>SCD0010-059</t>
  </si>
  <si>
    <t>CRO Sales Lama (Sales yang sudah mempunyai kelolaan) - Nasabah yang diajukan bukan merupakan Nasabah kelolaan Agen (mis. Agen46)</t>
  </si>
  <si>
    <t>- Nasabah yang diajukan bukan merupakan Nasabah kelolaan Agen 46</t>
  </si>
  <si>
    <t>SCD0010-060</t>
  </si>
  <si>
    <t>CRO Sales Lama (Sales yang sudah mempunyai kelolaan) - Nasabah yang diajukan merupakan Nasabah kelolaan Agen (mis. Agen46)</t>
  </si>
  <si>
    <t>- Nasabah yang diajukan merupakan Nasabah kelolaan Agen 46</t>
  </si>
  <si>
    <t>User : 30944
CIF : 9636837622</t>
  </si>
  <si>
    <t>SCD0010-061</t>
  </si>
  <si>
    <t>SRM Sales Lama (Sales yang sudah mempunyai kelolaan) - Tidak dapat menggunakan fitur Bulk Upload Pengajuan Flagging</t>
  </si>
  <si>
    <t>- SRM Sales lama Tidak dapat menggunakan fitur Bulk Upload Pengajuan Flagging</t>
  </si>
  <si>
    <t>User : 20037</t>
  </si>
  <si>
    <t>SCD0010-062</t>
  </si>
  <si>
    <t>SRM Sales Lama (Sales yang sudah mempunyai kelolaan) - Nasabah yang diajukan adalah Nasabah Perorangan</t>
  </si>
  <si>
    <t>- SRM Sales lama Nasabah yang diajukan adalah Nasabah Perorangan</t>
  </si>
  <si>
    <t>User : 20037
CIF: 9936995247</t>
  </si>
  <si>
    <t>SCD0010-063</t>
  </si>
  <si>
    <t>SRM Sales Lama (Sales yang sudah mempunyai kelolaan) - Nasabah yang diajukan adalah Nasabah Non Perorangan</t>
  </si>
  <si>
    <t>- SRM Sales lama Nasabah yang diajukan adalah Nasabah Non Perorangan</t>
  </si>
  <si>
    <t>User : 20037
CIF: 9937135789</t>
  </si>
  <si>
    <t>SCD0010-064</t>
  </si>
  <si>
    <t>SRM Sales Lama (Sales yang sudah mempunyai kelolaan) - AUM per Nasabah yang diajukan minimal 500 Juta</t>
  </si>
  <si>
    <t>- SRM Sales lama AUM per Nasabah yang diajukan minimal 500 Juta</t>
  </si>
  <si>
    <t>SCD0010-065</t>
  </si>
  <si>
    <t>SRM Sales Lama (Sales yang sudah mempunyai kelolaan) - AUM per Nasabah yang diajukan lebih dari 500 Juta (Tidak ada batasan maximum)</t>
  </si>
  <si>
    <t>- SRM Sales lama AUM per Nasabah yang diajukan lebih dari 500 Juta tidak ada batasan maximum</t>
  </si>
  <si>
    <t>SCD0010-066</t>
  </si>
  <si>
    <t>SRM Sales Lama (Sales yang sudah mempunyai kelolaan) - AUM per Nasabah yang diajukan Kurang dari 500 Juta</t>
  </si>
  <si>
    <t>- SRM Sales lama SRM Sales Lama AUM per Nasabah yang diajukan Kurang dari 500 Juta</t>
  </si>
  <si>
    <t>User : 20037
CIF: 9936964558</t>
  </si>
  <si>
    <t>SCD0010-067</t>
  </si>
  <si>
    <t>SRM Sales Lama (Sales yang sudah mempunyai kelolaan) - mengajukan Nasabah yang berlokasi sama dengan petugas Sales yang mengajukan.
 Menggunakan mekanisme sebagai berikut:
 a. Nasabah yang diajukan berada pada cakupan Wilayah dari pengelolaan petugas SRM yang mengajukan.
 b. Daftar pengelolaan Wilayah SRM dapat mengacu kepada Parameter Mapping Wilayah Kelolaan untuk SRM.</t>
  </si>
  <si>
    <t>- Menggunakan mekanisme sebagai berikut:
a. Nasabah yang diajukan berada pada cakupan Wilayah dari pengelolaan petugas SRM yang mengajukan.
b. Daftar pengelolaan Wilayah SRM dapat mengacu kepada Parameter Mapping Wilayah Kelolaan untuk SRM.</t>
  </si>
  <si>
    <t>SCD0010-068</t>
  </si>
  <si>
    <t>SRM Sales Lama (Sales yang sudah mempunyai kelolaan) - mengajukan Nasabah yang berlokasi tidak sama dengan petugas Sales yang mengajukan.</t>
  </si>
  <si>
    <t>User : 20037
CIF: 9052757146</t>
  </si>
  <si>
    <t>SCD0010-069</t>
  </si>
  <si>
    <t>SRM Sales Lama (Sales yang sudah mempunyai kelolaan) - mengajukan nasabah yang bukan merupakan Nasabah Debitur (Produktif)</t>
  </si>
  <si>
    <t>- Mengajukan nasabah yang bukan merupakan Nasabah Debitur.</t>
  </si>
  <si>
    <t>SCD0010-070</t>
  </si>
  <si>
    <t>SRM Sales Lama (Sales yang sudah mempunyai kelolaan) - mengajukan Nasabah Debitur (Produktif)</t>
  </si>
  <si>
    <t xml:space="preserve">- Salses SRM lama mengajukan Nasabah Debitur </t>
  </si>
  <si>
    <t>SCD0010-071</t>
  </si>
  <si>
    <t>SRM Sales Lama (Sales yang sudah mempunyai kelolaan) - Nasabah yang diajukan bukan merupakan kelolaan Sales lain</t>
  </si>
  <si>
    <t>- Sales SRM lama Nasabah yang diajukan bukan merupakan kelolaan Sales lain</t>
  </si>
  <si>
    <t>SCD0010-072</t>
  </si>
  <si>
    <t>SRM Sales Lama (Sales yang sudah mempunyai kelolaan) - Nasabah yang diajukan merupakan kelolaan Sales lain</t>
  </si>
  <si>
    <t>- Sales SRM lama Nasabah yang diajukan merupakan kelolaan Sales lain</t>
  </si>
  <si>
    <t>User : 22136
CIF: 9936913149</t>
  </si>
  <si>
    <t>SCD0010-073</t>
  </si>
  <si>
    <t>SRM Sales Lama (Sales yang sudah mempunyai kelolaan) - Nasabah yang diajukan bukan merupakan Nasabah kelolaan HLB</t>
  </si>
  <si>
    <t>User : 22136
CIF: 9936995247</t>
  </si>
  <si>
    <t>SCD0010-074</t>
  </si>
  <si>
    <t>SRM Sales Lama (Sales yang sudah mempunyai kelolaan) - Nasabah yang diajukan merupakan Nasabah kelolaan HLB</t>
  </si>
  <si>
    <t>User : 22136
CIF: 10062346602</t>
  </si>
  <si>
    <t>SCD0010-075</t>
  </si>
  <si>
    <t>SRM Sales Lama (Sales yang sudah mempunyai kelolaan) - Nasabah yang diajukan bukan merupakan Nasabah kelolaan Agen (mis. Agen46)</t>
  </si>
  <si>
    <t>SCD0010-076</t>
  </si>
  <si>
    <t>SRM Sales Lama (Sales yang sudah mempunyai kelolaan) - Nasabah yang diajukan merupakan Nasabah kelolaan Agen (mis. Agen46)</t>
  </si>
  <si>
    <t>- Nasabah yang diajukan merupakan Nasabah kelolaan Agen (mis. Agen46)</t>
  </si>
  <si>
    <t>User : 22136
CIF: 9935484960</t>
  </si>
  <si>
    <t>SCD0010-077</t>
  </si>
  <si>
    <t>Analis / Asisten Penjualan Sales Baru (Sales yang belum mempunyai kelolaan) - Hanya dapat menggunakan fitur Bulk Upload Pengajuan Flagging</t>
  </si>
  <si>
    <t>- Hanya dapat menggunakan fitur Bulk Upload Pengajuan Flagging</t>
  </si>
  <si>
    <t>User : 44652</t>
  </si>
  <si>
    <t>SCD0010-078</t>
  </si>
  <si>
    <t>Analis / Asisten Penjualan Sales Baru (Sales yang belum mempunyai kelolaan) - Nasabah yang diajukan adalah Nasabah Perorangan</t>
  </si>
  <si>
    <t>User : 44652
CIF: 10071643864</t>
  </si>
  <si>
    <t>SCD0010-079</t>
  </si>
  <si>
    <t>Analis / Asisten Penjualan Sales Baru (Sales yang belum mempunyai kelolaan) -Nasabah yang diajukan adalah Nasabah Non Perorangan</t>
  </si>
  <si>
    <t>SCD0010-080</t>
  </si>
  <si>
    <t>Analis / Asisten Penjualan Sales Baru (Sales yang belum mempunyai kelolaan) - Untuk Nasabah Perorangan, AUM per Nasabah yang diajukan minimal 100 Juta</t>
  </si>
  <si>
    <t>- AUM per Nasabah yang diajukan minimal 100 Juta</t>
  </si>
  <si>
    <t>User : 44652
CIF: 9837653125</t>
  </si>
  <si>
    <t>SCD0010-081</t>
  </si>
  <si>
    <t>Analis / Asisten Penjualan Sales Baru (Sales yang belum mempunyai kelolaan) - Nasabah Perorangan, AUM per Nasabah yang diajukan kurang 100 Juta</t>
  </si>
  <si>
    <t>- AUM per Nasabah yang diajukan kurang dari 100 Juta</t>
  </si>
  <si>
    <t>User : 44652
CIF: 9975847612</t>
  </si>
  <si>
    <t>SCD0010-082</t>
  </si>
  <si>
    <t>Analis / Asisten Penjualan Sales Baru (Sales yang belum mempunyai kelolaan) - Untuk Nasabah Non Perorangan, CASA per Nasabah yang diajukan sesuai Tiering Area sebagai berikut:
 a. Area 1: CASA per Nasabah yang diajukan minimal 100 Juta
 b. Area 2 dan Area 3: CASA per Nasabah yang diajukan minimal 50 Juta
 c. Area 4: CASA per Nasabah yang diajukan minimal 25 Juta
 Daftar Tiering Area mengacu kepada Parameter Tiering Area.</t>
  </si>
  <si>
    <t>- sesuai Tiering Area sebagai berikut:
a. Area 1: CASA per Nasabah yang diajukan minimal 100 Juta
b. Area 2 dan Area 3: CASA per Nasabah yang diajukan minimal 50 Juta
c. Area 4: CASA per Nasabah yang diajukan minimal 25 Juta
- Daftar Tiering Area mengacu kepada Parameter Tiering Area.</t>
  </si>
  <si>
    <t>User : AREA 1 36694, AREA 2 32417, AREA 3 41730, AREA 4 41126
CIF: AREA 1 9816454567, AREA 2 9807201843, AREA 3 9253916075, AREA 4 10065920542</t>
  </si>
  <si>
    <t>SCD0010-083</t>
  </si>
  <si>
    <t>Analis / Asisten Penjualan Sales Baru (Sales yang belum mempunyai kelolaan) - Outlet Nasabah yang diajukan berlokasi sama dengan petugas Sales yang mengajukan.
 Untuk Nasabah Perorangan, dapat menggunakan menggunakan mekanisme sebagai berikut:
 a. Dari DPK tertinggi Nasabah yang diajukan, diperoleh informasi Nomor Rekening
 b. Atas informasi Rekening (point a.), diperoleh Outlet Cabang untuk Rekening tersebut
 c. Outlet Sales wajib sama dengan Outlet Cabang Rekening Nasabah yang diajukan (point b.)
 Untuk Nasabah Non Perorangan, dapat menggunakan menggunakan mekanisme sebagai berikut:
 a. Dari DPK tertinggi Nasabah yang diajukan, diperoleh informasi Nomor Rekening
 b. Atas informasi Rekening (point a.), diperoleh Outlet Cabang untuk Rekening tersebut
 c. Cabang Sales wajib sama dengan Outlet Cabang Rekening Nasabah yang diajukan (point b.)</t>
  </si>
  <si>
    <t>- Untuk Nasabah Perorangan, dapat menggunakan menggunakan mekanisme sebagai berikut:
a. Dari DPK tertinggi Nasabah yang diajukan, diperoleh informasi Nomor Rekening
b. Atas informasi Rekening (point a.), diperoleh Outlet Cabang untuk Rekening tersebut
c. Outlet Sales wajib sama dengan Outlet Cabang Rekening Nasabah yang diajukan (point b.)
- Untuk Nasabah Non Perorangan, dapat menggunakan menggunakan mekanisme sebagai berikut
a. Dari DPK tertinggi Nasabah yang diajukan, diperoleh informasi Nomor Rekening
b. Atas informasi Rekening (point a.), diperoleh Outlet Cabang untuk Rekening tersebut
c. Cabang Sales wajib sama dengan Outlet Cabang Rekening Nasabah yang diajukan (point b.)</t>
  </si>
  <si>
    <t>User : 43500,41114
CIF: 9606255027(CR), 10049693517(BB)</t>
  </si>
  <si>
    <t>SCD0010-084</t>
  </si>
  <si>
    <t>Analis / Asisten Penjualan Sales Baru (Sales yang belum mempunyai kelolaan) - Nasabah yang diajukan bukan merupakan Nasabah Debitur (Produktif)</t>
  </si>
  <si>
    <t>- Nasabah yang diajukan bukan merupakan Nasabah Debitur</t>
  </si>
  <si>
    <t>User : 44652
CIF: 9732446016</t>
  </si>
  <si>
    <t>SCD0010-085</t>
  </si>
  <si>
    <t>Analis / Asisten Penjualan Sales Baru (Sales yang belum mempunyai kelolaan) - Nasabah yang diajukan merupakan Nasabah Debitur (Produktif)</t>
  </si>
  <si>
    <t>- Nasabah yang diajukan merupakan Nasabah Debitur</t>
  </si>
  <si>
    <t>User : 44652
CIF: 9964108527</t>
  </si>
  <si>
    <t>SCD0010-086</t>
  </si>
  <si>
    <t>Analis / Asisten Penjualan Sales Baru (Sales yang belum mempunyai kelolaan) -Nasabah yang diajukan bukan merupakan kelolaan Sales lain</t>
  </si>
  <si>
    <t>User : 44652
CIF: 9480931366</t>
  </si>
  <si>
    <t>SCD0010-087</t>
  </si>
  <si>
    <t>Analis / Asisten Penjualan Sales Baru (Sales yang belum mempunyai kelolaan) -Nasabah yang diajukan merupakan kelolaan Sales lain</t>
  </si>
  <si>
    <t>- Nasabah yang diajukan  merupakan kelolaan Sales lain</t>
  </si>
  <si>
    <t>User : 44652
CIF: 9684888241</t>
  </si>
  <si>
    <t>SCD0010-088</t>
  </si>
  <si>
    <t>Analis / Asisten Penjualan Sales Baru (Sales yang belum mempunyai kelolaan) - Nasabah yang diajukan bukan merupakan Nasabah kelolaan HLB</t>
  </si>
  <si>
    <t>User : 44652
CIF: 9783962303</t>
  </si>
  <si>
    <t>SCD0010-089</t>
  </si>
  <si>
    <t>Analis / Asisten Penjualan Sales Baru (Sales yang belum mempunyai kelolaan) - Nasabah yang diajukan merupakan Nasabah kelolaan HLB</t>
  </si>
  <si>
    <t>User : 44652
CIF: 9684871510</t>
  </si>
  <si>
    <t>SCD0010-090</t>
  </si>
  <si>
    <t>Analis / Asisten Penjualan Sales Baru (Sales yang belum mempunyai kelolaan) - Nasabah yang diajukan bukan merupakan Nasabah kelolaan Agen (mis. Agen46)</t>
  </si>
  <si>
    <t>User : 44652
CIF: 9975781910</t>
  </si>
  <si>
    <t>SCD0010-091</t>
  </si>
  <si>
    <t>Analis / Asisten Penjualan Sales Baru (Sales yang belum mempunyai kelolaan) - Nasabah yang diajukan merupakan Nasabah kelolaan Agen (mis. Agen46)</t>
  </si>
  <si>
    <t>User : 47918
CIF: 9299458996</t>
  </si>
  <si>
    <t>SCD0010-092</t>
  </si>
  <si>
    <t>Analis / Asisten Penjualan Sales Baru (Sales yang belum mempunyai kelolaan) - Pada saat Bulk Upload, untuk Total AUM yang diajukan wajib memenuhi kriteria sebagai berikut:
 a. Analis Penjualan: Total AUM Nasabah yang diajukan adalah minimal 30 Milyard
 b. Asisten Penjualan: Total AUM Nasabah yang diajukan adalah minimal 20 Milyard</t>
  </si>
  <si>
    <t>- kriteria sebagai berikut:
a. Analis Penjualan: Total AUM Nasabah yang diajukan adalah minimal 30 Milyard
b. Asisten Penjualan: Total AUM Nasabah yang diajukan adalah minimal 20 Milyard</t>
  </si>
  <si>
    <t>User : 34206/43141
CIF: 9052757146/9479158490</t>
  </si>
  <si>
    <t>SCD0010-093</t>
  </si>
  <si>
    <t>Analis / Asisten Penjualan Sales Baru (Sales yang belum mempunyai kelolaan) - Pada saat Bulk Upload, untuk Total AUM yang diajukan wajib memenuhi kriteria sebagai berikut:
 a. Analis Penjualan: Total AUM Nasabah yang diajukan adalah Lebih dari 30 Milyard
 b. Asisten Penjualan: Total AUM Nasabah yang diajukan adalah lebih dari 20 Milyard
 (Tidak ada batasan maximum)</t>
  </si>
  <si>
    <t>- memenuhi kriteria
a. Analis Penjualan: Total AUM Nasabah yang diajukan adalah Lebih dari 30 Milyard
b. Asisten Penjualan: Total AUM Nasabah yang diajukan adalah lebih dari  20 Milyard
(Tidak ada batasan maximum)</t>
  </si>
  <si>
    <t>SCD0010-094</t>
  </si>
  <si>
    <t>Analis / Asisten Penjualan Sales Baru (Sales yang belum mempunyai kelolaan) - Pada saat Bulk Upload, untuk Total AUM yang diajukan wajib memenuhi kriteria sebagai berikut:
 a. Analis Penjualan: Total AUM Nasabah yang diajukan adalah Kurang dari 30 Milyard
 b. Asisten Penjualan: Total AUM Nasabah yang diajukan adalah Kurang dari 20 Milyard</t>
  </si>
  <si>
    <t>- memenuhi kriteria
a. Analis Penjualan: Total AUM Nasabah yang diajukan adalah Kurang dari 30 Milyard
b. Asisten Penjualan: Total AUM Nasabah yang diajukan adalah Kurang dari  20 Milyard</t>
  </si>
  <si>
    <t>User : 34206/43141
CIF: 10059213847 / 9052757146</t>
  </si>
  <si>
    <t>SCD0010-095</t>
  </si>
  <si>
    <t>Analis / Asisten Penjualan Sales Lama (Sales yang sudah mempunyai kelolaan) - Upload Pengajuan Flagging</t>
  </si>
  <si>
    <t>- Upload Pengajuan Flagging</t>
  </si>
  <si>
    <t>SCD0010-096</t>
  </si>
  <si>
    <t>Analis / Asisten Penjualan Sales Lama (Sales yang sudah mempunyai kelolaan) - menggunakan fitur Bulk Upload Pengajuan Flagging</t>
  </si>
  <si>
    <t>- menggunakan fitur Bulk Upload Pengajuan Flagging</t>
  </si>
  <si>
    <t>User : 55210
CIF: 9783962303</t>
  </si>
  <si>
    <t>SCD0010-097</t>
  </si>
  <si>
    <t>Analis / Asisten Penjualan Sales Lama (Sales yang sudah mempunyai kelolaan) - Nasabah yang diajukan adalah Nasabah Perorangan</t>
  </si>
  <si>
    <t>User : 55210
CIF: 9983055897</t>
  </si>
  <si>
    <t>SCD0010-098</t>
  </si>
  <si>
    <t>Analis / Asisten Penjualan Sales Lama (Sales yang sudah mempunyai kelolaan) - Nasabah yang diajukan adalah Nasabah Non Perorangan</t>
  </si>
  <si>
    <t>- Nasabah yang diajukan adalah Nasabah  Non Perorangan</t>
  </si>
  <si>
    <t>User : 55210
CIF: 9001298704</t>
  </si>
  <si>
    <t>SCD0010-099</t>
  </si>
  <si>
    <t>Analis / Asisten Penjualan Sales Lama (Sales yang sudah mempunyai kelolaan) - Untuk Nasabah Perorangan, AUM per Nasabah yang diajukan minimal 100 Juta</t>
  </si>
  <si>
    <t>- Untuk Nasabah Perorangan, AUM per Nasabah yang diajukan minimal 100 Juta</t>
  </si>
  <si>
    <t>SCD0010-100</t>
  </si>
  <si>
    <t>Analis / Asisten Penjualan Sales Lama (Sales yang sudah mempunyai kelolaan) - Nasabah Perorangan, AUM per Nasabah yang diajukan lebih dari 100 Juta (Tidak ada batasan maximum)</t>
  </si>
  <si>
    <t>- Nasabah Perorangan, AUM per Nasabah yang diajukan lebih dari  100 Juta (Tidak ada batasan maximum)</t>
  </si>
  <si>
    <t>User : 55210
CIF: 9837653125</t>
  </si>
  <si>
    <t>SCD0010-101</t>
  </si>
  <si>
    <t>Analis / Asisten Penjualan Sales Lama (Sales yang sudah mempunyai kelolaan) - Nasabah Perorangan, AUM per Nasabah yang diajukan kurang 100 Juta</t>
  </si>
  <si>
    <t>- Nasabah perorangan , AUM per Nasabah di ajukan kurang dari 100 juta</t>
  </si>
  <si>
    <t>User : 55210
CIF: 9961959707</t>
  </si>
  <si>
    <t>SCD0010-102</t>
  </si>
  <si>
    <t>Analis / Asisten Penjualan Sales Lama (Sales yang sudah mempunyai kelolaan) - Untuk Nasabah Non Perorangan, CASA per Nasabah yang diajukan sesuai Tiering Area sebagai berikut:
 a. Area 1: CASA per Nasabah yang diajukan minimal 100 Juta
 b. Area 2 dan Area 3: CASA per Nasabah yang diajukan minimal 50 Juta
 c. Area 4: CASA per Nasabah yang diajukan minimal 25 Juta
 Daftar Tiering Area mengacu kepada Parameter Tiering Area.</t>
  </si>
  <si>
    <t>- Nasabah yang diajukan sesuai Tiering Area sebagai berikut:
a. Area 1: CASA per Nasabah yang diajukan minimal 100 Juta
b. Area 2 dan Area 3: CASA per Nasabah yang diajukan minimal 50 Juta
c. Area 4: CASA per Nasabah yang diajukan minimal 25 Juta
Daftar Tiering Area mengacu kepada Parameter Tiering Area</t>
  </si>
  <si>
    <t>User : (Area 1: 53824),(Area 2 :36791),(Area 3:55210),(Area 4: 44029)
CIF: (Area 1: 10057998621) (Area 2: 9551263365)(Area 3: 9827679644)(Area 4: 9815128704)</t>
  </si>
  <si>
    <t>SCD0010-103</t>
  </si>
  <si>
    <t>Analis / Asisten Penjualan Sales Lama (Sales yang sudah mempunyai kelolaan) - Outlet Nasabah yang diajukan berlokasi sama dengan petugas Sales yang mengajukan.
 Untuk Nasabah Perorangan, dapat menggunakan menggunakan mekanisme sebagai berikut:
 a. Dari DPK tertinggi Nasabah yang diajukan, diperoleh informasi Nomor Rekening
 b. Atas informasi Rekening (point a.), diperoleh Outlet Cabang untuk Rekening tersebut
 c. Outlet Sales wajib sama dengan Outlet Cabang Rekening Nasabah yang diajukan (point b.)
 Untuk Nasabah Non Perorangan, dapat menggunakan menggunakan mekanisme sebagai berikut:
 a. Dari DPK tertinggi Nasabah yang diajukan, diperoleh informasi Nomor Rekening
 b. Atas informasi Rekening (point a.), diperoleh Outlet Cabang untuk Rekening tersebut
 c. Cabang Sales wajib sama dengan Outlet Cabang Rekening Nasabah yang diajukan (point b.)</t>
  </si>
  <si>
    <t>- Untuk Nasabah Perorangan, dapat menggunakan menggunakan mekanisme sebagai berikut:
a. Dari DPK tertinggi Nasabah yang diajukan, diperoleh informasi Nomor Rekening
b. Atas informasi Rekening (point a.), diperoleh Outlet Cabang untuk Rekening tersebut
c. Outlet Sales wajib sama dengan Outlet Cabang Rekening Nasabah yang diajukan (point b.)
Untuk Nasabah Non Perorangan, dapat menggunakan menggunakan mekanisme sebagai berikut:
a. Dari DPK tertinggi Nasabah yang diajukan, diperoleh informasi Nomor Rekening
b. Atas informasi Rekening (point a.), diperoleh Outlet Cabang untuk Rekening tersebut
c. Cabang Sales wajib sama dengan Outlet Cabang Rekening Nasabah yang diajukan (point b.)</t>
  </si>
  <si>
    <t>User : 55210
CIF: 9921356490(CR), 9794306369 (BB)</t>
  </si>
  <si>
    <t>SCD0010-104</t>
  </si>
  <si>
    <t>Analis / Asisten Penjualan Sales Lama (Sales yang sudah mempunyai kelolaan) - Nasabah yang diajukan bukan merupakan Nasabah Debitur (Produktif)</t>
  </si>
  <si>
    <t>SCD0010-105</t>
  </si>
  <si>
    <t>Analis / Asisten Penjualan Sales Lama (Sales yang sudah mempunyai kelolaan) - Nasabah yang diajukan merupakan Nasabah Debitur (Produktif)</t>
  </si>
  <si>
    <t>- Nasabah yang diajukan  merupakan Nasabah Debitur</t>
  </si>
  <si>
    <t>User : 55210
CIF: 9827679644</t>
  </si>
  <si>
    <t>SCD0010-106</t>
  </si>
  <si>
    <t>Analis / Asisten Penjualan Sales Lama (Sales yang sudah mempunyai kelolaan) - Nasabah yang diajukan bukan merupakan kelolaan Sales lain</t>
  </si>
  <si>
    <t>User : 55210
CIF:  9684871510</t>
  </si>
  <si>
    <t>SCD0010-107</t>
  </si>
  <si>
    <t>Analis / Asisten Penjualan Sales Lama (Sales yang sudah mempunyai kelolaan) - Nasabah yang diajukan merupakan kelolaan Sales lain</t>
  </si>
  <si>
    <t>User : 45795
CIF: 9479158490</t>
  </si>
  <si>
    <t>SCD0010-108</t>
  </si>
  <si>
    <t>Analis / Asisten Penjualan Sales Lama (Sales yang sudah mempunyai kelolaan) -- Nasabah yang diajukan bukan merupakan Nasabah kelolaan HLB</t>
  </si>
  <si>
    <t>SCD0010-109</t>
  </si>
  <si>
    <t>Analis / Asisten Penjualan Sales Lama (Sales yang sudah mempunyai kelolaan) - Nasabah yang diajukan merupakan Nasabah kelolaan HLB</t>
  </si>
  <si>
    <t>User : 55210
CIF: 9921400372</t>
  </si>
  <si>
    <t>SCD0010-110</t>
  </si>
  <si>
    <t>Analis / Asisten Penjualan Sales Lama (Sales yang sudah mempunyai kelolaan) - Nasabah yang diajukan bukan merupakan Nasabah kelolaan Agen (mis. Agen46)</t>
  </si>
  <si>
    <t>SCD0010-111</t>
  </si>
  <si>
    <t>Analis / Asisten Penjualan Sales Lama (Sales yang sudah mempunyai kelolaan) - Nasabah yang diajukan merupakan Nasabah kelolaan Agen (mis. Agen46)</t>
  </si>
  <si>
    <t>User : 55210
CIF: 9837861918 9001298704</t>
  </si>
  <si>
    <t>SCD0010-112</t>
  </si>
  <si>
    <t>Penyesuaian Kriteria Account Plan secara Umum (Sesuai pada BSDD 2.10) : 
 Asisten Penjualan</t>
  </si>
  <si>
    <t>- Pilih menu account plan
- Klik usulan account planning</t>
  </si>
  <si>
    <t>User : 55210</t>
  </si>
  <si>
    <t>"CONTOH Base on BSDD 2.10" 
 For detail cehck BSDD
 Periode : Bulan Oktober 2021
 Periode Penginputan : 6 Okt 2021 sampai 5 Nov 2021
 Range Tanggal Perkiraan Dana Masuk : 1 Oktober 2021 sampai 31 Oktober 2021
 Expired usulan Approval : Tanggal 5 bulan November 2021 jam 23:59 WIB</t>
  </si>
  <si>
    <t>SCD0164- Account Plan_20220630-134553017.pdf</t>
  </si>
  <si>
    <t>SCD0164- Account Plan_20220711-125718804.pdf</t>
  </si>
  <si>
    <t>SCD0010-113</t>
  </si>
  <si>
    <t>Penyesuaian Kriteria Account Plan secara Umum (Sesuai pada BSDD 2.10) : 
 • CRO AMGR
 • CRO AMGR Growth
 • CRO AMGR Hunter</t>
  </si>
  <si>
    <t>- account plan
- Klik usulan account planning</t>
  </si>
  <si>
    <t>User : 34204 AMGR&amp;AMGR GROTH, 25594 AMGR HUNTER</t>
  </si>
  <si>
    <t>"CONTOH Base on BSDD 2.10" 
 For detail cehck BSDD
 Periode : Bulan Oktober 2021
 Periode Penginputan : 26 Okt 2021 sampai 25 Nov 2021
 Range Tanggal Perkiraan Dana Masuk : 1 Oktober 2021 sampai 31 Oktober 2021
 Expired usulan Approval : Tanggal 25 bulan November 2021 jam 23:59 WIB</t>
  </si>
  <si>
    <t>SCD0010-114</t>
  </si>
  <si>
    <t>Penyesuaian Kriteria Account Plan secara Umum (Sesuai pada BSDD 2.10) : 
 • CRO MGR
 • CRO MGR Growth</t>
  </si>
  <si>
    <t>User :  32468</t>
  </si>
  <si>
    <t>SCD0010-115</t>
  </si>
  <si>
    <t>Penyesuaian Kriteria Account Plan secara Umum (Sesuai pada BSDD 2.10) : 
 • SRM
 • SRM Growth
 • SRM Hunter</t>
  </si>
  <si>
    <t>User :  20037,22136</t>
  </si>
  <si>
    <t>SCD0010-116</t>
  </si>
  <si>
    <t>Penyesuaian Mekanisme Approval Account Plan : 
 Tipe Sales Pengusul : 
 - CRO AMGR
 - CRO AMGR Growth
 - CRO AMGR Hunter
 - CRO MGR
 - CRO MGR Growth
 - SRM
 - SRM Growth
 - SRM Hunter</t>
  </si>
  <si>
    <t>Tipe Sales Pengusul : 
- CRO AMGR
- CRO AMGR Growth
- CRO AMGR Hunter
- CRO MGR
- CRO MGR Growth
- SRM
- SRM Growth
- SRM Hunter 
Harusnya nanti lansung approval nya ke pemimpin cabang</t>
  </si>
  <si>
    <t>Petugas Approval : Pemimpin Cabang</t>
  </si>
  <si>
    <t>SCD0010-117</t>
  </si>
  <si>
    <t>Selain dari Tipe Sales Pengusul diatas (Test case sebelum nya), maka sesuai dengan Mekanisme Approval seperti saat ini.</t>
  </si>
  <si>
    <t>- Proses approvalnya dari sales ke supervisor(penyelia) lalu ke Pemimpin Cabang (BM)</t>
  </si>
  <si>
    <t>User : analis penjualan 55210 / asisten penjualan 43141</t>
  </si>
  <si>
    <t>SCD0011</t>
  </si>
  <si>
    <t>SCD0011-001</t>
  </si>
  <si>
    <t>· Login pada aplikasi digi sales dengan menggunakan user Sales</t>
  </si>
  <si>
    <t>1. login digisales mobile
2. buka menu BNI Multifinance</t>
  </si>
  <si>
    <t>- Terdapat penambahan Menu BNI Multifinance</t>
  </si>
  <si>
    <t>14 Juli 2022</t>
  </si>
  <si>
    <t>SCD0170-Buka BNI Multifinance_20220714-100330444.pdf</t>
  </si>
  <si>
    <t>5 Agustus 2022</t>
  </si>
  <si>
    <t>SCD0170-Buka BNI Multifinance_20220805-143903511.pdf</t>
  </si>
  <si>
    <t>SCD0011-002</t>
  </si>
  <si>
    <t>Menu BNI Multi Finance</t>
  </si>
  <si>
    <t>· Login pada aplikasi digi sales dengan menggunakan user Sales
 · Masuk ke Menu BNI Multi Finance</t>
  </si>
  <si>
    <t>1.login digisales mobile
2. buka menu BNI multifinance
3. pilih menu multiguna - perorangan
4. pilih menu multiguna - fleet/ kolektif</t>
  </si>
  <si>
    <t>- Terdapat 2 Informasi
 a. Judul: Multiguna – Perorangan
 Deskripsi Singkat: 
 Pembiayaan Multiguna adalah jenis pembiayaan Installment Financing berupa pembiayaan
 pengadaan barang atau jasa, yang diperlukan untuk memenuhi kebutuhan konsumtif dan tidak
 untuk keperluan usaha (aktifitas produktif) dalam jangka waktu yang diperjanjikan.
 Isi: 
 Pembiayaan Multiguna adalah jenis pembiayaan Installment Financing berupa pembiayaan
 pengadaan barang atau jasa, yang diperlukan untuk memenuhi kebutuhan konsumtif dan tidak
 untuk keperluan usaha (aktifitas produktif) dalam jangka waktu yang diperjanjikan.
 Adapun produk pembiayan Multiguna – Perorangan dari BNI Multifinance adalah:
 · Kendaraan Roda 4 (Baru / Bekas)
 · Kendaraan Roda 2 (Baru)
 · Elektronik 
 · Peralatan Rumah Tangga
 · Jasa Pendidikan
 · Jasa Pernikahan
 · KPR / KPA (Baru / Bekas)
 · Renovasi Rumah
 Sedangkan syarat dokumen yang dibutuhkan adalah sebagai berikut:
 · KTP
 · NPWP
 · Kartu Keluarga
 · Slip Gaji / Keterangan Penghasilan
 · Rekening Koran / Tabungan 3 Bulan Terakhir
 b. Judul: Multiguna – Fleet / Kolektif
 Deskripsi Singkat:
 Ownership Program merupakan suatu program pemberian benefit berupa kepemilikan Mobil / Motor / Komputer / Laptop baru yang diberikan oleh perusahaan kepada pegawai tertentu, yang memenuhi persyaratan sebagaimana ditetapkan oleh perusahaan.
 Isi:
 Ownership Program merupakan suatu program pemberian benefit berupa kepemilikan Mobil / Motor / Komputer / Laptop baru yang diberikan oleh perusahaan kepada pegawai tertentu, yang memenuhi persyaratan sebagaimana ditetapkan oleh perusahaan.
 Adapun produk pembiayan Multiguna – Fleet / Kolektif dari BNI Multifinance adalah:
 · Car Ownership Program (COP)
 · Motorcycle Ownership Program (MOP)
 · Computer/Laptop Ownership Program (COOP)</t>
  </si>
  <si>
    <t>SCD0171-Menu BNI Multifinance_20220714-152741145.pdf</t>
  </si>
  <si>
    <t>SCD0171-Menu BNI Multifinance_20220805-151223123.pdf</t>
  </si>
  <si>
    <t>SCD0011-003</t>
  </si>
  <si>
    <t>Melakukan Proses Pemantauan pada Menu Pipeline</t>
  </si>
  <si>
    <t>· Login pada aplikasi Digi Sales dengan menggunakan user Sales
 · Masuk ke Menu Pipeline</t>
  </si>
  <si>
    <t>1. login digisales mobile
2. add prospek di menu store prospek
3. leads prospek tersebut di add to cart
4. setelah masuk ke pipeline - cart
5. add ke pipeline  - follow up
6. klik icon dibawah kemudian icon tanda panah kanan
7. masuk ke lanjut follow up isi semua field dan pilih produk BNIMF
8. masuk di pipeline monitoring
9. file excel terexport, download dari server digisales
10. kirim file ke path /bnimf_daily -&gt; di tc 9
11. berikan approved atau rejected pada status file excel
12 kirim file ke path / ftp_done_proces -&gt; tc 12
13. file sampai di pipeline closing atau tidak closing sesuai status yg diberikan approved atau rejected</t>
  </si>
  <si>
    <t>- Berhasil 
 - Akan melalui proses tahapan existing, yaitu sbg berikut: 
 Cart à Followup àMonitoring à Clossing / Tidak Closing</t>
  </si>
  <si>
    <t>1 Agustus 2022</t>
  </si>
  <si>
    <t>SCD0172 - Pemantauan Pipeline_20220801-120951461.pdf</t>
  </si>
  <si>
    <t>SCD0172 - Pemantauan Pipeline_20220805-152212495.pdf</t>
  </si>
  <si>
    <t>SCD0011-004</t>
  </si>
  <si>
    <t>Penambahan Leads Prospek</t>
  </si>
  <si>
    <t>1. login digisales mobile
2. add prospek di menu store prospek</t>
  </si>
  <si>
    <t>- Berhasil menambahkan Leads Prospek (proses eksisting)</t>
  </si>
  <si>
    <t>15 Juli 2022</t>
  </si>
  <si>
    <t>SCD0173- Tambah Leads Prospek_20220715-091519637.pdf</t>
  </si>
  <si>
    <t>SCD0173- Tambah Leads Prospek_20220805-152504469.pdf</t>
  </si>
  <si>
    <t>SCD0011-005</t>
  </si>
  <si>
    <t>Penambahan Kriteria Lead yang ada di Store, termasuk Free, Dedicated, Kelolaan dan Prospek.</t>
  </si>
  <si>
    <t xml:space="preserve">1. login diigisales portal
2. add leads free dan dedicated menggunakan menu upload data leads
3. jika sudah berhasil maka masuk di menu store bagian free dan dedicated
</t>
  </si>
  <si>
    <t>- Berhasil menambahkan Leads (proses eksisting)</t>
  </si>
  <si>
    <t>15 Agustus 2022</t>
  </si>
  <si>
    <t>SCD0174- Tambah Leads di Store_20220815-170340590.pdf</t>
  </si>
  <si>
    <t>SCD0174- Tambah Leads di Store_20220815-172609893.pdf</t>
  </si>
  <si>
    <t>SCD0011-006</t>
  </si>
  <si>
    <t>Penambahan Leads dari Store (termasuk Free, Dedicated, Kelolaan dan Prospek) ke Cart</t>
  </si>
  <si>
    <t>· Login pada aplikasi Digi Sales dengan menggunakan user Sales
 · Masuk ke Menu Store</t>
  </si>
  <si>
    <t>1. login digisales portal
2. add cart data leads yang ada di menu store (baik prospek, dedicated, kelolaan, free)
3. data berhasil sampai di pipeline cart</t>
  </si>
  <si>
    <t>- Berhasil menambahkan Leads dari Store (termasuk Free, Dedicated, Kelolaan dan Prospek) ke Chart (proses eksiting)</t>
  </si>
  <si>
    <t>19 Juli 2022</t>
  </si>
  <si>
    <t>SCD0175- Store  To Chart_20220719-105648380.pdf</t>
  </si>
  <si>
    <t>SCD0175- Store  To Chart_20220815-172117545.pdf</t>
  </si>
  <si>
    <t>SCD0011-007</t>
  </si>
  <si>
    <t>Validasi pada tahapan Follow Up menggunakan User Sales yang Kode Outletnya masuk ke dalam mappingan Cabang BNI Multifinance (Kolom Cabang BNI Multifinance tidak kosong pada Parameter Mapping Kode Outlet BNI dengan BNI Multifinance )</t>
  </si>
  <si>
    <t>· Login pada aplikasi Digi Sales dengan menggunakan user Sales 
 · Masuk ke Menu Pipeline tab Follow Up</t>
  </si>
  <si>
    <t>1. login digisales mobile
2. add prospek di menu store prospek
3. leads prospek tersebut di add to cart
4. setelah masuk ke pipeline - cart
5. add ke pipeline  - follow up
6. klik icon dibawah kemudian icon tanda panah kanan
7. masuk ke lanjut follow up isi semua field dan pilih produk BNIMF</t>
  </si>
  <si>
    <t>- Terdapat  penambahan drop down di field Nama Produk untuk mengakomodir produk BNI Multifinance, yaitu sebagai berikut:
 a. BNIMF - Kendaraan Roda 4 (Baru / Bekas)
 b. BNIMF - Kendaraan Roda 2 (Baru)
 c. BNIMF - Elektronik
 d. BNIMF - Peralatan Rumah Tangga
 e. BNIMF - Jasa Pendidikan
 f. BNIMF - Jasa Pernikahan
 g. BNIMF - KPR / KPA (Baru / Bekas)
 h. BNIMF - Renovasi Rumah
 i. BNIMF - Car Ownership Program (COP)
 j. BNIMF - Motorcycle Ownership Program (MOP)
 k. BNIMF - Computer / Laptop Ownership Program (COOP)</t>
  </si>
  <si>
    <t>18 Juli 2022</t>
  </si>
  <si>
    <t>SCD0176- Validasi BNIMF_20220718-120521879.pdf</t>
  </si>
  <si>
    <t>SCD0176- Validasi BNIMF_20220805-154158505.pdf</t>
  </si>
  <si>
    <t>SCD0011-008</t>
  </si>
  <si>
    <t>Validasi pada tahapan Follow Up menggunakan User Sales yang Kode Outletnya tidak masuk ke dalam mappingan Cabang BNI Multifinance</t>
  </si>
  <si>
    <t>1. login digisales mobile ( dengan sales yg tidak mempunyai kode outlet)
2. add prospek di menu store prospek
3. leads prospek tersebut di add to cart
4. setelah masuk ke pipeline - cart
5. add ke pipeline  - follow up
6. klik icon dibawah kemudian icon tanda panah kanan
7. masuk ke lanjut follow up isi semua field dan cek produk BNI MF tidak ada di field produk</t>
  </si>
  <si>
    <t>- Nama Produk BNI Multifinance yang ada pada BSDD point 3.6 tidak akan muncul</t>
  </si>
  <si>
    <t>SCD0177- Validasi BNIMF_20220718-133238284.pdf</t>
  </si>
  <si>
    <t>8 Agustus 2022</t>
  </si>
  <si>
    <t>SCD0177- Validasi BNIMF_20220808-114445687.pdf</t>
  </si>
  <si>
    <t>SCD0011-009</t>
  </si>
  <si>
    <t>Validasi Mockup Portal</t>
  </si>
  <si>
    <t>Normal – Mockup Portal</t>
  </si>
  <si>
    <t>1. login digisales portal dengan sales 39798
2. buka menu product holding
3. isi field npp sales sendiri dengan 39798, bulan februari 2022 (karena hanya ada data ini)
4. klik generate
5. data muncul</t>
  </si>
  <si>
    <t>- Sesuai dengan BSDD 3.3</t>
  </si>
  <si>
    <t>SCD0178-Validasi Mockup Portal_20220718-163433612.pdf</t>
  </si>
  <si>
    <t>SCD0178-Validasi Mockup Portal_20220808-115007602.pdf</t>
  </si>
  <si>
    <t>SCD0011-010</t>
  </si>
  <si>
    <t>Validasi Field report PHR pada searching portal</t>
  </si>
  <si>
    <t>Normal – Field report PHR pada searching portal</t>
  </si>
  <si>
    <t>1. login digisales portal dengan sales 39798
2. buka menu product holding
3. isi field npp sales sendiri dengan 39798, dengan field bulan februari 2022 (karena hanya ada data ini)
4. klik generate
5. data muncul</t>
  </si>
  <si>
    <t>- Field Nama dan Tipe Sales akan terisi secara otomatis oleh system berdasarkan field NPP
 - Field NPP, Tahun Data, Bulan Data bersifat mandatori</t>
  </si>
  <si>
    <t>28 Juli 2022</t>
  </si>
  <si>
    <t>SCD0179-Validasi Report PHR_20220728-112606572.pdf</t>
  </si>
  <si>
    <t>SCD0179-Validasi Report PHR_20220808-120525484.pdf</t>
  </si>
  <si>
    <t>SCD0011-011</t>
  </si>
  <si>
    <t>Sales mengakses menu: Report Menu - Product Holding Ratio - Report</t>
  </si>
  <si>
    <t>Normal – Sales melakukan searching report PHR dengan menggunakan keyword tahun &amp; bulan</t>
  </si>
  <si>
    <t>1. login digisales portal dengan sales 39798
2. buka menu product holding
3. isi field npp sales sendiri dengan 39798, dengan field bulan februari 2022 (karena hanya ada data ini)
4. klik generate
5. data muncul
7. klik export file, pilih salah jenis xls atau xlsx
8. data report excel berhasil terdownload dan dapat dilihat</t>
  </si>
  <si>
    <t>- NPP akan muncul secara otomatis oleh system berdasarkan user login sales tersebut
 - Berhasil menampilkan data sesuai dengan keyword yang di tentukan
 - Berhasil meng-export data sesuai dengan keyword yang di tentukan
 - Excel sesuai dengan format yangdi lampirkan pada BSDD</t>
  </si>
  <si>
    <t>SCD0180-Product Holding Ratio_20220728-114508411.pdf</t>
  </si>
  <si>
    <t>SCD0180-Product Holding Ratio_20220808-120834480.pdf</t>
  </si>
  <si>
    <t>SCD0011-012</t>
  </si>
  <si>
    <t>Normal – Sales melakukan searching report PHR dengan menggunakan keyword CIF</t>
  </si>
  <si>
    <t>1. login digisales portal dengan sales 39798
2. buka menu product holding
3. isi field npp sales sendiri dengan 39798, dengan field tahun, bulan dan CIF (tahun 2022 bulan februari) 
4. klik generate
5. data muncul
7. klik export file, pilih salah jenis xls atau xlsx
8. data report excel berhasil terdownload dan dapat dilihat</t>
  </si>
  <si>
    <t>- NPP akan muncul secara otomatis oleh system berdasarkan user login sales tersebut
 - Berhasil menampilkan data sesuai dengan keyword yang di tentukan
 - Berhasil meng-export data sesuai dengan keyword yang di tentukan
 - Excel sesuai dengan format yang di lampirkan pada BSDD</t>
  </si>
  <si>
    <t>SCD0181-Product Holding Ratio_20220719-135457258.pdf</t>
  </si>
  <si>
    <t>SCD0181-Product Holding Ratio_20220808-121223741.pdf</t>
  </si>
  <si>
    <t>SCD0011-013</t>
  </si>
  <si>
    <t>Normal – Sales melakukan searching report PHR dengan menggunakan keyword Jenis nasabah</t>
  </si>
  <si>
    <t>1. login digisales portal dengan sales 39798
2. buka menu product holding
3. isi field npp sales sendiri dengan 39798, dengan field tahun, bulan dan Jenis Nasabah (tahun 2022 bulan februari) 
4. klik generate
5. data muncul
7. klik export file, pilih salah jenis xls atau xlsx
8. data report excel berhasil terdownload dan dapat dilihat</t>
  </si>
  <si>
    <t>SCD0182-Product Holding Ratio_20220728-115227284.pdf</t>
  </si>
  <si>
    <t>SCD0182-Product Holding Ratio_20220808-121655088.pdf</t>
  </si>
  <si>
    <t>SCD0011-014</t>
  </si>
  <si>
    <t>Normal – Sales melakukan searching report PHR dengan menggunakan salah satu keyword (Data Tidak ada &amp; melakukan export</t>
  </si>
  <si>
    <t>"1. login digisales portal dengan sales 39798
2. buka menu product holding
3. isi field npp sales sendiri dengan 39798, dengan field tahun, bulan  (tahun 2022 bulan januari karena data kosong) 
4. klik generate
5. muncul table kosong
7. klik export file, pilih salah jenis xls atau xlsx
8. muncul pop up warning "data not found"</t>
  </si>
  <si>
    <t>- Tertampil informasi data kosong/ data tidak ada 
 - Pada saat di lakukan download berhasil dengan data kosong</t>
  </si>
  <si>
    <t>20 Juli 2022</t>
  </si>
  <si>
    <t>SCD0183-Product Holding Ratio_20220720-100805948.pdf</t>
  </si>
  <si>
    <t>SCD0183-Product Holding Ratio_20220808-121941106.pdf</t>
  </si>
  <si>
    <t>SCD0011-015</t>
  </si>
  <si>
    <t>Penyelia mengakses menu: Report Menu - Product Holding Ratio - Report</t>
  </si>
  <si>
    <t>Normal – Penyelia melakukan searching report PHR dengan menggunakan keyword tahun &amp; bulan</t>
  </si>
  <si>
    <t>"1. login digisales portal dengan penyelia 38262
2. buka menu product holding
3. isi field npp sales sendiri dengan 39798, dengan field tahun, bulan  (tahun 2022 bulan februari) 
4. klik generate
5. data muncul
7. klik export file, pilih salah jenis xls atau xlsx
8. data report excel berhasil terdownload dan dapat dilihat"</t>
  </si>
  <si>
    <t>- Hanya dapat memilih Sales yang berada dalam kewenangan Penyelia tersebut
 - Berhasil menampilkan data sesuai dengan keyword yang di tentukan
 - Berhasil meng-export data sesuai dengan keyword yang di tentukan
 - Excel sesuai dengan format yang di lampirkan pada BSDD</t>
  </si>
  <si>
    <t>SCD0184-Product Holding Ratio_20220728-120506542.pdf</t>
  </si>
  <si>
    <t>SCD0184-Product Holding Ratio_20220808-122519954.pdf</t>
  </si>
  <si>
    <t>SCD0011-016</t>
  </si>
  <si>
    <t>Normal – Penyelia melakukan searching report PHR dengan menggunakan keyword CIF</t>
  </si>
  <si>
    <t>"1. login digisales portal dengan penyelia 38626
2. buka menu product holding
3. isi field npp sales sendiri dengan 39798, dengan field tahun, bulan, dan CIF  (tahun 2022 bulan februari) 
4. klik generate
5. data muncul
7. klik export file, pilih salah jenis xls atau xlsx
8. data report excel berhasil terdownload dan dapat dilihat"</t>
  </si>
  <si>
    <t>29 Juli 2022</t>
  </si>
  <si>
    <t>SCD0185-Product Holding Ratio_20220729-162755038.pdf</t>
  </si>
  <si>
    <t>SCD0185-Product Holding Ratio_20220808-122944714.pdf</t>
  </si>
  <si>
    <t>SCD0011-017</t>
  </si>
  <si>
    <t>Normal – Penyelia melakukan searching report PHR dengan menggunakan keyword Jenis nasabah</t>
  </si>
  <si>
    <t>"1. login digisales portal dengan penyelia 38626
2. buka menu product holding
3. isi field npp sales sendiri dengan 39798, dengan field tahun, bulan, dan Jenis Nasabah  (tahun 2022 bulan februari) 
4. klik generate
5. data muncul
7. klik export file, pilih salah jenis xls atau xlsx
8. data report excel berhasil terdownload dan dapat dilihat"</t>
  </si>
  <si>
    <t>SCD0186-Product Holding Ratio_20220729-163705528.pdf</t>
  </si>
  <si>
    <t>SCD0186-Product Holding Ratio_20220808-123344299.pdf</t>
  </si>
  <si>
    <t>SCD0011-018</t>
  </si>
  <si>
    <t>Normal – Penyelia melakukan searching report PHR dengan menggunakan salah satu keyword (Data Tidak ada &amp; melakukan export</t>
  </si>
  <si>
    <t>"1. login digisales portal dengan penyelia 38626
2. buka menu product holding
3. isi field npp sales sendiri dengan 39798, dengan field tahun, bulan  (tahun 2022 bulan januari) 
4. klik generate
5. table kosong
7. klik export file, pilih salah jenis xls atau xlsx
8. muncul alert data not found</t>
  </si>
  <si>
    <t>21 Juli 2022</t>
  </si>
  <si>
    <t>SCD0187-Product Holding Ratio_20220721-155308434.pdf</t>
  </si>
  <si>
    <t>9 Agustus 2022</t>
  </si>
  <si>
    <t>SCD0187-Product Holding Ratio_20220809-093338707.pdf</t>
  </si>
  <si>
    <t>SCD0011-019</t>
  </si>
  <si>
    <t>Pimpinan Cabang mengakses menu: Report Menu - Product Holding Ratio - Report</t>
  </si>
  <si>
    <t>Normal – Pimpinan Cabang melakukan searching report PHR dengan menggunakan keyword tahun &amp; bulan</t>
  </si>
  <si>
    <t>1. login digisales portal dengan pimpinan cabang 19639
2. buka menu product holding
3. isi field npp sales sendiri dengan 39798, dengan field tahun, bulan  (tahun 2022 bulan februari) 
4. klik generate
5. data muncul
7. klik export file, pilih salah jenis xls atau xlsx
8. data report excel berhasil terdownload dan dapat dilihat</t>
  </si>
  <si>
    <t>- Hanya dapat memilih Sales yang berada dalam Cabang tersebut
 - Berhasil menampilkan data sesuai dengan keyword yang di tentukan
 - Berhasil meng-export data sesuai dengan keyword yang di tentukan
 - Excel sesuai dengan format yang di lampirkan pada BSDD</t>
  </si>
  <si>
    <t>SCD0188-Product Holding Ratio_20220801-153609066.pdf</t>
  </si>
  <si>
    <t>SCD0188-Product Holding Ratio_20220809-161804982.pdf</t>
  </si>
  <si>
    <t>SCD0011-020</t>
  </si>
  <si>
    <t>Normal – Pimpinan Cabang melakukan searching report PHR dengan menggunakan keyword CIF</t>
  </si>
  <si>
    <t>1. login digisales portal dengan pimpinan cabang 19639
2. buka menu product holding
3. isi field npp sales sendiri dengan 39798, dengan field tahun, bulan, dan CIF  (tahun 2022 bulan februari) 
4. klik generate
5. data muncul
7. klik export file, pilih salah jenis xls atau xlsx
8. data report excel berhasil terdownload dan dapat dilihat</t>
  </si>
  <si>
    <t>SCD0189-Product Holding Ratio_20220801-153941780.pdf</t>
  </si>
  <si>
    <t>SCD0189-Product Holding Ratio_20220809-162142196.pdf</t>
  </si>
  <si>
    <t>SCD0011-021</t>
  </si>
  <si>
    <t>Normal – Pimpinan Cabang melakukan searching report PHR dengan menggunakan keyword Jenis nasabah</t>
  </si>
  <si>
    <t>1. login digisales portal dengan pimpinan cabang 19639
2. buka menu product holding
3. isi field npp sales sendiri dengan 39798, dengan field tahun, bulan, dan Jenis Nasabah  (tahun 2022 bulan februari) 
4. klik generate
5. data muncul
7. klik export file, pilih salah jenis xls atau xlsx
8. data report excel berhasil terdownload dan dapat dilihat</t>
  </si>
  <si>
    <t>SCD0190-Product Holding Ratio_20220801-155952236.pdf</t>
  </si>
  <si>
    <t>SCD0190-Product Holding Ratio_20220809-162500707.pdf</t>
  </si>
  <si>
    <t>SCD0011-022</t>
  </si>
  <si>
    <t>Normal – Pimpinan Cabang melakukan searching report PHR dengan menggunakan salah satu keyword (Data Tidak ada &amp; melakukan export</t>
  </si>
  <si>
    <t>"1. login digisales portal dengan pimpinan cabana 19639
2. buka menu product holding
3. isi field npp sales sendiri dengan 39798, dengan field tahun, bulan  (tahun 2022 bulan januari) 
4. klik generate
5. table kosong
7. klik export file, pilih salah jenis xls atau xlsx
8. muncul alert data not found</t>
  </si>
  <si>
    <t>SCD0191-Product Holding Ratio_20220721-164500652.pdf</t>
  </si>
  <si>
    <t>SCD0191-Product Holding Ratio_20220809-093656924.pdf</t>
  </si>
  <si>
    <t>SCD0011-023</t>
  </si>
  <si>
    <t>Pimpinan Wilayah mengakses menu: Report Menu - Product Holding Ratio - Report</t>
  </si>
  <si>
    <t>Normal – Pimpinan Wilayah melakukan searching report PHR dengan menggunakan keyword tahun &amp; bulan</t>
  </si>
  <si>
    <t>1. login digisales portal dengan pimpinan wilayah 18994
2. buka menu product holding
3. isi field npp sales sendiri dengan 39798, dengan field tahun, bulan (tahun 2022 bulan februari) 
4. klik generate
5. data muncul
7. klik export file, pilih salah jenis xls atau xlsx
8. data report excel berhasil terdownload dan dapat dilihat</t>
  </si>
  <si>
    <t>- Hanya dapat memilih Sales yang berada dalam Cabang- Cabang di Wilayah tersebut
 - Berhasil menampilkan data sesuai dengan keyword yang di tentukan
 - Berhasil meng-export data sesuai dengan keyword yang di tentukan
 - Excel sesuai dengan format yang di lampirkan pada BSDD</t>
  </si>
  <si>
    <t>SCD0192-Product Holding Ratio_20220801-160805331.pdf</t>
  </si>
  <si>
    <t>SCD0192-Product Holding Ratio_20220809-163145904.pdf</t>
  </si>
  <si>
    <t>SCD0011-024</t>
  </si>
  <si>
    <t>Normal – Pimpinan Wilayah melakukan searching report PHR dengan menggunakan keyword CIF</t>
  </si>
  <si>
    <t>1. login digisales portal dengan pimpinan wilayah 18994
2. buka menu product holding
3. isi field npp sales sendiri dengan 39798, dengan field tahun, bulan dan isi CIF (tahun 2022 bulan februari) 
4. klik generate
5. data muncul
7. klik export file, pilih salah jenis xls atau xlsx
8. data report excel berhasil terdownload dan dapat dilihat</t>
  </si>
  <si>
    <t>2 Agustus 2022</t>
  </si>
  <si>
    <t>SCD0193-Product Holding Ratio_20220802-150610080.pdf</t>
  </si>
  <si>
    <t>SCD0193-Product Holding Ratio_20220809-164122113.pdf</t>
  </si>
  <si>
    <t>SCD0011-025</t>
  </si>
  <si>
    <t>Normal – Pimpinan Wilayah melakukan searching report PHR dengan menggunakan keyword Jenis nasabah</t>
  </si>
  <si>
    <t>1. login digisales portal dengan pimpinan wilayah 18994
2. buka menu product holding
3. isi field npp sales sendiri dengan 39798, dengan field tahun, bulan dan jenis nasabah (tahun 2022 bulan februari) 
4. klik generate
5. data muncul
7. klik export file, pilih salah jenis xls atau xlsx
8. data report excel berhasil terdownload dan dapat dilihat</t>
  </si>
  <si>
    <t>- Hanya dapat memilih Sales yang berada dalam Cabang- Cabang di Wilayah tersebut
 - Berhasil menampilkan data sesuai dengan keyword yang di tentukan
 - Berhasil meng-export data sesuai dengan keyword yang di tentukanExcel sesuai dengan format yang di lampirkan pada BSDD</t>
  </si>
  <si>
    <t>SCD0194-Product Holding Ratio_20220802-151138362.pdf</t>
  </si>
  <si>
    <t>SCD0194-Product Holding Ratio_20220809-164455606.pdf</t>
  </si>
  <si>
    <t>SCD0011-026</t>
  </si>
  <si>
    <t>Normal – Pimpinan Wilayah melakukan searching report PHR dengan menggunakan salah satu keyword (Data Tidak ada &amp; melakukan export</t>
  </si>
  <si>
    <t>1. login digisales portal dengan pimpinan wilayah 18994
2. buka menu product holding
3. isi field npp sales sendiri dengan 39798, dengan field tahun, bulan dan jenis nasabah (tahun 2022 bulan februari) 
4. klik generate
5. data muncul
7. klik export file, pilih salah jenis xls atau xlsx
8. data not found</t>
  </si>
  <si>
    <t>SCD0195-Product Holding Ratio_20220729-145554583.pdf</t>
  </si>
  <si>
    <t>SCD0195-Product Holding Ratio_20220809-165107028.pdf</t>
  </si>
  <si>
    <t>SCD0011-027</t>
  </si>
  <si>
    <t>Penyelia SRM mengakses menu: Report Menu - Product Holding Ratio - Report</t>
  </si>
  <si>
    <t>Normal – Penyelia SRM melakukan searching report PHR dengan menggunakan keyword tahun &amp; bulan</t>
  </si>
  <si>
    <t>1. login digisales portal dengan penyelia SRM 37400
2. buka menu product holding
3. isi field npp sales sendiri dengan 39798, dengan field tahun, bulan  (tahun 2022 bulan februari) 
4. klik generate
5. data muncul
7. klik export file, pilih salah jenis xls atau xlsx
8. data report excel berhasil terdownload dan dapat dilihat</t>
  </si>
  <si>
    <t>- Hanya dapat memilih Sales tipe SRM 
 - Berhasil menampilkan data sesuai dengan keyword yang di tentukan
 - Berhasil meng-export data sesuai dengan keyword yang di tentukan
 - Excel sesuai dengan format yang di lampirkan pada BSDD</t>
  </si>
  <si>
    <t>SCD0196-Product Holding Ratio_20220729-161847158.pdf</t>
  </si>
  <si>
    <t>SCD0196-Product Holding Ratio_20220809-165710540.pdf</t>
  </si>
  <si>
    <t>SCD0011-028</t>
  </si>
  <si>
    <t>Normal – Penyelia SRM melakukan searching report PHR dengan menggunakan keyword CIF</t>
  </si>
  <si>
    <t>1. login digisales portal dengan penyelia SRM 37400
2. buka menu product holding
3. isi field npp sales sendiri dengan 39798, dengan field tahun, bulan, dan CIF  (tahun 2022 bulan februari) 
4. klik generate
5. data muncul
7. klik export file, pilih salah jenis xls atau xlsx
8. data report excel berhasil terdownload dan dapat dilihat</t>
  </si>
  <si>
    <t>SCD0197-Product Holding Ratio_20220729-164423250.pdf</t>
  </si>
  <si>
    <t>11 Agustus 2022</t>
  </si>
  <si>
    <t>SCD0197-Product Holding Ratio_20220811-153931643.pdf</t>
  </si>
  <si>
    <t>SCD0011-029</t>
  </si>
  <si>
    <t>Normal – Penyelia SRM melakukan searching report PHR dengan menggunakan keyword Jenis nasabah</t>
  </si>
  <si>
    <t>1. login digisales portal dengan penyelia SRM 37400
2. buka menu product holding
3. isi field npp sales sendiri dengan 39798, dengan field tahun, bulan, dan jenis nasabah  (tahun 2022 bulan februari) 
4. klik generate
5. data muncul
7. klik export file, pilih salah jenis xls atau xlsx
8. data report excel berhasil terdownload dan dapat dilihat</t>
  </si>
  <si>
    <t>- Hanya dapat memilih Sales tipe SRM 
 - Berhasil menampilkan data sesuai dengan keyword yang di tentukan
 - Berhasil meng-export data sesuai dengan keyword yang di tentukanExcel sesuai dengan format yang di lampirkan pada BSDD</t>
  </si>
  <si>
    <t>SCD0198-Product Holding Ratio_20220802-151617512.pdf</t>
  </si>
  <si>
    <t>SCD0198-Product Holding Ratio_20220811-154232744.pdf</t>
  </si>
  <si>
    <t>SCD0011-030</t>
  </si>
  <si>
    <t>Normal – Penyelia SRM melakukan searching report PHR dengan menggunakan salah satu keyword (Data Tidak ada &amp; melakukan export</t>
  </si>
  <si>
    <t>1. login digisales portal dengan penyelia SRM 37400
2. buka menu product holding
3. isi field npp sales sendiri dengan 39798, dengan field tahun, bulan (tahun 2022 bulan januari) 
4. klik generate
5. data muncul
7. klik export file, pilih salah jenis xls atau xlsx
8. data not found</t>
  </si>
  <si>
    <t>SCD0199-Product Holding Ratio_20220802-151841642.pdf</t>
  </si>
  <si>
    <t>SCD0199-Product Holding Ratio_20220811-154518922.pdf</t>
  </si>
  <si>
    <t>SCD0011-031</t>
  </si>
  <si>
    <t>Admin SLN mengakses menu: Report Menu - Product Holding Ratio - Report</t>
  </si>
  <si>
    <t>Normal – Admin SLN melakukan searching report PHR dengan menggunakan keyword tahun &amp; bulan</t>
  </si>
  <si>
    <t>1. login digisales portal dengan admin divisi SLN 52326
2. buka menu product holding
3. isi field npp (semua sales terbuka) pilih npp 39798, dengan field tahun, bulan  (tahun 2022 bulan februari) 
4. klik generate
5. data muncul
7. klik export file, pilih salah jenis xls atau xlsx
8. data report excel berhasil terdownload dan dapat dilihat</t>
  </si>
  <si>
    <t>- Dapat memilih semua Sales 
 - Berhasil menampilkan data sesuai dengan keyword yang di tentukan
 - Berhasil meng-export data sesuai dengan keyword yang di tentukan
 - Excel sesuai dengan format yang di lampirkan pada BSDD</t>
  </si>
  <si>
    <t>SCD0200-Product Holding Ratio_20220802-152234960.pdf</t>
  </si>
  <si>
    <t>SCD0200-Product Holding Ratio_20220811-073556590.pdf</t>
  </si>
  <si>
    <t>SCD0011-032</t>
  </si>
  <si>
    <t>Normal – Admin SLN melakukan searching report PHR dengan menggunakan keyword CIF</t>
  </si>
  <si>
    <t>1. login digisales portal dengan admin divisi SLN 52326
2. buka menu product holding
3. isi field npp (semua sales terbuka) pilih npp 39798, dengan field tahun, bulan, CIF  (tahun 2022 bulan februari) 
4. klik generate
5. data muncul
7. klik export file, pilih salah jenis xls atau xlsx
8. data report excel berhasil terdownload dan dapat dilihat</t>
  </si>
  <si>
    <t>- Dapat memilih semua Sales
 - Berhasil menampilkan data sesuai dengan keyword yang di tentukan
 - Berhasil meng-export data sesuai dengan keyword yang di tentukan
 - Excel sesuai dengan format yang di lampirkan pada BSDD</t>
  </si>
  <si>
    <t>22 Juli 2022</t>
  </si>
  <si>
    <t>SCD0201-Product Holding Ratio_20220722-151621160.pdf</t>
  </si>
  <si>
    <t>SCD0201-Product Holding Ratio_20220811-073954692.pdf</t>
  </si>
  <si>
    <t>SCD0011-033</t>
  </si>
  <si>
    <t>Normal – Admin SLN melakukan searching report PHR dengan menggunakan keyword Jenis nasabah</t>
  </si>
  <si>
    <t>1. login digisales portal dengan admin divisi SLN 52326
2. buka menu product holding
3. isi field npp (semua sales terbuka) pilih npp 39798, dengan field tahun, bulan, Jenis nasabah  (tahun 2022 bulan februari) 
4. klik generate
5. data muncul
7. klik export file, pilih salah jenis xls atau xlsx
8. data report excel berhasil terdownload dan dapat dilihat</t>
  </si>
  <si>
    <t>- Dapat memilih semua Sales 
 - Berhasil menampilkan data sesuai dengan keyword yang di tentukan
 - Berhasil meng-export data sesuai dengan keyword yang di tentukanExcel sesuai dengan format yang di lampirkan pada BSDD</t>
  </si>
  <si>
    <t>SCD0202-Product Holding Ratio_20220722-152557914.pdf</t>
  </si>
  <si>
    <t>SCD0202-Product Holding Ratio_20220811-074639750.pdf</t>
  </si>
  <si>
    <t>SCD0011-034</t>
  </si>
  <si>
    <t>Normal – Admin SLN melakukan searching report PHR dengan menggunakan salah satu keyword (Data Tidak ada &amp; melakukan export</t>
  </si>
  <si>
    <t>1. login digisales portal dengan admin divisi SLN 52326
2. buka menu product holding
3. isi field npp (semua sales terbuka) pilih npp 39798, dengan field tahun, bulan (tahun 2022 bulan februari) 
4. klik generate
5. data muncul
7. klik export file, pilih salah jenis xls atau xlsx
8. data not found</t>
  </si>
  <si>
    <t>SCD0203-Product Holding Ratio_20220722-153730443.pdf</t>
  </si>
  <si>
    <t>SCD0203-Product Holding Ratio_20220811-074942756.pdf</t>
  </si>
  <si>
    <t>SCD0011-035</t>
  </si>
  <si>
    <t>Validasi Mockup Digisales Mobile</t>
  </si>
  <si>
    <t>1. login digisales mobile dengan sales 39798
2. klik menu dashboard
3. klik menu product holding ratio
4. tampilan sesuai mockup</t>
  </si>
  <si>
    <t>Sesuai dengan BSDD 3.3</t>
  </si>
  <si>
    <t>SCD0204-Validasi Mockup Mobile_20220720-122718185.pdf</t>
  </si>
  <si>
    <t>SCD0204-Validasi Mockup Mobile_20220811-075247663.pdf</t>
  </si>
  <si>
    <t>SCD0011-036</t>
  </si>
  <si>
    <t>1. login digisales mobile dengan sales 39798
2. klik menu dashboard
3. klik menu product holding ratio
4. pilih bulan februari tahun 2022
5. klik generate</t>
  </si>
  <si>
    <t>SCD0205-Validasi Report PHR_20220722-161752369.pdf</t>
  </si>
  <si>
    <t>SCD0205-Validasi Report PHR_20220811-075902661.pdf</t>
  </si>
  <si>
    <t>SCD0011-037</t>
  </si>
  <si>
    <t>1. login digisales mobile dengan sales 39798
2. klik menu dashboard
3. klik menu product holding ratio
4. pilih bulan februari tahun 2022
5. klik generate
6. klik export excel
7. file berhasil di download</t>
  </si>
  <si>
    <t>SCD0206-Akses Product Holding_20220722-165251456.pdf</t>
  </si>
  <si>
    <t>SCD0206-Akses Product Holding_20220811-080249651.pdf</t>
  </si>
  <si>
    <t>SCD0011-038</t>
  </si>
  <si>
    <t>1. login digisales mobile dengan sales 39798
2. klik menu dashboard
3. klik menu product holding ratio
4. pilih bulan februari tahun 2022 dan isi CIF
5. klik generate
6. klik export excel
7. file berhasil di download</t>
  </si>
  <si>
    <t>25 Juli 2022</t>
  </si>
  <si>
    <t>SCD0207-Akses Product Holding_20220725-161827845.pdf</t>
  </si>
  <si>
    <t>12 Agustus 2022</t>
  </si>
  <si>
    <t>SCD0207-Akses Product Holding_20220812-094530927.pdf</t>
  </si>
  <si>
    <t>SCD0011-039</t>
  </si>
  <si>
    <t>1. login digisales mobile dengan sales 39798
2. klik menu dashboard
3. klik menu product holding ratio
4. pilih bulan februari tahun 2022 dan isi jenis nasabah
5. klik generate
6. klik export excel
7. file berhasil di download</t>
  </si>
  <si>
    <t>SCD0208-Akses Product Holding_20220725-162205427.pdf</t>
  </si>
  <si>
    <t>SCD0208-Akses Product Holding_20220811-082227066.pdf</t>
  </si>
  <si>
    <t>SCD0011-040</t>
  </si>
  <si>
    <t>1. login digisales mobile dengan sales 39798
2. klik menu dashboard
3. klik menu product holding ratio
4. pilih bulan januari tahun 2022
5. klik generate
6. klik export excel
7. file berhasil di download</t>
  </si>
  <si>
    <t>SCD0209-Akses Product Holding_20220725-163323941.pdf</t>
  </si>
  <si>
    <t>SCD0209-Akses Product Holding_20220812-073546501.pdf</t>
  </si>
  <si>
    <t>SCD0011-041</t>
  </si>
  <si>
    <t>Role selain sales mengakses menu: Report Menu - Product Holding Ratio - Report</t>
  </si>
  <si>
    <t>Abnormal – role selain sales mengakses digisales mobile</t>
  </si>
  <si>
    <t>1. login digisales mobile selain role sales
2. terkena alert tidak dapat login dengan roles selain sales</t>
  </si>
  <si>
    <t>- Hanya role sales yang dapat mengakses digisales mobile</t>
  </si>
  <si>
    <t>3 Agustus 2022</t>
  </si>
  <si>
    <t>SCD210 - Gagal Login Role_20220803-144815650.pdf</t>
  </si>
  <si>
    <t>SCD0210 - Gagal Login Role_20220811-155126079.pdf</t>
  </si>
  <si>
    <t>SCD0012</t>
  </si>
  <si>
    <t>SCD0012-001</t>
  </si>
  <si>
    <t>Admin SLN melakukan setting Modul Mapping</t>
  </si>
  <si>
    <t>Normal - Setting Modul Mapping, dimana akan dilakukan Mapping antara Tipe Sales, KPI, Kategori dan Produk</t>
  </si>
  <si>
    <t>1. login digisales portal dengan admin divisi SLN 52326
2. buka menu parameter KPI
3. check tabel parameter KPI</t>
  </si>
  <si>
    <t>- Tertampil field seperti  ID KPI, KPI, STATUS &amp; AKSI</t>
  </si>
  <si>
    <t>SCD211 - Modul Mapping_20220725-111655985.pdf</t>
  </si>
  <si>
    <t>SCD0211 - Modul Mapping_20220811-155411039.pdf</t>
  </si>
  <si>
    <t>SCD0012-002</t>
  </si>
  <si>
    <t>Admin SLN melakukan add parameter KPI</t>
  </si>
  <si>
    <t>Normal – Melakukan add parameter KPI sebagai berikut :
 - Ekspansi Rata-Rata DPK Cabang
 - FBI Cabang
 - Ekspansi Kredit
 - Akuisisi Baru / NOC
 - Transaksi Digital</t>
  </si>
  <si>
    <t>1. login digisales portal dengan admin divisi SLN 52326
2. buka menu parameter KPI
3. Add parameter :
 - Ekspansi Rata-Rata DPK Cabang TEST
 - FBI Cabang TEST
 - Ekspansi Kredit TEST
 - Akuisisi Baru / NOC TEST
 - Transaksi Digital TEST
4. check tabel parameter KPI</t>
  </si>
  <si>
    <t>- Berhasil melakukan add parameter KPI
 - Tampilan yang diusulkan adalah sebagai berikut:
 Tombol A : Setelah user menginput KPI dan meng-klik tombol Add, maka Sistem akan menampilkan pop up Konfirmasi sebagai berikut:</t>
  </si>
  <si>
    <t>SCD212 - Add Parameter KPI_20220725-123947871.pdf</t>
  </si>
  <si>
    <t>SCD0212 - Add Parameter KPI_20220811-160018485.pdf</t>
  </si>
  <si>
    <t>SCD0012-003</t>
  </si>
  <si>
    <t>Admin SLN melakukan meng-aktifkan / me-nonaktifkan parameter KPI</t>
  </si>
  <si>
    <t>Normal – Melakukan tombol me-nonaktifkan KPI</t>
  </si>
  <si>
    <t>1. login digisales portal dengan admin divisi SLN 52326
2. buka menu parameter KPI
3. klik inactive pada salah satu parameter KPI
4. check tabel parameter KPI sudah non aktif</t>
  </si>
  <si>
    <t>- Berhasil melakukan  meng-aktifkan / me-nonaktifkan
 - Data berhasil terupdate
 - Jika nonaktif maka parameter tersebut tidak muncul</t>
  </si>
  <si>
    <t>SCD213 - Inactive Parameter KPI_20220725-132119893.pdf</t>
  </si>
  <si>
    <t>SCD0213-Inactive Parameter KPI_20220811-160512376.pdf</t>
  </si>
  <si>
    <t>SCD0012-004</t>
  </si>
  <si>
    <t>Normal – Melakukan tombol meng-aktifkan KPI</t>
  </si>
  <si>
    <t>1. login digisales portal dengan admin divisi SLN 52326
2. buka menu parameter KPI
3. klikactive pada salah satu parameter KPI yg non aktif
4. check tabel parameter KPI sudah aktif</t>
  </si>
  <si>
    <t>- Berhasil melakukan  meng-aktifkan / me-nonaktifkan
 - Data berhasil terupdate
 - Jika meng-aktifkan maka parameter tersebut akan muncul</t>
  </si>
  <si>
    <t>SCD214 - Active Parameter KPI_20220725-132725693.pdf</t>
  </si>
  <si>
    <t>SCD0214 - Active Parameter KPI_20220811-160644932.pdf</t>
  </si>
  <si>
    <t>SCD0012-005</t>
  </si>
  <si>
    <t>Admin SLN Melakukan edit KPI</t>
  </si>
  <si>
    <t>Normal - Melakukan edit KPI.</t>
  </si>
  <si>
    <t>1. login digisales portal dengan admin divisi SLN 52326
2. buka menu parameter KPI
3. klik edit salah satu parameter 
4. check tabel parameter KPI sudah di edit</t>
  </si>
  <si>
    <t>- Melakukan edit KPI. Hanya informasi KPI yang dapat di-edit.
 Tampilan Layar Edit KPI yang diusulkan adalah sebagai berikut:
 - Berhasil melakukan edit 
 - Data terupdate</t>
  </si>
  <si>
    <t>SCD215 -  Edit Parameter KPI_20220803-145251677.pdf</t>
  </si>
  <si>
    <t>SCD0215 -  Edit Parameter KPI_20220811-161327366.pdf</t>
  </si>
  <si>
    <t>SCD0013</t>
  </si>
  <si>
    <t>SCD0013-001</t>
  </si>
  <si>
    <t>Admin SLN melakukan Modul Mapping</t>
  </si>
  <si>
    <t>Normal - Melakukan add modul</t>
  </si>
  <si>
    <t xml:space="preserve">1. Login dengan admin divisi SLN
2. Menu data master – mapping
3. Klik tambah data
</t>
  </si>
  <si>
    <t>dimana akan dilakukan Mapping antara Tipe Sales, KPI, Kategori dan Produk. 
 Tampilan awal yang diusulkan adalah sebagai berikut:
 Selanjutnya untuk Tampilan pada saat Add Kategori adalah sebagai berikut:
 · Berhasil melakukan add</t>
  </si>
  <si>
    <t>SCD216 -  Add Data Modul_20220803-145049430.pdf</t>
  </si>
  <si>
    <t>SCD0216 -  Add Data Modul_20220811-161557800.pdf</t>
  </si>
  <si>
    <t>SCD0013-002</t>
  </si>
  <si>
    <t>Normal - Melakukan Edit modul</t>
  </si>
  <si>
    <t xml:space="preserve">1. Login dengan admin divisi SLN
2. Menu data master – mapping
3. Klik edit yaitu icon pensil di baris data yang mau di edit
</t>
  </si>
  <si>
    <t>Untuk tampilan Edit yang diusulkan adalah sebagai berikut:
 · Berhasil melakukan edit
 · Data berhasil di update
 · Tertampil sesuai dengan data yang di update</t>
  </si>
  <si>
    <t>SCD217 -  Edit Data Modul_20220803-145452277.pdf</t>
  </si>
  <si>
    <t>SCD0217 -  Edit Data Modul_20220811-161903364.pdf</t>
  </si>
  <si>
    <t>SCD0013-003</t>
  </si>
  <si>
    <t>Normal - Melakukan view modul</t>
  </si>
  <si>
    <t xml:space="preserve">1. Login dengan admin divisi SLN
2. Menu data master – mapping
3. Klik view yaitu icon mata di baris data yang mau di lihat
</t>
  </si>
  <si>
    <t>- Berhasil menampilkan data yang sesuai pada saat penginputan</t>
  </si>
  <si>
    <t>SCD218 -  View Data Modul_20220803-145631248.pdf</t>
  </si>
  <si>
    <t>SCD0218 -  View Data Modul_20220811-162529345.pdf</t>
  </si>
  <si>
    <t>SCD0013-004</t>
  </si>
  <si>
    <t>Normal - Melakukan Delete modul</t>
  </si>
  <si>
    <t xml:space="preserve">1. Login dengan admin divisi SLN
2. Menu data master – mapping
3. Klik delete yaitu icon tong di baris data yang mau di lihat
</t>
  </si>
  <si>
    <t>- Pada fungsi Delete, ketika user akan meng-klik tombol Delete, sistem akan menampilkan jendela pop up konfirmasi sebagai berikut:
 - Berhasil melakukan Delete</t>
  </si>
  <si>
    <t>4 Agustus 2022</t>
  </si>
  <si>
    <t>SCD219 -  Delete Data Modul_20220804-130946973.pdf</t>
  </si>
  <si>
    <t>SCD0219 -  Delete Data Modul_20220812-073736628.pdf</t>
  </si>
  <si>
    <t>SCD0014</t>
  </si>
  <si>
    <t>SCD0014-001</t>
  </si>
  <si>
    <t>Admin SLN melakukan add Setting Bobot</t>
  </si>
  <si>
    <t>Normal - Setelah mapping Tipe Sales, Produk, KPI dan Parameter Kategori, maka dilanjutkan dengan melakukan Setting Bobot untuk setiap Mapping</t>
  </si>
  <si>
    <t xml:space="preserve">1. Login dengan admin divisi SLN
2. Menu data master – setting bobot
3. Klik “+ tambah data” yaitu button untuk menambah data setting bobot
</t>
  </si>
  <si>
    <t>- Melakukan add setting bobot, 
 Tampilan awal yang diusulkan adalah sebagai berikut:
 Tampilan pada saat Penambahan adalah sebagai berikut:
 - Berhasil melakukan add setting bobot</t>
  </si>
  <si>
    <t>27 Juli 2022</t>
  </si>
  <si>
    <t>SCD220 -  Add Setting Bobot_20220727-122243284.pdf</t>
  </si>
  <si>
    <t>SCD0220 -  Add Setting Bobot_20220812-075539646.pdf</t>
  </si>
  <si>
    <t>SCD0014-002</t>
  </si>
  <si>
    <t>Admin SLN melakukan edit Setting Bobot</t>
  </si>
  <si>
    <t>Normal - melakukan edit Setting Bobot</t>
  </si>
  <si>
    <t xml:space="preserve">1. Login dengan admin divisi SLN
2.  Menu data master – setting bobot
3.  Klik edit yaitu icon pensil di setiap baris data untuk melakukan edit
</t>
  </si>
  <si>
    <t>- Tampilan pada saat Edit adalah sebagai berikut:</t>
  </si>
  <si>
    <t>SCD221 - Edit Setting Bobot_20220727-132402483.pdf</t>
  </si>
  <si>
    <t>SCD0221 - Edit Setting Bobot_20220812-080700831.pdf</t>
  </si>
  <si>
    <t>SCD0014-003</t>
  </si>
  <si>
    <t>Admin SLN melakukan View Setting Bobot</t>
  </si>
  <si>
    <t>Normal - melakukan view Setting Bobot</t>
  </si>
  <si>
    <t xml:space="preserve">1.        Login dengan admin divisi SLN 52326
2.        Menu data master – setting bobot
3.        Klik view yaitu icon mata di setiap baris data untuk melakukan view
</t>
  </si>
  <si>
    <t>Selanjutnya tampilan pada saat View adalah sebagai berikut:</t>
  </si>
  <si>
    <t>SCD222 - View Setting Bobot_20220804-131144830.pdf</t>
  </si>
  <si>
    <t>SCD0222 - View Setting Bobot_20220812-080849797.pdf</t>
  </si>
  <si>
    <t>SCD0015</t>
  </si>
  <si>
    <t>SCD0015-001</t>
  </si>
  <si>
    <t>Sales melakukan Simulasi (Performance Calculator) berada di dalam menu My Performance</t>
  </si>
  <si>
    <t>Normal – Validasi fitur simulasi</t>
  </si>
  <si>
    <t xml:space="preserve">1. login digisales portal dengan sales
2. buka menu my performance
3. pilih performance calculator
4. dapat terlihat input untuk performance calculator
</t>
  </si>
  <si>
    <t>Pada Modul Simulasi terbagi menjadi 3 cakupan sebagai berikut:
 - Filter
 - Detail Simulasi
 - Total Simulasi
 -</t>
  </si>
  <si>
    <t>SCD0223-Performance Calculator_20220727-153328474.pdf</t>
  </si>
  <si>
    <t>SCD0223-Performance Calculator_20220812-090653632.pdf</t>
  </si>
  <si>
    <t>SCD0015-002</t>
  </si>
  <si>
    <t>Normal – Melakukan fitur Filter simulasi</t>
  </si>
  <si>
    <t>1. login digisales portal dengan sales
2. buka menu my performance
3. pilih performance calculator
4. klik generate bulan juni tahun 2022</t>
  </si>
  <si>
    <t>Berhasil melakukan filter Modul Simulasi adalah:
 a. NPP
 b. Nama
 c. Bulan
 d. Tahun
 Keterangan:
 - Untuk field NPP dan Nama diisikan secara otomatis oleh sistem berdasarkan user login.
 - Field Bulan bersifat mandatori
 - Field Tahun bersifate mandatori
 Tampilan yang diusulkan adalah sebagai berikut:
 · Berhasil mengenerate hasil filteran 
 · Sesuai dengan data yang ada di database</t>
  </si>
  <si>
    <t>SCD0224-Performance Calculator_20220727-154533612.pdf</t>
  </si>
  <si>
    <t>SCD0224-Performance Calculator_20220812-090855694.pdf</t>
  </si>
  <si>
    <t>SCD0015-003</t>
  </si>
  <si>
    <t>Normal – Melakukan simulasi performance calculator</t>
  </si>
  <si>
    <t xml:space="preserve">1. login digisales portal dengan sales
2. buka menu my performance
3. pilih performance calculator
4. klik generate bulan juni tahun 2022
5. isi seluruh nilai simulasi
</t>
  </si>
  <si>
    <t>- Melakukan simulasi 
 - Berhasil melakukan simulasi
 - Setelah user menginput filter, selanjutnya user menginput Nilai Simulasi untuk masing-masing Sub KPI. Contoh fungsi Penginputan Nilai Simulasi adalah sebagai berikut:</t>
  </si>
  <si>
    <t>SCD0225-Performance Calculator_20220727-164654589.pdf</t>
  </si>
  <si>
    <t>SCD0225-Performance Calculator_20220812-090424378.pdf</t>
  </si>
  <si>
    <t>SCD0015-004</t>
  </si>
  <si>
    <t>Normal – Melakukan kalkulasi simulasi</t>
  </si>
  <si>
    <t>1. login digisales portal dengan sales
2. buka menu my performance
3. pilih performance calculator
4. klik generate bulan juni tahun 2022
5. isi seluruh nilai simulasi
7. klik calculate
8. data performace calculator sesuai perhitungan di bsdd</t>
  </si>
  <si>
    <t>Metode Rumus Kalkulasi Simulasi yang digunakan adalah sebagai berikut:
 Pada Detail Simulasi, rumus yang membentuk Nilai “% Simulasi Realisasi” adalah:
 · % Simulasi Realisasi = (Nilai Simulasi / Outstanding) * 100% 
 · Pada Total Simulasi, secara umum tahapan yang dilakukan adalah sebagai berikut:
 · Dari Tipe Sales user diperoleh KPI, Kategori dan Produk untuk user tersebut
 · Dilakukan penjumlahan nilai Simulasi dari produk-produk di suatu Kategori. Selanjutnya dilakukan pembagian atas akumulasi nilai Outstanding dari produk-produk di Kategori tersebut è Nilai
 · Dari perhitungan pada point ii diatas, selanjutnya dilakukan perkalian dengan Bobot di Kategori tersebut è Nilai Terbobot
 · Atas Nilai Terbobot dilakukan penyesuaian sesuai dengan point 3.8.3.1.c. è Nilai Terbobot Final
 · Selanjutnya dilakukan penjumlahan atas Nilai Terbobot Final untuk setiap KPI è Performance
 · Ketentuan lain adalah sebagai berikut:
 · Pembulatan Hasil Nilai Terbobot dilakukan pada tahapan perhitungan per Kategori
 · Nilai Terbobot untuk Kategori “Pertumbuhan Jumlah Transaksi Nasabah CR” diakui maksimal 25%
 · Hasil Pembagian antara Nilai Simulasi Booster dengan Nilai Outstanding Booster maksimal sebesar 50%
 · Final Perhitungan Performance untuk KPI Booster adalah sebagai berikut:
 · Maksimal sebesar 25% apabila KPI Utama + KPI Booster &gt;=100% 
 · Maksimal sebesar 15% jika KPI Utama + KPI Booster &lt; 100%
 Untuk Simulasi Perhitungan dapat dilihat pada point 4 (Reference).
 Tampilan Hasil Kalkulasi Simulasi
 Tampilan Hasil Kalkulasi Simulasi pada cakupan Detail Simulasi yang diusulkan adalah sebagai berikut:
 · Berhasil menampilkan sesuai rumus kalkulasi performance</t>
  </si>
  <si>
    <t>SCD0226-Performance Calculator_20220728-131037918.pdf</t>
  </si>
  <si>
    <t>SCD0226-Performance Calculator_20220812-091303818.pdf</t>
  </si>
  <si>
    <t>SCD0016</t>
  </si>
  <si>
    <t>SCD0016-001</t>
  </si>
  <si>
    <t>Searching profiling nasabah &amp; tidak memiliki sales kelolaan</t>
  </si>
  <si>
    <t>-Normal : Melakukan serching di field serch profiling</t>
  </si>
  <si>
    <t>1. login dengan npp sales
2. masukan cif ke dalam filed serch profiling       3. tidak klik button add familytree</t>
  </si>
  <si>
    <t>- Tidak ada proses flagging family tree</t>
  </si>
  <si>
    <t>SCD0227 - SCD0248 - Search_20220914-125259384.pdf</t>
  </si>
  <si>
    <t>SCD0016-002</t>
  </si>
  <si>
    <t xml:space="preserve">1. login dengan npp sales
2. masukan cif ke dalam filed serch profiling syarat nya :Add family tree dengan ketentuan
- Nasabah usulan sedang dalam proses usulan
</t>
  </si>
  <si>
    <t>SCD0016-003</t>
  </si>
  <si>
    <t xml:space="preserve">1. login dengan npp sales
2. masukan cif ke dalam filed serch profiling       Syarat nya : Add family tree dengan sayarat 
-Nasabah usulan tidak dalam proses usulan
-Bukan sales Inputer = Sales Kelolaaan Nasabah utama
</t>
  </si>
  <si>
    <t>SCD0016-004</t>
  </si>
  <si>
    <t xml:space="preserve">1. login dengan npp sales
2. masukan cif ke dalam filed serch profiling       Syarat nya : Add family tree dengan sayarat 
-Add family tree
-Nasabah usulan tidak dalam proses usulan
-Sales Inputer = Sales Kelolaaan Nasabah Utama
-Tidak tambah Nasabah ke family tree flagging
</t>
  </si>
  <si>
    <t>SCD0016-005</t>
  </si>
  <si>
    <t xml:space="preserve">1. login dengan npp sales
2. masukan cif ke dalam filed serch profiling       Syarat nya : -Add family tree
-Nasabah usulan tidak dalam proses usulan
-Sales Inputer = Sales Kelolaaan Nasabah Utama
-Tambah Nasabah ke family tree flagging
-Tidak Kirim ke tahapan approval
</t>
  </si>
  <si>
    <t>SCD0016-006</t>
  </si>
  <si>
    <t xml:space="preserve">1. login dengan npp sales
2. masukan cif ke dalam filed serch profiling       Syarat nya : -Add family tree
-Nasabah usulan tidak dalam proses usulan
-Sales Inputer = Sales Kelolaaan Nasabah Utama
-Tambah Nasabah ke family tree flagging
-Kirim ke tahapan approval
-Bukan merupakan Nasabah Perorangan 
</t>
  </si>
  <si>
    <t>SCD0016-007</t>
  </si>
  <si>
    <t xml:space="preserve">1. login dengan npp sales
2. masukan cif ke dalam filed serch profiling       Syarat nya : -Add family tree
-Nasabah usulan tidak dalam proses usulan
-Sales Inputer = Sales Kelolaaan Nasabah Utama
-Tambah Nasabah ke family tree flagging
-Kirim ke tahapan approval
-Merupakan Nasabah Perorangan 
-Merupakan kelolaan other (Agen46)
</t>
  </si>
  <si>
    <t>SCD0016-008</t>
  </si>
  <si>
    <t xml:space="preserve">1. login dengan npp sales
2. masukan cif ke dalam filed serch profiling       Syarat nya : -Add family tree
-Nasabah usulan tidak dalam proses usulan
-Sales Inputer = Sales Kelolaaan Nasabah Utama
-Tambah Nasabah ke family tree flagging
-Kirim ke tahapan approval
-Merupakan Nasabah Perorangan 
-Bukan merupakan kelolaan other (Agen46)
-Merupakan kelolaan HLB &amp; Unit Lainnya
</t>
  </si>
  <si>
    <t>SCD0016-009</t>
  </si>
  <si>
    <t xml:space="preserve">1. login dengan npp sales
2. masukan cif ke dalam filed serch profiling Syarat nya :-Add family tree
-Nasabah usulan tidak dalam proses usulan
-Sales Inputer = Sales Kelolaaan Nasabah Utama
-Tambah Nasabah ke family tree flagging
-Kirim ke tahapan approval
-Merupakan Nasabah Perorangan 
-Bukan merupakan kelolaan other (Agen46)
-Bukan merupakan kelolaan HLB &amp; Unit Lainnya
-Merupakan Debitur (Produktif)
</t>
  </si>
  <si>
    <t>SCD0016-010</t>
  </si>
  <si>
    <t xml:space="preserve">1. login dengan npp sales
2. masukan cif ke dalam filed serch profiling Syarat nya :-Add family tree
-Nasabah usulan tidak dalam proses usulan
-Sales Inputer = Sales Kelolaaan Nasabah Utama
-Tambah Nasabah ke family tree flagging
-Kirim ke tahapan approval
-Merupakan Nasabah Perorangan 
-Bukan merupakan kelolaan other (Agen46)
-Bukan merupakan kelolaan HLB &amp; Unit Lainnya
-Bukan merupakan Debitur (Produktif)
-AUM Nasabah Usulan &lt; AUM Nasabah Utama (tidak
</t>
  </si>
  <si>
    <t>SCD0016-011</t>
  </si>
  <si>
    <t xml:space="preserve">1. login dengan npp sales
2. masukan cif ke dalam filed serch profiling  Syarat nya : -Add family tree
-Nasabah usulan tidak dalam proses usulan
-Sales Inputer = Sales Kelolaaan Nasabah Utama
-Tambah Nasabah ke family tree flagging
-Kirim ke tahapan approval
-Merupakan Nasabah Perorangan 
-Bukan merupakan kelolaan other (Agen46)
-Bukan merupakan kelolaan HLB &amp; Unit Lainnya
-Bukan merupakan Debitur (Produktif)
-AUM Nasabah Usulan &lt; AUM Nasabah Utama (ya)
-Sales inputter telah mengelola nasabah usulan &gt; 5 tahun berturut-turut 
</t>
  </si>
  <si>
    <t>SCD0016-012</t>
  </si>
  <si>
    <t xml:space="preserve">1. login dengan npp sales
2. masukan cif ke dalam filed serch profiling       Syarat nya : -Add family tree
-Bukan nasabah yang sedang dalam proses usulan
-Sales Inputer = Sales Kelolaaan Nasabah utama
-Tambah Nasabah ke family tree flagging
-Kirim ke tahapan approval
-Nasabah perorangan
-Bukan merupakan kelolaan other agen 46
-Bukan merupakan kelolaan HLB &amp; unit lainnya
-Bukan merupakan debitur produktif
-AUM Nasabah Usulan &lt; AUM Nasabah Utama
-Sales inputter telah mengelola nasabah usulan &gt; 5 tahun berturut-turut (tidak)
-Sales inputter = Anjul/ Asjul
-Lalu penyelia approve
-Pemimpin cabang approve
-nasabah usulan bukan dikelola oleh sales cabang berbeda
</t>
  </si>
  <si>
    <t>SCD0016-013</t>
  </si>
  <si>
    <t xml:space="preserve">1. login dengan npp sales
2. masukan cif ke dalam filed serch profiling       Syarat nya : -Add family tree
-Bukan nasabah yang sedang dalam proses usulan
-Sales Inputer = Sales Kelolaaan Nasabah utama
-Tambah Nasabah ke family tree flagging
-Kirim ke tahapan approval
-Nasabah perorangan
-Bukan merupakan kelolaan other agen 46
-Bukan merupakan kelolaan HLB &amp; unit lainnya
-Bukan merupakan debitur produktif
-AUM Nasabah Usulan &lt; AUM Nasabah Utama
-Bukan kelolaan Sales inputter  &gt; 5 tahun berturut-turut
-Sales inputter = CRO/CRM
-Pemimpin cabang approve
-nasabah usulan bukan dikelola oleh sales cabang berbeda
</t>
  </si>
  <si>
    <t>SCD0016-014</t>
  </si>
  <si>
    <t xml:space="preserve">1. login dengan npp sales
2. masukan cif ke dalam filed serch profiling       Syarat nya : -Add family tree
-Bukan nasabah yang sedang dalam proses usulan
-Sales Inputer = Sales Kelolaaan Nasabah utama
-Tambah Nasabah ke family tree flagging
-Kirim ke tahapan approval
-Nasabah perorangan
-Bukan merupakan kelolaan other agen 46
-Bukan merupakan kelolaan HLB &amp; unit lainnya
-Bukan merupakan debitur produktif
-AUM Nasabah Usulan &lt; AUM Nasabah Utama
-Bukan kelolaan Sales inputter  &gt; 5 tahun berturut-turut
-Sales inputter = SRM
-Penyelia SRM approve
</t>
  </si>
  <si>
    <t>SCD0016-015</t>
  </si>
  <si>
    <t xml:space="preserve">1. login dengan npp sales
2. masukan cif ke dalam filed serch profiling       Syarat nya : -Add family tree
-Bukan nasabah yang sedang dalam proses usulan
-Sales Inputer = Sales Kelolaaan Nasabah utama
-Tambah Nasabah ke family tree flagging
-Kirim ke tahapan approval
-Nasabah perorangan
-Bukan merupakan kelolaan other agen 46
-Bukan merupakan kelolaan HLB &amp; unit lainnya
-Bukan merupakan debitur produktif
-AUM Nasabah Usulan &lt; AUM Nasabah Utama
-Bukan kelolaan Sales inputter  &gt; 5 tahun berturut-turut
-Sales inputter = anjul/asjul
-Penyelia approve
-Pemimpin cabang approve
-Nasabah usulan di kelola oleh sales cabang berbeda
-Pemimpin cabang nasabah usulan approve
</t>
  </si>
  <si>
    <t>SCD0016-016</t>
  </si>
  <si>
    <t xml:space="preserve">1. login dengan npp sales
2. masukan cif ke dalam filed serch profiling       Syarat nya : -Add family tree
-Bukan nasabah yang sedang dalam proses usulan
-Sales Inputer = Sales Kelolaaan Nasabah utama
-Tambah Nasabah ke family tree flagging
-Kirim ke tahapan approval
-Nasabah perorangan
-Bukan merupakan kelolaan other agen 46
-Bukan merupakan kelolaan HLB &amp; unit lainnya
-Bukan merupakan debitur produktif
-AUM Nasabah Usulan &lt; AUM Nasabah Utama
-Bukan kelolaan Sales inputter  &gt; 5 tahun berturut-turut
-Sales inputter = CRO / CRM
-Nasabah usulan di kelola oleh sales cabang berbeda
-Pemimpin cabang approve
-Pemimpin cabang nasabah usulan approve
</t>
  </si>
  <si>
    <t>SCD0016-017</t>
  </si>
  <si>
    <t xml:space="preserve">1. login dengan npp sales
2. masukan cif ke dalam filed serch profiling       Syarat nya :-Add family tree
-Bukan nasabah yang sedang dalam proses usulan
-Sales Inputer = Sales Kelolaaan Nasabah utama
-Tambah Nasabah ke family tree flagging
-Kirim ke tahapan approval
-Nasabah perorangan
-Bukan merupakan kelolaan other agen 46
-Bukan merupakan kelolaan HLB &amp; unit lainnya
-Bukan merupakan debitur produktif
-AUM Nasabah Usulan &lt; AUM Nasabah Utama
-Bukan kelolaan Sales inputter  &gt; 5 tahun berturut-turut
-Sales inputter = Anjul/Asjul
-Nasabah usulan bukan di kelola oleh sales cabang berbeda
-Penyelia tidak approve
</t>
  </si>
  <si>
    <t>SCD0016-018</t>
  </si>
  <si>
    <t xml:space="preserve">1. login dengan npp sales
2. masukan cif ke dalam filed serch profiling       Syarat nya -	Add family tree
-Bukan nasabah yang sedang dalam proses usulan
-Sales Inputer = Sales Kelolaaan Nasabah utama
-Tambah Nasabah ke family tree flagging
-Kirim ke tahapan approval
-Nasabah perorangan
-Bukan merupakan kelolaan other agen 46
-Bukan merupakan kelolaan HLB &amp; unit lainnya
-Bukan merupakan debitur produktif
-AUM Nasabah Usulan &lt; AUM Nasabah Utama
-Bukan kelolaan Sales inputter  &gt; 5 tahun berturut-turut
-Sales inputter = Anjul/Asjul
-Nasabah usulan bukan di kelola oleh sales cabang berbeda
-Penyelia approve
-Pemimpin cabang tidak approve
</t>
  </si>
  <si>
    <t>SCD0016-019</t>
  </si>
  <si>
    <t xml:space="preserve">1. login dengan npp sales
2. masukan cif ke dalam filed serch profiling       Syarat nya :-Add family tree
-Bukan nasabah yang sedang dalam proses usulan
-Sales Inputer = Sales Kelolaaan Nasabah utama
-Tambah Nasabah ke family tree flagging
-Kirim ke tahapan approval
-Nasabah perorangan
-Bukan merupakan kelolaan other agen 46
-Bukan merupakan kelolaan HLB &amp; unit lainnya
-Bukan merupakan debitur produktif
-AUM Nasabah Usulan &lt; AUM Nasabah Utama
-Bukan kelolaan Sales inputter  &gt; 5 tahun berturut-turut
-Sales inputter = Anjul/Asjul
-Nasabah usulan di kelola oleh sales cabang berbeda
-Penyelia approve
-Pemimpin cabang approve
-Pemimpin cabang nasabah usulan tidak approve
</t>
  </si>
  <si>
    <t>SCD0016-020</t>
  </si>
  <si>
    <t xml:space="preserve">1. login dengan npp sales
2. masukan cif ke dalam filed serch profiling       Syarat nya : -Add family tree
-Bukan nasabah yang sedang dalam proses usulan
-Sales Inputer = Sales Kelolaaan Nasabah utama
-Tambah Nasabah ke family tree flagging
-Kirim ke tahapan approval
-Nasabah perorangan
-Bukan merupakan kelolaan other agen 46
-Bukan merupakan kelolaan HLB &amp; unit lainnya
-Bukan merupakan debitur produktif
-AUM Nasabah Usulan &lt; AUM Nasabah Utama
-Bukan kelolaan Sales inputter  &gt; 5 tahun berturut-turut
-Sales inputter = CRO / CRM
-Pemimpin cabang tidak approve
</t>
  </si>
  <si>
    <t>SCD0016-021</t>
  </si>
  <si>
    <t xml:space="preserve">1. login dengan npp sales
2. masukan cif ke dalam filed serch profiling       Syarat nya : -Add family tree
-Bukan nasabah yang sedang dalam proses usulan
-Sales Inputer = Sales Kelolaaan Nasabah utama
-Tambah Nasabah ke family tree flagging
-Kirim ke tahapan approval
-Nasabah perorangan
-Bukan merupakan kelolaan other agen 46
-Bukan merupakan kelolaan HLB &amp; unit lainnya
-Bukan merupakan debitur produktif
-AUM Nasabah Usulan &lt; AUM Nasabah Utama
-Bukan kelolaan Sales inputter  &gt; 5 tahun berturut-turut
-Sales inputter = CRO / CRM
-Pemimpin cabang approve
-Nasabah usulan di kelola oleh sales cabang berbeda
-Pemimpin cabang nasabah usulan tidak approve
</t>
  </si>
  <si>
    <t>SCD0016-022</t>
  </si>
  <si>
    <t xml:space="preserve">1. login dengan npp sales
2. masukan cif ke dalam filed serch profiling       Syarat nya : -Add family tree
-Bukan nasabah yang sedang dalam proses usulan
-Sales Inputer = Sales Kelolaaan Nasabah utama
-Tambah Nasabah ke family tree flagging
-Kirim ke tahapan approval
-Nasabah perorangan
-Bukan merupakan kelolaan other agen 46
-Bukan merupakan kelolaan HLB &amp; unit lainnya
-Bukan merupakan debitur produktif
-AUM Nasabah Usulan &lt; AUM Nasabah Utama
-Bukan kelolaan Sales inputter  &gt; 5 tahun berturut-turut
-Sales inputter = SRM
-Penyelia SRM tidak approve
</t>
  </si>
  <si>
    <t>SCD0016-023</t>
  </si>
  <si>
    <t>Searching profiling nasabah &amp; memiliki sales kelolaan</t>
  </si>
  <si>
    <t>1. login dengan npp sales 2. masukan cif ke dalam filed serch profiling 3. tidak klik button add familytree</t>
  </si>
  <si>
    <t>SCD0249-Profiling Nasabah_20220914-125837952.pdf</t>
  </si>
  <si>
    <t>SCD0016-024</t>
  </si>
  <si>
    <t>1. login dengan npp sales 2. masukan cif ke dalam filed serch profiling. dengan syarat : -Add family tree
-Nasabah usulan sedang dalam proses usulan.  Anjul :55210, cif kelolaan Utama :9166244046
(CIF 9315565540 kelolaan si sales 47881)</t>
  </si>
  <si>
    <t>-        Tidak ada proses flagging family tree
-        Button add familytree muncul tetapi akan muncul popup ketika di klik</t>
  </si>
  <si>
    <t>SCD0250-Profiling Nasabah_20220915-104317101.pdf</t>
  </si>
  <si>
    <t>SCD0016-025</t>
  </si>
  <si>
    <t xml:space="preserve">1. login dengan npp sales 2. masukan cif ke dalam filed serch profiling. dengan syarat : -        Add family tree
-Nasabah usulan tidak dalam proses usulan
-Bukan sales Inputer = Sales Kelolaaan Nasabah utama. Anjul :55210, cif kelolaan Utama :9166244046
-Yang di ajukan (CIF 9315565540 kelolaan si sales 47881) 
-(Cif kelolaan sales lain 23320, 9448808661)
</t>
  </si>
  <si>
    <t>-	Tidak ada proses flagging family tree
-	Tombol Add to family tree, Disable</t>
  </si>
  <si>
    <t>SCD0251-Profiling Nasabah_20220915-100359450.pdf</t>
  </si>
  <si>
    <t>SCD0016-026</t>
  </si>
  <si>
    <t xml:space="preserve">1. login dengan npp sales 2. masukan cif ke dalam filed serch profiling. dengan syarat : -Add family tree
-Nasabah usulan tidak dalam proses usulan
-Sales Inputer = Sales Kelolaaan Nasabah Utama
-Tidak tambah Nasabah ke family tree flagging.  Anjul :55210, cif kelolaan Utama :9166244046 9736118354
(CIF 9315565540 si sales 47881)
</t>
  </si>
  <si>
    <t>-	Tidak ada proses flagging family tree</t>
  </si>
  <si>
    <t>SCD0252-Profiling Nasabah_20220915-102216602.pdf</t>
  </si>
  <si>
    <t>SCD0016-027</t>
  </si>
  <si>
    <t>1. login dengan npp sales 2. masukan cif ke dalam filed serch profiling. dengan syarat : -Add family tree
-Nasabah usulan tidak dalam proses usulan
-Sales Inputer = Sales Kelolaaan Nasabah Utama
-Tambah Nasabah ke family tree flagging
-Tidak Kirim ke tahapan approval.  Anjul :55210, cif kelolaan Utama :9166244046 9736118354
(CIF 9315565540 si sales 47881)</t>
  </si>
  <si>
    <t xml:space="preserve">-	Status menunggu verivikasi, belum terverifikasi atau sudah terverifikasi </t>
  </si>
  <si>
    <t>SCD0253-Profiling Nasabah_20220915-115854686.pdf</t>
  </si>
  <si>
    <t>SCD0016-028</t>
  </si>
  <si>
    <t xml:space="preserve">1. login dengan npp sales 2. masukan cif ke dalam filed serch profiling. dengan syarat : -Add family tree
-Nasabah usulan tidak dalam proses usulan
-Sales Inputer = Sales Kelolaaan Nasabah Utama
-Tambah Nasabah ke family tree flagging
-Kirim ke tahapan approval
-Bukan merupakan Nasabah Perorangan.  Anjul :55210, cif kelolaan Utama :9166244046 9736118354
(CIF 9106038780 (BB) si sales 47881)
 </t>
  </si>
  <si>
    <t>- Status belum terverifikasi dan pada detail verifikasi nasabah perorangan tidak sesuai</t>
  </si>
  <si>
    <t>SCD0254-Profiling Nasabah_20220916-092401558.pdf</t>
  </si>
  <si>
    <t>SCD0016-029</t>
  </si>
  <si>
    <t xml:space="preserve">1. login dengan npp sales 2. masukan cif ke dalam filed serch profiling. dengan syarat : -Add family tree
-Nasabah usulan tidak dalam proses usulan
-Sales Inputer = Sales Kelolaaan Nasabah Utama
-Tambah Nasabah ke family tree flagging
-Kirim ke tahapan approval
-Merupakan Nasabah Perorangan 
-Merupakan kelolaan other (Agen46). Anjul :55210, cif kelolaan Utama :9166244046 9736118354
(CIF 9312915341 kelolaan AGEN 46(CR)si sales 47881)
</t>
  </si>
  <si>
    <t>-	Status belum terverifikasi
-	Verifikasi kelolaan lainnya “tidak sesuai”</t>
  </si>
  <si>
    <t>SCD0255-Profiling Nasabah_20220916-094642636.pdf</t>
  </si>
  <si>
    <t>SCD0016-030</t>
  </si>
  <si>
    <t>1. login dengan npp sales 2. masukan cif ke dalam filed serch profiling. dengan syarat : -Add family tree
-Nasabah usulan tidak dalam proses usulan
-Sales Inputer = Sales Kelolaaan Nasabah Utama
-Tambah Nasabah ke family tree flagging
-Kirim ke tahapan approval
-Merupakan Nasabah Perorangan 
-Bukan merupakan kelolaan other  (Agen46)  Anjul :55210, cif kelolaan Utama :9166244046
(CIF 9680262295 kelolaan HLB (CR)si sales 47881)
-	Merupakan kelolaan HLB &amp; Unit Lainnya</t>
  </si>
  <si>
    <t>-	Belum terverifikasi
-	Verifikasi kelolaan HLB “Tidak Sesuai”</t>
  </si>
  <si>
    <t>SCD0256-Profiling Nasabah_20220916-161917752.pdf</t>
  </si>
  <si>
    <t>SCD0016-031</t>
  </si>
  <si>
    <t xml:space="preserve">1. login dengan npp sales 2. masukan cif ke dalam filed serch profiling. dengan syarat : -Add family tree
-Nasabah usulan tidak dalam proses usulan
-Sales Inputer = Sales Kelolaaan Nasabah Utama
-Tambah Nasabah ke family tree flagging
-Kirim ke tahapan approval
-Merupakan Nasabah Perorangan 
-Bukan merupakan kelolaan other (Agen46)
-Bukan merupakan kelolaan HLB &amp; Unit Lainnya
-Merupakan Nasabah Debitur  (Produktif)  Anjul :55210, cif kelolaan Utama :9166244046
(CIF 10191409791 kelolaan Nasabah Debitur (CR)si sales 47881)
</t>
  </si>
  <si>
    <t xml:space="preserve">
-	Status belum terverivikasi
-	Verifikasi debitur “tidak sesuai”</t>
  </si>
  <si>
    <t>SCD0257-Profiling Nasabah_20220916-162632419.pdf</t>
  </si>
  <si>
    <t>SCD0016-032</t>
  </si>
  <si>
    <t xml:space="preserve">1. login dengan npp sales 2. masukan cif ke dalam filed serch profiling. dengan syarat : -Add family tree
-Nasabah usulan tidak dalam proses usulan
-Sales Inputer = Sales Kelolaaan Nasabah Utama
-Tambah Nasabah ke family tree flagging
-Kirim ke tahapan approval
-Merupakan Nasabah Perorangan 
-Bukan merupakan kelolaan other (Agen46)
-Bukan merupakan kelolaan HLB &amp; Unit Lainnya
-Bukan merupakan Debitur (Produktif)
-AUM Nasabah Usulan &lt; AUM Nasabah Utama, (tidak) / Aum Nasabah Usualan &gt; AUM Nasabah Utama
Anjul asjul : 55210, cif kelolaan Utama :9736118354
(CIF 9235123373 (CR)si sales 32515)
</t>
  </si>
  <si>
    <t>-	Belum terverifikasi
-	Verivikasi AUM tidak sesuai</t>
  </si>
  <si>
    <t>SCD0258-Profiling Nasabah_20220916-163508912.pdf</t>
  </si>
  <si>
    <t>SCD0016-033</t>
  </si>
  <si>
    <t xml:space="preserve">1. login dengan npp sales 2. masukan cif ke dalam filed serch profiling. dengan syarat : -	Add family tree
-Nasabah usulan tidak dalam proses usulan
-Sales Inputer = Sales Kelolaaan Nasabah Utama
-Tambah Nasabah ke family tree flagging
-Kirim ke tahapan approval
-Merupakan Nasabah Perorangan 
-Bukan merupakan kelolaan other (Agen46)
-Bukan merupakan kelolaan HLB &amp; Unit Lainnya
-Bukan merupakan Debitur (Produktif)
-AUM Nasabah Usulan &lt; AUM Nasabah Utama (ya)
-Sales inputter telah mengelola nasabah usulan &lt; 5 tahun berturut-turut  Anjul/Asjul  :55210, cif kelolaan Utama :9166244046 9736118354
(CIF 9315565540 (CR)si sales 47881)
</t>
  </si>
  <si>
    <t>-        Sudah terverifikasi
-        Verifikasi usia nasabah kelolaan “sesuai”</t>
  </si>
  <si>
    <t>SCD0259-Profiling Nasabah_20220919-092549843.pdf</t>
  </si>
  <si>
    <t>SCD0016-034</t>
  </si>
  <si>
    <t>1. login dengan npp sales 2. masukan cif ke dalam filed serch profiling. dengan syarat : -Add family tree
-Bukan nasabah yang sedang dalam proses usulan
-Sales Inputer = Sales Kelolaaan Nasabah utama
-Tambah Nasabah ke family tree flagging
-Kirim ke tahapan approval
-Nasabah perorangan
-Bukan merupakan kelolaan other agen 46
-Bukan merupakan kelolaan HLB &amp; unit lainnya
-Bukan merupakan debitur produktif
-AUM Nasabah Usulan &lt; AUM Nasabah Utama
-Sales inputter telah mengelola nasabah usulan &gt; 5 tahun berturut-turut (tidak)
-Sales inputter = Anjul/ Asjul
-Lalu penyelia approve
-Pemimpin cabang approve
-nasabah usulan bukan dikelola oleh sales cabang berbeda. Anjul/Asjul  :55210, cif kelolaan Utama :9166244046 9736118354
(CIF 9315565540 (CR)si sales 47881)</t>
  </si>
  <si>
    <t>-	Flagging berhasil
-	Status pengajuan terverifikasi
-	Berhasil kirim ke peyelia
-	Status berubah menunggu approval spv/penyelia 
-	Penyelia berhasil approve
-	Status berubah menunggu approval pemipin cabang
-	Berhasil terkirim ke pemimpin cabang
-	Pemimpin cabang berhasil approve
-	Status verifikasi berubah jadi disetujui pemipin</t>
  </si>
  <si>
    <t>SCD0260-Profiling Nasabah_20220923-110516444.pdf</t>
  </si>
  <si>
    <t>SCD0016-035</t>
  </si>
  <si>
    <t xml:space="preserve">1. login dengan npp sales 2. masukan cif ke dalam filed serch profiling. dengan syarat :-Add family tree
-Bukan nasabah yang sedang dalam proses usulan
-Sales Inputer = Sales Kelolaaan Nasabah utama
-Tambah Nasabah ke family tree flagging
-Kirim ke tahapan approval
-Nasabah perorangan
-Bukan merupakan kelolaan other agen 46
-Bukan merupakan kelolaan HLB &amp; unit lainnya
-Bukan merupakan debitur produktif
-AUM Nasabah Usulan &lt; AUM Nasabah Utama
-Bukan kelolaan Sales inputter  &gt; 5 tahun berturut-turut
-Sales inputter = CRO/CRM
-Pemimpin cabang approve
-nasabah usulan bukan dikelola oleh sales cabang berbeda.  CRO : 23320, Cif kelolaan utama : 9448808661
(CIF 10201872811 (CR) si sales 32253 )
</t>
  </si>
  <si>
    <t>-        Status Sudah terverifikasi
-        Berhasil kirim usulan ke pemimpin cabang
-        Status berubah menunggu approval pemimpin cabang
-        Pemimpin cabang berhasil approval
-        Status berubah menjadi disetujui pemimpin</t>
  </si>
  <si>
    <t>SCD0261-Profiling Nasabah_20220919-134505853.pdf</t>
  </si>
  <si>
    <t>SCD0016-036</t>
  </si>
  <si>
    <t>1. login dengan npp sales 2. masukan cif ke dalam filed serch profiling. dengan syarat : -Add family tree
-Bukan nasabah yang sedang dalam proses usulan
-Sales Inputer = Sales Kelolaaan Nasabah utama
-Tambah Nasabah ke family tree flagging
-Kirim ke tahapan approval
-Nasabah perorangan
-Bukan merupakan kelolaan other agen 46
-Bukan merupakan kelolaan HLB &amp; unit lainnya
-Bukan merupakan debitur produktif
-AUM Nasabah Usulan &lt; AUM Nasabah Utama
-Bukan kelolaan Sales inputter  &gt; 5 tahun berturut-turut
-Sales inputter = SRM
-Penyelia SRM approve. SRM : 20037, cif kelolaan utama : 9936964558
(CIF 9003982023 (CR) si sales 24068)</t>
  </si>
  <si>
    <t>-        Status Sudah terverifikasi
-        Berhasil kirim usulan ke penyelia srm
-        Status berubah menunggu approval penyelia srm
-        Penyelia srm berhasil approval
-        Status berubah menjadi disetujui pemimpin</t>
  </si>
  <si>
    <t>SCD0262-Profiling Nasabah_20220923-114433924.pdf</t>
  </si>
  <si>
    <t>SCD0016-037</t>
  </si>
  <si>
    <t xml:space="preserve">1. login dengan npp sales 2. masukan cif ke dalam filed serch profiling. dengan syarat : -Add family tree
-Bukan nasabah yang sedang dalam proses usulan
-Sales Inputer = Sales Kelolaaan Nasabah utama
-Tambah Nasabah ke family tree flagging
-Kirim ke tahapan approval
-Nasabah perorangan
-Bukan merupakan kelolaan other agen 46
-Bukan merupakan kelolaan HLB &amp; unit lainnya
-Bukan merupakan debitur produktif
-AUM Nasabah Usulan &lt; AUM Nasabah Utama
-Bukan kelolaan Sales inputter  &gt; 5 tahun berturut-turut
-Sales inputter = anjul/asjul
-Penyelia approve
-Pemimpin cabang approve
-Nasabah usulan di kelola oleh sales cabang berbeda
-Pemimpin cabang nasabah usulan approve
Asjul : 39237, cif kelolaan utama 9721622304
(CIF 9418305324 si sales 35758 )
</t>
  </si>
  <si>
    <t>-	Status Sudah terverifikasi
-	Berhasil kirim usulan ke penyelia
-	Status berubah menunggu approval penyelia
-	Penyelia berhasil approve
-	Status berubah menunggu approval pemimpin cabang
-	Pemimpin cabang berhasil approval
-	Status berubah menunggu approval pemimpin cabang usulan
-	Pemimpin cabang nasabah usulan berhasil approval
-	Status berubah menjadi disetujui pemimpin</t>
  </si>
  <si>
    <t>SCD0263-Profiling Nasabah_20220921-084909473.pdf</t>
  </si>
  <si>
    <t>SCD0016-038</t>
  </si>
  <si>
    <t>1. login dengan npp sales 2. masukan cif ke dalam filed serch profiling. dengan syarat : -Add family tree
-Bukan nasabah yang sedang dalam proses usulan
-Sales Inputer = Sales Kelolaaan Nasabah utama
-Tambah Nasabah ke family tree flagging
-Kirim ke tahapan approval
-Nasabah perorangan
-Bukan merupakan kelolaan other agen 46
-Bukan merupakan kelolaan HLB &amp; unit lainnya
-Bukan merupakan debitur produktif
-AUM Nasabah Usulan &lt; AUM Nasabah Utama
-Bukan kelolaan Sales inputter  &gt; 5 tahun berturut-turut
-Sales inputter = CRO / CRM
-Nasabah usulan di kelola oleh sales cabang berbeda
-Pemimpin cabang approve
-Pemimpin cabang nasabah usulan approve. CRO : 23320, Cif kelolaan utama : 9448808661
(CIF 9938132562 si sales 32468 )</t>
  </si>
  <si>
    <t>- Tidak ada Status Menunggu Pemimpin Cabang Usulan
- Langsung Approve Pemimpin Cabang</t>
  </si>
  <si>
    <t>17 Oktober 2022</t>
  </si>
  <si>
    <t>SCD0264-Profiling Nasabah_20221017-095928125.pdf</t>
  </si>
  <si>
    <t>SCD0016-039</t>
  </si>
  <si>
    <t>1. login dengan npp sales 2. masukan cif ke dalam filed serch profiling. dengan syarat : -Add family tree
-Bukan nasabah yang sedang dalam proses usulan
-Sales Inputer = Sales Kelolaaan Nasabah utama
-Tambah Nasabah ke family tree flagging
-Kirim ke tahapan approval
-Nasabah perorangan
-Bukan merupakan kelolaan other agen 46
-Bukan merupakan kelolaan HLB &amp; unit lainnya
-Bukan merupakan debitur produktif
-AUM Nasabah Usulan &lt; AUM Nasabah Utama
-Bukan kelolaan Sales inputter  &gt; 5 tahun berturut-turut
-Sales inputter = Anjul/Asjul
-Nasabah usulan bukan di kelola oleh sales cabang berbeda
-Penyelia tidak approve
Anjul :55210, cif kelolaan Utama :9166244046 9736118354
 (CIF 9235123373 (CR)si sales 32515)</t>
  </si>
  <si>
    <t>-	Status ditolak
-	Approval status ditolak supervisi</t>
  </si>
  <si>
    <t>SCD0265-Profiling Nasabah_20220920-085432182.pdf</t>
  </si>
  <si>
    <t>SCD0016-040</t>
  </si>
  <si>
    <t xml:space="preserve">1. login dengan npp sales 2. masukan cif ke dalam filed serch profiling. dengan syarat : -Add family tree
-Bukan nasabah yang sedang dalam proses usulan
-Sales Inputer = Sales Kelolaaan Nasabah utama
-Tambah Nasabah ke family tree flagging
-Kirim ke tahapan approval
-Nasabah perorangan
-Bukan merupakan kelolaan other agen 46
-Bukan merupakan kelolaan HLB &amp; unit lainnya
-Bukan merupakan debitur produktif
-AUM Nasabah Usulan &lt; AUM Nasabah Utama
-Bukan kelolaan Sales inputter  &gt; 5 tahun berturut-turut
-Sales inputter = Anjul/Asjul
-Nasabah usulan bukan di kelola oleh sales cabang berbeda
-Penyelia approve
-Pemimpin cabang tidak approve. Anjul :55210, cif kelolaan Utama :9166244046 9736118354
(CIF 9257747205 (CR)si sales 47881)
</t>
  </si>
  <si>
    <t>-	Status di tolak pemimpin</t>
  </si>
  <si>
    <t>SCD0266-Profiling Nasabah_20220920-092503275.pdf</t>
  </si>
  <si>
    <t>SCD0016-041</t>
  </si>
  <si>
    <t xml:space="preserve">1. login dengan npp sales 2. masukan cif ke dalam filed serch profiling. dengan syarat : --	Add family tree
-	Bukan nasabah yang sedang dalam proses usulan
-	Sales Inputer = Sales Kelolaaan Nasabah utama
-	Tambah Nasabah ke family tree flagging
-	Kirim ke tahapan approval
-	Nasabah perorangan
-	Bukan merupakan kelolaan other agen 46
-	Bukan merupakan kelolaan HLB &amp; unit lainnya
-	Bukan merupakan debitur produktif
-	AUM Nasabah Usulan &lt; AUM Nasabah Utama
-	Bukan kelolaan Sales inputter  &gt; 5 tahun berturut-turut
-	Sales inputter = Anjul/Asjul
-	Nasabah usulan di kelola oleh sales cabang berbeda
-	Penyelia approve
-	Pemimpin cabang approve
-	Pemimpin cabang nasabah usulan tidak approve
Asjul : 35758, cif kelolaan utama 9669179367
(CIF 9720826341 si sales 39237 )
</t>
  </si>
  <si>
    <t>-	Status Sudah terverifikasi
-	Berhasil kirim usulan ke penyelia
-	Status berubah menunggu approval penyelia
-	Penyelia berhasil approve
-	Status berubah menunggu approval pemimpin cabang
-	Pemimpin cabang berhasil approval
-	Status berubah menunggu approval pemimpin cabang usulan
-	Pemimpin cabang nasabah usulan reject usulan
-	Status berubah menjadi ditolak pemimpin</t>
  </si>
  <si>
    <t>SCD0267-Profiling Nasabah_20220920-102341739.pdf</t>
  </si>
  <si>
    <t>SCD0016-042</t>
  </si>
  <si>
    <t xml:space="preserve">1. login dengan npp sales 2. masukan cif ke dalam filed serch profiling. dengan syarat : -	Add family tree
-	Bukan nasabah yang sedang dalam proses usulan
-	Sales Inputer = Sales Kelolaaan Nasabah utama
-	Tambah Nasabah ke family tree flagging
-	Kirim ke tahapan approval
-	Nasabah perorangan
-	Bukan merupakan kelolaan other agen 46
-	Bukan merupakan kelolaan HLB &amp; unit lainnya
-	Bukan merupakan debitur produktif
-	AUM Nasabah Usulan &lt; AUM Nasabah Utama
-	Bukan kelolaan Sales inputter  &gt; 5 tahun berturut-turut
-	Sales inputter = CRO / CRM
-	Pemimpin cabang tidak approve. CRO : 23320, Cif kelolaan utama : 9448808661
(CIF 10201330549 (CR) si sales 27810 )
</t>
  </si>
  <si>
    <t>-        Karna usulan tidak di approve pemimoin cabang
-        Status usualan berubah jadi di tolak / ditolak pemimpin</t>
  </si>
  <si>
    <t>SCD0268-Profiling Nasabah_20220922-111416858.pdf</t>
  </si>
  <si>
    <t>SCD0016-043</t>
  </si>
  <si>
    <t xml:space="preserve">1. login dengan npp sales 2. masukan cif ke dalam filed serch profiling. dengan syarat : -	Add family tree
-	Bukan nasabah yang sedang dalam proses usulan
-	Sales Inputer = Sales Kelolaaan Nasabah utama
-	Tambah Nasabah ke family tree flagging
-	Kirim ke tahapan approval
-	Nasabah perorangan
-	Bukan merupakan kelolaan other agen 46
-	Bukan merupakan kelolaan HLB &amp; unit lainnya
-	Bukan merupakan debitur produktif
-	AUM Nasabah Usulan &lt; AUM Nasabah Utama
-	Bukan kelolaan Sales inputter  &gt; 5 tahun berturut-turut
-	Sales inputter = CRO / CRM
-	Pemimpin cabang approve
-	Nasabah usulan di kelola oleh sales cabang berbeda
-	Pemimpin cabang nasabah usulan tidak approve. CRO : 23320, Cif kelolaan utama : 9448808661
(CIF 10179646150 si sales 32887)
</t>
  </si>
  <si>
    <t xml:space="preserve">-        Karna usulan tidak di approve pemimpin cabang nasabah usulan
-        Status usulan berubah jadi di tolak </t>
  </si>
  <si>
    <t>SCD0269-Profiling Nasabah_20220922-114227053.pdf</t>
  </si>
  <si>
    <t>SCD0016-044</t>
  </si>
  <si>
    <t>1. login dengan npp sales 2. masukan cif ke dalam filed serch profiling. dengan syarat : -        Add family tree
-        Bukan nasabah yang sedang dalam proses usulan
-        Sales Inputer = Sales Kelolaaan Nasabah utama
-        Tambah Nasabah ke family tree flagging
-        Kirim ke tahapan approval
-        Nasabah perorangan
-        Bukan merupakan kelolaan other agen 46
-        Bukan merupakan kelolaan HLB &amp; unit lainnya
-        Bukan merupakan debitur produktif
-        AUM Nasabah Usulan &lt; AUM Nasabah Utama
-        Bukan kelolaan Sales inputter  &gt; 5 tahun berturut-turut
-        Sales inputter = SRM
-        Penyelia SRM tidak approve. SRM : 20037, cif kelolaan utama : 9936964558
(CIF 9003982023 (CR) si sales 24068)</t>
  </si>
  <si>
    <t xml:space="preserve">
-        Penyelia srm tidak approve usulan 
-        Status usulan di tolak</t>
  </si>
  <si>
    <t>SCD0270-Profiling Nasabah_20220923-115910269.pdf</t>
  </si>
  <si>
    <t>SCD0017</t>
  </si>
  <si>
    <t>SCD0017-001</t>
  </si>
  <si>
    <t>Pengajuan customer flagging</t>
  </si>
  <si>
    <t>-Normal : Melakukan pengajuan customer flagging</t>
  </si>
  <si>
    <t>1. login dengan npp sales 2. masukan cif ke dalam filed serch profilig 3. add to flagging. 4 sudah terverifikasi 5. pengajuan customer flagging ke penyelia. Npp 39237 cif : 9008582439
-Nasabah usulan sedang dalam proses usulan</t>
  </si>
  <si>
    <t>-  Apabila Sales tersebut sebelumnya telah melakukan proses pengajuan Customer Flagging, maka Proses Send to Penyelia baru dapat dilakukan jika Proses Pengajuan Customer Flagging sebelumnya telah selesai dilakukan (telah melalui tahapan Approval 2 [BM]).
-  Tombol proses send to penyelia disable</t>
  </si>
  <si>
    <t>Pada Flagging :
 - Setelah send ke penyelia Statusnya tidak Menunggu Approval SPV/Penyelia (seperti di doctest) tapi malah Menunggu Approval Pemimpin Cabang
 - Ketika Pemimpin Cabang Accept di Digisales Portal, Data berhasil di Approve namun statusnya tidak berubah (tetap Menunggu Approval Pemimpin Cabang)</t>
  </si>
  <si>
    <t>SCD0017-002</t>
  </si>
  <si>
    <t>Pengajuan family tree</t>
  </si>
  <si>
    <t>-Normal : Melakukan pengajuan family tree flagging</t>
  </si>
  <si>
    <t xml:space="preserve">1. login dengan npp sales 2. masukan cif ke dalam filed serch profilig 3. add family tree. 4 sudah terverifikasi 5. pengajuan customer flagging ke penyelia. Asjul : 39237, cif kelolaan utama 9721622304
(CIF 10163361274 kelolaan (CR)si sales 35758)
(CIF 9355005942 kelolaan (CR)si sales 35758)
</t>
  </si>
  <si>
    <t xml:space="preserve">
-   Apabila Sales tersebut sebelumnya telah melakukan proses pengajuan Family Tree, maka Proses Send to Penyelia baru dapat dilakukan jika Proses Pengajuan Family Tree sebelumnya telah selesai dilakukan (telah melalui tahapan Approval 2 [BM]).
-   Tombol proses send to penyelia disable</t>
  </si>
  <si>
    <t>SCD0272-Pengajuan Family Tree_20220922-170056382.pdf</t>
  </si>
  <si>
    <t>SCD0017-003</t>
  </si>
  <si>
    <t>Pengajuan customer flagging &amp; Family tree</t>
  </si>
  <si>
    <t>-Normal : Melakukan pengajuan customer flagging &amp; family tree flagging</t>
  </si>
  <si>
    <t>1. login dengan npp sales 2. masukan cif ke dalam filed serch profilig 3. add to flagging/add family tree. 4 sudah terverifikasi 5. pengajuan customer flagging ke penyelia. Asjul : 39237, cif kelolaan utama 9721622304
(CIF 10163361274 kelolaan (CR)si sales 35758)
(CIF 9355005942 kelolaan (CR)si sales 35758)
-Nasabah usulan sedang dalam proses usulan</t>
  </si>
  <si>
    <t xml:space="preserve">
-  Apabila Sales tersebut sebelumnya telah melakukan proses pengajuan Family Tree &amp; Customer Flagging, maka Proses Send to Penyelia baru dapat dilakukan jika Proses Family Tree &amp; Customer Flagging sebelumnya telah selesai dilakukan (telah melalui tahapan Approval 2 [BM]).
-  Tombol proses send to penyelia disable</t>
  </si>
  <si>
    <t>SCD0017-004</t>
  </si>
  <si>
    <t>validasi Penambahan Status Flagging Nasabah</t>
  </si>
  <si>
    <t>-Normal : Memastikan validasi Penambahan Status Flagging Nasabah</t>
  </si>
  <si>
    <t xml:space="preserve">SELECT *
FROM DigisalesNew..Tbl_Lookup
WHERE Type = 'StatusFlaggingNasabah';
</t>
  </si>
  <si>
    <t>Status sesuai dengan mappingan flagging nasabah pada TC-01-TC-47 sesuai dengan detail pada BSDD di point 2.3</t>
  </si>
  <si>
    <t>SCD0274 - Validasi Flagging_20220913-151042845.pdf</t>
  </si>
  <si>
    <t>SCD0017-005</t>
  </si>
  <si>
    <t xml:space="preserve">Validasi screen dan mockup </t>
  </si>
  <si>
    <t>-Normal : Validasi screen dan mockup Fungsi Family Tree Flagging</t>
  </si>
  <si>
    <t xml:space="preserve">
-	Menunggu verifikasi
-	Belum terverifikasi
-	Sudah terverifikasi</t>
  </si>
  <si>
    <t>-	Screen dan mockup Fungsi Family Tree Flagging sesuai dengan bsdd point 2.4</t>
  </si>
  <si>
    <t>SCD0275-Screen and Mockup_20220929-150210290.pdf</t>
  </si>
  <si>
    <t>SCD0017-006</t>
  </si>
  <si>
    <t>-Normal : Validasi screen dan mockup Fungsi Approval / Reject atas Nasabah Usulan</t>
  </si>
  <si>
    <t>-melakukan approval / melakukan reject</t>
  </si>
  <si>
    <t xml:space="preserve">-	screen dan mockup Fungsi Family Tree Flagging sesuai dengan bsdd point 2.5
Misal:
Apabila data yang di centang adalah sebagai berikut:
</t>
  </si>
  <si>
    <t>SCD0276-validsai &amp; Mockup_20220923-101312457.pdf</t>
  </si>
  <si>
    <t>SCD0017-007</t>
  </si>
  <si>
    <t>Jadwal Flagging</t>
  </si>
  <si>
    <t xml:space="preserve">Sales dapat mengajukan usulan: Dari tanggal 15 sampai dengan Akhir Bulan
-        Tahapan Approval (cfm point 2.2 – Mekanisme Approval Model): Dari tanggal 15 sampai dengan tanggal 2 di Bulan Berikutnya
-        Expired usulan Flagging (masih dalam proses menunggu Approval): Tanggal 3 jam 00:00 WIB. Status Pengajuan menjadi ‘Usulan Expired’.
-        Pada tanggal 15 jam 00:00 WIB, sistem akan otomatis menghapus dari ‘Keranjang’ Sales untuk setiap data usulan terkecuali usulan yang telah disetujui sampai pada tahapan akhir (Cfm. Point 2.2 – Mekanisme Approval Model).
-        Penutupan Fungsi Customer Flagging (termasuk Family Tree Flagging): Dari tanggal 3 sampai tanggal 14
</t>
  </si>
  <si>
    <t>sesuai dengan Jadwal/tanggal Proses Flagging</t>
  </si>
  <si>
    <t>SCD0018</t>
  </si>
  <si>
    <t>SCD0018-001</t>
  </si>
  <si>
    <t>Penyelia mengajukan data Non Sales</t>
  </si>
  <si>
    <t xml:space="preserve">Normal Penyelia mengajukan data Non Sales
-	Kirim Usulan
-	Pemimpin Cabang Approve Setuju
NS ≥ 50% hari kerja
</t>
  </si>
  <si>
    <t>-Login sebagai penyelia
-Pilih menu monitoring di fitur non sales update
-Klik button add 
-Isi form
-Klik save
-Setelah berhasil save 
-Kirim Usulan
-Pemimpin Cabang Approve Setuju</t>
  </si>
  <si>
    <t xml:space="preserve">•	Saat input data field NPP  Hanya dapat memilih Sales yang berada dalam kewenangan Penyelia tersebut
•	Saat berhasil Input data status di monitoring “Pengajuan”
•	Saat berhasil Kirim Usulan status approval di monitoring menjadi “Menunggu Approval”
•	Saat pemimpin Cabang melakukan approve setuju status  approval  di monitoring menjadi “Disetujui”
•	Pada report Status Sales berubah
</t>
  </si>
  <si>
    <t>30 Agustus 2022</t>
  </si>
  <si>
    <t>SCD0278-Ajukan Data Non Sales_20220830-112511936.pdf</t>
  </si>
  <si>
    <t>SCD0018-002</t>
  </si>
  <si>
    <t>Penyelia mengajukan data Non Sales NS &lt; 50% hari kerja</t>
  </si>
  <si>
    <t xml:space="preserve">Normal Penyelia mengajukan data Non Sales
-	Kirim Usulan
-	Pemimpin Cabang Approve Setuju
NS &lt; 50% hari kerja
</t>
  </si>
  <si>
    <t>- Login sebagai penyelia
-Pilih menu monitoring di fitur non sales update
-Klik button add 
-Isi form
-Klik save
-Setelah berhasil save 
- Kirim Usulan
-Pemimpin Cabang Approve Setuju</t>
  </si>
  <si>
    <t xml:space="preserve">•	Saat input data field NPP  Hanya dapat memilih Sales yang berada dalam kewenangan Penyelia tersebut
•	Saat berhasil Input data status di monitoring “Pengajuan”
•	Saat Kirim Usulan status approval di monitoring menjadi “Menunggu Approval”
•	Saat pemimpin Cabang melakukan approve setuju status  approval  di monitoring menjadi “Disetujui”
•	Pada report Status sales tidak berubah
</t>
  </si>
  <si>
    <t>SCD0279-Ajukan Data Non Sales_20220830-154952612.pdf</t>
  </si>
  <si>
    <t>SCD0018-003</t>
  </si>
  <si>
    <t>Penyelia mengajukan data Non Sales Pemimpin Cabang Reject</t>
  </si>
  <si>
    <t xml:space="preserve">Normal Penyelia mengajukan data Non Sales
-Kirim Usulan
Pemimpin Cabang reject
</t>
  </si>
  <si>
    <t>-Login pemimpin cabang
-Reject pengajuan</t>
  </si>
  <si>
    <t xml:space="preserve">-        Saat input data field NPP  Hanya dapat memilih Sales yang berada dalam kewenangan Penyelia tersebut
-        Saat berhasil Input data status di monitoring “Pengajuan”
-        Saat berhasil Kirim Usulan status approval di monitoring menjadi “Menunggu Approval”
-        Saat pemimpin Cabang melakukan approve reject status  approval  di monitoring menjadi “Ditolak”
-        Tidak masuk ke dalam report
</t>
  </si>
  <si>
    <t>SCD0280-Pemimpin Cabang Reject_20220830-162107254.pdf</t>
  </si>
  <si>
    <t>SCD0018-004</t>
  </si>
  <si>
    <t>CRO/CRM mengajukan data Non Sales</t>
  </si>
  <si>
    <t xml:space="preserve">Normal CRO/CRM mengajukan data Non Sales
-Kirim Usulan
-Pemimpin Cabang Approve Setuju
NS ≥ 50% hari kerj
</t>
  </si>
  <si>
    <t>- Login sebagai sales
-  Pilih menu monitoring di fitur non sales update
-Klik button add 
-Isi form
- Klik save
- Setelah berhasil save 
- Kirim Usulan
- Pemimpin Cabang Approve Setuju</t>
  </si>
  <si>
    <t xml:space="preserve">•	Saat input data field  NPP akan muncul secara otomatis oleh system berdasarkan user login sales tersebut
•	Saat berhasil Input data status di monitoring “Pengajuan”
•	Saat berhasil Kirim Usulan status approval di monitoring menjadi “Menunggu Approval”
•	Saat pemimpin Cabang melakukan approve setuju status  approval  di monitoring menjadi “Disetujui”
Pada report Status Sales berubah
</t>
  </si>
  <si>
    <t>SCD0281-Ajukan Data Non Sales_20220830-164732260</t>
  </si>
  <si>
    <t>SCD0018-005</t>
  </si>
  <si>
    <t>CRO/CRM mengajukan data Non Sales NS &lt; 50% hari kerja</t>
  </si>
  <si>
    <t xml:space="preserve">Normal CRO/CRM mengajukan data Non Sales
-Kirim Usulan
-Pemimpin Cabang Approve Setuju
NS &lt; 50% hari kerja
</t>
  </si>
  <si>
    <t>-Login sebagai sales
-Pilih menu monitoring di fitur non sales update
-Klik button add 
-Isi form
-Klik save
-Setelah berhasil save 
-Kirim Usulan
-Pemimpin Cabang Approve Setuju</t>
  </si>
  <si>
    <t xml:space="preserve">-	Saat input data field  NPP akan muncul secara otomatis oleh system berdasarkan user login sales tersebut
-	Saat berhasil Input data status di monitoring “Pengajuan”
-	Saat berhasil Kirim Usulan status approval di monitoring menjadi “Menunggu Approval”
-	Saat pemimpin Cabang melakukan approve setuju status  approval  di monitoring menjadi “Disetujui”
-	Pada report Status Sales berubah
</t>
  </si>
  <si>
    <t>SCD0282-Ajukan Data Non Sales_20220831-103724500.pdf</t>
  </si>
  <si>
    <t>SCD0018-006</t>
  </si>
  <si>
    <t>CRO/CRM mengajukan data Non Sales Reject</t>
  </si>
  <si>
    <t xml:space="preserve">Normal CRO/CRM mengajukan data Non Sales
-Kirim Usulan
Pemimpin Cabang reject
</t>
  </si>
  <si>
    <t>-Login sebagai sales
-Pilih menu monitoring di fitur non sales update
-Klik button add 
-Isi form
-Klik save
-Setelah berhasil save 
-Kirim Usulan
-Pemimpin Cabang reject tolak</t>
  </si>
  <si>
    <t xml:space="preserve">•	Saat input data field  NPP akan muncul secara otomatis oleh system berdasarkan user login sales tersebut
•	Saat berhasil Input data status di monitoring “Pengajuan”
•	Saat berhasil Kirim Usulan status approval di monitoring menjadi “Menunggu Approval”
•	Saat pemimpin Cabang melakukan approve reject status  approval  di monitoring menjadi “Ditolak”
Tidak masuk ke dalam report
</t>
  </si>
  <si>
    <t>SCD0283-Pemimpin Cabang Reject_20220831-104117890.pdf</t>
  </si>
  <si>
    <t>SCD0018-007</t>
  </si>
  <si>
    <t>SRM Mengajukan Non Sales NS ≥ 50% hari kerja</t>
  </si>
  <si>
    <t xml:space="preserve">Normal SRM mengajukan data Non Sales
-	Kirim Usulan
-	Penyelia SRM Approve Setuju
NS ≥ 50% hari kerja
</t>
  </si>
  <si>
    <t>- Login sebagai senior rm/srm
-Pilih menu monitoring di fitur non sales update
-Klik button add 
- Isi form
-Klik save
- Setelah berhasil save 
-Kirim Usulan
-Pemimpin Cabang Approve Setuju</t>
  </si>
  <si>
    <t xml:space="preserve">-	Saat input data field  NPP akan muncul secara otomatis oleh system berdasarkan user login sales tersebut
-	Saat Input data status di monitoring “Pengajuan”
-	Saat Kirim Usulan status approval di monitoring menjadi “Menunggu Approval”
-	Saat Penyelia SRM melakukan approve setuju status  approval  di monitoring menjadi “Disetujui”
-	Pada report Status Sales berubah
</t>
  </si>
  <si>
    <t>SCD0284-Ajukan Data Non Sales_20220831-105205364.pdf</t>
  </si>
  <si>
    <t>SCD0018-008</t>
  </si>
  <si>
    <t>SRM Mengajukan Non Sales NS &lt; 50% hari kerja</t>
  </si>
  <si>
    <t xml:space="preserve">Normal  SRM mengajukan data Non Sales
-	Kirim Usulan
-	Penyelia SRM Approve Setuju
NS &lt; 50% hari kerja
</t>
  </si>
  <si>
    <t>- Login sebagai senior rm/srm
-Pilih menu monitoring di fitur non sales update
-Klik button add 
-Isi formKlik save
 Setelah berhasil save 
-Kirim Usulan
-Pemimpin Cabang Approve Setuju</t>
  </si>
  <si>
    <t xml:space="preserve">-	Saat input data field  NPP akan muncul secara otomatis oleh system berdasarkan user login sales tersebut
-	Saat Input data status di monitoring “Pengajuan”
-	Saat Kirim Usulan status approval di monitoring menjadi “Menunggu Approval”
-	Saat Penyelia SRM melakukan approve setuju status  approval  di monitoring menjadi “Disetujui”
-	Pada report Status sales tidak berubah
</t>
  </si>
  <si>
    <t>SCD0285-Ajukan Data Non Sales_20220831-110811108.pdf</t>
  </si>
  <si>
    <t>SCD0018-009</t>
  </si>
  <si>
    <t>Penyelia SRM Approve / Reject</t>
  </si>
  <si>
    <t xml:space="preserve">Normal  SRM mengajukan data Non Sales
-	Kirim Usulan
Penyelia SRM Approve reject
</t>
  </si>
  <si>
    <t>-        Saat input data field  NPP akan muncul secara otomatis oleh system berdasarkan user login sales tersebut
-        Saat Input data status di monitoring “Pengajuan”
-        Saat Kirim Usulan status approval di monitoring menjadi “Menunggu Approval”
-        Saat Penyelia SRM melakukan approve setuju status  approval  di monitoring menjadi “Disetujui”
-        Pada report Status sales tidak berubah</t>
  </si>
  <si>
    <t>SCD0286-PC Aprrove or Reject_20220831-114220995.pdf</t>
  </si>
  <si>
    <t>SCD0018-010</t>
  </si>
  <si>
    <t>Admin SLN mengajukan data Non Sales</t>
  </si>
  <si>
    <t xml:space="preserve">Normal Admin SLN mengajukan data Non Sales
-	Kirim Usulan
NS ≥ 50% hari kerja
</t>
  </si>
  <si>
    <t>-Login sebagai Admin SLN
-Pilih menu monitoring di fitur non sales update
-Klik button add 
-Isi form
-Klik save
-Setelah berhasil save 
-Kirim Usulan</t>
  </si>
  <si>
    <t xml:space="preserve">•	Saat input data field NPP dapat memilih semua Sales
•	Saat Input data status di monitoring “Pengajuan”
Pada report Status Sales berubah
</t>
  </si>
  <si>
    <t>SCD0287-Admin SLN Mengajukan_20220902-145654244.pdf</t>
  </si>
  <si>
    <t>SCD0018-011</t>
  </si>
  <si>
    <t xml:space="preserve">Normal  Admin SLN mengajukan data Non Sales
-	Kirim Usulan
NS &lt; 50% hari kerja
</t>
  </si>
  <si>
    <t xml:space="preserve">•	Saat input data field NPP dapat memilih semua Sales
•	Saat Input data status di monitoring “Pengajuan”
Pada report Status sales tidak berubah
</t>
  </si>
  <si>
    <t>SCD0288-Admin SLN Mengajukan_20220902-150755617.pdf</t>
  </si>
  <si>
    <t>SCD0018-012</t>
  </si>
  <si>
    <t>Admin WEM mengajukan data Non Sales</t>
  </si>
  <si>
    <t xml:space="preserve">Normal Admin WEM mengajukan data Non Sales
-Kirim Usulan
NS ≥ 50% hari kerja
</t>
  </si>
  <si>
    <t>-Login sebagai Admin WEM
-Pilih menu monitoring di fitur non sales update
-Klik button add 
-Isi form
-Klik save
-Setelah berhasil save 
-Kirim Usulan</t>
  </si>
  <si>
    <t xml:space="preserve">•	Saat input data field NPP dapat  memilih semua Sales dengan tipe sales SRM
•	Saat Input data status di monitoring “Pengajuan”
Pada report Status Sales berubah
</t>
  </si>
  <si>
    <t>SCD0289-Admin WEM Mengajukan_20220905-164212996.pdf</t>
  </si>
  <si>
    <t>SCD0018-013</t>
  </si>
  <si>
    <t xml:space="preserve">Normal  Admin WEM mengajukan data Non Sales
-Kirim Usulan
NS &lt; 50% hari kerja
</t>
  </si>
  <si>
    <t xml:space="preserve">•Saat input data field NPP dapat memilih semua Sales dengan tipe sales SRM
•Saat Input data status di monitoring “Pengajuan”
Pada report Status sales tidak berubah
</t>
  </si>
  <si>
    <t>SCD0290-Admin WEM Mengajukan_20220902-170019078.pdf</t>
  </si>
  <si>
    <t>SCD0018-014</t>
  </si>
  <si>
    <t>Penyelia/CRO/CRM/SRM/Admin SLN/Admin WEM mengajukan data Non Sales</t>
  </si>
  <si>
    <t>Abnormal  Penyelia/CRO/CRM/Admin SLN/Admin WEM menginput data yang akan diajukan untuk tidak mengisi field mandatory</t>
  </si>
  <si>
    <t xml:space="preserve">-	Login sebagai Penyelia
-	Login sebagai sales CRO/CRM
-	Login sebagai Admin SLN
-	Login sebagai Admin WEM
Menginput data yang akan di ajukan untuk sales dengan tidak mengisi field mandatory
</t>
  </si>
  <si>
    <t>Gagal menginput data Non Sales</t>
  </si>
  <si>
    <t>SCD0291-Abnormal Data Non Sales_20220901-143258705.pdf</t>
  </si>
  <si>
    <t>SCD0018-015</t>
  </si>
  <si>
    <t>Penyelia/CRO/CRM/SRM mengajukan data Non Sales</t>
  </si>
  <si>
    <t>Normal Penyelia/CRO/CRM/SRM menginput data yang akan diajukan untuk Sales dengan mengisi Tgl Awal dan Tgl Akhir backdate</t>
  </si>
  <si>
    <t xml:space="preserve">-Login sebagai Penyelia
-Login sebagai Sales CRO/CRM
-Login sebagai Sales SRM
Menginput data yang akan diajukan untuk Sales dengan mengisi Tgl Awal dan Tgl Akhir backdate
</t>
  </si>
  <si>
    <t xml:space="preserve">•Backdate Berhasil
Berhasil input data non sales
</t>
  </si>
  <si>
    <t>SCD0292-Backdate Data Non Sales_20220901-160134228.pdf</t>
  </si>
  <si>
    <t>SCD0018-016</t>
  </si>
  <si>
    <t>Penyelia/CRO/CRM/SRM mengajukan data Non Sales Backmonth</t>
  </si>
  <si>
    <t>Abnormal Penyelia/CRO/CRM/SRM menginput data yang akan diajukan untuk Sales dengan mengisi Tgl Awal dan Tgl Akhir backmonth</t>
  </si>
  <si>
    <t xml:space="preserve">-	Login sebagai Penyelia
-	Login sebagai Sales CRO/CRM
-	Login sebagai Sales SRM
Menginput data yang akan diajukan untuk Sales dengan mengisi Tgl Awal dan Tgl Akhir backmonth
</t>
  </si>
  <si>
    <t>-	Gagal menginput data Non Sales</t>
  </si>
  <si>
    <t>SCD0293-Backmonth Non Sales_20220901-164329239.pdf</t>
  </si>
  <si>
    <t>SCD0018-017</t>
  </si>
  <si>
    <t>Admin SLN/Admin WEM mengajukan data Non Sales</t>
  </si>
  <si>
    <t xml:space="preserve">Normal Admin SLN/Admin WEM  menginput data yang akan diajukan untuk Sales dengan mengisi Tgl Awal dan Tgl Akhir backdate </t>
  </si>
  <si>
    <t xml:space="preserve">-	Login sebagai Admin SLN
-	Login sebagai Admin WEM
Menginput data yang akan diajukan untuk dengan mengisi Tgl Awal dan Tgl Akhir backdate
</t>
  </si>
  <si>
    <t xml:space="preserve">•	Berhasil input data Non Sales
No. Surat dan Keterangan Surat tidak berubah menjadi mandatori
</t>
  </si>
  <si>
    <t>SCD0294-Backdate Data Non Sales_20220905-163541528.pdf</t>
  </si>
  <si>
    <t>SCD0018-018</t>
  </si>
  <si>
    <t>Normal Admin SLN/Admin WEM  menginput data yang akan diajukan untuk Sales dengan mengisi Tgl Awal dan Tgl Akhir backmonth</t>
  </si>
  <si>
    <t xml:space="preserve">-	Login sebagai Admin SLN
-	Login Sebagai Admin WEM
Menginput data yang akan diajukan untuk Sales dengan mengisi Tgl Awal dan Tgl Akhir backmonth 
</t>
  </si>
  <si>
    <t xml:space="preserve">•	Berhasil input data Non Sales
No. Surat dan Keterangan Surat berubah menjadi mandatori
</t>
  </si>
  <si>
    <t>SCD0295-Backmonth Non Sales_20220906-154851779.pdf</t>
  </si>
  <si>
    <t>SCD0018-019</t>
  </si>
  <si>
    <t>Penyelia/CRO/CRM/SRM/Admin SLN/Admin WEM melakukan edit data Non Sales yang telah diajukan</t>
  </si>
  <si>
    <t>Normal  Penyelia/CRO/CRM/SRM/Admin SLN/Admin WEM melakukan edit data Non Sales yang telah diajukan</t>
  </si>
  <si>
    <t xml:space="preserve">-	Login sebagai Penyelia
-	Login sebagai Sales CRO/CRM
-	Login sebagai Sales SRM
-	Login sebagai Admin SLN
-	Login Sebagai Admin WEM
Melakukan edit data Non Sales yang telah diajukan 
</t>
  </si>
  <si>
    <t>Berhasil melakukan edit data</t>
  </si>
  <si>
    <t>SCD0296-Edit Data Non Sales_20220907-135444098.pdf</t>
  </si>
  <si>
    <t>SCD0018-020</t>
  </si>
  <si>
    <t>Abnormal  Penyelia/CRO/CRM/SRM/Admin SLN/Admin WEM melakukan edit data Non Sales yang telah diajukan dengan tidak mengisi field mandatory</t>
  </si>
  <si>
    <t xml:space="preserve">-	Login sebagai Penyelia
-	Login sebagai Sales CRO/CRM
-	Login sebagai Sales SRM
-	Login sebagai Admin SLN
-	Login sebagai Admin WEM
Melakukan edit data Non Sales yang telah diajukan dengan tidak mengisi field mandatory 
</t>
  </si>
  <si>
    <t>Gagal melakukan edit data</t>
  </si>
  <si>
    <t>SCD0297-Abnor Edit Non Sales_20220907-161259791.pdf</t>
  </si>
  <si>
    <t>SCD0018-021</t>
  </si>
  <si>
    <t>Admin SLN/Admin WEM  melakukan edit data Non Sales yang telah diajukan</t>
  </si>
  <si>
    <t>Normal  Admin SLN/Admin WEM melakukan edit data Non Sales yang telah diajukan dengan mengisi Tgl Awal dan Tgl Akhir backdate</t>
  </si>
  <si>
    <t>-	Login sebagai Admin SLN
-	Login sebagai Admin WEM</t>
  </si>
  <si>
    <t xml:space="preserve">•	Berhasil edit data Non Sales
No. Surat dan Keterangan Surat tidak jadi mandatory
</t>
  </si>
  <si>
    <t>SCD0298-Edit Backdate Non Sales_20220908-132749064.pdf</t>
  </si>
  <si>
    <t>SCD0018-022</t>
  </si>
  <si>
    <t>Admin SLN/Admin WEM melakukan edit data Non Sales yang telah diajukan</t>
  </si>
  <si>
    <t>Abnormal Admin SLN/Admin WEM  edit data yang akan diajukan untuk Sales dengan mengisi Tgl Awal dan Tgl Akhir backmonth</t>
  </si>
  <si>
    <t xml:space="preserve">-        Login sebagai Admin WEM
-        Login sebagai Admin SLN
Edit data yang akan diajukan untuk Sales dengan mengisi Tgl Awal dan Tgl Akhir backmonth 
</t>
  </si>
  <si>
    <t xml:space="preserve">•        Berhasil edit data Non Sales
No. Surat dan Keterangan Surat berubah menjadi mandatori
</t>
  </si>
  <si>
    <t>SCD0299-Edit Backmonth NonSales_20220908-143010006.pdf</t>
  </si>
  <si>
    <t>SCD0018-023</t>
  </si>
  <si>
    <t>Penyelia/CRO/CRM/SRM/Admin SLN/Admin WEM view data Non Sales yang telah diajukan</t>
  </si>
  <si>
    <t>Normal   Penyelia/CRO/CRM/SRM/Admin SLN/Admin WEM view data Non Sales yang telah diajukan</t>
  </si>
  <si>
    <t>-        Login sebagai Penyelia
-        Login sebagai Sales CRO/CRM
-        Login sebagai Sales SRM
-        Login Admin WEM
-        Login Admin SLN
View data non sales yang telah di ajukan</t>
  </si>
  <si>
    <t>Berhasil melakukan view data</t>
  </si>
  <si>
    <t>SCD0300-View Monitoring_20220908-112715327.pdf</t>
  </si>
  <si>
    <t>SCD0018-024</t>
  </si>
  <si>
    <t>Penyelia/CRO/CRM/SRM/Admin SLN/Admin WEM melakukan delete data Non Sales yang telah diajukan</t>
  </si>
  <si>
    <t>Normal  Penyelia/CRO/CRM/SRM/Admin SLN/Admin WEM melakukan delete data Non Sales yang telah diajukan</t>
  </si>
  <si>
    <t>-	Login sebagai Penyelia
-	Login sebagai Sales CRO/CRM
-	Login sebagai Sales SRM
-	Login Admin WEM
-	Login Admin SLN</t>
  </si>
  <si>
    <t xml:space="preserve">•	Akan muncul pesan pop up untuk memastikan tindakan user (BSDD 3.4.3):
•	Jika pilih Ok data akan terhapus, jika pilih Cancel data tidak akan terhapus
</t>
  </si>
  <si>
    <t>SCD0301-Delete Monitoring_20220908-114341899.pdf</t>
  </si>
  <si>
    <t>SCD0018-025</t>
  </si>
  <si>
    <t>Sales/Penyelia/Penyelia SRM/Pemimpin Cabang/ Pemimpin Wilayah/Admin SLN/Admin WEM mengakses report status Non Sales</t>
  </si>
  <si>
    <t>Normal Sales/Penyelia/Penyelia SRM/Pemimpin Cabang/ Pemimpin Wilayah/Admin SLN/Admin WEM mengakses report status Non Sales</t>
  </si>
  <si>
    <t>-        Login sebagai Sales
-        Login sebagai Penyelia
-        Login sebagai Penyelia SRM
-        Login sebagai Pemimpin Cabang
-        Login sebagai Pemimpin Wilayah
-        Login sebagai Admin SLN
-        Login sebagai Admin WEM</t>
  </si>
  <si>
    <t xml:space="preserve">•	Sales			: NPP akan muncul secara otomatis oleh system berdasarkan user login sales tersebut
•	Penyelia		: Hanya dapat memilih Sales yang berada dalam kewenangan Penyelia tersebut
•	Pimpinan Cabang	: Hanya dapat memilih Sales yang berada dalam Cabang tersebut
•	Pimpinan Wilayah	: Hanya dapat memilih Sales yang berada dalam Cabang- Cabang di Wilayah tersebut
•	Peyelia SRM		: Hanya dapat memilih Sales tipe SRM
•	Berhasil menampilkan data Sales yang mengajukan Non Sales
•	Jika sales melakukan pengajuan non sales lebih dari 1 kali, maka akumulasi Report Status Non Sales akan menyesuaikan dengan data yang sudah ada (contoh ada pada BSDD 3.6.1)
</t>
  </si>
  <si>
    <t>SCD0302-Check NPP_20220912-103025347.pdf</t>
  </si>
  <si>
    <t>SCD0019</t>
  </si>
  <si>
    <t>SCD0019-001</t>
  </si>
  <si>
    <t>Penyesuaian Report Realisasi</t>
  </si>
  <si>
    <t>Portal</t>
  </si>
  <si>
    <t>cek di menu report realisasi</t>
  </si>
  <si>
    <t>•	Jika sales tersebut memiliki status non sales di bulan report maka tampilan pada report realisasi sesuai pada BSDD 3.7</t>
  </si>
  <si>
    <t>SCD0303-Report Realisasi Sales_20220919-164722196.pdf</t>
  </si>
  <si>
    <t>SCD0019-002</t>
  </si>
  <si>
    <t>SCD0304-Report Realisasi Mobile_20220920-124655116.pdf</t>
  </si>
  <si>
    <t>SCD0019-003</t>
  </si>
  <si>
    <t>Penyesuaian Report Performance</t>
  </si>
  <si>
    <t>cek di menu report performance</t>
  </si>
  <si>
    <t>•	Jika sales tersebut memiliki status non sales di bulan report maka tampilan pada report performance sesuai pada BSDD 3.8</t>
  </si>
  <si>
    <t>SCD0305-Report Performance_20220920-133422468.pdf</t>
  </si>
  <si>
    <t>SCD0019-004</t>
  </si>
  <si>
    <t>SCD0306-Performance Mobile_20220921-160704786.pdf</t>
  </si>
  <si>
    <t>SCD0020</t>
  </si>
  <si>
    <t>SCD0020-001</t>
  </si>
  <si>
    <t>Admin SLN menambahkan data hari libur</t>
  </si>
  <si>
    <t>Normal Admin SLN menambahkan data hari libur</t>
  </si>
  <si>
    <t>-	Login sebagai Admin SLN
-	Pilih schedule
-	Pilih parameter hari libur
-	Isi tanggal dan keterangan
-	Lalu add</t>
  </si>
  <si>
    <t xml:space="preserve">•	Berhasil menambahkan hari libur
•	Data yang diinputkan ada pada list
List diurutkan berdasarkan tanggal
</t>
  </si>
  <si>
    <t>SCD0307-Admin SLN Event_20220901-112806142.pdf</t>
  </si>
  <si>
    <t>SCD0020-002</t>
  </si>
  <si>
    <t>Admin SLN mengedit data hari libur</t>
  </si>
  <si>
    <t>Normal Admin SLN mengedit data hari libur</t>
  </si>
  <si>
    <t>-	Login sebagai Admin SLN
-	Pilih schedule
-	Pilih parameter hari libur
-	Isi tahun yang akan di tampilkan 
-	Klik icon serch
-	Pilih data yang akan di edit
-	Klik button edit
-	Lalu edit keterangan
-	Lalu save</t>
  </si>
  <si>
    <t xml:space="preserve">•        Hanya dapat mengedit field keterangan, Berhasil melakukan edit
</t>
  </si>
  <si>
    <t>SCD0308-Admin SLN Event_20220901-113438682.pdf</t>
  </si>
  <si>
    <t>SCD0020-003</t>
  </si>
  <si>
    <t>Admin SLN menghapus data hari libur</t>
  </si>
  <si>
    <t>Normal Admin SLN menghapus data hari libur tanggal &gt;= tanggal hari ini</t>
  </si>
  <si>
    <t>-	Login sebagai Admin SLN
-	Pilih schedule
-	Pilih parameter hari libur
-	Isi tahun yang akan di tampilkan 
-	Klik icon serch
-	Pilih data yang akan di hapus &gt;= tanggal hari ini
-	Klik button hapus</t>
  </si>
  <si>
    <t>Berhasil melakukan hapus data hari libur</t>
  </si>
  <si>
    <t>SCD0309-Admin SLN Event_20220901-114907203.pdf</t>
  </si>
  <si>
    <t>SCD0020-004</t>
  </si>
  <si>
    <t>Abnormal Admin SLN menghapus data hari libur tanggal &lt; tanggal hari ini</t>
  </si>
  <si>
    <t xml:space="preserve">
-	Login sebagai Admin SLN
-	Pilih schedule
-	Pilih parameter hari libur
-	Isi tahun yang akan di tampilkan 
-	Klik icon serch
-	Pilih data yang akan di hapus &lt; tanggal hari ini
-	Klik button hapus</t>
  </si>
  <si>
    <t>Gagal melakukan hapus data hari libur</t>
  </si>
  <si>
    <t>SCD0310-Admin SLN Event_20220901-115624363.pdf</t>
  </si>
  <si>
    <t>SCD0020-005</t>
  </si>
  <si>
    <t>Abnormal jika Admin SLN input parameter yang dimasukkan tidak lengkap</t>
  </si>
  <si>
    <t xml:space="preserve">-	Login sebagai Admin SLN
-	Pilih schedule
-	parameter yang dimasukkan tidak lengkap </t>
  </si>
  <si>
    <t xml:space="preserve">•	Gagal menambahakan data hari libur
Munucl popup masukan parameter pencarian terlebih dahulu
</t>
  </si>
  <si>
    <t>SCD0311-Admin SLN Event_20220902-102108285.pdf</t>
  </si>
  <si>
    <t>SCD0020-006</t>
  </si>
  <si>
    <t>Abnormal jika Admin SLN input parameter dengan tanggal yang di masukan sudah tersedia atau sudah pernah ter input</t>
  </si>
  <si>
    <t xml:space="preserve">-	Login sebagai Admin SLN
-	Pilih schedule
-	Parameter dengan tanggal yang di masukan sudah tersedia atau sudah pernah ter input </t>
  </si>
  <si>
    <t xml:space="preserve">•	Gagal menambahakan data hari libur
Muncul popup data yang di masukan sudah ada
</t>
  </si>
  <si>
    <t>SCD0312-Admin SLN Event_20220905-083642535.pdf</t>
  </si>
  <si>
    <t>SCD0021</t>
  </si>
  <si>
    <t>SCD0021-001</t>
  </si>
  <si>
    <t>Migrasi data Non Sales yang ada pada SAPM ke Digi Sales</t>
  </si>
  <si>
    <t>- query data yang ada SAPM dan Digisales</t>
  </si>
  <si>
    <t>-	Data Non Sales yang ada pada SAPM berhasil dimigrasikan ke Digi Sales</t>
  </si>
  <si>
    <t>SCD0313- Migrasi data_20220909-104323886.pdf</t>
  </si>
  <si>
    <t>SCD0022</t>
  </si>
  <si>
    <t>SCD0022-001</t>
  </si>
  <si>
    <t>Pimpinan Cabang dan Penyelia SRM. Melaukan cancel pengajuan di setujui</t>
  </si>
  <si>
    <t xml:space="preserve">Normal Role Pemimpin cabang dan Penyelia SRM melakukan cancel pengajuan dengan status approval distujui.
Menu monitoring &gt; pilih data yang akan di cancel pengajuan &gt; klik button cancel &gt; klik ok
</t>
  </si>
  <si>
    <t>-	Pemimpin cabang dan Penyelia SRM melakukan cancel pengajuan dengan status approval distujui</t>
  </si>
  <si>
    <t xml:space="preserve">-	Jika status Non Sales yang sebelumnya telah disetujui dan kemudian dicancel, maka Status Approval akan menjadi “PENGAJUAN CANCEL”
-	Berhasil megajukan pembatalan
</t>
  </si>
  <si>
    <t>SCD0314-Cancel Monitoring_20220905-134610346.pdf</t>
  </si>
  <si>
    <t>SCD0022-002</t>
  </si>
  <si>
    <t>Role Pemimpin cabang dan Penyelia SRM melakukan cancel pengajuan dengan status approval ditolak</t>
  </si>
  <si>
    <t xml:space="preserve">Abnormal Role Pemimpin cabang dan Penyelia SRM melakukan cancel pengajuan dengan status approval ditolak.
Menu monitoring &gt; pilih data yang akan di cancel pengajuan &gt; klik button cancel &gt; klik ok
</t>
  </si>
  <si>
    <t xml:space="preserve">-	Menu monitoring 
-	pilih data yang akan di cancel pengajuan setatus ditolak
-	klik button cancel &gt; klik ok </t>
  </si>
  <si>
    <t xml:space="preserve">
-	Gagal melakukan pembatalan pengajuan
-	Muncul popup “Hanya bisa untuk pengajuan yang di stujui
</t>
  </si>
  <si>
    <t>SCD0315-Cancel Monitoring_20220906-111921360.pdf</t>
  </si>
  <si>
    <t>SCD0022-003</t>
  </si>
  <si>
    <t>Role Pemimpin cabang dan Penyelia SRM melakukan cancel pengajuan dengan status approval pengajuan</t>
  </si>
  <si>
    <t xml:space="preserve">Abnormal Role Pemimpin cabang dan Penyelia SRM melakukan cancel pengajuan dengan status approval pengajuan.
Menu monitoring &gt; pilih data yang akan di cancel pengajuan &gt; klik button cancel &gt; klik ok
</t>
  </si>
  <si>
    <t xml:space="preserve">-	Menu monitoring 
-	pilih data yang akan di cancel pengajuan setatus pengajuan
-	klik button cancel &gt; klik ok </t>
  </si>
  <si>
    <t xml:space="preserve">-	Gagal melakukan pembatalan pengajuan
-	Muncul popup “Hanya bisa untuk pengajuan yang di stujui
</t>
  </si>
  <si>
    <t>SCD0316-Cancel Monitoring_20220906-113906955.pdf</t>
  </si>
  <si>
    <t>SCD0022-004</t>
  </si>
  <si>
    <t>Admin SLN melakukan approval pengajuan cancel  distujui</t>
  </si>
  <si>
    <t xml:space="preserve">Normal Role Admin SLN stuju approval dengan status approval pengajuan cancel 
Menu approval &gt; pilih data dengan status pengajuan cancel &gt; klik button setuju
</t>
  </si>
  <si>
    <t xml:space="preserve">-	Pilih Menu approval 
-	Pilih data dengan status pengajuan cancel 
-	klik button setuju </t>
  </si>
  <si>
    <t>Adminn SLN
-	Berhasil melakukan approval pengajuan cancel setuju
-	Setelah di approval data tersebut akan hilang dari list approval admin sln
-	Pada bagian monitoring admin sln status nya berubah jadi di tolak
-	Di report data nya hilang
Sales
-	Pada bagian monitoring status nya berubah jadi di tolak
-	Di report data nya hilang
Penyelia
-	Pada bagian monitoring status nya berubah jadi di tolak
-	Di report data nya hilang</t>
  </si>
  <si>
    <t>SCD0317-Cancel Monitoring Appr_20220907-102221315.pdf</t>
  </si>
  <si>
    <t>SCD0022-005</t>
  </si>
  <si>
    <t>Admin SLN melakukan approval pengajuan cancel di tolak</t>
  </si>
  <si>
    <t xml:space="preserve">Abnormal Role Admin SLN tolak approval dengan status approval pengajuan cancel 
Menu approval &gt; pilih data dengan status pengajuan cancel &gt; klik button tolak
</t>
  </si>
  <si>
    <t>-	Pilih Menu approval 
-	Pilih data dengan status pengajuan cancel 
-	klik button ditolak</t>
  </si>
  <si>
    <t>Adminn SLN
-	Berhasil melakukan approval pengajuan cancel tolak
-	Setelah di approval data tersebut akan hilang dari list approval admin sln
-	Pada bagian monitoring admin sln status nya tidak berubah tetap distujui
-	Di report data ada
Sales
-	Pada bagian monitoring status nya tetap masih di stujui
-	Di report data nya ada
Penyelia
-	Pada bagian monitoring status nya tetap distujui
-	Di report data ada</t>
  </si>
  <si>
    <t>SCD0318-Cancel Monitoring Appr_20220907-103016536.pdf</t>
  </si>
  <si>
    <t>SCD0022-006</t>
  </si>
  <si>
    <t>Admin WEM melakukan approval pengajuan cancel  distujui</t>
  </si>
  <si>
    <t xml:space="preserve">Normal Role Admin WEM stuju approval dengan status approval pengajuan cancel 
Menu approval &gt; pilih data dengan status pengajuan cancel &gt; klik button setuju
</t>
  </si>
  <si>
    <t>Adminn WEM
-	Berhasil melakukan approval pengajuan cancel setuju
-	Setelah di approval data tersebut akan hilang dari list approval admin wem
-	Pada bagian monitoring admin wem status nya berubah jadi di tolak
-	Di report data nya hilang
Sales
-	Pada bagian monitoring status nya berubah jadi di tolak
-	Di report data nya hilang
Penyelia
-	Pada bagian monitoring status nya berubah jadi di tolak
-	Di report data nya hilang</t>
  </si>
  <si>
    <t>SCD0319-Cancel Monitoring Appr_20220907-103623229.pdf</t>
  </si>
  <si>
    <t>SCD0022-007</t>
  </si>
  <si>
    <t>Admin WEM melakukan approval pengajuan cancel di tolak</t>
  </si>
  <si>
    <t xml:space="preserve">Abnormal Role Admin WEM tolak approval dengan status approval pengajuan cancel 
Menu approval &gt; pilih data dengan status pengajuan cancel &gt; klik button tolak
</t>
  </si>
  <si>
    <t xml:space="preserve">
-	Pilih Menu approval 
-	Pilih data dengan status pengajuan cancel 
-	klik button ditolak</t>
  </si>
  <si>
    <t>Adminn WEM
-	Berhasil melakukan approval pengajuan cancel tolak
-	Setelah di approval data tersebut akan hilang dari list approval admin wem
-	Pada bagian monitoring admin wem status nya tidak berubah tetap distujui
-	Di report data ada
Sales
-	Pada bagian monitoring status nya tetap masih di stujui
-	Di report data nya ada
Penyelia
-	Pada bagian monitoring status nya tetap distujui
-	Di report data ada</t>
  </si>
  <si>
    <t>SCD0320-Cancel Monitoring Appr_20220907-104152956.pdf</t>
  </si>
  <si>
    <t>SCD0023</t>
  </si>
  <si>
    <t>SCD0023-001</t>
  </si>
  <si>
    <t>Data Front Liner</t>
  </si>
  <si>
    <t>Normal – Syncnz DB SAPM to 
 DB Digisales data Front Liner</t>
  </si>
  <si>
    <t>- Masuk ke database Digisales  
- Kemudian masukan query seperti berikut :
   SELECT * FROM DigisalesNew..Tbl_Master_Role WHERE Id=1005
   SELECT * FROM DigisalesNew..Tbl_Pegawai WHERE Role_Id=1005</t>
  </si>
  <si>
    <t>- Berhasil melakuakn syncrnz &amp; data sesuai</t>
  </si>
  <si>
    <t>SCD0321- Data Front Liner_20220913-160248733.pdf</t>
  </si>
  <si>
    <t>SCD0024</t>
  </si>
  <si>
    <t>SCD0024-001</t>
  </si>
  <si>
    <t>Penambahan Role</t>
  </si>
  <si>
    <t>Normal -  Penambahan role Customer Service akan diterapkan pada beberapa fitur di DigiSales Portal</t>
  </si>
  <si>
    <t xml:space="preserve">- Login menggunakan username &amp; password yang benar 
  User : 51162
  Password :  digisales123/
- Report Staging Activity  
- Report Staging History
</t>
  </si>
  <si>
    <t>- Report Staging Activity 
- Report Staging History</t>
  </si>
  <si>
    <t>SCD0322 - Penambahan Role_20220909-112247068.pdf</t>
  </si>
  <si>
    <t>SCD0024-002</t>
  </si>
  <si>
    <t>Normal -  Penambahan role Customer Service akan diterapkan pada beberapa fitur di DigiSales Mobile</t>
  </si>
  <si>
    <t xml:space="preserve">MOBILE
1. Costumer Profilling
- Login menggunakan username &amp; password yang benar 
  User : 51162
  Password :  digisales123/
- Klik tombol Search
- Masukan CIF Nasabah
2. Pipeline Staging
- Login menggunakan username &amp; password yang benar 
  User : 51162
  Password :  digisales123/
- Klik menu Pipeline
- Kemudian pilih tahapan Cart, Follow Up, Monitoring, Closing </t>
  </si>
  <si>
    <t>- Customer Profiling Pipeline Staging</t>
  </si>
  <si>
    <t>SCD0323 - Penambahan Role_20220909-140904645.pdf</t>
  </si>
  <si>
    <t>SCD0024-003</t>
  </si>
  <si>
    <t>Fitur pada Customer 
 Service</t>
  </si>
  <si>
    <t>Normal -  Penyesuaian 
 Customer Profiling</t>
  </si>
  <si>
    <t>Costumer Profilling Menu Store 
- Login menggunakan username &amp; password yang benar 
  User : 51162
  Password :  digisales123/
- Masuk ke Menu Store
- Kelolaan
- Pilih Lead
- Detail</t>
  </si>
  <si>
    <t>- Modul Customer Profiling sesuai dengan existing namun fungsi “Add To Flagging” tidak dibutuhkan 
 (Disable)
- Berhasil melakukan Customer Profiling</t>
  </si>
  <si>
    <t>SCD0324-Fitur Customer Service_20220909-145917579.pdf</t>
  </si>
  <si>
    <t>SCD0024-004</t>
  </si>
  <si>
    <t>Normal -  Penyesuaian Report 
 Staging History</t>
  </si>
  <si>
    <t xml:space="preserve">
Staging Histori
- Login menggunakan username &amp; password yang benar 
  User : 51162
  Password :  digisales123/
- Masukan NPP di field NPP/NAMA
- Masukan Tahun
- Masukan Bulan misal "Januari"
- Kemudian Export to Excel -&gt; Pilih format</t>
  </si>
  <si>
    <t>- Field NPP akan terisi secara otomatis oleh system berdasarkan user login Customer Service tersebut.</t>
  </si>
  <si>
    <t>SCD0325-Fitur Pada CS_20220912-123124537.pdf</t>
  </si>
  <si>
    <t>SCD0024-005</t>
  </si>
  <si>
    <t>Normal - Report Staging Activity</t>
  </si>
  <si>
    <t xml:space="preserve">Staging Activity
- Login menggunakan username &amp; password yang benar 
  User : 51162
  Password :  digisales123/
- Masukan NPP di field NPP/NAMA
- Masukan Tahun
- Masukan Tahapan Misal "CART"
- Kemudian Export to Excel -&gt; Pilih format
- Berhasil Download
</t>
  </si>
  <si>
    <t>- Berhasil melakukan searching 
- Berhasil menampilkan data sesuai data yang di searching 
- Berhasil melakukan download dengan data yang sama</t>
  </si>
  <si>
    <t>SCD0326-Fitur Pada CS_20220912-115150801.pdf</t>
  </si>
  <si>
    <t>SCD0024-006</t>
  </si>
  <si>
    <t>Normal - Report Staging History</t>
  </si>
  <si>
    <t>Staging Histori
- Login menggunakan username &amp; password yang benar 
  User : 51162
  Password :  digisales123/
- Masukan NPP di field NPP/NAMA
- Masukan Tahun
- Masukan Bulan misal "Januari"
- Kemudian Export to Excel -&gt; Pilih format
- Berhasil Download</t>
  </si>
  <si>
    <t>SCD0327-Fitur Pada CS_20220912-121632443.pdf</t>
  </si>
  <si>
    <t>SCD0024-007</t>
  </si>
  <si>
    <t>Abnormal - Report pada digisales portal (selain role customer service)</t>
  </si>
  <si>
    <t>Untuk test case 08 di skip tidak bisa disimulasikan karena memang dimunculkan untuk semua user hanya saja ditsmbahkan baru untuk role CS</t>
  </si>
  <si>
    <t>- Tidak berhasil menampilkan menu Report selain Report Staging activity dan report staging history</t>
  </si>
  <si>
    <t>SCD0024-008</t>
  </si>
  <si>
    <t>Report staging history</t>
  </si>
  <si>
    <t>Abnormal – Report staging history digisales portal ( dengan tidak mengisi field mandatory )</t>
  </si>
  <si>
    <t>Staging Histori
- Login menggunakan username &amp; password yang benar 
  User : 51162
  Password :  digisales123/ 
- Masukan NPP di field NPP/NAMA (TIDAK DIISI)
- Masukan Tahun (TIDAK DIISI)
- Masukan Bulan misal "Januari" (TIDAK DIISI)
- Kemudian Export to Excel
- Muncul Popup "isi parameter terlenih dahulu"</t>
  </si>
  <si>
    <t>- Tidak berhasil mendownload file Muncul  popup  “  Isi  parameter 
 pencarian terlebih dahulu “</t>
  </si>
  <si>
    <t>SCD0329-Report Staging_20220912-124513533.pdf</t>
  </si>
  <si>
    <t>SCD0024-009</t>
  </si>
  <si>
    <t>Report staging activity</t>
  </si>
  <si>
    <t>Abnormal – Report staging activity digisales portal ( dengan tidak mengisi field mandatory )</t>
  </si>
  <si>
    <t>Staging Activity
- Login menggunakan username &amp; password yang benar 
  User : 51162
  Password :  digisales123/
- Masukan NPP di field NPP/NAMA
- Masukan Tahun (TIDAK DIISI) 
- Masukan Tahapan Misal "CART" (TIDAK DIISI)
- Kemudian Export to Excel 
- - Muncul Popup "isi parameter terlenih dahulu"</t>
  </si>
  <si>
    <t>- Tidak berhasil mendownload file 
- Muncul  popup  “  Isi  parameter pencarian terlebih dahulu “</t>
  </si>
  <si>
    <t>SCD0330-Report Staging_20220916-151753192.pdf</t>
  </si>
  <si>
    <t>SCD0025</t>
  </si>
  <si>
    <t>SCD0025-001</t>
  </si>
  <si>
    <t>Normal Skenario Menjalankan Fungsi scheduler ConsoleBlastNotifSalesLogin</t>
  </si>
  <si>
    <t>- Setting untuk phone tester dan maksimal data per batch pada database
- Jalankan scheduler 
- Dapat notifikasi pada WA sesuai nomor phone tester
- Login digisales portal dengan admin divisi SLN
- Menu log pengiriman WA
- Isi tanggal dan tipe log wa, kemudian generate
- Klik export to csv
- Check log pada database</t>
  </si>
  <si>
    <t>- Pengiriman blast notifikasi akan dikirimkan perbatch dan akan ada jeda setiap selesai mengirimkan data perbatch. Jumlah message untuk setiap pengiriman Bulk WA dibatasi sebanyak 20 WA message. Sehingga apabila WA message yang akan dikirim melebihi 20 message, maka pengiriman Bulk WA dilakukan secara Batch menggunakan mekanisme sequential (berurutan) dengan rentang antar Bulk selama 2 menit dari selesai proses Batch sebelumnya.
- Status database log notifikasi message WA ke sales.</t>
  </si>
  <si>
    <t>SCD0331-Download CSV Log WA_20220921-113720959.pdf</t>
  </si>
  <si>
    <t>SCD0025-002</t>
  </si>
  <si>
    <t>Abnormal Skenario Menjalankan Fungsi scheduler ConsoleBlastNotifSalesLogin</t>
  </si>
  <si>
    <t>Notifikasi kepada setiap Sales melalui media WhatsApp (WA) untuk setiap Sales yang sudah melakukan login dari satu hari sebelumnya (H-1). Notifikasi Tersebut dikirimkan melalui Scheduler ConsoleBlastNotifSalesLogin.</t>
  </si>
  <si>
    <t>- Setting untuk phone tester dan maksimal data per batch pada database
- Jalankan scheduler 
- Tidak ada notifikasi pada WA sesuai nomor phone tester
- Login digisales portal dengan admin divisi SLN
- Menu log pengiriman WA
- Isi tanggal dan tipe log wa, kemudian generate
- Klik export to csv
- Check log pada database</t>
  </si>
  <si>
    <t xml:space="preserve">- Tidak berhasil pengiriman blast notifikasi message by Whatsapp (WA) ke sales. 
- Status database log notifikasi message WA ke sales.
</t>
  </si>
  <si>
    <t>SCD0332-Abnor Generate Log WA_20220913-125820954.pdf</t>
  </si>
  <si>
    <t>SCD0025-003</t>
  </si>
  <si>
    <t>Pengiriman Bulk WA lebih dari 20 WA message</t>
  </si>
  <si>
    <t>- Setting untuk phone tester dan maksimal data per batch 20 pada database
- Jalankan scheduler 
- Dapat notifikasi pada WA sesuai nomor phone tester
- Login digisales portal dengan admin divisi SLN
- Menu log pengiriman WA
- Isi tanggal dan tipe log wa, kemudian generate
- Klik export to csv
- Check log pada database</t>
  </si>
  <si>
    <t>- Pengiriman Bulk WA dilakukan secara Batch menggunakan mekanisme sequential (berurutan) dengan rentang antar Bulk selama 2 menit dari selesai proses Batch sebelumnya.
- Status database log notifikasi message WA ke sales</t>
  </si>
  <si>
    <t>SCD0333-Generate Log WA 20 Chat_20220913-124527005.pdf</t>
  </si>
  <si>
    <t>SCD0025-004</t>
  </si>
  <si>
    <t>Pengecekan notifikasi wa sales yang belum melakukan login dari satu hari sebelumnya (H-1).</t>
  </si>
  <si>
    <t>- Run scheduler
- Check notifikasi pada whatsapp</t>
  </si>
  <si>
    <t>-  Pesan Notifikasi WA yang dikirimkan adalah sebagai berikut (BSDD point 3.2</t>
  </si>
  <si>
    <t>SCD0025-005</t>
  </si>
  <si>
    <t>Normal Skenario Admin SLN mengakses Report Log Pengiriman WA pada Digisales Portal</t>
  </si>
  <si>
    <t>- Run scheduler
- Login digisales portal dengan admin divisi SLN
- Menu log pengiriman WA
- Isi tanggal dan tipe log WA , kemudian klik generate
- Check tabel sesuai exit acceptance criteria</t>
  </si>
  <si>
    <t>- Berhasil memunculkan data report</t>
  </si>
  <si>
    <t>SCD0335-SLN Generate Log WA_20220914-093623152.pdf</t>
  </si>
  <si>
    <t>SCD0025-006</t>
  </si>
  <si>
    <t>Abnormal Skenario Admin SLN mengakses Report Log Pengiriman WA pada Digi Sales Portal</t>
  </si>
  <si>
    <t>- Login admin divisi SLN
- Menu Log Pengiriman WA
- Klik generate tanpa isi field date dan tipe log WA
- Klik generate dengan isi hanya field date
- Klik generate dengan isi hanya field tipe log WA
- Muncul alert “Isi parameter terlebih dahulu”</t>
  </si>
  <si>
    <t>- Gagal menampilkan report log pengiriman WA
- Muncul popup notifikasi “Harus Isi Parameter Terlebih Dahulu”</t>
  </si>
  <si>
    <t>SCD0336-Abnor Generate Log WA_20220914-112017045.pdf</t>
  </si>
  <si>
    <t>SCD0025-007</t>
  </si>
  <si>
    <t>Normal Skenario Admin SLN mendownload Report Log Pengiriman WA pada Digi Sales Portal</t>
  </si>
  <si>
    <t>- Klik run scheduler
- Check notifikasi pada whatsapp
- Login admin divisi SLN
- Menu log pengiriman WA
- Isi date dan tipe log WA
- Check tabel 
- Klik export to csv
- Check delimiter menggunakan simbol pipe ( | )</t>
  </si>
  <si>
    <t>- Berhasil export data report 
- Export file ke format .csv dengan pemisah (delimeter) menggunakan tanda pipe ( | )</t>
  </si>
  <si>
    <t>SCD0337-Export CSV Log WA_20220914-113903005.pdf</t>
  </si>
  <si>
    <t>SCD0026</t>
  </si>
  <si>
    <t>SCD0026-001</t>
  </si>
  <si>
    <t>View agenda pada Mobile</t>
  </si>
  <si>
    <t>Sales AMA melakukan view agenda pada mobile</t>
  </si>
  <si>
    <t>- Login menggunakan username &amp; password yang benar
- Untuk Lihat agenda:  Klik Lihat Semua
- Untuk penambahan agenda: Scroll  bagian” jadwal hari ini “ ke kanan -&gt; Klik tambah jadwal -&gt;Mengisi form tambah jadwal</t>
  </si>
  <si>
    <t>URL Digisales Mobile : http://192.168.231.13:99/
Sales (ASISTEN MERCHANT DAN AGEN 1)
User : 43988
Password :  digisales123/
Sales (ASISTEN MERCHANT DAN AGEN 2)
User : 103258
Password :  digisales123/</t>
  </si>
  <si>
    <t>- Sales hanya dapat melihat aktivitas dirinya sendiri
- Berhasil melihat semua tanggal, bulan dan tahun
- Berhasil melakukan penambahan marker atau penanda untuk hari yang memiliki agenda
- Berhasil menampilkan detail Agenda diletakkan dibawah tanggal
- Berhasil menampilkan notifikasi pada Handphone jika di tanggal current ada agenda / aktivitas
- Selain role Penyelia, Pemimpin Outlet dan Pimpinan Cabang maka Fungsi Pemberian Comment pada View Form ditiadakan</t>
  </si>
  <si>
    <t>SCD0338-001-View Agenda Mobile_20221021-152613584.pdf</t>
  </si>
  <si>
    <t>SCD0026-002</t>
  </si>
  <si>
    <t>Pemimpin Outlet melakukan view agenda pada mobile</t>
  </si>
  <si>
    <t>- Login menggunakan username &amp; password yang benar
- Untuk Lihat agenda melalui DigiSales Mobile:  Klik Lihat Semua</t>
  </si>
  <si>
    <t>URL Digisales Mobile : http://192.168.231.13:99/
Pemimpin Outlet
User : 30344
Password :  digisales123/</t>
  </si>
  <si>
    <t>- Pemimpi Outlet hanya dapat melihat aktivitas sales kelolaan nya
- Fungsi View sales lain hanya terdapat pada Portal
- Fungsi Pemberian Comment hanya terdapat di Portal
- Dapat melakukan pemberian comment  pada agenda</t>
  </si>
  <si>
    <t>SCD0338-002-View Agenda Mobile_20221021-154440540.pdf</t>
  </si>
  <si>
    <t>SCD0026-003</t>
  </si>
  <si>
    <t>Pemimpin Cabang melakukan view agenda pada mobile</t>
  </si>
  <si>
    <t>- Login menggunakan username &amp; password</t>
  </si>
  <si>
    <t>URL Digisales Mobile : http://192.168.231.13:99/
Pemimpin Cabang
User : 18718
Password :  digisales123/</t>
  </si>
  <si>
    <t>Gagal view aktivitas sales di cabang nya karna tidak dapet akses login pada digisales mobile</t>
  </si>
  <si>
    <t>SCD0338-003 - SCD0338-007_20221021-162827132.pdf</t>
  </si>
  <si>
    <t>SCD0026-004</t>
  </si>
  <si>
    <t>Pemimpin Wilayah melakukan view agenda pada mobile</t>
  </si>
  <si>
    <t>URL Digisales Portal : http://192.168.231.13:8080/
Pemimpin Wilayah
User : 26482
Password :  digisales123/</t>
  </si>
  <si>
    <t>Gagal view aktivitas sales di wilayah nya karna tidak dapet akses login pada digisales mobile</t>
  </si>
  <si>
    <t>SCD0026-005</t>
  </si>
  <si>
    <t>Penyelia melakukan view agenda pada mobile</t>
  </si>
  <si>
    <t>URL Digisales Mobile : http://192.168.231.13:99/
Supervisor
User : 32281
Password :  digisales123/</t>
  </si>
  <si>
    <t>SCD0026-006</t>
  </si>
  <si>
    <t>Admin SLN melakukan view agenda pada mobile</t>
  </si>
  <si>
    <t>URL Digisales Mobile : http://192.168.231.13:99/
Admin SLN
User : 52326
Password :  digisales123/</t>
  </si>
  <si>
    <t>SCD0026-007</t>
  </si>
  <si>
    <t>Admin WEM melakukan view agenda pada mobile</t>
  </si>
  <si>
    <t>URL Digisales Mobile : http://192.168.231.13:99/
Admin WEM
User : 37679
Password :  digisales123/</t>
  </si>
  <si>
    <t>Gagal view aktivitas sales SRM, karna tidak dapet akses login pada digisales mobile</t>
  </si>
  <si>
    <t>SCD0026-008</t>
  </si>
  <si>
    <t>View agenda pada Portal</t>
  </si>
  <si>
    <t>Sales AMA melakukan view agenda pada portal</t>
  </si>
  <si>
    <t>- Login menggunakan username &amp; password yang benar
- Pilih menu agenda pada sidebar di Portal DigiSales</t>
  </si>
  <si>
    <t>URL Digisales Portal : http://192.168.231.13:8080/
Sales (ASISTEN MERCHANT DAN AGEN 1)
User : 43988
Password :  digisales123/
Sales (ASISTEN MERCHANT DAN AGEN 2)
User : 103258
Password :  digisales123/</t>
  </si>
  <si>
    <t>hanya dapat melihat aktivitas dirinya sendiri</t>
  </si>
  <si>
    <t>SCD0338-008-View Agenda Portal_20221024-163110373.pdf</t>
  </si>
  <si>
    <t>SCD0026-009</t>
  </si>
  <si>
    <t>Pemimpin Outlet melakukan view agenda pada portal</t>
  </si>
  <si>
    <t>Login menggunakan username &amp; password yang benar</t>
  </si>
  <si>
    <t>URL Digisales Portal : http://192.168.231.13:8080/
Pemimpin Outlet 
User : 30344
Password :  digisales123/</t>
  </si>
  <si>
    <t>hanya dapat melihat aktivitas sales di kelolaannya</t>
  </si>
  <si>
    <t>SCD0338-009-View Agenda Portal_20221024-160942354.pdf</t>
  </si>
  <si>
    <t>SCD0026-010</t>
  </si>
  <si>
    <t>Pemimpin Cabang melakukan view agenda pada portal</t>
  </si>
  <si>
    <t>- Login menggunakan username &amp; password yang benar
- Pilih menu agenda pada sidebar di Portal DigiSales
- Pilih sales yang akan dilihat aktivitasnya</t>
  </si>
  <si>
    <t>URL Digisales Portal : http://192.168.231.13:8080/
Pemimpin Cabang
User : 18718
Password :  digisales123/</t>
  </si>
  <si>
    <t>hanya dapat melihat aktivitas sales di Cabangnya</t>
  </si>
  <si>
    <t>SCD0338-010-View Agenda Portal_20221025-120713517.pdf</t>
  </si>
  <si>
    <t>SCD0026-011</t>
  </si>
  <si>
    <t>Pemimpin Wilayah melakukan view agenda pada portal</t>
  </si>
  <si>
    <t>hanya dapat melihat aktivitas sales di Wilayahnya</t>
  </si>
  <si>
    <t>SCD0338-011-View Agenda Portal_20221025-122808086.pdf</t>
  </si>
  <si>
    <t>SCD0026-012</t>
  </si>
  <si>
    <t>Penyelia melakukan view agenda pada portal</t>
  </si>
  <si>
    <t>- Login menggunakan username &amp; password yang benar
- Pilih menu agenda pada sidebar di Portal DigiSales
- Pilih sales yang akan dilihat aktivitasnya
- Klik search
- Pilih agenda yang ingin dilihat</t>
  </si>
  <si>
    <t>URL Digisales Portal : http://192.168.231.13:8080/
Supervisor
User : 32281
Password :  digisales123/</t>
  </si>
  <si>
    <t>- Dapat melakukan pemberian comment  pada agenda
- hanya dapat melihat aktivitas sales di kelolaannya</t>
  </si>
  <si>
    <t>SCD0338-012-View Agenda Portal_20221025-133439587.pdf</t>
  </si>
  <si>
    <t>SCD0026-013</t>
  </si>
  <si>
    <t>Admin SLN melakukan view agenda pada portal</t>
  </si>
  <si>
    <t>- Login menggunakan username &amp; password yang benar
- Pilih menu agenda pada sidebar di Portal DigiSales
- Pilih sales yang akan dilihat aktivitasnya
- Klik search</t>
  </si>
  <si>
    <t>URL Digisales Portal : http://192.168.231.13:8080/
Admin Divisi SLN
User : 52326
Password :  digisales123/</t>
  </si>
  <si>
    <t>dapat melihat aktivitas semua sales</t>
  </si>
  <si>
    <t>SCD0338-013-View Agenda Portal_20221025-132529376.pdf</t>
  </si>
  <si>
    <t>SCD0026-014</t>
  </si>
  <si>
    <t>Admin WEM melakukan view agenda pada portal</t>
  </si>
  <si>
    <t>- Login menggunakan username &amp; password yang benar
- Pilih menu agenda pada sidebar di Portal DigiSales
- Pilih sales yang akan dilihat aktivitasnya
- Klik Search</t>
  </si>
  <si>
    <t>URL Digisales Portal : http://192.168.231.13:8080/
Admin WEM
User : 37679
Password :  digisales123/</t>
  </si>
  <si>
    <t>hanya dapat melihat aktivitas sales SRM</t>
  </si>
  <si>
    <t>SCD0338-014-View Agenda Portal_20221025-145904460.pdf</t>
  </si>
  <si>
    <t>SCD0026-015</t>
  </si>
  <si>
    <t>Input Agenda pada Portal</t>
  </si>
  <si>
    <t>Sales AMA melakukan input agenda</t>
  </si>
  <si>
    <t>- Login menggunakan username &amp; password yang benar
- Untuk penambahan agenda: Klik tombol “tambah data”
 -&gt; Mengisi form  -&gt; Klik Save Changes</t>
  </si>
  <si>
    <t>URL Digisales Portal : http://192.168.231.13:8080/
Sales (ASISTEN MERCHANT DAN AGEN 1)
User : 22997
Password :  digisales123/</t>
  </si>
  <si>
    <t>- Berhasil melakukan penginputan agenda
- Fungsi Input Agenda tersedia untuk Mobile dan Portal
- Tertampil pada mobile &amp; portal semua role</t>
  </si>
  <si>
    <t>SCD0338-015-Sales Add Agenda_20221026-093742963.pdf</t>
  </si>
  <si>
    <t>SCD0026-016</t>
  </si>
  <si>
    <t>selain Sales AMA melakukan input agenda</t>
  </si>
  <si>
    <t>URL Digisales Portal : http://192.168.231.13:8080/
Admin SLN
User : 52326
Password :  digisales123/
Admin WEM
User : 37679
Password :  digisales123/
Supervisor
User : 32281
Password :  digisales123/
Pemimpin Wilayah
User : 26482
Password :  digisales123/
Pemimpin Cabang
User : 18718
Password :  digisales123/</t>
  </si>
  <si>
    <t>Tidak dapat melakukan penginputan agenda</t>
  </si>
  <si>
    <t>SCD0338-016-Abnor Add Agenda_20221026-124354615.pdf</t>
  </si>
  <si>
    <t>SCD0026-017</t>
  </si>
  <si>
    <t>Input Komentar pada Agenda Portal</t>
  </si>
  <si>
    <t>Pemimpin Wilayah, Admin SLN &amp; Admin WEM tidak bisa memberikan komentar pada agenda"</t>
  </si>
  <si>
    <t xml:space="preserve">- Login menggunakan username &amp; password yang benar
- Pilih menu agenda
- Pilih sales 
- Klik search
- Pilih tanggal 
- Klik agenda yang akan di view </t>
  </si>
  <si>
    <t>URL Digisales Portal : http://192.168.231.13:8080/
Pemimpin Wilayah
User : 26482
Password :  digisales123/
Admin SLN
User : 52326
Password :  digisales123
Admin WEM
User : 37679
Password :  digisales123/</t>
  </si>
  <si>
    <t>- Tidak ada kolom input komentar pada saat  Pemimpin Wilayah, Admin SLN &amp; Admin WEM
- Tidak bisa input komentar</t>
  </si>
  <si>
    <t>SCD0338-017-Abnor Input Komen_20221027-115735973.pdf</t>
  </si>
  <si>
    <t>takeout</t>
  </si>
  <si>
    <t>TOTAL TC (Development)</t>
  </si>
  <si>
    <t>Automation Lib Dev (DONE)</t>
  </si>
  <si>
    <t>Automation Lib Dev (In Progress)</t>
  </si>
  <si>
    <t>Automation Lib Dev (PENDING)</t>
  </si>
  <si>
    <t>Automation Lib Dev (NOT STARTED)</t>
  </si>
  <si>
    <t>STARTED</t>
  </si>
  <si>
    <t>Verifikasi</t>
  </si>
  <si>
    <t>Run Status UFT (DONE/PDF OK)</t>
  </si>
  <si>
    <t>Run Status UFT(In Progress)</t>
  </si>
  <si>
    <t>Run Status UFT(PENDING)</t>
  </si>
  <si>
    <t>Run Status UFT (NOT STARTED)</t>
  </si>
  <si>
    <t>Weekly</t>
  </si>
  <si>
    <t>Total Thomas</t>
  </si>
  <si>
    <t>Total Putri</t>
  </si>
  <si>
    <t>Grand Total</t>
  </si>
  <si>
    <t>W1 Juli</t>
  </si>
  <si>
    <t>W2 Juli</t>
  </si>
  <si>
    <t>W1 Agustus</t>
  </si>
  <si>
    <t>W2 Agustus</t>
  </si>
  <si>
    <t>W3 Agustus</t>
  </si>
  <si>
    <t>W5 Agustus</t>
  </si>
  <si>
    <t>W1 September</t>
  </si>
  <si>
    <t>W2 September</t>
  </si>
  <si>
    <t>W3 September</t>
  </si>
  <si>
    <t>W4 September</t>
  </si>
  <si>
    <t>W3 Oktober</t>
  </si>
  <si>
    <t>W1 November</t>
  </si>
  <si>
    <t>W2 November</t>
  </si>
  <si>
    <t>"</t>
  </si>
  <si>
    <t>URL Endpoint</t>
  </si>
  <si>
    <t>Response Message</t>
  </si>
  <si>
    <t>Log WMB</t>
  </si>
  <si>
    <t>Log WPS</t>
  </si>
  <si>
    <t>Log Datapower</t>
  </si>
  <si>
    <t>SSOA0001</t>
  </si>
  <si>
    <t>Setor Tunai Tanpa Kartu</t>
  </si>
  <si>
    <t>SOA01-01</t>
  </si>
  <si>
    <t>Request Transaction Code</t>
  </si>
  <si>
    <t>1. Send Request Message</t>
  </si>
  <si>
    <t>Transaction Code Diterima</t>
  </si>
  <si>
    <t>OK</t>
  </si>
  <si>
    <t>- Log WPS: Log bpwtcash
- Log Datapower: MPG_ChannelService
- Database: Tabel Deposit_Cash</t>
  </si>
  <si>
    <t>SOA01-01 - Request Transaction Code.pdf</t>
  </si>
  <si>
    <t>SOA01-02</t>
  </si>
  <si>
    <t>Validasi Transaction Code</t>
  </si>
  <si>
    <t>Transaction Code Valid</t>
  </si>
  <si>
    <t>Fail</t>
  </si>
  <si>
    <t>- Invalid</t>
  </si>
  <si>
    <t>SOA01-03</t>
  </si>
  <si>
    <t>Invalid Transaction Code</t>
  </si>
  <si>
    <t>Transaction Code Invalid</t>
  </si>
  <si>
    <t>SOA01-03 - Invalid Transaction Code.pdf</t>
  </si>
  <si>
    <t>SOA01-04</t>
  </si>
  <si>
    <t>Transaction Code Not Found</t>
  </si>
  <si>
    <t>SOA01-04 - Transaction Code not Found.pdf</t>
  </si>
  <si>
    <t>SOA01-05</t>
  </si>
  <si>
    <t>Transaction Code Expired</t>
  </si>
  <si>
    <t>SSOA0002</t>
  </si>
  <si>
    <t>QRIS Transfer BNI Mobile Banking</t>
  </si>
  <si>
    <t>SOA02-01</t>
  </si>
  <si>
    <t xml:space="preserve">QRIS Transfer BNI Sender </t>
  </si>
  <si>
    <t>{
  "accountNum": "114479721",
  "rrn": "48f405421551",
  "amount": 100,
  "trxTime": "161031",
  "trxDate": "1003",
  "channel": "NEWMOBILE",
  "reference": "MBANK20220315001100123102",
  "narration": "TEST DEV BERITA ACARA NASABAH",
  "additionalDataPrivate": "PI04Q003CD30Bpk FAJAR NURCAHYO            MC03000BN25SUTANTO MANTAP123456POPOPIF00AT0260",
  "qrPayload": "00020101021240500010ID.BMI.WWW01189360014780000000010210AS2345678951450015ID.OR.GPNQR.WWW0215ID10190000000110303UME5204482953033605802ID5906ORISSA6007JAKARTA61051031062380804DMCT992600020001164ac57af5142a8a4563045C9F"
}</t>
  </si>
  <si>
    <t>SOA02-02</t>
  </si>
  <si>
    <t>QRIS Transfer non BNI Sender</t>
  </si>
  <si>
    <t>SOA002-02.pdf</t>
  </si>
  <si>
    <t>SOA02-03</t>
  </si>
  <si>
    <t>QRIS Transfer Abnormal</t>
  </si>
  <si>
    <t>SOA02-04</t>
  </si>
  <si>
    <t>QRIS Transfer Inquiry as BNI Sender</t>
  </si>
  <si>
    <t xml:space="preserve">{
    "accountNum" :"114479721",
    "qrPayload" : "00020101021240500010ID.BMI.WWW01189360014780000000010210AS2345678951450015ID.OR.GPNQR.WWW0215ID10190000000110303UME5204482953033605802ID5906ORISSA6007JAKARTA61051031062380804DMCT992600020001164ac57af5142a8a4563045C9F",
    "timestamp": "10-03-2022 12:29:28",
    "channel" : "NEWMOBILE",
    "reference":"MBANK20211001001100123701",
    "amount": 0
}
</t>
  </si>
  <si>
    <t>SOA02-05</t>
  </si>
  <si>
    <t>QRIS Transfer Inquiry as non BNI Sender</t>
  </si>
  <si>
    <t>SOA002-05.pdf</t>
  </si>
  <si>
    <t>SOA02-06</t>
  </si>
  <si>
    <t>QRIS Transfer Inquiry Abnormal</t>
  </si>
  <si>
    <t>SSOA0003</t>
  </si>
  <si>
    <t>SMS Notifikasi Transaksi Contactless Debit</t>
  </si>
  <si>
    <t>SOA03-01</t>
  </si>
  <si>
    <t>Send Notification</t>
  </si>
  <si>
    <t>Sukses</t>
  </si>
  <si>
    <t>SOA03-01 - Send Notification.pdf</t>
  </si>
  <si>
    <t>SSOA0004</t>
  </si>
  <si>
    <t>Otomasi Pengkreditan Sharing Fee</t>
  </si>
  <si>
    <t>SOA04-01</t>
  </si>
  <si>
    <t>Normal Payment RaiLink</t>
  </si>
  <si>
    <t>CR34809
- Log WMB : Tailcorec
- Log DataPower : MPG_Core_Services
- Database : Tabel Transaksi</t>
  </si>
  <si>
    <t>SOA04-01 - Payment Railink.pdf</t>
  </si>
  <si>
    <t>SOA04-02</t>
  </si>
  <si>
    <t>Normal Payment KAI</t>
  </si>
  <si>
    <t>SOA04-02 - Payment KAI.pdf</t>
  </si>
  <si>
    <t>SOA04-03</t>
  </si>
  <si>
    <t>Normal Payment Topup Gopay</t>
  </si>
  <si>
    <t>SOA04-03 - Payment Topup Gopay.pdf</t>
  </si>
  <si>
    <t>SOA04-04</t>
  </si>
  <si>
    <t>Normal Payment Topup ISaku</t>
  </si>
  <si>
    <t>SOA04-04 - Payment Topup ISaku.pdf</t>
  </si>
  <si>
    <t>SOA04-05</t>
  </si>
  <si>
    <t>Normal Payment Personal Loan HSBC</t>
  </si>
  <si>
    <t>SOA04-05 - Payment Personal Loan HSBC.pdf</t>
  </si>
  <si>
    <t>SSOA0005</t>
  </si>
  <si>
    <t>Portal Autodebet SOA (Service Inquiry Data Nasabah)</t>
  </si>
  <si>
    <t>SOA05-01</t>
  </si>
  <si>
    <t>AccountShortInquiry</t>
  </si>
  <si>
    <t>CR30382
- Log WMB: Tailcorec</t>
  </si>
  <si>
    <t>SOA05-01 - AccountShortInquiry.pdf</t>
  </si>
  <si>
    <t>SOA05-02</t>
  </si>
  <si>
    <t>SOA05-02 - Abnormal AccountShortInquiry.pdf</t>
  </si>
  <si>
    <t>SOA05-03</t>
  </si>
  <si>
    <t>GetCardByAccount</t>
  </si>
  <si>
    <t>SOA05-03 - GetCardByAccount.pdf</t>
  </si>
  <si>
    <t>SOA05-04</t>
  </si>
  <si>
    <t>SOA05-04 - Abnormal GetCardByAccount.pdf</t>
  </si>
  <si>
    <t>SSOA0006</t>
  </si>
  <si>
    <t>SMS Notifikasi &amp; Bukti Transaksi BNI Mobile</t>
  </si>
  <si>
    <t>SOA06-01</t>
  </si>
  <si>
    <t>CR32863
- Log WPS: Tailcr</t>
  </si>
  <si>
    <t>SOA06-01 - Request Transaction Code.pdf</t>
  </si>
  <si>
    <t>SOA06-02</t>
  </si>
  <si>
    <t>Request OTP</t>
  </si>
  <si>
    <t xml:space="preserve">SOA06-02 - Request OTP.pdf </t>
  </si>
  <si>
    <t>SOA06-03</t>
  </si>
  <si>
    <t>Verify OTP</t>
  </si>
  <si>
    <t>SOA06-03 - Verify OTP.pdf</t>
  </si>
  <si>
    <t>SOA06-04</t>
  </si>
  <si>
    <t>Wrong Transaction Code</t>
  </si>
  <si>
    <t xml:space="preserve">SOA06-04 - Wrong Transaction Code.pdf </t>
  </si>
  <si>
    <t>SOA06-05</t>
  </si>
  <si>
    <t>Wrong OTP</t>
  </si>
  <si>
    <t xml:space="preserve">SOA06-05 - Wrong OTP.pdf </t>
  </si>
  <si>
    <t>SOA06-06</t>
  </si>
  <si>
    <t>OTP Expired</t>
  </si>
  <si>
    <t>SOA06-06 - OTP Expired.pdf</t>
  </si>
  <si>
    <t>SSOA0007</t>
  </si>
  <si>
    <t>Pengkinian Data Nasabah Mobile Banking SOA</t>
  </si>
  <si>
    <t>SOA07-01</t>
  </si>
  <si>
    <t>Update Email</t>
  </si>
  <si>
    <t>http://192.168.143.61:47001/CoreService</t>
  </si>
  <si>
    <t>cifnum : 00000009100759876</t>
  </si>
  <si>
    <t>Email berhasil terupdate</t>
  </si>
  <si>
    <t>CR30795
- Log WPS: Tailcorec</t>
  </si>
  <si>
    <t>SOA07-01 - Update Email.pdf</t>
  </si>
  <si>
    <t>SOA07-02</t>
  </si>
  <si>
    <t>Email Kosong</t>
  </si>
  <si>
    <t>Email field kosong</t>
  </si>
  <si>
    <t>SOA07-02 - Email Kosong.pdf</t>
  </si>
  <si>
    <t>SOA07-03</t>
  </si>
  <si>
    <t>Update pendidikan terakhir</t>
  </si>
  <si>
    <t>educationCode = 6</t>
  </si>
  <si>
    <t>Inquiry berhasil</t>
  </si>
  <si>
    <t>SOA07-03 - Update Pendidikan Terakhir.pdf</t>
  </si>
  <si>
    <t>SOA07-04</t>
  </si>
  <si>
    <t>Update Alamat</t>
  </si>
  <si>
    <t xml:space="preserve">Cif number : 00000009100759876
URL    : http://192.168.143.61:47001/CoreService
</t>
  </si>
  <si>
    <t xml:space="preserve">SOA07-04 - Update Alamat.pdf </t>
  </si>
  <si>
    <t>SOA07-05</t>
  </si>
  <si>
    <t>Alamat kosong</t>
  </si>
  <si>
    <t>Alamat gagal diupdate</t>
  </si>
  <si>
    <t>SOA07-05 - Alamat Kosong.pdf</t>
  </si>
  <si>
    <t>SOA07-06</t>
  </si>
  <si>
    <t>Input alamat lebih dari jumlah karakter</t>
  </si>
  <si>
    <t>Update berhasil tetapi yg di tampilkan hanya 40 karakter pada icon 067010</t>
  </si>
  <si>
    <t>SOA07-06 - Input alamat lebih dari jumlah karakter.pdf</t>
  </si>
  <si>
    <t>SOA07-07</t>
  </si>
  <si>
    <t>Update Provinsi</t>
  </si>
  <si>
    <t>SOA07-07 - Update Provinsi.pdf</t>
  </si>
  <si>
    <t>SOA07-08</t>
  </si>
  <si>
    <t>Provinsi Kosong</t>
  </si>
  <si>
    <t>SOA07-08 - Provinsi Kosong.pdf</t>
  </si>
  <si>
    <t>SOA07-09</t>
  </si>
  <si>
    <t>Update Kota atau Kabupaten</t>
  </si>
  <si>
    <t>SOA07-09 - Update Kota atau Kab.pdf</t>
  </si>
  <si>
    <t>SOA07-10</t>
  </si>
  <si>
    <t>Kota atau kabupaten kosong</t>
  </si>
  <si>
    <t>SOA07-10 - Kota atau Kabupaten kosong.pdf</t>
  </si>
  <si>
    <t>SOA07-11</t>
  </si>
  <si>
    <t>Update Kelurahan</t>
  </si>
  <si>
    <t>SOA07-11 - Update Kelurahan.pdf</t>
  </si>
  <si>
    <t>SOA07-12</t>
  </si>
  <si>
    <t>Kelurahan Kosong</t>
  </si>
  <si>
    <t>SOA07-12 - Kelurahan Kosong.pdf</t>
  </si>
  <si>
    <t>SOA07-13</t>
  </si>
  <si>
    <t>Update kode pos</t>
  </si>
  <si>
    <t>SOA07-13 - Update Kode Pos.pdf</t>
  </si>
  <si>
    <t>SOA07-14</t>
  </si>
  <si>
    <t>Kode pos kosong</t>
  </si>
  <si>
    <t>SOA07-14 - Kode Pos Kosong.pdf</t>
  </si>
  <si>
    <t>SOA07-15</t>
  </si>
  <si>
    <t>Ubah no telp</t>
  </si>
  <si>
    <t>SOA07-15 - Ubah no Telp.pdf</t>
  </si>
  <si>
    <t>SOA07-16</t>
  </si>
  <si>
    <t>No telp kosong</t>
  </si>
  <si>
    <t>SOA07-16 - No Telp Kosong.pdf</t>
  </si>
  <si>
    <t>SOA07-17</t>
  </si>
  <si>
    <t>Update tanggal berlaku &amp; jatuh tempo</t>
  </si>
  <si>
    <t>SOA07-17 - Update tanggal berlaku &amp; jatuh tempo.pdf</t>
  </si>
  <si>
    <t>SOA07-18</t>
  </si>
  <si>
    <t>Tanggal berlaku melebihi tanggal sistem</t>
  </si>
  <si>
    <t>SOA07-18 - Tanggal berlaku melebihi tanggal sistem.pdf</t>
  </si>
  <si>
    <t>SOA07-19</t>
  </si>
  <si>
    <t>Tanggal berlaku / tanggal sistem kosong</t>
  </si>
  <si>
    <t>SOA07-19 - Tanggal berlaku atau tanggal sistem kosong.pdf</t>
  </si>
  <si>
    <t>SOA07-20</t>
  </si>
  <si>
    <t>Kode area &lt; 2 digit</t>
  </si>
  <si>
    <t>SOA07-20 - Kode area kurang dari 2 digit.pdf</t>
  </si>
  <si>
    <t>SOA07-21</t>
  </si>
  <si>
    <t>No telp &lt; 5 digit</t>
  </si>
  <si>
    <t>SOA07-21 - No telp kurang dari 5 digit.pdf</t>
  </si>
  <si>
    <t>SOA07-22</t>
  </si>
  <si>
    <t>No telp &gt; 8 digit</t>
  </si>
  <si>
    <t>SOA07-22 - No telp lebih dari 8 digit.pdf</t>
  </si>
  <si>
    <t>SOA07-23</t>
  </si>
  <si>
    <t>Update NPWP</t>
  </si>
  <si>
    <t>SOA07-23 - Update NPWP.pdf</t>
  </si>
  <si>
    <t>SOA07-24</t>
  </si>
  <si>
    <t>NPWP Kosong</t>
  </si>
  <si>
    <t>SOA07-24 - NPWP Kosong.pdf</t>
  </si>
  <si>
    <t>SOA07-25</t>
  </si>
  <si>
    <t>Ubah kode pekerjaan selain (8, 9, 10)</t>
  </si>
  <si>
    <t>SOA07-25 - Ubah Kode Pekerjaan selain (8, 9, 10).pdf</t>
  </si>
  <si>
    <t>SOA07-26</t>
  </si>
  <si>
    <t>Input keterangan pekerjaan</t>
  </si>
  <si>
    <t>SOA07-26 - Input Keterangan Pekerjaan.pdf</t>
  </si>
  <si>
    <t>SOA07-27</t>
  </si>
  <si>
    <t>Input keterangan pekerjaaan &lt;5 karakter</t>
  </si>
  <si>
    <t>SOA07-27 - Input Keterangan Pekerjaan kurang dari 5 Karakter.pdf</t>
  </si>
  <si>
    <t>SOA07-28</t>
  </si>
  <si>
    <t>Input keterangan pekerjaan &gt;40 karakter</t>
  </si>
  <si>
    <t>SOA07-28 - Input Keterangan Pekerjaan lebih dari 40 Karakter.pdf</t>
  </si>
  <si>
    <t>SOA07-29</t>
  </si>
  <si>
    <t>Keterangan pekerjaan kosong</t>
  </si>
  <si>
    <t>SOA07-29 - Keterangan Pekerjaan Kosong.pdf</t>
  </si>
  <si>
    <t>SOA07-30</t>
  </si>
  <si>
    <t>Input nama tempat kerja</t>
  </si>
  <si>
    <t>SOA07-30 - Input nama tempat kerja.pdf</t>
  </si>
  <si>
    <t>SOA07-31</t>
  </si>
  <si>
    <t>Input nama tempat kerja &lt;5 karakter</t>
  </si>
  <si>
    <t>SOA07-31 - Input nama tempat kerja kurang dari 5 karakter.pdf</t>
  </si>
  <si>
    <t>SOA07-32</t>
  </si>
  <si>
    <t>Input nama tempat kerja &gt;60 karakter</t>
  </si>
  <si>
    <t>SOA07-32 - Input nama tempat kerja lebih dari 60 karakter.pdf</t>
  </si>
  <si>
    <t>SOA07-33</t>
  </si>
  <si>
    <t>Nama tempat kerja kosong</t>
  </si>
  <si>
    <t>SOA07-33 - Nama tempat kerja kosong.pdf</t>
  </si>
  <si>
    <t>SOA07-34</t>
  </si>
  <si>
    <t>Input alamat tempat kerja</t>
  </si>
  <si>
    <t>SOA07-34 - Input alamat tempat kerja.pdf</t>
  </si>
  <si>
    <t>SOA07-35</t>
  </si>
  <si>
    <t>Input alamat tempat kerja &lt;5 karakter</t>
  </si>
  <si>
    <t>SOA07-35 - Input alamat tempat kerja kurang dari 5 karakter.pdf</t>
  </si>
  <si>
    <t>SOA07-36</t>
  </si>
  <si>
    <t>Input alamat tempat kerja &gt;40 karakter</t>
  </si>
  <si>
    <t>SOA07-36 - Input alamat tempat kerja lebih dari 40 karakter.pdf</t>
  </si>
  <si>
    <t>SOA07-37</t>
  </si>
  <si>
    <t>Alamat tempat kerja kosong</t>
  </si>
  <si>
    <t>SOA07-37 - Alamat tempat kerja kosong.pdf</t>
  </si>
  <si>
    <t>SOA07-38</t>
  </si>
  <si>
    <t>Ubah kode pekerjaan = 8</t>
  </si>
  <si>
    <t>SOA07-38 - Ubah kode pekerjaan (8).pdf</t>
  </si>
  <si>
    <t>SOA07-39</t>
  </si>
  <si>
    <t>Ubah kode pekerjaan = 9</t>
  </si>
  <si>
    <t>SOA07-39 - Ubah kode pekerjaan (9).pdf</t>
  </si>
  <si>
    <t>SOA07-40</t>
  </si>
  <si>
    <t>Ubah kode pekerjaan = 10</t>
  </si>
  <si>
    <t>SOA07-40 - Ubah kode pekerjaan (10).pdf</t>
  </si>
  <si>
    <t>SOA07-41</t>
  </si>
  <si>
    <t>Update Beneficiary Owner</t>
  </si>
  <si>
    <t>SOA07-41 - UpdateBeneficaryOwner.pdf</t>
  </si>
  <si>
    <t>SOA07-42</t>
  </si>
  <si>
    <t xml:space="preserve">Nama pemilik dana, alamat, &amp; no tlp &lt; 5 Digit </t>
  </si>
  <si>
    <t>SOA07-42 - Nama pemilik dana, alamat, &amp; no tlp kurang dari 5 Digit.pdf</t>
  </si>
  <si>
    <t>SOA07-43</t>
  </si>
  <si>
    <t xml:space="preserve">Nama pemilik dana, Alamat, dan no tlp &gt; 60,40, dan 15 Digit </t>
  </si>
  <si>
    <t>SOA07-43 - Abnormal nama pemilik dana, Alamat, dan no tlp kurang dari 60,40, dan 15 Digit.pdf</t>
  </si>
  <si>
    <t>SOA07-44</t>
  </si>
  <si>
    <t>kosong / delete nama pemilik dana, Alamat,no tlp</t>
  </si>
  <si>
    <t>SOA07-44 - Abnormal kosong atau delete nama pemilik dana, Alamat,no tlp.pdf</t>
  </si>
  <si>
    <t>SOA07-45</t>
  </si>
  <si>
    <t>Pemilik dana Input atau Update hubungan</t>
  </si>
  <si>
    <t>SOA07-45 - Normal Pemilik dana Input atau Update hubungan.pdf</t>
  </si>
  <si>
    <t>SOA07-46</t>
  </si>
  <si>
    <t>Abnormal Pemilik dana Hubungan tidak dipilih</t>
  </si>
  <si>
    <t>SOA07-46 - Abnormal Pemilik dana Hubungan tidak dipilih.pdf</t>
  </si>
  <si>
    <t>SOA07-52</t>
  </si>
  <si>
    <t>Abnormal Pemilik dana input no telp alphanumeric</t>
  </si>
  <si>
    <t xml:space="preserve">CR30231 </t>
  </si>
  <si>
    <t>SOA07-52 - Abnormal Pemilik dana input no telp alphanumeric.pdf</t>
  </si>
  <si>
    <t>SSOA0008</t>
  </si>
  <si>
    <t>Nasabah Melakukan Top Up Pulsa &amp; Paket Data</t>
  </si>
  <si>
    <t>SOA0008-001</t>
  </si>
  <si>
    <t>Nasabah melakukan top up paket data Telkomsel (Narindo)</t>
  </si>
  <si>
    <t xml:space="preserve">http://192.168.250.121:8080/auth
http://192.168.250.121:8080/prepaidDataMultiInquiry
http://192.168.250.121:8080/prepaidDataMultiPayment
</t>
  </si>
  <si>
    <t>SOA0008-001 - Nasabah melakukan top up paket data Telkomsel (Narindo).pdf</t>
  </si>
  <si>
    <t>SOA0008-002</t>
  </si>
  <si>
    <t>Nasabah melakukan top up paket data Telkomsel (OKB)</t>
  </si>
  <si>
    <t xml:space="preserve">SOA0008-002 - Nasabah melakukan top up paket data Telkomsel (OKB).pdf </t>
  </si>
  <si>
    <t>SOA0008-003</t>
  </si>
  <si>
    <t>Nasabah melakukan top up paket data XL</t>
  </si>
  <si>
    <t>SOA0008-003 - Nasabah melakukan top up paket data XL.pdf</t>
  </si>
  <si>
    <t>SOA0008-004</t>
  </si>
  <si>
    <t>Nasabah melakukan top up paket data Indosat</t>
  </si>
  <si>
    <t>SOA0008-004 - Nasabah melakukan top up paket data Indosat.pdf</t>
  </si>
  <si>
    <t>SOA0008-005</t>
  </si>
  <si>
    <t>Nasabah melakukan top up paket data Smartfren</t>
  </si>
  <si>
    <t>SOA0008-005 - Nasabah melakukan top up paket data Smartfren.pdf</t>
  </si>
  <si>
    <t>SOA0008-006</t>
  </si>
  <si>
    <t>Nasabah melakukan top up paket data Three</t>
  </si>
  <si>
    <t xml:space="preserve">SOA0008-006 - Nasabah melakukan top up paket data Three.pdf </t>
  </si>
  <si>
    <t>SOA0008-007</t>
  </si>
  <si>
    <t>Nasabah melakukan top up paket data saldo kurang</t>
  </si>
  <si>
    <t xml:space="preserve">SOA0008-007 - Nasabah melakukan top up paket data saldo kurang.pdf </t>
  </si>
  <si>
    <t>SOA0008-008</t>
  </si>
  <si>
    <t xml:space="preserve">PIN/Password transaksi salah 3 kali </t>
  </si>
  <si>
    <t>SOA0008-009</t>
  </si>
  <si>
    <t xml:space="preserve">Pembelian Paket Data- Password/Pin transaksi salah </t>
  </si>
  <si>
    <t xml:space="preserve">SOA0008-009 - Pembelian Paket Data- Password atau Pin transaksi salah.pdf </t>
  </si>
  <si>
    <t>SOA0008-010</t>
  </si>
  <si>
    <t xml:space="preserve">Pembelian Paket Data - No HP tidak terdaftar </t>
  </si>
  <si>
    <t xml:space="preserve">SOA0008-010 - Pembelian Paket Data - No HP tidak terdaftar.pdf </t>
  </si>
  <si>
    <t>SOA0008-011</t>
  </si>
  <si>
    <t>Payment Paket Data Transaksi Sudah Dilakukan</t>
  </si>
  <si>
    <t xml:space="preserve">SOA0008-011 - Payment Paket Data Transaksi Sudah Dilakukan.pdf </t>
  </si>
  <si>
    <t>SOA0008-012</t>
  </si>
  <si>
    <t xml:space="preserve">Pembelian Paket Data - Host Down/timeout </t>
  </si>
  <si>
    <t>SSOA0009</t>
  </si>
  <si>
    <t>Nasabah melakukan Top Up Tapcash</t>
  </si>
  <si>
    <t>SOA0009-001</t>
  </si>
  <si>
    <t>Transaction Success – Direct Topup</t>
  </si>
  <si>
    <t>http://192.168.151.220:44020/ChannelService</t>
  </si>
  <si>
    <t>SOA0009-002</t>
  </si>
  <si>
    <t>Reversal – Direct Topup</t>
  </si>
  <si>
    <t>SOA0009-003</t>
  </si>
  <si>
    <t>Transaction Success – Pending Topup</t>
  </si>
  <si>
    <t>SOA0009-004</t>
  </si>
  <si>
    <t>Transaction Success – Update Balance</t>
  </si>
  <si>
    <t>SOA0009-005</t>
  </si>
  <si>
    <t>Reversal – Update Balance</t>
  </si>
  <si>
    <t>SOA0009-006</t>
  </si>
  <si>
    <t>Direct Topup Timeout</t>
  </si>
  <si>
    <t>SSOA0010</t>
  </si>
  <si>
    <t>Pendebetan Biaya Loket di Agen46 – Enhancement Laporan Transaksi</t>
  </si>
  <si>
    <t>SOA0010-001</t>
  </si>
  <si>
    <t>Laporan Transaksi All Status</t>
  </si>
  <si>
    <t>http://192.168.250.121:8080/getTransaksi</t>
  </si>
  <si>
    <t>SOA0010-001 - Laporan Transaksi All Status.pdf</t>
  </si>
  <si>
    <t>SOA0010-002</t>
  </si>
  <si>
    <t>Laporan Transaksi Status Berhasil</t>
  </si>
  <si>
    <t>SOA0010-002 - Laporan Transaksi Status Berhasil.pdf</t>
  </si>
  <si>
    <t>SOA0010-003</t>
  </si>
  <si>
    <t>Laporan Transaksi Status Pending</t>
  </si>
  <si>
    <t>SOA0010-003 - Laporan Transaksi Status Pending.pdf</t>
  </si>
  <si>
    <t>SOA0010-004</t>
  </si>
  <si>
    <t>LaporanTransaksi Status Gagal</t>
  </si>
  <si>
    <t>SOA0010-004 - Laporan Transaksi Status Gagal.pdf</t>
  </si>
  <si>
    <t>SSOA0011</t>
  </si>
  <si>
    <t>Top Up Uang Elektronik</t>
  </si>
  <si>
    <t>SOA0011-001</t>
  </si>
  <si>
    <t>Pembelian TopUp GOPAY Customer</t>
  </si>
  <si>
    <t>http://192.168.250.121:8080/gopayInquiry
http://192.168.250.121:8080/gopayPayment</t>
  </si>
  <si>
    <t xml:space="preserve">SOA0011-001 - Pembelian TopUp GOPAY Customer.pdf </t>
  </si>
  <si>
    <t>SOA0011-002</t>
  </si>
  <si>
    <t xml:space="preserve">Pembelian TopUp GOPAY Driver </t>
  </si>
  <si>
    <t>SOA0011-002 - Pembelian TopUp GOPAY Driver.pdf</t>
  </si>
  <si>
    <t>SOA0011-003</t>
  </si>
  <si>
    <t>Pembelian TopUp GOPAY Merchant</t>
  </si>
  <si>
    <t>SOA0011-003 - Pembelian TopUp GOPAY Merchant.pdf</t>
  </si>
  <si>
    <t>SOA0011-004</t>
  </si>
  <si>
    <t>Pembelian TopUp LinkAja</t>
  </si>
  <si>
    <t>http://192.168.250.121:8080/linkAjaInquiry
http://192.168.250.121:8080/linkAjaPayment</t>
  </si>
  <si>
    <t>SOA0011-004 - Pembelian TopUp LinkAja.pdf</t>
  </si>
  <si>
    <t>SOA0011-005</t>
  </si>
  <si>
    <t>Pembelian TopUp iSaku</t>
  </si>
  <si>
    <t>http://192.168.250.121:8080/iSAKUInquiry
http://192.168.250.121:8080/iSAKUPayment</t>
  </si>
  <si>
    <t>SOA0011-005 - Pembelian TopUp iSaku.pdf</t>
  </si>
  <si>
    <t>SOA0011-006</t>
  </si>
  <si>
    <t>Abnormal Pin transaksi salah 3 kali</t>
  </si>
  <si>
    <t>SOA0011-006 - Abnormal Pin transaksi salah 3 kali.pdf</t>
  </si>
  <si>
    <t>SOA0011-007</t>
  </si>
  <si>
    <t xml:space="preserve">Abnormal Password salah/kosong </t>
  </si>
  <si>
    <t xml:space="preserve">SOA0011-007 - Abnormal Password salah atau kosong.pdf </t>
  </si>
  <si>
    <t>SOA0011-008</t>
  </si>
  <si>
    <t>Abnormal Pembelian TopUp GOPAY- Saldo Kurang</t>
  </si>
  <si>
    <t>SOA0011-008 - Abnormal Pembelian TopUp GOPAY- Saldo Kurang.pdf</t>
  </si>
  <si>
    <t>SOA0011-009</t>
  </si>
  <si>
    <t>No HP tidak terdaftar</t>
  </si>
  <si>
    <t>SOA0011-010</t>
  </si>
  <si>
    <t>Abnormal Pembelian TopUp GOPAY - Host Down</t>
  </si>
  <si>
    <t>SOA0011-011</t>
  </si>
  <si>
    <t>Abnormal Pembelian TopUp LinkAja- Melebihi limit transaksi harian</t>
  </si>
  <si>
    <t>SOA0011-011 - Abnormal Pembelian TopUp LinkAja- Melebihi limit transaksi harian.pdf</t>
  </si>
  <si>
    <t>SOA0011-012</t>
  </si>
  <si>
    <t>Abnormal Pembelian TopUp LinkAja - Kurang dari min transaksi</t>
  </si>
  <si>
    <t xml:space="preserve">SOA0011-012 - Abnormal Pembelian TopUp LinkAja - Kurang dari min transaksi.pdf </t>
  </si>
  <si>
    <t>SOA0011-013</t>
  </si>
  <si>
    <t>Abnormal - Session Invalid</t>
  </si>
  <si>
    <t>SOA0011-013 - Abnormal - Session Invalid.pdf</t>
  </si>
  <si>
    <t>SOA0011-014</t>
  </si>
  <si>
    <t>Abnormal Pembelian TopUp LinkAja - Host Down</t>
  </si>
  <si>
    <t>SOA0011-014 - Abnormal Pembelian TopUp LinkAja - Host Down.pdf</t>
  </si>
  <si>
    <t>SSOA0012</t>
  </si>
  <si>
    <t>LPG Logbook</t>
  </si>
  <si>
    <t>SOA0012-001</t>
  </si>
  <si>
    <t>LPG 3 Kg Insert LogBook (Normal)</t>
  </si>
  <si>
    <t>http://192.168.250.121:8080/lpg3kgInsertLogbook</t>
  </si>
  <si>
    <t>SOA0012-002</t>
  </si>
  <si>
    <t>LPG 3 Kg Insert LogBook (Wrong pin)</t>
  </si>
  <si>
    <t>SOA0012-002 - LPG 3 Kg Insert LogBook (Wrong pin).pdf</t>
  </si>
  <si>
    <t>SOA0012-003</t>
  </si>
  <si>
    <t>LPG 3 Kg Insert LogBook (Error SOA)</t>
  </si>
  <si>
    <t>SOA0012-003 - LPG 3 Kg Insert LogBook (Error SOA).pdf</t>
  </si>
  <si>
    <t>SOA0012-004</t>
  </si>
  <si>
    <t>LPG 3 Kg Insert LogBook (Session Not Found)</t>
  </si>
  <si>
    <t>SOA0012-004 - LPG 3 Kg Insert LogBook (Session Not Found).pdf</t>
  </si>
  <si>
    <t>SOA0012-005</t>
  </si>
  <si>
    <t>LPG 3 Kg Insert LogBook (Session Invalid)</t>
  </si>
  <si>
    <t>SOA0012-005 - LPG 3 Kg Insert LogBook (Session Invalid).pdf</t>
  </si>
  <si>
    <t>SOA0012-006</t>
  </si>
  <si>
    <t>LPG 3 Kg Insert LogBook (Bypass Session)</t>
  </si>
  <si>
    <t>SOA0012-007</t>
  </si>
  <si>
    <t>LPG 3 Kg Inquiry Log Book (Normal)</t>
  </si>
  <si>
    <t>http://192.168.250.121:8080/lpg3kgInquiryLogbook</t>
  </si>
  <si>
    <t>SOA0012-008</t>
  </si>
  <si>
    <t>LPG 3 Kg Inquiry Log Book (error SOA)</t>
  </si>
  <si>
    <t>SOA0012-008 - LPG 3 Kg Inquiry Log Book (error SOA).pdf</t>
  </si>
  <si>
    <t>SOA0012-009</t>
  </si>
  <si>
    <t>LPG 3 Kg Inquiry Log Book (Session Not Found)</t>
  </si>
  <si>
    <t>SOA0012-009 - LPG 3 Kg Inquiry Log Book (Session Not Found).pdf</t>
  </si>
  <si>
    <t>SOA0012-010</t>
  </si>
  <si>
    <t>LPG 3 Kg Inquiry Log Book (Session Invalid)</t>
  </si>
  <si>
    <t>SOA0012-010 - LPG 3 Kg Inquiry Log Book (Session Invalid).pdf</t>
  </si>
  <si>
    <t>SOA0012-011</t>
  </si>
  <si>
    <t>LPG 3 Kg Inquiry Log Book (Bypass Session)</t>
  </si>
  <si>
    <t>SOA0012-012</t>
  </si>
  <si>
    <t>LPG 3 Kg Update Log Book (Normal)</t>
  </si>
  <si>
    <t>http://192.168.250.121:8080/lpg3kgUpdateLogbook</t>
  </si>
  <si>
    <t>SOA0012-013</t>
  </si>
  <si>
    <t>LPG 3 Kg Update Log Book (Wrong pin)</t>
  </si>
  <si>
    <t xml:space="preserve">SOA0012-013 - LPG 3 Kg Update Log Book (Wrong pin).pdf </t>
  </si>
  <si>
    <t>SOA0012-014</t>
  </si>
  <si>
    <t>LPG 3 Kg Update Log Book (Error SOA)</t>
  </si>
  <si>
    <t>SOA0012-014 - LPG 3 Kg Update Log Book (Error SOA).pdf</t>
  </si>
  <si>
    <t>SOA0012-015</t>
  </si>
  <si>
    <t>LPG 3 Kg Update Log Book (Session Not Found)</t>
  </si>
  <si>
    <t>SOA0012-015 - LPG 3 Kg Update Log Book (Session Not Found).pdf</t>
  </si>
  <si>
    <t>SOA0012-016</t>
  </si>
  <si>
    <t>LPG 3 Kg Update Log Book (Session Invalid)</t>
  </si>
  <si>
    <t>SOA0012-016 - LPG 3 Kg Update Log Book (Session Invalid).pdf</t>
  </si>
  <si>
    <t>SOA0012-017</t>
  </si>
  <si>
    <t>LPG 3 Kg Update Log Book (Bypass  Session)</t>
  </si>
  <si>
    <t>SOA0012-018</t>
  </si>
  <si>
    <t>LPG 3 Kg Delete Log Book (Normal)</t>
  </si>
  <si>
    <t>http://192.168.250.121:8080/lpg3kgDeleteLogbook</t>
  </si>
  <si>
    <t>SOA0012-019</t>
  </si>
  <si>
    <t>LPG 3 Kg Delete Log Book (Wrong pin)</t>
  </si>
  <si>
    <t xml:space="preserve">SOA0012-019 - LPG 3 Kg Delete Log Book (Wrong pin).pdf </t>
  </si>
  <si>
    <t>SOA0012-020</t>
  </si>
  <si>
    <t>LPG 3 Kg Delete Log Book (error SOA)</t>
  </si>
  <si>
    <t>SOA0012-020 - LPG 3 Kg Delete Log Book (error SOA).pdf</t>
  </si>
  <si>
    <t>SOA0012-021</t>
  </si>
  <si>
    <t>LPG 3 Kg Delete Log Book (Session Not Found)</t>
  </si>
  <si>
    <t xml:space="preserve">SOA0012-021 - LPG 3 Kg Delete Log Book (Session Not Found).pdf </t>
  </si>
  <si>
    <t>SOA0012-022</t>
  </si>
  <si>
    <t>LPG 3 Kg Delete Log Book (Session Invalid)</t>
  </si>
  <si>
    <t xml:space="preserve">SOA0012-022 - LPG 3 Kg Delete Log Book (Session Invalid).pdf </t>
  </si>
  <si>
    <t>SOA0012-023</t>
  </si>
  <si>
    <t>LPG 3 Kg Delete Log Book (Bypass Session)</t>
  </si>
  <si>
    <t>SSOA0013</t>
  </si>
  <si>
    <t>LPG 3 KG</t>
  </si>
  <si>
    <t>SOA0013-001</t>
  </si>
  <si>
    <t xml:space="preserve">Normal Inquiry LPG 3KG </t>
  </si>
  <si>
    <t>http://192.168.250.121:8080/auth
http://192.168.250.121:8080/LPG3KGInquiry
http://192.168.250.121:8080/LPG3KGPayment</t>
  </si>
  <si>
    <t>SOA0013-001 - Normal Inquiry LPG 3KG.pdf</t>
  </si>
  <si>
    <t>SOA0013-002</t>
  </si>
  <si>
    <t>Inquiry LPG 3KG Error</t>
  </si>
  <si>
    <t>SOA0013-002 - Inquiry LPG 3KG Error.pdf</t>
  </si>
  <si>
    <t>SOA0013-003</t>
  </si>
  <si>
    <t>Inquiry LPG 3KG Session Tidak Ditemukan</t>
  </si>
  <si>
    <t>SOA0013-003 - Inquiry LPG 3KG Session Tidak Ditemukan.pdf</t>
  </si>
  <si>
    <t>SOA0013-004</t>
  </si>
  <si>
    <t>Inquiry LPG 3KG Session Invalid</t>
  </si>
  <si>
    <t>SOA0013-004 - Inquiry LPG 3KG Session Invalid.pdf</t>
  </si>
  <si>
    <t>SOA0013-005</t>
  </si>
  <si>
    <t>Inquiry LPG 3KG id_api Bukan Web atau Mobile</t>
  </si>
  <si>
    <t>SOA0013-005 - Inquiry LPG 3KG id_api Bukan Web atau Mobile.pdf</t>
  </si>
  <si>
    <t>SOA0013-006</t>
  </si>
  <si>
    <t>Payment LPG 3KG Normal</t>
  </si>
  <si>
    <t>SOA0013-006 - Payment LPG 3KG Normal.pdf</t>
  </si>
  <si>
    <t>SOA0013-007</t>
  </si>
  <si>
    <t>Payment LPG 3KG Transaksi Sudah Dilakukan</t>
  </si>
  <si>
    <t>SOA0013-007 - Payment LPG 3KG Transaksi Sudah Dilakukan.pdf</t>
  </si>
  <si>
    <t>SOA0013-008</t>
  </si>
  <si>
    <t>Payment LPG 3KG Transaksi Pin Salah</t>
  </si>
  <si>
    <t>SOA0013-008 - Payment LPG 3KG Transaksi Pin Salah.pdf</t>
  </si>
  <si>
    <t>SOA0013-009</t>
  </si>
  <si>
    <t>Payment LPG 3KG Error</t>
  </si>
  <si>
    <t>SOA0013-009 - Payment LPG 3KG Error.pdf</t>
  </si>
  <si>
    <t>SOA0013-010</t>
  </si>
  <si>
    <t>Payment LPG 3KG Session Tidak Ditemukan</t>
  </si>
  <si>
    <t>SOA0013-010 - Payment LPG 3KG Session Tidak Ditemukan.pdf</t>
  </si>
  <si>
    <t>SOA0013-011</t>
  </si>
  <si>
    <t>Payment LPG 3KG Session Invalid</t>
  </si>
  <si>
    <t>SOA0013-011 - Payment LPG 3KG Session Invalid.pdf</t>
  </si>
  <si>
    <t>SOA0013-012</t>
  </si>
  <si>
    <t>Payment LPG 3KG id_api Bukan Web atau Mobile</t>
  </si>
  <si>
    <t>SOA0013-012 - Payment LPG 3KG id_api Bukan Web atau Mobile.pdf</t>
  </si>
  <si>
    <t>SSOA0014</t>
  </si>
  <si>
    <t>Telkom Pay</t>
  </si>
  <si>
    <t>SOA0014-001</t>
  </si>
  <si>
    <t>Normal Inquiry Telkom Pay</t>
  </si>
  <si>
    <t>http://192.168.250.121:8080/auth
http://192.168.250.121:8080/telkomInquiry
http://192.168.250.121:8080/telkomPayment</t>
  </si>
  <si>
    <t>SOA0014-002</t>
  </si>
  <si>
    <t>Normal Payment Telkom Pay</t>
  </si>
  <si>
    <t xml:space="preserve">{"error":true,"errorNum":"-2","message":"Terjadi gangguan jaringan, Mohon agen melakukan cek transaksi rekening"}
</t>
  </si>
  <si>
    <t>SOA0014-003</t>
  </si>
  <si>
    <t>Abnormal Payment Telkom Pay Transaksi Sudah Dilakukan</t>
  </si>
  <si>
    <t>SOA0014-004</t>
  </si>
  <si>
    <t>Abnormal Payment Telkom Pay Pin Salah</t>
  </si>
  <si>
    <t>SOA0014-005</t>
  </si>
  <si>
    <t>Abnormal Payment Telkom Pay Pin Salah 3 kali</t>
  </si>
  <si>
    <t>SOA0014-006</t>
  </si>
  <si>
    <t>Abnormal Payment Telkom Pay Saldo Debit Kurang</t>
  </si>
  <si>
    <t>SOA0014-007</t>
  </si>
  <si>
    <t>Abnormal Inquiry Telkom Pay Session Invalid</t>
  </si>
  <si>
    <t>SOA0014-008</t>
  </si>
  <si>
    <t>Abnormal Payment Telkom Pay Session Invalid</t>
  </si>
  <si>
    <t>SSOA0015</t>
  </si>
  <si>
    <t>Pinjaman/Personal Loan</t>
  </si>
  <si>
    <t>SOA0015-001</t>
  </si>
  <si>
    <t>Payment Personal Loan Normal - HSBC</t>
  </si>
  <si>
    <t>http://192.168.250.121:8080/auth
http://192.168.250.121:8080/personalLoanPayment</t>
  </si>
  <si>
    <t xml:space="preserve">"bankCode" : "HSBC_PL", 
"cardNum" : "045506458840" </t>
  </si>
  <si>
    <t>perubahan response body di new BE</t>
  </si>
  <si>
    <t>SOA0015-001 - Payment Personal Loan Normal - HSBC.pdf</t>
  </si>
  <si>
    <t>SOA0015-002</t>
  </si>
  <si>
    <t>Payment Personal Loan Normal - Citibank</t>
  </si>
  <si>
    <t xml:space="preserve">"bankCode" : "CITIBANK_PL", 
"cardNum" : "7204772902", </t>
  </si>
  <si>
    <t>SOA0015-002 - Payment Personal Loan Normal - Citibank.pdf</t>
  </si>
  <si>
    <t>SOA0015-003</t>
  </si>
  <si>
    <t>Payment Personal Loan Normal - Bank DBS</t>
  </si>
  <si>
    <t>"bankCode" : "ANZ_PL", 
"cardNum" : "3612360607</t>
  </si>
  <si>
    <t>SOA0015-003 - Payment Personal Loan Normal - DBS.pdf</t>
  </si>
  <si>
    <t>SOA0015-004</t>
  </si>
  <si>
    <t>Payment Personal Loan Normal - Standard Chartered</t>
  </si>
  <si>
    <t>"bankCode" : "SCB_PL", 
"cardNum" : "30680769630"</t>
  </si>
  <si>
    <t>SOA0015-004 - Payment Personal Loan Normal - Standard Chartered.pdf</t>
  </si>
  <si>
    <t>SOA0015-005</t>
  </si>
  <si>
    <t>Payment Personal Loan Error</t>
  </si>
  <si>
    <t>SOA0015-005 - Payment Personal Loan Error.pdf</t>
  </si>
  <si>
    <t>SOA0015-006</t>
  </si>
  <si>
    <t>Payment Personal Loan Transaksi Sudah Dilakukan</t>
  </si>
  <si>
    <t>SOA0015-006 - Payment Personal Loan Transaksi Sudah Dilakukan.pdf</t>
  </si>
  <si>
    <t>SOA0015-007</t>
  </si>
  <si>
    <t>Payment Personal Loan Pin Salah</t>
  </si>
  <si>
    <t>SOA0015-007 - Payment Personal Loan Pin Salah.pdf</t>
  </si>
  <si>
    <t>SOA0015-008</t>
  </si>
  <si>
    <t>Payment Personal Loan Session Tidak Ditemukan</t>
  </si>
  <si>
    <t>SOA0015-008 - Payment Personal Loan Session Tidak Ditemukan.pdf</t>
  </si>
  <si>
    <t>SOA0015-009</t>
  </si>
  <si>
    <t>Payment Personal Loan Session Invalid</t>
  </si>
  <si>
    <t>SOA0015-009 - Payment Personal Loan Session Invalid.pdf</t>
  </si>
  <si>
    <t>SOA0015-010</t>
  </si>
  <si>
    <t>Payment Personal Loan id_api Bukan Web atau Mobile</t>
  </si>
  <si>
    <t>SOA0015-010 - Payment Personal Loan id_api Bukan Web atau Mobile.pdf</t>
  </si>
  <si>
    <t>SSOA0016</t>
  </si>
  <si>
    <t>TV Berlangganan</t>
  </si>
  <si>
    <t>SOA0016-001</t>
  </si>
  <si>
    <t>Normal Pembayaran TV Berlangganan First Media</t>
  </si>
  <si>
    <t>http://192.168.250.121:8080/auth
http://192.168.250.121:8080/FMInquiry
http://192.168.250.121:8080/FMInquiry</t>
  </si>
  <si>
    <t xml:space="preserve">{"error":true,"errorNum":"91","message":"Transaksi tidak dapat dilakukan. Tidak ada balasan dari database provider/biller. (RC 91)"}
</t>
  </si>
  <si>
    <t>SOA0016-002</t>
  </si>
  <si>
    <t>Normal Pembayaran TV Berlangganan Transvision</t>
  </si>
  <si>
    <r>
      <rPr>
        <sz val="9"/>
        <rFont val="Arial"/>
      </rPr>
      <t xml:space="preserve">http://192.168.250.121:8080/auth
</t>
    </r>
    <r>
      <rPr>
        <u/>
        <sz val="9"/>
        <color rgb="FF1155CC"/>
        <rFont val="Arial"/>
      </rPr>
      <t>http://192.168.250.121:8080/TransvisionInquiry</t>
    </r>
    <r>
      <rPr>
        <sz val="9"/>
        <rFont val="Arial"/>
      </rPr>
      <t xml:space="preserve">
http://192.168.250.121:8080/TransvisionPayment</t>
    </r>
  </si>
  <si>
    <t>SOA0016-003</t>
  </si>
  <si>
    <t>Normal Pembayaran TV Berlangganan MNC Vision</t>
  </si>
  <si>
    <t>http://192.168.250.121:8080/auth
http://192.168.250.121:8080/TVInquiry
http://192.168.250.121:8080/TVPayment</t>
  </si>
  <si>
    <t>SOA0016-004</t>
  </si>
  <si>
    <t>Abnormal Pembayaran TV Pin Salah</t>
  </si>
  <si>
    <t>SOA0016-005</t>
  </si>
  <si>
    <t>Abnormal Pembayaran TV Saldo Debit Kurang</t>
  </si>
  <si>
    <t>SOA0016-006</t>
  </si>
  <si>
    <t>Abnormal Pembayaran TV Transaksi Sudah Dilakukan</t>
  </si>
  <si>
    <t>SOA0016-007</t>
  </si>
  <si>
    <t>Abnormal Pembayaran TV Session Invalid</t>
  </si>
  <si>
    <t>SSOA0017</t>
  </si>
  <si>
    <t>Pembayaran Wakaf Bamuis Melalui BNI Mobile Banking (SOA)</t>
  </si>
  <si>
    <t>SOA0017-001</t>
  </si>
  <si>
    <t>Transaksi Sukses</t>
  </si>
  <si>
    <t>http://192.168.151.220:44020/Coreservices</t>
  </si>
  <si>
    <t>SOA0017-001 - Transaksi Sukses.pdf</t>
  </si>
  <si>
    <t>SOA0017-002</t>
  </si>
  <si>
    <t>Transaksi Gagal – Account Number Invalid</t>
  </si>
  <si>
    <t>SOA0017-002 - Transaksi Gagal – Account Number Invalid.pdf</t>
  </si>
  <si>
    <t>SSOA0018</t>
  </si>
  <si>
    <t>Backend Service Keagenan - Fase 2 - Transfer</t>
  </si>
  <si>
    <t>SOA0018-001</t>
  </si>
  <si>
    <t xml:space="preserve">Normal Transfer – Antar BNI </t>
  </si>
  <si>
    <t>http://192.168.250.121:8080/auth
http://192.168.250.121:8080/setorTunai</t>
  </si>
  <si>
    <t>SOA0018-001 - Normal Transfer – Antar BNI.pdf</t>
  </si>
  <si>
    <t>SOA0018-002</t>
  </si>
  <si>
    <t>Abnormal Transfer Antar BNI – Saldo Kurang</t>
  </si>
  <si>
    <t>SOA0018-002 - Abnormal Transfer Antar BNI – Saldo Kurang.pdf</t>
  </si>
  <si>
    <t>SOA0018-003</t>
  </si>
  <si>
    <t>Abnormal Transfer Antar BNI – Rekening Tujuan Tutup</t>
  </si>
  <si>
    <t>SOA0018-003 - Abnormal Transfer Antar BNI – Rekening Tujuan Tutup.pdf</t>
  </si>
  <si>
    <t>SOA0018-004</t>
  </si>
  <si>
    <t>Abnormal  Transfer Antar BNI - Session Invalid</t>
  </si>
  <si>
    <t>SOA0018-004 - Abnormal  Transfer Antar BNI - Session Invalid.pdf</t>
  </si>
  <si>
    <t>SOA0018-005</t>
  </si>
  <si>
    <t>Normal Transfer VA Billing – Open Payment</t>
  </si>
  <si>
    <t>http://192.168.250.121:8080/auth
http://192.168.250.121:8080/vaBillingPayment</t>
  </si>
  <si>
    <t>SOA0018-005 - Normal Transfer VA Billing – Open Payment.pdf</t>
  </si>
  <si>
    <t>SOA0018-006</t>
  </si>
  <si>
    <t>Normal Transfer VA Blling – Close Payment</t>
  </si>
  <si>
    <t>SOA0018-006 - Normal Transfer VA Billing – Close Payment.pdf</t>
  </si>
  <si>
    <t>SOA0018-007</t>
  </si>
  <si>
    <t>Normal Transfer VA Blling – Partial Payment</t>
  </si>
  <si>
    <t>SOA0018-007 - Normal Transfer VA Blling – Partial Payment.pdf</t>
  </si>
  <si>
    <t>SOA0018-008</t>
  </si>
  <si>
    <t>Normal Transfer VA Blling – Minimum Payment</t>
  </si>
  <si>
    <t>SOA0018-008 - Normal Transfer VA Blling – Minimum Payment.pdf</t>
  </si>
  <si>
    <t>SOA0018-009</t>
  </si>
  <si>
    <t>Abnormal Transfer VA Billing Max Payment - Melebihi Limit Transaksi</t>
  </si>
  <si>
    <t>SOA0018-009 - Abnormal Transfer VA Billing Max Payment - Melebihi Limit Transaksi.pdf</t>
  </si>
  <si>
    <t>SOA0018-010</t>
  </si>
  <si>
    <t>Abnormal Transfer VA - Password/PIN Transaksi Salah</t>
  </si>
  <si>
    <t>SOA0018-010 - Abnormal Transfer VA - Password atau PIN Transaksi Salah.pdf</t>
  </si>
  <si>
    <t>SOA0018-011</t>
  </si>
  <si>
    <t>Abnormal Transfer VA - Pin Transaksi Salah 3 Kali</t>
  </si>
  <si>
    <t>SOA0018-011 - Abnormal Transfer VA - Pin Transaksi Salah 3 Kali.pdf</t>
  </si>
  <si>
    <t>SOA0018-012</t>
  </si>
  <si>
    <t>Abnormal Transfer VA - Session Invalid</t>
  </si>
  <si>
    <t>SOA0018-012 - Abnormal Transfer VA - Session Invalid.pdf</t>
  </si>
  <si>
    <t>SSOA0019</t>
  </si>
  <si>
    <t>IBS Pelindo</t>
  </si>
  <si>
    <t>SOA0019-001</t>
  </si>
  <si>
    <t>Normal - Pembayaran IBS Pelindo</t>
  </si>
  <si>
    <t xml:space="preserve">http://192.168.250.121:8080/auth
http://192.168.250.121:8080/IBSInquiry
</t>
  </si>
  <si>
    <t>SOA0019-001 - Normal - Pembayaran IBS Pelindo.pdf</t>
  </si>
  <si>
    <t>SOA0019-002</t>
  </si>
  <si>
    <t>Abnormal - PIN/Password Salah</t>
  </si>
  <si>
    <t>SOA0019-002 - Abnormal - PIN atau Password Salah.pdf</t>
  </si>
  <si>
    <t>SOA0019-003</t>
  </si>
  <si>
    <t>Abnormal - PIN/Password Salah 3 Kali</t>
  </si>
  <si>
    <t>respon sama dengan pin salah</t>
  </si>
  <si>
    <t>SOA0019-004</t>
  </si>
  <si>
    <t>Abnormal Pembayaran - Saldo Debit Kurang</t>
  </si>
  <si>
    <t>SOA0019-004 - Abnormal Pembayaran - Saldo Debit Kurang.pdf</t>
  </si>
  <si>
    <t>SOA0019-005</t>
  </si>
  <si>
    <t>Abnormal Pembayaran - Tagihan diblokir, harap hubungi perusahaan</t>
  </si>
  <si>
    <t>SOA0019-006</t>
  </si>
  <si>
    <t>Abnormal Pembayaran - Timeout</t>
  </si>
  <si>
    <t>SOA0019-007</t>
  </si>
  <si>
    <t>SOA0019-007 - Abnormal - Session Invalid.pdf</t>
  </si>
  <si>
    <t>SSOA0020</t>
  </si>
  <si>
    <t>Perbaikan Field BNI Laku Pandai pada Pembukaan Rekening BNI Agen46 - Antasena</t>
  </si>
  <si>
    <t>SOA0020-001</t>
  </si>
  <si>
    <t>Inquiry Cust Job Detail</t>
  </si>
  <si>
    <t>http://192.168.151.220:4401/CoreService</t>
  </si>
  <si>
    <t>SOA0020-001 - Inquiry Cust Job Detail.pdf</t>
  </si>
  <si>
    <t>SOA0020-002</t>
  </si>
  <si>
    <t>Update Cust Job Details</t>
  </si>
  <si>
    <t>SOA0020-002 - Update Cust Job Detail.pdf</t>
  </si>
  <si>
    <t>SOA0020-003</t>
  </si>
  <si>
    <t>SOA0020-003 - Update Beneficiary Owner.pdf</t>
  </si>
  <si>
    <t>SSOA0021</t>
  </si>
  <si>
    <t>LPG Maintenance Data Pangkalan</t>
  </si>
  <si>
    <t>SOA0021-001</t>
  </si>
  <si>
    <t>Upload Harga LPG Normal</t>
  </si>
  <si>
    <t xml:space="preserve">http://192.168.250.121:8080/auth
http://192.168.250.121:8080/lpgUploadHarga
</t>
  </si>
  <si>
    <t>SOA0021-001 - Upload Harga LPG Normal.pdf</t>
  </si>
  <si>
    <t>SOA0021-002</t>
  </si>
  <si>
    <t>Upload Harga LPG Error</t>
  </si>
  <si>
    <t>SOA0021-002 - Upload Harga LPG Error.pdf</t>
  </si>
  <si>
    <t>SOA0021-003</t>
  </si>
  <si>
    <t>Upload Harga LPG Session Tidak Ditemukan</t>
  </si>
  <si>
    <t>SOA0021-003 - Upload Harga LPG Session Tidak Ditemukan.pdf</t>
  </si>
  <si>
    <t>SOA0021-004</t>
  </si>
  <si>
    <t>Upload Harga LPG Session Invalid</t>
  </si>
  <si>
    <t>SOA0021-004 - Upload Harga LPG Session Invalid.pdf</t>
  </si>
  <si>
    <t>SOA0021-005</t>
  </si>
  <si>
    <t>Upload Harga LPG id_api Bukan Web atau Mobile</t>
  </si>
  <si>
    <t>SOA0021-005 - Upload Harga LPG id_api Bukan Web atau Mobile.pdf</t>
  </si>
  <si>
    <t>SOA0021-006</t>
  </si>
  <si>
    <t>View Laporan LPG Normal</t>
  </si>
  <si>
    <t>http://192.168.250.121:8080/auth
http://192.168.250.121:8080/lpgViewLaporan</t>
  </si>
  <si>
    <t xml:space="preserve">SOA0021-006 - View Laporan LPG Normal.pdf </t>
  </si>
  <si>
    <t>SOA0021-007</t>
  </si>
  <si>
    <t>View Laporan LPG Error</t>
  </si>
  <si>
    <t>SOA0021-007 - View Laporan LPG Error.pdf</t>
  </si>
  <si>
    <t>SOA0021-008</t>
  </si>
  <si>
    <t>View Laporan LPG Session Tidak Ditemukan</t>
  </si>
  <si>
    <t>SOA0021-008 - View Laporan LPG Session Tidak Ditemukan.pdf</t>
  </si>
  <si>
    <t>SOA0021-009</t>
  </si>
  <si>
    <t>View Laporan LPG Session Invalid</t>
  </si>
  <si>
    <t xml:space="preserve">SOA0021-009 - View Laporan LPG Session Invalid.pdf </t>
  </si>
  <si>
    <t>SOA0021-010</t>
  </si>
  <si>
    <t>View Laporan LPG id_api Bukan Web atau Mobile</t>
  </si>
  <si>
    <t xml:space="preserve">SOA0021-010 - View Laporan LPG id_api Bukan Web atau Mobile.pdf </t>
  </si>
  <si>
    <t>SOA0021-011</t>
  </si>
  <si>
    <t>Download Laporan LPG Normal</t>
  </si>
  <si>
    <r>
      <rPr>
        <sz val="9"/>
        <color rgb="FF000000"/>
        <rFont val="Arial"/>
      </rPr>
      <t xml:space="preserve">http://192.168.250.121:8080/auth
</t>
    </r>
    <r>
      <rPr>
        <u/>
        <sz val="9"/>
        <color rgb="FF1155CC"/>
        <rFont val="Arial"/>
      </rPr>
      <t>http://192.168.250.121:8080/lpgDownloadLaporan</t>
    </r>
  </si>
  <si>
    <t>SOA0021-011 - Download Laporan LPG Normal.pdf</t>
  </si>
  <si>
    <t>SOA0021-012</t>
  </si>
  <si>
    <t>Download Laporan LPG Error</t>
  </si>
  <si>
    <t xml:space="preserve">SOA0021-012 - Download Laporan LPG Error.pdf </t>
  </si>
  <si>
    <t>SOA0021-013</t>
  </si>
  <si>
    <t>Download Laporan LPG Session Invalid</t>
  </si>
  <si>
    <t xml:space="preserve">SOA0021-013 - Download Laporan LPG Session Invalid.pdf </t>
  </si>
  <si>
    <t>SOA0021-014</t>
  </si>
  <si>
    <t>Download Laporan LPG Session Not Found</t>
  </si>
  <si>
    <t>SOA0021-014 - Download Laporan LPG Session Not Found.pdf</t>
  </si>
  <si>
    <t>SOA0021-015</t>
  </si>
  <si>
    <t>Download Laporan LPG id_api Bukan Web atau Mobile</t>
  </si>
  <si>
    <t>SOA0021-015 - Download Laporan LPG id_api Bukan Web atau Mobile.pdf</t>
  </si>
  <si>
    <t>SOA0021-016</t>
  </si>
  <si>
    <t>Get Harga LPG Normal</t>
  </si>
  <si>
    <r>
      <rPr>
        <sz val="9"/>
        <color rgb="FF000000"/>
        <rFont val="Arial"/>
      </rPr>
      <t>http://192.168.250.121:8080/auth</t>
    </r>
    <r>
      <rPr>
        <sz val="9"/>
        <color rgb="FF000000"/>
        <rFont val="Arial"/>
      </rPr>
      <t xml:space="preserve">
</t>
    </r>
    <r>
      <rPr>
        <u/>
        <sz val="9"/>
        <color rgb="FF1155CC"/>
        <rFont val="Arial"/>
      </rPr>
      <t>http://192.168.250.121:8080/lpgGetHarga</t>
    </r>
  </si>
  <si>
    <t>SOA0021-016 - Get Harga LPG Normal.pdf</t>
  </si>
  <si>
    <t>SOA0021-017</t>
  </si>
  <si>
    <t>Get Harga LPG Error</t>
  </si>
  <si>
    <t>SOA0021-016 - Get Harga LPG Error</t>
  </si>
  <si>
    <t>SOA0021-018</t>
  </si>
  <si>
    <t>Get Harga LPG Session Tidak Ditemukan</t>
  </si>
  <si>
    <t>SOA0021-017 - Get Harga Session Tidak Ditemukan</t>
  </si>
  <si>
    <t>SOA0021-019</t>
  </si>
  <si>
    <t>Get Harga LPG Session Invalid</t>
  </si>
  <si>
    <t>SOA0021-019 - Get Harga Session Invalid</t>
  </si>
  <si>
    <t>SOA0021-020</t>
  </si>
  <si>
    <t>Get Harga LPG id_api Bukan Web atau Mobile</t>
  </si>
  <si>
    <t>SOA0021-021</t>
  </si>
  <si>
    <t>Insert Harga LPG Normal</t>
  </si>
  <si>
    <t xml:space="preserve">http://192.168.250.121:8080/auth
http://192.168.250.121:8080/lpgInsertHarga
</t>
  </si>
  <si>
    <t>SOA0021-022</t>
  </si>
  <si>
    <t>Insert Harga LPG Error</t>
  </si>
  <si>
    <t>SOA0021-023</t>
  </si>
  <si>
    <t>Insert Harga LPG Pin Salah</t>
  </si>
  <si>
    <t>SOA0021-024</t>
  </si>
  <si>
    <t>Insert Harga LPG Session Tidak Ditemukan</t>
  </si>
  <si>
    <t>SOA0021-025</t>
  </si>
  <si>
    <t>Insert Harga LPG Session Invalid</t>
  </si>
  <si>
    <t>SOA0021-026</t>
  </si>
  <si>
    <t>Insert Harga LPG id_api Bukan Web atau Mobile</t>
  </si>
  <si>
    <t>SOA0021-027</t>
  </si>
  <si>
    <t>Delete Harga LPG Normal</t>
  </si>
  <si>
    <t>1. Send Request Message (Get Harga Normal)
2. Send Request Message (Delete Harga)</t>
  </si>
  <si>
    <t xml:space="preserve">http://192.168.250.121:8080/auth
http://192.168.250.121:8080/lpgDeleteHarga
</t>
  </si>
  <si>
    <t>SOA0021-028</t>
  </si>
  <si>
    <t>Delete Harga LPG Error</t>
  </si>
  <si>
    <t>SOA0021-029</t>
  </si>
  <si>
    <t>Delete Harga LPG Pin Salah</t>
  </si>
  <si>
    <t>SOA0021-030</t>
  </si>
  <si>
    <t>Delete Harga LPG Session Tidak Ditemukan</t>
  </si>
  <si>
    <t>SOA0021-031</t>
  </si>
  <si>
    <t>Delete Harga LPG Session Invalid</t>
  </si>
  <si>
    <t>SOA0021-032</t>
  </si>
  <si>
    <t>Delete Harga LPG id_api Bukan Web atau Mobile</t>
  </si>
  <si>
    <t>SOA0021-033</t>
  </si>
  <si>
    <t>Update Harga LPG Normal</t>
  </si>
  <si>
    <t>SOA0021-034</t>
  </si>
  <si>
    <t>Update Harga LPG Error</t>
  </si>
  <si>
    <t>SOA0021-035</t>
  </si>
  <si>
    <t>Update Harga LPG Pin Salah</t>
  </si>
  <si>
    <t>SOA0021-036</t>
  </si>
  <si>
    <t>Update Harga LPG Session Tidak Ditemukan</t>
  </si>
  <si>
    <t>SOA0021-037</t>
  </si>
  <si>
    <t>Update Harga LPG Session Invalid</t>
  </si>
  <si>
    <t>SOA0021-038</t>
  </si>
  <si>
    <t>Update Harga LPG id_api Bukan Web atau Mobile</t>
  </si>
  <si>
    <t>SOA0021-039</t>
  </si>
  <si>
    <t>Inquiry Agent LPG Normal</t>
  </si>
  <si>
    <r>
      <rPr>
        <sz val="9"/>
        <color rgb="FF000000"/>
        <rFont val="Arial"/>
      </rPr>
      <t xml:space="preserve">http://192.168.250.121:8080/auth
</t>
    </r>
    <r>
      <rPr>
        <u/>
        <sz val="9"/>
        <color rgb="FF1155CC"/>
        <rFont val="Arial"/>
      </rPr>
      <t>http://192.168.250.121:8080/lpgInquiryAgent</t>
    </r>
    <r>
      <rPr>
        <sz val="9"/>
        <color rgb="FF000000"/>
        <rFont val="Arial"/>
      </rPr>
      <t xml:space="preserve">
</t>
    </r>
  </si>
  <si>
    <t>SOA0021-040</t>
  </si>
  <si>
    <t>Inquiry Agent LPG Error</t>
  </si>
  <si>
    <t>SOA0021-041</t>
  </si>
  <si>
    <t>Inquiry Agent LPG Session Tidak Ditemukan</t>
  </si>
  <si>
    <t>SOA0021-042</t>
  </si>
  <si>
    <t>Inquiry Agent LPG Session Invalid</t>
  </si>
  <si>
    <t>SOA0021-043</t>
  </si>
  <si>
    <t>Inquiry Agent LPG id_api Bukan Web atau Mobile</t>
  </si>
  <si>
    <t>SSOA0022</t>
  </si>
  <si>
    <t xml:space="preserve">Pengembangan Fitur Tapenas pada BNI Mobile Banking </t>
  </si>
  <si>
    <t>SOA0022-001</t>
  </si>
  <si>
    <t xml:space="preserve">Account Tapenas Info </t>
  </si>
  <si>
    <t>http://192.168.151.220:44001/CoreServices</t>
  </si>
  <si>
    <t>SOA0022-002</t>
  </si>
  <si>
    <t>Create Topup Account</t>
  </si>
  <si>
    <t>SOA0022-003</t>
  </si>
  <si>
    <t>Create Topup Account – premi 30% normal</t>
  </si>
  <si>
    <t>SOA0022-004</t>
  </si>
  <si>
    <t>Create Topup Account – premi 30% error</t>
  </si>
  <si>
    <t>SOA0022-005</t>
  </si>
  <si>
    <t>Create Topup Account – error 9201 (SysFault)</t>
  </si>
  <si>
    <t>SSOA0023</t>
  </si>
  <si>
    <t>Autodebit Bill Payment</t>
  </si>
  <si>
    <t>SOA0023-001</t>
  </si>
  <si>
    <t>BPJS Inquiry</t>
  </si>
  <si>
    <t>http://192.168.143.61:47004/ChannelService</t>
  </si>
  <si>
    <t>SOA0023-002</t>
  </si>
  <si>
    <t>BPJS Payment</t>
  </si>
  <si>
    <t>SOA0023-003</t>
  </si>
  <si>
    <t>CC BNI Inquiry</t>
  </si>
  <si>
    <t>SOA0023-004</t>
  </si>
  <si>
    <t>CC BNI Payment</t>
  </si>
  <si>
    <t>SOA0023-005</t>
  </si>
  <si>
    <t>Halo Inquiry</t>
  </si>
  <si>
    <t>SOA0023-006</t>
  </si>
  <si>
    <t>Halo Payment</t>
  </si>
  <si>
    <t>SSOA0024</t>
  </si>
  <si>
    <t>P2P Lend - Payment Using Interbank V2 RDL</t>
  </si>
  <si>
    <t>SOA0024-001</t>
  </si>
  <si>
    <t>Hit with valid method Get</t>
  </si>
  <si>
    <t>http://p2pl-payment-using-interbank-rdl-bpsoa-uat.apps.dev-bpsoa.ocp.hq.bni.co.id:80/p2pl/payment-using-interbank-rdl</t>
  </si>
  <si>
    <t>SOA0024-002</t>
  </si>
  <si>
    <t>Hit with paid uuid</t>
  </si>
  <si>
    <t>status code 500 but ok</t>
  </si>
  <si>
    <t>SOA0024-003</t>
  </si>
  <si>
    <t>Hit with not registered account</t>
  </si>
  <si>
    <t>SSOA0025</t>
  </si>
  <si>
    <t xml:space="preserve">ASURANSI JIWASRAYA
</t>
  </si>
  <si>
    <t>SOA0025-001</t>
  </si>
  <si>
    <t>Normal Transaksi Biaya Loket &amp; Fee Sesuai</t>
  </si>
  <si>
    <r>
      <rPr>
        <u/>
        <sz val="9"/>
        <color rgb="FF1155CC"/>
        <rFont val="Arial"/>
      </rPr>
      <t>http://192.168.250.121:8080/auth</t>
    </r>
    <r>
      <rPr>
        <sz val="9"/>
        <color rgb="FF000000"/>
        <rFont val="Arial"/>
      </rPr>
      <t xml:space="preserve">
</t>
    </r>
    <r>
      <rPr>
        <u/>
        <sz val="9"/>
        <color rgb="FF1155CC"/>
        <rFont val="Arial"/>
      </rPr>
      <t>http://192.168.250.121:8080/jiwasrayaInquiry</t>
    </r>
    <r>
      <rPr>
        <sz val="9"/>
        <color rgb="FF000000"/>
        <rFont val="Arial"/>
      </rPr>
      <t xml:space="preserve">
</t>
    </r>
    <r>
      <rPr>
        <u/>
        <sz val="9"/>
        <color rgb="FF1155CC"/>
        <rFont val="Arial"/>
      </rPr>
      <t>http://192.168.250.121:8080/jiwasrayaPayment</t>
    </r>
    <r>
      <rPr>
        <sz val="9"/>
        <color rgb="FF000000"/>
        <rFont val="Arial"/>
      </rPr>
      <t xml:space="preserve">
</t>
    </r>
  </si>
  <si>
    <t>SOA0025-002</t>
  </si>
  <si>
    <t>Abnormal - Pin Salah</t>
  </si>
  <si>
    <t>SOA0025-003</t>
  </si>
  <si>
    <t>Abnormal - Saldo Kurang</t>
  </si>
  <si>
    <t>SOA0025-004</t>
  </si>
  <si>
    <t>Abnormal - Biaya Loket Tidak Sesuai</t>
  </si>
  <si>
    <t>SOA0025-005</t>
  </si>
  <si>
    <t>SOA0025-006</t>
  </si>
  <si>
    <t>Abnormal - Session Not Found</t>
  </si>
  <si>
    <t>SSOA0026</t>
  </si>
  <si>
    <t>ZIS &amp; Qurban</t>
  </si>
  <si>
    <t>SOA0026-001</t>
  </si>
  <si>
    <t>Inquiry Zakat Normal</t>
  </si>
  <si>
    <t>SOA0026-002</t>
  </si>
  <si>
    <t>Inquiry Zakat Session Tidak Ditemukan</t>
  </si>
  <si>
    <t>SOA0026-003</t>
  </si>
  <si>
    <t>Inquiry Zakat Session Invalid</t>
  </si>
  <si>
    <t>SOA0026-004</t>
  </si>
  <si>
    <t>Payment Zakat Normal – Infaq/Sedekah</t>
  </si>
  <si>
    <t>SOA0026-005</t>
  </si>
  <si>
    <t>Payment Zakat Normal – Qurban</t>
  </si>
  <si>
    <t>SOA0026-006</t>
  </si>
  <si>
    <t>Payment Zakat Normal – Wakaf Dompet Dhuafa</t>
  </si>
  <si>
    <t>SOA0026-007</t>
  </si>
  <si>
    <t>Payment Zakat Normal – Zakat Bamuis</t>
  </si>
  <si>
    <t>SOA0026-008</t>
  </si>
  <si>
    <t>Payment Zakat Normal - Zakat</t>
  </si>
  <si>
    <t>SOA0026-009</t>
  </si>
  <si>
    <t>Payment Zakat Transaksi Sudah Dilakukan</t>
  </si>
  <si>
    <t>SOA0026-010</t>
  </si>
  <si>
    <t>Payment Zakat Pin Salah</t>
  </si>
  <si>
    <t>SOA0026-011</t>
  </si>
  <si>
    <t>Payment Zakat Session Tidak Ditemukan</t>
  </si>
  <si>
    <t>SOA0026-012</t>
  </si>
  <si>
    <t>Payment Zakat Session Invalid</t>
  </si>
  <si>
    <t>SSOA0027</t>
  </si>
  <si>
    <t>BPJSTK-BPU</t>
  </si>
  <si>
    <t>SOA0027-001</t>
  </si>
  <si>
    <t>Inquiry Normal Input Valid NIK</t>
  </si>
  <si>
    <t>SOA0027-002</t>
  </si>
  <si>
    <t>Inquiry Abnormal NIK Kosong</t>
  </si>
  <si>
    <t>SOA0027-003</t>
  </si>
  <si>
    <t>Payment Normal Input valid Nomor Rekening</t>
  </si>
  <si>
    <t>SOA0027-004</t>
  </si>
  <si>
    <t>Payment Abnormal Input invalid Nomor Rekening</t>
  </si>
  <si>
    <t>SSOA0028</t>
  </si>
  <si>
    <t>VA BPJS Ketenagakerjaan pada E-Channel BNI (SOA)</t>
  </si>
  <si>
    <t>SOA0028-001</t>
  </si>
  <si>
    <t>Normal Inquiry</t>
  </si>
  <si>
    <t>http://192.168.143.61:57007/ChannelService</t>
  </si>
  <si>
    <t>SOA0028-002</t>
  </si>
  <si>
    <t>Normal Payment</t>
  </si>
  <si>
    <t>SOA0028-003</t>
  </si>
  <si>
    <t>Payment (Error system)  RC-1</t>
  </si>
  <si>
    <t>SOA0028-004</t>
  </si>
  <si>
    <t>Inquiry (Data tidak ditemukan) RC-2</t>
  </si>
  <si>
    <t>SOA0028-005</t>
  </si>
  <si>
    <t>Payment (Data tidak ditemukan) RC-2</t>
  </si>
  <si>
    <t>SOA0028-006</t>
  </si>
  <si>
    <t>Payment (Tagihan sudah dibayar)  RC-3</t>
  </si>
  <si>
    <t>SSOA0029</t>
  </si>
  <si>
    <t>Pembelian Asuransi BNI Life Microplus</t>
  </si>
  <si>
    <t>SOA0029-001</t>
  </si>
  <si>
    <t>Normal Inquiry Product BNI Life : 1 Hari (90juta)</t>
  </si>
  <si>
    <t>transaksi berhasil</t>
  </si>
  <si>
    <t>SOA0029-002</t>
  </si>
  <si>
    <t>Normal Payment Product BNI Life : 1 Hari (90juta)</t>
  </si>
  <si>
    <t>SOA0029-003</t>
  </si>
  <si>
    <t>Normal Inquiry Product BNI Life 1 Minggu (80juta)</t>
  </si>
  <si>
    <t>SOA0029-004</t>
  </si>
  <si>
    <t>Normal Payment Product BNI Life 1 Minggu (80juta)</t>
  </si>
  <si>
    <t>SOA0029-005</t>
  </si>
  <si>
    <t>Normal Inquiry Product BNI Life 1 Bulan (70juta)</t>
  </si>
  <si>
    <t>SOA0029-006</t>
  </si>
  <si>
    <t>Normal Payment Product BNI Life 1 Bulan (70juta)</t>
  </si>
  <si>
    <t>SOA0029-007</t>
  </si>
  <si>
    <t>Normal Inquiry Product BNI Life 3 Bulan (60juta)</t>
  </si>
  <si>
    <t>SOA0029-008</t>
  </si>
  <si>
    <t>Normal Payment Product BNI Life 3 Bulan (60juta)</t>
  </si>
  <si>
    <t>SOA0029-009</t>
  </si>
  <si>
    <t>Abnormal Inquiry Email Pemegang dan email lain sama</t>
  </si>
  <si>
    <t>SOA0029-010</t>
  </si>
  <si>
    <t>Abnormal Payment Email Pemegang dan email lain sama</t>
  </si>
  <si>
    <t>SOA0029-011</t>
  </si>
  <si>
    <t>Abnormal Inquiry no HP kurang dari 13 digit</t>
  </si>
  <si>
    <t>Transaksi tidak dapat dilanjutkan</t>
  </si>
  <si>
    <t>SOA0029-012</t>
  </si>
  <si>
    <t>Abnormal Inquiry no HP lebih dari 13 digit</t>
  </si>
  <si>
    <t>SOA0029-013</t>
  </si>
  <si>
    <t>Abnormal Inquiry no HP bukan angka</t>
  </si>
  <si>
    <t>SOA0029-014</t>
  </si>
  <si>
    <t>Abnormal Inquiry no HP sama dengan yang terdaftar di core</t>
  </si>
  <si>
    <t>SOA0029-015</t>
  </si>
  <si>
    <t>Abnormal Payment no HP sama dengan yang terdaftar di core</t>
  </si>
  <si>
    <t>SOA0029-016</t>
  </si>
  <si>
    <t>Abnormal Inquiry no telepon lain / no hp di Table User DB Mobile Banking</t>
  </si>
  <si>
    <t>SOA0029-017</t>
  </si>
  <si>
    <t>Abnormal Payment no telepon lain / no hp di Table User DB Mobile Banking</t>
  </si>
  <si>
    <t>SOA0029-018</t>
  </si>
  <si>
    <t>Abnormal Inquiry Product BNI Life 3 Bulan (90juta) Saldo tidak cukup</t>
  </si>
  <si>
    <t>SOA0029-019</t>
  </si>
  <si>
    <t>Abnormal Payment Product BNI Life 3 Bulan (90juta) Saldo tidak cukup</t>
  </si>
  <si>
    <t>SOA0029-020</t>
  </si>
  <si>
    <t>Abnormal Payment Product BNI Life : 3 Bulan (70juta) nasabah yang memiliki umur lebih dari 69 tahun</t>
  </si>
  <si>
    <t>SOA0029-021</t>
  </si>
  <si>
    <t>Abnormal Payment Product BNI Life : 3 Bulan 90juta Timeout</t>
  </si>
  <si>
    <t>SOA0029-022</t>
  </si>
  <si>
    <t>Abnormal Inquiry Product BNI Life : 3 Bulan (90juta) Saldo dibawah saldo minimum</t>
  </si>
  <si>
    <t>SOA0029-023</t>
  </si>
  <si>
    <t>Abnormal Payment Product BNI Life : 3 Bulan (90juta) Saldo dibawah saldo minimum</t>
  </si>
  <si>
    <t>SOA0029-024</t>
  </si>
  <si>
    <t>Abnormal Payment policy number not found</t>
  </si>
  <si>
    <t>SOA0029-025</t>
  </si>
  <si>
    <t>Abnormal Payment duplikasi notifikasi</t>
  </si>
  <si>
    <t>SSOA0030</t>
  </si>
  <si>
    <t>Pengembangan SPC H2H UNHAS Ujian Mandiri</t>
  </si>
  <si>
    <t>SOA0030-001</t>
  </si>
  <si>
    <t>Normal Inquiry  SPC UNHAS</t>
  </si>
  <si>
    <t>http://192.168.151.220:44020</t>
  </si>
  <si>
    <t>SOA0030-002</t>
  </si>
  <si>
    <t>Normal Payment SPC UNHAS</t>
  </si>
  <si>
    <t>SOA0030-003</t>
  </si>
  <si>
    <t>Normal Payment Transfer SPC UNHAS</t>
  </si>
  <si>
    <t>SSOA0031</t>
  </si>
  <si>
    <t>BPJSTK-BPU PMI</t>
  </si>
  <si>
    <t>SOA0031-001</t>
  </si>
  <si>
    <t>SOA0031-002</t>
  </si>
  <si>
    <t>SOA0031-003</t>
  </si>
  <si>
    <t>Abnormal Payment Biaya Loket Tidak Sesuai</t>
  </si>
  <si>
    <t>SSOA0032</t>
  </si>
  <si>
    <t>Penambahan Field Biaya Admin Pembayaran Telkomsel Halo di Agen46 BNI</t>
  </si>
  <si>
    <t>SOA0032-001</t>
  </si>
  <si>
    <t xml:space="preserve">Normal Inquiry </t>
  </si>
  <si>
    <t>SOA0032-002</t>
  </si>
  <si>
    <t>SOA0032-003</t>
  </si>
  <si>
    <t>Abnormal User Down</t>
  </si>
  <si>
    <t>SOA0032-004</t>
  </si>
  <si>
    <t>Abnormal Accout Invalid</t>
  </si>
  <si>
    <t>SOA0032-005</t>
  </si>
  <si>
    <t>Abnormal Rekening Tidak Cukup</t>
  </si>
  <si>
    <t>SOA0032-006</t>
  </si>
  <si>
    <t>Abnormal Duplicate Refference Number</t>
  </si>
  <si>
    <t>SSOA0033</t>
  </si>
  <si>
    <t>Integrasi Secure Parking Mobile banking, Core, Microservice, SOA</t>
  </si>
  <si>
    <t>SOA0033-001</t>
  </si>
  <si>
    <t>SOA0033-002</t>
  </si>
  <si>
    <t>Abnormal Inquiry - Institusi Kosong</t>
  </si>
  <si>
    <t>SOA0033-003</t>
  </si>
  <si>
    <t>Abnormal Inquiry - Billercode kosong</t>
  </si>
  <si>
    <t>SOA0033-004</t>
  </si>
  <si>
    <t>Abnormal Inquiry - Region Kosong</t>
  </si>
  <si>
    <t>SSOA0034</t>
  </si>
  <si>
    <t>Pengembangan e-PAD Kab Bojonegoro (SMS Syntax)</t>
  </si>
  <si>
    <t>SOA0034-001</t>
  </si>
  <si>
    <t>Normal Melakukan Pembayaran e-PAD sesuai kode transaksi Denda = 0</t>
  </si>
  <si>
    <t>http://192.168.151.220:44019</t>
  </si>
  <si>
    <t>tailsms2</t>
  </si>
  <si>
    <t>SOA0034-002</t>
  </si>
  <si>
    <t>Pembayaran e-PAD sesuai kode transaksi Denda lebih dari 0</t>
  </si>
  <si>
    <t>SOA0034-003</t>
  </si>
  <si>
    <t>Inquiry e-PAD kondisi Kode Billing atau Kode Bayar Kosong</t>
  </si>
  <si>
    <t>SOA0034-004</t>
  </si>
  <si>
    <t>Abnormal Inquiry e-PAD kondisi Salah No Tagihan atau Tidak Ditemukan</t>
  </si>
  <si>
    <t>SOA0034-005</t>
  </si>
  <si>
    <t>Abnormal Inquiry e-PAD kondisi tagihan sudah terbayar</t>
  </si>
  <si>
    <t>SOA0034-006</t>
  </si>
  <si>
    <t>Abnormal Pembayaran e-PAD kondisi saldo rekening debit tidak cukup</t>
  </si>
  <si>
    <t>SOA0034-007</t>
  </si>
  <si>
    <t>Abnormal inquiry e-PAD kondisi timeout switcher</t>
  </si>
  <si>
    <t>SOA0034-008</t>
  </si>
  <si>
    <t>Abnormal Pembayaran e-PAD kondisi timeout switcher</t>
  </si>
  <si>
    <t>SOA0034-009</t>
  </si>
  <si>
    <t>Abnormal Inquiry e-PAD kondisi RC selain 00 dari switcher</t>
  </si>
  <si>
    <t>SOA0034-010</t>
  </si>
  <si>
    <t>Abnormal Pembayaran e-PAD kondisi RC selain 00 dari switcher pada saat payment</t>
  </si>
  <si>
    <t>SOA0034-011</t>
  </si>
  <si>
    <t>Abnormal Pembayaran e-PAD kondisi pin/ password transaksi kosong</t>
  </si>
  <si>
    <t>SOA0034-012</t>
  </si>
  <si>
    <t>Abnormal Pembayaran e-PAD kondisi pin/ password transaksi salah</t>
  </si>
  <si>
    <t>SOA0034-013</t>
  </si>
  <si>
    <t>Abnormal Payment e-PAD Bojonegoro: Melewati Batas Waktu Transaksi</t>
  </si>
  <si>
    <t>SSOA0035</t>
  </si>
  <si>
    <t>CR36193 - BP P2P Lending Admin</t>
  </si>
  <si>
    <t>SOA0035-001</t>
  </si>
  <si>
    <t>Normal Inquiry Investor Account</t>
  </si>
  <si>
    <t>http://192.168.151.220:44063/BP_P2PLendAdminWeb/sca/WS_P2PLAdminService</t>
  </si>
  <si>
    <t>&lt;?xml version="1.0" encoding="UTF-8"?&gt;
&lt;SOAP-ENV:Envelope xmlns:SOAP-ENV="http://schemas.xmlsoap.org/soap/envelope/" xmlns:ns1="http://service.bni.co.id/p2plending/admin"&gt;
  &lt;SOAP-ENV:Body&gt;
    &lt;ns1:inquiryInvestorAccount&gt;
      &lt;request&gt;
        &lt;header&gt;
          &lt;adminId&gt;DOCOTEL&lt;/adminId&gt;
          &lt;requestUuid&gt;14BDDC357E705B27&lt;/requestUuid&gt;
        &lt;/header&gt;
        &lt;accountNumber&gt;0317100155&lt;/accountNumber&gt;
      &lt;/request&gt;
    &lt;/ns1:inquiryInvestorAccount&gt;
  &lt;/SOAP-ENV:Body&gt;
&lt;/SOAP-ENV:Envelope&gt;</t>
  </si>
  <si>
    <t>SOA0035-002</t>
  </si>
  <si>
    <t>Abnormal Inquiry Investor Account: AdminId selain “DOCO”</t>
  </si>
  <si>
    <t>&lt;?xml version="1.0" encoding="UTF-8"?&gt;
&lt;SOAP-ENV:Envelope xmlns:SOAP-ENV="http://schemas.xmlsoap.org/soap/envelope/" xmlns:ns1="http://service.bni.co.id/p2plending/admin"&gt;
  &lt;SOAP-ENV:Body&gt;
    &lt;ns1:inquiryInvestorAccount&gt;
      &lt;request&gt;
        &lt;header&gt;
          &lt;adminId&gt;HAI&lt;/adminId&gt;
          &lt;requestUuid&gt;7478BE66074EB24E&lt;/requestUuid&gt;
        &lt;/header&gt;
        &lt;accountNumber&gt;0317400353&lt;/accountNumber&gt;
      &lt;/request&gt;
    &lt;/ns1:inquiryInvestorAccount&gt;
  &lt;/SOAP-ENV:Body&gt;
&lt;/SOAP-ENV:Envelope&gt;</t>
  </si>
  <si>
    <t>SOA0035-003</t>
  </si>
  <si>
    <t>Abnormal Inquiry Investor Account: accountNumber tidak terdaftar di P2PL_ACCOUNT_PARAM</t>
  </si>
  <si>
    <t>SSOA0036</t>
  </si>
  <si>
    <t>CR36193 - BP P2P Lending</t>
  </si>
  <si>
    <t>SOA0036-001</t>
  </si>
  <si>
    <t>Normal Register Investor</t>
  </si>
  <si>
    <t>http://192.168.151.220:45052/p2pl/register/investor</t>
  </si>
  <si>
    <t>SOA0036-002</t>
  </si>
  <si>
    <t>Abnormal Register Investor: KTP sudah terdaftar</t>
  </si>
  <si>
    <t>SOA0036-003</t>
  </si>
  <si>
    <t>Normal Register Investor Account IDR</t>
  </si>
  <si>
    <t>http://192.168.151.220:45052/p2pl/register/investor/account</t>
  </si>
  <si>
    <t>SOA0036-004</t>
  </si>
  <si>
    <t>Normal Register Investor Account USD</t>
  </si>
  <si>
    <t>SOA0036-005</t>
  </si>
  <si>
    <t>Abnormal Register Investor Account: Invalid CIF</t>
  </si>
  <si>
    <t>SOA0036-006</t>
  </si>
  <si>
    <t>Normal Inquiry Account Info</t>
  </si>
  <si>
    <t>http://192.168.151.220:45052/p2pl/account/info</t>
  </si>
  <si>
    <t>SOA0036-007</t>
  </si>
  <si>
    <t>Abnormal Inquiry Account Info: Invalid Account Number</t>
  </si>
  <si>
    <t>SOA0036-008</t>
  </si>
  <si>
    <t>Normal Inquiry Account Balance</t>
  </si>
  <si>
    <t>http://192.168.151.220:45052/p2pl/account/balance</t>
  </si>
  <si>
    <t>SOA0036-009</t>
  </si>
  <si>
    <t>Abormal Inquiry Account Balance: Invalid Account Number</t>
  </si>
  <si>
    <t>SOA0036-010</t>
  </si>
  <si>
    <t>Normal Inquiry Account History</t>
  </si>
  <si>
    <t>http://192.168.151.220:45052/p2pl/account/history</t>
  </si>
  <si>
    <t>SOA0036-011</t>
  </si>
  <si>
    <t>Abormal Inquiry Account Balance: Account Number is Not Register</t>
  </si>
  <si>
    <t>SOA0036-012</t>
  </si>
  <si>
    <t>Normal Payment Using Transfer (debit account /accountNumber: IDR)</t>
  </si>
  <si>
    <t>http://192.168.151.220:45052/p2pl/payment/transfer</t>
  </si>
  <si>
    <t>SOA0036-013</t>
  </si>
  <si>
    <t>Normal Scenario Payment Using Transfer (debit account / account Number: USD)</t>
  </si>
  <si>
    <t>SOA0036-014</t>
  </si>
  <si>
    <t>Abnormal Payment Using Transfer: : Insufficient fund</t>
  </si>
  <si>
    <t>SOA0036-015</t>
  </si>
  <si>
    <t>Normal Payment Status Transfer</t>
  </si>
  <si>
    <t>http://192.168.151.220:45052/p2pl/payment/status</t>
  </si>
  <si>
    <t>SOA0036-016</t>
  </si>
  <si>
    <t>Normal Payment Using Transfer Interbank - Prima</t>
  </si>
  <si>
    <t>SOA0036-017</t>
  </si>
  <si>
    <t>Abnormal Inquiry Payment Status Transfer: Invalid Requested UUID</t>
  </si>
  <si>
    <t>SSOA0037</t>
  </si>
  <si>
    <t>CR36193 - BP_MPNBilling BNI Direct</t>
  </si>
  <si>
    <t>SOA0037-001</t>
  </si>
  <si>
    <t>BNIDirect: Normal Inquiry NPWP</t>
  </si>
  <si>
    <t>SOA0037-002</t>
  </si>
  <si>
    <t>BNIDirect: Abnormal Inquiry NPWP - Invalid nomor NPWP</t>
  </si>
  <si>
    <t>SOA0037-003</t>
  </si>
  <si>
    <t>BNIDirect: Normal Create Billing NPWP IDR</t>
  </si>
  <si>
    <t>SOA0037-004</t>
  </si>
  <si>
    <t>BNIDirect: Abnormal Create Billing NPWP IDR (Tidak butuh NOP /NOP diinput selain 000000000000000000)</t>
  </si>
  <si>
    <t>SOA0037-005</t>
  </si>
  <si>
    <t>BNIDirect: Abnormal Create Billing NPWP IDR (Masa Pajak tidak berada dalam range 1-12)</t>
  </si>
  <si>
    <t>SOA0037-006</t>
  </si>
  <si>
    <t>BNIDirect: Abnormal Create Billing NPWP IDR (Nomor SK mengandung karakter)</t>
  </si>
  <si>
    <t>SOA0037-007</t>
  </si>
  <si>
    <t>BNIDirect: Abnormal Create Billing NPWP IDR (Nominal 0)</t>
  </si>
  <si>
    <t>SOA0037-008</t>
  </si>
  <si>
    <t>BNIDirect: Abnormal Create Billing NPWP IDR (Penyetor harus memiliki NPWP)</t>
  </si>
  <si>
    <t>SOA0037-009</t>
  </si>
  <si>
    <t>BNIDirect: Normal Create Billing NPWP USD</t>
  </si>
  <si>
    <t>SOA0037-010</t>
  </si>
  <si>
    <t>BNIDirect: Normal Create Billing Non NPWP</t>
  </si>
  <si>
    <t>SOA0037-011</t>
  </si>
  <si>
    <t>BNIDirect: Abnormal Create Billing Non NPWP IDR (Tidak butuh NOP /NOP diinput selain 000000000000000000)</t>
  </si>
  <si>
    <t>SOA0037-012</t>
  </si>
  <si>
    <t>BNIDirect: Abnormal Create Billing Non NPWP IDR (Masa Pajak tidak berada dalam range 1-12)</t>
  </si>
  <si>
    <t>SOA0037-013</t>
  </si>
  <si>
    <t>BNIDirect: Abnormal Create Billing Non NPWP IDR (Nomor SK mengandung karakter)</t>
  </si>
  <si>
    <t>SOA0037-014</t>
  </si>
  <si>
    <t>BNIDirect: Abnormal Create Billing Non NPWP IDR (Nominal 0)</t>
  </si>
  <si>
    <t>SOA0037-015</t>
  </si>
  <si>
    <t>BNIDirect: Abnormal Create Billing Non NPWP IDR (Penyetor harus memiliki NPWP)</t>
  </si>
  <si>
    <t>SSOA0038</t>
  </si>
  <si>
    <t>CR36193 - Coreservices v3</t>
  </si>
  <si>
    <t>SOA0038-001</t>
  </si>
  <si>
    <t>ActivationCard (linked card)</t>
  </si>
  <si>
    <t>SOA0038-002</t>
  </si>
  <si>
    <t>InitActivationCard</t>
  </si>
  <si>
    <t>SOA0038-003</t>
  </si>
  <si>
    <t>AtmBillPayment</t>
  </si>
  <si>
    <t>SOA0038-004</t>
  </si>
  <si>
    <t>AtmBillPaymentReversal</t>
  </si>
  <si>
    <t>SOA0038-005</t>
  </si>
  <si>
    <t>BillingPaymentBigAmount</t>
  </si>
  <si>
    <t>SOA0038-006</t>
  </si>
  <si>
    <t>BillingPaymentBigAmount Reversal</t>
  </si>
  <si>
    <t>SOA0038-007</t>
  </si>
  <si>
    <t>CreateUpdateSMSNotification</t>
  </si>
  <si>
    <t>SOA0038-008</t>
  </si>
  <si>
    <t>DepTrxInquiry</t>
  </si>
  <si>
    <t>SOA0038-009</t>
  </si>
  <si>
    <t>GetPersonalInfo</t>
  </si>
  <si>
    <t>SOA0038-010</t>
  </si>
  <si>
    <t>GetVirtualAccountName</t>
  </si>
  <si>
    <t>SOA0038-011</t>
  </si>
  <si>
    <t>GLReversalTarikTunai</t>
  </si>
  <si>
    <t>SOA0038-012</t>
  </si>
  <si>
    <t>GLSetoranTunai</t>
  </si>
  <si>
    <t>SOA0038-013</t>
  </si>
  <si>
    <t>InitCreateILAAccount</t>
  </si>
  <si>
    <t>SOA0038-014</t>
  </si>
  <si>
    <t>Ping</t>
  </si>
  <si>
    <t>SOA0038-015</t>
  </si>
  <si>
    <t>KliringOutwardv2</t>
  </si>
  <si>
    <t>SOA0038-016</t>
  </si>
  <si>
    <t>OpenDepositAccListByBalance</t>
  </si>
  <si>
    <t>SOA0038-017</t>
  </si>
  <si>
    <t>TermDepositRateInquiry</t>
  </si>
  <si>
    <t>SOA0038-018</t>
  </si>
  <si>
    <t>RenewDepositAccount</t>
  </si>
  <si>
    <t>SOA0038-019</t>
  </si>
  <si>
    <t>XRateParamUpdate</t>
  </si>
  <si>
    <t>SOA0038-020</t>
  </si>
  <si>
    <t>S06Inquiry</t>
  </si>
  <si>
    <t>SOA0038-021</t>
  </si>
  <si>
    <t>S06Payment</t>
  </si>
  <si>
    <t>SOA0038-022</t>
  </si>
  <si>
    <t>S06Search</t>
  </si>
  <si>
    <t>SOA0038-023</t>
  </si>
  <si>
    <t>UpdatePersonalInfo</t>
  </si>
  <si>
    <t>SOA0038-024</t>
  </si>
  <si>
    <t>InquiryUserDefinedCode</t>
  </si>
  <si>
    <t>SOA0038-025</t>
  </si>
  <si>
    <t>UpdateUserDefinedCode</t>
  </si>
  <si>
    <t>SOA0038-026</t>
  </si>
  <si>
    <t>InquiryVARetail</t>
  </si>
  <si>
    <t>SOA0038-027</t>
  </si>
  <si>
    <t>UpdateVARetail</t>
  </si>
  <si>
    <t>SOA0038-028</t>
  </si>
  <si>
    <t>CreateVARetail</t>
  </si>
  <si>
    <t>SOA0038-029</t>
  </si>
  <si>
    <t>InitDeLinkCardAccount</t>
  </si>
  <si>
    <t>SOA0038-030</t>
  </si>
  <si>
    <t>DeLinkCardAccount</t>
  </si>
  <si>
    <t>SOA0038-031</t>
  </si>
  <si>
    <t>SweepAccount</t>
  </si>
  <si>
    <t>SOA0038-032</t>
  </si>
  <si>
    <t>DraftOverLimit</t>
  </si>
  <si>
    <t>SOA0038-033</t>
  </si>
  <si>
    <t>DraftOverLimitUpdate</t>
  </si>
  <si>
    <t>SOA0038-034</t>
  </si>
  <si>
    <t>CreateUserDefinedCode</t>
  </si>
  <si>
    <t>SOA0038-035</t>
  </si>
  <si>
    <t>InquiryChequeDetail</t>
  </si>
  <si>
    <t>SOA0038-036</t>
  </si>
  <si>
    <t>InquiryCheque</t>
  </si>
  <si>
    <t>SOA0038-037</t>
  </si>
  <si>
    <t>SSOA0039</t>
  </si>
  <si>
    <t>CR36193 - BP_SprintApp</t>
  </si>
  <si>
    <t>SOA0039-001</t>
  </si>
  <si>
    <t>Nomal Pembukaan dan Cek Izin Rekening</t>
  </si>
  <si>
    <t>http://192.168.152.220:57007/ChannelService</t>
  </si>
  <si>
    <t>SOA0039-002</t>
  </si>
  <si>
    <t>Abnormal Pembukaan dan Cek Izin Rekening</t>
  </si>
  <si>
    <t>SOA0039-003</t>
  </si>
  <si>
    <t>Normal Update Rekening</t>
  </si>
  <si>
    <t>SOA0039-004</t>
  </si>
  <si>
    <t>Abnormal Update Rekening</t>
  </si>
  <si>
    <t>SOA0039-005</t>
  </si>
  <si>
    <t>Normal Mutasi Rekening</t>
  </si>
  <si>
    <t>Unknown system id</t>
  </si>
  <si>
    <t>SOA0039-006</t>
  </si>
  <si>
    <t>Abnormal Mutasi Rekening</t>
  </si>
  <si>
    <t>{
        "tgltran":"2020-05-12", 
        "kdbank":"009", 
        "kdjenbank":"1", 
        "norek":"114744497", 
        "saldo":"300000" 
}</t>
  </si>
  <si>
    <t>SOA0039-007</t>
  </si>
  <si>
    <t>Normal Rekap Harian Saldo</t>
  </si>
  <si>
    <t>Invalid format request body</t>
  </si>
  <si>
    <t>SOA0039-008</t>
  </si>
  <si>
    <t>Abnormal Rekap Harian Saldo</t>
  </si>
  <si>
    <t>SOA0039-009</t>
  </si>
  <si>
    <t>Normal Tutup Rekening</t>
  </si>
  <si>
    <t>SOA0039-010</t>
  </si>
  <si>
    <t>Abnormal Tutup Rekening</t>
  </si>
  <si>
    <t>SOA0039-011</t>
  </si>
  <si>
    <t>Duplicate msgId</t>
  </si>
  <si>
    <t>SOA0039-012</t>
  </si>
  <si>
    <t>Duplicate msgId (Data already exist)</t>
  </si>
  <si>
    <t>SSOA0040</t>
  </si>
  <si>
    <t>CR36193 - BP_KseiAkses</t>
  </si>
  <si>
    <t>SOA0040-001</t>
  </si>
  <si>
    <t xml:space="preserve">Test Case – (SMS)Normal Registrasi KSEI </t>
  </si>
  <si>
    <t>http://192.168.143.61:45012</t>
  </si>
  <si>
    <t>&lt;methodCall&gt;                                                                        
        &lt;methodName&gt;BNI.smsPull&lt;/methodName&gt;                                                                
        &lt;params&gt;                                                                
                &lt;member&gt;                                                        
                        &lt;name&gt;TransactionType&lt;/name&gt;                                                
                        &lt;value&gt;SMS&lt;/value&gt;                                                
                &lt;/member&gt;                                                        
                &lt;member&gt;                                                        
                        &lt;name&gt;TransactionID&lt;/name&gt;                                                
                        &lt;value&gt;12353&lt;/value&gt;                                                
                &lt;/member&gt;                                                        
                &lt;member&gt;                                                        
                        &lt;name&gt;TransactionDate&lt;/name&gt;                                                
                        &lt;value&gt;20200625T12:03:09:267&lt;/value&gt;                                                
                &lt;/member&gt;                                                        
                &lt;member&gt;                                                        
                        &lt;name&gt;MSISDN&lt;/name&gt;                                                
                        &lt;value&gt;6282121807460&lt;/value&gt;                                                
                &lt;/member&gt;                                                        
                &lt;member&gt;                                                        
                        &lt;name&gt;SMSContent&lt;/name&gt;                                                
                        &lt;value&gt;REG KSEI&lt;/value&gt;                                                
                &lt;/member&gt;                                        
                &lt;member&gt;
                        &lt;name&gt;Amount&lt;/name&gt;
                        &lt;value&gt;11000&lt;/value&gt;
                &lt;/member&gt;
                &lt;member&gt;
                        &lt;name&gt;MRP&lt;/name&gt;
                        &lt;value&gt;00&lt;/value&gt;
                &lt;/member&gt;
                &lt;member&gt;
                        &lt;name&gt;Channel&lt;/name&gt;
                        &lt;value&gt;SMS Banking&lt;/value&gt;
                &lt;/member&gt;
        &lt;/params&gt;                                                                
&lt;/methodCall&gt;</t>
  </si>
  <si>
    <t>SOA0040-002</t>
  </si>
  <si>
    <t>Test Case – (SMS)Abnormal Registrasi KSEI: rekening tidak terafialiasi kartu</t>
  </si>
  <si>
    <t>&lt;methodCall&gt;                                                                        
        &lt;methodName&gt;BNI.smsPull&lt;/methodName&gt;                                                                
        &lt;params&gt;                                                                
                &lt;member&gt;                                                        
                        &lt;name&gt;TransactionType&lt;/name&gt;                                                
                        &lt;value&gt;SMS&lt;/value&gt;                                                
                &lt;/member&gt;                                                        
                &lt;member&gt;                                                        
                        &lt;name&gt;TransactionID&lt;/name&gt;                                                
                        &lt;value&gt;12353&lt;/value&gt;                                                
                &lt;/member&gt;                                                        
                &lt;member&gt;                                                        
                        &lt;name&gt;TransactionDate&lt;/name&gt;                                                
                        &lt;value&gt;20200717T12:03:09:267&lt;/value&gt;                                                
                &lt;/member&gt;                                                        
                &lt;member&gt;                                                        
                        &lt;name&gt;MSISDN&lt;/name&gt;                                                
                        &lt;value&gt;6282121807460&lt;/value&gt;                                                
                &lt;/member&gt;                                                        
                &lt;member&gt;                                                        
                        &lt;name&gt;SMSContent&lt;/name&gt;                                                
                        &lt;value&gt;REG KSEI&lt;/value&gt;                                                
                &lt;/member&gt;                                        
                &lt;member&gt;
                        &lt;name&gt;Amount&lt;/name&gt;
                        &lt;value&gt;11000&lt;/value&gt;
                &lt;/member&gt;
                &lt;member&gt;
                        &lt;name&gt;MRP&lt;/name&gt;
                        &lt;value&gt;00&lt;/value&gt;
                &lt;/member&gt;
                &lt;member&gt;
                        &lt;name&gt;Channel&lt;/name&gt;
                        &lt;value&gt;SMS Banking&lt;/value&gt;
                &lt;/member&gt;
        &lt;/params&gt;                                                                
&lt;/methodCall&gt;</t>
  </si>
  <si>
    <t>SSOA0041</t>
  </si>
  <si>
    <t xml:space="preserve">CR36193 - BP_PrepaidPayment  </t>
  </si>
  <si>
    <t>SOA0041-001</t>
  </si>
  <si>
    <t>Test Case – Normal topup Tapcash dari BNIDIRECT</t>
  </si>
  <si>
    <t>http://192.168.104.220:44020/ChannelService</t>
  </si>
  <si>
    <t>&lt;soap:Envelope xmlns:xsd="http://www.w3.org/2001/XMLSchema" xmlns:xsi="http://www.w3.org/2001/XMLSchema-instance" xmlns:soap="http://schemas.xmlsoap.org/soap/envelope/"&gt;
   &lt;soap:Body&gt;
      &lt;inquiryTapCash xmlns="http://service.bni.co.id/phone"&gt;
         &lt;request xmlns=""&gt;
            &lt;header&gt;
               &lt;systemId&gt;PREPAID&lt;/systemId&gt;
               &lt;channelId&gt;BNIDIRECT&lt;/channelId&gt;
               &lt;feeId&gt;00900105&lt;/feeId&gt;
            &lt;/header&gt;
            &lt;content&gt;
               &lt;clientId&gt;BNIDIRECT&lt;/clientId&gt;
               &lt;reffNum&gt;20191108161748034470&lt;/reffNum&gt;
               &lt;inquiryPrepaidReq&gt;
                  &lt;providerId&gt;BNI-TAPCASH&lt;/providerId&gt;
                  &lt;amount&gt;10000&lt;/amount&gt;
                  &lt;tapcashNum&gt;7546220000115857&lt;/tapcashNum&gt;
                  &lt;accountNum&gt;0317123718&lt;/accountNum&gt;
               &lt;/inquiryPrepaidReq&gt;
            &lt;/content&gt;
         &lt;/request&gt;
      &lt;/inquiryTapCash&gt;
   &lt;/soap:Body&gt;
&lt;/soap:Envelope&gt;</t>
  </si>
  <si>
    <t>SOA0041-002</t>
  </si>
  <si>
    <t>Test Case – Abormal topup Tapcash dari BNIDIRECT: Nomor rekening salah</t>
  </si>
  <si>
    <t>SSOA0042</t>
  </si>
  <si>
    <t>CR36193 - BP_HET</t>
  </si>
  <si>
    <t>SOA0042-001</t>
  </si>
  <si>
    <t>Normal inquiryHET menggunakan SOAP Message</t>
  </si>
  <si>
    <t>SOA0042-002</t>
  </si>
  <si>
    <t>Abnormal inquiryHET menggunakan SOAP Message:  invalid agentId</t>
  </si>
  <si>
    <t>SOA0042-003</t>
  </si>
  <si>
    <t>Normal inquiryAllHET menggunakan SOAP Message</t>
  </si>
  <si>
    <t>SOA0042-004</t>
  </si>
  <si>
    <t>Abnormal inquiryAllHET menggunakan SOAP Message: Invalid province</t>
  </si>
  <si>
    <t>SOA0042-005</t>
  </si>
  <si>
    <t>Normal createPrice menggunakan SOAP Message</t>
  </si>
  <si>
    <t>SOA0042-006</t>
  </si>
  <si>
    <t>SOA0042-007</t>
  </si>
  <si>
    <t>Normal updatePrice menggunakan SOAP Message</t>
  </si>
  <si>
    <t>SOA0042-008</t>
  </si>
  <si>
    <t>Abnormal updatePrice menggunakan SOAP Message: Invalid price Id</t>
  </si>
  <si>
    <t>SOA0042-009</t>
  </si>
  <si>
    <t>Normal deletePrice menggunakan SOAP Message</t>
  </si>
  <si>
    <t>SOA0042-010</t>
  </si>
  <si>
    <t>Abnormal deletePrice menggunakan SOAP Message: invalid staffId</t>
  </si>
  <si>
    <t>SOA0042-011</t>
  </si>
  <si>
    <t>Normal inquiryPrices menggunakan SOAP Message</t>
  </si>
  <si>
    <t>SOA0042-012</t>
  </si>
  <si>
    <t>Abnormal inquiryPrices menggunakan SOAP Message: invaid AgentId</t>
  </si>
  <si>
    <t>SOA0042-013</t>
  </si>
  <si>
    <t>Normal inquiryTransactions menggunakan SOAP Message</t>
  </si>
  <si>
    <t>SOA0042-014</t>
  </si>
  <si>
    <t>Normal inquiryTransactions menggunakan SOAP Message: dateTo &lt; dateFrom</t>
  </si>
  <si>
    <t>SOA0042-015</t>
  </si>
  <si>
    <t>Normal pembayaran LPG dari SMS Banking</t>
  </si>
  <si>
    <t>SOA0042-016</t>
  </si>
  <si>
    <t>Abnormal pembayaran LPG dari SMS Banking: id pangkalan tidak valid</t>
  </si>
  <si>
    <t>SOA0042-017</t>
  </si>
  <si>
    <t>Normal inquiryLPG menggunakan SOAP Message</t>
  </si>
  <si>
    <t>SOA0042-018</t>
  </si>
  <si>
    <t>Abnormal inquiryLPG menggunakan SOAP Message: abnormal retailer Id</t>
  </si>
  <si>
    <t>SOA0042-019</t>
  </si>
  <si>
    <t>Normal payLPG menggunakan SOAP Message</t>
  </si>
  <si>
    <t>SOA0042-020</t>
  </si>
  <si>
    <t>Abnormal payLPG menggunakan SOAP Message: invalid delivery Date</t>
  </si>
  <si>
    <t>SSOA0043</t>
  </si>
  <si>
    <t>CR36193 - Coreservices</t>
  </si>
  <si>
    <t>SOA0043-001</t>
  </si>
  <si>
    <t>T001_Account Details - Valid A/C Number</t>
  </si>
  <si>
    <t>http://192.168.151.220:44001/CoreService</t>
  </si>
  <si>
    <t>SOA0043-002</t>
  </si>
  <si>
    <t>T002_Account Details - Invalid A/C Number</t>
  </si>
  <si>
    <t>SOA0043-003</t>
  </si>
  <si>
    <t>T003_Account Short Details - Valid A/C With Option</t>
  </si>
  <si>
    <t>SOA0043-004</t>
  </si>
  <si>
    <t>T004_Account Short Details - Valid A/C Without Option</t>
  </si>
  <si>
    <t>SOA0043-005</t>
  </si>
  <si>
    <t>T005_Account Short Details - Valid A/C With Wrong Option</t>
  </si>
  <si>
    <t>SOA0043-006</t>
  </si>
  <si>
    <t>T007_Account Short Details - Invalid A/C Number Without Option</t>
  </si>
  <si>
    <t>SOA0043-007</t>
  </si>
  <si>
    <t>BNIDIRECT</t>
  </si>
  <si>
    <t>SOA0043-008</t>
  </si>
  <si>
    <t>T014_Balance_Info_-_Valid_Ac</t>
  </si>
  <si>
    <t>SOA0043-009</t>
  </si>
  <si>
    <t>T014_Balance_Info_-_GL_Acc</t>
  </si>
  <si>
    <t>SOA0043-010</t>
  </si>
  <si>
    <t>T016_Bill_Payment_-_Valid_Cash_Payment</t>
  </si>
  <si>
    <t>SOA0043-011</t>
  </si>
  <si>
    <t>T017_Bill_Payment_-_Valid_Transfer_Payment</t>
  </si>
  <si>
    <t>SOA0043-012</t>
  </si>
  <si>
    <t>T018_Bill_Payment_-_Invalid_Payment_Method</t>
  </si>
  <si>
    <t>SOA0043-013</t>
  </si>
  <si>
    <t>T017_Bill_Payment_-_Valid_Transfer_Payment_System</t>
  </si>
  <si>
    <t>SOA0043-014</t>
  </si>
  <si>
    <t>T019_Bill_Payment_-_Transfer_Payment_Method_With_Invalid_Account_Number</t>
  </si>
  <si>
    <t>SOA0043-015</t>
  </si>
  <si>
    <t>T023_Bill_Payment_Reversal_-_Valid_Existing_Transfer_Paid_Bill</t>
  </si>
  <si>
    <t>SOA0043-016</t>
  </si>
  <si>
    <t>T023_Bill_Payment_Reversal_-_Valid_Existing_Transfer_Paid_Bill¬_System</t>
  </si>
  <si>
    <t>SOA0043-017</t>
  </si>
  <si>
    <t>T027_Check_Digit_-_Valid_Number</t>
  </si>
  <si>
    <t>SOA0043-018</t>
  </si>
  <si>
    <t>T028_Check_Digit_-_Invalid_Number</t>
  </si>
  <si>
    <t>SOA0043-019</t>
  </si>
  <si>
    <t>T029_Cif_Details_-_Valid_Customer_Number</t>
  </si>
  <si>
    <t>SOA0043-020</t>
  </si>
  <si>
    <t>T030_Cif_Details_-_Invalid_Customer_Number</t>
  </si>
  <si>
    <t>SOA0043-021</t>
  </si>
  <si>
    <t>T029_Cif_Details_-_Valid_Norek</t>
  </si>
  <si>
    <t>SOA0043-022</t>
  </si>
  <si>
    <t>T047_Deposit_Transfer_-_Valid_Acc</t>
  </si>
  <si>
    <t>SOA0043-023</t>
  </si>
  <si>
    <t>T048_Deposit_Transfer_-_Invalid_From_Acc</t>
  </si>
  <si>
    <t>SOA0043-024</t>
  </si>
  <si>
    <t>T050_Deposit_Transfer_-_Amount_More_Then_Valid_Format</t>
  </si>
  <si>
    <t>SOA0043-025</t>
  </si>
  <si>
    <t>T047_Deposit_Transfer_-_Valid_Acc_customJournal</t>
  </si>
  <si>
    <t>SOA0043-026</t>
  </si>
  <si>
    <t>T047_Deposit_Transfer_-_VA</t>
  </si>
  <si>
    <t>SOA0043-027</t>
  </si>
  <si>
    <t>T047_Deposit_Transfer_-_Valid_Acc_serverlama</t>
  </si>
  <si>
    <t>SOA0043-028</t>
  </si>
  <si>
    <t>T057_GL_Inquiry_-_Valid_Inquiry</t>
  </si>
  <si>
    <t>SOA0043-029</t>
  </si>
  <si>
    <t>T058_GL_Inquiry_-_Invalid_Account_Number</t>
  </si>
  <si>
    <t>SOA0043-030</t>
  </si>
  <si>
    <t>T064_Kliring_Outward_-_Valid_Transaction</t>
  </si>
  <si>
    <t>SOA0043-031</t>
  </si>
  <si>
    <t>T071_Loan_Interest_-_Valid_Acc_Number</t>
  </si>
  <si>
    <t>SOA0043-032</t>
  </si>
  <si>
    <t>T076_Multi_Transfer_-_Valid_Transfer</t>
  </si>
  <si>
    <t>SOA0043-033</t>
  </si>
  <si>
    <t>T081_Remittance_Master_In_-_Valid_PMT_Remittance</t>
  </si>
  <si>
    <t>SOA0043-034</t>
  </si>
  <si>
    <t>T069_Loan_Balance_Breakdown_-_Valid_Acc_Number</t>
  </si>
  <si>
    <t>SOA0043-035</t>
  </si>
  <si>
    <t>T038_Deposit_Details_-_Valid_Acc_Number</t>
  </si>
  <si>
    <t>SOA0043-036</t>
  </si>
  <si>
    <t>T039_Deposit_Details_-_Invalid_Acc_Number</t>
  </si>
  <si>
    <t>SOA0043-037</t>
  </si>
  <si>
    <t>T051_Deposit_Transfer_Reversal_-_Valid_Acc</t>
  </si>
  <si>
    <t>SOA0043-038</t>
  </si>
  <si>
    <t>T107_Rtgs_Outward_-_Valid_Transaction</t>
  </si>
  <si>
    <t>SOA0043-039</t>
  </si>
  <si>
    <t>T112_Rtgs_Outward_-_Valid_Transaction_Baru</t>
  </si>
  <si>
    <t>SOA0043-040</t>
  </si>
  <si>
    <t>T107_Rtgs_Outward_-_Valid_Transaction_bary</t>
  </si>
  <si>
    <t>SOA0043-041</t>
  </si>
  <si>
    <t>T073_Loan_Transfer_-_Valid_Acc</t>
  </si>
  <si>
    <t>SOA0043-042</t>
  </si>
  <si>
    <t>TAX_file_number_valid_customer_number</t>
  </si>
  <si>
    <t>SOA0043-043</t>
  </si>
  <si>
    <t>T040_Deposit_Transaction_Inquiry_-_Valid_Acc_Financial_Transaction</t>
  </si>
  <si>
    <t>SOA0043-044</t>
  </si>
  <si>
    <t>T041_Deposit_Transaction_Inquiry_-_Valid_Acc_Rollover_Transaction</t>
  </si>
  <si>
    <t>SOA0043-045</t>
  </si>
  <si>
    <t>T060_Historical_Transactions_-_Valid_Acc</t>
  </si>
  <si>
    <t>SOA0043-046</t>
  </si>
  <si>
    <t>SOAP Request</t>
  </si>
  <si>
    <t>SOA0043-047</t>
  </si>
  <si>
    <t>Test Request</t>
  </si>
  <si>
    <t>SOA0043-048</t>
  </si>
  <si>
    <t>T092_owned_account_list_valid_customer_number</t>
  </si>
  <si>
    <t>SOA0043-049</t>
  </si>
  <si>
    <t>T096_Open_Account_List_-_Valid_Customer_Number</t>
  </si>
  <si>
    <t>SOA0043-050</t>
  </si>
  <si>
    <t>OpenAccountList</t>
  </si>
  <si>
    <t>SOA0043-051</t>
  </si>
  <si>
    <t>SOA0043-052</t>
  </si>
  <si>
    <t>T096_Open_Account_List_-_Valid_Customer_Number_teller 1</t>
  </si>
  <si>
    <t>SOA0043-053</t>
  </si>
  <si>
    <t>T130_XRateInquiry_-_Search</t>
  </si>
  <si>
    <t>SOA0043-054</t>
  </si>
  <si>
    <t>T130_XRateInquiry_-_Search_single</t>
  </si>
  <si>
    <t>SOA0043-055</t>
  </si>
  <si>
    <t>CustomerDetail_-_Valid AC Num</t>
  </si>
  <si>
    <t>SOA0043-056</t>
  </si>
  <si>
    <t>CustomerDetailv2_-_Valid AC Num</t>
  </si>
  <si>
    <t>SOA0043-057</t>
  </si>
  <si>
    <t>Deposit_Transfer_Cross-_Valid_Acc</t>
  </si>
  <si>
    <t>SOA0043-058</t>
  </si>
  <si>
    <t>CreateVirtualAccount</t>
  </si>
  <si>
    <t>SOA0043-059</t>
  </si>
  <si>
    <t>InquiryVirtualAccount</t>
  </si>
  <si>
    <t>SOA0043-060</t>
  </si>
  <si>
    <t>UpdateVirtualAccount</t>
  </si>
  <si>
    <t>SOA0043-061</t>
  </si>
  <si>
    <t>Open_Loan_Account_List_-_Valid_CIF</t>
  </si>
  <si>
    <t>SOA0043-062</t>
  </si>
  <si>
    <t>DepositChangeDetails</t>
  </si>
  <si>
    <t>SOA0043-063</t>
  </si>
  <si>
    <t>OpenDepositAccount</t>
  </si>
  <si>
    <t>SOA0043-064</t>
  </si>
  <si>
    <t>SOA0043-065</t>
  </si>
  <si>
    <t>Create_Deposit_Account - Pemindahan</t>
  </si>
  <si>
    <t>SOA0043-066</t>
  </si>
  <si>
    <t>Create_Deposit_Account - Reinvest</t>
  </si>
  <si>
    <t>SOA0043-067</t>
  </si>
  <si>
    <t>Create_Deposit_Account - Test RequestNewiban</t>
  </si>
  <si>
    <t>SOA0043-068</t>
  </si>
  <si>
    <t>Create_Deposit_Account - SOAP Request</t>
  </si>
  <si>
    <t>SOA0043-069</t>
  </si>
  <si>
    <t>Create_Deposit_Account - Taplus Muda</t>
  </si>
  <si>
    <t>SOA0043-070</t>
  </si>
  <si>
    <t>AccountShortInquiry - Test Request</t>
  </si>
  <si>
    <t>SOA0043-071</t>
  </si>
  <si>
    <t>AccountShortInquiry - BNI Direct</t>
  </si>
  <si>
    <t>SOA0043-072</t>
  </si>
  <si>
    <t>AccountShortInquiry - Request Super</t>
  </si>
  <si>
    <t>SOA0043-073</t>
  </si>
  <si>
    <t>AccountShortInquiry - TQC</t>
  </si>
  <si>
    <t>SOA0043-074</t>
  </si>
  <si>
    <t>AccountShortInquiry - System</t>
  </si>
  <si>
    <t>SOA0043-075</t>
  </si>
  <si>
    <t>HoldAmountRelease - Request Normal</t>
  </si>
  <si>
    <t>SOA0043-076</t>
  </si>
  <si>
    <t>Hold Amount Normal</t>
  </si>
  <si>
    <t>SOA0043-077</t>
  </si>
  <si>
    <t>Hold Amount Taspen Reff 7</t>
  </si>
  <si>
    <t>SOA0043-078</t>
  </si>
  <si>
    <t>ExchangeRateByType</t>
  </si>
  <si>
    <t>SOA0043-079</t>
  </si>
  <si>
    <t>CreateTopupAcc</t>
  </si>
  <si>
    <t>SOA0043-080</t>
  </si>
  <si>
    <t>CreateTopupAcc2</t>
  </si>
  <si>
    <t>SOA0043-081</t>
  </si>
  <si>
    <t>CreateTopupAcc - SOAP Request</t>
  </si>
  <si>
    <t>SOA0043-082</t>
  </si>
  <si>
    <t>BreakDepositAccount</t>
  </si>
  <si>
    <t>SOA0043-083</t>
  </si>
  <si>
    <t>BillingPayment-Normal</t>
  </si>
  <si>
    <t>SOA0043-084</t>
  </si>
  <si>
    <t>BillingPayment – BPJSTK</t>
  </si>
  <si>
    <t>SOA0043-085</t>
  </si>
  <si>
    <t>BillingPayment PLNTeller</t>
  </si>
  <si>
    <t>SOA0043-086</t>
  </si>
  <si>
    <t>BillingPaymentReversal - Normal</t>
  </si>
  <si>
    <t>SOA0043-087</t>
  </si>
  <si>
    <t>BillingPaymentReversal – BPJSTK</t>
  </si>
  <si>
    <t>SOA0043-088</t>
  </si>
  <si>
    <t>BillingPaymentReversal – New</t>
  </si>
  <si>
    <t>SOA0043-089</t>
  </si>
  <si>
    <t>CreateVirtualAccount - InquiryVa</t>
  </si>
  <si>
    <t>SOA0043-090</t>
  </si>
  <si>
    <t>CreateVirtualAccount - CreateVa</t>
  </si>
  <si>
    <t>SOA0043-091</t>
  </si>
  <si>
    <t>CreateVirtualAccount - UpdateVA</t>
  </si>
  <si>
    <t>SOA0043-092</t>
  </si>
  <si>
    <t>CreateVirtualAccount - GetVaName</t>
  </si>
  <si>
    <t>SOA0043-093</t>
  </si>
  <si>
    <t>SOA0043-094</t>
  </si>
  <si>
    <t>GLTransaction - GLTarikTunai</t>
  </si>
  <si>
    <t>SOA0043-095</t>
  </si>
  <si>
    <t>GLTransaction - GLTransferGL</t>
  </si>
  <si>
    <t>SOA0043-096</t>
  </si>
  <si>
    <t>GLTransaction - GLTransferGL2</t>
  </si>
  <si>
    <t>SOA0043-097</t>
  </si>
  <si>
    <t>GLTransaction - GLTransferDeposit</t>
  </si>
  <si>
    <t>SOA0043-098</t>
  </si>
  <si>
    <t>GLTransaction - GLTransferGL3</t>
  </si>
  <si>
    <t>SOA0043-099</t>
  </si>
  <si>
    <t>GLTransaction - GLTransferGL_PSAK73</t>
  </si>
  <si>
    <t>SOA0043-100</t>
  </si>
  <si>
    <t>UpdateCifDetails – ELO</t>
  </si>
  <si>
    <t>SOA0043-101</t>
  </si>
  <si>
    <t>HoldDebitCard</t>
  </si>
  <si>
    <t>SOA0043-102</t>
  </si>
  <si>
    <t>CashDepositIDR</t>
  </si>
  <si>
    <t>SOA0043-103</t>
  </si>
  <si>
    <t>GetLinkedDebitCard</t>
  </si>
  <si>
    <t>SOA0043-104</t>
  </si>
  <si>
    <t>GetLinkedDebitCard_TQC</t>
  </si>
  <si>
    <t>SOA0043-105</t>
  </si>
  <si>
    <t>XRateParamInquiry</t>
  </si>
  <si>
    <t>SOA0043-106</t>
  </si>
  <si>
    <t>InquiryTrxVirtualAccount</t>
  </si>
  <si>
    <t>SOA0043-107</t>
  </si>
  <si>
    <t>CashWithdrawal</t>
  </si>
  <si>
    <t>SOA0043-108</t>
  </si>
  <si>
    <t>CashWithdrawal - CWD_VA</t>
  </si>
  <si>
    <t>Failed</t>
  </si>
  <si>
    <t>Drop</t>
  </si>
  <si>
    <t>SOA0043-109</t>
  </si>
  <si>
    <t>InquiryUserDefinedCodeV2</t>
  </si>
  <si>
    <t>SOA0043-110</t>
  </si>
  <si>
    <t>CustomerSearchById</t>
  </si>
  <si>
    <t>SOA0043-111</t>
  </si>
  <si>
    <t>InitLinkCardAccountReq</t>
  </si>
  <si>
    <t>SOA0043-112</t>
  </si>
  <si>
    <t>InitCreateDEPAccount</t>
  </si>
  <si>
    <t>SOA0043-113</t>
  </si>
  <si>
    <t>CreateDepositAccount</t>
  </si>
  <si>
    <t>SOA0043-114</t>
  </si>
  <si>
    <t>VirtualAccount_v2 - InquiryVA</t>
  </si>
  <si>
    <t>SOA0043-115</t>
  </si>
  <si>
    <t>VirtualAccount_v2 - CreateVA</t>
  </si>
  <si>
    <t>SOA0043-116</t>
  </si>
  <si>
    <t>VirtualAccount_v2 - UpdateVA</t>
  </si>
  <si>
    <t>SOA0043-117</t>
  </si>
  <si>
    <t>VirtualAccount_v2 - GetVaName</t>
  </si>
  <si>
    <t>SOA0043-118</t>
  </si>
  <si>
    <t>SOA0043-119</t>
  </si>
  <si>
    <t>VirtualAccount_v2 - CreateCIDVA</t>
  </si>
  <si>
    <t>SOA0043-120</t>
  </si>
  <si>
    <t>VirtualAccount_v2 - CreateVirtualAccount_v2</t>
  </si>
  <si>
    <t>SOA0043-121</t>
  </si>
  <si>
    <t>DepositTransferReversal</t>
  </si>
  <si>
    <t>SOA0043-122</t>
  </si>
  <si>
    <t>SOA0043-123</t>
  </si>
  <si>
    <t>SOA0043-124</t>
  </si>
  <si>
    <t>SOA0043-125</t>
  </si>
  <si>
    <t>SOA0043-126</t>
  </si>
  <si>
    <t>InitCreateDepositAccount</t>
  </si>
  <si>
    <t>SOA0043-127</t>
  </si>
  <si>
    <t>InitCreateDepositAccount - SOAP Request</t>
  </si>
  <si>
    <t>SOA0043-128</t>
  </si>
  <si>
    <t>InitCreateDepositAccount - Taplus Muda</t>
  </si>
  <si>
    <t>SOA0043-129</t>
  </si>
  <si>
    <t>InitLinkCardAccount</t>
  </si>
  <si>
    <t>SOA0043-130</t>
  </si>
  <si>
    <t>AtmCardlessDepositTransfer</t>
  </si>
  <si>
    <t>SOA0043-131</t>
  </si>
  <si>
    <t>PassbookPrint</t>
  </si>
  <si>
    <t>SOA0043-132</t>
  </si>
  <si>
    <t>InquirySMSNotification</t>
  </si>
  <si>
    <t>SOA0043-133</t>
  </si>
  <si>
    <t>InitChangeOwnershipCard</t>
  </si>
  <si>
    <t>SOA0043-134</t>
  </si>
  <si>
    <t>ChangeOwnershipCard</t>
  </si>
  <si>
    <t>SOA0043-135</t>
  </si>
  <si>
    <t>InquiryCustJobDetails</t>
  </si>
  <si>
    <t>SOA0043-136</t>
  </si>
  <si>
    <t>UpdateBeneficiaryOwner/ UpdateCustJobDetail</t>
  </si>
  <si>
    <t>SSOA0044</t>
  </si>
  <si>
    <t>CR36193 - BP_VARetail</t>
  </si>
  <si>
    <t>SOA0044-001</t>
  </si>
  <si>
    <t>Test Case – Normal Validate VA Retail</t>
  </si>
  <si>
    <t>http://192.168.152.220:47008/H2HService</t>
  </si>
  <si>
    <t>SOA0044-002</t>
  </si>
  <si>
    <t>Test Case – Abormal Validate VA Retail: UUID kosong</t>
  </si>
  <si>
    <t>SOA0044-003</t>
  </si>
  <si>
    <t>Test Case - Abnormal Validate VA Retail: cardNum tidak sesuai dengan 4 digit pertama kartu dari rekening yang diinput</t>
  </si>
  <si>
    <t>Account is not Open</t>
  </si>
  <si>
    <t>SOA0044-004</t>
  </si>
  <si>
    <t>Test Case – Abormal Validate VA Retail: status kartu tidak aktif</t>
  </si>
  <si>
    <t>SOA0044-005</t>
  </si>
  <si>
    <t>Test Case – Normal Registration VA Retail (Tentative)</t>
  </si>
  <si>
    <t>SOA0044-006</t>
  </si>
  <si>
    <t>Test Case – Abnormal Registration VA Retail : UUID Kosong</t>
  </si>
  <si>
    <t>SOA0044-007</t>
  </si>
  <si>
    <t>Test Case – Normal VA Transaction</t>
  </si>
  <si>
    <t>SOA0044-008</t>
  </si>
  <si>
    <t>Test Case – Abnormal VA Transaction: Virtual account tidak terdaftar di varetail_account</t>
  </si>
  <si>
    <t>SOA0044-009</t>
  </si>
  <si>
    <t>Test Case – Abnormal VA Transaction: beneficiary account salah</t>
  </si>
  <si>
    <t>SOA0044-010</t>
  </si>
  <si>
    <t>Test Case – Abnormal VA Transaction: saldo rekening VA tidak cukup</t>
  </si>
  <si>
    <t>SSOA0045</t>
  </si>
  <si>
    <t>CR36193 - BancslinckPing</t>
  </si>
  <si>
    <t>SOA0045-001</t>
  </si>
  <si>
    <t>Test Case – BP_BancslinkPing-Normal bancslink ping</t>
  </si>
  <si>
    <t>http://192.168.152.220:41002/BP_BancslinkPingWeb/sca/Export</t>
  </si>
  <si>
    <t>SSOA0046</t>
  </si>
  <si>
    <t>CR36193 - AntiAttrition</t>
  </si>
  <si>
    <t>SOA0046-001</t>
  </si>
  <si>
    <t>Test Case - BP_AntiAttrition: Normal Rekening Simpanan</t>
  </si>
  <si>
    <t>SOA0046-002</t>
  </si>
  <si>
    <t>Test Case – BP_AntiAttrition: Normal Rekening Pinjaman</t>
  </si>
  <si>
    <t>SOA0046-003</t>
  </si>
  <si>
    <t>Test Case – BP_AntiAttrition: Abnormal Rekening Simpanan</t>
  </si>
  <si>
    <t>SSOA0047</t>
  </si>
  <si>
    <t>CR36193 - BP_BPJSTKFLAGGING</t>
  </si>
  <si>
    <t>SOA0047-001</t>
  </si>
  <si>
    <t>Normal Autosettlement pembayaran VA H2H BPJS TK melalui Bank Lain</t>
  </si>
  <si>
    <t>http://192.168.151.220:44018</t>
  </si>
  <si>
    <t>SSOA0048</t>
  </si>
  <si>
    <t>SB_SpcService &amp; BP_SpcH2H</t>
  </si>
  <si>
    <t>SSOA0049</t>
  </si>
  <si>
    <t>CR36193 - BP_DirectDebit</t>
  </si>
  <si>
    <t>SOA0049-001</t>
  </si>
  <si>
    <t>Normal registrasi direct debit</t>
  </si>
  <si>
    <t>SOA0049-002</t>
  </si>
  <si>
    <t>Abnormal registrasi direct debit: status kartu tidak aktif</t>
  </si>
  <si>
    <t>SOA0049-003</t>
  </si>
  <si>
    <t>Normal aktivasi direct debit</t>
  </si>
  <si>
    <t>SOA0049-004</t>
  </si>
  <si>
    <t>Normal transaksi direct debit dengan OTP</t>
  </si>
  <si>
    <t>SOA0049-005</t>
  </si>
  <si>
    <t>Abnormal transaksi direct debit dengan OTP: OTP salah</t>
  </si>
  <si>
    <t>SOA0049-006</t>
  </si>
  <si>
    <t>Normal transaksi direct debit tanpa OTP</t>
  </si>
  <si>
    <t>SOA0049-007</t>
  </si>
  <si>
    <t>Abnormal transaksi direct debit tanpa OTP: rekening tidak aktif</t>
  </si>
  <si>
    <t>SOA0049-008</t>
  </si>
  <si>
    <t>Normal refund</t>
  </si>
  <si>
    <t>SOA0049-009</t>
  </si>
  <si>
    <t>Abnormal refund: nominal tidak sesuai</t>
  </si>
  <si>
    <t>SOA0049-010</t>
  </si>
  <si>
    <t>Normal inquiry status transaksi</t>
  </si>
  <si>
    <t>SOA0049-011</t>
  </si>
  <si>
    <t>Normal unregister direct debit</t>
  </si>
  <si>
    <t>SOA0049-012</t>
  </si>
  <si>
    <t>Abnormal unregister direct debit: account token salah</t>
  </si>
  <si>
    <t>SSOA0050</t>
  </si>
  <si>
    <t>SB_CashPickup</t>
  </si>
  <si>
    <t>SOA0050-001</t>
  </si>
  <si>
    <t>Normal Inquiry CashPickup</t>
  </si>
  <si>
    <t>http://192.168.152.220:44002/remittance/cashpickup/posindo</t>
  </si>
  <si>
    <t>SOA0050-002</t>
  </si>
  <si>
    <t>Abnormal Inquiry CashPickup: melebihi cut off time</t>
  </si>
  <si>
    <t>SOA0050-003</t>
  </si>
  <si>
    <t>Abnormal Inquiry CashPickup : invalid clientId</t>
  </si>
  <si>
    <t>SOA0050-004</t>
  </si>
  <si>
    <t>Abnormal Payment CashPickup : refferenceNum dan counterAdvis sudah dibayarkan / lunas</t>
  </si>
  <si>
    <t>SOA0050-005</t>
  </si>
  <si>
    <t>Abnormal Payment CashPickup: invalid reffNum</t>
  </si>
  <si>
    <t>Rearsitektur SOA</t>
  </si>
  <si>
    <t>BancslinckPing</t>
  </si>
  <si>
    <t>BP_MPNBilling</t>
  </si>
  <si>
    <t>Test Case – BNIDirect: Normal Inquiry NPWP</t>
  </si>
  <si>
    <t>Test Case – BNIDirect: Abnormal Inquiry NPWP - Invalid nomor NPWP</t>
  </si>
  <si>
    <t>Test Case – BNIDirect: Normal Create Billing NPWP IDR</t>
  </si>
  <si>
    <t>Test Case – BNIDirect: Abnormal Create Billing NPWP IDR (Tidak butuh NOP /NOP diinput selain 000000000000000000)</t>
  </si>
  <si>
    <t>Test Case – BNIDirect: Abnormal Create Billing NPWP IDR (Masa Pajak tidak berada dalam range 1-12)</t>
  </si>
  <si>
    <t>Test Case – BNIDirect: Abnormal Create Billing NPWP IDR (Nomor SK mengandung karakter)</t>
  </si>
  <si>
    <t>Test Case – BNIDirect: Abnormal Create Billing NPWP IDR (Nominal 0)</t>
  </si>
  <si>
    <t>Test Case – BNIDirect: Abnormal Create Billing NPWP IDR (Penyetor harus memiliki NPWP)</t>
  </si>
  <si>
    <t>Test Case – BNIDirect: Normal Create Billing NPWP USD</t>
  </si>
  <si>
    <t>Test Case – BNIDirect: Normal Create Billing Non NPWP</t>
  </si>
  <si>
    <t>Test Case – BNIDirect: Abnormal Create Billing Non NPWP IDR (Tidak butuh NOP /NOP diinput selain 000000000000000000)</t>
  </si>
  <si>
    <t>Test Case – BNIDirect: Abnormal Create Billing Non NPWP IDR (Masa Pajak tidak berada dalam range 1-12)</t>
  </si>
  <si>
    <t>Test Case – BNIDirect: Abnormal Create Billing Non NPWP IDR (Nomor SK mengandung karakter)</t>
  </si>
  <si>
    <t>Test Case – BNIDirect: Abnormal Create Billing Non NPWP IDR (Nominal 0)</t>
  </si>
  <si>
    <t>Test Case – BNIDirect: Abnormal Create Billing Non NPWP IDR (Penyetor harus memiliki NPWP)</t>
  </si>
  <si>
    <t>BP_VARetail</t>
  </si>
  <si>
    <t>Period</t>
  </si>
  <si>
    <t>2023 Q1</t>
  </si>
  <si>
    <t>Apps</t>
  </si>
  <si>
    <t>Use Case ID</t>
  </si>
  <si>
    <t>Actual Result</t>
  </si>
  <si>
    <t>Date Open</t>
  </si>
  <si>
    <t>Date Close</t>
  </si>
  <si>
    <t>Solution</t>
  </si>
  <si>
    <t>mbank v5.7.7 android</t>
  </si>
  <si>
    <t>black screen install packaged</t>
  </si>
  <si>
    <t>bisa install apps, tidak bisa get object unpackaged</t>
  </si>
  <si>
    <t>sms banking app debug (android)</t>
  </si>
  <si>
    <t>tidak bisa get object packaged</t>
  </si>
  <si>
    <t>mobile agen (android)</t>
  </si>
  <si>
    <t xml:space="preserve">solved </t>
  </si>
  <si>
    <t>set apk unpackaged</t>
  </si>
  <si>
    <t>mobile mycard (android)</t>
  </si>
  <si>
    <t>[]]</t>
  </si>
  <si>
    <t>Screen MyCard</t>
  </si>
  <si>
    <t>Report</t>
  </si>
  <si>
    <t>SCMW0001</t>
  </si>
  <si>
    <t>MCW-01</t>
  </si>
  <si>
    <t>Login username dan password tidak diisi</t>
  </si>
  <si>
    <t>Tidak melakukan input username dan password</t>
  </si>
  <si>
    <t>Tidak dapat melakukan login</t>
  </si>
  <si>
    <t>SCMW0001 - Login_20220602-094706496.pdf</t>
  </si>
  <si>
    <t>SCMW0001 - Login_20220718-103015831.pdf</t>
  </si>
  <si>
    <t>SCMW0002</t>
  </si>
  <si>
    <t>MCW-02</t>
  </si>
  <si>
    <t>Login akun belum terdaftar</t>
  </si>
  <si>
    <t>Input username dan password tidak terdaftar</t>
  </si>
  <si>
    <t>Login gagal</t>
  </si>
  <si>
    <t>SCMW0002 - Login_20220606-083206429.pdf</t>
  </si>
  <si>
    <t>SCMW0002 - Login Unregistered_20220718-105049243.pdf</t>
  </si>
  <si>
    <t>SCMW0003</t>
  </si>
  <si>
    <t>MCW-03</t>
  </si>
  <si>
    <t>Login password salah</t>
  </si>
  <si>
    <t>Input username sesuai
Input password salah</t>
  </si>
  <si>
    <t>SCMW0003 - Login_20220606-083417451.pdf</t>
  </si>
  <si>
    <t>SCMW0003 - Login Password Salah_20220718-111226119.pdf</t>
  </si>
  <si>
    <t>SCMW0004</t>
  </si>
  <si>
    <t>MCW-04</t>
  </si>
  <si>
    <t>Login normal</t>
  </si>
  <si>
    <t>Input username sesuai
Input password sesuai</t>
  </si>
  <si>
    <t>Login berhasil
Masuk ke halaman utama</t>
  </si>
  <si>
    <t>SCMW0004 - Login_20220606-091338476.pdf</t>
  </si>
  <si>
    <t>SCMW0004 - Login_20220718-140435106.pdf</t>
  </si>
  <si>
    <t>SCMW0005</t>
  </si>
  <si>
    <t>MCW-05</t>
  </si>
  <si>
    <t>Show password</t>
  </si>
  <si>
    <t>Input password kemudian klik check box show password</t>
  </si>
  <si>
    <t>Show password berhasil</t>
  </si>
  <si>
    <t>SCMW0005 - Show Password_20220602-154549253.pdf</t>
  </si>
  <si>
    <t>SCMW0006</t>
  </si>
  <si>
    <t>MCW-06</t>
  </si>
  <si>
    <t>Forgot password normal</t>
  </si>
  <si>
    <t>Pada halaman utama klik forgot password
Input username dan email yang terdaftar
Submit data</t>
  </si>
  <si>
    <t>Forgot password berhasil
Password baru terkirim ke email</t>
  </si>
  <si>
    <t>3 Juni 2022</t>
  </si>
  <si>
    <t>SCMW0006 - Forgot Password_20220603-100406055.pdf</t>
  </si>
  <si>
    <t>SCMW0006 - Forgot Password_20220719-094507982.pdf</t>
  </si>
  <si>
    <t>SCMW0007</t>
  </si>
  <si>
    <t>MCW-07</t>
  </si>
  <si>
    <t>Forgot password data kosong</t>
  </si>
  <si>
    <t>Tidak melakukan input username dan email</t>
  </si>
  <si>
    <t>Tidak dapat melakukan submit</t>
  </si>
  <si>
    <t>SCMW0007 - Forgot Password_20220603-140200945.pdf</t>
  </si>
  <si>
    <t>SCMW0007 - Forgot Password_20220719-105222068.pdf</t>
  </si>
  <si>
    <t>SCMW0008</t>
  </si>
  <si>
    <t>MCW-08</t>
  </si>
  <si>
    <t>Forgot password akun belum terdaftar</t>
  </si>
  <si>
    <t>Input username dan email tidak terdaftar</t>
  </si>
  <si>
    <t>Forgot password gagal</t>
  </si>
  <si>
    <t>SCMW0008 - Forgot Password_20220606-083846926.pdf</t>
  </si>
  <si>
    <t>SCMW0008 - Forgot Password_20220719-120920148.pdf</t>
  </si>
  <si>
    <t>SCMW0009</t>
  </si>
  <si>
    <t>MCW-09</t>
  </si>
  <si>
    <t>Kembali dari halaman forgot password</t>
  </si>
  <si>
    <t>Masuk halaman forgot password
Klik tombol back</t>
  </si>
  <si>
    <t>Kembali ke halaman login</t>
  </si>
  <si>
    <t>SCMW0009 - Forgot Password_20220603-164543982.pdf</t>
  </si>
  <si>
    <t>SCMW0009 - Forgot Password_20220719-155659982.pdf</t>
  </si>
  <si>
    <t>SCMW0010</t>
  </si>
  <si>
    <t>MCW-10</t>
  </si>
  <si>
    <t>Akses menu dashboard</t>
  </si>
  <si>
    <t>Lakukan login
Akses menu dashboard</t>
  </si>
  <si>
    <t>Muncul tampilan dashboard</t>
  </si>
  <si>
    <t>SCMW0010_Akses_menu_dashboard_20220606-112044312.pdf</t>
  </si>
  <si>
    <t>SCMW0010 - Akses Menu Dashboard_20220718-095034889.pdf</t>
  </si>
  <si>
    <t>SCMW0011</t>
  </si>
  <si>
    <t>MCW-11</t>
  </si>
  <si>
    <t>Klik total registered customer</t>
  </si>
  <si>
    <t>Akses menu dashboard Klik total registered customer</t>
  </si>
  <si>
    <t>Akses menu dashboard
Klik total registered customer</t>
  </si>
  <si>
    <t>SELECT COUNT(*) FROM user;</t>
  </si>
  <si>
    <t>Muncul detail data total registered customer</t>
  </si>
  <si>
    <t>SCMW0011 - Klik TRC_20220614-110638664.pdf</t>
  </si>
  <si>
    <t>SCMW0011 - Klik TRC_20220718-094756610.pdf</t>
  </si>
  <si>
    <t>SCMW0012</t>
  </si>
  <si>
    <t>MCW-12</t>
  </si>
  <si>
    <t>Klik kembali total registered customer</t>
  </si>
  <si>
    <t>Akses menu dashboard Klik kembali total registered customer</t>
  </si>
  <si>
    <t>Akses menu dashboard
Klik total registered customer
Klik kembali total registered customer</t>
  </si>
  <si>
    <t>Tidak muncul detail data total registered customer</t>
  </si>
  <si>
    <t>SCMW0012 - Klik Kembali TRC_20220606-162643290.pdf</t>
  </si>
  <si>
    <t>SCMW0012 - Klik Kembali TRC_20220718-095313850.pdf</t>
  </si>
  <si>
    <t>SCMW0013</t>
  </si>
  <si>
    <t>MCW-13</t>
  </si>
  <si>
    <t>Klik total record apply card</t>
  </si>
  <si>
    <t>Akses menu dashboard Klik total record apply card</t>
  </si>
  <si>
    <t>Akses menu dashboard
Klik total record apply card</t>
  </si>
  <si>
    <t>SELECT COUNT(*) FROM apply_card;</t>
  </si>
  <si>
    <t>Muncul detail data total record apply card</t>
  </si>
  <si>
    <t>7 Juni 2022</t>
  </si>
  <si>
    <t>SCMW0013 - Klik TRAC_20220614-111321597.pdf</t>
  </si>
  <si>
    <t>SCMW0013 - Klik TRAC_20220718-095842583.pdf</t>
  </si>
  <si>
    <t>SCMW0014</t>
  </si>
  <si>
    <t>MCW-14</t>
  </si>
  <si>
    <t>Klik kembali total record apply card</t>
  </si>
  <si>
    <t>Akses menu dashboard Klik kembali total record apply card</t>
  </si>
  <si>
    <t>Akses menu dashboard
Klik total record apply card
Klik kembali total record apply card</t>
  </si>
  <si>
    <t>Tidak muncul detail total record apply card</t>
  </si>
  <si>
    <t>SCMW0014 - Klik Kembali TRAC_20220607-102236265.pdf</t>
  </si>
  <si>
    <t>SCMW0014 - Klik Kembali TRAC_20220718-100012445.pdf</t>
  </si>
  <si>
    <t>SCMW0015</t>
  </si>
  <si>
    <t>MCW-15</t>
  </si>
  <si>
    <t>Klik total record refferal</t>
  </si>
  <si>
    <t>Akses menu dashboard Klik total record refferal</t>
  </si>
  <si>
    <t>Akses menu dashboard
Klik total record refferal</t>
  </si>
  <si>
    <t>SELECT COUNT(*) FROM referral;</t>
  </si>
  <si>
    <t>Muncul detail data total record refferal</t>
  </si>
  <si>
    <t>SCMW0015 - Klik TRR_20220614-112623092.pdf</t>
  </si>
  <si>
    <t>SCMW0015 - Klik TRR_20220719-085937682.pdf</t>
  </si>
  <si>
    <t>SCMW0016</t>
  </si>
  <si>
    <t>MCW-16</t>
  </si>
  <si>
    <t>Klik kembali total record refferal</t>
  </si>
  <si>
    <t>Akses menu dashboard Klik kembali total record refferal</t>
  </si>
  <si>
    <t>Akses menu dashboard
Klik total record refferal
Klik kembali total record refferal</t>
  </si>
  <si>
    <t>Tidak muncul detail total record refferal</t>
  </si>
  <si>
    <t>SCMW0016 - Klik Kembali TRR_20220607-160250760.pdf</t>
  </si>
  <si>
    <t>SCMW0016 - Klik Kembali TRR_20220719-091154867.pdf</t>
  </si>
  <si>
    <t>SCMW0017</t>
  </si>
  <si>
    <t>MCW-17</t>
  </si>
  <si>
    <t>Klik total pengkinian data</t>
  </si>
  <si>
    <t>Akses menu dashboard Klik total pengkinian data</t>
  </si>
  <si>
    <t>Akses menu dashboard
Klik total pengkinian data</t>
  </si>
  <si>
    <t>SELECT COUNT(*) FROM tnpengkiniandata;</t>
  </si>
  <si>
    <t>Muncul detail data total pengkinian data</t>
  </si>
  <si>
    <t>SCMW0017 - Klik TPD_20220614-113147625.pdf</t>
  </si>
  <si>
    <t>SCMW0017 - Klik TPD_20220719-092159010.pdf</t>
  </si>
  <si>
    <t>SCMW0018</t>
  </si>
  <si>
    <t>MCW-18</t>
  </si>
  <si>
    <t>Klik kembali total pengkinian data</t>
  </si>
  <si>
    <t>Akses menu dashboard Klik kembali total pengkinian data</t>
  </si>
  <si>
    <t>Akses menu dashboard
Klik total pengkinian data
Klik kembali total pengkinian data</t>
  </si>
  <si>
    <t>Tidak muncul detail total pengkinian data</t>
  </si>
  <si>
    <t>SCMW0018 - Klik Kembali TPD_20220609-105032960.pdf</t>
  </si>
  <si>
    <t>SCMW0018 - Klik Kembali TPD_20220719-094146733.pdf</t>
  </si>
  <si>
    <t>SCMW0019</t>
  </si>
  <si>
    <t>MCW-19</t>
  </si>
  <si>
    <t>Klik total increase limit</t>
  </si>
  <si>
    <t>Akses menu dashboard Klik total increase limit</t>
  </si>
  <si>
    <t>Akses menu dashboard
Klik total increase limit</t>
  </si>
  <si>
    <t>SELECT COUNT(*) FROM tninclimit;</t>
  </si>
  <si>
    <t>Muncul detail data total increase limit</t>
  </si>
  <si>
    <t>SCMW0019 - Klik TIL_20220609-142600906.pdf</t>
  </si>
  <si>
    <t>SCMW0019 - Klik TIL_20220719-092836443.pdf</t>
  </si>
  <si>
    <t>SCMW0020</t>
  </si>
  <si>
    <t>MCW-20</t>
  </si>
  <si>
    <t>Klik kembali total increase limit</t>
  </si>
  <si>
    <t>Akses menu dashboard Klik kembali total increase limit</t>
  </si>
  <si>
    <t>Akses menu dashboard
Klik total increase limit
Klik kembali total increase limit</t>
  </si>
  <si>
    <t>Tidak muncul detail total increase limit</t>
  </si>
  <si>
    <t>SCMW0020 - Klik Kembali TIL_20220609-142445401.pdf</t>
  </si>
  <si>
    <t>SCMW0020 - Klik Kembali TIL_20220719-164140633.pdf</t>
  </si>
  <si>
    <t>SCMW0021</t>
  </si>
  <si>
    <t>MCW-21</t>
  </si>
  <si>
    <t>Klik total req installment</t>
  </si>
  <si>
    <t>Akses menu dashboard Klik total req installment</t>
  </si>
  <si>
    <t>Akses menu dashboard
Klik total req installment</t>
  </si>
  <si>
    <t>SELECT COUNT(*) FROM tnreqcicilan;</t>
  </si>
  <si>
    <t>Muncul detail data total req installment</t>
  </si>
  <si>
    <t>SCMW0021 - Klik TRI_20220609-152642223.pdf</t>
  </si>
  <si>
    <t>SCMW0021 - Klik TRI_20220720-120611235.pdf</t>
  </si>
  <si>
    <t>SCMW0022</t>
  </si>
  <si>
    <t>MCW-22</t>
  </si>
  <si>
    <t>Klik kembali total req installment</t>
  </si>
  <si>
    <t>Akses menu dashboard Klik kembali total req installment</t>
  </si>
  <si>
    <t>Akses menu dashboard
Klik total req installment
Klik kembali total req installment</t>
  </si>
  <si>
    <t>Tidak muncul detail total req installment</t>
  </si>
  <si>
    <t>SCMW0022 - Klik Kembali TRI_20220610-093217052.pdf</t>
  </si>
  <si>
    <t>SCMW0022 - Klik Kembali TRI_20220720-131546033.pdf</t>
  </si>
  <si>
    <t>;;</t>
  </si>
  <si>
    <t>SCMW0023</t>
  </si>
  <si>
    <t>MCW-23</t>
  </si>
  <si>
    <t>Klik total bill payment</t>
  </si>
  <si>
    <t>Akses menu dashboard Klik total bill payment</t>
  </si>
  <si>
    <t>Akses menu dashboard
Klik total bill payment</t>
  </si>
  <si>
    <t>SELECT COUNT(*) FROM tnbillpayment;</t>
  </si>
  <si>
    <t>Muncul detail data total bill payment</t>
  </si>
  <si>
    <t>SCMW0023 - Klik TBL_20220614-134715602.pdf</t>
  </si>
  <si>
    <t>SCMW0023 - Klik TBL_20220721-085249008.pdf</t>
  </si>
  <si>
    <t>SCMW0024</t>
  </si>
  <si>
    <t>MCW-24</t>
  </si>
  <si>
    <t>Klik kembali total bill payment</t>
  </si>
  <si>
    <t>Akses menu dashboard Klik kembali total bill payment</t>
  </si>
  <si>
    <t>Akses menu dashboard
Klik total bill payment
Klik kembali total bill payment</t>
  </si>
  <si>
    <t>Tidak muncul detail total bill payment</t>
  </si>
  <si>
    <t>SCMW0024 - Klik Kembali TBL_20220610-111922510.pdf</t>
  </si>
  <si>
    <t>SCMW0024 - Klik Kembali TBL_20220721-085655925.pdf</t>
  </si>
  <si>
    <t>SCMW0025</t>
  </si>
  <si>
    <t>MCW-25</t>
  </si>
  <si>
    <t>Klik total dana tunai</t>
  </si>
  <si>
    <t>Akses menu dashboard Klik total dana tunai</t>
  </si>
  <si>
    <t>Akses menu dashboard
Klik total dana tunai</t>
  </si>
  <si>
    <t>SELECT COUNT(*) FROM tndanatunai;</t>
  </si>
  <si>
    <t>Muncul detail data total dana tunai</t>
  </si>
  <si>
    <t>SCMW0025 - Klik TDT_20220614-135049021.pdf</t>
  </si>
  <si>
    <t>SCMW0025 - Klik TDT_20220721-093444939.pdf</t>
  </si>
  <si>
    <t>SCMW0026</t>
  </si>
  <si>
    <t>MCW-26</t>
  </si>
  <si>
    <t>Klik kembali total dana tunai</t>
  </si>
  <si>
    <t>Akses menu dashboard Klik kembali total dana tunai</t>
  </si>
  <si>
    <t>Akses menu dashboard
Klik total dana tunai
Klik kembali total dana tunai</t>
  </si>
  <si>
    <t>Tidak muncul detail total dana tunai</t>
  </si>
  <si>
    <t>SCMW0026 - Klik Kembali TDT_20220613-090610649.pdf</t>
  </si>
  <si>
    <t>SCMW0026 - Klik Kembali TDT_20220721-113533274.pdf</t>
  </si>
  <si>
    <t>SCMW0027</t>
  </si>
  <si>
    <t>MCW-27</t>
  </si>
  <si>
    <t>Akses menu card applicants</t>
  </si>
  <si>
    <t>Lakukan login
Akses menu card applicants</t>
  </si>
  <si>
    <t>Muncul tampilan card applicants</t>
  </si>
  <si>
    <t>SCMW0027_Menu_card_applicants_20220613-100043971.pdf</t>
  </si>
  <si>
    <t>SCMW0027_Menu_card_applicants_20220720-105414064.pdf</t>
  </si>
  <si>
    <t>SCMW0028</t>
  </si>
  <si>
    <t>MCW-28</t>
  </si>
  <si>
    <t>Filter data (tidak terdapat data)</t>
  </si>
  <si>
    <t>Akses menu card applicants Filter data (tidak terdapat data)</t>
  </si>
  <si>
    <t>Input tanggal awal dan akhir
Klik tombol filter (filter tanggal 2022-06-01)</t>
  </si>
  <si>
    <t>SELECT * FROM bnimycard.apply_card WHERE createdat LIKE '2022-06-01%';</t>
  </si>
  <si>
    <t>Filter data berhasil</t>
  </si>
  <si>
    <t>SCMW0028 - Filter Data_20220614-135437834.pdf</t>
  </si>
  <si>
    <t>SCMW0028 - Filter Data_20220720-105846244.pdf</t>
  </si>
  <si>
    <t>SCMW0029</t>
  </si>
  <si>
    <t>MCW-29</t>
  </si>
  <si>
    <t>Filter data (terdapat data)</t>
  </si>
  <si>
    <t>Akses menu card applicants Filter data (terdapat data)</t>
  </si>
  <si>
    <t>Input tanggal awal dan akhir
Klik tombol filter (filter tanggal 2022-05-31)</t>
  </si>
  <si>
    <t>SELECT * FROM bnimycard.apply_card WHERE createdat LIKE '2022-05-31%';</t>
  </si>
  <si>
    <t>SCMW0029 - Filter Data_20220614-135936358.pdf</t>
  </si>
  <si>
    <t>SCMW0029 - Filter Data_20220720-110833301.pdf</t>
  </si>
  <si>
    <t>SCMW0030</t>
  </si>
  <si>
    <t>MCW-30</t>
  </si>
  <si>
    <t>Show data (10/25/50/100)</t>
  </si>
  <si>
    <t>Akses menu card applicants Show data (10/25/50/100)</t>
  </si>
  <si>
    <t>Lakukan filter data
Pilih jumlah show data</t>
  </si>
  <si>
    <t>Show data berhasil</t>
  </si>
  <si>
    <t>SCMW0030 - Show Data_20220613-141401382.pdf</t>
  </si>
  <si>
    <t>SCMW0030 - Show Data_20220720-111326558.pdf</t>
  </si>
  <si>
    <t>SCMW0031</t>
  </si>
  <si>
    <t>MCW-31</t>
  </si>
  <si>
    <t>Search data</t>
  </si>
  <si>
    <t>Akses menu card applicants Search data</t>
  </si>
  <si>
    <t>Lakukan filter data
Input data yang akan dicari</t>
  </si>
  <si>
    <t>Search data berhasil</t>
  </si>
  <si>
    <t>SCMW0031 - Search Data_20220614-112226281.pdf</t>
  </si>
  <si>
    <t>SCMW0031 - Search Data_20220720-111912054.pdf</t>
  </si>
  <si>
    <t>SCMW0032</t>
  </si>
  <si>
    <t>MCW-32</t>
  </si>
  <si>
    <t>Sort data</t>
  </si>
  <si>
    <t>Akses menu card applicants Sort data</t>
  </si>
  <si>
    <t>Lakukan filter data
Sort data berdasarkan name/date/email/phone number/birth place/birth date/no KTP/no NPWP/city/status/card name/card type/cust org/channel</t>
  </si>
  <si>
    <t>Sort data berhasil</t>
  </si>
  <si>
    <t>SCMW0032 - Sort Data_20220616-082851651.pdf</t>
  </si>
  <si>
    <t>SCMW0032 - Sort Data_20220722-124817358.pdf</t>
  </si>
  <si>
    <t>SCMW0033</t>
  </si>
  <si>
    <t>MCW-33</t>
  </si>
  <si>
    <t>Download report format excel</t>
  </si>
  <si>
    <t>Akses menu card applicants Download report format excel</t>
  </si>
  <si>
    <t>Lakukan filter data
Klik tombol 'excel'</t>
  </si>
  <si>
    <t>Download report berhasil</t>
  </si>
  <si>
    <t>SCMW0033 - Download Report_20220614-161723335.pdf</t>
  </si>
  <si>
    <t>SCMW0033 - Download Report_20220721-161922293.pdf</t>
  </si>
  <si>
    <t>SCMW0034</t>
  </si>
  <si>
    <t>MCW-34</t>
  </si>
  <si>
    <t>Download report format CSV</t>
  </si>
  <si>
    <t>Akses menu card applicants Download report format CSV</t>
  </si>
  <si>
    <t>Lakukan filter data
Klik tombol 'CSV'</t>
  </si>
  <si>
    <t>15 Juni 20222</t>
  </si>
  <si>
    <t>SCMW0034 - Download Report CSV_20220615-121712156.pdf</t>
  </si>
  <si>
    <t>SCMW0034 - Download Report CSV_20220722-100930884.pdf</t>
  </si>
  <si>
    <t>SCMW0035</t>
  </si>
  <si>
    <t>MCW-35</t>
  </si>
  <si>
    <t>Download report format PDF</t>
  </si>
  <si>
    <t>Akses menu card applicants Download report format PDF</t>
  </si>
  <si>
    <t>Lakukan filter data
Klik tombol 'PDF'</t>
  </si>
  <si>
    <t>SCMW0035 - Download Report PDF_20220615-154126758.pdf</t>
  </si>
  <si>
    <t>SCMW0035 - Download Report PDF_20220722-102728774.pdf</t>
  </si>
  <si>
    <t>SCMW0036</t>
  </si>
  <si>
    <t>MCW-36</t>
  </si>
  <si>
    <t>Show data first/previous/next/last</t>
  </si>
  <si>
    <t>Akses menu card applicants Show data first/previous/next/last</t>
  </si>
  <si>
    <t>Lakukan filter data
Klik tombol first/previous/next/last</t>
  </si>
  <si>
    <t>SCMW0036 - Show Data_20220615-090123162.pdf</t>
  </si>
  <si>
    <t>SCMW0036 - Show Data_20220721-095736117.pdf</t>
  </si>
  <si>
    <t>SCMW0037</t>
  </si>
  <si>
    <t>MCW-37</t>
  </si>
  <si>
    <t>Akses menu referral management</t>
  </si>
  <si>
    <t>Lakukan login
Akses menu referral management</t>
  </si>
  <si>
    <t>Muncul tampilan referral management</t>
  </si>
  <si>
    <t>SCMW0037_referral_management_20220615-091945139.pdf</t>
  </si>
  <si>
    <t>SCMW0037 - Referral Management_20220721-100028743.pdf</t>
  </si>
  <si>
    <t>SCMW0038</t>
  </si>
  <si>
    <t>MCW-38</t>
  </si>
  <si>
    <t>Akses menu referral management Filter data (tidak terdapat data)</t>
  </si>
  <si>
    <t>Input tanggal awal dan akhir
Klik tombol filter (filter tanggal 2022-06-07)</t>
  </si>
  <si>
    <t>SELECT * FROM bnimycard.referral WHERE createdat LIKE '2022-06-07%';</t>
  </si>
  <si>
    <t>SCMW0038 - Filter Data_20220615-102224231.pdf</t>
  </si>
  <si>
    <t>SCMW0038 - Filter Data_20220721-100755451.pdf</t>
  </si>
  <si>
    <t>SCMW0039</t>
  </si>
  <si>
    <t>MCW-39</t>
  </si>
  <si>
    <t>Akses menu referral management Filter data (terdapat data)</t>
  </si>
  <si>
    <t>Input tanggal awal dan akhir
Klik tombol filter (filter tanggal 2022-06-06)</t>
  </si>
  <si>
    <t>SELECT * FROM bnimycard.referral WHERE createdat LIKE '2022-06-06%';</t>
  </si>
  <si>
    <t>SCMW0039 - Filter Data_20220616-141504780.pdf</t>
  </si>
  <si>
    <t>SCMW0039 - Filter Data_20220721-101121150.pdf</t>
  </si>
  <si>
    <t>SCMW0040</t>
  </si>
  <si>
    <t>MCW-40</t>
  </si>
  <si>
    <t>Akses menu referral management Show data (10/25/50/100)</t>
  </si>
  <si>
    <t>SCMW0040 - Show Data_20220617-095144195.pdf</t>
  </si>
  <si>
    <t>SCMW0040 - Show Data_20220722-092824982.pdf</t>
  </si>
  <si>
    <t>SCMW0041</t>
  </si>
  <si>
    <t>MCW-41</t>
  </si>
  <si>
    <t>Akses menu referral management Search data</t>
  </si>
  <si>
    <t>SCMW0041 - Search Data_20220617-101030173.pdf</t>
  </si>
  <si>
    <t>SCMW0041 - Search Data_20220722-092652005.pdf</t>
  </si>
  <si>
    <t>SCMW0042</t>
  </si>
  <si>
    <t>MCW-42</t>
  </si>
  <si>
    <t>Lakukan filter data
Sort data berdasarkan name/date/email/phone number/card ownership/referral's email/referral's CIF</t>
  </si>
  <si>
    <t>SCMW0042 - Sort Data_20220617-113004717.pdf</t>
  </si>
  <si>
    <t>SCMW0042 - Sort Data_20220722-093201118.pdf</t>
  </si>
  <si>
    <t>SCMW0043</t>
  </si>
  <si>
    <t>MCW-43</t>
  </si>
  <si>
    <t>Akses menu referral management Download report format excel</t>
  </si>
  <si>
    <t>SCMW0043 - Download Report XLSX_20220616-141855205.pdf</t>
  </si>
  <si>
    <t>SCMW0043 - Download Report XLSX_20220722-142136543.pdf</t>
  </si>
  <si>
    <t>SCMW0044</t>
  </si>
  <si>
    <t>MCW-44</t>
  </si>
  <si>
    <t>Akses menu referral management Download report format CSV</t>
  </si>
  <si>
    <t>SCMW0044 - Download Report CSV_20220616-142228483.pdf</t>
  </si>
  <si>
    <t>SCMW0044 - Download Report CSV_20220722-144603950.pdf</t>
  </si>
  <si>
    <t>SCMW0045</t>
  </si>
  <si>
    <t>MCW-45</t>
  </si>
  <si>
    <t>Akses menu referral management Download report format PDF</t>
  </si>
  <si>
    <t>SCMW0045 - Download Report PDF_20220616-143113050.pdf</t>
  </si>
  <si>
    <t>SCMW0045 - Download Report PDF_20220722-162448737.pdf</t>
  </si>
  <si>
    <t>SCMW0046</t>
  </si>
  <si>
    <t>MCW-46</t>
  </si>
  <si>
    <t>Akses menu referral management Show data first/previous/next/last</t>
  </si>
  <si>
    <t>SCMW0046 - Show Data_20220617-140404683.pdf</t>
  </si>
  <si>
    <t>SCMW0046 - Show Data_20220722-094746013.pdf</t>
  </si>
  <si>
    <t>SCMW0047</t>
  </si>
  <si>
    <t>MCW-47</t>
  </si>
  <si>
    <t>Akses menu pengkinian data</t>
  </si>
  <si>
    <t>Lakukan login
Akses menu pengkinian data</t>
  </si>
  <si>
    <t>Muncul tampilan pengkinian data</t>
  </si>
  <si>
    <t>SCMW0047 - Pengkinian Data_20220617-143114370.pdf</t>
  </si>
  <si>
    <t>SCMW0047 - Pengkinian Data_20220722-095008245.pdf</t>
  </si>
  <si>
    <t>SCMW0048</t>
  </si>
  <si>
    <t>MCW-48</t>
  </si>
  <si>
    <t>Akses menu pengkinian data Filter data (tidak terdapat data)</t>
  </si>
  <si>
    <t>Input tanggal
Klik tombol filter (filter tanggal 2022-06-07)</t>
  </si>
  <si>
    <t>SELECT * FROM bnimycard.tnpengkiniandata WHERE createdat LIKE '2022-06-07%';</t>
  </si>
  <si>
    <t>SCMW0048 - Filter Data_20220620-110407888.pdf</t>
  </si>
  <si>
    <t>SCMW0048 - Filter Data_20220725-082126764.pdf</t>
  </si>
  <si>
    <t>SCMW0049</t>
  </si>
  <si>
    <t>MCW-49</t>
  </si>
  <si>
    <t>Akses menu pengkinian data Filter data (terdapat data)</t>
  </si>
  <si>
    <t>Input tanggal
Klik tombol filter (filter tanggal 2022-06-06)</t>
  </si>
  <si>
    <t>SELECT * FROM bnimycard.tnpengkiniandata WHERE createdat LIKE '2022-06-06%';</t>
  </si>
  <si>
    <t>SCMW0049 - Filter Data_20220620-111025067.pdf</t>
  </si>
  <si>
    <t>SCMW0049 - Filter Data_20220725-082831797.pdf</t>
  </si>
  <si>
    <t>SCMW0050</t>
  </si>
  <si>
    <t>MCW-50</t>
  </si>
  <si>
    <t>Akses menu pengkinian data Show data (10/25/50/100)</t>
  </si>
  <si>
    <t>SCMW0050 - Show Data_20220620-123615569.pdf</t>
  </si>
  <si>
    <t>SCMW0050 - Show Data_20220725-092154777.pdf</t>
  </si>
  <si>
    <t>SCMW0051</t>
  </si>
  <si>
    <t>MCW-51</t>
  </si>
  <si>
    <t>Akses menu pengkinian data Search data</t>
  </si>
  <si>
    <t>SCMW0051 - Search Data_20220620-124039172.pdf</t>
  </si>
  <si>
    <t>SCMW0051 - Search Data_20220725-092502748.pdf</t>
  </si>
  <si>
    <t>SCMW0052</t>
  </si>
  <si>
    <t>MCW-52</t>
  </si>
  <si>
    <t>Akses menu pengkinian data Sort data</t>
  </si>
  <si>
    <t>Lakukan filter data
Sort data berdasarkan create date/customer number/nama pemegang kartu/no kartu kredit/no KTP/no NPWP</t>
  </si>
  <si>
    <t>SMCW0052 - Sort Data_20220620-130628170.pdf</t>
  </si>
  <si>
    <t>SMCW0052 - Sort Data_20220725-092929707.pdf</t>
  </si>
  <si>
    <t>SCMW0053</t>
  </si>
  <si>
    <t>MCW-53</t>
  </si>
  <si>
    <t>Akses menu pengkinian data Download report format excel</t>
  </si>
  <si>
    <t>SCMW0053 - Download Report XLX_20220621-100445659.pdf</t>
  </si>
  <si>
    <t>SCMW0053 - Download Report XLX_20220725-081728731.pdf</t>
  </si>
  <si>
    <t>SCMW0054</t>
  </si>
  <si>
    <t>MCW-54</t>
  </si>
  <si>
    <t>Akses menu pengkinian data Download report format CSV</t>
  </si>
  <si>
    <t>SCMW0054 - Download Report CSV_20220621-100934934.pdf</t>
  </si>
  <si>
    <t>SCMW0054 - Download Report CSV_20220725-121206129.pdf</t>
  </si>
  <si>
    <t>SCMW0055</t>
  </si>
  <si>
    <t>MCW-55</t>
  </si>
  <si>
    <t>Akses menu pengkinian data Download report format PDF</t>
  </si>
  <si>
    <t>SCMW0055 - Download Report PDF_20220621-101424199.pdf</t>
  </si>
  <si>
    <t>SCMW0055 - Download Report PDF_20220725-121526939.pdf</t>
  </si>
  <si>
    <t>SCMW0056</t>
  </si>
  <si>
    <t>MCW-56</t>
  </si>
  <si>
    <t>Download File</t>
  </si>
  <si>
    <t>Akses menu pengkinian data Download File</t>
  </si>
  <si>
    <t>Lakukan filter data
Klik tombol 'Download File'</t>
  </si>
  <si>
    <t>Download file berhasil</t>
  </si>
  <si>
    <t>SCMW0056 - Download File_20220622-143410750.pdf</t>
  </si>
  <si>
    <t>SCMW0056 - Download File_20220725-134959350.pdf</t>
  </si>
  <si>
    <t>SCMW0057</t>
  </si>
  <si>
    <t>MCW-57</t>
  </si>
  <si>
    <t>Akses menu pengkinian data Show data first/previous/next/last</t>
  </si>
  <si>
    <t>SCMW0057 - Show Data_20220621-103841366.pdf</t>
  </si>
  <si>
    <t>SCMW0057 - Show Data_20220725-135247516.pdf</t>
  </si>
  <si>
    <t>SCMW0058</t>
  </si>
  <si>
    <t>MCW-58</t>
  </si>
  <si>
    <t>Akses menu increase limit</t>
  </si>
  <si>
    <t>Lakukan login
Akses menu increase limit</t>
  </si>
  <si>
    <t>Muncul tampilan increase limit</t>
  </si>
  <si>
    <t>SCMW0058 - Increase Limit_20220621-103605597.pdf</t>
  </si>
  <si>
    <t>26 Juli 2022</t>
  </si>
  <si>
    <t>SCMW0058 - Increase Limit_20220726-084831314.pdf</t>
  </si>
  <si>
    <t>SCMW0059</t>
  </si>
  <si>
    <t>MCW-59</t>
  </si>
  <si>
    <t>Akses menu increase limit Filter data (tidak terdapat data)</t>
  </si>
  <si>
    <t>Input tanggal
Klik tombol filter (filter tanggal 2022-05-06)</t>
  </si>
  <si>
    <t>SELECT * FROM bnimycard.tninclimit WHERE createdat LIKE '2022-05-06%';</t>
  </si>
  <si>
    <t>SCMW0059 - Filter Data Null_20220622-092821206.pdf</t>
  </si>
  <si>
    <t>SCMW0059 - Filter Data Null_20220726-085353851.pdf</t>
  </si>
  <si>
    <t>SCMW0060</t>
  </si>
  <si>
    <t>MCW-60</t>
  </si>
  <si>
    <t>Akses menu increase limit Filter data (terdapat data)</t>
  </si>
  <si>
    <t>Input tanggal
Klik tombol filter (filter tanggal 2022-05-05)</t>
  </si>
  <si>
    <t>SELECT * FROM bnimycard.tninclimit WHERE createdat LIKE '2022-05-05%';</t>
  </si>
  <si>
    <t>SCMW0060 - Filter Data Ada_20220622-101254083.pdf</t>
  </si>
  <si>
    <t>SCMW0060 - Filter Data Ada_20220726-090739344.pdf</t>
  </si>
  <si>
    <t>SCMW0061</t>
  </si>
  <si>
    <t>MCW-61</t>
  </si>
  <si>
    <t>Akses menu increase limit Show data (10/25/50/100)</t>
  </si>
  <si>
    <t>SCMW0061 - Show Data_20220623-091219406.pdf</t>
  </si>
  <si>
    <t>SCMW0061 - Show Data_20220726-091457870.pdf</t>
  </si>
  <si>
    <t>SCMW0062</t>
  </si>
  <si>
    <t>MCW-62</t>
  </si>
  <si>
    <t>Akses menu increase limit Search data</t>
  </si>
  <si>
    <t>SCMW0062 -Search Data_20220623-093739974.pdf</t>
  </si>
  <si>
    <t>SCMW0062 -Search Data_20220726-092144080.pdf</t>
  </si>
  <si>
    <t>SCMW0063</t>
  </si>
  <si>
    <t>MCW-63</t>
  </si>
  <si>
    <t>Akses menu increase limit Sort data</t>
  </si>
  <si>
    <t>Lakukan filter data
Sort data berdasarkan create date/nama pemegang kartu/no kartu kredit/kategori/periode mulai/periode akhir/limit yang diinginkan/channel</t>
  </si>
  <si>
    <t>SCMW0063 - Sort  Data_20220623-100935654.pdf</t>
  </si>
  <si>
    <t>SCMW0063 - Sort  Data_20220726-085604867.pdf</t>
  </si>
  <si>
    <t>SCMW0064</t>
  </si>
  <si>
    <t>MCW-64</t>
  </si>
  <si>
    <t>Akses menu increase limit Download report format excel</t>
  </si>
  <si>
    <t>SCMW0064 - Download Report XLX_20220624-095110724.pdf</t>
  </si>
  <si>
    <t>SCMW0064 - Download Report XLX_20220726-101204176.pdf</t>
  </si>
  <si>
    <t>SCMW0065</t>
  </si>
  <si>
    <t>MCW-65</t>
  </si>
  <si>
    <t>Akses menu increase limit Download report format CSV</t>
  </si>
  <si>
    <t>SCMW0065_Download Report CSV_20220624-101455708.pdf</t>
  </si>
  <si>
    <t>SCMW0065 - Download Report CSV_20220726-101629419.pdf</t>
  </si>
  <si>
    <t>SCMW0066</t>
  </si>
  <si>
    <t>MCW-66</t>
  </si>
  <si>
    <t>Akses menu increase limit Download report format PDF</t>
  </si>
  <si>
    <t>SCMW0066 - Download Report PDF_20220624-103406575.pdf</t>
  </si>
  <si>
    <t>SCMW0066 - Download Report PDF_20220726-101856473.pdf</t>
  </si>
  <si>
    <t>SCMW0067</t>
  </si>
  <si>
    <t>MCW-67</t>
  </si>
  <si>
    <t>Akses menu increase limit Download File</t>
  </si>
  <si>
    <t>SCMW0067 - Download FIle_20220624-112929082.pdf</t>
  </si>
  <si>
    <t>SCMW0067 - Download FIle_20220726-103106215.pdf</t>
  </si>
  <si>
    <t>SCMW0068</t>
  </si>
  <si>
    <t>MCW-68</t>
  </si>
  <si>
    <t>Akses menu increase limit Show data first/previous/next/last</t>
  </si>
  <si>
    <t>SCMW0068_Show Data FPNL_20220629-153924068.pdf</t>
  </si>
  <si>
    <t>SCMW0068_Show Data FPNL_20220727-085751158.pdf</t>
  </si>
  <si>
    <t>SCMW0069</t>
  </si>
  <si>
    <t>MCW-69</t>
  </si>
  <si>
    <t>Akses menu request installment (customer data)</t>
  </si>
  <si>
    <t>Lakukan login
Akses menu request installment
Klik menu customer data</t>
  </si>
  <si>
    <t>Muncul tampilan request installment (customer data)</t>
  </si>
  <si>
    <t>SCMW0069 - Request Installment_20220623-141650787.pdf</t>
  </si>
  <si>
    <t>SCMW0069 - Request Installment_20220727-080318199.pdf</t>
  </si>
  <si>
    <t>SCMW0070</t>
  </si>
  <si>
    <t>MCW-70</t>
  </si>
  <si>
    <t>Akses menu request installment (customer data) Filter data (tidak terdapat data)</t>
  </si>
  <si>
    <t>Input tanggal awal dan akhir
Klik tombol filter</t>
  </si>
  <si>
    <t>SCMW0070 - Filter Data_20220622-093314565.pdf</t>
  </si>
  <si>
    <t>SCMW0070 - Filter Data_20220727-080612138.pdf</t>
  </si>
  <si>
    <t>SCMW0071</t>
  </si>
  <si>
    <t>MCW-71</t>
  </si>
  <si>
    <t>Akses menu request installment (customer data) Filter data (terdapat data)</t>
  </si>
  <si>
    <t>Input tanggal
Klik tombol filter</t>
  </si>
  <si>
    <t>SCMW0071 - Filter Data_20220622-095155543.pdf</t>
  </si>
  <si>
    <t>SCMW0071 - Filter Data_20220727-080958656.pdf</t>
  </si>
  <si>
    <t>SCMW0072</t>
  </si>
  <si>
    <t>MCW-72</t>
  </si>
  <si>
    <t>Akses menu request installment (customer data) Show data (10/25/50/100)</t>
  </si>
  <si>
    <t>SCMW0072 - Show Data_20220623-101720570.pdf</t>
  </si>
  <si>
    <t>SCMW0072 - Show Data_20220727-081355675.pdf</t>
  </si>
  <si>
    <t>SCMW0073</t>
  </si>
  <si>
    <t>MCW-73</t>
  </si>
  <si>
    <t>Akses menu request installment (customer data) Search data</t>
  </si>
  <si>
    <t>SCMW0073 - Search Data_20220623-090712508.pdf</t>
  </si>
  <si>
    <t>SCMW0073 - Search Data_20220727-100414976.pdf</t>
  </si>
  <si>
    <t>SCMW0074</t>
  </si>
  <si>
    <t>MCW-74</t>
  </si>
  <si>
    <t>Akses menu request installment (customer data) Sort data</t>
  </si>
  <si>
    <t>Lakukan filter data
Sort data berdasarkan create date/no kartu kredit/tgl transaksi/tgl terbuku/nama merchant/amount/tenor/bunga/channel/reference number</t>
  </si>
  <si>
    <t>SCMW0074 - Sort Data_20220623-103328194.pdf</t>
  </si>
  <si>
    <t>SCMW0074 - Sort Data_20220727-110834184.pdf</t>
  </si>
  <si>
    <t>SCMW0075</t>
  </si>
  <si>
    <t>MCW-75</t>
  </si>
  <si>
    <t>Akses menu request installment (customer data) Download report format excel</t>
  </si>
  <si>
    <t>SCMW0075 - Download Report XLX_20220627-111421307.pdf</t>
  </si>
  <si>
    <t>SCMW0075 - Download Report XLX_20220727-112158817.pdf</t>
  </si>
  <si>
    <t>SCMW0076</t>
  </si>
  <si>
    <t>MCW-76</t>
  </si>
  <si>
    <t>Akses menu request installment (customer data) Download report format CSV</t>
  </si>
  <si>
    <t>SCMW0076 - Download Report CSV_20220627-100709125.pdf</t>
  </si>
  <si>
    <t>SCMW0076 - Download Report CSV_20220727-131700594.pdf</t>
  </si>
  <si>
    <t>SCMW0077</t>
  </si>
  <si>
    <t>MCW-77</t>
  </si>
  <si>
    <t>Akses menu request installment (customer data) Download report format PDF</t>
  </si>
  <si>
    <t>SCMW0077 - Download Report PDF_20220627-110410451.pdf</t>
  </si>
  <si>
    <t>SCMW0077 - Download Report PDF_20220727-135803731.pdf</t>
  </si>
  <si>
    <t>SCMW0078</t>
  </si>
  <si>
    <t>MCW-78</t>
  </si>
  <si>
    <t>Akses menu request installment (customer data) Show data first/previous/next/last</t>
  </si>
  <si>
    <t>SCMW0078 - Show Data_20220624-100749595.pdf</t>
  </si>
  <si>
    <t>SCMW0078 - Show Data_20220728-080917053.pdf</t>
  </si>
  <si>
    <t>SCMW0079</t>
  </si>
  <si>
    <t>MCW-79</t>
  </si>
  <si>
    <t>Akses menu request installment (tenor)</t>
  </si>
  <si>
    <t>Lakukan login
Akses menu request installment
Klik menu tenor</t>
  </si>
  <si>
    <t>Muncul tampilan request installment (tenor)</t>
  </si>
  <si>
    <t>SCMW0079 - Akses Menu Tenor_20220624-100120314.pdf</t>
  </si>
  <si>
    <t>SCMW0079 - Akses Menu Tenor_20220728-081243009.pdf</t>
  </si>
  <si>
    <t>SCMW0080</t>
  </si>
  <si>
    <t>MCW-80</t>
  </si>
  <si>
    <t>Refresh data</t>
  </si>
  <si>
    <t>Akses menu request installment (tenor) Refresh data</t>
  </si>
  <si>
    <t>Input tanggal awal dan akhir
Klik tombol refresh</t>
  </si>
  <si>
    <t>SELECT * FROM bnimycard.mtenor;</t>
  </si>
  <si>
    <t>Refresh data berhasil</t>
  </si>
  <si>
    <t>SCMW0080 - Refresh Data_20220627-094407824.pdf</t>
  </si>
  <si>
    <t>SCMW0080 - Refresh Data_20220728-081539206.pdf</t>
  </si>
  <si>
    <t>SCMW0081</t>
  </si>
  <si>
    <t>MCW-81</t>
  </si>
  <si>
    <t>Akses menu request installment (tenor) Show data (10/25/50/100)</t>
  </si>
  <si>
    <t>Klik tombol refresh
Pilih jumlah show data</t>
  </si>
  <si>
    <t>SCMW0081 - Show Data_20220627-094844247.pdf</t>
  </si>
  <si>
    <t>SCMW0081 - Show Data_20220728-082435733.pdf</t>
  </si>
  <si>
    <t>SCMW0082</t>
  </si>
  <si>
    <t>MCW-82</t>
  </si>
  <si>
    <t>Akses menu request installment (tenor) Search data</t>
  </si>
  <si>
    <t>Klik tombol refresh
Input data yang akan dicari</t>
  </si>
  <si>
    <t>SCMW0082 - Search Data_20220627-100306963.pdf</t>
  </si>
  <si>
    <t>SCMW0082 - Search Data_20220728-083206094.pdf</t>
  </si>
  <si>
    <t>SCMW0083</t>
  </si>
  <si>
    <t>MCW-83</t>
  </si>
  <si>
    <t>Akses menu request installment (tenor) Sort data</t>
  </si>
  <si>
    <t>Lakukan filter data
Sort data berdasarkan create date/tenor/rate/description/minimum transaction/action</t>
  </si>
  <si>
    <t>SCMW0083 - Sort Data_20220628-131611491.pdf</t>
  </si>
  <si>
    <t>SCMW0083 - Sort Data_20220728-091622809.pdf</t>
  </si>
  <si>
    <t>SCMW0084</t>
  </si>
  <si>
    <t>MCW-84</t>
  </si>
  <si>
    <t>Add tenor</t>
  </si>
  <si>
    <t>Akses menu request installment (tenor) Add tenor</t>
  </si>
  <si>
    <t>Klik tombol 'add'
Input data tenor
Klik tombol submit</t>
  </si>
  <si>
    <t>Add tenor berhasil</t>
  </si>
  <si>
    <t>SCMW0084 - Add Tenor_20220628-131935916.pdf</t>
  </si>
  <si>
    <t>SCMW0084 - Add Tenor_20220728-103140079.pdf</t>
  </si>
  <si>
    <t>SCMW0085</t>
  </si>
  <si>
    <t>MCW-85</t>
  </si>
  <si>
    <t>Edit tenor</t>
  </si>
  <si>
    <t>Akses menu request installment (tenor) Edit tenor</t>
  </si>
  <si>
    <t>Pilih tenor yang akan diedit
Klik tombol edit
Input data tenor
Klik tombol submit</t>
  </si>
  <si>
    <t>Edit tenor berhasil</t>
  </si>
  <si>
    <t>SCMW0085 - Edit Tenor_20220628-132248523.pdf</t>
  </si>
  <si>
    <t>SCMW0085 - Edit Tenor_20220728-112329014.pdf</t>
  </si>
  <si>
    <t>SCMW0086</t>
  </si>
  <si>
    <t>MCW-86</t>
  </si>
  <si>
    <t>Delete tenor (cancel)</t>
  </si>
  <si>
    <t>Akses menu request installment (tenor) Delete tenor (cancel)</t>
  </si>
  <si>
    <t>Pilih tenor yang akan didelete
Klik tombol delete
Klik tombol cancel</t>
  </si>
  <si>
    <t>Delete tenor batal</t>
  </si>
  <si>
    <t>SCMW0086 - Delete Cancel_20220629-140735603.pdf</t>
  </si>
  <si>
    <t>SCMW0086 - Delete Cancel_20220728-114949398.pdf</t>
  </si>
  <si>
    <t>SCMW0087</t>
  </si>
  <si>
    <t>MCW-87</t>
  </si>
  <si>
    <t>Delete tenor (yes)</t>
  </si>
  <si>
    <t>Akses menu request installment (tenor) Delete tenor (yes)</t>
  </si>
  <si>
    <t>Pilih tenor yang akan didelete
Klik tombol delete
Klik tombol yes</t>
  </si>
  <si>
    <t>Delete tenor berhasil</t>
  </si>
  <si>
    <t>SCMW0087 - Delete Yes_20220629-140945406.pdf</t>
  </si>
  <si>
    <t>SCMW0087 - Delete Yes_20220728-142538950.pdf</t>
  </si>
  <si>
    <t>SCMW0088</t>
  </si>
  <si>
    <t>MCW-88</t>
  </si>
  <si>
    <t>Akses menu request installment (tenor) Show data first/previous/next/last</t>
  </si>
  <si>
    <t>SCMW0088 - Show Data_20220629-141152234.pdf</t>
  </si>
  <si>
    <t>SCMW0088 - Show Data_20220729-075754583.pdf</t>
  </si>
  <si>
    <t>SCMW0089</t>
  </si>
  <si>
    <t>MCW-89</t>
  </si>
  <si>
    <t>Akses menu bill payment (submitted data)</t>
  </si>
  <si>
    <t>Lakukan login
Akses menu bill payment
Klik menu submitted data</t>
  </si>
  <si>
    <t>Muncul tampilan bill payment (submitted data)</t>
  </si>
  <si>
    <t>SCMW0089 - Akses Menu_20220628-112354487.pdf</t>
  </si>
  <si>
    <t>SCMW0089 - Akses Menu_20220729-081232031.pdf</t>
  </si>
  <si>
    <t>SCMW0090</t>
  </si>
  <si>
    <t>MCW-90</t>
  </si>
  <si>
    <t>Akses menu bill payment (submitted data) Filter data (tidak terdapat data)</t>
  </si>
  <si>
    <t>Input tanggal awal dan akhir
Klik tombol filter (filter tanggal 2022-04-15)</t>
  </si>
  <si>
    <t>SELECT * FROM bnimycard.tnbillpayment WHERE createdat LIKE '2022-04-15%';</t>
  </si>
  <si>
    <t>SCMW0090 - Filter Data Null_20220628-113159160.pdf</t>
  </si>
  <si>
    <t>SCMW0090 - Filter Data Null_20220729-082017742.pdf</t>
  </si>
  <si>
    <t>SCMW0091</t>
  </si>
  <si>
    <t>MCW-91</t>
  </si>
  <si>
    <t>Akses menu bill payment (submitted data) Filter data (terdapat data)</t>
  </si>
  <si>
    <t>Input tanggal
Klik tombol filter (filter tanggal 2022-04-14)</t>
  </si>
  <si>
    <t>SELECT * FROM bnimycard.tnbillpayment WHERE createdat LIKE '2022-04-14%';</t>
  </si>
  <si>
    <t>SCMW0091 - Filter Data_20220628-143205815.pdf</t>
  </si>
  <si>
    <t>SCMW0091 - Filter Data_20220729-084309805.pdf</t>
  </si>
  <si>
    <t>SCMW0092</t>
  </si>
  <si>
    <t>MCW-92</t>
  </si>
  <si>
    <t>Akses menu bill payment (submitted data) Show data (10/25/50/100)</t>
  </si>
  <si>
    <t>SCMW0092 - Show Data_20220629-151459440.pdf</t>
  </si>
  <si>
    <t>SCMW0092 - Show Data_20220729-084614246.pdf</t>
  </si>
  <si>
    <t>SCMW0093</t>
  </si>
  <si>
    <t>MCW-93</t>
  </si>
  <si>
    <t>Akses menu bill payment (submitted data) Search data</t>
  </si>
  <si>
    <t>SCMW0093 - Search Data_20220629-151635588.pdf</t>
  </si>
  <si>
    <t>SCMW0093 - Search Data_20220729-095629114.pdf</t>
  </si>
  <si>
    <t>SCMW0094</t>
  </si>
  <si>
    <t>MCW-94</t>
  </si>
  <si>
    <t>Akses menu bill payment (submitted data) Sort data</t>
  </si>
  <si>
    <t>Lakukan filter data
Sort data berdasarkan create date/no kartu kredit/biller/id pelanggan/nama pelanggan/tgl jatuh tempo/tgl cetak tagihan/exp date/channel/status</t>
  </si>
  <si>
    <t>SCMW0094 - Sort Data_20220629-160841457.pdf</t>
  </si>
  <si>
    <t>SCMW0094 - Sort Data_20220729-102253049.pdf</t>
  </si>
  <si>
    <t>SCMW0095</t>
  </si>
  <si>
    <t>MCW-95</t>
  </si>
  <si>
    <t>Akses menu bill payment (submitted data) Download report format excel</t>
  </si>
  <si>
    <t>SCMW0095 - Download Report XLX_20220630-132345667.pdf</t>
  </si>
  <si>
    <t>SCMW0095 - Download Report XLX_20220729-113511123.pdf</t>
  </si>
  <si>
    <t>SCMW0096</t>
  </si>
  <si>
    <t>MCW-96</t>
  </si>
  <si>
    <t>Akses menu bill payment (submitted data) Download report format CSV</t>
  </si>
  <si>
    <t>SCMW0096 - Download Report CSV_20220630-160131819.pdf</t>
  </si>
  <si>
    <t>SCMW0096 - Download Report CSV_20220729-131616663.pdf</t>
  </si>
  <si>
    <t>SCMW0097</t>
  </si>
  <si>
    <t>MCW-97</t>
  </si>
  <si>
    <t>Akses menu bill payment (submitted data) Download report format PDF</t>
  </si>
  <si>
    <t>SCMW0097 - Download Report PDF_20220630-161011165.pdf</t>
  </si>
  <si>
    <t>SCMW0097 - Download Report PDF_20220729-135213880.pdf</t>
  </si>
  <si>
    <t>SCMW0098</t>
  </si>
  <si>
    <t>MCW-98</t>
  </si>
  <si>
    <t>Akses menu bill payment (submitted data) Show data first/previous/next/last</t>
  </si>
  <si>
    <t>01 Juli 2022</t>
  </si>
  <si>
    <t>SCMW0098 - Show Data_20220701-125918768.pdf</t>
  </si>
  <si>
    <t>01 Agustus 2022</t>
  </si>
  <si>
    <t>SCMW0098 - Show Data_20220801-084447575.pdf</t>
  </si>
  <si>
    <t>SCMW0099</t>
  </si>
  <si>
    <t>MCW-99</t>
  </si>
  <si>
    <t>Akses menu bill payment (import biller)</t>
  </si>
  <si>
    <t>Lakukan login
Akses menu bill payment
Klik menu import biller</t>
  </si>
  <si>
    <t>Muncul tampilan bill payment (import biller)</t>
  </si>
  <si>
    <t>SCMW0099 - Akses Menu_20220701-125711682.pdf</t>
  </si>
  <si>
    <t>SCMW0099 - Akses Menu_20220801-084722873.pdf</t>
  </si>
  <si>
    <t>SCMW0100</t>
  </si>
  <si>
    <t>MCW-100</t>
  </si>
  <si>
    <t>Show/Refresh data</t>
  </si>
  <si>
    <t>Akses menu bill payment (import biller) Show/Refresh data</t>
  </si>
  <si>
    <t>Klik tombol 'refresh'</t>
  </si>
  <si>
    <t>SELECT * FROM bnimycard.mbiller;</t>
  </si>
  <si>
    <t>SCMW0100 - Show Refresh Data_20220701-131154168.pdf</t>
  </si>
  <si>
    <t>SCMW0100 - Show Refresh Data_20220801-085132854.pdf</t>
  </si>
  <si>
    <t>SCMW0101</t>
  </si>
  <si>
    <t>MCW-101</t>
  </si>
  <si>
    <t>Delete all data</t>
  </si>
  <si>
    <t>Akses menu bill payment (import biller) Delete all data</t>
  </si>
  <si>
    <t>Klik tombol 'refresh'
Klik tombol 'delete'</t>
  </si>
  <si>
    <t>Delete data berhasil</t>
  </si>
  <si>
    <t>04 Juli 2022</t>
  </si>
  <si>
    <t>SCMW0101 - Delete All Data_20220704-103717881.pdf</t>
  </si>
  <si>
    <t>SCMW0101 - Delete All Data_20220801-095411965.pdf</t>
  </si>
  <si>
    <t>SCMW0102</t>
  </si>
  <si>
    <t>MCW-102</t>
  </si>
  <si>
    <t>Akses menu bill payment (import biller) Show data (10/25/50/100)</t>
  </si>
  <si>
    <t>Lakukan refresh data
Pilih jumlah show data</t>
  </si>
  <si>
    <t>06 Juli 2022</t>
  </si>
  <si>
    <t>SCMW0102 - Show Data_20220706-152408044.pdf</t>
  </si>
  <si>
    <t>SCMW0102 - Show Data_20220801-085357124.pdf</t>
  </si>
  <si>
    <t>SCMW0103</t>
  </si>
  <si>
    <t>MCW-103</t>
  </si>
  <si>
    <t>Akses menu bill payment (import biller) Search data</t>
  </si>
  <si>
    <t>Lakukan refresh data
Input data yang akan dicari</t>
  </si>
  <si>
    <t>07 Juli 2022</t>
  </si>
  <si>
    <t>SCMW0103 - Search Data_20220707-115935762.pdf</t>
  </si>
  <si>
    <t>SCMW0103 - Search Data_20220801-090342220.pdf</t>
  </si>
  <si>
    <t>SCMW0104</t>
  </si>
  <si>
    <t>MCW-104</t>
  </si>
  <si>
    <t>Akses menu bill payment (import biller) Sort data</t>
  </si>
  <si>
    <t>Lakukan filter data
Sort data berdasarkan provider name/MID code/cycle/due date/biller</t>
  </si>
  <si>
    <t>SCMW0104 - Sort Data_20220707-142934505.pdf</t>
  </si>
  <si>
    <t>SCMW0104 - Sort Data_20220801-102834237.pdf</t>
  </si>
  <si>
    <t>SCMW0105</t>
  </si>
  <si>
    <t>MCW-105</t>
  </si>
  <si>
    <t>Akses menu bill payment (import biller) Show data first/previous/next/last</t>
  </si>
  <si>
    <t>SCMW0105 - Show Data FPNL_20220707-145737586.pdf</t>
  </si>
  <si>
    <t>SCMW0105 - Show Data FPNL_20220801-110205739.pdf</t>
  </si>
  <si>
    <t>SCMW0106</t>
  </si>
  <si>
    <t>MCW-106</t>
  </si>
  <si>
    <t>Import file</t>
  </si>
  <si>
    <t>Akses menu bill payment (import biller) Import file</t>
  </si>
  <si>
    <t>Klik tombol 'choose file'
Pilih file yang akan di import (sesuai format)
Klik tombol 'submit'</t>
  </si>
  <si>
    <t>Data berhasil diimport</t>
  </si>
  <si>
    <t>08 Juli 2022</t>
  </si>
  <si>
    <t>SCMW0106 - Import File_20220708-111219060.pdf</t>
  </si>
  <si>
    <t>SCMW0106 - Import File_20220801-154203773.pdf</t>
  </si>
  <si>
    <t>SCMW0107</t>
  </si>
  <si>
    <t>MCW-107</t>
  </si>
  <si>
    <t>Akses menu dana tunai (submitted data)</t>
  </si>
  <si>
    <t>Lakukan login
Akses menu dana tunai
Klik menu submitted data</t>
  </si>
  <si>
    <t>Muncul tampilan dana tunai (submitted data)</t>
  </si>
  <si>
    <t>SCMW0107 - Akses Menu_20220704-141725725.pdf</t>
  </si>
  <si>
    <t>SCMW0107 - Akses Menu_20220801-075446261.pdf</t>
  </si>
  <si>
    <t>SCMW0108</t>
  </si>
  <si>
    <t>MCW-108</t>
  </si>
  <si>
    <t>Akses menu dana tunai (submitted data) Filter data (tidak terdapat data)</t>
  </si>
  <si>
    <t>Input tanggal awal dan akhir
Klik tombol filter (filter tanggal 2022-06-08)</t>
  </si>
  <si>
    <t>SELECT * FROM bnimycard.tndanatunai WHERE createdat LIKE '2022-06-08%';</t>
  </si>
  <si>
    <t>SCMW0108 - Filter Data Null_20220708-113900420.pdf</t>
  </si>
  <si>
    <t>02 Agustus 2022</t>
  </si>
  <si>
    <t>SCMW0108 - Filter Data Null_20220802-090213731.pdf</t>
  </si>
  <si>
    <t>SCMW0109</t>
  </si>
  <si>
    <t>MCW-109</t>
  </si>
  <si>
    <t>Akses menu dana tunai (submitted data) Filter data (terdapat data)</t>
  </si>
  <si>
    <t>SELECT * FROM bnimycard.tndanatunai WHERE createdat LIKE '2022-06-07%';</t>
  </si>
  <si>
    <t>SCMW0109 - Filter Terdapat Data_20220708-122222948.pdf</t>
  </si>
  <si>
    <t>SCMW0109 - Filter Terdapat Data_20220802-090754294.pdf</t>
  </si>
  <si>
    <t>SCMW0110</t>
  </si>
  <si>
    <t>MCW-110</t>
  </si>
  <si>
    <t>Akses menu dana tunai (submitted data) Show data (10/25/50/100)</t>
  </si>
  <si>
    <t>SCMW0110 - Show Data_20220711-130617620.pdf</t>
  </si>
  <si>
    <t>SCMW0110 - Show Data_20220802-091007659.pdf</t>
  </si>
  <si>
    <t>SCMW0111</t>
  </si>
  <si>
    <t>MCW-111</t>
  </si>
  <si>
    <t>Akses menu dana tunai (submitted data) Search data</t>
  </si>
  <si>
    <t>SCMW0111 - Serach Data_20220711-141705759.pdf</t>
  </si>
  <si>
    <t>SCMW0111 - Serach Data_20220802-092639573.pdf</t>
  </si>
  <si>
    <t>SCMW0112</t>
  </si>
  <si>
    <t>MCW-112</t>
  </si>
  <si>
    <t>Akses menu dana tunai (submitted data) Sort data</t>
  </si>
  <si>
    <t>Lakukan filter data
Sort data berdasarkan cust_number/card_number/fix_id/benefi/amount/rekening tujuan/bank/cabang/nama program/tenor/trx_date/channel</t>
  </si>
  <si>
    <t>SCMW0112 - Sort Data_20220711-151911723.pdf</t>
  </si>
  <si>
    <t>SCMW0112 - Sort Data_20220802-093521903.pdf</t>
  </si>
  <si>
    <t>SCMW0113</t>
  </si>
  <si>
    <t>MCW-113</t>
  </si>
  <si>
    <t>Akses menu dana tunai (submitted data) Download report format excel</t>
  </si>
  <si>
    <t>12 Juli 2022</t>
  </si>
  <si>
    <t>SCMW0113 - Download Report XLX_20220712-092512797.pdf</t>
  </si>
  <si>
    <t>SCMW0113 - Download Report XLX_20220802-015154535.pdf</t>
  </si>
  <si>
    <t>SCMW0114</t>
  </si>
  <si>
    <t>MCW-114</t>
  </si>
  <si>
    <t>Akses menu dana tunai (submitted data) Download report format CSV</t>
  </si>
  <si>
    <t>SCMW0114 - Download Report CSV_20220712-134032058.pdf</t>
  </si>
  <si>
    <t>SCMW0114 - Download Report CSV_20220802-031658247.pdf</t>
  </si>
  <si>
    <t>SCMW0115</t>
  </si>
  <si>
    <t>MCW-115</t>
  </si>
  <si>
    <t>Akses menu dana tunai (submitted data) Download report format PDF</t>
  </si>
  <si>
    <t>SCMW0115 - Download Report PDF_20220712-142527881.pdf</t>
  </si>
  <si>
    <t>SCMW0115 - Download Report PDF_20220802-033137323.pdf</t>
  </si>
  <si>
    <t>SCMW0116</t>
  </si>
  <si>
    <t>MCW-116</t>
  </si>
  <si>
    <t>Akses menu dana tunai (submitted data) Show data first/previous/next/last</t>
  </si>
  <si>
    <t>13 Juli 2022</t>
  </si>
  <si>
    <t>SCMW0116 - Show Data FPNL_20220713-092923478.pdf</t>
  </si>
  <si>
    <t>SCMW0116 - Show Data FPNL_20220802-035508657.pdf</t>
  </si>
  <si>
    <t>SCMW0117</t>
  </si>
  <si>
    <t>MCW-117</t>
  </si>
  <si>
    <t>Akses menu dana tunai (import data customer)</t>
  </si>
  <si>
    <t>Lakukan login
Akses menu dana tunai
Klik menu import data customer</t>
  </si>
  <si>
    <t>Muncul tampilan dana tunai (import data customer)</t>
  </si>
  <si>
    <t>SCMW0117 - Akses Menu IDC_20220707-135140546.pdf</t>
  </si>
  <si>
    <t>SCMW0117 - Akses Menu IDC_20220802-040823369.pdf</t>
  </si>
  <si>
    <t>SCMW0118</t>
  </si>
  <si>
    <t>MCW-118</t>
  </si>
  <si>
    <t>Akses menu dana tunai (import data customer) Show/Refresh data</t>
  </si>
  <si>
    <t>SELECT * FROM bnimycard.mdana;</t>
  </si>
  <si>
    <t>SCMW0118 - Refresh Data_20220708-093926177.pdf</t>
  </si>
  <si>
    <t>03 Agustus 2022</t>
  </si>
  <si>
    <t>SCMW0118 - Refresh Data_20220803-103041855.pdf</t>
  </si>
  <si>
    <t>SCMW0119</t>
  </si>
  <si>
    <t>MCW-119</t>
  </si>
  <si>
    <t>Akses menu dana tunai (import data customer) Delete all data</t>
  </si>
  <si>
    <t>SCMW0119 - Delete All Data_20220713-102540666.pdf</t>
  </si>
  <si>
    <t>SCMW0119 - Delete All Data_20220803-112826117.pdf</t>
  </si>
  <si>
    <t>SCMW0120</t>
  </si>
  <si>
    <t>MCW-120</t>
  </si>
  <si>
    <t>Show data (5/10/25/100)</t>
  </si>
  <si>
    <t>Akses menu dana tunai (import data customer) Show data (5/10/25/100)</t>
  </si>
  <si>
    <t>Lakukan refresh data
Pilih jumlah items per page</t>
  </si>
  <si>
    <t>SCMW0120 - Show Data_20220708-095851957.pdf</t>
  </si>
  <si>
    <t>SCMW0120 - Show Data_20220803-104452980.pdf</t>
  </si>
  <si>
    <t>SCMW0121</t>
  </si>
  <si>
    <t>MCW-121</t>
  </si>
  <si>
    <t>Akses menu dana tunai (import data customer) Search data</t>
  </si>
  <si>
    <t>SCMW0121 - Search Data_20220708-100548857.pdf</t>
  </si>
  <si>
    <t>SCMW0121 - Search Data_20220803-105214592.pdf</t>
  </si>
  <si>
    <t>SCMW0122</t>
  </si>
  <si>
    <t>MCW-122</t>
  </si>
  <si>
    <t>Akses menu dana tunai (import data customer) Sort data</t>
  </si>
  <si>
    <t>Lakukan filter data
Sort data berdasarkan org/cust_number/card_number/fix_id</t>
  </si>
  <si>
    <t>TakeOut</t>
  </si>
  <si>
    <t>memang tidak ada TC ini, dari mas nyoman kelebihan</t>
  </si>
  <si>
    <t>SCMW0123</t>
  </si>
  <si>
    <t>MCW-123</t>
  </si>
  <si>
    <t>Show data next/previous</t>
  </si>
  <si>
    <t>Akses menu dana tunai (import data customer) Show data next/previous</t>
  </si>
  <si>
    <t>Lakukan filter data
Klik tombol next/previous</t>
  </si>
  <si>
    <t>SCMW0123 - Show Data_20220708-101553877.pdf</t>
  </si>
  <si>
    <t>SCMW0123 - Show Data_20220803-110638286.pdf</t>
  </si>
  <si>
    <t>SCMW0124</t>
  </si>
  <si>
    <t>MCW-124</t>
  </si>
  <si>
    <t>Akses menu dana tunai (import data customer) Import file</t>
  </si>
  <si>
    <t>SCMW0124 - Import File_20220713-124527358.pdf</t>
  </si>
  <si>
    <t>SCMW0124 - Import File_20220803-091306550.pdf</t>
  </si>
  <si>
    <t>SCMW0125</t>
  </si>
  <si>
    <t>MCW-125</t>
  </si>
  <si>
    <t>Akses menu dana tunai (tenor dana tunai)</t>
  </si>
  <si>
    <t>Lakukan login
Akses menu dana tunai
Klik menu tenor dana tunai</t>
  </si>
  <si>
    <t>Muncul tampilan dana tunai (tenor dana tunai)</t>
  </si>
  <si>
    <t>SCMW0125 - Akses Menu TDT_20220708-150023010.pdf</t>
  </si>
  <si>
    <t>SCMW0125 - Akses Menu TDT_20220803-110437278.pdf</t>
  </si>
  <si>
    <t>SCMW0126</t>
  </si>
  <si>
    <t>MCW-126</t>
  </si>
  <si>
    <t>Show data</t>
  </si>
  <si>
    <t>Akses menu dana tunai (tenor dana tunai) Show data</t>
  </si>
  <si>
    <t>Klik tombol refresh</t>
  </si>
  <si>
    <t>SELECT * FROM bnimycard.mtenor_danatunai;</t>
  </si>
  <si>
    <t>SCMW0126 - Show Data_20220711-092806163.pdf</t>
  </si>
  <si>
    <t>SCMW0126 - Show Data_20220803-063357123.pdf</t>
  </si>
  <si>
    <t>SCMW0127</t>
  </si>
  <si>
    <t>MCW-127</t>
  </si>
  <si>
    <t>Akses menu dana tunai (tenor dana tunai) Show data (10/25/50/100)</t>
  </si>
  <si>
    <t>SCMW0127 - Show Data_20220711-093626146.pdf</t>
  </si>
  <si>
    <t>SCMW0127 - Show Data_20220803-070047885.pdf</t>
  </si>
  <si>
    <t>SCMW0128</t>
  </si>
  <si>
    <t>MCW-128</t>
  </si>
  <si>
    <t>Akses menu dana tunai (tenor dana tunai) Search data</t>
  </si>
  <si>
    <t>SCMW0128 - Search Data_20220711-094455061.pdf</t>
  </si>
  <si>
    <t>SCMW0128 - Search Data_20220803-072617551.pdf</t>
  </si>
  <si>
    <t>SCMW0129</t>
  </si>
  <si>
    <t>MCW-129</t>
  </si>
  <si>
    <t>Akses menu dana tunai (tenor dana tunai) Sort data</t>
  </si>
  <si>
    <t>SCMW0129 - Sort Data_20220711-095518863.pdf</t>
  </si>
  <si>
    <t>04 Agustus 2022</t>
  </si>
  <si>
    <t>SCMW0129 - Sort Data_20220804-081237509.pdf</t>
  </si>
  <si>
    <t>SCMW0130</t>
  </si>
  <si>
    <t>MCW-130</t>
  </si>
  <si>
    <t>Akses menu dana tunai (tenor dana tunai) Add tenor</t>
  </si>
  <si>
    <t>SCMW0130 - Add Tenor_20220711-110738039.pdf</t>
  </si>
  <si>
    <t>SCMW0130 - Add Tenor_20220804-081638831.pdf</t>
  </si>
  <si>
    <t>SCMW0131</t>
  </si>
  <si>
    <t>MCW-131</t>
  </si>
  <si>
    <t>Akses menu dana tunai (tenor dana tunai) Edit tenor</t>
  </si>
  <si>
    <t>SCMW0131 - Edit Tenor_20220711-113144645.pdf</t>
  </si>
  <si>
    <t>SCMW0131 - Edit Tenor_20220804-082111090.pdf</t>
  </si>
  <si>
    <t>SCMW0132</t>
  </si>
  <si>
    <t>MCW-132</t>
  </si>
  <si>
    <t>Akses menu dana tunai (tenor dana tunai) Delete tenor (cancel)</t>
  </si>
  <si>
    <t>SCMW0132 - Delete Tenor Cancel_20220711-114935831.pdf</t>
  </si>
  <si>
    <t>SCMW0132 - Delete Tenor Cancel_20220804-082824412.pdf</t>
  </si>
  <si>
    <t>SCMW0133</t>
  </si>
  <si>
    <t>MCW-133</t>
  </si>
  <si>
    <t>Akses menu dana tunai (tenor dana tunai) Delete tenor (yes)</t>
  </si>
  <si>
    <t>SCMW0133 - Delete Tenor Yes_20220711-115341327.pdf</t>
  </si>
  <si>
    <t>SCMW0133 - Delete Tenor Yes_20220804-083324164.pdf</t>
  </si>
  <si>
    <t>SCMW0134</t>
  </si>
  <si>
    <t>MCW-134</t>
  </si>
  <si>
    <t>Akses menu dana tunai (tenor dana tunai) Show data first/previous/next/last</t>
  </si>
  <si>
    <t>SCMW0134 - Show Data_20220711-115852075.pdf</t>
  </si>
  <si>
    <t>SCMW0134 - Show Data_20220804-090708043.pdf</t>
  </si>
  <si>
    <t>SCMW0135</t>
  </si>
  <si>
    <t>MCW-135</t>
  </si>
  <si>
    <t>Akses menu perisai plus</t>
  </si>
  <si>
    <t>Lakukan login
Akses menu perisai plus</t>
  </si>
  <si>
    <t>Muncul tampilan perisai plus</t>
  </si>
  <si>
    <t>SCMW0135 - Menu Perisai Plus_20220706-094957125.pdf</t>
  </si>
  <si>
    <t>SCMW0135 - Menu Perisai Plus_20220804-100711412.pdf</t>
  </si>
  <si>
    <t>SCMW0136</t>
  </si>
  <si>
    <t>MCW-136</t>
  </si>
  <si>
    <t>Akses menu perisai plus Filter data (tidak terdapat data)</t>
  </si>
  <si>
    <t>SCMW0136 - FIlter Data_20220706-102356416.pdf</t>
  </si>
  <si>
    <t>SCMW0136 - FIlter Data_20220804-110336935.pdf</t>
  </si>
  <si>
    <t>SCMW0137</t>
  </si>
  <si>
    <t>MCW-137</t>
  </si>
  <si>
    <t>Akses menu perisai plus Filter data (terdapat data)</t>
  </si>
  <si>
    <t>SCMW0137 - Filter Data_20220706-102532094.pdf</t>
  </si>
  <si>
    <t>SCMW0137 - Filter Data_20220804-134742639.pdf</t>
  </si>
  <si>
    <t>SCMW0138</t>
  </si>
  <si>
    <t>MCW-138</t>
  </si>
  <si>
    <t>Akses menu perisai plus Show data (10/25/50/100)</t>
  </si>
  <si>
    <t>SCMW0138 - Show Data_20220706-152047500.pdf</t>
  </si>
  <si>
    <t>SCMW0138 - Show Data_20220804-141036094.pdf</t>
  </si>
  <si>
    <t>SCMW0139</t>
  </si>
  <si>
    <t>MCW-139</t>
  </si>
  <si>
    <t>Akses menu perisai plus Search data</t>
  </si>
  <si>
    <t>SCMW0139 - Search Data_20220706-152919492.pdf</t>
  </si>
  <si>
    <t>05 Agustus 2022</t>
  </si>
  <si>
    <t>SCMW0139 - Search Data_20220805-112943215.pdf</t>
  </si>
  <si>
    <t>SCMW0140</t>
  </si>
  <si>
    <t>MCW-140</t>
  </si>
  <si>
    <t>Akses menu perisai plus Sort data</t>
  </si>
  <si>
    <t>Lakukan filter data
Sort data berdasarkan customer number/nomor kartu kredit/nama pemegang kartu/nomor handphone/email/tanggal lahir/create date/channel</t>
  </si>
  <si>
    <t>SCMW0140 - Sort Data_20220707-105310523.pdf</t>
  </si>
  <si>
    <t>SCMW0140 - Sort Data_20220805-113640201.pdf</t>
  </si>
  <si>
    <t>SCMW0141</t>
  </si>
  <si>
    <t>MCW-141</t>
  </si>
  <si>
    <t>Akses menu perisai plus Download report format excel</t>
  </si>
  <si>
    <t>SCMW0141 - Download Report XLX_20220714-093700954.pdf</t>
  </si>
  <si>
    <t>SCMW0141 - Download Report XLX_20220805-114953391.pdf</t>
  </si>
  <si>
    <t>SCMW0142</t>
  </si>
  <si>
    <t>MCW-142</t>
  </si>
  <si>
    <t>Akses menu perisai plus Download report format CSV</t>
  </si>
  <si>
    <t>SCMW0142 - Download Report CSV_20220714-142218775.pdf</t>
  </si>
  <si>
    <t>SCMW0142 - Download Report CSV_20220805-132929463.pdf</t>
  </si>
  <si>
    <t>SCMW0143</t>
  </si>
  <si>
    <t>MCW-143</t>
  </si>
  <si>
    <t>Akses menu perisai plus Download report format PDF</t>
  </si>
  <si>
    <t>SCMW0143 - Download Report PDF_20220714-162804002.pdf</t>
  </si>
  <si>
    <t>SCMW0143 - Download Report PDF_20220805-141337330.pdf</t>
  </si>
  <si>
    <t>SCMW0144</t>
  </si>
  <si>
    <t>MCW-144</t>
  </si>
  <si>
    <t>Akses menu perisai plus Show data first/previous/next/last</t>
  </si>
  <si>
    <t>SCMW0144 - Show Data_20220707-110819685.pdf</t>
  </si>
  <si>
    <t>09 Agustus 2022</t>
  </si>
  <si>
    <t>SCMW0144 - Show Data_20220809-100445913.pdf</t>
  </si>
  <si>
    <t>SCMW0145</t>
  </si>
  <si>
    <t>MCW-145</t>
  </si>
  <si>
    <t>Akses menu master data (parameter)</t>
  </si>
  <si>
    <t>Lakukan login
Akses menu master data (parameter)</t>
  </si>
  <si>
    <t>Muncul tampilan master data (parameter)</t>
  </si>
  <si>
    <t>SCMW0145 - Akses Menu Parameter_20220630-092230947.pdf</t>
  </si>
  <si>
    <t>SCMW0145 - Akses Menu Parameter_20220805-080301317.pdf</t>
  </si>
  <si>
    <t>SCMW0146</t>
  </si>
  <si>
    <t>MCW-146</t>
  </si>
  <si>
    <t>show/refresh data</t>
  </si>
  <si>
    <t>Akses menu master data (parameter) show/refresh data</t>
  </si>
  <si>
    <t>SELECT * FROM bnimycard.mparameter;</t>
  </si>
  <si>
    <t>show/refresh data berhasil</t>
  </si>
  <si>
    <t>SCMW0146 - Refresh Data_20220630-093136387.pdf</t>
  </si>
  <si>
    <t>SCMW0146 - Refresh Data_20220805-082634517.pdf</t>
  </si>
  <si>
    <t>SCMW0147</t>
  </si>
  <si>
    <t>MCW-147</t>
  </si>
  <si>
    <t>Akses menu master data (parameter) Show data (10/25/50/100)</t>
  </si>
  <si>
    <t>SCMW0147 - Show Data_20220630-093445621.pdf</t>
  </si>
  <si>
    <t>SCMW0147 - Show Data_20220805-082902391.pdf</t>
  </si>
  <si>
    <t>SCMW0148</t>
  </si>
  <si>
    <t>MCW-148</t>
  </si>
  <si>
    <t>Akses menu master data (parameter) Search data</t>
  </si>
  <si>
    <t>SCMW0148 - Search Data_20220704-091402811.pdf</t>
  </si>
  <si>
    <t>SCMW0148 - Search Data_20220805-083044431.pdf</t>
  </si>
  <si>
    <t>SCMW0149</t>
  </si>
  <si>
    <t>MCW-149</t>
  </si>
  <si>
    <t>Akses menu master data (parameter) Sort data</t>
  </si>
  <si>
    <t>Lakukan refresh data
Sort data berdasarkan create date/parameter name/parameter value/description/action</t>
  </si>
  <si>
    <t>SCMW0149 - Sort Data_20220704-091613859.pdf</t>
  </si>
  <si>
    <t>SCMW0149 - Sort Data_20220805-083315986.pdf</t>
  </si>
  <si>
    <t>SCMW0150</t>
  </si>
  <si>
    <t>MCW-150</t>
  </si>
  <si>
    <t>Add parameter</t>
  </si>
  <si>
    <t>Akses menu master data (parameter) Add parameter</t>
  </si>
  <si>
    <t>Klik tombol 'add'
Input data parameter
Klik tombol submit</t>
  </si>
  <si>
    <t>Add parameter berhasil</t>
  </si>
  <si>
    <t>SCMW0150 - Add Parameter_20220704-092413379.pdf</t>
  </si>
  <si>
    <t>08 Agustus 2022</t>
  </si>
  <si>
    <t>SCMW0150 - Add Parameter_20220808-082622950.pdf</t>
  </si>
  <si>
    <t>SCMW0151</t>
  </si>
  <si>
    <t>MCW-151</t>
  </si>
  <si>
    <t>Edit parameter</t>
  </si>
  <si>
    <t>Akses menu master data (parameter) Edit parameter</t>
  </si>
  <si>
    <t>Pilih parameter yang akan diedit
Klik tombol edit
Input data parameter
Klik tombol submit</t>
  </si>
  <si>
    <t>Edit parameter berhasil</t>
  </si>
  <si>
    <t>SCMW0151 - Edit Parameter_20220705-093959308.pdf</t>
  </si>
  <si>
    <t>SCMW0151 - Edit Parameter_20220808-085600375.pdf</t>
  </si>
  <si>
    <t>SCMW0152</t>
  </si>
  <si>
    <t>MCW-152</t>
  </si>
  <si>
    <t>Delete parameter (cancel)</t>
  </si>
  <si>
    <t>Akses menu master data (parameter) Delete parameter (cancel)</t>
  </si>
  <si>
    <t>Pilih parameter yang akan didelete
Klik tombol delete
Klik tombol cancel</t>
  </si>
  <si>
    <t>Delete parameter batal</t>
  </si>
  <si>
    <t>SCMW0152 - Delete Cancel_20220705-095937884.pdf</t>
  </si>
  <si>
    <t>SCMW0152 - Delete Cancel_20220808-085128792.pdf</t>
  </si>
  <si>
    <t>SCMW0153</t>
  </si>
  <si>
    <t>MCW-153</t>
  </si>
  <si>
    <t>Delete parameter (yes)</t>
  </si>
  <si>
    <t>Akses menu master data (parameter) Delete parameter (yes)</t>
  </si>
  <si>
    <t>Pilih parameter yang akan didelete
Klik tombol delete
Klik tombol yes</t>
  </si>
  <si>
    <t>Delete parameter berhasil</t>
  </si>
  <si>
    <t>SCMW0153 - Delete Yes_20220705-100303290.pdf</t>
  </si>
  <si>
    <t>SCMW0153 - Delete Yes_20220808-090716977.pdf</t>
  </si>
  <si>
    <t>SCMW0154</t>
  </si>
  <si>
    <t>MCW-154</t>
  </si>
  <si>
    <t>Akses menu master data (parameter) Show data first/previous/next/last</t>
  </si>
  <si>
    <t>SCMW0154 - Show Data_20220707-111208922.pdf</t>
  </si>
  <si>
    <t>SCMW0154 - Show Data_20220808-090213275.pdf</t>
  </si>
  <si>
    <t>SCMW0155</t>
  </si>
  <si>
    <t>MCW-155</t>
  </si>
  <si>
    <t>Akses menu master data (daftar bank)</t>
  </si>
  <si>
    <t>Lakukan login
Akses menu master data (daftar bank)</t>
  </si>
  <si>
    <t>Muncul tampilan master data (daftar bank)</t>
  </si>
  <si>
    <t>SCMW0155 - Akses Daftar Bank_20220712-101303004.pdf</t>
  </si>
  <si>
    <t>SCMW0155 - Akses Daftar Bank_20220808-095314486.pdf</t>
  </si>
  <si>
    <t>SCMW0156</t>
  </si>
  <si>
    <t>MCW-156</t>
  </si>
  <si>
    <t>Akses menu master data (daftar bank) show/refresh data</t>
  </si>
  <si>
    <t>SELECT * FROM bnimycard.listbank;</t>
  </si>
  <si>
    <t>SCMW0156 - Refresh Data_20220712-141139043.pdf</t>
  </si>
  <si>
    <t>SCMW0156 - Refresh Data_20220808-101850884.pdf</t>
  </si>
  <si>
    <t>SCMW0157</t>
  </si>
  <si>
    <t>MCW-157</t>
  </si>
  <si>
    <t>Akses menu master data (daftar bank) Show data (10/25/50/100)</t>
  </si>
  <si>
    <t>SCMW0157 - Show Data_20220712-102002696.pdf</t>
  </si>
  <si>
    <t>SCMW0157 - Show Data_20220808-103314054.pdf</t>
  </si>
  <si>
    <t>SCMW0158</t>
  </si>
  <si>
    <t>MCW-158</t>
  </si>
  <si>
    <t>Akses menu master data (daftar bank) Search data</t>
  </si>
  <si>
    <t>SCMW0158 - Search Data_20220713-092028110.pdf</t>
  </si>
  <si>
    <t>SCMW0158 - Search Data_20220808-140742467.pdf</t>
  </si>
  <si>
    <t>SCMW0159</t>
  </si>
  <si>
    <t>MCW-159</t>
  </si>
  <si>
    <t>Akses menu master data (daftar bank) Sort data</t>
  </si>
  <si>
    <t>Lakukan refresh data
Sort data berdasarkan fullBankName/shortBankName/bankCode/sknCode/cityCode/rtgsCode/swiftCode/bankAddress/action</t>
  </si>
  <si>
    <t>SCMW0159 - Sort Data_20220713-092506571.pdf</t>
  </si>
  <si>
    <t>SCMW0159 - Sort Data_20220808-144754297.pdf</t>
  </si>
  <si>
    <t>SCMW0160</t>
  </si>
  <si>
    <t>MCW-160</t>
  </si>
  <si>
    <t>Add bank</t>
  </si>
  <si>
    <t>Akses menu master data (daftar bank) Add bank</t>
  </si>
  <si>
    <t>Klik tombol 'add'
Input data bank
Klik tombol submit</t>
  </si>
  <si>
    <t>Add bank berhasil</t>
  </si>
  <si>
    <t>SCMW0160 - Add Bank_20220713-093631177.pdf</t>
  </si>
  <si>
    <t>SCMW0160 - Add Bank_20220809-102944581.pdf</t>
  </si>
  <si>
    <t>SCMW0161</t>
  </si>
  <si>
    <t>MCW-161</t>
  </si>
  <si>
    <t>Edit bank</t>
  </si>
  <si>
    <t>Akses menu master data (daftar bank) Edit bank</t>
  </si>
  <si>
    <t>Pilih bank yang akan diedit
Klik tombol edit
Input data bank
Klik tombol submit</t>
  </si>
  <si>
    <t>Edit bank berhasil</t>
  </si>
  <si>
    <t>SCMW0161 - Edit Bank_20220714-093039725.pdf</t>
  </si>
  <si>
    <t>SCMW0161 - Edit Bank_20220809-103416747.pdf</t>
  </si>
  <si>
    <t>SCMW0162</t>
  </si>
  <si>
    <t>MCW-162</t>
  </si>
  <si>
    <t>Delete bank (cancel)</t>
  </si>
  <si>
    <t>Akses menu master data (daftar bank) Delete bank (cancel)</t>
  </si>
  <si>
    <t>Pilih bank yang akan didelete
Klik tombol delete
Klik tombol cancel</t>
  </si>
  <si>
    <t>Delete bank batal</t>
  </si>
  <si>
    <t>SCMW0162 - Delete Cancel_20220714-093520729.pdf</t>
  </si>
  <si>
    <t>SCMW0162 - Delete Cancel_20220809-104247493.pdf</t>
  </si>
  <si>
    <t>SCMW0163</t>
  </si>
  <si>
    <t>MCW-163</t>
  </si>
  <si>
    <t>Delete bank (yes)</t>
  </si>
  <si>
    <t>Akses menu master data (daftar bank) Delete bank (yes)</t>
  </si>
  <si>
    <t>Pilih bank yang akan didelete
Klik tombol delete
Klik tombol yes</t>
  </si>
  <si>
    <t>Delete bank berhasil</t>
  </si>
  <si>
    <t>SCMW0163 - Delete Yes_20220714-094040562.pdf</t>
  </si>
  <si>
    <t>SCMW0163 - Delete Yes_20220809-105136900.pdf</t>
  </si>
  <si>
    <t>SCMW0164</t>
  </si>
  <si>
    <t>MCW-164</t>
  </si>
  <si>
    <t>Akses menu master data (daftar bank) Show data first/previous/next/last</t>
  </si>
  <si>
    <t>SCMW0164 - Show Data_20220715-090832412.pdf</t>
  </si>
  <si>
    <t>SCMW0164 - Show Data_20220809-110030887.pdf</t>
  </si>
  <si>
    <t>SCMW0165</t>
  </si>
  <si>
    <t>MCW-165</t>
  </si>
  <si>
    <t>Edit profile user</t>
  </si>
  <si>
    <t>Akses menu user Edit profile user</t>
  </si>
  <si>
    <t>Lakukan login
Klik tombol nama user
Klik edit profile
Input data user
Klik submit</t>
  </si>
  <si>
    <t>admin
user tes :
tes
Tqc12345
SELECT * FROM bnimycard.admin WHERE id_admin=62;</t>
  </si>
  <si>
    <t>Edit profile berhasil</t>
  </si>
  <si>
    <t>SCMW0165 - Edit Profile User_20220715-123131915.pdf</t>
  </si>
  <si>
    <t>SCMW0165 - Edit Profile User_20220809-120215143.pdf</t>
  </si>
  <si>
    <t>SCMW0166</t>
  </si>
  <si>
    <t>MCW-166</t>
  </si>
  <si>
    <t>Change password</t>
  </si>
  <si>
    <t>Akses menu user Change password</t>
  </si>
  <si>
    <t>Lakukan login
Klik tombol nama user
Klik edit profile
Klik change password
Input data password
Klik submit</t>
  </si>
  <si>
    <t>Change password berhasil</t>
  </si>
  <si>
    <t>SCMW0166 - Change Password_20220715-135045090.pdf</t>
  </si>
  <si>
    <t>SCMW0166 - Change Password_20220809-153558644.pdf</t>
  </si>
  <si>
    <t>SCMW0167</t>
  </si>
  <si>
    <t>MCW-167</t>
  </si>
  <si>
    <t>Akses menu user Show password</t>
  </si>
  <si>
    <t>Lakukan login
Klik tombol nama user
Klik edit profile
Klik change password
Input data password
Klik tombol show password
Klik submit</t>
  </si>
  <si>
    <t>SCMW0167 - Show Password_20220715-140101470.pdf</t>
  </si>
  <si>
    <t>SCMW0167 - Show Password_20220809-153832851.pdf</t>
  </si>
  <si>
    <t>SCMW0168</t>
  </si>
  <si>
    <t>MCW-168</t>
  </si>
  <si>
    <t>Logout</t>
  </si>
  <si>
    <t>Akses menu user Logout</t>
  </si>
  <si>
    <t>Lakukan login
Klik tombol nama user
Klik logout</t>
  </si>
  <si>
    <t>Logout berhasil</t>
  </si>
  <si>
    <t>SCMW0168 - Logout_20220715-091036556.pdf</t>
  </si>
  <si>
    <t>SCMW0168 - Logout_20220809-153303135.pdf</t>
  </si>
  <si>
    <t>Takeout</t>
  </si>
  <si>
    <t xml:space="preserve"> </t>
  </si>
  <si>
    <t>SC_ID</t>
  </si>
  <si>
    <t>Screen Siska</t>
  </si>
  <si>
    <t>File Excel</t>
  </si>
  <si>
    <t>Server Core</t>
  </si>
  <si>
    <t>Server Siska</t>
  </si>
  <si>
    <t>Task Scheduler</t>
  </si>
  <si>
    <t>Email</t>
  </si>
  <si>
    <t>SCS0001</t>
  </si>
  <si>
    <t>SSK-01</t>
  </si>
  <si>
    <t xml:space="preserve">User Divisi melakukan login </t>
  </si>
  <si>
    <t>User Divisi melakukan login pada Aplikasi SISKA</t>
  </si>
  <si>
    <t>- Akses Url ‘siska.bni.co.id’
 - Input NPP &amp; Password Webmail yang benar</t>
  </si>
  <si>
    <t>30 Mei 2022</t>
  </si>
  <si>
    <t>SCS0001-UserLogin_20220530-100719194.pdf</t>
  </si>
  <si>
    <t>SCS0001 - User Divisi Login_20220629-153151724.pdf</t>
  </si>
  <si>
    <t>SCS0002</t>
  </si>
  <si>
    <t>SSK-02</t>
  </si>
  <si>
    <t xml:space="preserve">User Divisi Melakukan Edit Profile </t>
  </si>
  <si>
    <t>User Divisi Melakukan Edit Profile Pada Menu Home –&gt; Edit Profile</t>
  </si>
  <si>
    <t>- Klik menu Home
 - Klik Sub Menu Edit Profile
 - Input Form Email 
 - Klik Submit</t>
  </si>
  <si>
    <t>*Data berhasil disimpan disystem</t>
  </si>
  <si>
    <t>31 Mei 2022</t>
  </si>
  <si>
    <t>SCS0002 - User Edit Profile_20220531-152947604.pdf</t>
  </si>
  <si>
    <t>SCS0002 - User Divisi Edit_20220629-154813847.pdf</t>
  </si>
  <si>
    <t>SCS0003</t>
  </si>
  <si>
    <t>SSK-03</t>
  </si>
  <si>
    <t>User Divisi Melakukan Add data pagu KAS</t>
  </si>
  <si>
    <t>User Divisi Melakukan Add data pagu KAS di Menu Data Master 
 –&gt; Pagu Kas</t>
  </si>
  <si>
    <t>- Klik Menu Data Master
 - Klik Sub Menu Pagu Kas
 - Klik Tombol ‘Add’
 - Pilih Dropdown Tipe Unit
 - Pilih Dropdown Unit
 - Input Tanggal Pagu
 - Input Nominal PaguKas
 - Klik Simpan</t>
  </si>
  <si>
    <t>*User Berhasil Add Data Pagu Kas disistem</t>
  </si>
  <si>
    <t>02 Juni 2022</t>
  </si>
  <si>
    <t>SCS0003 - Add Pagu Kas_20220602-152714272.pdf</t>
  </si>
  <si>
    <t>SCS0003 - Add Pagu Kas_20220629-134841955.pdf</t>
  </si>
  <si>
    <t>SCS0004</t>
  </si>
  <si>
    <t>SSK-04</t>
  </si>
  <si>
    <t xml:space="preserve">User Divisi Melakukan Update data pagu KAS </t>
  </si>
  <si>
    <t>User Divisi Melakukan Update data pagu KAS di Menu Data Master 
 –&gt; Pagu Kas</t>
  </si>
  <si>
    <t>- Klik Menu Data Master
 - Klik Sub Menu Pagu Kas
 - Klik Salah satu Data yang akan diupdate
 - Klik Tombol ‘Update’
 - Pilih Dropdown Tipe Unit
 - Pilih Dropdown Unit
 - Input Tanggal Pagu
 - Input Nominal PaguKas
 - Klik Simpan</t>
  </si>
  <si>
    <t>*User Berhasil Update Data Pagu Kas disistem</t>
  </si>
  <si>
    <t>03 Juni 2022</t>
  </si>
  <si>
    <t>SCS0004 - Update Data Pagu Kas_20220603-153236300.pdf</t>
  </si>
  <si>
    <t>SCS0004 - UpdateDataPaguKAS_20220629-111518347.pdf</t>
  </si>
  <si>
    <t>SCS0005</t>
  </si>
  <si>
    <t>SSK-05</t>
  </si>
  <si>
    <t xml:space="preserve">User Divisi Melakukan Delete data pagu KAS </t>
  </si>
  <si>
    <t>User Divisi Melakukan Delete data pagu KAS di Menu Data Master 
 –&gt; Pagu Kas</t>
  </si>
  <si>
    <t>- Klik Menu Data Master
 - Klik Sub Menu Pagu Kas
 - Klik salah satu data yang akan dihapus
 - Klik Tombol ‘Delete’
 - Klik Tombol ‘Yes’</t>
  </si>
  <si>
    <t>*User Berhasil Delete Data Pagu Kas disistem</t>
  </si>
  <si>
    <t>06 Juni 2022</t>
  </si>
  <si>
    <t>SCS0005 - User Delete Pagu Kas_20220606-113147468.pdf</t>
  </si>
  <si>
    <t>SCS0005 - User Delete Pagu Kas_20220629-161033543.pdf</t>
  </si>
  <si>
    <t>SCS0006</t>
  </si>
  <si>
    <t>SSK-06</t>
  </si>
  <si>
    <t xml:space="preserve">User Divisi Melakukan Upload data pagu KAS </t>
  </si>
  <si>
    <t>User Divisi Melakukan Upload data pagu KAS di Menu Data Master 
 –&gt; Pagu Kas</t>
  </si>
  <si>
    <t>- Klik Menu Data Master
 - Klik Sub Menu Pagu Kas
 - Klik Tombol ‘Upload File’
 - Pilih File Excel yang akan diupload
 - Klik Tombol ‘Open’
 - Klik Tombol Ok</t>
  </si>
  <si>
    <t>*User Berhasil Upload File Data Pagu Kas disistem</t>
  </si>
  <si>
    <t>07 Juni 2022</t>
  </si>
  <si>
    <t>SCS0006 - User Upload File_20220607-110621626.pdf</t>
  </si>
  <si>
    <t>SCS0006 - User Upload File_20220629-140438527.pdf</t>
  </si>
  <si>
    <t>SCS0007</t>
  </si>
  <si>
    <t>SSK-07</t>
  </si>
  <si>
    <t xml:space="preserve">User Divisi Melakukan Download data pagu KAS  </t>
  </si>
  <si>
    <t>User Divisi Melakukan Download data pagu KAS di Menu Data Master 
 –&gt; Pagu Kas</t>
  </si>
  <si>
    <t>- Klik Menu Data Master
 - Klik Sub Menu Pagu Kas
 - Klik Tombol ‘Download Data Pagu’
 - Klik Tombol Ok</t>
  </si>
  <si>
    <t>*User Berhasil Download File Data Pagu Kas dari sistem</t>
  </si>
  <si>
    <t>SCS0007 - Download Pagu Kas_20220614-135304962.pdf</t>
  </si>
  <si>
    <t>SCS0007 - Download Pagu Kas_20220629-143457269.pdf</t>
  </si>
  <si>
    <t>SCS0008</t>
  </si>
  <si>
    <t>SSK-08</t>
  </si>
  <si>
    <t xml:space="preserve">User Divisi Melakukan Add data pagu Valas Koor </t>
  </si>
  <si>
    <t>User Divisi Melakukan Add data pagu Valas Koor di Menu Data Master 
 –&gt; Pagu Valas Koor</t>
  </si>
  <si>
    <t>- Klik Menu Data Master
 - Klik Sub Menu Pagu Valas Koor
 - Klik Tombol ‘Add’
 - Pilih Dropdown Cabang
 - Input Tanggal Pagu Valas
 - Input Nominal Dalam USD
 - Input Nominal Dalam SGD
 - Input Nominal selain USD dan SGD
 - Klik Simpan</t>
  </si>
  <si>
    <t>*User Berhasil Add Data Pagu Valas Koor disistem</t>
  </si>
  <si>
    <t>09 Juni 2022</t>
  </si>
  <si>
    <t>SCS0008 - Add Pagu Valas Voor_20220609-141815005.pdf</t>
  </si>
  <si>
    <t>SCS0008 - Add Pagu Valas Voor_20220629-163452214.pdf</t>
  </si>
  <si>
    <t>SCS0009</t>
  </si>
  <si>
    <t>SSK-09</t>
  </si>
  <si>
    <t xml:space="preserve">User Divisi Melakukan Update data pagu Valas Koor </t>
  </si>
  <si>
    <t>User Divisi Melakukan Update data pagu Valas Koor di Menu Data Master 
 –&gt; Pagu Valas Koor</t>
  </si>
  <si>
    <t>*User Berhasil Update Data Pagu Valas Koor disistem</t>
  </si>
  <si>
    <t>SCS0009 - Update Valas Koor_20220610-095423010.pdf</t>
  </si>
  <si>
    <t>SCS0009 - Update Valas Koor_20220629-164219798.pdf</t>
  </si>
  <si>
    <t>SCS0010</t>
  </si>
  <si>
    <t>SSK-10</t>
  </si>
  <si>
    <t xml:space="preserve">User Divisi Melakukan Delete data pagu Valas Koor </t>
  </si>
  <si>
    <t>User Divisi Melakukan Delete data pagu Valas Koor di Menu Data Master 
 –&gt; Pagu Valas Koor</t>
  </si>
  <si>
    <t>- Klik Menu Data Master
 - Klik Sub Menu Pagu Valas Koor
 - Klik salah satu data yang akan dihapus
 - Klik Tombol ‘Delete’
 - Klik Tombol ‘Yes’</t>
  </si>
  <si>
    <t>*User Berhasil Delete Data Pagu Valas Koor disistem</t>
  </si>
  <si>
    <t>08 Juni 2022</t>
  </si>
  <si>
    <t>SCS0010 - Delete Valas Koor_20220608-163003408.pdf</t>
  </si>
  <si>
    <t>SCS0010 - Delete Valas Koor_20220629-164549579.pdf</t>
  </si>
  <si>
    <t>SCS0011</t>
  </si>
  <si>
    <t>SSK-11</t>
  </si>
  <si>
    <t xml:space="preserve">User Divisi Melakukan Upload data pagu Valas Koor </t>
  </si>
  <si>
    <t>User Divisi Melakukan Upload data pagu Valas Koor di Menu Data Master 
 –&gt; Pagu Valas Koor</t>
  </si>
  <si>
    <t>- Klik Menu Data Master
 - Klik Sub Menu Pagu Valas Koor
 - Klik Tombol ‘Upload File’
 - Pilih File Excel yang akan diupload
 - Klik Tombol ‘Open’
 - Klik Tombol Ok</t>
  </si>
  <si>
    <t>*User Berhasil Upload File Data Pagu Valas Koor disistem</t>
  </si>
  <si>
    <t>SCS0011 - Upload Valas Koor_20220610-152451333.pdf</t>
  </si>
  <si>
    <t>SCS0011 - Upload Pagu Valas_20220627-152643392.pdf</t>
  </si>
  <si>
    <t>SCS0012</t>
  </si>
  <si>
    <t>SSK-12</t>
  </si>
  <si>
    <t xml:space="preserve">User Divisi Melakukan Download data pagu Valas Koor </t>
  </si>
  <si>
    <t>User Divisi Melakukan Download data pagu Valas Koor di Menu Data Master 
 –&gt; Pagu Valas Koor</t>
  </si>
  <si>
    <t>- Klik Menu Data Master
 - Klik Sub Menu Pagu Valas Koor
 - Klik Tombol ‘Download Data Pagu Valas’
 - Klik Tombol Ok</t>
  </si>
  <si>
    <t>*User Berhasil Download File Data Pagu Valas Koor dari sistem</t>
  </si>
  <si>
    <t>SCS0012 - Download Valas Koor_20220614-140521344.pdf</t>
  </si>
  <si>
    <t>SCS0012 - Download Valas Koor_20220627-151232077.pdf</t>
  </si>
  <si>
    <t>SCS0013</t>
  </si>
  <si>
    <t>SSK-13</t>
  </si>
  <si>
    <t xml:space="preserve">User Divisi Melakukan Add data pagu Valas Non Koor </t>
  </si>
  <si>
    <t>User Divisi Melakukan Add data pagu Valas Non Koor di Menu Data Master 
 –&gt; Pagu Valas Non Koor</t>
  </si>
  <si>
    <t>- Klik Menu Data Master
 - Klik Sub Menu Pagu Valas Non Koor
 - Klik Tombol ‘Add’
 - Pilih Dropdown Cabang
 - Input Tanggal Pagu Valas
 - Input Nominal Dalam USD
 - Input Nominal Dalam SGD
 - Input Nominal selain USD dan SGD
 - Klik Simpan</t>
  </si>
  <si>
    <t>*User Berhasil Add Data Pagu Valas Non Koor disistem</t>
  </si>
  <si>
    <t>SCS0013 - Add Valas Non Koor_20220613-100154136.pdf</t>
  </si>
  <si>
    <t>SCS0013 - Add Valas Non Koor_20220627-153526844.pdf</t>
  </si>
  <si>
    <t>SCS0014</t>
  </si>
  <si>
    <t>SSK-14</t>
  </si>
  <si>
    <t xml:space="preserve">User Divisi Melakukan Update data pagu Valas Non Koor </t>
  </si>
  <si>
    <t>User Divisi Melakukan Update data pagu Valas Non Koor di Menu Data Master 
 –&gt; Pagu Valas Non Koor</t>
  </si>
  <si>
    <t>*User Berhasil Update Data Pagu Valas Non Koor disistem</t>
  </si>
  <si>
    <t>SCS0014 - Update Valas Non Koor_20220613-102244050.pdf</t>
  </si>
  <si>
    <t>SCS0014 - Update Valas Non Koor_20220627-154128874.pdf</t>
  </si>
  <si>
    <t>SCS0015</t>
  </si>
  <si>
    <t>SSK-15</t>
  </si>
  <si>
    <t xml:space="preserve">User Divisi Melakukan Delete data pagu Valas Non Koor </t>
  </si>
  <si>
    <t>User Divisi Melakukan Delete data pagu Valas Non Koor di Menu Data Master 
 –&gt; Pagu Valas Non Koor</t>
  </si>
  <si>
    <t>- Klik Menu Data Master
 - Klik Sub Menu Pagu Valas Non Koor
 - Klik salah satu data yang akan dihapus
 - Klik Tombol ‘Delete’
 - Klik Tombol ‘Yes’</t>
  </si>
  <si>
    <t>*User Berhasil Delete Data Pagu Valas Non Koor disistem</t>
  </si>
  <si>
    <t>SCS0015 - Delete Valas Non Koor_20220613-103333027.pdf</t>
  </si>
  <si>
    <t>SCS0015 - Delete Valas Non Koor_20220627-154715454.pdf</t>
  </si>
  <si>
    <t>SCS0016</t>
  </si>
  <si>
    <t>SSK-16</t>
  </si>
  <si>
    <t xml:space="preserve">User Divisi Melakukan Upload data pagu Valas Non Koor </t>
  </si>
  <si>
    <t>User Divisi Melakukan Upload data pagu Valas Non Koor di Menu Data Master 
 –&gt; Pagu Valas Non Koor</t>
  </si>
  <si>
    <t>- Klik Menu Data Master
 - Klik Sub Menu Pagu Valas Non Koor
 - Klik Tombol ‘Upload File’
 - Pilih File Excel yang akan diupload
 - Klik Tombol ‘Open’
 - Klik Tombol Ok</t>
  </si>
  <si>
    <t>*User Berhasil Upload File Data Pagu Valas Non Koor disistem</t>
  </si>
  <si>
    <t>SCS0016 - Upload Valas Non Koor_20220613-152716917.pdf</t>
  </si>
  <si>
    <t>SCS0016 - Upload Valas Non Koor_20220627-155539833.pdf</t>
  </si>
  <si>
    <t>SCS0017</t>
  </si>
  <si>
    <t>SSK-17</t>
  </si>
  <si>
    <t xml:space="preserve">User Divisi Melakukan Download data pagu Valas Non Koor </t>
  </si>
  <si>
    <t>User Divisi Melakukan Download data pagu Valas Non Koor di Menu Data Master 
 –&gt; Pagu Valas Non Koor</t>
  </si>
  <si>
    <t>- Klik Menu Data Master
 - Klik Sub Menu Pagu Valas Non Koor
 - Klik Tombol ‘Download Data Pagu Valas’
 - Klik Tombol Ok</t>
  </si>
  <si>
    <t>*User Berhasil Download File Data Pagu Valas Non Koor dari sistem</t>
  </si>
  <si>
    <t>SCS0017 - DWNLD Valas Non Koor_20220614-134320163.pdf</t>
  </si>
  <si>
    <t>SCS0017 - DWNLD Valas Non Koor_20220627-155227747.pdf</t>
  </si>
  <si>
    <t>SCS0018</t>
  </si>
  <si>
    <t>SSK-18</t>
  </si>
  <si>
    <t xml:space="preserve">User Divisi Melakukan Add Alert Parameter Valas </t>
  </si>
  <si>
    <t>User Divisi Melakukan Add Alert Parameter Valas di Menu Parameter SISKA 
 –&gt; Alert Parameter Valas</t>
  </si>
  <si>
    <t>- Klik Menu Parameter SISKA
 - Klik Sub Menu Email Parameter Valas
 - Klik Add
 - Pilih Dropdown Status GAP Sebelumnya
 - Pilih Dropdown Status GAP Saat Ini
 - Pilih Dropdown Status GAP Sebelumnya
 - Pilih Dropdown Send Email?
 - Pilih Dropdown Status Email Status GAP Id
 - Input Emailed To
 - Pilih Dropdown Notif Status
 - Klik Tombol Simpan</t>
  </si>
  <si>
    <t>*User berhasil add data alert parameter valas</t>
  </si>
  <si>
    <t>SCS0018 - Add Alert Param Valas_20220616-104915589.pdf</t>
  </si>
  <si>
    <t>SCS0018 - Add Alert Param Valas_20220627-155916746.pdf</t>
  </si>
  <si>
    <t>SCS0019</t>
  </si>
  <si>
    <t>SSK-19</t>
  </si>
  <si>
    <t xml:space="preserve">User Divisi Melakukan Update Email Parameter Valas </t>
  </si>
  <si>
    <t>User Divisi Melakukan Update Email Parameter Valas di Menu Parameter SISKA 
 –&gt; Email Parameter Valas</t>
  </si>
  <si>
    <t>- Klik Menu Parameter SISKA
 - Klik Sub Menu Email Parameter Valas
 - Pilih salah satu data
 - Klik Update
 - Pilih Dropdown Status GAP Sebelumnya
 - Pilih Dropdown Status GAP Saat Ini
 - Pilih Dropdown Status GAP Sebelumnya
 - Pilih Dropdown Send Email?
 - Pilih Dropdown Status Email Status GAP Id
 - Input Emailed To
 - Pilih Dropdown Notif Status
 - Klik Tombol Simpan</t>
  </si>
  <si>
    <t>*User berhasil update data email parameter disistem</t>
  </si>
  <si>
    <t>SCS0019-UpdateAlertParamValas_20220616-111539924.pdf</t>
  </si>
  <si>
    <t>SCS0019-UpdateAlertParamValas_20220627-162154483.pdf</t>
  </si>
  <si>
    <t>SCS0020</t>
  </si>
  <si>
    <t>SSK-20</t>
  </si>
  <si>
    <t xml:space="preserve">User Divisi Melakukan Delete data Email Parameter Valas </t>
  </si>
  <si>
    <t>User Divisi Melakukan Delete data Email Parameter Valas di Menu Parameter SISKA 
 –&gt; Email Parameter Valas</t>
  </si>
  <si>
    <t>- Klik Menu Parameter SISKA
 - Klik Sub Menu Email Parameter Valas
 - Pilih salah satu data yang akan dihapus
 - Klik Tombol ‘delete’
 - Klik Tombol ‘Yes’</t>
  </si>
  <si>
    <t>*User berhasil delete data email parameter valas disistem</t>
  </si>
  <si>
    <t>SCS0020-DeleteAlertParamValas_20220616-151538757.pdf</t>
  </si>
  <si>
    <t>SCS0020-DeleteAlertParamValas_20220627-162453041.pdf</t>
  </si>
  <si>
    <t>SCS0021</t>
  </si>
  <si>
    <t>SSK-21</t>
  </si>
  <si>
    <t xml:space="preserve">User Divisi Melakukan Monitoring GAP Kantor Pusat </t>
  </si>
  <si>
    <t>User Divisi Melakukan Monitoring GAP Kantor Pusat di Menu Monitoring Valas Cabang Koordinator
 –&gt;Valas Cabang Koordinator</t>
  </si>
  <si>
    <t>- Klik Menu Monitoring Valas
 - Klik Sub Menu Valas Cabang Koordinator
 - Jika Ingin Filter Tanggal &amp; Jam Input Tanggal dan Jam
 - Klik Search</t>
  </si>
  <si>
    <t>*User dapat melihat data monitoring Valas Cabang Koordinator</t>
  </si>
  <si>
    <t>SCS0021-MonitoringGapKantor_20220620-103233292.pdf</t>
  </si>
  <si>
    <t>SCS0021-MonitoringGapKantor_20220630-101159721.pdf</t>
  </si>
  <si>
    <t>SSK-22</t>
  </si>
  <si>
    <t>User Divisi Melakukan Monitoring GAP Kantor Pusat di Menu Monitoring Valas Cabang Non Koordinator
 –&gt;Valas Cabang Non Koordinator</t>
  </si>
  <si>
    <t>- Klik Menu Monitoring Valas
 - Klik Sub Menu Valas Cabang Non Koordinator
 - Jika Ingin Filter Tanggal &amp; Jam Input Tanggal dan Jam
 - Klik Search</t>
  </si>
  <si>
    <t>*User dapat melihat data monitoring Valas Cabang Non Koordinator</t>
  </si>
  <si>
    <t>SCS0021-MonitoringGapKantor_20220620-103411925.pdf</t>
  </si>
  <si>
    <t>SCS0021-MonitoringGapKantor_20220630-101342526.pdf</t>
  </si>
  <si>
    <t>SSK-23</t>
  </si>
  <si>
    <t>User Divisi Melakukan Monitoring GAP Kantor Pusat di Menu Monitoring Valas
 –&gt;Valas Wilayah</t>
  </si>
  <si>
    <t>- Klik Menu Monitoring Valas
 - Klik Sub Menu Valas Wilayah
 - Jika Ingin Filter Tanggal &amp; Jam Input Tanggal dan Jam
 - Klik Search</t>
  </si>
  <si>
    <t>*User dapat melihat data monitoring Valas wilayah</t>
  </si>
  <si>
    <t>SCS0021-MonitoringGapKantor_20220620-103550291.pdf</t>
  </si>
  <si>
    <t>SCS0021-MonitoringGapKantor_20220630-101523577.pdf</t>
  </si>
  <si>
    <t>SCS0022</t>
  </si>
  <si>
    <t>SSK-24</t>
  </si>
  <si>
    <t xml:space="preserve">User Divisi Melihat &amp; Download Report Harian </t>
  </si>
  <si>
    <t>User Divisi Melihat &amp; Download Report Harian di Report
 –&gt; Report Daily Saldo Pagu Valas</t>
  </si>
  <si>
    <t>- Klik Menu Report
 - Klik Sub Menu Report Daily Saldo Pagu Valas
 - Klik Dropdown CCY Jika Ingin Filter berdasarkan Currency
  - Klik Dropdown Cabang Jika Ingin Filter berdasarkan Cabang
 - Jika Ingin Filter Tanggal &amp; Jam Input Tanggal dan Jam
 - Klik Search
 - Klik Download Report
 - Klik Ok</t>
  </si>
  <si>
    <t>*User dapat melihat report harian valas</t>
  </si>
  <si>
    <t>SCS0022 - DownloadReportHarian_20220620-132507242.pdf</t>
  </si>
  <si>
    <t>SCS0022 - DownloadReportHarian_20220630-141109416.pdf</t>
  </si>
  <si>
    <t>SCS0023</t>
  </si>
  <si>
    <t>SSK-25</t>
  </si>
  <si>
    <t xml:space="preserve">User Wilayah melakukan login </t>
  </si>
  <si>
    <t>User Wilayah melakukan login pada Aplikasi SISKA</t>
  </si>
  <si>
    <t>*Login berhasil
 *Tampil beranda aplikasi SISKA</t>
  </si>
  <si>
    <t>SCS0023 - User Wilayah Login_20220603-160537885.pdf</t>
  </si>
  <si>
    <t>SCS0023 - User Wilayah Login_20220630-141511372.pdf</t>
  </si>
  <si>
    <t>SCS0024</t>
  </si>
  <si>
    <t>SSK-26</t>
  </si>
  <si>
    <t xml:space="preserve">User Wilayah Melakukan Edit Profile </t>
  </si>
  <si>
    <t>User Wilayah Melakukan Edit Profile Pada Menu Home –&gt; Edit Profile</t>
  </si>
  <si>
    <t>SCS0024 - Wilayah Edit Profile_20220606-105614784.pdf</t>
  </si>
  <si>
    <t>SCS0024 - Edit Profile_20220630-142035304.pdf</t>
  </si>
  <si>
    <t>SCS0025</t>
  </si>
  <si>
    <t>SSK-27</t>
  </si>
  <si>
    <t xml:space="preserve">User Wilayah Melakukan Monitoring GAP Wilayah </t>
  </si>
  <si>
    <t>User Wilayah Melakukan Monitoring GAP Wilayah di Menu Monitoring Valas
 –&gt;Valas Wilayah</t>
  </si>
  <si>
    <t>*User dapat melihat data monitoring Valas Wilayah</t>
  </si>
  <si>
    <t>SCS0025 - Monitoring GAP_20220609-113334314.pdf</t>
  </si>
  <si>
    <t>SCS0025 - Monitoring GAP_20220630-142307806.pdf</t>
  </si>
  <si>
    <t>SCS0026</t>
  </si>
  <si>
    <t>SSK-28</t>
  </si>
  <si>
    <t xml:space="preserve">User Wilayah Melakukan Monitoring GAP Cabang Non Koordinator </t>
  </si>
  <si>
    <t>User Wilayah Melakukan Monitoring GAP Cabang Non Koordinator di Menu Monitoring Valas
 –&gt; Valas Cabang Non Koordinator</t>
  </si>
  <si>
    <t>- Klik Menu Monitoring Valas
 - Klik Sub Menu Valas Cabang Non koordinator
 - Jika Ingin Filter Tanggal &amp; Jam Input Tanggal dan Jam
 - Klik Search</t>
  </si>
  <si>
    <t>*User dapat melihat data monitoring Valas Cabang Non koordinator</t>
  </si>
  <si>
    <t>SCS0026 - Monitoring GAP_20220609-114718883.pdf</t>
  </si>
  <si>
    <t>SCS0026 - Monitoring GAP_20220630-142513712.pdf</t>
  </si>
  <si>
    <t>SCS0027</t>
  </si>
  <si>
    <t>SSK-29</t>
  </si>
  <si>
    <t xml:space="preserve">User Cabang melakukan login </t>
  </si>
  <si>
    <t>User Cabang melakukan login pada Aplikasi SISKA</t>
  </si>
  <si>
    <t>SCS0027 - User Cabang Login_20220603-160217274.pdf</t>
  </si>
  <si>
    <t>SCS0027 - User Cabang Login_20220630-142757873.pdf</t>
  </si>
  <si>
    <t>SCS0028</t>
  </si>
  <si>
    <t>SSK-30</t>
  </si>
  <si>
    <t xml:space="preserve">User Cabang Melakukan Edit Profile </t>
  </si>
  <si>
    <t>User Cabang Melakukan Edit Profile Pada Menu Home –&gt; Edit Profile</t>
  </si>
  <si>
    <t>SCS0028 - Cabang Edit Profile_20220606-105801504.pdf</t>
  </si>
  <si>
    <t>SCS0028 - Edit Profile_20220630-143022538.pdf</t>
  </si>
  <si>
    <t>SCS0029</t>
  </si>
  <si>
    <t>SSK-31</t>
  </si>
  <si>
    <t xml:space="preserve">User Cabang Melakukan Monitoring GAP Cabang Koordinator </t>
  </si>
  <si>
    <t>User Cabang Melakukan Monitoring GAP Cabang Koordinator di Menu Monitoring Valas
 –&gt; Valas Cabang Koordinator</t>
  </si>
  <si>
    <t>SCS0029 - Monitoring GAP_20220610-113030119.pdf</t>
  </si>
  <si>
    <t>SCS0029 - Monitoring GAP_20220630-153414756.pdf</t>
  </si>
  <si>
    <t>SCS0030</t>
  </si>
  <si>
    <t>SSK-32</t>
  </si>
  <si>
    <t xml:space="preserve">User Cabang Melakukan Monitoring GAP Cabang Non Koordinator </t>
  </si>
  <si>
    <t>SCS0030 - Monitoring GAP_20220610-114430303.pdf</t>
  </si>
  <si>
    <t>SCS0030 - Monitoring GAP_20220630-153627658.pdf</t>
  </si>
  <si>
    <t>SCS0031</t>
  </si>
  <si>
    <t>SSK-33</t>
  </si>
  <si>
    <t>Menjalankan catjob extract_atm_crm_replenish_ valas</t>
  </si>
  <si>
    <t>- Lakukan perintah cd $cat
 - Masukkan perintah extract_atm_crm_replenish_ valas
 - cek output di $spool</t>
  </si>
  <si>
    <t>Catjob berhasil</t>
  </si>
  <si>
    <t>*note: pending d karenakan UFT tidak bisa record remote desktop</t>
  </si>
  <si>
    <t>SCS0032</t>
  </si>
  <si>
    <t>SSK-34</t>
  </si>
  <si>
    <t>Menjalankan job ekstract data valas</t>
  </si>
  <si>
    <t>- Akses server siska
 - Salin file yang didapat dari catjob di D:\Siska\RawDataValas
 - Jalankan ConsoleLoadDataValas.exe di D:\Console\ ConsoleLoadDataValas</t>
  </si>
  <si>
    <t>Data berhasil di ekstract</t>
  </si>
  <si>
    <t>SCS0033</t>
  </si>
  <si>
    <t>SSK-35</t>
  </si>
  <si>
    <t>Penambahan systemid (SOA)</t>
  </si>
  <si>
    <r>
      <rPr>
        <sz val="9"/>
        <rFont val="Arial, sans-serif"/>
      </rPr>
      <t xml:space="preserve">- Buka postman
 - Masukkan endpoint </t>
    </r>
    <r>
      <rPr>
        <u/>
        <sz val="9"/>
        <color rgb="FF1155CC"/>
        <rFont val="Arial, sans-serif"/>
      </rPr>
      <t>http://192.168.143.61:57004/ CoreService</t>
    </r>
    <r>
      <rPr>
        <sz val="9"/>
        <rFont val="Arial, sans-serif"/>
      </rPr>
      <t xml:space="preserve">
 - Ganti metode menjadi POST
 - Masuk ke body, Ganti menjadi raw dan xml
 Masukkan request didalam raw</t>
    </r>
  </si>
  <si>
    <t>Data berhasil terupload</t>
  </si>
  <si>
    <t>SCS0034</t>
  </si>
  <si>
    <t>SSK-36</t>
  </si>
  <si>
    <t>Menjalankan job service get rate</t>
  </si>
  <si>
    <t>- Buka task scheduler
 - Buat task scheduler baru dengan menjalankan consoleGetRate.exe</t>
  </si>
  <si>
    <t>Response SOA di table NominalRate</t>
  </si>
  <si>
    <t>SCS0035</t>
  </si>
  <si>
    <t>SSK-37</t>
  </si>
  <si>
    <t>Notifikasi GAP via Email (Over/Under Pagu dan Pagu kembali normal)</t>
  </si>
  <si>
    <t>- Akses server siska
 - Buat task scheduler baru untuk menjalankan notifikasi email setiap 1 jam sekali</t>
  </si>
  <si>
    <t>Notifikasi email berhasil terkirim</t>
  </si>
  <si>
    <t>SCS0036</t>
  </si>
  <si>
    <t>SSK-38</t>
  </si>
  <si>
    <t xml:space="preserve">User Divisi , User Wilayah &amp; User cabang melakukan login </t>
  </si>
  <si>
    <t>User Divisi , User Wilayah &amp; User cabang melakukan login pada Aplikasi SISKA</t>
  </si>
  <si>
    <t>- Akses Url ‘siska.bni.co.id’
 - Input NPP &amp; Password Webmail yang salah</t>
  </si>
  <si>
    <t>*Login Gagal
 *Muncul Alert Notifikasi Gagal Login</t>
  </si>
  <si>
    <t>SCS0036 - User Gagal Login_20220607-105234287.pdf</t>
  </si>
  <si>
    <t>SCS0036 - Abnormal Login_20220701-102722696.pdf</t>
  </si>
  <si>
    <t>SCS0037</t>
  </si>
  <si>
    <t>SSK-39</t>
  </si>
  <si>
    <t xml:space="preserve">User Divisi Melakukan Add data unit yang sudah ada disistem Pagu Valas Koor </t>
  </si>
  <si>
    <t>User Divisi Melakukan Add data unit yang sudah ada disistem Pagu Valas Koor di Menu Data Master 
 –&gt; Pagu Valas Koor</t>
  </si>
  <si>
    <t>- Klik Menu Data Master
 - Klik Sub Menu Pagu Valas Koor
 - Klik Tombol ‘Add’
 - Pilih Dropdown Cabang
 - Input Nominal Dalam USD
 - Input Nominal Dalam SGD
 - Input Nominal selain USD dan SGD
 - Klik Simpan</t>
  </si>
  <si>
    <t>*User Gagal input data
 *Muncul Alert Notifikasi data tidak dapat diinput karna sudah tersedia disistem</t>
  </si>
  <si>
    <t>SCS0037 - Abnormal Add Data_20220616-140333615.pdf</t>
  </si>
  <si>
    <t>SCS0037 - Abnormal Add Data_20220701-110801202.pdf</t>
  </si>
  <si>
    <t>SCS0038</t>
  </si>
  <si>
    <t>SSK-40</t>
  </si>
  <si>
    <t>User Divisi Melakukan Upload File Format yang tidak sesuai</t>
  </si>
  <si>
    <t>User Divisi Melakukan Upload File Format yang tidak sesuai di Menu Data Master 
 –&gt; Pagu Valas Koor</t>
  </si>
  <si>
    <t>SCS0038 - Abnormal_UploadFile_20220621-092224118.pdf</t>
  </si>
  <si>
    <t>SCS0038 - Abnormal Upload File_20220701-154009462.pdf</t>
  </si>
  <si>
    <t>SCS0039</t>
  </si>
  <si>
    <t>SSK-41</t>
  </si>
  <si>
    <t xml:space="preserve">User Divisi Melakukan Add data unit yang sudah ada disistem Pagu Valas Non Koor </t>
  </si>
  <si>
    <t>User Divisi Melakukan Add data unit yang sudah ada disistem Pagu Valas Non Koor di Menu Data Master 
 –&gt; Pagu Valas Non Koor</t>
  </si>
  <si>
    <t>SCS0039 - Abnormal Add Data_20220616-134807395</t>
  </si>
  <si>
    <t>SCS0039 - Abnormal Add Data_20220701-113113711.pdf</t>
  </si>
  <si>
    <t>SCS0040</t>
  </si>
  <si>
    <t>SSK-42</t>
  </si>
  <si>
    <t xml:space="preserve">User Divisi Melakukan Upload File Format yang tidak sesuai </t>
  </si>
  <si>
    <t>User Divisi Melakukan Upload File Format yang tidak sesuai di Menu Data Master 
 –&gt; Pagu Valas Non Koor</t>
  </si>
  <si>
    <t>SCS0040-Abnrml_UpldValasNonKoor_20220621-094525707.pdf</t>
  </si>
  <si>
    <t>SCS0040-Abnrml_UpldValasNonKoor_20220701-153659819.pdf</t>
  </si>
  <si>
    <t>SCS0041</t>
  </si>
  <si>
    <t>SSK-43</t>
  </si>
  <si>
    <t>User Divisi Melakukan Upload data pagu Valas Koor untuk edit data</t>
  </si>
  <si>
    <t>User Divisi Melakukan Upload data pagu Valas Koor untuk edit data di Menu Data Master –&gt; Pagu Valas Koor</t>
  </si>
  <si>
    <t>- Klik Menu Data Master
- Klik Sub Menu Pagu Valas Koor
- Klik Tombol ‘Upload File’
- Pilih File Excel yang akan diupload
- Klik Tombol ‘Open’
- Klik Tombol Ok</t>
  </si>
  <si>
    <t>*User Berhasil Upload File Data Pagu Valas disistem</t>
  </si>
  <si>
    <t>SCS0041-UploadFileUntukEditData_20220621-101451837.pdf</t>
  </si>
  <si>
    <t>SCS0041 - Upload File Edit Data_20220701-165025706.pdf</t>
  </si>
  <si>
    <t>SCS0042</t>
  </si>
  <si>
    <t>SSK-44</t>
  </si>
  <si>
    <t>User Divisi Melakukan Upload data pagu Valas Non Koor untuk edit data</t>
  </si>
  <si>
    <t>User Divisi Melakukan Upload data pagu Valas Non Koor untuk edit data di Menu Data Master –&gt; Pagu Valas Non Koor</t>
  </si>
  <si>
    <t>- Klik Menu Data Master
- Klik Sub Menu Pagu Valas Non Koor
- Klik Tombol ‘Upload File’
- Pilih File Excel yang akan diupload
- Klik Tombol ‘Open’
- Klik Tombol Ok</t>
  </si>
  <si>
    <t>SCS0042-UpldFileUntukEditData_20220621-105547584.pdf</t>
  </si>
  <si>
    <t>SCS0042-UpldFileUntukEditData_20220701-160857621.pdf</t>
  </si>
  <si>
    <t>SCS0043</t>
  </si>
  <si>
    <t>SSK-45</t>
  </si>
  <si>
    <t>Perubahan nama menu</t>
  </si>
  <si>
    <t>Perubahan nama menu (Monitoring Kas -&gt; Monitoring IDR, Monitoring Valas -&gt; Monitoring UKA)</t>
  </si>
  <si>
    <t>Perubahan nama menu:
- Monitoring KAS menjadi Monitoring IDR
- Monitoring Valas menjadi Monitoring UKA</t>
  </si>
  <si>
    <t>Nama menu sudah sesuai</t>
  </si>
  <si>
    <t>SCS0043 - Perubahan Nama Menu_20220621-112840334.pdf</t>
  </si>
  <si>
    <t>SCS0043 - Perubahan Nama Menu_20220701-161622436.pdf</t>
  </si>
  <si>
    <t>SCS0044</t>
  </si>
  <si>
    <t>SSK-46</t>
  </si>
  <si>
    <t>User Divisi Melakukan Add data pagu KAS ATM</t>
  </si>
  <si>
    <t>User Divisi Melakukan Add data pagu KAS ATM di Menu Data Master 
 –&gt; Pagu ATM</t>
  </si>
  <si>
    <t>- Klik Menu Data Master
 - Klik Sub Menu ATM
 - Klik Tombol ‘Add’
 - Input Tanggal Awal
 - Input Tanggal Akhir
 - Pilih Dropdown Jenis Pagu
 - Pilih Dropdown Wilayah
 - Input Nominal PaguKas
 - Input Deskripsi
 - Klik Simpan</t>
  </si>
  <si>
    <t>*User Berhasil Add Data Pagu Kas ATM disistem</t>
  </si>
  <si>
    <t>SCS0044 - Add Pagu ATM_20220621-091817233.pdf</t>
  </si>
  <si>
    <t>SCS0044 - Add Pagu ATM_20220701-130326107.pdf</t>
  </si>
  <si>
    <t>SCS0045</t>
  </si>
  <si>
    <t>SSK-47</t>
  </si>
  <si>
    <t>User Divisi Melakukan Update data pagu KAS ATM</t>
  </si>
  <si>
    <t>User Divisi Melakukan Update data pagu KAS ATM di Menu Data Master 
 –&gt; Pagu ATM</t>
  </si>
  <si>
    <t>- Klik Menu Data Master
 - Klik Sub Menu Pagu ATM
 - Klik Tombol ‘Add’
 - Input Tanggal Awal
 - Input Tanggal Akhir
 - Pilih Dropdown Jenis Pagu
 - Pilih Dropdown Wilayah
 - Input Nominal PaguKas
 - Input Deskripsi
 - Klik Simpan</t>
  </si>
  <si>
    <t>*User Berhasil Update Data Pagu ATM disistem</t>
  </si>
  <si>
    <t>SCS0045 - Update Pagu ATM_20220621-103717009.pdf</t>
  </si>
  <si>
    <t>SCS0045 - Update Pagu ATM_20220701-140838125.pdf</t>
  </si>
  <si>
    <t>SCS0046</t>
  </si>
  <si>
    <t>SSK-48</t>
  </si>
  <si>
    <t>User Divisi Melakukan Delete data pagu KAS ATM</t>
  </si>
  <si>
    <t>User Divisi Melakukan Delete data pagu KAS ATM di Menu Data Master 
 –&gt; Pagu ATM</t>
  </si>
  <si>
    <t>- Klik Menu Data Master
 - Klik Sub Menu Pagu ATM
 - Klik salah satu data yang akan dihapus
 - Klik Tombol ‘Delete’
 - Klik Tombol ‘Yes’</t>
  </si>
  <si>
    <t>SCS0046 - Delete Pagu ATM_20220621-111320341.pdf</t>
  </si>
  <si>
    <t>SCS0046 - Delete Pagu ATM_20220704-093117732.pdf</t>
  </si>
  <si>
    <t>SCS0047</t>
  </si>
  <si>
    <t>SSK-49</t>
  </si>
  <si>
    <t>User Divisi Melakukan Upload data pagu KAS ATM</t>
  </si>
  <si>
    <t>User Divisi Melakukan Upload data pagu KAS ATM di Menu Data Master 
 –&gt; Pagu ATM</t>
  </si>
  <si>
    <t>- Klik Menu Data Master
 - Klik Sub Menu Pagu ATM
 - Klik Tombol ‘Upload File’
 - Pilih File Excel yang akan diupload
 - Klik Tombol ‘Open’
 - Klik Tombol Ok</t>
  </si>
  <si>
    <t>SCS0047 - Upload Pagu ATM_20220622-110143568.pdf</t>
  </si>
  <si>
    <t>SCS0047 - Upload Pagu ATM_20220704-112236980.pdf</t>
  </si>
  <si>
    <t>SCS0048</t>
  </si>
  <si>
    <t>SSK-50</t>
  </si>
  <si>
    <t>User Divisi Melakukan Download data pagu KAS ATM</t>
  </si>
  <si>
    <t>User Divisi Melakukan Download data pagu KAS ATM di Menu Data Master 
 –&gt; Pagu ATM</t>
  </si>
  <si>
    <t>- Klik Menu Data Master
 - Klik Sub Menu Pagu ATM
 - Klik Tombol ‘Download Data Pagu’
 - Klik Tombol Ok</t>
  </si>
  <si>
    <t>SCS0048-DownloadPaguKasATM_20220622-091106502.pdf</t>
  </si>
  <si>
    <t>SCS0048 - Download Pagu ATM_20220704-145612851.pdf</t>
  </si>
  <si>
    <t>SCS0049</t>
  </si>
  <si>
    <t>SSK-51</t>
  </si>
  <si>
    <t>User Divisi melihat history pagu KAS ATM</t>
  </si>
  <si>
    <t>User Divisi melihat history pagu KAS ATM di Menu Data Master 
 –&gt; Pagu ATM</t>
  </si>
  <si>
    <t>- Klik Menu Data Master
 - Klik Sub Menu Pagu ATM
 - Klik Tab ‘History Master Pagu ATM’
 - Klik Tombol Ok</t>
  </si>
  <si>
    <t>*User dapat melihat History Pagu ATM</t>
  </si>
  <si>
    <t>SCS0049 - History Pagu ATM_20220615-091321056.pdf</t>
  </si>
  <si>
    <t>SCS0049 - History Pagu ATM_20220704-112819080.pdf</t>
  </si>
  <si>
    <t>SCS0050</t>
  </si>
  <si>
    <t>SSK-52</t>
  </si>
  <si>
    <t>User Divisi Melakukan Update Alert Parameter pagu KAS ATM</t>
  </si>
  <si>
    <t>User Divisi Melakukan Update Alert Parameter pagu KAS ATM di Menu Parameter SISKA 
 –&gt; Alert Parameter</t>
  </si>
  <si>
    <t>- Klik Menu Parameter SISKA
 - Klik Sub Menu Alert Parameter
 - Klik Salah satu data yang akan diupdate
 - Klik Tombol ‘update’
 - Input Nilai Batas Atas
 - Input Nilai Batas Bawah
 - Klik Tombol Simpan</t>
  </si>
  <si>
    <t>*User berhasil update data alert pagu KAS ATM</t>
  </si>
  <si>
    <t>SCS0050 - Update Alert_20220615-104518280.pdf</t>
  </si>
  <si>
    <t>SCS0050 - Update Alert_20220704-120247462.pdf</t>
  </si>
  <si>
    <t>SCS0051</t>
  </si>
  <si>
    <t>SSK-53</t>
  </si>
  <si>
    <t>User Divisi Melakukan Add Email Format pagu ATM</t>
  </si>
  <si>
    <t>User Divisi Melakukan Add Email Format pagu ATM di Menu Parameter SISKA 
 –&gt; Email Format</t>
  </si>
  <si>
    <t>- Klik Menu Parameter SISKA
 - Klik Sub Menu Email Format
 - Klik Tombol ‘Add’
 - Input Subject
 - Pilih Dropdown ‘EmailForOverUnderPagu
 - Pilih Dropdown ‘PaguType’
 - Input form Content
 - Klik Tombol Simpan</t>
  </si>
  <si>
    <t>*User berhasil Add data email format pagu ATM disistem</t>
  </si>
  <si>
    <t>SCS0051-AddEmailFormatPaguATM_20220623-104045727.pdf</t>
  </si>
  <si>
    <t>SCS0051 - Add Email Format_20220704-133233915.pdf</t>
  </si>
  <si>
    <t>SCS0052</t>
  </si>
  <si>
    <t>SSK-54</t>
  </si>
  <si>
    <t>User Divisi Melakukan Update Email Format pagu ATM</t>
  </si>
  <si>
    <t>User Divisi Melakukan Update Email Format pagu ATM di Menu Parameter SISKA 
 –&gt; Email Format</t>
  </si>
  <si>
    <t>- Klik Menu Parameter SISKA
 - Klik Sub Menu Email Format
 - Pilih salah satu data yang akan diupdate
 - Klik Tombol ‘update’
 - Input Subject
 - Pilih Dropdown ‘EmailForOverUnderPagu
 - Pilih Dropdown ‘PaguType’
 - Input form Content
 - Klik Tombol Simpan</t>
  </si>
  <si>
    <t>*User berhasil Update data email format pagu ATM disistem</t>
  </si>
  <si>
    <t>SCS0052-UpdateEmailFormatPagu_20220623-111436161.pdf</t>
  </si>
  <si>
    <t>SCS0052 - Update Email Format_20220704-140158227.pdf</t>
  </si>
  <si>
    <t>SCS0053</t>
  </si>
  <si>
    <t>SSK-55</t>
  </si>
  <si>
    <t>User Divisi Melakukan Delete data Email Format pagu KAS</t>
  </si>
  <si>
    <t>User Divisi Melakukan Delete data Email Format pagu KAS di Menu Parameter SISKA 
 –&gt; Email Format</t>
  </si>
  <si>
    <t>- Klik Menu Parameter SISKA
 - Klik Sub Menu Email Format
 - Pilih salah satu data yang akan dihapus
 - Klik Tombol ‘delete’
 - Klik Tombol ‘Yes’</t>
  </si>
  <si>
    <t>*User berhasil delete data email format disistem</t>
  </si>
  <si>
    <t>SCS0053-DeleteEmailFormat_20220623-131310074.pdf</t>
  </si>
  <si>
    <t>SCS0053 - Delete Email Format_20220704-141757695.pdf</t>
  </si>
  <si>
    <t>SCS0054</t>
  </si>
  <si>
    <t>SSK-56</t>
  </si>
  <si>
    <t>User Divisi Melakukan Monitoring Pagu Kas ATM Wilayah</t>
  </si>
  <si>
    <t>User Divisi Melakukan Monitoring Pagu Kas ATM Wilayah di Menu Monitoring ATM, Replenish dan CRM
 –&gt; Wilayah</t>
  </si>
  <si>
    <t>- Klik Menu Monitoring ATM, Replenish dan CRM
 - Klik Sub Menu Wilayah
 - Jika Ingin Filter Tanggal &amp; Jam Input Tanggal dan Jam
 - Klik Search</t>
  </si>
  <si>
    <t>*User dapat melihat data monitoring Pagu Kas ATM, Replenish dan CRM pada Wilayah</t>
  </si>
  <si>
    <t>SCS0054 - Monitoring Pagu Kas_20220615-113002318.pdf</t>
  </si>
  <si>
    <t>SCS0054 - Monitoring Pagu Kas_20220704-091401500.pdf</t>
  </si>
  <si>
    <t>SCS0055</t>
  </si>
  <si>
    <t>SSK-57</t>
  </si>
  <si>
    <t>User Divisi Melakukan Download Monitoring Pagu Kas ATM Wilayah</t>
  </si>
  <si>
    <t>User Divisi Melakukan Download Monitoring Pagu Kas ATM Wilayah di Menu Monitoring ATM, Replenish dan CRM
 –&gt; Wilayah</t>
  </si>
  <si>
    <t>- Klik Menu Monitoring ATM, Replenish dan CRM
 - Klik Sub Menu Wilayah
 - Jika Ingin Filter Tanggal &amp; Jam Input Tanggal dan Jam
 - Klik Search
 - Klik Download</t>
  </si>
  <si>
    <t>*User dapat download data monitoring Pagu Kas ATM, Replenish dan CRM pada Wilayah</t>
  </si>
  <si>
    <t>SCS0055 - Download Pagu Wilayah_20220623-123920478.pdf</t>
  </si>
  <si>
    <t>SCS0055 - Download Pagu Wilayah_20220704-085401428.pdf</t>
  </si>
  <si>
    <t>SCS0056</t>
  </si>
  <si>
    <t>SSK-58</t>
  </si>
  <si>
    <t>User Divisi Melakukan Monitoring Pagu Kas ATM Wilayah di Menu Monitoring ATM, Replenish dan CRM
 –&gt; Cabang</t>
  </si>
  <si>
    <t>- Klik Menu Monitoring ATM, Replenish dan CRM
 - Klik Sub Menu Cabang
 - Jika Ingin Filter Tanggal &amp; Jam Input Tanggal dan Jam
 - Klik Search</t>
  </si>
  <si>
    <t>*User dapat melihat data monitoring Pagu Kas ATM, Replenish dan CRM pada Cabang</t>
  </si>
  <si>
    <t>SCS0056 - Monitoring Pagu Kas_20220620-093342692.pdf</t>
  </si>
  <si>
    <t>SCS0056 - Monitoring Pagu Kas_20220704-085712758.pdf</t>
  </si>
  <si>
    <t>SCS0057</t>
  </si>
  <si>
    <t>SSK-59</t>
  </si>
  <si>
    <t>User Divisi Melakukan Download Monitoring Pagu Kas ATM Wilayah di Menu Monitoring ATM, Replenish dan CRM
 –&gt; Cabang</t>
  </si>
  <si>
    <t>- Klik Menu Monitoring ATM, Replenish dan CRM
 - Klik Sub Menu Cabang
 - Jika Ingin Filter Tanggal &amp; Jam Input Tanggal dan Jam
 - Klik Search
 - Klik Download</t>
  </si>
  <si>
    <t>*User dapat download data monitoring Pagu Kas ATM, Replenish dan CRM pada Cabang</t>
  </si>
  <si>
    <t>SCS0057 - Download Pagu Cabang_20220623-151713609.pdf</t>
  </si>
  <si>
    <t>SCS0057 - Download Pagu Cabang_20220704-091926435.pdf</t>
  </si>
  <si>
    <t>SCS0058</t>
  </si>
  <si>
    <t>SSK-60</t>
  </si>
  <si>
    <t>User Divisi Melakukan Monitoring Pagu Kas ATM Wilayah di Menu Monitoring ATM, Replenish dan CRM
 –&gt; Kantor Pusat</t>
  </si>
  <si>
    <t>- Klik Menu Monitoring ATM, Replenish dan CRM
 - Klik Sub Menu Kantor Pusat
 - Jika Ingin Filter Tanggal &amp; Jam Input Tanggal dan Jam
 - Klik Search</t>
  </si>
  <si>
    <t>*User dapat melihat data monitoring Pagu Kas ATM, Replenish dan CRM pada Kantor Pusat</t>
  </si>
  <si>
    <t>SCS0058 - Monitoring Pagu Kas_20220620-093530583.pdf</t>
  </si>
  <si>
    <t>SCS0058 - Monitoring Pagu Kas_20220704-092233594.pdf</t>
  </si>
  <si>
    <t>SCS0059</t>
  </si>
  <si>
    <t>SSK-61</t>
  </si>
  <si>
    <t>User Divisi Melakukan Download Monitoring Pagu Kas ATM Wilayah di Menu Monitoring ATM, Replenish dan CRM
 –&gt; Kantor Pusat</t>
  </si>
  <si>
    <t>- Klik Menu Monitoring ATM, Replenish dan CRM
 - Klik Sub Menu Kantor Pusat
 - Jika Ingin Filter Tanggal &amp; Jam Input Tanggal dan Jam
 - Klik Search
 - Klik Download</t>
  </si>
  <si>
    <t>*User dapat download data monitoring Pagu Kas ATM, Replenish dan CRM pada Kantor Pusat</t>
  </si>
  <si>
    <t>SCS0059 - Download K. Pusat_20220623-151947640.pdf</t>
  </si>
  <si>
    <t>SCS0059 - Download K. Pusat_20220704-134725182.pdf</t>
  </si>
  <si>
    <t>SCS0060</t>
  </si>
  <si>
    <t>SSK-62</t>
  </si>
  <si>
    <t>User Wilayah Melakukan Monitoring Pagu Kas ATM Wilayah</t>
  </si>
  <si>
    <t>User Wilayah Melakukan Monitoring Pagu Kas ATM Wilayah di Menu Monitoring ATM, Replenish dan CRM
 –&gt; Wilayah</t>
  </si>
  <si>
    <t>SCS0060 - Monitoring Pagu Kas_20220620-095548970.pdf</t>
  </si>
  <si>
    <t>SCS0060 - Monitoring Pagu Kas_20220704-150242369.pdf</t>
  </si>
  <si>
    <t>SCS0061</t>
  </si>
  <si>
    <t>SSK-63</t>
  </si>
  <si>
    <t>User Wilayah Melakukan Download Monitoring Pagu Kas ATM Wilayah</t>
  </si>
  <si>
    <t>User Wilayah Melakukan Download Monitoring Pagu Kas ATM Wilayah di Menu Monitoring ATM, Replenish dan CRM
 –&gt; Wilayah</t>
  </si>
  <si>
    <t>SCS0061 - Download Pagu Wilayah_20220623-151005213.pdf</t>
  </si>
  <si>
    <t>SCS0061 - Download Pagu Wilayah_20220704-152208627.pdf</t>
  </si>
  <si>
    <t>SCS0062</t>
  </si>
  <si>
    <t>SSK-64</t>
  </si>
  <si>
    <t>User Wilayah Melakukan Monitoring Pagu Kas ATM Wilayah di Menu Monitoring ATM, Replenish dan CRM
 –&gt; Cabang</t>
  </si>
  <si>
    <t>SCS0062 - Monitoring Pagu Kas_20220620-100759857.pdf</t>
  </si>
  <si>
    <t>SCS0062 - Monitoring Pagu Kas_20220704-152649350.pdf</t>
  </si>
  <si>
    <t>SCS0063</t>
  </si>
  <si>
    <t>SSK-65</t>
  </si>
  <si>
    <t>User Wilayah Melakukan Download Monitoring Pagu Kas ATM Wilayah di Menu Monitoring ATM, Replenish dan CRM
 –&gt; Cabang</t>
  </si>
  <si>
    <t>SCS0063 - Download Pagu Cabang_20220623-152916408.pdf</t>
  </si>
  <si>
    <t>SCS0063 - Download Pagu Cabang_20220704-153128422.pdf</t>
  </si>
  <si>
    <t>SCS0064</t>
  </si>
  <si>
    <t>SSK-66</t>
  </si>
  <si>
    <t>User Cabang Melakukan Monitoring Pagu Kas ATM Wilayah</t>
  </si>
  <si>
    <t>User Cabang Melakukan Monitoring Pagu Kas ATM Wilayah di Menu Monitoring ATM, Replenish dan CRM
 –&gt; Cabang</t>
  </si>
  <si>
    <t>SCS0064 - Monitoring Pagu Kas_20220620-101401443.pdf</t>
  </si>
  <si>
    <t>SCS0064 - Monitoring Pagu Kas_20220704-154253672.pdf</t>
  </si>
  <si>
    <t>SCS0065</t>
  </si>
  <si>
    <t>SSK-67</t>
  </si>
  <si>
    <t>User Cabang Melakukan Download Monitoring Pagu Kas ATM Wilayah</t>
  </si>
  <si>
    <t>User Cabang Melakukan Download Monitoring Pagu Kas ATM Wilayah di Menu Monitoring ATM, Replenish dan CRM
 –&gt; Cabang</t>
  </si>
  <si>
    <t>SCS0065 - Download Pagu Cabang_20220623-153618061.pdf</t>
  </si>
  <si>
    <t>SCS0065 - Download Pagu Cabang_20220704-154644519.pdf</t>
  </si>
  <si>
    <t>SCS0066</t>
  </si>
  <si>
    <t>SSK-68</t>
  </si>
  <si>
    <t>Menjalankan catjob extract_atm_crm_replenish</t>
  </si>
  <si>
    <t>- Lakukan perintah cd $cat
 - Masukkan perintah extract_atm_crm_replenish
 - cek output di $spool</t>
  </si>
  <si>
    <t>SCS0067</t>
  </si>
  <si>
    <t>SSK-69</t>
  </si>
  <si>
    <t>Menjalankan job ekstract data atm crm replenish</t>
  </si>
  <si>
    <t>- Akses server siska
 - Salin file yang didapat dari catjob di D:\Siska\RawDataATM
 - Jalankan ConsoleLoadDataATM.exe di D:\Console\ ConsoleLoadDataATM</t>
  </si>
  <si>
    <t>SCS0068</t>
  </si>
  <si>
    <t>SSK-70</t>
  </si>
  <si>
    <t>Notifikasi email untuk pagu atm/crm/replenish</t>
  </si>
  <si>
    <t>- Akses server siska
 - Buat task scheduler baru untuk menjalankan notifikasi email setiap 2 jam sekali</t>
  </si>
  <si>
    <t>SCS0069</t>
  </si>
  <si>
    <t>SSK-71</t>
  </si>
  <si>
    <t>User Divisi Melakukan Add data unit yang sudah ada disistem pagu KAS</t>
  </si>
  <si>
    <t>User Divisi Melakukan Add data unit yang sudah ada disistem pagu KAS di Menu Data Master 
 –&gt; Pagu Kas</t>
  </si>
  <si>
    <t>- Klik Menu Data Master
 - Klik Sub Menu Pagu Kas
 - Klik Tombol ‘Add’
 - Pilih Dropdown Tipe Unit yang sudah ada disistem
 - Pilih Dropdown Unit yang sudah ada disistem
 - Input Tanggal Pagu
 - Input Nominal PaguKas
 - Klik Simpan</t>
  </si>
  <si>
    <t>SCS0069 - Abnormal Add Data_20220614-120227149.pdf</t>
  </si>
  <si>
    <t>05 Juli 2022</t>
  </si>
  <si>
    <t>SCS0069 - Abnormal Add Data_20220705-145916643.pdf</t>
  </si>
  <si>
    <t>SCS0070</t>
  </si>
  <si>
    <t>SSK-72</t>
  </si>
  <si>
    <t>User Divisi Melakukan Upload File Format yang tidak sesuai di Menu Data Master 
 –&gt; Pagu Kas</t>
  </si>
  <si>
    <t>*User gagal upload file
 *Muncul alert notifikasi file tidak dapat diupload karna format file tidak sesuai</t>
  </si>
  <si>
    <t>SCS0070-AbnrmalUploadPaguKas_20220624-102632385.pdf</t>
  </si>
  <si>
    <t>SCS0070-AbnrmalUploadPaguKas_20220705-144816164.pdf</t>
  </si>
  <si>
    <t>SCS0071</t>
  </si>
  <si>
    <t>SSK-73</t>
  </si>
  <si>
    <t>User Divisi Melakukan Add data unit yang sudah ada disistem pagu KAS ATM</t>
  </si>
  <si>
    <t>User Divisi Melakukan Add data unit yang sudah ada disistem pagu KAS ATM di Menu Data Master 
 –&gt; Pagu ATM</t>
  </si>
  <si>
    <t>SCS0071 - Abnormal Add Data_20220614-125847158.pdf</t>
  </si>
  <si>
    <t>SCS0071 - Abnormal Add Data_20220705-150123698.pdf</t>
  </si>
  <si>
    <t>SCS0072</t>
  </si>
  <si>
    <t>SSK-74</t>
  </si>
  <si>
    <t>User Divisi Melakukan Upload File Format yang tidak sesuai di Menu Data Master 
 –&gt; Pagu ATM</t>
  </si>
  <si>
    <t>SCS0072-AbnrmalUploadPaguATM_20220624-103037223.pdf</t>
  </si>
  <si>
    <t>SCS0072-AbnrmalUploadPaguATM_20220705-150708876.pdf</t>
  </si>
  <si>
    <t>SCS0073</t>
  </si>
  <si>
    <t>SSK-75</t>
  </si>
  <si>
    <t>User Divisi Melakukan Tambah data pagu atm dengan beberapa kondisi</t>
  </si>
  <si>
    <t>*Tambah data pagu ATM dapat dilakukan jika:
 - data tidak duplikat
 - Jenis pagu dan wilayah sama. Tapi dekripsi berbeda dan tanggal yang dimasukkan berada diantara tanggal yang sudah ada di data pagu
 *Tambah data pagu ATM tidak dapat dilakukan jika:
 - data duplikat
 - Jenis pagu, wilayah, dan deskripsi sama. Tapi tanggal awal yang dimasukkan &gt;= tanggal awal yang sudah ada di data pagu ATM dan tanggal akhir &lt;= tanggal yang sudah ada di data pagu ATM</t>
  </si>
  <si>
    <t>SCS0073 - UserDivisiAddPaguATM_20220624-150838740.pdf</t>
  </si>
  <si>
    <t>SCS0073 - UserDivisiAddPaguATM_20220705-152329476.pdf</t>
  </si>
  <si>
    <t>SCS0074</t>
  </si>
  <si>
    <t>SSK-76</t>
  </si>
  <si>
    <t>Data Saldo Kas</t>
  </si>
  <si>
    <t>Execute SP_Cleasing</t>
  </si>
  <si>
    <t>- Execute SP_Cleasing</t>
  </si>
  <si>
    <t>Berhasil Execute SP_Cleasing</t>
  </si>
  <si>
    <t>SSK-77</t>
  </si>
  <si>
    <t>Rename semua ext file text pada direktory ‘raw data’ menjadi .dat</t>
  </si>
  <si>
    <t>- Rename semua ext file text pada direktory ‘raw data’ menjadi .dat</t>
  </si>
  <si>
    <t>Berhasil Rename semua ext file text pada direktory ‘raw data’ menjadi .dat</t>
  </si>
  <si>
    <t>SSK-78</t>
  </si>
  <si>
    <t>Jalankan file exe di diretory ‘console Load data’</t>
  </si>
  <si>
    <t>- Jalankan file exe di diretory ‘console Load data’</t>
  </si>
  <si>
    <t>Berhasil Jalankan file exe di diretory ‘console Load data’</t>
  </si>
  <si>
    <t>SCS0075</t>
  </si>
  <si>
    <t>SSK-79</t>
  </si>
  <si>
    <t>Parameter SISKA</t>
  </si>
  <si>
    <t>Email Parameter</t>
  </si>
  <si>
    <t>- Email Notif Levels: CABANG</t>
  </si>
  <si>
    <t>Berhasil menampilkan Email Notif Levels: CABANG</t>
  </si>
  <si>
    <t>SCS0074 - Menampilkan Parameter_20220627-103127363.pdf</t>
  </si>
  <si>
    <t>SCS0075 - Menampilkan Parameter_20220705-153203199.pdf</t>
  </si>
  <si>
    <t>SSK-80</t>
  </si>
  <si>
    <t>- Email Notif Levels: OUTLET</t>
  </si>
  <si>
    <t>Berhasil menampilkan Email Notif Levels: OUTLET</t>
  </si>
  <si>
    <t>SCS0074 - Menampilkan Parameter_20220627-103246110.pdf</t>
  </si>
  <si>
    <t>SCS0075 - Menampilkan Parameter_20220705-153316913.pdf</t>
  </si>
  <si>
    <t>SSK-81</t>
  </si>
  <si>
    <t>- Email Notif Levels: WILAYAH</t>
  </si>
  <si>
    <t>Berhasil menampilkan Email Notif Levels: WILAYAH</t>
  </si>
  <si>
    <t>SCS0074 - Menampilkan Parameter_20220627-103403734.pdf</t>
  </si>
  <si>
    <t>SCS0075 - Menampilkan Parameter_20220705-153430604.pdf</t>
  </si>
  <si>
    <t>SSK-82</t>
  </si>
  <si>
    <t>Email Format</t>
  </si>
  <si>
    <t>- Klik data</t>
  </si>
  <si>
    <t>Berhasil menampilkan Email Format</t>
  </si>
  <si>
    <t>SCS0074 - Menampilkan Parameter_20220627-103520168.pdf</t>
  </si>
  <si>
    <t>SCS0075 - Menampilkan Parameter_20220705-153543034.pdf</t>
  </si>
  <si>
    <t>SCS0076</t>
  </si>
  <si>
    <t>SSK-83</t>
  </si>
  <si>
    <t>Monitoring Data</t>
  </si>
  <si>
    <t>Outlet</t>
  </si>
  <si>
    <t>- Summary Saldo Kas Outlet</t>
  </si>
  <si>
    <t>Berhasil menampilkan Saldo Kas Outlet</t>
  </si>
  <si>
    <t>SCS0076 - Monitoring Data_20220705-155639128.pdf</t>
  </si>
  <si>
    <t>SCS0076 - Monitoring Data_20220706-155041411.pdf</t>
  </si>
  <si>
    <t>SSK-84</t>
  </si>
  <si>
    <t>Cabang</t>
  </si>
  <si>
    <t>- Summary Saldo Kas Cabang</t>
  </si>
  <si>
    <t>Berhasil menampilkan Saldo Kas Cabang</t>
  </si>
  <si>
    <t>SCS0076 - Monitoring Data_20220705-155752217.pdf</t>
  </si>
  <si>
    <t>SCS0076 - Monitoring Data_20220706-154505414.pdf</t>
  </si>
  <si>
    <t>SSK-85</t>
  </si>
  <si>
    <t>Wilayah</t>
  </si>
  <si>
    <t>- Summary Saldo Kas Wilayah</t>
  </si>
  <si>
    <t>Berhasil menampilkan Saldo Kas Wilayah</t>
  </si>
  <si>
    <t>SCS0076 - Monitoring Data_20220705-155905389.pdf</t>
  </si>
  <si>
    <t>SCS0076 - Monitoring Data_20220706-154617411.pdf</t>
  </si>
  <si>
    <t>SSK-86</t>
  </si>
  <si>
    <t>Sentra</t>
  </si>
  <si>
    <t>- Summary Saldo Kas Sentra</t>
  </si>
  <si>
    <t>Berhasil menampilkan Saldo Kas Sentra</t>
  </si>
  <si>
    <t>SCS0076 - Monitoring Data_20220705-160017662.pdf</t>
  </si>
  <si>
    <t>SCS0076 - Monitoring Data_20220706-154729415.pdf</t>
  </si>
  <si>
    <t>SCS0077</t>
  </si>
  <si>
    <t>SSK-87</t>
  </si>
  <si>
    <t>Notifikasi Alert</t>
  </si>
  <si>
    <t>Alert Aplikasi</t>
  </si>
  <si>
    <t>- Login Sistem Notifikasi Kas</t>
  </si>
  <si>
    <t>Berhasil memunculkan Alert Aplikasi</t>
  </si>
  <si>
    <t>SSK-88</t>
  </si>
  <si>
    <t>Alert Email</t>
  </si>
  <si>
    <t>- Notifikasi Over/Under Pagu Kas
- Notifikasi Kas Kembali Normal</t>
  </si>
  <si>
    <t>Berhasil menampilkan email</t>
  </si>
  <si>
    <t>Jun-W5</t>
  </si>
  <si>
    <t>,</t>
  </si>
  <si>
    <r>
      <rPr>
        <b/>
        <u/>
        <sz val="10"/>
        <color rgb="FF1155CC"/>
        <rFont val="Calibri"/>
      </rPr>
      <t xml:space="preserve">Test Case
API : </t>
    </r>
    <r>
      <rPr>
        <b/>
        <u/>
        <sz val="10"/>
        <color rgb="FF1155CC"/>
        <rFont val="Calibri"/>
      </rPr>
      <t>https://192.168.152.220:45052</t>
    </r>
  </si>
  <si>
    <t>Log
WPS</t>
  </si>
  <si>
    <t>Log 
WMB</t>
  </si>
  <si>
    <t>DB SOA_APP
P2PL 
INVESTOR</t>
  </si>
  <si>
    <t>DB SOA_APP
P2PL 
TRANSACTION 
LOG</t>
  </si>
  <si>
    <t>DB  SOA_APP
P2PL 
ACCOUNT 
PARAM</t>
  </si>
  <si>
    <t>DB SOA_APP
ACCOUNT 
STATEMENT 
CUSTOMER</t>
  </si>
  <si>
    <t>DB SOA_APP
ACCOUNT 
TRX</t>
  </si>
  <si>
    <t>DB SOA_APP
ACCOUNT TRX 
SUBSC</t>
  </si>
  <si>
    <t>DB SOA_APP
H2H STATUS 
LOOKUP</t>
  </si>
  <si>
    <t>DB SOA_APP
MHP BILLING</t>
  </si>
  <si>
    <t>DB SOA_APP 
SPCH2H 
TRANSACTION 
LOG</t>
  </si>
  <si>
    <t>DB SOA_APP SPCH2H REVERSAL LOG</t>
  </si>
  <si>
    <t>DB SOA_APP
KSEI FUND 
SEP ACCOUNT 
KSEI</t>
  </si>
  <si>
    <t>DB SOA_APP
KSEI FUND 
SEP ACCOUNT</t>
  </si>
  <si>
    <t>DB SOA_APP
REPORT 
STATIC 
STATUS</t>
  </si>
  <si>
    <t>DB SOA_APP
ESBLOG</t>
  </si>
  <si>
    <t>ICONS
400</t>
  </si>
  <si>
    <t>ICONS
450</t>
  </si>
  <si>
    <t>DB
GLIF</t>
  </si>
  <si>
    <t>DB
BILT</t>
  </si>
  <si>
    <t>DB
PRVD</t>
  </si>
  <si>
    <t>DB
SMSM</t>
  </si>
  <si>
    <t>Log
Docker</t>
  </si>
  <si>
    <t>SAPI0001</t>
  </si>
  <si>
    <t>API0001-001</t>
  </si>
  <si>
    <t>Melakukan Get Token P2P Lending</t>
  </si>
  <si>
    <t>Menguji fungsionalitas Get Token P2P Lending di API Management</t>
  </si>
  <si>
    <t>DONE/PDF OK</t>
  </si>
  <si>
    <t>Tidak ada validasi DB</t>
  </si>
  <si>
    <t>companyId = UFT
parentCompanyId = ""
parentCompanyId Empty
WPS : UUID
WMB : idNumber, Nojournal</t>
  </si>
  <si>
    <t>SAPI0001_20211206-120736104</t>
  </si>
  <si>
    <t>SAPI0002</t>
  </si>
  <si>
    <t>API0002-001</t>
  </si>
  <si>
    <t>Melakukan Register Investor P2P Lending</t>
  </si>
  <si>
    <t>Menguji fungsionalitas Normal Register Investor P2P Lending di API Management</t>
  </si>
  <si>
    <t xml:space="preserve">Verification -WMB (Belum)
DB SOA_APP:
P2PL_INVESTOR
P2PL_TRANSACTION_LOG </t>
  </si>
  <si>
    <t>idNumber sudah bisa di pake berkali2
jadi idNumbernya pake fnGetCompleteDateTime tapi di ambil angkanya aja, jadi otomatis tiap di run bisa tanpa perlu ganti di excel</t>
  </si>
  <si>
    <t>3 Januari 2022</t>
  </si>
  <si>
    <t>SAPI0002_20220103-153708002</t>
  </si>
  <si>
    <t>API0002-002</t>
  </si>
  <si>
    <t>Menguji fungsionalitas Abnormal Register Investor P2P Lending di API Management - idNumber/KTP already register</t>
  </si>
  <si>
    <t xml:space="preserve">DB SOA_APP:
P2PL_INVESTOR
P2PL_TRANSACTION_LOG </t>
  </si>
  <si>
    <t>API0002-003</t>
  </si>
  <si>
    <t>Melakukan Register Investor Account P2P Lending</t>
  </si>
  <si>
    <t>Menguji fungsionalitas Register Investor P2P Lending Account IDR di API Management</t>
  </si>
  <si>
    <t>Verification -WMB (Belum)
DB SOA_APP :
P2PL_ACCOUNT_PARAM
Account_Trx_Subsc
ACCOUNT_STATEMENT_CUSTOMER
P2PL_TRANSACTION_LOG
DB ASGARD2 :
SMSM</t>
  </si>
  <si>
    <t xml:space="preserve">CIF Number based on SAPI0002 API0002-001 CIF Number (Automatic)
WPS : UUID
WMB : NoJournal, CIFNumber (2 kali verifikasi WMB)
</t>
  </si>
  <si>
    <t>SAPI0005</t>
  </si>
  <si>
    <t>API0005-001</t>
  </si>
  <si>
    <t>Melakukan Register Investor P2P Lending Account</t>
  </si>
  <si>
    <t>Menguji fungsionalitas Abnormal Register Investor P2P Lending Account di API Management : Invalid CIF number</t>
  </si>
  <si>
    <t>WPS : UUID
WMB : CIFNumber + ResponseTimeStamp, errorMessage + ResponseTimestamp</t>
  </si>
  <si>
    <t>23 Februari 2022</t>
  </si>
  <si>
    <t>SAPI0005_20220223-131806080</t>
  </si>
  <si>
    <t>API0005-002</t>
  </si>
  <si>
    <t>Menguji fungsionalitas Abnormal Register Investor P2P Lending Account di API Management : Invalid Currency</t>
  </si>
  <si>
    <t>WPS : UUID</t>
  </si>
  <si>
    <t>SAPI0008</t>
  </si>
  <si>
    <t>API0008-001</t>
  </si>
  <si>
    <t>Melakukan Inquiry Account Info P2P Lending</t>
  </si>
  <si>
    <t>Menguji fungsionalitas Normal Inquiry Account Info P2P Lending di API Management</t>
  </si>
  <si>
    <t>WPS : UUID
WMB : AccountNumber, customerName</t>
  </si>
  <si>
    <t>10 Februari 2022</t>
  </si>
  <si>
    <t>SAPI0008_20220210-155831578</t>
  </si>
  <si>
    <t>API0008-002</t>
  </si>
  <si>
    <t>Menguji fungsionalitas Abnormal Inquiry Account Info P2P Lending di API Management : Invalid Account Number</t>
  </si>
  <si>
    <t>WPS : UUID
WMB : AcccountNumber + ResponseTimestamp, 
ErrorMessage + ResponseTimestamp</t>
  </si>
  <si>
    <t>API0008-003</t>
  </si>
  <si>
    <t>Menguji fungsionalitas Abnormal Inquiry Account Info P2P Lending VA di API Management : Invalid VA Number</t>
  </si>
  <si>
    <t>WPS : UUID
AccountNumber : 8150000000000111
WMB : AcccountNumber + ResponseTimestamp, 
ErrorMessage + ResponseTimestamp</t>
  </si>
  <si>
    <t>SAPI0011</t>
  </si>
  <si>
    <t>API0011-001</t>
  </si>
  <si>
    <t>Melakukan Inquiry Account Balance P2P Lending</t>
  </si>
  <si>
    <t>Menguji fungsionalitas Normal Inquiry Account Balance P2P Lending di API Management</t>
  </si>
  <si>
    <t>24 Februari 2022</t>
  </si>
  <si>
    <t>SAPI0011_20220224-164014713</t>
  </si>
  <si>
    <t>API0011-002</t>
  </si>
  <si>
    <t>Menguji fungsionalitas Abnormal Inquiry Account Balance P2P Lending di API Management : Invalid Account Number</t>
  </si>
  <si>
    <t>API0011-003</t>
  </si>
  <si>
    <t>Menguji fungsionalitas Abnormal Inquiry Account Balance P2P Lending VA di API Management : Invalid VA Number</t>
  </si>
  <si>
    <t>WPS : UUID
AccountNumber : 8150000000000111</t>
  </si>
  <si>
    <t>SAPI0014</t>
  </si>
  <si>
    <t>API0014-001</t>
  </si>
  <si>
    <t>Melakukan Inquiry Account History P2P Lending</t>
  </si>
  <si>
    <t>Menguji fungsionalitas Normal Inquiry Account History P2P Lending di API Management</t>
  </si>
  <si>
    <t>WPS : UUID
WMB : AccountNumber</t>
  </si>
  <si>
    <t>24 Maret 2022</t>
  </si>
  <si>
    <t>SAPI0014_20220324-125834714</t>
  </si>
  <si>
    <t>API0014-002</t>
  </si>
  <si>
    <t>Menguji fungsionalitas Abnormal Inquiry Account History P2P Lending di API Management : Invalid Account Number but Register in BNI API</t>
  </si>
  <si>
    <t>WPS : UUID
WMB : ICONSConne + responseTImeStamp</t>
  </si>
  <si>
    <t>API0014-003</t>
  </si>
  <si>
    <t>Menguji fungsionalitas Abnormal Inquiry Account History P2P Lending di API Management : Account Number Is Not Register in BNI API</t>
  </si>
  <si>
    <t>SAPI0017</t>
  </si>
  <si>
    <t>API0017-001</t>
  </si>
  <si>
    <t>Melakukan Payment Using Transfer P2P Lending  Number IDR</t>
  </si>
  <si>
    <t>Menguji fungsionalitas Normal Payment Using Transfer P2P Lending : Debit Account/Account Number IDR di API Management</t>
  </si>
  <si>
    <t>Verification -WMB (Belum)
DB SOA_APP :
P2PL_TRANSACTION_LOG
DB ASGARD2 :
Glif</t>
  </si>
  <si>
    <t>Debit / Account Number : 0316029783
Kredit / BeneficiaryAccountNumber : 1000029523
WPS : UUID</t>
  </si>
  <si>
    <t>25 Februari 2022</t>
  </si>
  <si>
    <t>SAPI0017_20220225-142841557</t>
  </si>
  <si>
    <t>API0017-002</t>
  </si>
  <si>
    <t>Menguji fungsionalitas Abnormal Payment Using Transfer P2P Lending : Transfer from IDR to USD di API Management</t>
  </si>
  <si>
    <t>API0017-003</t>
  </si>
  <si>
    <t>Menguji fungsionalitas Abnormal Payment Using Transfer P2P Lending di API Management : Invalid Account Number but Register in BNI API</t>
  </si>
  <si>
    <t>API0017-004</t>
  </si>
  <si>
    <t>Menguji fungsionalitas Abnormal Payment Using Transfer P2P Lending di API Management : Insufficient fund</t>
  </si>
  <si>
    <t>API0017-005</t>
  </si>
  <si>
    <t>Menguji fungsionalitas Abnormal Payment Using Transfer P2P Lending di API Management : Account Number Status is Closed</t>
  </si>
  <si>
    <t>Debit / Account Number : 0316999605
Kredit / BeneficiaryAccountNumber : 0316029783
WPS : UUID</t>
  </si>
  <si>
    <t>API0017-006</t>
  </si>
  <si>
    <t>Menguji fungsionalitas Abnormal Payment Using Transfer P2P Lending di API Management : Account Number is not register in BNI API</t>
  </si>
  <si>
    <t>API0017-007</t>
  </si>
  <si>
    <t>Menguji fungsionalitas Abnormal Payment Using Transfer P2P Lending di API Management : duplicate requestUuid</t>
  </si>
  <si>
    <t>RequestedUUID based on SAPI0017 API 0017-001 ResponseUUID (Automatic)
WPS : UUID</t>
  </si>
  <si>
    <t>API0017-008</t>
  </si>
  <si>
    <t>Menguji fungsionalitas Normal Inquiry Payment Status Transfer P2P Lending di API Management</t>
  </si>
  <si>
    <t>SAPI0025</t>
  </si>
  <si>
    <t>API0025-001</t>
  </si>
  <si>
    <t>Melakukan Inquiry Payment Status Transfer P2P Lending</t>
  </si>
  <si>
    <t>Menguji fungsionalitas Abnormal Inquiry Payment Status Transfer P2P Lending di API Management : Invalid Request UUID</t>
  </si>
  <si>
    <t>8 Maret 2022</t>
  </si>
  <si>
    <t>SAPI0025_20220308-183634066</t>
  </si>
  <si>
    <t>API0025-002</t>
  </si>
  <si>
    <t>Menguji fungsionalitas Normal Payment Using Clearing P2P Lending di API Management</t>
  </si>
  <si>
    <t>WPS : UUID
WMB : UUID, journalNum</t>
  </si>
  <si>
    <t>API0025-003</t>
  </si>
  <si>
    <t>Menguji fungsionalitas Normal Inquiry Payment Status Clearing P2P Lending di API Management</t>
  </si>
  <si>
    <t>API0025-004</t>
  </si>
  <si>
    <t>Menguji fungsionalitas Normal Inquiry Payment Status Interbank P2P Lending : Link di API Management</t>
  </si>
  <si>
    <t>SAPI0028</t>
  </si>
  <si>
    <t>API0028-001</t>
  </si>
  <si>
    <t>Melakukan Payment Using Clearing P2P Lending</t>
  </si>
  <si>
    <t>Menguji fungsionalitas Abnormal Payment Using Clearing P2P Lending di API Management : Amount &gt; 1 Billion</t>
  </si>
  <si>
    <t>SAPI0028_20220223-131931926</t>
  </si>
  <si>
    <t>SAPI0029</t>
  </si>
  <si>
    <t>API0029-001</t>
  </si>
  <si>
    <t>Melakukan Payment Using RTGS P2P Lending</t>
  </si>
  <si>
    <t>Menguji fungsionalitas Normal Payment Using RTGS P2P Lending di API Management : Amount &gt; 100 million</t>
  </si>
  <si>
    <t>DB SOA_APP :
P2PL_TRANSACTION_LOG
DB ASGARD2 :
Glif</t>
  </si>
  <si>
    <t>8 Februari 2022</t>
  </si>
  <si>
    <t>SAPI0029_20220208-133559060</t>
  </si>
  <si>
    <t>API0029-002</t>
  </si>
  <si>
    <t>Menguji fungsionalitas Abnormal Payment Using RTGS P2P Lending di API Management : Amount &lt; 100 Million</t>
  </si>
  <si>
    <t>WPS : UUID
WMB : UUID, errorMessage + timestamp</t>
  </si>
  <si>
    <t>SAPI0030</t>
  </si>
  <si>
    <t>API0030-001</t>
  </si>
  <si>
    <t>Melakukan Inquiry Payment Status Using RTGS P2P Lending</t>
  </si>
  <si>
    <t>Menguji fungsionalitas Normal Inquiry Payment Status Using RTGS P2P Lending di API Management</t>
  </si>
  <si>
    <t>RequestedUUID based on previous response from SAPI0029 API 0029-001 ResponseUUID (Manual)
WPS : UUID</t>
  </si>
  <si>
    <t>SAPI0030_20211215-123808185</t>
  </si>
  <si>
    <t>SAPI0032</t>
  </si>
  <si>
    <t>API0032-001</t>
  </si>
  <si>
    <t>Melakukan Inquiry Interbank P2P Lending : Link</t>
  </si>
  <si>
    <t>Menguji fungsionalitas Normal Inquiry Interbank P2P Lending : Link di API Management</t>
  </si>
  <si>
    <t>WPS : UUID
WMB tailswitcher : retrievalReffNum</t>
  </si>
  <si>
    <t>17 Maret 2022</t>
  </si>
  <si>
    <t>SAPI0032_20220317-180644147</t>
  </si>
  <si>
    <t>API0032-002</t>
  </si>
  <si>
    <t>Melakukan Payment Interbank P2P Lending : Link</t>
  </si>
  <si>
    <t>Menguji fungsionalitas Normal Payment Interbank P2P Lending : Link di API Management</t>
  </si>
  <si>
    <t>SAPI0035</t>
  </si>
  <si>
    <t>API0035-001</t>
  </si>
  <si>
    <t>Melakukan Get Token OGP</t>
  </si>
  <si>
    <t>Menguji fungsionalitas Get Token OGP di API Management</t>
  </si>
  <si>
    <t>ClientId = IDBNI + base64(UFT)</t>
  </si>
  <si>
    <t>SAPI0035_20211206-121321181</t>
  </si>
  <si>
    <t>SAPI0036</t>
  </si>
  <si>
    <t>API0036-001</t>
  </si>
  <si>
    <t>Melakukan transfer OGP antar rekening BNI</t>
  </si>
  <si>
    <t>Menguji fungsionalitas normal transfer OGP antar rekening BNI di API Management</t>
  </si>
  <si>
    <t xml:space="preserve">DB SSOA_APP :
H2H_STATUS_LOOKUP
DB ASGARD2 :
Glif </t>
  </si>
  <si>
    <t>WPS : customerReference
WMB : bankReference</t>
  </si>
  <si>
    <t>SAPI0036_20220308-124942050</t>
  </si>
  <si>
    <t>API0036-002</t>
  </si>
  <si>
    <t>Menguji fungsionalitas Abnormal transfer OGP antar rekening BNI di API Management : Rekening debit tidak terdaftar di sistem core banking BNI</t>
  </si>
  <si>
    <t>debitAccountNo : 1200100078
WPS : customerReference</t>
  </si>
  <si>
    <t>API0036-003</t>
  </si>
  <si>
    <t>Menguji fungsionalitas Abnormal transfer OGP antar rekening BNI di API Management : Rekening debit dengan status Stop</t>
  </si>
  <si>
    <t>WPS : customerReference</t>
  </si>
  <si>
    <t>API0036-004</t>
  </si>
  <si>
    <t>Menguji fungsionalitas Abnormal transfer OGP antar rekening BNI di API Management : Duplikasi nomor referensi</t>
  </si>
  <si>
    <t>WPS : customerReference
WMB : customerReference, errorMessage + responseTimestamp</t>
  </si>
  <si>
    <t>API0036-005</t>
  </si>
  <si>
    <t>Menguji fungsionalitas normal RTGS OGP di API Management</t>
  </si>
  <si>
    <t>WPS : customerReference
WMB : bankReference
No Kredit : 093340540</t>
  </si>
  <si>
    <t>API0036-006</t>
  </si>
  <si>
    <t>Menguji fungsionalitas Abnormal RTGS OGP di API Management : rekening dengan status Tutup</t>
  </si>
  <si>
    <t>WPS : customerReference
WMB : customerReference, responseCode + responseTimestamp</t>
  </si>
  <si>
    <t>API0036-007</t>
  </si>
  <si>
    <t>Menguji fungsionalitas Abnormal RTGS OGP di API Management : duplikasi transaksi</t>
  </si>
  <si>
    <t>API0036-008</t>
  </si>
  <si>
    <t>Menguji fungsionalitas normal Kliring OGP di API Management</t>
  </si>
  <si>
    <t>API0036-009</t>
  </si>
  <si>
    <t>Menguji fungsionalitas Abnormal Kliring OGP di API Management : saldo tidak cukup</t>
  </si>
  <si>
    <t>API0036-010</t>
  </si>
  <si>
    <t>Menguji fungsionalitas Abnormal Kliring OGP di API Management : rekening tidak terdaftar di sistem BNI</t>
  </si>
  <si>
    <t>SAPI0046</t>
  </si>
  <si>
    <t>API0046-001</t>
  </si>
  <si>
    <t>Melakukan inquiry saldo OGP</t>
  </si>
  <si>
    <t>Menguji fungsionalitas normal inquiry saldo OGP di API Management</t>
  </si>
  <si>
    <t>WPS : Inquiry
WMB : AccountNo, CustomerName</t>
  </si>
  <si>
    <t>24 Januari 2022</t>
  </si>
  <si>
    <t>SAPI0046_20220124-184621714</t>
  </si>
  <si>
    <t>API0046-002</t>
  </si>
  <si>
    <t>Menguji fungsionalitas Abnormal inquiry saldo OGP VA di API Management : Company Id tidak terdaftar di autocollection</t>
  </si>
  <si>
    <t>WPS : Inquiry</t>
  </si>
  <si>
    <t>SAPI0048</t>
  </si>
  <si>
    <t>API0048-001</t>
  </si>
  <si>
    <t>Melakukan Get InHouse inquiry Rekening Deposit OGP</t>
  </si>
  <si>
    <t>Menguji fungsionalitas normal Get InHouse inquiry Rekening Deposit OGP di API Management</t>
  </si>
  <si>
    <t>WPS : Inquiry
WMB : AccountNo</t>
  </si>
  <si>
    <t>15 Februari 2022</t>
  </si>
  <si>
    <t>SAPI0048_20220215-153237161</t>
  </si>
  <si>
    <t>API0048-002</t>
  </si>
  <si>
    <t>Menguji fungsionalitas Abnormal Get InHouse inquiry Rekening Deposit OGP di API Management : Rekening tidak ada di corebanking BNI</t>
  </si>
  <si>
    <t>WPS : responseTimestamp
WMB : errorResponse + ResponseTimeStamp</t>
  </si>
  <si>
    <t>SAPI0050</t>
  </si>
  <si>
    <t>API0050-001</t>
  </si>
  <si>
    <t>Melakukan transfer antar bank OGP : Prima</t>
  </si>
  <si>
    <t>Menguji fungsionalitas normal transfer antar bank OGP di API Management : Prima</t>
  </si>
  <si>
    <t>WPS : CustomerReferenceNumber
WMB tailswitch : CustomerReferenceNumber</t>
  </si>
  <si>
    <t>18 Maret 2022</t>
  </si>
  <si>
    <t>SAPI0050_20220318-120816395</t>
  </si>
  <si>
    <t>API0050-002</t>
  </si>
  <si>
    <t>Melakukan transfer antar bank OGP : ATM Bersama</t>
  </si>
  <si>
    <t>Menguji fungsionalitas Abnormal transfer antar bank OGP di API Management : ATM Bersama menggunakan rekening dengan status DORMANT</t>
  </si>
  <si>
    <t>WPS : CustomerReferenceNumber, errorMessage
WMB tailswitch : CustomerReferenceNumber</t>
  </si>
  <si>
    <t>API0050-003</t>
  </si>
  <si>
    <t>Menguji fungsionalitas Abnormal transfer antar bank OGP di API Management : ATM Bersama dengan duplikasi transaksi</t>
  </si>
  <si>
    <t>SAPI0053</t>
  </si>
  <si>
    <t>API0053-001</t>
  </si>
  <si>
    <t>Melakukan inquiry status transaksi OGP</t>
  </si>
  <si>
    <t>Menguji fungsionalitas normal inquiry status transaksi OGP di API Management : Prima</t>
  </si>
  <si>
    <t>customerReferenceNumber dapat dari hasil response SAPI0050 API0050-001
WPS : SB_H2HService</t>
  </si>
  <si>
    <t>11 Maret 2022</t>
  </si>
  <si>
    <t>SAPI0053_20220311-101810323</t>
  </si>
  <si>
    <t>SAPI0054</t>
  </si>
  <si>
    <t>API0054-001</t>
  </si>
  <si>
    <t>Melakukan blokir saldo OGP</t>
  </si>
  <si>
    <t>Menguji fungsionalitas normal blokir saldo OGP di API Management</t>
  </si>
  <si>
    <t>WPS : HoldAmount
WMB : BankReference, AccountNo</t>
  </si>
  <si>
    <t>SAPI0054_20220225-084855812</t>
  </si>
  <si>
    <t>API0054-002</t>
  </si>
  <si>
    <t>Menguji fungsionalitas abnormal blokir saldo OGP di API Management : rekening tidak terdaftar</t>
  </si>
  <si>
    <t>debitAccountNo : 1200100078
WPS : HoldAmount
WMB : BankReference, AccountNo</t>
  </si>
  <si>
    <t>API0054-003</t>
  </si>
  <si>
    <t>Menguji fungsionalitas abnormal blokir saldo OGP di API Management : melebihi saldo rekening</t>
  </si>
  <si>
    <t>WPS : HoldAmount
WMB : AccountNo + responseTimestamp, ErrorMessage + responseTimestamp</t>
  </si>
  <si>
    <t>SAPI0057</t>
  </si>
  <si>
    <t>API0057-001</t>
  </si>
  <si>
    <t>Melakukan hapus blokir OGP</t>
  </si>
  <si>
    <t>Menguji fungsionalitas normal hapus blokir OGP di API Management</t>
  </si>
  <si>
    <t>customerReferenceNumber sudah bisa di pake berkali2
jadi customerReferenceNumber pake fnGetCompleteDateTime tapi di ambil angkanya aja, jadi otomatis tiap di run bisa tanpa perlu ganti di excel
untuk bankReference, jadi di dalam excel nya ada TC API0054-001, tapi itu nggak bakal ke record ke PDF, tujuannya cuma ambil bankReference aja
toDate dapet dari fnGetDate
fromDate dapet dari fnGetDate tapi H-1</t>
  </si>
  <si>
    <t>18 Februari 2022</t>
  </si>
  <si>
    <t>SAPI0057_20220218-111859407</t>
  </si>
  <si>
    <t>API0057-002</t>
  </si>
  <si>
    <t>Menguji fungsionalitas abnormal hapus blokir OGP di API Management : no jurnal salah</t>
  </si>
  <si>
    <t>customerReferenceNumber sudah bisa di pake berkali2
jadi customerReferenceNumber pake fnGetCompleteDateTime tapi di ambil angkanya aja, jadi otomatis tiap di run bisa tanpa perlu ganti di excel</t>
  </si>
  <si>
    <t>SAPI0059</t>
  </si>
  <si>
    <t>API0059-001</t>
  </si>
  <si>
    <t>Melakukan Get Token MPN</t>
  </si>
  <si>
    <t>Menguji fungsionalitas normal Get Token MPN di API Management</t>
  </si>
  <si>
    <t>SAPI0059_20211207-094502155</t>
  </si>
  <si>
    <t>SAPI0060</t>
  </si>
  <si>
    <t>API0060-001</t>
  </si>
  <si>
    <t>Melakukan inquiry NPWP MPN</t>
  </si>
  <si>
    <t>Menguji fungsionalitas normal inquiry NPWP MPN di API Management</t>
  </si>
  <si>
    <t>DB SOA_APP :
MHP_BILLING</t>
  </si>
  <si>
    <t>15 Maret 2022</t>
  </si>
  <si>
    <t>SAPI0060_20220315-162437922</t>
  </si>
  <si>
    <t>API0060-002</t>
  </si>
  <si>
    <t>Menguji fungsionalitas abnormal inquiry NPWP MPN di API Management : nomor NPWP salah</t>
  </si>
  <si>
    <t>SAPI0062</t>
  </si>
  <si>
    <t>API0062-001</t>
  </si>
  <si>
    <t>Melakukan create billing MPN</t>
  </si>
  <si>
    <t>Menguji fungsionalitas normal create billing MPN di API Management : IDR</t>
  </si>
  <si>
    <t>SAPI0062_20220315-162533880</t>
  </si>
  <si>
    <t>API0062-002</t>
  </si>
  <si>
    <t>Menguji fungsionalitas normal create billing MPN di API Management : USD</t>
  </si>
  <si>
    <t>SAPI0064</t>
  </si>
  <si>
    <t>API0064-001</t>
  </si>
  <si>
    <t>Melakukan create billing MPN : Non NPWP</t>
  </si>
  <si>
    <t>Menguji fungsionalitas normal create billing MPN di API Management : Non NPWP</t>
  </si>
  <si>
    <t>SAPI0064_20220315-162603052</t>
  </si>
  <si>
    <t>SAPI0065</t>
  </si>
  <si>
    <t>API0065-001</t>
  </si>
  <si>
    <t>Melakukan inquiry MPN</t>
  </si>
  <si>
    <t>Menguji fungsionalitas normal inquiry DJP MPN di API Management</t>
  </si>
  <si>
    <t>WPS : billingID</t>
  </si>
  <si>
    <t>21 Januari 2022</t>
  </si>
  <si>
    <t>SAPI0065_20220121-115805343</t>
  </si>
  <si>
    <t>API0065-002</t>
  </si>
  <si>
    <t>Menguji fungsionalitas normal inquiry DJBC MPN di API Management</t>
  </si>
  <si>
    <t>API0065-003</t>
  </si>
  <si>
    <t>Menguji fungsionalitas normal inquiry DJA MPN di API Management</t>
  </si>
  <si>
    <t>SAPI0068</t>
  </si>
  <si>
    <t>API0068-001</t>
  </si>
  <si>
    <t>Melakukan payment MPN</t>
  </si>
  <si>
    <t>Menguji fungsionalitas normal payment DJP MPN di API Management</t>
  </si>
  <si>
    <t>SAPI0068_20220318-094213393</t>
  </si>
  <si>
    <t>API0068-002</t>
  </si>
  <si>
    <t>Menguji fungsionalitas normal payment DJBC MPN di API Management</t>
  </si>
  <si>
    <t>API0068-003</t>
  </si>
  <si>
    <t>Menguji fungsionalitas normal payment DJA MPN di API Management</t>
  </si>
  <si>
    <t>API0068-004</t>
  </si>
  <si>
    <t>Menguji fungsionalitas abnormal payment DJP MPN di API Management : dana tidak cukup</t>
  </si>
  <si>
    <t>WPS : billingID, ResponseCode</t>
  </si>
  <si>
    <t>API0068-005</t>
  </si>
  <si>
    <t>Menguji fungsionalitas abnormal payment DJP MPN di API Management : nomor rekening salah</t>
  </si>
  <si>
    <t>API0068-006</t>
  </si>
  <si>
    <t>Menguji fungsionalitas abnormal payment DJP MPN di API Management : nomor billing sudah terbayar</t>
  </si>
  <si>
    <t>API0068-007</t>
  </si>
  <si>
    <t>Menguji fungsionalitas abnormal payment DJBC MPN di API Management : dana tidak cukup</t>
  </si>
  <si>
    <t>API0068-008</t>
  </si>
  <si>
    <t>Menguji fungsionalitas abnormal payment DJBC MPN di API Management : nomor rekening salah</t>
  </si>
  <si>
    <t>API0068-009</t>
  </si>
  <si>
    <t>Menguji fungsionalitas abnormal payment DJBC MPN di API Management : nomor billing sudah terbayar</t>
  </si>
  <si>
    <t>API0068-010</t>
  </si>
  <si>
    <t>Menguji fungsionalitas abnormal payment DJA MPN di API Management : dana tidak cukup</t>
  </si>
  <si>
    <t>API0068-011</t>
  </si>
  <si>
    <t>Menguji fungsionalitas abnormal payment DJA MPN di API Management : nomor rekening salah</t>
  </si>
  <si>
    <t>API0068-012</t>
  </si>
  <si>
    <t>Menguji fungsionalitas abnormal payment DJA MPN di API Management : nomor billing sudah terbayar</t>
  </si>
  <si>
    <t>SAPI0071</t>
  </si>
  <si>
    <t>API0071-001</t>
  </si>
  <si>
    <t>Melakukan reinquiry MPN</t>
  </si>
  <si>
    <t>Menguji fungsionalitas normal reinquiry DJP MPN di API Management</t>
  </si>
  <si>
    <t>SAPI0071_20220121-120448312</t>
  </si>
  <si>
    <t>API0071-002</t>
  </si>
  <si>
    <t>Menguji fungsionalitas normal reinquiry DJBC MPN di API Management</t>
  </si>
  <si>
    <t>API0071-003</t>
  </si>
  <si>
    <t>Menguji fungsionalitas normal reinquiry DJA MPN di API Management</t>
  </si>
  <si>
    <t>API0071-004</t>
  </si>
  <si>
    <t>Menguji fungsionalitas abnormal reinquiry DJP MPN di API Management : nomor billing salah</t>
  </si>
  <si>
    <t>API0071-005</t>
  </si>
  <si>
    <t>Menguji fungsionalitas abnormal reinquiry DJBC MPN di API Management : nomor billing salah</t>
  </si>
  <si>
    <t>API0071-006</t>
  </si>
  <si>
    <t>Menguji fungsionalitas abnormal reinquiry DJA MPN di API Management : nomor billing salah</t>
  </si>
  <si>
    <t>SAPI0086</t>
  </si>
  <si>
    <t>API0086-001</t>
  </si>
  <si>
    <t>Melakukan inquiry SPC</t>
  </si>
  <si>
    <t>Menguji fungsionalitas normal inquiry SPC di API Management</t>
  </si>
  <si>
    <t>PDF di pisah telebih dahulu
WPS SPCH2H = billingNumber
WPS SPC Service = billingNumber</t>
  </si>
  <si>
    <t>SAPI0086_20220407-122047783</t>
  </si>
  <si>
    <t>API0086-002</t>
  </si>
  <si>
    <t>Menguji fungsionalitas abnormal inquiry SPC di API Management : invalid kode universitas</t>
  </si>
  <si>
    <t>PDF di pisah telebih dahulu
error code harusnya : 
"responseCode": "0008",
"responseMessage": "Invalid univCode",
"errorMessage": "Please Check univCode Field"</t>
  </si>
  <si>
    <t>API0086-003</t>
  </si>
  <si>
    <t>Menguji fungsionalitas abnormal inquiry SPC di API Management : invalid no billing (data tidak ditemukan - RC 99)</t>
  </si>
  <si>
    <t>30 Maret 2022</t>
  </si>
  <si>
    <t>SAPI0086_20220330-122255605</t>
  </si>
  <si>
    <t>API0086-004</t>
  </si>
  <si>
    <t>Menguji fungsionalitas abnormal inquiry SPC di API Management : nomor billing kosong</t>
  </si>
  <si>
    <t>PDF di pisah telebih dahulu
WPS SPCH2H = univCode
WPS SPC Service = univCode</t>
  </si>
  <si>
    <t>API0086-005</t>
  </si>
  <si>
    <t>Menguji fungsionalitas abnormal inquiry SPC di API Management : nomor billing sudah terbayar</t>
  </si>
  <si>
    <t>28 Maret 2022</t>
  </si>
  <si>
    <t>SAPI0086_20220328-155310312</t>
  </si>
  <si>
    <t>SAPI0091</t>
  </si>
  <si>
    <t>API0091-001</t>
  </si>
  <si>
    <t>Melakukan payment SPC</t>
  </si>
  <si>
    <t>Menguji fungsionalitas normal payment transfer SPC di API Management</t>
  </si>
  <si>
    <t>DB gwuat :
SPCH2H_TRANSACTION_LOG
DB ASGARD2 :
Glif</t>
  </si>
  <si>
    <t>WPS SPCH2H = billingNumber 
WPS SPC Service = billingNumber
WMB : billingNumber +timeStamp, journalNumber
No Kredit : 0526101365</t>
  </si>
  <si>
    <t>31 Maret 2022</t>
  </si>
  <si>
    <t>SAPI0091_20220331-152546422</t>
  </si>
  <si>
    <t>API0091-002</t>
  </si>
  <si>
    <t>Menguji fungsionalitas abnormal payment SPC di API Management : invalid no rekening</t>
  </si>
  <si>
    <t>WPS SPCH2H = billingNumber 
WPS SPC Service = billingNumber
WMB : billingNumber + timeStamp, errorMessage + timeStamp</t>
  </si>
  <si>
    <t>API0091-003</t>
  </si>
  <si>
    <t>Menguji fungsionalitas abnormal payment SPC di API Management : dana tidak cukup (RC 51)</t>
  </si>
  <si>
    <t>API0091-004</t>
  </si>
  <si>
    <t>Menguji fungsionalitas abnormal payment SPC di API Management : status rekening tutup</t>
  </si>
  <si>
    <t>API0091-005</t>
  </si>
  <si>
    <t>Menguji fungsionalitas abnormal payment SPC di API Management : timeout reversal (RC 89)</t>
  </si>
  <si>
    <t>DB gwuat :
SPCH2H_Reversal_LOG
DB ASGARD2 :
Glif</t>
  </si>
  <si>
    <t>PDF dipisah
WPS SPCH2H = billingNumber 
WPS SPC Service = billingNumber
WMB : billingNumber + timeStamp, errorMessage + timeStamp
No Kredit : 7602680038</t>
  </si>
  <si>
    <t>SAPI0091_20220407-162825210</t>
  </si>
  <si>
    <t>SAPI0096</t>
  </si>
  <si>
    <t>API0096-001</t>
  </si>
  <si>
    <t>Melakukan inquiry status transaction (terbayar) SPC</t>
  </si>
  <si>
    <t>Menguji fungsionalitas normal inquiry status transaction (terbayar) SPC di API Management : search by journal</t>
  </si>
  <si>
    <t xml:space="preserve">WPS : UUID
</t>
  </si>
  <si>
    <t>7 Maret 2022</t>
  </si>
  <si>
    <t>SAPI0096_20220304-130045486</t>
  </si>
  <si>
    <t>API0096-002</t>
  </si>
  <si>
    <t>Menguji fungsionalitas normal inquiry status transaction (terbayar) SPC di API Management : search by idTransaksi</t>
  </si>
  <si>
    <t>SAPI0098</t>
  </si>
  <si>
    <t>API0098-001</t>
  </si>
  <si>
    <t>Melakukan Scenario force Flagging SPC</t>
  </si>
  <si>
    <t>Menguji fungsionalitas force Flagging - Tunai SPC di API Management</t>
  </si>
  <si>
    <t>SAPI0098_20220304-130508235</t>
  </si>
  <si>
    <t>API0098-002</t>
  </si>
  <si>
    <t>Menguji fungsionalitas force Flagging - Transfer SPC di API Management</t>
  </si>
  <si>
    <t>SAPI0100</t>
  </si>
  <si>
    <t>API0100-001</t>
  </si>
  <si>
    <t>Melakukan Check SID RDN</t>
  </si>
  <si>
    <t>Menguji fungsionalitas Normal Check SID RDN di API Management : SID Valid ACK N</t>
  </si>
  <si>
    <t>DB SOA_APP :
KSEI_FUND_SEP_ACCOUNT_KSEI</t>
  </si>
  <si>
    <t>WPS KSEI : SIDNumber
WPS KSEI : CHECK-SID-RESPONSE
DB SOA_APP :
KSEI_FUND_SEP_ACCOUNT_KSEI
SELECT * FROM KSEI_FUND_SEP_ACCOUNT_KSEI where no_sid = '&lt;SID_NUMBER&gt;' and no_sub_rek_efek = '&lt;ACCOUNT_NUMBER_ON_KSEI&gt;';</t>
  </si>
  <si>
    <t>25 Januari 2022</t>
  </si>
  <si>
    <t>SAPI0100_20220125-201058011</t>
  </si>
  <si>
    <t>API0100-002</t>
  </si>
  <si>
    <t>Menguji fungsionalitas Normal Check SID RDN di API Management : SID Valid ACK Y</t>
  </si>
  <si>
    <t>WPS : checkSIDAck</t>
  </si>
  <si>
    <t>API0100-003</t>
  </si>
  <si>
    <t>Menguji fungsionalitas Abnormal Check SID RDN di API Management : SID Invalid ACK N</t>
  </si>
  <si>
    <t>API0100-004</t>
  </si>
  <si>
    <t>Menguji fungsionalitas Abnormal Check SID RDN di API Management : SID Invalid ACK Y</t>
  </si>
  <si>
    <t>SAPI0104</t>
  </si>
  <si>
    <t>API0104-001</t>
  </si>
  <si>
    <t>Melakukan Register Investor RDN</t>
  </si>
  <si>
    <t>Menguji fungsionalitas Normal Register Investor RDN di API Management</t>
  </si>
  <si>
    <t>DB SOA_APP :
KSEI_FUND_SEP_ACCOUNT
P2PL_TRANSACTION_LOG</t>
  </si>
  <si>
    <t>SAPI0104_20220404-113509583</t>
  </si>
  <si>
    <t>API0104-002</t>
  </si>
  <si>
    <t>Menguji fungsionalitas Abnormal Register Investor RDN di API Management : CIF telah terdaftar</t>
  </si>
  <si>
    <t>SAPI0106</t>
  </si>
  <si>
    <t>API0106-001</t>
  </si>
  <si>
    <t>Melakukan Register Investor Account RDN</t>
  </si>
  <si>
    <t>Menguji fungsionalitas Normal Register Investor Account RDN di API Management : (IDR) 1811-6101</t>
  </si>
  <si>
    <t>SAPI0106_20211229-104853474</t>
  </si>
  <si>
    <t>API0106-002</t>
  </si>
  <si>
    <t>Menguji fungsionalitas Normal Register Investor Account RDN di API Management : (USD) 1811-6102</t>
  </si>
  <si>
    <t>API0106-003</t>
  </si>
  <si>
    <t>Menguji fungsionalitas Normal Register Investor Account RDN di API Management : (USD) 1811-6103</t>
  </si>
  <si>
    <t>API0106-004</t>
  </si>
  <si>
    <t>Menguji fungsionalitas Abnormal Register Investor Account RDN di API Management : Invalid CIF</t>
  </si>
  <si>
    <t>SAPI0112</t>
  </si>
  <si>
    <t>API0112-001</t>
  </si>
  <si>
    <t>Melakukan Send Data Static RDN</t>
  </si>
  <si>
    <t>Menguji fungsionalitas Normal Send Data Static RDN di API Management</t>
  </si>
  <si>
    <t>DB SOA_APP :
KSEI_REPORT_STATIC_STATUS</t>
  </si>
  <si>
    <t>WPS : investorAccountNumber</t>
  </si>
  <si>
    <t>28 Januari 2022</t>
  </si>
  <si>
    <t>SAPI0112_20220128-103650924</t>
  </si>
  <si>
    <t>API0112-002</t>
  </si>
  <si>
    <t>Menguji fungsionalitas Abnormal Send Data Static RDN di API Management : salah satu mandatory tidak lengkap</t>
  </si>
  <si>
    <t>SAPI0114</t>
  </si>
  <si>
    <t>API0114-001</t>
  </si>
  <si>
    <t>Melakukan Inquiry Account Info RDN</t>
  </si>
  <si>
    <t>Menguji fungsionalitas Normal Inquiry Account Info RDN di API Management</t>
  </si>
  <si>
    <t>SAPI0114_20211224-114221719</t>
  </si>
  <si>
    <t>API0114-002</t>
  </si>
  <si>
    <t>Menguji fungsionalitas Abnormal Inquiry Account Info RDN di API Management : pada rekening yang di-create Sekuritas/Mitra/Submitra</t>
  </si>
  <si>
    <t>API0114-003</t>
  </si>
  <si>
    <t>Menguji fungsionalitas abormal Inquiry Account Info RDN di API Management : Invalid Account Number</t>
  </si>
  <si>
    <t>SAPI0117</t>
  </si>
  <si>
    <t>API0117-001</t>
  </si>
  <si>
    <t>Melakukan Inquiry Balance RDN</t>
  </si>
  <si>
    <t>Menguji fungsionalitas Normal Inquiry Balance RDN di API Management</t>
  </si>
  <si>
    <t>SAPI0117_20211224-121518131</t>
  </si>
  <si>
    <t>API0117-002</t>
  </si>
  <si>
    <t>Menguji fungsionalitas Abnormal Inquiry Balance RDN di API Management : pada rekening yang di-create Sekuritas/Mitra/Submitra</t>
  </si>
  <si>
    <t>API0117-003</t>
  </si>
  <si>
    <t>Menguji fungsionalitas Abnormal Inquiry Balance RDN di API Management : Invalid Account Number</t>
  </si>
  <si>
    <t>SAPI0120</t>
  </si>
  <si>
    <t>API0120-001</t>
  </si>
  <si>
    <t>Melakukan Get Historical Transaction RDN</t>
  </si>
  <si>
    <t>Menguji fungsionalitas Normal Get Historical Transaction RDN di API Management</t>
  </si>
  <si>
    <t>SAPI0120_20211231-173559636</t>
  </si>
  <si>
    <t>API0120-002</t>
  </si>
  <si>
    <t>Menguji fungsionalitas Abnormal Get Historical Transaction RDN di API Management : pada rekening yang di-create Sekuritas/Mitra/Submitra</t>
  </si>
  <si>
    <t>API0120-003</t>
  </si>
  <si>
    <t>Menguji fungsionalitas Abnormal Get Historical Transaction RDN di API Management : Invalid Account Number</t>
  </si>
  <si>
    <t>SAPI0123</t>
  </si>
  <si>
    <t>API0123-001</t>
  </si>
  <si>
    <t>MelakukanTransfer Inhouse BNI RDN</t>
  </si>
  <si>
    <t>Menguji fungsionalitas Normal Transfer BNI Rekening debit RDN Rekening Kredit DEP di API Management</t>
  </si>
  <si>
    <t>SAPI0123_20220330-102021205</t>
  </si>
  <si>
    <t>API0123-002</t>
  </si>
  <si>
    <t>Menguji fungsionalitas Normal Transfer BNI Rekening debit RDN Rekening Kredit LON di API Management</t>
  </si>
  <si>
    <t>WPS : UUID
WMB : UUID, journalNum
Kredit cek di ICONS10450</t>
  </si>
  <si>
    <t>API0123-003</t>
  </si>
  <si>
    <t>Menguji fungsionalitas Normal Transfer BNI Rekening debit RDN Rekening Kredit VA di API Management</t>
  </si>
  <si>
    <t>accountNumber : 9880060600000013
WPS : UUID
WMB : UUID, journalNum</t>
  </si>
  <si>
    <t>API0123-004</t>
  </si>
  <si>
    <t>Menguji fungsionalitas Abnormal Transfer Inhouse BNI RDN di API Management : data tidak cukup</t>
  </si>
  <si>
    <t>API0123-005</t>
  </si>
  <si>
    <t>Menguji fungsionalitas Abnormal Transfer Inhouse BNI RDN di API Management : Unregistered Account</t>
  </si>
  <si>
    <t>API0123-006</t>
  </si>
  <si>
    <t>Menguji fungsionalitas Abnormal Transfer Inhouse BNI RDN di API Management : Debit rekening yang dicreate Sekuritas/Mitra/Submitra lain</t>
  </si>
  <si>
    <t>API0123-007</t>
  </si>
  <si>
    <t>Menguji fungsionalitas Account Statement Mutasi Rekening atas Rekening RDN akan selalu dikirimkan ke Sekuritas dan KSEI di API Management</t>
  </si>
  <si>
    <t>DB SOA_APP :
ESBLOG 
ACCOUNT_TRX
ACCOUNT_TRX_SUBSC</t>
  </si>
  <si>
    <t>API0123-008</t>
  </si>
  <si>
    <t>Menguji fungsionalitas Payment Transfer RDN di API Management</t>
  </si>
  <si>
    <t>API0123-009</t>
  </si>
  <si>
    <t>Menguji fungsionalitas Abnormal Transfer BNI Rekening debit RDN Rekening Kredit VA di API Management : Billing dikenakan charge</t>
  </si>
  <si>
    <t>Di tambah 1 TC baru untuk membedakan antara VA yg di charge atau tidak. Kalau dikenakan charge, maka responsenya "SILAHKAN MENGGUNAKAN MENU VA BILLING" sedangkan kalau tidak dikenakan charge responsenya "Request has been processed successfully".
accountNumber : 8450000000000006
TC di tambah pada tanggal 9 November 2021
hasil response yg sesuai
"responseCode": "0325",
"responseMessage": "Request has been processed unsuccessfully",
"errorMessage": "SILAHKAN MENGGUNAKAN MENU VA BILLING"
WPS : UUID
WMB : UUID, errorMessage + timeStamp</t>
  </si>
  <si>
    <t>SAPI0129</t>
  </si>
  <si>
    <t>API0129-001</t>
  </si>
  <si>
    <t>Melakukan Transfer Kliring RDN</t>
  </si>
  <si>
    <t>Menguji fungsionalitas Normal Transfer Kliring Rekening Debit RDN</t>
  </si>
  <si>
    <t>WPS : RequestUUID
WMB : RequestUUID, journalNum</t>
  </si>
  <si>
    <t>SAPI0129_20220308-152411945</t>
  </si>
  <si>
    <t>API0129-002</t>
  </si>
  <si>
    <t>Menguji fungsionalitas Abnormal Transfer Kliring Rekening Debit RDN di API Management : nominal tidak sesuai</t>
  </si>
  <si>
    <t>WPS : RequestUUID</t>
  </si>
  <si>
    <t>SAPI0131</t>
  </si>
  <si>
    <t>API0131-001</t>
  </si>
  <si>
    <t>Melakukan Transfer RTGS RDN</t>
  </si>
  <si>
    <t>Menguji fungsionalitas Normal Transfer RTGS Rekening Debit RDN di API Management</t>
  </si>
  <si>
    <t>No Kredit : 093340540
WPS : responseUUID
WMB : journal</t>
  </si>
  <si>
    <t>SAPI0131_20220404-132800385</t>
  </si>
  <si>
    <t>API0131-002</t>
  </si>
  <si>
    <t>Menguji fungsionalitas Abnormal Transfer RTGS Rekening Debit RDN di API Management : nominal tidak sesuai</t>
  </si>
  <si>
    <t>WPS : responseUUID</t>
  </si>
  <si>
    <t>SAPI0133</t>
  </si>
  <si>
    <t>API0133-001</t>
  </si>
  <si>
    <t>Melakukan Transfer Interbank RDN</t>
  </si>
  <si>
    <t>Menguji fungsionalitas Normal Transfer Interbank (Bersama) Rekening Debit RDN di API Management</t>
  </si>
  <si>
    <t>SAPI0133_20220317-190408561</t>
  </si>
  <si>
    <t>API0133-002</t>
  </si>
  <si>
    <t>Menguji fungsionalitas Normal Transfer Interbank (Link) Rekening Debit RDN di API Management</t>
  </si>
  <si>
    <t>API0133-003</t>
  </si>
  <si>
    <t>Menguji fungsionalitas Normal Transfer Interbank (Prima) Rekening Debit RDN di API Management</t>
  </si>
  <si>
    <t>SAPI0136</t>
  </si>
  <si>
    <t>API0136-001</t>
  </si>
  <si>
    <t>Melakukan Get Payment Status RDN</t>
  </si>
  <si>
    <t>Menguji fungsionalitas Get Payment Status Transfer Inhouse BNI RDN di API Management</t>
  </si>
  <si>
    <t>RequestedUUID  dari hasil response RequestUUID API0123-001
WPS : UUID</t>
  </si>
  <si>
    <t>SAPI0136_20211224-132457566</t>
  </si>
  <si>
    <t>API0136-002</t>
  </si>
  <si>
    <t>Menguji fungsionalitas Get Payment Status Transfer Interbank RDN di API Management</t>
  </si>
  <si>
    <t>RequestedUUID  dari hasil response RequestUUID API0133-001
WPS : UUID</t>
  </si>
  <si>
    <t>API0136-003</t>
  </si>
  <si>
    <t>Menguji fungsionalitas Get Payment Kliring RDN di API Management</t>
  </si>
  <si>
    <t>RequestedUUID  dari hasil response RequestUUID API0129-001
WPS : UUID</t>
  </si>
  <si>
    <t>API0136-004</t>
  </si>
  <si>
    <t>Menguji fungsionalitas Get Payment RTGS RDN di API Management</t>
  </si>
  <si>
    <t>RequestedUUID  dari hasil response RequestUUID API0131-001
WPS : UUID</t>
  </si>
  <si>
    <t>API0136-005</t>
  </si>
  <si>
    <t>Menguji fungsionalitas Abnormal Get Payment Status Inquiry Status RDN di API Management : Payment yang dilakukan oleh Sekuritas/Mitra/Submitra lain</t>
  </si>
  <si>
    <t>SAPI0142</t>
  </si>
  <si>
    <t>API0142-001</t>
  </si>
  <si>
    <t>Menguji fungsionalitas Register Investor RDN : Middle name (string) di API Management : (Test data : Firstname, middleName, lasName)</t>
  </si>
  <si>
    <t>"idNumber sudah bisa di pake berkali2
jadi idNumbernya pake fnGetCompleteDateTime tapi di ambil angkanya aja, jadi otomatis tiap di run bisa tanpa perlu ganti di excel"
pake data dari request SAPI0104 API0104-001
WPS : UUID</t>
  </si>
  <si>
    <t>SAPI0142_20211227-114409875</t>
  </si>
  <si>
    <t>API0142-002</t>
  </si>
  <si>
    <t>Menguji fungsionalitas Register Investor RDN : Middle name (string) di API Management : ( Test data : cifNumber)</t>
  </si>
  <si>
    <t>SAPI0145</t>
  </si>
  <si>
    <t>API0145-001</t>
  </si>
  <si>
    <t>Mitra mengirim message inquiry BPJS Kesehatan VA</t>
  </si>
  <si>
    <t>Menguji fungsionalitas inquiry BPJS Kesehatan di API Management</t>
  </si>
  <si>
    <t>WPS : Billing ID</t>
  </si>
  <si>
    <t>SAPI0145_20220315-154253327</t>
  </si>
  <si>
    <t>API0145-002</t>
  </si>
  <si>
    <t>Abnormal - Menguji fungsionalitas inquiry BPJS Kesehatan di API Management - set RC21 pada Kingpin</t>
  </si>
  <si>
    <t>WPS : Billing ID, KESEHATAN_VA</t>
  </si>
  <si>
    <t>API0145-003</t>
  </si>
  <si>
    <t>Abnormal - Menguji fungsionalitas inquiry BPJS Kesehatan di API Management - set RC24 pada Kingpin</t>
  </si>
  <si>
    <t>di pisah terlebih dahulu PDF nya karena belum bisa run barengan
WPS : Billing ID, KESEHATAN_VA</t>
  </si>
  <si>
    <t>23 Maret 2022</t>
  </si>
  <si>
    <t>SAPI0145_20220323-165323128</t>
  </si>
  <si>
    <t>API0145-004</t>
  </si>
  <si>
    <t>Mitra mengirim message inquiry BPJS Tenaga Kerja (TKI)</t>
  </si>
  <si>
    <t>Menguji fungsionalitas inquiry BPJS Tenaga Kerja (TKI) di API Management</t>
  </si>
  <si>
    <t>di pisah terlebih dahulu PDF nya karena belum bisa run barengan
WPS : Billing ID</t>
  </si>
  <si>
    <t>29 Maret 2022</t>
  </si>
  <si>
    <t>SAPI0145_20220329-135354160</t>
  </si>
  <si>
    <t>API0145-005</t>
  </si>
  <si>
    <t>Abnormal - Menguji fungsionalitas inquiry BPJS Tenaga Kerja (TKI) di API Management - nomor VA tidak ditemukan</t>
  </si>
  <si>
    <t>WPS : Billing ID, TKVA</t>
  </si>
  <si>
    <t>API0145-006</t>
  </si>
  <si>
    <t>Mitra mengirim message inquiry BPJS Tenaga Kerja (BPU)</t>
  </si>
  <si>
    <t>Menguji fungsionalitas inquiry BPJS Tenaga Kerja (BPU) di API Management</t>
  </si>
  <si>
    <t>API0145-007</t>
  </si>
  <si>
    <t>Abnormal - Menguji fungsionalitas inquiry BPJS Tenaga Kerja (BPU) di API Management - KTP/NIK belum terdaftar</t>
  </si>
  <si>
    <t>WPS : Billing ID, TKBPU</t>
  </si>
  <si>
    <t>API0145-008</t>
  </si>
  <si>
    <t>Abnormal - Menguji fungsionalitas inquiry BPJS Tenaga Kerja (BPU) di API Management - iuran pertama belum terbentuk</t>
  </si>
  <si>
    <t>SAPI0146</t>
  </si>
  <si>
    <t>API0146-001</t>
  </si>
  <si>
    <t>Mitra mengirim message payment BPJS Kesehatan VA - transfer</t>
  </si>
  <si>
    <t>Menguji fungsionalitas payment transfer BPJS Kesehatan VA di API Management</t>
  </si>
  <si>
    <t>Nomor Kredit : 315612418 (Nomor Kredit dapat dari GLIF)
WPS :billingId, Journal</t>
  </si>
  <si>
    <t>SAPI0146_20220404-154234907</t>
  </si>
  <si>
    <t>API0146-002</t>
  </si>
  <si>
    <t>Abnormal - Menguji fungsionalitas payment transfer BPJS Kesehatan VA di API Management - dana tidak cukup</t>
  </si>
  <si>
    <t>WPS :billingId, errorCode</t>
  </si>
  <si>
    <t>API0146-003</t>
  </si>
  <si>
    <t>Mitra mengirim message payment BPJS Tenaga Kerja (TKI) VA - transfer</t>
  </si>
  <si>
    <t>Menguji fungsionalitas payment transfer BPJS Tenaga Kerja (TKI) VA di API Management</t>
  </si>
  <si>
    <t>Nomor Kredit : 315757747 (Nomor Kredit dapat dari GLIF)
WPS :billingId, Journal</t>
  </si>
  <si>
    <t>API0146-004</t>
  </si>
  <si>
    <t>Mitra mengirim message payment BPJS Tenaga Kerja (BPU) VA - transfer</t>
  </si>
  <si>
    <t>Menguji fungsionalitas payment transfer BPJS Tenaga Kerja (BPU) VA di API Management</t>
  </si>
  <si>
    <t>Nomor Kredit : 170420350 (Nomor Kredit dapat dari GLIF)
WPS :billingId, Journal</t>
  </si>
  <si>
    <t>SAPI0151</t>
  </si>
  <si>
    <t>API0151-001</t>
  </si>
  <si>
    <t>Mitra mengirim message inquiry PBB</t>
  </si>
  <si>
    <t>Menguji fungsionalitas inquiry PBB di API Management</t>
  </si>
  <si>
    <t>nop : 217155555555555555
WPS tailcr : reffNum
WMB tailswitch : billingID
WMB tailswadapter : billingID</t>
  </si>
  <si>
    <t>16 Februari 2022</t>
  </si>
  <si>
    <t>SAPI0151_20220216-124359526</t>
  </si>
  <si>
    <t>SAPI0152</t>
  </si>
  <si>
    <t>API0152-001</t>
  </si>
  <si>
    <t>Mitra mengirim message payment PBB</t>
  </si>
  <si>
    <t>Menguji fungsionalitas payment PBB di API Management</t>
  </si>
  <si>
    <t xml:space="preserve">DB ASGARD2 :
Glif </t>
  </si>
  <si>
    <t>nop : 217155555555555555
No Kredit : 1011154688
WPS tailcr : reffNum
WMB tailswitch : reffNum
WMB tailswadapter : nop
No Kredit : 1011154688</t>
  </si>
  <si>
    <t>SAPI0152_20220218-120834008</t>
  </si>
  <si>
    <t>API0152-002</t>
  </si>
  <si>
    <t>Abnormal - Menguji fungsionalitas payment PBB di API Management - RC10/PBBDB</t>
  </si>
  <si>
    <t>nop : 217155555555555510 
WPS tailcr : nop, errorCode
WMB tailswitch :  nop, errorCode + m:Fault
WMB tailswadapter :  nop</t>
  </si>
  <si>
    <t>API0152-003</t>
  </si>
  <si>
    <t>Abnormal - Menguji fungsionalitas payment PBB di API Management - RC13/PBBDB</t>
  </si>
  <si>
    <t>nop : 217155555555555513
WPS tailcr : nop, errorCode
WMB tailswitch :  nop, errorCode + m:Fault
WMB tailswadapter :  nop</t>
  </si>
  <si>
    <t>SAPI0153</t>
  </si>
  <si>
    <t>API0153-001</t>
  </si>
  <si>
    <t>Mitra mengirim message inquiry PDAM</t>
  </si>
  <si>
    <t>Menguji fungsionalitas inquiry PDAM di API Management</t>
  </si>
  <si>
    <t>WPS tailcr : reffNum
WMB tailswitch : billingID, reffNum
WMB tailswadapter : billingID</t>
  </si>
  <si>
    <t>14 Maret 2022</t>
  </si>
  <si>
    <t>SAPI0153_20220314-155537373</t>
  </si>
  <si>
    <t>SAPI0154</t>
  </si>
  <si>
    <t>API0154-001</t>
  </si>
  <si>
    <t>Mitra mengirim message payment PDAM</t>
  </si>
  <si>
    <t>Menguji fungsionalitas payment PDAM di API Management</t>
  </si>
  <si>
    <t>001 Account Number : 0316031099
No Kredit : 1350000184
WPS tailcr : reffNum
WMB tailswitch : reffNum
WMB tailswadapter : AccountNumber</t>
  </si>
  <si>
    <t>SAPI0154_20220314-161957861</t>
  </si>
  <si>
    <t>API0154-002</t>
  </si>
  <si>
    <t>Abnormal - Menguji fungsionalitas payment PDAM di API Management - dana tidak cukup</t>
  </si>
  <si>
    <t>002 Account Number : 1000105846
WPS tailcr : AccountNumber, errorCode
WMB tailswitch : AccountNumber, errorCode + m:Fault
WMB tailswadapter : AccountNumber</t>
  </si>
  <si>
    <t>SAPI0155</t>
  </si>
  <si>
    <t>API0155-001</t>
  </si>
  <si>
    <t>Mitra mengirim message inquiry PDAM BSD</t>
  </si>
  <si>
    <t>Menguji fungsionalitas inquiry PDAM BSD di API Management</t>
  </si>
  <si>
    <t>WPS tailcr : reffNum
WMB tailswitch : reffNum
WMB tailswadapter : AccountNumber</t>
  </si>
  <si>
    <t>16 Maret 2022</t>
  </si>
  <si>
    <t>SAPI0155_20220316-110522390</t>
  </si>
  <si>
    <t>SAPI0156</t>
  </si>
  <si>
    <t>API0156-001</t>
  </si>
  <si>
    <t>Mitra mengirim message payment PDAM BSD</t>
  </si>
  <si>
    <t>Menguji fungsionalitas paiyment PDAM BSD di API Management</t>
  </si>
  <si>
    <t>No Kredit : 1200100078
WPS tailcr : reffNum
WMB tailswitch : reffNum
WMB tailswadapter : AccountNumber</t>
  </si>
  <si>
    <t>SAPI0156_20220316-111945307</t>
  </si>
  <si>
    <t>SAPI0157</t>
  </si>
  <si>
    <t>API0157-001</t>
  </si>
  <si>
    <t>Mitra mengirim message inquiry CC BNI</t>
  </si>
  <si>
    <t>Menguji fungsionalitas inquiry CC BNI di API Management</t>
  </si>
  <si>
    <t>WPS tailcr : reffNum
WMB tailswitch : cardNum
WMB tailswadapter : cardNum</t>
  </si>
  <si>
    <t>SAPI0157_20220218-130209529</t>
  </si>
  <si>
    <t>API0157-002</t>
  </si>
  <si>
    <t>Abnormal - Menguji fungsionalitas inquiry CC BNI di API Management - CC_BNI14</t>
  </si>
  <si>
    <t>WPS tailcr : cardNum, errorCode
WMB tailswitch : cardNum, errorCode + m:Fault
WMB tailswadapter : cardNum</t>
  </si>
  <si>
    <t>API0157-003</t>
  </si>
  <si>
    <t>Abnormal - Menguji fungsionalitas inquiry CC BNI di API Management - CC_BNI12</t>
  </si>
  <si>
    <t>SAPI0158</t>
  </si>
  <si>
    <t>API0158-001</t>
  </si>
  <si>
    <t>Mitra mengirim message payment CC BNI</t>
  </si>
  <si>
    <t>Menguji fungsionalitas payment CC BNI di API Management</t>
  </si>
  <si>
    <t>No Kredit : 7671000029
WPS tailcr : reffNum
WMB tailswitch : reffNum
WMB tailswadapter : cardNum</t>
  </si>
  <si>
    <t>SAPI0158_20220218-135127042</t>
  </si>
  <si>
    <t>API0158-002</t>
  </si>
  <si>
    <t>Abnormal - Menguji fungsionalitas payment CC BNI di API Management - CC_BNI51</t>
  </si>
  <si>
    <t>SAPI0159</t>
  </si>
  <si>
    <t>API0159-001</t>
  </si>
  <si>
    <t>Mitra mengirim message payment Tapcash</t>
  </si>
  <si>
    <t>Menguji fungsionalitas payment Tapcash di API Management</t>
  </si>
  <si>
    <t>No Kredit : 0177634945
WMB tailswitch : reffNum
WMB tailswadapter : journal</t>
  </si>
  <si>
    <t>SAPI0159_20220323-175125319</t>
  </si>
  <si>
    <t>API0159-002</t>
  </si>
  <si>
    <t>Abnormal - Menguji fungsionalitas payment Tapcash di API Management - nomor kartu salah</t>
  </si>
  <si>
    <t>WMB tailswitch : tapcashNum + timeStamp, errorMessage + timeStamp
WMB tailswadapter : tapcashNum+ timeStamp errorCode</t>
  </si>
  <si>
    <t>API0159-003</t>
  </si>
  <si>
    <t>Abnormal - Menguji fungsionalitas payment Tapcash di API Management - kartu di blacklist</t>
  </si>
  <si>
    <t>API0159-004</t>
  </si>
  <si>
    <t>Abnormal - Menguji fungsionalitas payment Tapcash di API Management - kartu tidak aktif</t>
  </si>
  <si>
    <t>API0159-005</t>
  </si>
  <si>
    <t>Abnormal - Menguji fungsionalitas payment Tapcash di API Management - sudah mencapai maksimum saldo</t>
  </si>
  <si>
    <t>API0159-006</t>
  </si>
  <si>
    <t>Abnormal - Menguji fungsionalitas payment Tapcash di API Management - dana rekening tidak cukup</t>
  </si>
  <si>
    <t>SAPI0160</t>
  </si>
  <si>
    <t>API0160-001</t>
  </si>
  <si>
    <t>Mitra mengirim message inquiry PLN Postpaid</t>
  </si>
  <si>
    <t>Menguji fungsionalitas inquiry PLN Postpaid di API Management</t>
  </si>
  <si>
    <t>di pisah terlebih dahulu PDF nya karena belum bisa run barengan
WPS tailcr : reffNum
WMB tailswitch : reffNum
WMB tailswadapter : customerId + Timestamp</t>
  </si>
  <si>
    <t>SAPI0160_20220407-145627890</t>
  </si>
  <si>
    <t>API0160-002</t>
  </si>
  <si>
    <t>Abnormal - Menguji fungsionalitas inquiry PLN Postpaid di API Management - RC14</t>
  </si>
  <si>
    <t>di pisah terlebih dahulu PDF nya karena belum bisa run barengan
WPS tailcr : customerId, errorCode
WMB tailswitch : customerId+ timeStamp, errorMessage + timeStamp
WMB tailswadapter : customerId+ timeStamp</t>
  </si>
  <si>
    <t>SAPI0160_20220408-105709076</t>
  </si>
  <si>
    <t>SAPI0161</t>
  </si>
  <si>
    <t>API0161-001</t>
  </si>
  <si>
    <t>Mitra mengirim message payment PLN Postpaid</t>
  </si>
  <si>
    <t>Menguji fungsionalitas payment PLN Postpaid di API Management</t>
  </si>
  <si>
    <t>No Kredit : 7605300543
WPS tailcr : reffNum
WMB tailswitch : reffNum
WMB tailswadapter : journal</t>
  </si>
  <si>
    <t>SAPI0161_20220407-155718433</t>
  </si>
  <si>
    <t>API0161-002</t>
  </si>
  <si>
    <t>Abnormal - Menguji fungsionalitas payment PLN Postpaid di API Management - saldo tidak cukup</t>
  </si>
  <si>
    <t>WPS tailcr : customerId, errorCode
WMB tailswitch : customerId+ timeStamp, errorMessage + timeStamp
WMB tailswadapter : customerId+ timeStamp</t>
  </si>
  <si>
    <t>SAPI0162</t>
  </si>
  <si>
    <t>API0162-001</t>
  </si>
  <si>
    <t>Mitra mengirim message inquiry PLN Prepaid</t>
  </si>
  <si>
    <t>Menguji fungsionalitas inquiry PLN Prepaid di API Management</t>
  </si>
  <si>
    <t>WMB tailswitch : customer
WMB tailswadapter : customer</t>
  </si>
  <si>
    <t>21 Februari 2022</t>
  </si>
  <si>
    <t>SAPI0162_20220221-183554969</t>
  </si>
  <si>
    <t>SAPI0163</t>
  </si>
  <si>
    <t>API0163-001</t>
  </si>
  <si>
    <t>Mitra mengirim message payment PLN Prepaid</t>
  </si>
  <si>
    <t>Menguji fungsionalitas payment PLN Prepaid di API Management</t>
  </si>
  <si>
    <t>No Kredit : 7601030001
WMB tailswitch : reffNum
WMB tailswadapter : journal</t>
  </si>
  <si>
    <t>SAPI0163_20220323-182753564</t>
  </si>
  <si>
    <t>API0163-002</t>
  </si>
  <si>
    <t>Abnormal - Menguji fungsionalitas payment PLN Prepaid di API Management - saldo tidak cukup</t>
  </si>
  <si>
    <t>WMB tailswitch : accountNum + timeStamp, errorMessage + timeStamp
WMB tailswadapter : accountNum + timeStamp</t>
  </si>
  <si>
    <t>API0163-003</t>
  </si>
  <si>
    <t>Abnormal - Menguji fungsionalitas payment PLN Prepaid di API Management - transaksi dibawah minimum</t>
  </si>
  <si>
    <t>Tidak ada validasi DB
Expected result tidak sesuai</t>
  </si>
  <si>
    <t>SAPI0163_20220530-155316931</t>
  </si>
  <si>
    <t>API0163-004</t>
  </si>
  <si>
    <t>Abnormal - Menguji fungsionalitas payment PLN Prepaid di API Management - transaksi diatas maksimum</t>
  </si>
  <si>
    <t>SAPI0163_20220530-160224355</t>
  </si>
  <si>
    <t>SAPI0164</t>
  </si>
  <si>
    <t>API0164-001</t>
  </si>
  <si>
    <t>Mitra mengirim message inquiry PLN Non Tagihan</t>
  </si>
  <si>
    <t>Menguji fungsionalitas inquiry PLN Non Tagihan di API Management</t>
  </si>
  <si>
    <t>WPS tailcr : reffNum
WMB tailswitch : registrationNum
WMB tailswadapter : registrationNum</t>
  </si>
  <si>
    <t>SAPI0164_20220221-190340121</t>
  </si>
  <si>
    <t>API0164-002</t>
  </si>
  <si>
    <t>Abnormal - Menguji fungsionalitas inquiry PLN Non Tagihan di API Management - RC14</t>
  </si>
  <si>
    <t>WPS tailcr : registrationNum, errorCode
WMB tailswitch : registrationNum, errorCode + m:Fault
WMB tailswadapter : registrationNum</t>
  </si>
  <si>
    <t>21 Maret 2022</t>
  </si>
  <si>
    <t>SAPI0164_20220321-135250015</t>
  </si>
  <si>
    <t>SAPI0165</t>
  </si>
  <si>
    <t>API0165-001</t>
  </si>
  <si>
    <t>Mitra mengirim message payment PLN Non Tagihan</t>
  </si>
  <si>
    <t>Menguji fungsionalitas payment PLN Non Tagihan di API Management</t>
  </si>
  <si>
    <t>No Kredit : 0760008775
WPS tailcr : reffNum
WMB tailswitch : reffNum
WMB tailswadapter : registrationNum</t>
  </si>
  <si>
    <t>22 Februari 2022</t>
  </si>
  <si>
    <t>SAPI0165_20220222-141154417</t>
  </si>
  <si>
    <t>API0165-002</t>
  </si>
  <si>
    <t>Abnormal - Menguji fungsionalitas payment PLN Non Tagihan di API Management - dana tidak cukup</t>
  </si>
  <si>
    <t>WPS tailcr : reffNum, errorCode
WMB tailswitch : registrationNum, errorCode + m:Fault
WMB tailswadapter : registrationNum</t>
  </si>
  <si>
    <t>SAPI0166</t>
  </si>
  <si>
    <t>API0166-001</t>
  </si>
  <si>
    <t>Mitra mengirim message payment Pulsa Prabayar Indosat</t>
  </si>
  <si>
    <t>Menguji fungsionalitas payment Pulsa Prabayar Indosat di API Management</t>
  </si>
  <si>
    <t>Prepaid indosat - 085612345678
No Kredit : 336114905
WMB tailswitch : reffNum
WMB tailswadapter : msisdn</t>
  </si>
  <si>
    <t>SAPI0166_20220216-120135921</t>
  </si>
  <si>
    <t>SAPI0167</t>
  </si>
  <si>
    <t>API0167-001</t>
  </si>
  <si>
    <t>Mitra mengirim message payment Pulsa Prabayar Smartfren</t>
  </si>
  <si>
    <t>Menguji fungsionalitas payment Pulsa Prabayar Smartfren di API Management</t>
  </si>
  <si>
    <t>Prepaid-Smartfren - 088112345678
No Kredit : 7600000622
WMB tailswitch : reffNum
WMB tailswadapter : msisdn</t>
  </si>
  <si>
    <t>SAPI0167_20220216-154701379</t>
  </si>
  <si>
    <t>SAPI0168</t>
  </si>
  <si>
    <t>API0168-001</t>
  </si>
  <si>
    <t>Mitra mengirim message payment Pulsa Prabayar Telkomsel</t>
  </si>
  <si>
    <t>Menguji fungsionalitas payment Pulsa Prabayar Telkomsel di API Management</t>
  </si>
  <si>
    <t>Prepaid - AS/TELKOMSEL - 085251515151
di pisah terlebih dahulu PDF nya karena belum bisa run barengan
No Kredit : 5004000001
WMB tailswitch : reffNum
WMB tailswadapter : msisdn</t>
  </si>
  <si>
    <t>SAPI0168_20220216-163140558</t>
  </si>
  <si>
    <t>API0168-002</t>
  </si>
  <si>
    <t>Abnormal - Menguji fungsionalitas payment Pulsa Prabayar Telkomsel di API Management - MSISDN salah</t>
  </si>
  <si>
    <t>Prepaid - AS/TELKOMSEL - 085251515151
di pisah terlebih dahulu PDF nya karena belum bisa run barengan
WMB tailswitch : msisdn, errorCode + m:Fault
WMB tailswadapter : msisdn</t>
  </si>
  <si>
    <t>SAPI0168_20220317-151022555</t>
  </si>
  <si>
    <t>SAPI0169</t>
  </si>
  <si>
    <t>API0169-001</t>
  </si>
  <si>
    <t>Mitra mengirim message payment Pulsa Prabayar Three</t>
  </si>
  <si>
    <t>Menguji fungsionalitas payment Pulsa Prabayar Three di API Management</t>
  </si>
  <si>
    <t>Prepaid - Tri - 08984690376
WMB tailswitch : reffNum
WMB tailswadapter : msisdn</t>
  </si>
  <si>
    <t>SAPI0169_20220216-114357854</t>
  </si>
  <si>
    <t>SAPI0170</t>
  </si>
  <si>
    <t>API0170-001</t>
  </si>
  <si>
    <t>Mitra mengirim message payment Pulsa Prabayar XL/Axis</t>
  </si>
  <si>
    <t>Menguji fungsionalitas payment Pulsa Prabayar XL/Axis di API Management</t>
  </si>
  <si>
    <t>Prepaid XL/AXIS - 087811221122
No Kredit : 7600000281
WMB tailswitch : reffNum
WMB tailswadapter : msisdn</t>
  </si>
  <si>
    <t>2 Maret 2022</t>
  </si>
  <si>
    <t>SAPI0170_20220302-101857513</t>
  </si>
  <si>
    <t>API0170-002</t>
  </si>
  <si>
    <t>Abnormal - Menguji fungsionalitas payment Pulsa Prabayar XL/Axis di API Management - dana tidak cukup</t>
  </si>
  <si>
    <t>Prepaid XL/AXIS - 087811221122
WMB tailswitch : msisdn, errorCode + m:Fault
WMB tailswadapter : msisdn</t>
  </si>
  <si>
    <t>SAPI0173</t>
  </si>
  <si>
    <t>API0173-001</t>
  </si>
  <si>
    <t>Mitra mengirim message inquiry Pulsa Pascabayar Indosat</t>
  </si>
  <si>
    <t>Menguji fungsionalitas inquiry Pulsa Pascabayar Indosat di API Management</t>
  </si>
  <si>
    <t>Postpaid- Indosat Ooredo / Indosat (sama aja)  - 085656546666
WPS tailcr : reffNum
WMB tailswitch : phoneNum
WMB tailswadapter : phoneNum</t>
  </si>
  <si>
    <t>SAPI0173_20220216-125830558</t>
  </si>
  <si>
    <t>SAPI0174</t>
  </si>
  <si>
    <t>API0174-001</t>
  </si>
  <si>
    <t>Mitra mengirim message payment Pulsa Pascabayar Indosat</t>
  </si>
  <si>
    <t>Menguji fungsionalitas payment Pulsa Pascabayar Indosat di API Management</t>
  </si>
  <si>
    <t>Postpaid- Indosat Ooredo / Indosat (sama aja)  - 085656546666
WPS tailcr : reffNum
WMB tailswitch : reffNum
WMB tailswadapter : phoneNum
No Kredit : 0336114961</t>
  </si>
  <si>
    <t>SAPI0174_20220216-121203185</t>
  </si>
  <si>
    <t>SAPI0175</t>
  </si>
  <si>
    <t>API0175-001</t>
  </si>
  <si>
    <t>Mitra mengirim message inquiry Pulsa Pascabayar Smartfren</t>
  </si>
  <si>
    <t>Menguji fungsionalitas inquiry Pulsa Pascabayar Smartfren di API Management</t>
  </si>
  <si>
    <t>Postpaid-Smartfren - 088112341234
WPS tailcr : reffNum
WMB tailswitch : phoneNum
WMB tailswadapter : phoneNum</t>
  </si>
  <si>
    <t>SAPI0175_20220216-130518385</t>
  </si>
  <si>
    <t>SAPI0176</t>
  </si>
  <si>
    <t>API0176-001</t>
  </si>
  <si>
    <t>Mitra mengirim message payment Pulsa Pascabayar Smartfren</t>
  </si>
  <si>
    <t>Menguji fungsionalitas payment Pulsa Pascabayar Smartfren di API Management</t>
  </si>
  <si>
    <t>Postpaid-Smartfren - 088112341234
WPS tailcr : reffNum
WMB tailswitch : reffNum
WMB tailswadapter : phoneNum
No Kredit : 7600000713</t>
  </si>
  <si>
    <t>SAPI0176_20220216-152302164</t>
  </si>
  <si>
    <t>SAPI0177</t>
  </si>
  <si>
    <t>API0177-001</t>
  </si>
  <si>
    <t>Mitra mengirim message inquiry Pulsa Pascabayar Telkom</t>
  </si>
  <si>
    <t>Menguji fungsionalitas inquiry Pulsa Pascabayar Telkom di API Management</t>
  </si>
  <si>
    <t>Postpaid-Telkom - 45784578
WPS tailcr : reffNum
WMB tailswitch : phoneNum
WMB tailswadapter : phoneNum</t>
  </si>
  <si>
    <t>SAPI0177_20220216-143114152</t>
  </si>
  <si>
    <t>SAPI0178</t>
  </si>
  <si>
    <t>API0178-001</t>
  </si>
  <si>
    <t>Mitra mengirim message payment Pulsa Pascabayar Telkom</t>
  </si>
  <si>
    <t>Menguji fungsionalitas payment Pulsa Pascabayar Telkom di API Management</t>
  </si>
  <si>
    <t>Postpaid-Telkom - 45784578
WPS tailcr : reffNum
WMB tailswitch : reffNum
WMB tailswadapter : phoneNum
No Kredit : 7602020900</t>
  </si>
  <si>
    <t>SAPI0178_20220314-164346785</t>
  </si>
  <si>
    <t>SAPI0179</t>
  </si>
  <si>
    <t>API0179-001</t>
  </si>
  <si>
    <t>Mitra mengirim message inquiry Pulsa Pascabayar Three</t>
  </si>
  <si>
    <t>Menguji fungsionalitas inquiry Pulsa Pascabayar Three di API Management</t>
  </si>
  <si>
    <t>Postpaid- Tri - 089812345678
WPS tailcr : reffNum
WMB tailswitch : phoneNum
WMB tailswadapter : phoneNum</t>
  </si>
  <si>
    <t>SAPI0179_20220302-111921689</t>
  </si>
  <si>
    <t>SAPI0180</t>
  </si>
  <si>
    <t>API0180-001</t>
  </si>
  <si>
    <t>Mitra mengirim message payment Pulsa Pascabayar Three</t>
  </si>
  <si>
    <t>Menguji fungsionalitas payment Pulsa Pascabayar Three di API Management</t>
  </si>
  <si>
    <t>Postpaid- Tri - 089812345678
WPS tailcr : reffNum
WMB tailswitch : reffNum
WMB tailswadapter : phoneNum
No Kredit : 7600000735</t>
  </si>
  <si>
    <t>SAPI0180_20220302-111300020</t>
  </si>
  <si>
    <t>API0180-002</t>
  </si>
  <si>
    <t>Abnormal - Menguji fungsionalitas payment Pulsa Pascabayar di API Management - dana tidak cukup</t>
  </si>
  <si>
    <t>Postpaid- Tri - 089812345678WPS 
WPS tailcr : phoneNum, errorCode
WMB tailswitch : phoneNum, errorCode + m:Fault
WMB tailswadapter : phoneNum</t>
  </si>
  <si>
    <t>SAPI0181</t>
  </si>
  <si>
    <t>API0181-001</t>
  </si>
  <si>
    <t>Mitra mengirim message inquiry Pulsa Pascabayar XL XPlor</t>
  </si>
  <si>
    <t>Menguji fungsionalitas inquiry Pulsa Pascabayar XL XPlor di API Management</t>
  </si>
  <si>
    <t>Postpaid-XPLOR - 087812345678
WPS tailcr : reffNum
WMB tailswitch : phoneNum
WMB tailswadapter : phoneNum</t>
  </si>
  <si>
    <t>SAPI0181_20220307-124258514</t>
  </si>
  <si>
    <t>SAPI0182</t>
  </si>
  <si>
    <t>API0182-001</t>
  </si>
  <si>
    <t>Mitra mengirim message payment Pulsa Pascabayar XL XPlor</t>
  </si>
  <si>
    <t>Menguji fungsionalitas payment Pulsa Pascabayar XL XPlor di API Management</t>
  </si>
  <si>
    <t>Postpaid-XPLOR - 087812345678
WPS tailcr : reffNum
WMB tailswitch : reffNum
WMB tailswadapter : msisdn
No Kredit : 7600000338</t>
  </si>
  <si>
    <t>SAPI0182_20220307-123522734</t>
  </si>
  <si>
    <t>SAPI0183</t>
  </si>
  <si>
    <t>API0183-001</t>
  </si>
  <si>
    <t>Mitra mengirim message inquiry Pulsa Pascabayar Telkomsel Halo</t>
  </si>
  <si>
    <t>Menguji fungsionalitas inquiry Pulsa Pascabayar Telkomsel Halo di API Management</t>
  </si>
  <si>
    <t>PDF Terpisah khususnya untuk 002
WPS tailcr : reffNum
WMB tailswitch : phoneNum
WMB tailswadapter : phoneNum</t>
  </si>
  <si>
    <t>17 Februari 2022</t>
  </si>
  <si>
    <t>SAPI0183_20220217-171113465</t>
  </si>
  <si>
    <t>API0183-002</t>
  </si>
  <si>
    <t>Abnormal - Menguji fungsionalitas inquiry Pulsa Pascabayar di API Management - nomor HP salah</t>
  </si>
  <si>
    <t>di pisah terlebih dahulu PDF nya karena belum bisa run barengan
WPS tailcr : phoneNum, errNR
WMB tailswitch : phoneNum + timeStamp, errorMessage + timeStamp
WMB tailswadapter : phoneNum + timeStamp</t>
  </si>
  <si>
    <t>SAPI0183_20220323-121305987</t>
  </si>
  <si>
    <t>SAPI0184</t>
  </si>
  <si>
    <t>API0184-001</t>
  </si>
  <si>
    <t>Mitra mengirim message payment Pulsa Pascabayar Telkomsel Halo</t>
  </si>
  <si>
    <t>Menguji fungsionalitas payment Pulsa Pascabayar Telkomsel Halo di API Management</t>
  </si>
  <si>
    <t>WPS tailcr : reffNum
WMB tailswitch : reffNum
WMB tailswadapter : phoneNum
No Kredit : 6014495971</t>
  </si>
  <si>
    <t>SAPI0184_20220217-173846763</t>
  </si>
  <si>
    <t>SAPI0187</t>
  </si>
  <si>
    <t>API0187-001</t>
  </si>
  <si>
    <t>Mitra mengirim message payment Paket Data Telkomsel</t>
  </si>
  <si>
    <t>Menguji fungsionalitas payment Paket Data Telkomsel di API Management</t>
  </si>
  <si>
    <t>WMB tailswitch : reffNum
WMB tailswadapter : accountNum
No Kredit : 6014496011</t>
  </si>
  <si>
    <t>SAPI0187_20220221-121452854</t>
  </si>
  <si>
    <t>API0187-002</t>
  </si>
  <si>
    <t>Abnormal - Menguji fungsionalitas payment Paket Data Telkomsel di API Management - dana tidak cukup</t>
  </si>
  <si>
    <t>WMB tailswitch : accountNum, errorCode + m:Fault
WMB tailswadapter : accountNum</t>
  </si>
  <si>
    <t>SAPI0188</t>
  </si>
  <si>
    <t>API0188-001</t>
  </si>
  <si>
    <t>Mitra mengirim message inquiry Paket Data Indosat Ooredo</t>
  </si>
  <si>
    <t>Menguji fungsionalitas inquiry Paket Data Indosat Ooredo di API Management</t>
  </si>
  <si>
    <t>WPS tailcr : reffNum
WMB tailswitch : phoneNum
WMB tailswadapter : phoneNum</t>
  </si>
  <si>
    <t>SAPI0188_20220217-104322091</t>
  </si>
  <si>
    <t>SAPI0189</t>
  </si>
  <si>
    <t>API0189-001</t>
  </si>
  <si>
    <t>Mitra mengirim message payment Paket Data Indosat Ooredo</t>
  </si>
  <si>
    <t>Menguji fungsionalitas payment Paket Data Indosat Ooredo di API Management</t>
  </si>
  <si>
    <t>WPS tailcr : reffNum
WMB tailswitch : reffNum
WMB tailswadapter : phoneNum
No Kredit : 0113183203</t>
  </si>
  <si>
    <t>SAPI0189_20220302-094001647</t>
  </si>
  <si>
    <t>SAPI0190</t>
  </si>
  <si>
    <t>API0190-001</t>
  </si>
  <si>
    <t>Mitra mengirim message inquiry Paket Data XL</t>
  </si>
  <si>
    <t>Menguji fungsionalitas inquiry Paket Data XL di API Management</t>
  </si>
  <si>
    <t>PDF Terpisah khususnya untuk 002
WPS tailcr : reffNum
WMB tailswitch : reffNum
WMB tailswadapter : phoneNum + time</t>
  </si>
  <si>
    <t>22 Maret 2022</t>
  </si>
  <si>
    <t>SAPI0190_20220322-152231004</t>
  </si>
  <si>
    <t>API0190-002</t>
  </si>
  <si>
    <t>Abnormal - Menguji fungsionalitas inquiry Pket Data XL di API Management - nomor HP salah</t>
  </si>
  <si>
    <t>di pisah terlebih dahulu PDF nya karena belum bisa run barengan
WPS tailcr : phoneNum , errorCode
WMB tailswitch : phoneNum + Timestamp, errorCode + TimeStamp
WMB tailswadapter : phoneNum + timeStamp</t>
  </si>
  <si>
    <t>SAPI0190_20220530-153515564</t>
  </si>
  <si>
    <t>SAPI0191</t>
  </si>
  <si>
    <t>API0191-001</t>
  </si>
  <si>
    <t>Mitra mengirim message payment Paket Data XL</t>
  </si>
  <si>
    <t>Menguji fungsionalitas payment Paket Data XL di API Management</t>
  </si>
  <si>
    <t>WPS tailcr : reffNum
WMB tailswitch : reffNum
WMB tailswadapter : phoneNum
No Kredit : 0116725096</t>
  </si>
  <si>
    <t>SAPI0191_20220216-122320397</t>
  </si>
  <si>
    <t>SAPI0192</t>
  </si>
  <si>
    <t>API0192-001</t>
  </si>
  <si>
    <t>Mitra mengirim message inquiry Topup LinkAja</t>
  </si>
  <si>
    <t>Menguji fungsionalitas inquiry Topup LinkAja di API Management</t>
  </si>
  <si>
    <t>WPS : h_sessionID</t>
  </si>
  <si>
    <t>SAPI0192_20220121-135052320</t>
  </si>
  <si>
    <t>API0192-002</t>
  </si>
  <si>
    <t>Abnormal - Menguji fungsionalitas inquiry Topup LinkAja di API Management - MSISDN not found</t>
  </si>
  <si>
    <t>WPS : billingId1</t>
  </si>
  <si>
    <t>SAPI0193</t>
  </si>
  <si>
    <t>API0193-001</t>
  </si>
  <si>
    <t>Mitra mengirim message payment Topup LinkAja</t>
  </si>
  <si>
    <t>Menguji fungsionalitas payment Topup LinkAja di API Management</t>
  </si>
  <si>
    <t>h_sessionID sudah bisa di pake berkali2
jadi di dalam excel nya ada TC API0192-001, tapi itu nggak bakal ke record ke PDF, 
tujuannya cuma ambil h_sessionID aja
WPS : journal, h_sessionID
untuk ICONS 450 NoKredit pake 606915013</t>
  </si>
  <si>
    <t>10 Januari 2022</t>
  </si>
  <si>
    <t>SAPI0193_20220110-151431698</t>
  </si>
  <si>
    <t>API0193-002</t>
  </si>
  <si>
    <t>Abnormal - Menguji fungsionalitas payment Topup LinkAja di API Management - rekening invalid</t>
  </si>
  <si>
    <t>WPS : c_dbAccountNum</t>
  </si>
  <si>
    <t>API0193-003</t>
  </si>
  <si>
    <t>Abnormal - Menguji fungsionalitas payment Topup LinkAja di API Management - nominal kosong</t>
  </si>
  <si>
    <t>API0193-004</t>
  </si>
  <si>
    <t>Abnormal - Menguji fungsionalitas payment Topup LinkAja di API Management - invalid transaction</t>
  </si>
  <si>
    <t>"h_sessionID":"1c26945008080113"
WPS : h_sessionID</t>
  </si>
  <si>
    <t>SAPI0194</t>
  </si>
  <si>
    <t>API0194-001</t>
  </si>
  <si>
    <t>Mitra mengirim message inquiry Topup Gopay</t>
  </si>
  <si>
    <t>Menguji fungsionalitas inquiry Topup Gopay Customer di API Management</t>
  </si>
  <si>
    <t>PDF Terpisah khususnya untuk 004
WPS : h_reference</t>
  </si>
  <si>
    <t>2 Februari 2022</t>
  </si>
  <si>
    <t>SAPI0194_20220202-175348287</t>
  </si>
  <si>
    <t>API0194-002</t>
  </si>
  <si>
    <t>Menguji fungsionalitas inquiry Topup Gopay Merchant di API Management</t>
  </si>
  <si>
    <t>API0194-003</t>
  </si>
  <si>
    <t>Menguji fungsionalitas inquiry Topup Gopay Driver di API Management</t>
  </si>
  <si>
    <t>API0194-004</t>
  </si>
  <si>
    <t>Abnormal - Menguji fungsionalitas inquiry Topup Gopay Customer di API Management - Customer tidak ditemukan</t>
  </si>
  <si>
    <t>7 Februari 2022</t>
  </si>
  <si>
    <t>SAPI0194_20220207-163802308</t>
  </si>
  <si>
    <t>SAPI0195</t>
  </si>
  <si>
    <t>API0195-001</t>
  </si>
  <si>
    <t>Mitra mengirim message payment Topup Gopay</t>
  </si>
  <si>
    <t>Menguji fungsionalitas payment Topup Gopay Customer di API Management</t>
  </si>
  <si>
    <t>Nomor Kredit : 0315646968 (Nomor Kredit dapat dari GLIF)
WPS : journalNumber</t>
  </si>
  <si>
    <t>SAPI0195_20211231-121048857</t>
  </si>
  <si>
    <t>API0195-002</t>
  </si>
  <si>
    <t>Abnormal - Menguji fungsionalitas payment Topup Gopay Customer di API Management - nomor tidak ditemukan</t>
  </si>
  <si>
    <t>WPS : h_accountNumber</t>
  </si>
  <si>
    <t>API0195-003</t>
  </si>
  <si>
    <t>Abnormal - Menguji fungsionalitas payment Topup Gopay di API Management - invalid rekening</t>
  </si>
  <si>
    <t>API0195-004</t>
  </si>
  <si>
    <t>Abnormal - Menguji fungsionalitas payment Topup Gopay di API Management - saldo tidak cukup</t>
  </si>
  <si>
    <t>SAPI0196</t>
  </si>
  <si>
    <t>API0196-001</t>
  </si>
  <si>
    <t>Mitra mengirim message inquiry ISAKU</t>
  </si>
  <si>
    <t>Menguji fungsionalitas inquiry ISAKU di API Management</t>
  </si>
  <si>
    <t>PDF di pisah telebih dahulu
WPS : tranCode</t>
  </si>
  <si>
    <t>SAPI0196_20220216-164117041</t>
  </si>
  <si>
    <t>API0196-002</t>
  </si>
  <si>
    <t>Abnormal - Menguji fungsionalitas inquiry ISAKU di API Management - set RC IS02 pada Kingpin</t>
  </si>
  <si>
    <t>PDF di pisah telebih dahulu
WPS : billingId1, errorCode</t>
  </si>
  <si>
    <t>SAPI0196_20220324-123154782</t>
  </si>
  <si>
    <t>SAPI0197</t>
  </si>
  <si>
    <t>API0197-001</t>
  </si>
  <si>
    <t>Mitra mengirim message transfer payment ISAKU</t>
  </si>
  <si>
    <t>Menguji fungsionalitas transfer payment ISAKU di API Management</t>
  </si>
  <si>
    <t>Nomor Kredit : 0317082146 (Nomor Kredit dapat dari GLIF)
WPS : journal</t>
  </si>
  <si>
    <t>SAPI0197_20211231-122550680</t>
  </si>
  <si>
    <t>API0197-002</t>
  </si>
  <si>
    <t>Abnormal - Menguji fungsionalitas transfer payment ISAKU di API Management - dana tidak cukup</t>
  </si>
  <si>
    <t>AccountNumber 1000105846
WPS : c_accountNumber</t>
  </si>
  <si>
    <t>API0197-003</t>
  </si>
  <si>
    <t>Abnormal - Menguji fungsionalitas transfer payment ISAKU di API Management - rekening close</t>
  </si>
  <si>
    <t>Account Number 316999605
WPS : c_accountNumber</t>
  </si>
  <si>
    <t>SAPI0216</t>
  </si>
  <si>
    <t>API0216-001</t>
  </si>
  <si>
    <t>Mitra mengirim message inquiry Multimedia Firstmedia</t>
  </si>
  <si>
    <t>Menguji fungsionalitas inquiry Multimedia Firstmedia di API Management</t>
  </si>
  <si>
    <t>WPS tailcr : reffNum
WMB tailswitch : customerId
WMB tailswadapter : customerId</t>
  </si>
  <si>
    <t>SAPI0216_20220221-105642238</t>
  </si>
  <si>
    <t>SAPI0217</t>
  </si>
  <si>
    <t>API0217-001</t>
  </si>
  <si>
    <t>Mitra mengirim message transfer payment Multimedia Firstmedia</t>
  </si>
  <si>
    <t>Menguji fungsionalitas transfer payment Multimedia Firstmedia di API Management</t>
  </si>
  <si>
    <t>DB ASGARD2 :
Glif 
BILT</t>
  </si>
  <si>
    <t>WPS tailcr : reffNum
WMB tailswitch : reffNum
WMB tailswadapter : customerId
No Kredit : 7600000699</t>
  </si>
  <si>
    <t>SAPI0217_20220221-114308506</t>
  </si>
  <si>
    <t>API0217-002</t>
  </si>
  <si>
    <t>Abnormal - Menguji fungsionalitas transfer payment Multimedia Firstmedia di API Management - customerID tidak ditemukan</t>
  </si>
  <si>
    <t>WPS tailcr : customerId, errorCode
WMB tailswitch : customerId, errorCode + m:Fault
WMB tailswadapter : customerId</t>
  </si>
  <si>
    <t>API0217-003</t>
  </si>
  <si>
    <t>Abnormal - Menguji fungsionalitas transfer payment Multimedia Firsmedia di API Management - rekening stop</t>
  </si>
  <si>
    <t>SAPI0218</t>
  </si>
  <si>
    <t>API0218-001</t>
  </si>
  <si>
    <t>Mitra mengirim message transfer inquiry Multimedia MNC Vision</t>
  </si>
  <si>
    <t>Menguji fungsionalitas transfer inquiry Multimedia MNC Vision di API Management</t>
  </si>
  <si>
    <t>9 Maret 2022</t>
  </si>
  <si>
    <t>SAPI0218_20220309-174011462</t>
  </si>
  <si>
    <t>SAPI0219</t>
  </si>
  <si>
    <t>API0219-001</t>
  </si>
  <si>
    <t>Mitra mengirim message transfer payment Multimedia MNC Vision</t>
  </si>
  <si>
    <t>Menguji fungsionalitas transfer payment Multimedia MNC Vision di API Management</t>
  </si>
  <si>
    <t>WPS tailcr : reffNum
WMB tailswitch : reffNum
WMB tailswadapter : accountNum
No Kredit : 7600000598</t>
  </si>
  <si>
    <t>SAPI0219_20220302-150407013</t>
  </si>
  <si>
    <t>API0219-002</t>
  </si>
  <si>
    <t>Abnormal - Menguji fungsionalitas transfer payment Multimedia MNC Vision di API Management - customerID tidak ditemukan</t>
  </si>
  <si>
    <t>WPS : accountNum, errorCode
WMB tailswitch : accountNum + timeStamp, errorMessage + timeStamp
WMB tailswadapter : accountNum + timeStamp</t>
  </si>
  <si>
    <t>25 Maret 2022</t>
  </si>
  <si>
    <t>SAPI0219_20220325-180103885</t>
  </si>
  <si>
    <t>API0219-003</t>
  </si>
  <si>
    <t>Abnormal - Menguji fungsionalitas transfer payment Multimedia MNC Vision di API Management - rekening stop</t>
  </si>
  <si>
    <t>WPS tailcr : accountNum, errorCode
WMB tailswitch : accountNum, errorCode + m:Fault
WMB tailswadapter : accountNum</t>
  </si>
  <si>
    <t>SAPI0220</t>
  </si>
  <si>
    <t>API0220-001</t>
  </si>
  <si>
    <t>Mitra mengirim message transfer inquiry Multimedia Trans Vision</t>
  </si>
  <si>
    <t>Menguji fungsionalitas transfer inquiry Multimedia Trans Vision di API Management</t>
  </si>
  <si>
    <t>SAPI0220_20220216-171611890</t>
  </si>
  <si>
    <t>SAPI0221</t>
  </si>
  <si>
    <t>API0221-001</t>
  </si>
  <si>
    <t>Mitra mengirim message transfer payment Multimedia Trans Vision</t>
  </si>
  <si>
    <t>Menguji fungsionalitas transfer payment Multimedia Trans Vision di API Management</t>
  </si>
  <si>
    <t>WPS tailcr : reffNum
WMB tailswitch : reffNum
WMB tailswadapter : customerId
No Kredit : 7600040906</t>
  </si>
  <si>
    <t>31 Januari 2022</t>
  </si>
  <si>
    <t>SAPI0221_20220131-174636638</t>
  </si>
  <si>
    <t>SAPI0222</t>
  </si>
  <si>
    <t>API0222-001</t>
  </si>
  <si>
    <t>Mitra mengirim message inquiry Internet Speedy</t>
  </si>
  <si>
    <t>Menguji fungsionalitas inquiry Internet Speedy di API Management</t>
  </si>
  <si>
    <t>WPS tailcr : reffNum
WMB tailswitch : billNo
WMB tailswadapter : billNo</t>
  </si>
  <si>
    <t>SAPI0222_20220221-115609482</t>
  </si>
  <si>
    <t>SAPI0223</t>
  </si>
  <si>
    <t>API0223-001</t>
  </si>
  <si>
    <t>Mitra mengirim message transfer payment Internet Speedy</t>
  </si>
  <si>
    <t>Menguji fungsionalitas transfer payment Internet Speedy di API Management</t>
  </si>
  <si>
    <t>DB ASGARD2 :
Glif 
BILT
PRVD</t>
  </si>
  <si>
    <t>WPS tailcr : reffNum
WMB tailswitch : reffNum
WMB tailswadapter : billNo
No Kredit : 7602020900
Biller Code : 0004
Region Code : 0201</t>
  </si>
  <si>
    <t>SAPI0223_20220318-174730790</t>
  </si>
  <si>
    <t>API0223-002</t>
  </si>
  <si>
    <t>Abnormal - Menguji fungsionalitas transfer payment Internet Speedy di API Management - dana tidak cukup</t>
  </si>
  <si>
    <t>WPS tailcr : billNo, errorCode
WMB tailswitch : billNo, errorCode + m:Fault
WMB tailswadapter : billNo</t>
  </si>
  <si>
    <t>API0223-003</t>
  </si>
  <si>
    <t>Abnormal - Menguji fungsionalitas transfer payment Internet Speedy di API Management - tagihan tidak ditemukan</t>
  </si>
  <si>
    <t>error yg benar adalah
"errorCode":"SPEEDY14",
"errorDescription":"Nomor telepon tidak terdaftar dalam database TELKOM"
WPS tailcr : billNo, errorCode
WMB tailswitch : billNo, errorCode + m:Fault
WMB tailswadapter : billNo</t>
  </si>
  <si>
    <t>API0223-004</t>
  </si>
  <si>
    <t>Abnormal - Menguji fungsionalitas transfer payment Internet Speedy di API Management - tagihan sudah terbayar</t>
  </si>
  <si>
    <t>SAPI0224</t>
  </si>
  <si>
    <t>API0224-001</t>
  </si>
  <si>
    <t>Mitra mengirim message inquiry Multifinance OTO</t>
  </si>
  <si>
    <t>Menguji fungsionalitas inquiry Multifinance OTO di API Management</t>
  </si>
  <si>
    <t>WPS tailcr : reffNum
WMB tailswitch : billingID
WMB tailswadapter : billingID</t>
  </si>
  <si>
    <t>SAPI0224_20220222-161110175</t>
  </si>
  <si>
    <t>SAPI0225</t>
  </si>
  <si>
    <t>API0225-001</t>
  </si>
  <si>
    <t>Mitra mengirim message transfer payment Mutifinance OTO</t>
  </si>
  <si>
    <t>Menguji fungsionalitas transfer payment Multifinance OTO di API Management</t>
  </si>
  <si>
    <t>WPS tailcr : reffNum
WMB tailswitch : reffNum
WMB tailswadapter : accountNum
No Kredit : 0760036859
Biller Code : 0111
Region Code : 1002</t>
  </si>
  <si>
    <t>SAPI0225_20220222-160341812</t>
  </si>
  <si>
    <t>API0225-002</t>
  </si>
  <si>
    <t>Abnormal - Menguji fungsionalitas transfer payment Multifinance OTO di API Management - rekening stop</t>
  </si>
  <si>
    <t>API0225-003</t>
  </si>
  <si>
    <t>Abnormal - Menguji fungsionalitas transfer payment Multifinance OTO di API Management - rekening close</t>
  </si>
  <si>
    <t>SAPI0226</t>
  </si>
  <si>
    <t>API0226-001</t>
  </si>
  <si>
    <t>Mitra mengirim message inquiry Multifinance FIF</t>
  </si>
  <si>
    <t>Menguji fungsionalitas inquiry Multifinance FIF di API Management</t>
  </si>
  <si>
    <t>SAPI0226_20220222-162855688</t>
  </si>
  <si>
    <t>SAPI0227</t>
  </si>
  <si>
    <t>API0227-001</t>
  </si>
  <si>
    <t>Mitra mengirim message transfer payment Multifinance FIF</t>
  </si>
  <si>
    <t>Menguji fungsionalitas transfer payment Multifinance FIF di API Management</t>
  </si>
  <si>
    <t>WPS tailcr : reffNum
WMB tailswitch : reffNum
WMB tailswadapter : billingID
No Kredit : 0315600478
Biller Code : 0111
Region Code : 1004</t>
  </si>
  <si>
    <t>SAPI0227_20220222-162254878</t>
  </si>
  <si>
    <t>SAPI0228</t>
  </si>
  <si>
    <t>API0228-001</t>
  </si>
  <si>
    <t>Mitra mengirim message inquiry Multifinance Kredit Plus</t>
  </si>
  <si>
    <t>Menguji fungsionalitas inquiry Multifinance Kredit Plus di API Management</t>
  </si>
  <si>
    <t>SAPI0228_20220221-175443393</t>
  </si>
  <si>
    <t>SAPI0229</t>
  </si>
  <si>
    <t>API0229-001</t>
  </si>
  <si>
    <t>Mitra mengirim message transfer payment Multifinance Kredit Plus</t>
  </si>
  <si>
    <t>Menguji fungsionalitas payment Multifinance Kredit Plus di API Management</t>
  </si>
  <si>
    <t>WPS tailcr : reffNum
WMB tailswitch : reffNum
WMB tailswadapter : billingID
No Kredit : 0315600489
Biller Code : 0111
Region Code : 1005</t>
  </si>
  <si>
    <t>SAPI0229_20220221-174445767</t>
  </si>
  <si>
    <t>SAPI0230</t>
  </si>
  <si>
    <t>API0230-001</t>
  </si>
  <si>
    <t>Mitra mengirim message inquiry Multifinance NSC</t>
  </si>
  <si>
    <t>Menguji fungsionalitas inquiry Multifinance NSC di API Management</t>
  </si>
  <si>
    <t>SAPI0230_20220222-164514594</t>
  </si>
  <si>
    <t>SAPI0231</t>
  </si>
  <si>
    <t>API0231-001</t>
  </si>
  <si>
    <t>Mitra mengirim message payment Multifinance NSC</t>
  </si>
  <si>
    <t>Menguji fungsionalitas payment Multifinance NSC di API Management</t>
  </si>
  <si>
    <t>WPS tailcr : reffNum
WMB tailswitch : reffNum
WMB tailswadapter : billingID
No Kredit : 0760036859
Biller Code : 0111
Region Code : 1007</t>
  </si>
  <si>
    <t>SAPI0231_20220222-163917662</t>
  </si>
  <si>
    <t>SAPI0232</t>
  </si>
  <si>
    <t>API0232-001</t>
  </si>
  <si>
    <t>Mitra mengirim message inquiry Multifinance SMS</t>
  </si>
  <si>
    <t>Menguji fungsionalitas inquiry Multifinance SMS di API Management</t>
  </si>
  <si>
    <t>harusnya inquiry multifinance SMS</t>
  </si>
  <si>
    <t>SAPI0232_20220223-153633861</t>
  </si>
  <si>
    <t>SAPI0233</t>
  </si>
  <si>
    <t>API0233-001</t>
  </si>
  <si>
    <t>Mitra mengirim message payment Multifinance SMS</t>
  </si>
  <si>
    <t>Menguji fungsionalitas payment Multifinance SMS di API Management</t>
  </si>
  <si>
    <t>WPS tailcr : reffNum
WMB tailswitch : reffNum
WMB tailswadapter : billingID
No Kredit : 0315600490
Biller Code : 0111
Region Code : 1006</t>
  </si>
  <si>
    <t>SAPI0233_20220222-170348803</t>
  </si>
  <si>
    <t>SAPI0234</t>
  </si>
  <si>
    <t>API0234-001</t>
  </si>
  <si>
    <t>Mitra mengirim message inquiry Multifinance ACC</t>
  </si>
  <si>
    <t>Menguji fungsionalitas inquiry Multifinance ACC di API Management</t>
  </si>
  <si>
    <t>SAPI0234_20220223-160347957</t>
  </si>
  <si>
    <t>SAPI0235</t>
  </si>
  <si>
    <t>API0235-001</t>
  </si>
  <si>
    <t>Mitra mengirim message payment Multifinance ACC</t>
  </si>
  <si>
    <t>Menguji fungsionalitas payment Multifinance ACC di API Management</t>
  </si>
  <si>
    <t>WPS tailcr : reffNum
WMB tailswitch : reffNum
WMB tailswadapter : billingID
No Kredit : 1834567859
Biller Code : 0092
Region Code : 0300</t>
  </si>
  <si>
    <t>SAPI0235_20220223-155423795</t>
  </si>
  <si>
    <t>SAPI0236</t>
  </si>
  <si>
    <t>API0236-001</t>
  </si>
  <si>
    <t>Mitra mengirim message inquiry Multifinance BAF</t>
  </si>
  <si>
    <t>Menguji fungsionalitas inquiry Multifinance BAF di API Management</t>
  </si>
  <si>
    <t>SAPI0236_20220224-104834322</t>
  </si>
  <si>
    <t>API0236-002</t>
  </si>
  <si>
    <t>Abnormal - Menguji fungsionalitas inquiry Multifinance BAF di API Management - tagihan tidak ditemukan</t>
  </si>
  <si>
    <t>WPS tailcr : billingID, errorCode
WMB tailswitch : billingID, errorCode + faultCode
WMB tailswadapter : billingID</t>
  </si>
  <si>
    <t>API0236-003</t>
  </si>
  <si>
    <t>Abnormal - Menguji fungsionalitas inquiry Multifinance BAF di API Management - tagihan sudah dibayar</t>
  </si>
  <si>
    <t>SAPI0237</t>
  </si>
  <si>
    <t>API0237-001</t>
  </si>
  <si>
    <t>Mitra mengirim message payment Multifinance BAF</t>
  </si>
  <si>
    <t>Menguji fungsionalitas payment Multifinance BAF di API Management</t>
  </si>
  <si>
    <t>WPS tailcr : reffNum
WMB tailswitch : reffNum
WMB tailswadapter : billingID
No Kredit : 0113180654
Biller Code : 0111
Region Code : 1014</t>
  </si>
  <si>
    <t>SAPI0237_20220223-161800223</t>
  </si>
  <si>
    <t>SAPI0238</t>
  </si>
  <si>
    <t>API0238-001</t>
  </si>
  <si>
    <t>Mitra mengirim message inquiry Multifinance Adira</t>
  </si>
  <si>
    <t>Menguji fungsionalitas inquiry Multifinance Adira di API Management</t>
  </si>
  <si>
    <t>SAPI0238_20220224-161553534</t>
  </si>
  <si>
    <t>SAPI0239</t>
  </si>
  <si>
    <t>API0239-001</t>
  </si>
  <si>
    <t>Mitra mengirim message payment Multifinance Adira</t>
  </si>
  <si>
    <t>Menguji fungsionalitas payment Multifinance Adira di API Management</t>
  </si>
  <si>
    <t>WPS tailcr : reffNum
WMB tailswitch : reffNum
WMB tailswadapter : accountNum
No Kredit : 7608887605
Biller Code : 0111
Region Code : 1003</t>
  </si>
  <si>
    <t>SAPI0239_20220318-161541849</t>
  </si>
  <si>
    <t>API0239-002</t>
  </si>
  <si>
    <t>Abnormal - Menguji fungsionalitas payment Multifinance Adira di API Management - dana tidak cukup</t>
  </si>
  <si>
    <t>WPS tailcr : accountNum, errorCode
WMB tailswitch : accountNum, errorCode + faultCode
WMB tailswadapter : accountNum</t>
  </si>
  <si>
    <t>SAPI0240</t>
  </si>
  <si>
    <t>API0240-001</t>
  </si>
  <si>
    <t>Mitra mengirim message inquiry Pajak Daerah</t>
  </si>
  <si>
    <t>Menguji fungsionalitas inquiry Pajak Daerah di API Management</t>
  </si>
  <si>
    <t>PDF di pisah telebih dahulu
WPS tailcr : reffNum
WMB tailswitch : nop
WMB tailswadapter : nop</t>
  </si>
  <si>
    <t>SAPI0240_20220223-181227911</t>
  </si>
  <si>
    <t>API0240-002</t>
  </si>
  <si>
    <t>Abnormal - Menguji fungsionalitas inquiry Pajak Daerah di API Management - bill already paid</t>
  </si>
  <si>
    <t>PDF di pisah telebih dahulu
WPS tailcr : nop, errorCode
WMB tailswitch : nop + timeStamp, errorMessage + timeStamp
WMB tailswadapter : nop + timeStamp</t>
  </si>
  <si>
    <t>SAPI0240_20220323-124505179</t>
  </si>
  <si>
    <t>SAPI0241</t>
  </si>
  <si>
    <t>API0241-001</t>
  </si>
  <si>
    <t>Mitra mengirim message payment Pajak Daerah</t>
  </si>
  <si>
    <t>Menguji fungsionalitas payment Pajak Daerah di API Management</t>
  </si>
  <si>
    <t>WPS tailcr : reffNum
WMB tailswitch : reffNum
WMB tailswadapter : accountNum
No Kredit : 0315624149
Biller Code : 0151
Region Code : 2001</t>
  </si>
  <si>
    <t>SAPI0241_20220223-180403081</t>
  </si>
  <si>
    <t>API0241-002</t>
  </si>
  <si>
    <t>Abnormal - Menguji fungsionalitas payment Pajak Daerah di API Management - dana tidak cukup</t>
  </si>
  <si>
    <t>API0241-003</t>
  </si>
  <si>
    <t>Abnormal - Menguji fungsionalitas payment Pajak Daerah di API Management - invalid rekening</t>
  </si>
  <si>
    <t>SAPI0242</t>
  </si>
  <si>
    <t>API0242-001</t>
  </si>
  <si>
    <t>Mitra mengirim message inquiry Kereta Api Indonesia</t>
  </si>
  <si>
    <t>Menguji fungsionalitas inquiry KAI di API Management</t>
  </si>
  <si>
    <t xml:space="preserve">Tidak ada validasi DB
</t>
  </si>
  <si>
    <t>PDF di pisah telebih dahulu
WPS tailcr : reffNum
WMB tailswitch : billingID
WMB tailswadapter : billingID</t>
  </si>
  <si>
    <t>SAPI0242_20220224-114301870</t>
  </si>
  <si>
    <t>API0242-002</t>
  </si>
  <si>
    <t>Abnormal - Menguji fungsionalitas inquiry KAI di API Management - nomor billing salah</t>
  </si>
  <si>
    <t>PDF di pisah telebih dahulu
WPS tailcr : billingID, errorCode
WMB tailswitch : billingID + Timestamp, errorMessage + Timestamp
WMB tailswadapter : billingID + Timestamp</t>
  </si>
  <si>
    <t>SAPI0242_20220524-111625601</t>
  </si>
  <si>
    <t>SAPI0243</t>
  </si>
  <si>
    <t>API0243-001</t>
  </si>
  <si>
    <t>Mitra mengirim message payment Kereta Api Indonesia</t>
  </si>
  <si>
    <t>Menguji fungsionalitas payment KAI di API Management</t>
  </si>
  <si>
    <t>PDF di pisah telebih dahulu
WPS tailcr : reffNum
WMB tailswitch : reffNum
WMB tailswadapter : accountNum
No Kredit : 0247294942
Biller Code : 0106
Region Code : 0000</t>
  </si>
  <si>
    <t>SAPI0243_20220224-113423642</t>
  </si>
  <si>
    <t>API0243-002</t>
  </si>
  <si>
    <t>Abnormal - Menguji fungsionalitas payment KAI di API Management - billing already paid</t>
  </si>
  <si>
    <t>PDF di pisah telebih dahulu
WPS tailcr : accountNum, errorCode
WMB tailswitch : accountNum + timeStamp, errorMessage + timeStamp
WMB tailswadapter : accountNum + timeStamp</t>
  </si>
  <si>
    <t>SAPI0243_20220412-140809760</t>
  </si>
  <si>
    <t>API0243-003</t>
  </si>
  <si>
    <t>Abnormal - Menguji fungsionalitas payment KAI di API Management - dana tidak cukup</t>
  </si>
  <si>
    <t>PDF di pisah telebih dahulu
WPS tailcr : accountNum, errorCode
WMB tailswitch : accountNum, errorCode + faultCode
WMB tailswadapter : accountNum</t>
  </si>
  <si>
    <t>API0243-004</t>
  </si>
  <si>
    <t>Abnormal - Menguji fungsionalitas payment KAI di API Management - rekening invalid</t>
  </si>
  <si>
    <t>API0243-005</t>
  </si>
  <si>
    <t>Abnormal - Menguji fungsionalitas payment KAI di API Management - rekening close</t>
  </si>
  <si>
    <t>SAPI0244</t>
  </si>
  <si>
    <t>API0244-001</t>
  </si>
  <si>
    <t>Mitra mengirim message inquiry Railink</t>
  </si>
  <si>
    <t>Menguji fungsionalitas inquiry Railink di API Management</t>
  </si>
  <si>
    <t>SAPI0244_20220224-121003399</t>
  </si>
  <si>
    <t>API0244-002</t>
  </si>
  <si>
    <t>Abnormal - Menguji fungsionalitas inquiry Railink di API Management - nomor tagihan tidak ditemukan</t>
  </si>
  <si>
    <t>PDF di pisah telebih dahulu
WPS tailcr : billingID, errorCode
WMB tailswitch : billingID + timeStamp, errorMessage + timeStamp
WMB tailswadapter : AD_Base24API+ timeStamp</t>
  </si>
  <si>
    <t>SAPI0244_20220324-152841526</t>
  </si>
  <si>
    <t>API0244-003</t>
  </si>
  <si>
    <t>Abnormal - Menguji fungsionalitas inquiry Railink di API Management - nomor tagihan sudah terbayar</t>
  </si>
  <si>
    <t>SAPI0244_20220324-154619429</t>
  </si>
  <si>
    <t>SAPI0245</t>
  </si>
  <si>
    <t>API0245-001</t>
  </si>
  <si>
    <t>Mitra mengirim message payment Railink</t>
  </si>
  <si>
    <t>Menguji fungsionalitas payment Railink di API Management</t>
  </si>
  <si>
    <t>WPS tailcr : reffNum
WMB tailswitch : reffNum
WMB tailswadapter : accountNum
No Kredit : 0317118324
Biller Code : 0122
Region Code : 0001</t>
  </si>
  <si>
    <t>SAPI0245_20220224-160649302</t>
  </si>
  <si>
    <t>API0245-002</t>
  </si>
  <si>
    <t>Abnormal - Menguji fungsionalitas payment Railink di API Management - dana tidak cukup</t>
  </si>
  <si>
    <t>API0245-003</t>
  </si>
  <si>
    <t>Abnormal - Menguji fungsionalitas payment Railink di API Management - rekening invalid</t>
  </si>
  <si>
    <t>SAPI0246</t>
  </si>
  <si>
    <t>API0246-001</t>
  </si>
  <si>
    <t>Mitra mengirim message inquiry Tiket Penerbangan Citilink</t>
  </si>
  <si>
    <t>Menguji fungsionalitas inquiry Tiket Penerbangan Citilink di API Management</t>
  </si>
  <si>
    <t>SAPI0246_20220224-115611470</t>
  </si>
  <si>
    <t>API0246-002</t>
  </si>
  <si>
    <t>Abnormal - Menguji fungsionalitas inquiry Tiket Penerbangan Citilink di API Management - billing tidak ditemukan</t>
  </si>
  <si>
    <t>WPS tailcr : billingId, errNR
WMB tailswitch : billingId+ timeStamp, errorMessage + timeStamp
WMB tailswadapter : billingId+ timeStamp</t>
  </si>
  <si>
    <t>SAPI0246_20220412-130353254</t>
  </si>
  <si>
    <t>SAPI0247</t>
  </si>
  <si>
    <t>API0247-001</t>
  </si>
  <si>
    <t>Mitra mengirim message payment Tiket Penerbangan Citilink</t>
  </si>
  <si>
    <t>Menguji fungsionalitas payment Tiket Penerbangan Citilink di API Management</t>
  </si>
  <si>
    <t>WPS tailcr : reffNum
WMB tailswitch : reffNum
WMB tailswadapter : accountNum
No Kredit : 7601020004
Biller Code : 0102
Region Code : 0000</t>
  </si>
  <si>
    <t>SAPI0247_20220223-184422382</t>
  </si>
  <si>
    <t>API0247-002</t>
  </si>
  <si>
    <t>Abnormal - Menguji fungsionalitas payment Tiket Penerbangan Citilink di API Management - dana tidak cukup</t>
  </si>
  <si>
    <t>SAPI0248</t>
  </si>
  <si>
    <t>API0248-001</t>
  </si>
  <si>
    <t>Mitra mengirim message inquiry Tiket Penerbangan Garuda</t>
  </si>
  <si>
    <t>Menguji fungsionalitas inquiry Tiket Penerbangan Garuda di API Management</t>
  </si>
  <si>
    <t>WPS tailcr : reffNum 
WMB tailswitch : billingID 
WMB tailswadapter : billingID</t>
  </si>
  <si>
    <t>SAPI0248_20220225-102715049</t>
  </si>
  <si>
    <t>SAPI0249</t>
  </si>
  <si>
    <t>API0249-001</t>
  </si>
  <si>
    <t>Mitra mengirim message payment Tiket Penerbangan Garuda</t>
  </si>
  <si>
    <t>Menguji fungsionalitas payment Tiket Penerbangan Garuda di API Management</t>
  </si>
  <si>
    <t>WPS tailcr : reffNum
WMB tailswitch : reffNum
WMB tailswadapter : billingID
No Kredit : 0760005571
Biller Code : 0017
Region Code : 0001</t>
  </si>
  <si>
    <t>SAPI0249_20220225-102043809</t>
  </si>
  <si>
    <t>SAPI0250</t>
  </si>
  <si>
    <t>API0250-001</t>
  </si>
  <si>
    <t>Mitra mengirim message inquiry Tiket Penerbangan Lion Air</t>
  </si>
  <si>
    <t>Menguji fungsionalitas inquiry Tiket Penerbangan Lion Air di API Management</t>
  </si>
  <si>
    <t>SAPI0250_20220225-174146009</t>
  </si>
  <si>
    <t>SAPI0251</t>
  </si>
  <si>
    <t>API0251-001</t>
  </si>
  <si>
    <t>Mitra mengirim message payment Tiket Penerbangan Lion Air</t>
  </si>
  <si>
    <t>Menguji fungsionalitas payment Tiket Penerbangan Lion Air di API Management</t>
  </si>
  <si>
    <t>WPS tailcr : reffNum
WMB tailswitch : reffNum
WMB tailswadapter : accountNum
No Kredit : 0127485185
Biller Code : 0068
Region Code : 0002</t>
  </si>
  <si>
    <t>SAPI0251_20220225-173500161</t>
  </si>
  <si>
    <t>API0251-002</t>
  </si>
  <si>
    <t>Abnormal - Menguji fungsionalitas payment Tiket Penerbangan Lion Air di API Management - rekening stop</t>
  </si>
  <si>
    <t>SAPI0252</t>
  </si>
  <si>
    <t>API0252-001</t>
  </si>
  <si>
    <t>Mitra mengirim message inquiry Tiket Penerbangan Air Asia</t>
  </si>
  <si>
    <t>Menguji fungsionalitas inquiry Tiket Penerbangan Air Asia di API Management</t>
  </si>
  <si>
    <t>SAPI0252_20220225-182149030</t>
  </si>
  <si>
    <t>SAPI0253</t>
  </si>
  <si>
    <t>API0253-001</t>
  </si>
  <si>
    <t>Mitra mengirim message payment Tiket Penerbangan Air Asia</t>
  </si>
  <si>
    <t>Menguji fungsionalitas payment Tiket Penerbangan Air Asia di API Management</t>
  </si>
  <si>
    <t>WPS tailcr : reffNum
WMB tailswitch : reffNum
WMB tailswadapter : accountNum
No Kredit : 7600000780
Biller Code : 0078
Region Code : 0000</t>
  </si>
  <si>
    <t>SAPI0253_20220225-181105642</t>
  </si>
  <si>
    <t>API0253-002</t>
  </si>
  <si>
    <t>Abnormal - Menguji fungsionalitas payment Tiket Penerbangan Air Asia di API Management - rekening invalid</t>
  </si>
  <si>
    <t>SAPI0254</t>
  </si>
  <si>
    <t>API0254-001</t>
  </si>
  <si>
    <t>Mitra mengirim message inquiry Tiket Penerbangan Sriwijaya</t>
  </si>
  <si>
    <t>Menguji fungsionalitas inquiry Tiket Penerbangan Sriwijaya di API Management</t>
  </si>
  <si>
    <t>SAPI0254_20220225-184810108</t>
  </si>
  <si>
    <t>SAPI0255</t>
  </si>
  <si>
    <t>API0255-001</t>
  </si>
  <si>
    <t>Mitra mengirim message payment Tiket Penerbangan Sriwijaya</t>
  </si>
  <si>
    <t>Menguji fungsionalitas payment Tiket Penerbangan Sriwijaya di API Management</t>
  </si>
  <si>
    <t>WPS tailcr : reffNum
WMB tailswitch : reffNum
WMB tailswadapter : billingID
No Kredit : 7602500089
Biller Code : 0025
Region Code : 0008</t>
  </si>
  <si>
    <t>SAPI0255_20220225-183451706</t>
  </si>
  <si>
    <t>SAPI0256</t>
  </si>
  <si>
    <t>API0256-001</t>
  </si>
  <si>
    <t>Mitra mengirim message inquiry Top Up Agen Citilink</t>
  </si>
  <si>
    <t>Menguji fungsionalitas inquiry Top Up Agen Citilink di API Management</t>
  </si>
  <si>
    <t>WPS tailcr : reffNum 
WMB tailswitch : reffNum 
WMB tailswadapter : agentCode</t>
  </si>
  <si>
    <t>SAPI0256_20220315-102336375</t>
  </si>
  <si>
    <t>SAPI0257</t>
  </si>
  <si>
    <t>API0257-001</t>
  </si>
  <si>
    <t>Mitra mengirim message payment Top Up Agen Citilink</t>
  </si>
  <si>
    <t>Menguji fungsionalitas payment Top Up Agen Citilink di API Management</t>
  </si>
  <si>
    <t>WPS tailcr : reffNum
WMB tailswitch : reffNum
WMB tailswadapter : accountNum
No Kredit : 7600368711
Biller Code : 0129
Region Code : 9246</t>
  </si>
  <si>
    <t>SAPI0257_20220225-110346878</t>
  </si>
  <si>
    <t>SAPI0259</t>
  </si>
  <si>
    <t>API0259-001</t>
  </si>
  <si>
    <t>Mitra mengirim message payment CC Non BNI</t>
  </si>
  <si>
    <t>Menguji fungsionalitas payment CC Non BNI - BRI di API Management</t>
  </si>
  <si>
    <t>WPS tailcr : reffNum
WMB tailswitch : reffNum
WMB tailswadapter : cardNum
No Kredit : 7600002347
Biller Code : 0110
Region Code : 0000</t>
  </si>
  <si>
    <t>SAPI0259_20220318-132853819</t>
  </si>
  <si>
    <t>API0259-002</t>
  </si>
  <si>
    <t>Abnormal - Menguji fungsionalitas payment CC Non BNI - BRI di API Management - cardnum invalid</t>
  </si>
  <si>
    <t>WPS tailcr : BP_Postpaid</t>
  </si>
  <si>
    <t>API0259-003</t>
  </si>
  <si>
    <t>Abnormal - Menguji fungsionalitas payment CC Non BNI - BRI di API Management - rekening invalid</t>
  </si>
  <si>
    <t>WPS tailcr : cardNum, errorCode
WMB tailswitch : cardNum, errorCode + faultCode
WMB tailswadapter : cardNum</t>
  </si>
  <si>
    <t>API0259-004</t>
  </si>
  <si>
    <t>Menguji fungsionalitas payment CC Non BNI - HSBC di API Management</t>
  </si>
  <si>
    <t>WPS tailcr : reffNum
WMB tailswitch : reffNum
WMB tailswadapter : cardNum
No Kredit : 7600000145
Biller Code : 0014
Region Code : 0000</t>
  </si>
  <si>
    <t>API0259-005</t>
  </si>
  <si>
    <t>Abnormal - Menguji fungsionalitas payment CC Non BNI - HSBC di API Management - dana tidak cukup</t>
  </si>
  <si>
    <t>API0259-006</t>
  </si>
  <si>
    <t>Abnormal - Menguji fungsionalitas payment CC Non BNI - HSBC di API Management - rekening close</t>
  </si>
  <si>
    <t>API0259-007</t>
  </si>
  <si>
    <t>Menguji fungsionalitas payment CC Non BNI - Danamon di API Management</t>
  </si>
  <si>
    <t>WPS tailcr : reffNum
WMB tailswitch : reffNum
WMB tailswadapter : cardNum
No Kredit : 7600000394
Biller Code : 0039
Region Code : 0000</t>
  </si>
  <si>
    <t>API0259-008</t>
  </si>
  <si>
    <t>Menguji fungsionalitas payment CC Non BNI - Bukopin di API Management</t>
  </si>
  <si>
    <t>WPS tailcr : reffNum
WMB tailswitch : reffNum
WMB tailswadapter : cardNum
No Kredit : 7600002347
Biller Code : 0070
Region Code : 0000</t>
  </si>
  <si>
    <t>API0259-009</t>
  </si>
  <si>
    <t>Menguji fungsionalitas payment CC Non BNI - ANZ di API Management</t>
  </si>
  <si>
    <t>WPS tailcr : reffNum
WMB tailswitch : reffNum
WMB tailswadapter : cardNum
No Kredit : 7600000156
Biller Code : 0015
Region Code : 0000</t>
  </si>
  <si>
    <t>SAPI0260</t>
  </si>
  <si>
    <t>API0260-001</t>
  </si>
  <si>
    <t>Mitra mengirim message payment Asuransi Prudential First</t>
  </si>
  <si>
    <t>Menguji fungsionalitas payment Asuransi Prudential First di API Management</t>
  </si>
  <si>
    <t>WPS tailcr : reffNum
WMB tailswitch : reffNum
WMB tailswadapter : accountNum
No Kredit : 7600000554
Biller Code : 0056
Region Code : 7250</t>
  </si>
  <si>
    <t>1 Maret 2022</t>
  </si>
  <si>
    <t>SAPI0260_20220301-152421595</t>
  </si>
  <si>
    <t>API0260-002</t>
  </si>
  <si>
    <t>Abnormal - Menguji fungsionalitas payment Asuransi Prudential First di API Management - dana tidak cukup</t>
  </si>
  <si>
    <t>API0260-003</t>
  </si>
  <si>
    <t>Abnormal - Menguji fungsionalitas payment Asuransi Prudential First di API Management - rekening stop</t>
  </si>
  <si>
    <t>SAPI0261</t>
  </si>
  <si>
    <t>API0261-001</t>
  </si>
  <si>
    <t>Mitra mengirim message inquiry Asuransi Prudential</t>
  </si>
  <si>
    <t>Menguji fungsionalitas inquiry Asuransi Prudential Lanjutan di API Management</t>
  </si>
  <si>
    <t>WPS tailcr : reffNum 
WMB tailswitch : reffNum 
WMB tailswadapter : billingID</t>
  </si>
  <si>
    <t>SAPI0261_20220309-181514218</t>
  </si>
  <si>
    <t>API0261-002</t>
  </si>
  <si>
    <t>Menguji fungsionalitas inquiry Asuransi Prudential Topup Premi di API Management</t>
  </si>
  <si>
    <t>API0261-003</t>
  </si>
  <si>
    <t>Menguji fungsionalitas inquiry Asuransi Prudential Cetak Ulang Polis di API Management</t>
  </si>
  <si>
    <t>API0261-004</t>
  </si>
  <si>
    <t>Menguji fungsionalitas inquiry Asuransi Prudential Perubahan Polis di API Management</t>
  </si>
  <si>
    <t>API0261-005</t>
  </si>
  <si>
    <t>Menguji fungsionalitas inquiry Asuransi Prudential Cetak Kartu di API Management</t>
  </si>
  <si>
    <t>SAPI0262</t>
  </si>
  <si>
    <t>API0262-001</t>
  </si>
  <si>
    <t>Mitra mengirim message payment Asuransi Prudential</t>
  </si>
  <si>
    <t>Menguji fungsionalitas payment Asuransi Prudential Lanjutan di API Management</t>
  </si>
  <si>
    <t>WPS tailcr : reffNum
WMB tailswitch : reffNum
WMB tailswadapter : billingID
No Kredit : 7600000554
Biller Code : 0055
Region Code : 7251</t>
  </si>
  <si>
    <t>SAPI0262_20220301-171454410</t>
  </si>
  <si>
    <t>API0262-002</t>
  </si>
  <si>
    <t>Menguji fungsionalitas payment Asuransi Prudential Topup Premi di API Management</t>
  </si>
  <si>
    <t>WPS tailcr : reffNum
WMB tailswitch : reffNum
WMB tailswadapter : billingID
No Kredit : 7600000554
Biller Code : 0055
Region Code : 7252</t>
  </si>
  <si>
    <t>API0262-003</t>
  </si>
  <si>
    <t>Menguji fungsionalitas payment Asuransi Prudential Cetak Ulang Polis di API Management</t>
  </si>
  <si>
    <t>WPS tailcr : reffNum
WMB tailswitch : reffNum
WMB tailswadapter : billingID
No Kredit : 7600000554
Biller Code : 0055
Region Code : 7253</t>
  </si>
  <si>
    <t>API0262-004</t>
  </si>
  <si>
    <t>Menguji fungsionalitas payment Asuransi Prudential Perubahan Polis di API Management</t>
  </si>
  <si>
    <t>WPS tailcr : reffNum
WMB tailswitch : reffNum
WMB tailswadapter : billingID
No Kredit : 7600000554
Biller Code : 0055
Region Code : 7254</t>
  </si>
  <si>
    <t>API0262-005</t>
  </si>
  <si>
    <t>Menguji fungsionalitas payment Asuransi Prudential Cetak Kartu di API Management</t>
  </si>
  <si>
    <t>WPS tailcr : reffNum
WMB tailswitch : reffNum
WMB tailswadapter : billingID
No Kredit : 7600000554
Biller Code : 0055
Region Code : 7255</t>
  </si>
  <si>
    <t>SAPI0271</t>
  </si>
  <si>
    <t>API0271-001</t>
  </si>
  <si>
    <t>Mitra mengirim message inquiry Asuransi Bumi Putera</t>
  </si>
  <si>
    <t>Menguji fungsionalitas inquiry Asuransi Bumi Putera Pertama di API Management</t>
  </si>
  <si>
    <t>SAPI0271_20220301-174234726</t>
  </si>
  <si>
    <t>API0271-002</t>
  </si>
  <si>
    <t>Menguji fungsionalitas inquiry Asuransi Bumi Putera Lanjutan di API Management</t>
  </si>
  <si>
    <t>API0271-003</t>
  </si>
  <si>
    <t>Menguji fungsionalitas inquiry Asuransi Bumi Putera Topup Premi di API Management</t>
  </si>
  <si>
    <t>SAPI0272</t>
  </si>
  <si>
    <t>API0272-001</t>
  </si>
  <si>
    <t>Mitra mengirim message payment Asuransi Bumi Putera</t>
  </si>
  <si>
    <t>Menguji fungsionalitas payment Asuransi Bumi Putera Pertama di API Management</t>
  </si>
  <si>
    <t>WPS tailcr : reffNum
WMB tailswitch : reffNum
WMB tailswadapter : billingID
No Kredit : 0315746087
Biller Code : 1033
Region Code : 0001</t>
  </si>
  <si>
    <t>10 Maret 2022</t>
  </si>
  <si>
    <t>SAPI0272_20220310-190802110</t>
  </si>
  <si>
    <t>API0272-002</t>
  </si>
  <si>
    <t>Menguji fungsionalitas payment Asuransi Bumi Putera Lanjutan di API Management</t>
  </si>
  <si>
    <t>WPS tailcr : reffNum
WMB tailswitch : reffNum
WMB tailswadapter : billingID
No Kredit : 0315746123
Biller Code : 1033
Region Code : 0011</t>
  </si>
  <si>
    <t>API0272-003</t>
  </si>
  <si>
    <t>Menguji fungsionalitas payment Asuransi Bumi Putera Topup Premi di API Management</t>
  </si>
  <si>
    <t>WPS tailcr : reffNum
WMB tailswitch : reffNum
WMB tailswadapter : billingID
No Kredit : 0315746134
Biller Code : 1033
Region Code : 0021</t>
  </si>
  <si>
    <t>SAPI0277</t>
  </si>
  <si>
    <t>API0277-001</t>
  </si>
  <si>
    <t>Mitra mengirim message inquiry MHP Asuransi BNI Life Pandai</t>
  </si>
  <si>
    <t>Menguji fungsionalitas inquiry MHP Asuransi BNI Life Pandai di API Management</t>
  </si>
  <si>
    <t>WPS : h_registrationnumber</t>
  </si>
  <si>
    <t>11 Januari 2022</t>
  </si>
  <si>
    <t>SAPI0277_20220111-092421690</t>
  </si>
  <si>
    <t>API0277-002</t>
  </si>
  <si>
    <t>Menguji fungsionalitas inquiry MHP Asuransi BNI Life Pandai + di API Management</t>
  </si>
  <si>
    <t>SAPI0278</t>
  </si>
  <si>
    <t>API0278-001</t>
  </si>
  <si>
    <t>Mitra mengirim message payment transfer MHP Asuransi BNI Life Pandai</t>
  </si>
  <si>
    <t>Menguji fungsionalitas payment transfer MHP Asuransi BNI Life Pandai di API Management</t>
  </si>
  <si>
    <t>WPS : journal
untuk WMB TC Normal, Verifikasi cukup sekali aja karena di WMB policyNum ada no journal
WMB : policyNum
Biller Code : 0076
Region Code : 0103
No Kredit : 0145694775</t>
  </si>
  <si>
    <t>12 Januari 2022</t>
  </si>
  <si>
    <t>SAPI0278_20220112-163256031</t>
  </si>
  <si>
    <t>API0278-002</t>
  </si>
  <si>
    <t>Menguji fungsionalitas payment transfer MHP Asuransi BNI Life Pandai + di API Management</t>
  </si>
  <si>
    <t>SAPI0279</t>
  </si>
  <si>
    <t>API0279-001</t>
  </si>
  <si>
    <t>Mitra mengirim message payment reinquiry MHP Asuransi BNI Life Pandai</t>
  </si>
  <si>
    <t>Menguji fungsionalitas payment reinquiry MHP Asuransi BNI Life Pandai di API Management</t>
  </si>
  <si>
    <t>SAPI0279_20220111-093545257</t>
  </si>
  <si>
    <t>API0279-002</t>
  </si>
  <si>
    <t>Menguji fungsionalitas payment reinquiry MHP Asuransi BNI Life Pandai + di API Management</t>
  </si>
  <si>
    <t>SAPI0283</t>
  </si>
  <si>
    <t>API0283-001</t>
  </si>
  <si>
    <t>Mitra mengirim message inquiry MHP Asuransi Jiwasraya</t>
  </si>
  <si>
    <t>Menguji fungsionalitas inquiry MHP Asuransi Jiwasraya di API Management</t>
  </si>
  <si>
    <t>PDF di pisah telebih dahulu
WPS : billingID, tranCode</t>
  </si>
  <si>
    <t>SAPI0283_20220324-104316394</t>
  </si>
  <si>
    <t>API0283-002</t>
  </si>
  <si>
    <t>Abnormal - Menguji fungsionalitas inquiry MHP Asuransi Jiwasraya di API Management - billing ID tidak ditemukan</t>
  </si>
  <si>
    <t>PDF di pisah telebih dahulu
WPS : billingID, errorCode</t>
  </si>
  <si>
    <t>SAPI0283_20220325-132257253</t>
  </si>
  <si>
    <t>API0283-003</t>
  </si>
  <si>
    <t>Abnormal - Menguji fungsionalitas inquiry MHP Asuransi Jiwasraya di API Management - billing sudah dibayar</t>
  </si>
  <si>
    <t>SAPI0283_20220401-153203247</t>
  </si>
  <si>
    <t>SAPI0284</t>
  </si>
  <si>
    <t>API0284-001</t>
  </si>
  <si>
    <t>Mitra mengirim message payment transfer MHP Jiwasraya</t>
  </si>
  <si>
    <t>Menguji fungsionalitas payment transfer MHP Jiwasraya di API Management</t>
  </si>
  <si>
    <t>DB SOA_APP :
MHP_BILLING
DB ASGARD2 :
Glif 
BILT
PRVD</t>
  </si>
  <si>
    <t>WPS Sharing Biller : journal
WMB : journal, BillingID
No Kredit : 2508201527
Biller Code : 0135
Region Code : 0001</t>
  </si>
  <si>
    <t>SAPI0284_20220202-092105193</t>
  </si>
  <si>
    <t>Jadwal Shifting UFT AJA kwkwk</t>
  </si>
  <si>
    <t>j</t>
  </si>
  <si>
    <t>NPP</t>
  </si>
  <si>
    <t>Anfasa Candra Diputra</t>
  </si>
  <si>
    <t>Ade Muhammad Nur Fauzi</t>
  </si>
  <si>
    <t>Oki Kus Mahesa</t>
  </si>
  <si>
    <t>Muhammad Rafly Rafsanjani</t>
  </si>
  <si>
    <t xml:space="preserve">Modul Priority Phase 1 (Updated June 2026) </t>
  </si>
  <si>
    <t>Source : https://bankbnitbk.sharepoint.com/sites/TSADeliveryChannel/Shared%20Documents/Forms/AllItems.aspx?id=%2Fsites%2FTSADeliveryChannel%2FShared%20Documents%2FDCS%20Application%2FWholesale%20Channel%2FBNIdirect%20Cash%2FTest%20Scenarios%2FFO%20Corporate%20User</t>
  </si>
  <si>
    <t xml:space="preserve">Menu </t>
  </si>
  <si>
    <t>Test Case Manual</t>
  </si>
  <si>
    <t>Test Case Automation</t>
  </si>
  <si>
    <t>Account Information _ Advice Printing (8 TC Impact Issue PROD)</t>
  </si>
  <si>
    <t>Bill Payment (196 TC Impact Issue PROD)</t>
  </si>
  <si>
    <t>Collection Management _ Autodebit</t>
  </si>
  <si>
    <t>HOME - Transaction Notification 100_</t>
  </si>
  <si>
    <t>Liquidity Management</t>
  </si>
  <si>
    <t>Mass Payement _ Bulk Payment (12 TC Impact Issue PROD)</t>
  </si>
  <si>
    <t>Mass Payment _ Payroll (64 TC Impact Issue PROD&amp;IMPROVE)</t>
  </si>
  <si>
    <t>Transfer Mangement (8 TC Impact Issue PROD)</t>
  </si>
  <si>
    <t>VA Billing Transfer</t>
  </si>
  <si>
    <t>Jumlah</t>
  </si>
  <si>
    <t xml:space="preserve">Modul Phase 2 </t>
  </si>
  <si>
    <t>BNI POPS_VA Contigency Pertamina</t>
  </si>
  <si>
    <t>Collection Management_E-Mandate</t>
  </si>
  <si>
    <t>FO DEPENDENCY LITE (1 TC Impact Issue PROD)</t>
  </si>
  <si>
    <t>FO USER &amp; ADMIN _ Report (6 TC Impact Issue PROD)</t>
  </si>
  <si>
    <t>IR VA Billing Transfer</t>
  </si>
  <si>
    <t>Mass Payment _ MT100 (Bulk Mixed - Inhouse &amp; IFT) (8 TC Impacted Issue PROD)</t>
  </si>
  <si>
    <t>Today Transaction</t>
  </si>
  <si>
    <t>Rank</t>
  </si>
  <si>
    <t>Done Running (TC)</t>
  </si>
  <si>
    <t xml:space="preserve">Modul Agen46 Flutter (Updated June 2026) </t>
  </si>
  <si>
    <t>https://bankbnitbk.sharepoint.com/:x:/r/sites/TSADeliveryChannel/_layouts/15/Doc.aspx?sourcedoc=%7B782C0A08-36DC-4CE9-8454-F873920C3045%7D&amp;file=Agen46%20New%20Flutter.xlsx&amp;fromShare=true&amp;action=default&amp;mobileredirect=true</t>
  </si>
  <si>
    <t>IOS</t>
  </si>
  <si>
    <t>SIT Bayar dan Beli</t>
  </si>
  <si>
    <t>Android</t>
  </si>
  <si>
    <t>SIT Ewallet</t>
  </si>
  <si>
    <t>SIT Transfer</t>
  </si>
  <si>
    <t>SIT Layanan Keuangan</t>
  </si>
  <si>
    <t xml:space="preserve">Modul Agen46 Pulsa dan Paket Data (Updated June 2026) </t>
  </si>
  <si>
    <t>https://bankbnitbk.sharepoint.com/:x:/r/sites/TSADeliveryChannel/_layouts/15/Doc2.aspx?action=edit&amp;sourcedoc=%7B819d67f3-5fc9-4a26-9112-18766b20cfc3%7D&amp;wdOrigin=TEAMS-MAGLEV.teamsSdk_ns.rwc&amp;wdExp=TEAMS-TREATMENT&amp;wdhostclicktime=1767584102131&amp;web=1</t>
  </si>
  <si>
    <t>SIT Android New</t>
  </si>
  <si>
    <t>SIT Web New</t>
  </si>
  <si>
    <t>BNI Agen46</t>
  </si>
  <si>
    <t>Bayar dan Beli - Pulsa &amp; Paket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</si>
</sst>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d\ mmmm\ yyyy"/>
    <numFmt numFmtId="165" formatCode="dd\ mmmm\ yyyy"/>
    <numFmt numFmtId="166" formatCode="dd\-mmm\-yy"/>
    <numFmt numFmtId="167" formatCode="ddd\,\ dd\ mmm\ yyyy"/>
    <numFmt numFmtId="168" formatCode="d&quot;-&quot;mmm&quot;-&quot;yyyy"/>
  </numFmts>
  <fonts count="83">
    <font>
      <sz val="10"/>
      <color rgb="FF000000"/>
      <name val="Arial"/>
      <scheme val="minor"/>
    </font>
    <font>
      <sz val="10"/>
      <color rgb="FF000000"/>
      <name val="Arial"/>
    </font>
    <font>
      <b/>
      <sz val="10"/>
      <color theme="1"/>
      <name val="Arial"/>
    </font>
    <font>
      <sz val="10"/>
      <color theme="1"/>
      <name val="Arial"/>
    </font>
    <font>
      <b/>
      <i/>
      <sz val="10"/>
      <color theme="1"/>
      <name val="Arial"/>
    </font>
    <font>
      <sz val="10"/>
      <name val="Arial"/>
    </font>
    <font>
      <b/>
      <sz val="10"/>
      <color rgb="FF000000"/>
      <name val="Arial"/>
    </font>
    <font>
      <u/>
      <sz val="10"/>
      <color rgb="FF1155CC"/>
      <name val="Arial"/>
    </font>
    <font>
      <u/>
      <sz val="10"/>
      <color rgb="FF0000FF"/>
      <name val="Arial"/>
    </font>
    <font>
      <sz val="8"/>
      <color rgb="FF000000"/>
      <name val="Helvetica"/>
    </font>
    <font>
      <sz val="11"/>
      <color rgb="FF000000"/>
      <name val="&quot;Aptos Narrow&quot;"/>
    </font>
    <font>
      <sz val="11"/>
      <color rgb="FF000000"/>
      <name val="Arial"/>
    </font>
    <font>
      <sz val="10"/>
      <color theme="1"/>
      <name val="Arial"/>
      <scheme val="minor"/>
    </font>
    <font>
      <sz val="9"/>
      <color rgb="FF000000"/>
      <name val="&quot;Google Sans Mono&quot;"/>
    </font>
    <font>
      <sz val="11"/>
      <color rgb="FF1F1F1F"/>
      <name val="&quot;Google Sans&quot;"/>
    </font>
    <font>
      <sz val="11"/>
      <color rgb="FF000000"/>
      <name val="Calibri"/>
    </font>
    <font>
      <b/>
      <sz val="16"/>
      <color rgb="FF000000"/>
      <name val="&quot;Aptos Narrow&quot;"/>
    </font>
    <font>
      <b/>
      <sz val="12"/>
      <color rgb="FFFFFFFF"/>
      <name val="&quot;Segoe UI&quot;"/>
    </font>
    <font>
      <b/>
      <sz val="11"/>
      <color rgb="FFFFFFFF"/>
      <name val="&quot;Segoe UI&quot;"/>
    </font>
    <font>
      <sz val="12"/>
      <color theme="1"/>
      <name val="&quot;Segoe UI&quot;"/>
    </font>
    <font>
      <u/>
      <sz val="11"/>
      <color rgb="FF0000FF"/>
      <name val="&quot;Aptos Narrow&quot;"/>
    </font>
    <font>
      <u/>
      <sz val="11"/>
      <color rgb="FF467886"/>
      <name val="&quot;Aptos Narrow&quot;"/>
    </font>
    <font>
      <sz val="12"/>
      <color theme="1"/>
      <name val="Arial"/>
    </font>
    <font>
      <b/>
      <sz val="11"/>
      <color rgb="FFFFFFFF"/>
      <name val="&quot;Aptos Narrow&quot;"/>
    </font>
    <font>
      <sz val="10"/>
      <color rgb="FF000000"/>
      <name val="Calibri"/>
    </font>
    <font>
      <sz val="11"/>
      <color rgb="FF242424"/>
      <name val="&quot;Aptos Narrow&quot;"/>
    </font>
    <font>
      <sz val="9"/>
      <color theme="1"/>
      <name val="Arial"/>
    </font>
    <font>
      <b/>
      <sz val="10"/>
      <color theme="1"/>
      <name val="Arial"/>
      <scheme val="minor"/>
    </font>
    <font>
      <sz val="11"/>
      <color rgb="FF000000"/>
      <name val="Inconsolata"/>
    </font>
    <font>
      <sz val="9"/>
      <color rgb="FF000000"/>
      <name val="Arial"/>
    </font>
    <font>
      <sz val="11"/>
      <color rgb="FF7E3794"/>
      <name val="Arial"/>
      <scheme val="minor"/>
    </font>
    <font>
      <sz val="10"/>
      <color theme="1"/>
      <name val="Roboto"/>
    </font>
    <font>
      <sz val="10"/>
      <color rgb="FF000000"/>
      <name val="Roboto"/>
    </font>
    <font>
      <sz val="11"/>
      <color rgb="FFF7981D"/>
      <name val="Inconsolata"/>
    </font>
    <font>
      <sz val="11"/>
      <color theme="1"/>
      <name val="Inconsolata"/>
    </font>
    <font>
      <sz val="9"/>
      <color rgb="FF000000"/>
      <name val="Roboto"/>
    </font>
    <font>
      <b/>
      <sz val="9"/>
      <color theme="1"/>
      <name val="Arial"/>
    </font>
    <font>
      <b/>
      <sz val="9"/>
      <color theme="1"/>
      <name val="Calibri"/>
    </font>
    <font>
      <sz val="9"/>
      <color rgb="FF000000"/>
      <name val="Arial"/>
      <scheme val="minor"/>
    </font>
    <font>
      <sz val="9"/>
      <color theme="1"/>
      <name val="Arial"/>
      <scheme val="minor"/>
    </font>
    <font>
      <sz val="8"/>
      <color rgb="FF000000"/>
      <name val="&quot;Arial&quot;"/>
    </font>
    <font>
      <sz val="9"/>
      <color rgb="FFFF0000"/>
      <name val="Arial"/>
      <scheme val="minor"/>
    </font>
    <font>
      <sz val="11"/>
      <color rgb="FFFF0000"/>
      <name val="Inconsolata"/>
    </font>
    <font>
      <b/>
      <sz val="10"/>
      <color theme="1"/>
      <name val="Calibri"/>
    </font>
    <font>
      <sz val="9"/>
      <color theme="1"/>
      <name val="Symbol"/>
    </font>
    <font>
      <sz val="10"/>
      <color rgb="FF000000"/>
      <name val="&quot;Arial&quot;"/>
    </font>
    <font>
      <sz val="10"/>
      <color theme="1"/>
      <name val="&quot;Arial&quot;"/>
    </font>
    <font>
      <sz val="10"/>
      <color rgb="FF000000"/>
      <name val="Arial"/>
      <scheme val="minor"/>
    </font>
    <font>
      <sz val="11"/>
      <color rgb="FF000000"/>
      <name val="Arial"/>
      <scheme val="minor"/>
    </font>
    <font>
      <sz val="10"/>
      <color theme="1"/>
      <name val="Calibri"/>
    </font>
    <font>
      <sz val="10"/>
      <color rgb="FF7E3794"/>
      <name val="Arial"/>
      <scheme val="minor"/>
    </font>
    <font>
      <u/>
      <sz val="9"/>
      <color rgb="FF0000FF"/>
      <name val="Arial"/>
    </font>
    <font>
      <u/>
      <sz val="9"/>
      <color rgb="FF548DD4"/>
      <name val="Arial"/>
    </font>
    <font>
      <sz val="9"/>
      <color rgb="FF000000"/>
      <name val="Calibri"/>
    </font>
    <font>
      <sz val="9"/>
      <color theme="1"/>
      <name val="Calibri"/>
    </font>
    <font>
      <u/>
      <sz val="9"/>
      <color rgb="FF0000FF"/>
      <name val="Calibri"/>
    </font>
    <font>
      <b/>
      <sz val="9"/>
      <color theme="1"/>
      <name val="Arial"/>
      <scheme val="minor"/>
    </font>
    <font>
      <b/>
      <sz val="14"/>
      <color theme="1"/>
      <name val="Arial"/>
      <scheme val="minor"/>
    </font>
    <font>
      <b/>
      <sz val="11"/>
      <color rgb="FF000000"/>
      <name val="Inconsolata"/>
    </font>
    <font>
      <sz val="18"/>
      <color theme="1"/>
      <name val="Arial"/>
      <scheme val="minor"/>
    </font>
    <font>
      <b/>
      <u/>
      <sz val="10"/>
      <color rgb="FF1155CC"/>
      <name val="Calibri"/>
    </font>
    <font>
      <b/>
      <sz val="10"/>
      <color rgb="FFFFFFFF"/>
      <name val="Calibri"/>
    </font>
    <font>
      <b/>
      <u/>
      <sz val="10"/>
      <color theme="1"/>
      <name val="Arial"/>
    </font>
    <font>
      <b/>
      <sz val="10"/>
      <color rgb="FFFFFFFF"/>
      <name val="Arial"/>
    </font>
    <font>
      <b/>
      <sz val="8"/>
      <color rgb="FFFFFFFF"/>
      <name val="Arial"/>
    </font>
    <font>
      <sz val="11"/>
      <color rgb="FFFFFFFF"/>
      <name val="Arial"/>
    </font>
    <font>
      <u/>
      <sz val="11"/>
      <color rgb="FF1155CC"/>
      <name val="&quot;Aptos Narrow&quot;, sans-serif"/>
    </font>
    <font>
      <sz val="9"/>
      <name val="Arial"/>
    </font>
    <font>
      <u/>
      <sz val="9"/>
      <color rgb="FF1155CC"/>
      <name val="Arial"/>
    </font>
    <font>
      <sz val="9"/>
      <name val="Arial, sans-serif"/>
    </font>
    <font>
      <u/>
      <sz val="9"/>
      <color rgb="FF1155CC"/>
      <name val="Arial, sans-serif"/>
    </font>
    <font>
      <sz val="10"/>
      <color rgb="FF000000"/>
      <name val="Arial"/>
      <charset val="1"/>
    </font>
    <font>
      <u/>
      <sz val="10"/>
      <color theme="10"/>
      <name val="Arial"/>
      <scheme val="minor"/>
    </font>
    <font>
      <sz val="11"/>
      <color rgb="FF242424"/>
      <name val="Segoe UI"/>
      <charset val="1"/>
    </font>
    <font>
      <b/>
      <sz val="10"/>
      <color rgb="FF000000"/>
      <name val="Arial"/>
      <scheme val="minor"/>
    </font>
    <font>
      <sz val="11"/>
      <color rgb="FF242424"/>
      <name val="Arial"/>
      <scheme val="minor"/>
    </font>
    <font>
      <b/>
      <sz val="11"/>
      <color rgb="FF000000"/>
      <name val="Arial"/>
      <scheme val="minor"/>
    </font>
    <font>
      <sz val="11"/>
      <color rgb="FF242424"/>
      <name val="Arial"/>
      <scheme val="major"/>
    </font>
    <font>
      <sz val="10"/>
      <color rgb="FF000000"/>
      <name val="Arial"/>
      <scheme val="major"/>
    </font>
    <font>
      <sz val="11"/>
      <color theme="1"/>
      <name val="Calibri"/>
      <charset val="1"/>
    </font>
    <font>
      <b/>
      <sz val="11"/>
      <color theme="1"/>
      <name val="Calibri"/>
      <charset val="1"/>
    </font>
    <font>
      <sz val="9"/>
      <color theme="1"/>
      <name val="Cambria"/>
    </font>
    <font>
      <sz val="10"/>
      <color theme="1"/>
      <name val="Cambria"/>
    </font>
  </fonts>
  <fills count="38">
    <fill>
      <patternFill patternType="none"/>
    </fill>
    <fill>
      <patternFill patternType="gray125"/>
    </fill>
    <fill>
      <patternFill patternType="solid">
        <fgColor rgb="FFD9EAD3"/>
        <bgColor rgb="FFD9EAD3"/>
      </patternFill>
    </fill>
    <fill>
      <patternFill patternType="solid">
        <fgColor theme="4"/>
        <bgColor theme="4"/>
      </patternFill>
    </fill>
    <fill>
      <patternFill patternType="solid">
        <fgColor rgb="FF41D9CA"/>
        <bgColor rgb="FF41D9CA"/>
      </patternFill>
    </fill>
    <fill>
      <patternFill patternType="solid">
        <fgColor theme="0"/>
        <bgColor theme="0"/>
      </patternFill>
    </fill>
    <fill>
      <patternFill patternType="solid">
        <fgColor rgb="FFFFF2CC"/>
        <bgColor rgb="FFFFF2CC"/>
      </patternFill>
    </fill>
    <fill>
      <patternFill patternType="solid">
        <fgColor rgb="FFF4CCCC"/>
        <bgColor rgb="FFF4CCCC"/>
      </patternFill>
    </fill>
    <fill>
      <patternFill patternType="solid">
        <fgColor rgb="FFCFE2F3"/>
        <bgColor rgb="FFCFE2F3"/>
      </patternFill>
    </fill>
    <fill>
      <patternFill patternType="solid">
        <fgColor rgb="FFC0E4F5"/>
        <bgColor rgb="FFC0E4F5"/>
      </patternFill>
    </fill>
    <fill>
      <patternFill patternType="solid">
        <fgColor rgb="FFFFFFFF"/>
        <bgColor rgb="FFFFFFFF"/>
      </patternFill>
    </fill>
    <fill>
      <patternFill patternType="solid">
        <fgColor rgb="FF4A86E8"/>
        <bgColor rgb="FF4A86E8"/>
      </patternFill>
    </fill>
    <fill>
      <patternFill patternType="solid">
        <fgColor rgb="FF145F82"/>
        <bgColor rgb="FF145F82"/>
      </patternFill>
    </fill>
    <fill>
      <patternFill patternType="solid">
        <fgColor rgb="FFFFC000"/>
        <bgColor rgb="FFFFC000"/>
      </patternFill>
    </fill>
    <fill>
      <patternFill patternType="solid">
        <fgColor rgb="FFFFFF00"/>
        <bgColor rgb="FFFFFF00"/>
      </patternFill>
    </fill>
    <fill>
      <patternFill patternType="solid">
        <fgColor rgb="FF34A853"/>
        <bgColor rgb="FF34A853"/>
      </patternFill>
    </fill>
    <fill>
      <patternFill patternType="solid">
        <fgColor rgb="FF00FF00"/>
        <bgColor rgb="FF00FF00"/>
      </patternFill>
    </fill>
    <fill>
      <patternFill patternType="solid">
        <fgColor rgb="FF4285F4"/>
        <bgColor rgb="FF4285F4"/>
      </patternFill>
    </fill>
    <fill>
      <patternFill patternType="solid">
        <fgColor rgb="FFFBBC04"/>
        <bgColor rgb="FFFBBC04"/>
      </patternFill>
    </fill>
    <fill>
      <patternFill patternType="solid">
        <fgColor rgb="FF6D9EEB"/>
        <bgColor rgb="FF6D9EEB"/>
      </patternFill>
    </fill>
    <fill>
      <patternFill patternType="solid">
        <fgColor rgb="FFEA9999"/>
        <bgColor rgb="FFEA9999"/>
      </patternFill>
    </fill>
    <fill>
      <patternFill patternType="solid">
        <fgColor rgb="FFB7B7B7"/>
        <bgColor rgb="FFB7B7B7"/>
      </patternFill>
    </fill>
    <fill>
      <patternFill patternType="solid">
        <fgColor rgb="FFDD7E6B"/>
        <bgColor rgb="FFDD7E6B"/>
      </patternFill>
    </fill>
    <fill>
      <patternFill patternType="solid">
        <fgColor theme="6"/>
        <bgColor theme="6"/>
      </patternFill>
    </fill>
    <fill>
      <patternFill patternType="solid">
        <fgColor rgb="FFF7CB4D"/>
        <bgColor rgb="FFF7CB4D"/>
      </patternFill>
    </fill>
    <fill>
      <patternFill patternType="solid">
        <fgColor rgb="FFFF0000"/>
        <bgColor rgb="FFFF0000"/>
      </patternFill>
    </fill>
    <fill>
      <patternFill patternType="solid">
        <fgColor rgb="FFCCCCCC"/>
        <bgColor rgb="FFCCCCCC"/>
      </patternFill>
    </fill>
    <fill>
      <patternFill patternType="solid">
        <fgColor rgb="FFC9DAF8"/>
        <bgColor rgb="FFC9DAF8"/>
      </patternFill>
    </fill>
    <fill>
      <patternFill patternType="solid">
        <fgColor rgb="FF6FA8DC"/>
        <bgColor rgb="FF6FA8DC"/>
      </patternFill>
    </fill>
    <fill>
      <patternFill patternType="solid">
        <fgColor rgb="FFFEF8E3"/>
        <bgColor rgb="FFFEF8E3"/>
      </patternFill>
    </fill>
    <fill>
      <patternFill patternType="solid">
        <fgColor theme="9"/>
        <bgColor theme="9"/>
      </patternFill>
    </fill>
    <fill>
      <patternFill patternType="solid">
        <fgColor rgb="FFFF9900"/>
        <bgColor rgb="FFFF9900"/>
      </patternFill>
    </fill>
    <fill>
      <patternFill patternType="solid">
        <fgColor rgb="FFFFA500"/>
        <bgColor rgb="FFFFA500"/>
      </patternFill>
    </fill>
    <fill>
      <patternFill patternType="solid">
        <fgColor rgb="FF46BDC6"/>
        <bgColor rgb="FF46BDC6"/>
      </patternFill>
    </fill>
    <fill>
      <patternFill patternType="solid">
        <fgColor rgb="FFF46524"/>
        <bgColor rgb="FFF46524"/>
      </patternFill>
    </fill>
    <fill>
      <patternFill patternType="solid">
        <fgColor rgb="FFFFE6DD"/>
        <bgColor rgb="FFFFE6DD"/>
      </patternFill>
    </fill>
    <fill>
      <patternFill patternType="solid">
        <fgColor rgb="FFFFFF00"/>
        <bgColor indexed="64"/>
      </patternFill>
    </fill>
    <fill>
      <patternFill patternType="solid">
        <fgColor rgb="FF00B050"/>
        <bgColor indexed="64"/>
      </patternFill>
    </fill>
  </fills>
  <borders count="2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style="thin">
        <color rgb="FF000000"/>
      </left>
      <right/>
      <top/>
      <bottom/>
      <diagonal/>
    </border>
    <border>
      <left style="thin">
        <color rgb="FF000000"/>
      </left>
      <right/>
      <top/>
      <bottom style="thin">
        <color rgb="FF43AEE2"/>
      </bottom>
      <diagonal/>
    </border>
    <border>
      <left/>
      <right/>
      <top/>
      <bottom style="thin">
        <color rgb="FF43AEE2"/>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thin">
        <color rgb="FF000000"/>
      </right>
      <top/>
      <bottom/>
      <diagonal/>
    </border>
    <border>
      <left/>
      <right style="thin">
        <color rgb="FF000000"/>
      </right>
      <top style="thin">
        <color rgb="FF000000"/>
      </top>
      <bottom/>
      <diagonal/>
    </border>
    <border>
      <left style="thin">
        <color rgb="FF000000"/>
      </left>
      <right style="thin">
        <color rgb="FF000000"/>
      </right>
      <top style="thin">
        <color rgb="FFCCCCCC"/>
      </top>
      <bottom style="thin">
        <color rgb="FF000000"/>
      </bottom>
      <diagonal/>
    </border>
    <border>
      <left style="thin">
        <color rgb="FF000000"/>
      </left>
      <right style="thin">
        <color rgb="FF000000"/>
      </right>
      <top style="thin">
        <color rgb="FFCCCCCC"/>
      </top>
      <bottom/>
      <diagonal/>
    </border>
  </borders>
  <cellStyleXfs count="3">
    <xf numFmtId="0" fontId="0" fillId="0" borderId="0"/>
    <xf numFmtId="0" fontId="72" fillId="0" borderId="0" applyNumberFormat="0" applyFill="0" applyBorder="0" applyAlignment="0" applyProtection="0"/>
    <xf numFmtId="0" fontId="72" fillId="0" borderId="0" applyNumberFormat="0" applyFill="0" applyBorder="0" applyAlignment="0" applyProtection="0"/>
  </cellStyleXfs>
  <cellXfs count="787">
    <xf numFmtId="0" fontId="0" fillId="0" borderId="0" xfId="0"/>
    <xf numFmtId="0" fontId="1" fillId="2" borderId="1" xfId="0" applyFont="1" applyFill="1" applyBorder="1"/>
    <xf numFmtId="0" fontId="2" fillId="3" borderId="0" xfId="0" applyFont="1" applyFill="1" applyAlignment="1">
      <alignment horizontal="center" wrapText="1"/>
    </xf>
    <xf numFmtId="0" fontId="3" fillId="0" borderId="0" xfId="0" applyFont="1" applyAlignment="1">
      <alignment wrapText="1"/>
    </xf>
    <xf numFmtId="0" fontId="3" fillId="0" borderId="0" xfId="0" applyFont="1"/>
    <xf numFmtId="0" fontId="3" fillId="0" borderId="0" xfId="0" applyFont="1" applyAlignment="1">
      <alignment horizontal="center"/>
    </xf>
    <xf numFmtId="0" fontId="2" fillId="3" borderId="0" xfId="0" applyFont="1" applyFill="1" applyAlignment="1">
      <alignment horizontal="center" vertical="center" wrapText="1"/>
    </xf>
    <xf numFmtId="0" fontId="4" fillId="3" borderId="0" xfId="0" applyFont="1" applyFill="1" applyAlignment="1">
      <alignment horizontal="center" vertical="center" wrapText="1"/>
    </xf>
    <xf numFmtId="0" fontId="4" fillId="3" borderId="2"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6" fillId="0" borderId="0" xfId="0" applyFont="1" applyAlignment="1">
      <alignment vertical="center" wrapText="1"/>
    </xf>
    <xf numFmtId="0" fontId="2" fillId="3" borderId="5"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3" fillId="5" borderId="0" xfId="0" applyFont="1" applyFill="1" applyAlignment="1">
      <alignment wrapText="1"/>
    </xf>
    <xf numFmtId="0" fontId="3" fillId="2" borderId="0" xfId="0" applyFont="1" applyFill="1" applyAlignment="1">
      <alignment vertical="center" wrapText="1"/>
    </xf>
    <xf numFmtId="0" fontId="3" fillId="2" borderId="1" xfId="0" applyFont="1" applyFill="1" applyBorder="1" applyAlignment="1">
      <alignment horizontal="center" vertical="center" wrapText="1"/>
    </xf>
    <xf numFmtId="10" fontId="3" fillId="2" borderId="1" xfId="0" applyNumberFormat="1" applyFont="1" applyFill="1" applyBorder="1" applyAlignment="1">
      <alignment horizontal="center" vertical="center" wrapText="1"/>
    </xf>
    <xf numFmtId="0" fontId="8" fillId="2" borderId="1" xfId="0" applyFont="1" applyFill="1" applyBorder="1" applyAlignment="1">
      <alignment horizontal="left" vertical="center" wrapText="1"/>
    </xf>
    <xf numFmtId="0" fontId="3" fillId="0" borderId="1" xfId="0" applyFont="1" applyBorder="1" applyAlignment="1">
      <alignment horizontal="center" vertical="center" wrapText="1"/>
    </xf>
    <xf numFmtId="0" fontId="9" fillId="0" borderId="0" xfId="0" applyFont="1" applyAlignment="1">
      <alignment horizontal="center" wrapText="1"/>
    </xf>
    <xf numFmtId="0" fontId="9" fillId="0" borderId="1" xfId="0" applyFont="1" applyBorder="1" applyAlignment="1">
      <alignment horizontal="center" wrapText="1"/>
    </xf>
    <xf numFmtId="0" fontId="6" fillId="0" borderId="0" xfId="0" applyFont="1" applyAlignment="1">
      <alignment wrapText="1"/>
    </xf>
    <xf numFmtId="0" fontId="3" fillId="0" borderId="1" xfId="0" applyFont="1" applyBorder="1" applyAlignment="1">
      <alignment vertical="center" wrapText="1"/>
    </xf>
    <xf numFmtId="0" fontId="3" fillId="0" borderId="1" xfId="0" applyFont="1" applyBorder="1" applyAlignment="1">
      <alignment horizontal="center" vertical="center"/>
    </xf>
    <xf numFmtId="10" fontId="3" fillId="0" borderId="1" xfId="0" applyNumberFormat="1" applyFont="1" applyBorder="1" applyAlignment="1">
      <alignment horizontal="center" vertical="center"/>
    </xf>
    <xf numFmtId="0" fontId="3" fillId="0" borderId="1" xfId="0" applyFont="1" applyBorder="1" applyAlignment="1">
      <alignment wrapText="1"/>
    </xf>
    <xf numFmtId="0" fontId="10" fillId="0" borderId="1" xfId="0" applyFont="1" applyBorder="1" applyAlignment="1">
      <alignment horizontal="center"/>
    </xf>
    <xf numFmtId="9" fontId="10" fillId="0" borderId="1" xfId="0" applyNumberFormat="1" applyFont="1" applyBorder="1" applyAlignment="1">
      <alignment horizontal="center"/>
    </xf>
    <xf numFmtId="0" fontId="3" fillId="2" borderId="0" xfId="0" applyFont="1" applyFill="1" applyAlignment="1">
      <alignment horizontal="center" vertical="center" wrapText="1"/>
    </xf>
    <xf numFmtId="0" fontId="11" fillId="2" borderId="1" xfId="0" applyFont="1" applyFill="1" applyBorder="1" applyAlignment="1">
      <alignment horizontal="center" wrapText="1"/>
    </xf>
    <xf numFmtId="0" fontId="10" fillId="2" borderId="1" xfId="0" applyFont="1" applyFill="1" applyBorder="1" applyAlignment="1">
      <alignment horizontal="center" wrapText="1"/>
    </xf>
    <xf numFmtId="0" fontId="3" fillId="2" borderId="1" xfId="0" applyFont="1" applyFill="1" applyBorder="1" applyAlignment="1">
      <alignment horizontal="left" vertical="center" wrapText="1"/>
    </xf>
    <xf numFmtId="0" fontId="11" fillId="0" borderId="1" xfId="0" applyFont="1" applyBorder="1" applyAlignment="1">
      <alignment horizontal="center"/>
    </xf>
    <xf numFmtId="10" fontId="10" fillId="0" borderId="1" xfId="0" applyNumberFormat="1" applyFont="1" applyBorder="1" applyAlignment="1">
      <alignment horizontal="center"/>
    </xf>
    <xf numFmtId="10" fontId="12" fillId="2" borderId="1" xfId="0" applyNumberFormat="1" applyFont="1" applyFill="1" applyBorder="1" applyAlignment="1">
      <alignment horizontal="center" vertical="center" wrapText="1"/>
    </xf>
    <xf numFmtId="0" fontId="12" fillId="2" borderId="1" xfId="0" applyFont="1" applyFill="1" applyBorder="1" applyAlignment="1">
      <alignment horizontal="center" vertical="center" wrapText="1"/>
    </xf>
    <xf numFmtId="0" fontId="12" fillId="0" borderId="1" xfId="0" applyFont="1" applyBorder="1"/>
    <xf numFmtId="10" fontId="12" fillId="0" borderId="1" xfId="0" applyNumberFormat="1" applyFont="1" applyBorder="1" applyAlignment="1">
      <alignment horizontal="center" vertical="center"/>
    </xf>
    <xf numFmtId="0" fontId="1" fillId="2" borderId="1" xfId="0" applyFont="1" applyFill="1" applyBorder="1" applyAlignment="1">
      <alignment vertical="center"/>
    </xf>
    <xf numFmtId="0" fontId="12" fillId="2" borderId="0" xfId="0" applyFont="1" applyFill="1" applyAlignment="1">
      <alignment vertical="center" wrapText="1"/>
    </xf>
    <xf numFmtId="10" fontId="12" fillId="2" borderId="1" xfId="0" applyNumberFormat="1" applyFont="1" applyFill="1" applyBorder="1" applyAlignment="1">
      <alignment horizontal="left" vertical="center" wrapText="1"/>
    </xf>
    <xf numFmtId="0" fontId="3" fillId="6" borderId="0" xfId="0" applyFont="1" applyFill="1" applyAlignment="1">
      <alignment vertical="center" wrapText="1"/>
    </xf>
    <xf numFmtId="0" fontId="3" fillId="6" borderId="1" xfId="0" applyFont="1" applyFill="1" applyBorder="1" applyAlignment="1">
      <alignment horizontal="center" vertical="center" wrapText="1"/>
    </xf>
    <xf numFmtId="10" fontId="3" fillId="6" borderId="1" xfId="0" applyNumberFormat="1" applyFont="1" applyFill="1" applyBorder="1" applyAlignment="1">
      <alignment horizontal="center" vertical="center" wrapText="1"/>
    </xf>
    <xf numFmtId="0" fontId="3" fillId="6" borderId="1" xfId="0" applyFont="1" applyFill="1" applyBorder="1" applyAlignment="1">
      <alignment horizontal="left" vertical="center" wrapText="1"/>
    </xf>
    <xf numFmtId="0" fontId="9" fillId="0" borderId="2" xfId="0" applyFont="1" applyBorder="1" applyAlignment="1">
      <alignment horizontal="center" wrapText="1"/>
    </xf>
    <xf numFmtId="10" fontId="3" fillId="0" borderId="0" xfId="0" applyNumberFormat="1" applyFont="1" applyAlignment="1">
      <alignment wrapText="1"/>
    </xf>
    <xf numFmtId="0" fontId="3" fillId="7" borderId="0" xfId="0" applyFont="1" applyFill="1" applyAlignment="1">
      <alignment vertical="center" wrapText="1"/>
    </xf>
    <xf numFmtId="0" fontId="3" fillId="7" borderId="1" xfId="0" applyFont="1" applyFill="1" applyBorder="1" applyAlignment="1">
      <alignment horizontal="center" vertical="center" wrapText="1"/>
    </xf>
    <xf numFmtId="10" fontId="3" fillId="7" borderId="1" xfId="0" applyNumberFormat="1" applyFont="1" applyFill="1" applyBorder="1" applyAlignment="1">
      <alignment horizontal="center" vertical="center" wrapText="1"/>
    </xf>
    <xf numFmtId="0" fontId="3" fillId="7" borderId="1" xfId="0" applyFont="1" applyFill="1" applyBorder="1" applyAlignment="1">
      <alignment horizontal="left" vertical="center" wrapText="1"/>
    </xf>
    <xf numFmtId="0" fontId="2" fillId="0" borderId="0" xfId="0" applyFont="1" applyAlignment="1">
      <alignment wrapText="1"/>
    </xf>
    <xf numFmtId="0" fontId="3" fillId="8" borderId="0" xfId="0" applyFont="1" applyFill="1" applyAlignment="1">
      <alignment vertical="center" wrapText="1"/>
    </xf>
    <xf numFmtId="0" fontId="3" fillId="8" borderId="1" xfId="0" applyFont="1" applyFill="1" applyBorder="1" applyAlignment="1">
      <alignment horizontal="center" vertical="center" wrapText="1"/>
    </xf>
    <xf numFmtId="10" fontId="3" fillId="8" borderId="1" xfId="0" applyNumberFormat="1" applyFont="1" applyFill="1" applyBorder="1" applyAlignment="1">
      <alignment horizontal="center" vertical="center" wrapText="1"/>
    </xf>
    <xf numFmtId="0" fontId="3" fillId="8" borderId="1" xfId="0" applyFont="1" applyFill="1" applyBorder="1" applyAlignment="1">
      <alignment horizontal="left" vertical="center" wrapText="1"/>
    </xf>
    <xf numFmtId="0" fontId="3" fillId="0" borderId="0" xfId="0" applyFont="1" applyAlignment="1">
      <alignment horizontal="center" vertical="center"/>
    </xf>
    <xf numFmtId="10" fontId="3" fillId="0" borderId="0" xfId="0" applyNumberFormat="1" applyFont="1" applyAlignment="1">
      <alignment horizontal="center" vertical="center"/>
    </xf>
    <xf numFmtId="0" fontId="12" fillId="2" borderId="1" xfId="0" applyFont="1" applyFill="1" applyBorder="1" applyAlignment="1">
      <alignment horizontal="left" vertical="center" wrapText="1"/>
    </xf>
    <xf numFmtId="0" fontId="3" fillId="7" borderId="0" xfId="0" applyFont="1" applyFill="1" applyAlignment="1">
      <alignment wrapText="1"/>
    </xf>
    <xf numFmtId="0" fontId="2" fillId="0" borderId="0" xfId="0" applyFont="1" applyAlignment="1">
      <alignment vertical="center" wrapText="1"/>
    </xf>
    <xf numFmtId="0" fontId="3" fillId="2" borderId="0" xfId="0" applyFont="1" applyFill="1" applyAlignment="1">
      <alignment wrapText="1"/>
    </xf>
    <xf numFmtId="0" fontId="3" fillId="2" borderId="1" xfId="0" applyFont="1" applyFill="1" applyBorder="1" applyAlignment="1">
      <alignment vertical="center" wrapText="1"/>
    </xf>
    <xf numFmtId="0" fontId="3" fillId="8" borderId="0" xfId="0" applyFont="1" applyFill="1" applyAlignment="1">
      <alignment wrapText="1"/>
    </xf>
    <xf numFmtId="0" fontId="3" fillId="6" borderId="0" xfId="0" applyFont="1" applyFill="1" applyAlignment="1">
      <alignment wrapText="1"/>
    </xf>
    <xf numFmtId="0" fontId="2" fillId="0" borderId="1" xfId="0" applyFont="1" applyBorder="1" applyAlignment="1">
      <alignment wrapText="1"/>
    </xf>
    <xf numFmtId="0" fontId="3" fillId="0" borderId="2" xfId="0" applyFont="1" applyBorder="1" applyAlignment="1">
      <alignment vertical="center" wrapText="1"/>
    </xf>
    <xf numFmtId="0" fontId="12" fillId="2" borderId="0" xfId="0" applyFont="1" applyFill="1" applyAlignment="1">
      <alignment wrapText="1"/>
    </xf>
    <xf numFmtId="0" fontId="2" fillId="0" borderId="1" xfId="0" applyFont="1" applyBorder="1" applyAlignment="1">
      <alignment vertical="center" wrapText="1"/>
    </xf>
    <xf numFmtId="0" fontId="10" fillId="0" borderId="0" xfId="0" applyFont="1"/>
    <xf numFmtId="0" fontId="10" fillId="0" borderId="0" xfId="0" applyFont="1" applyAlignment="1">
      <alignment horizontal="right"/>
    </xf>
    <xf numFmtId="10" fontId="10" fillId="0" borderId="0" xfId="0" applyNumberFormat="1" applyFont="1" applyAlignment="1">
      <alignment horizontal="right"/>
    </xf>
    <xf numFmtId="0" fontId="3" fillId="0" borderId="1" xfId="0" quotePrefix="1" applyFont="1" applyBorder="1" applyAlignment="1">
      <alignment horizontal="center" vertical="center" wrapText="1"/>
    </xf>
    <xf numFmtId="0" fontId="3" fillId="9" borderId="0" xfId="0" applyFont="1" applyFill="1" applyAlignment="1">
      <alignment vertical="center" wrapText="1"/>
    </xf>
    <xf numFmtId="0" fontId="3" fillId="9" borderId="1" xfId="0" applyFont="1" applyFill="1" applyBorder="1" applyAlignment="1">
      <alignment horizontal="center" vertical="center" wrapText="1"/>
    </xf>
    <xf numFmtId="10" fontId="3" fillId="9" borderId="1" xfId="0" applyNumberFormat="1" applyFont="1" applyFill="1" applyBorder="1" applyAlignment="1">
      <alignment horizontal="center" vertical="center" wrapText="1"/>
    </xf>
    <xf numFmtId="0" fontId="3" fillId="9" borderId="1" xfId="0" applyFont="1" applyFill="1" applyBorder="1" applyAlignment="1">
      <alignment horizontal="left" vertical="center" wrapText="1"/>
    </xf>
    <xf numFmtId="0" fontId="3" fillId="8" borderId="1" xfId="0" applyFont="1" applyFill="1" applyBorder="1" applyAlignment="1">
      <alignment vertical="center" wrapText="1"/>
    </xf>
    <xf numFmtId="0" fontId="3" fillId="2" borderId="0" xfId="0" applyFont="1" applyFill="1" applyAlignment="1">
      <alignment horizontal="left" vertical="center" wrapText="1"/>
    </xf>
    <xf numFmtId="0" fontId="2" fillId="3" borderId="1" xfId="0" applyFont="1" applyFill="1" applyBorder="1" applyAlignment="1">
      <alignment horizontal="center" wrapText="1"/>
    </xf>
    <xf numFmtId="9" fontId="10" fillId="0" borderId="0" xfId="0" applyNumberFormat="1" applyFont="1" applyAlignment="1">
      <alignment horizontal="right"/>
    </xf>
    <xf numFmtId="10" fontId="2" fillId="3" borderId="1" xfId="0" applyNumberFormat="1" applyFont="1" applyFill="1" applyBorder="1" applyAlignment="1">
      <alignment horizontal="center" wrapText="1"/>
    </xf>
    <xf numFmtId="10" fontId="2" fillId="3" borderId="0" xfId="0" applyNumberFormat="1" applyFont="1" applyFill="1" applyAlignment="1">
      <alignment horizontal="center" wrapText="1"/>
    </xf>
    <xf numFmtId="0" fontId="12" fillId="0" borderId="0" xfId="0" applyFont="1" applyAlignment="1">
      <alignment wrapText="1"/>
    </xf>
    <xf numFmtId="0" fontId="3" fillId="4" borderId="0" xfId="0" applyFont="1" applyFill="1" applyAlignment="1">
      <alignment horizontal="center" wrapText="1"/>
    </xf>
    <xf numFmtId="0" fontId="3" fillId="0" borderId="0" xfId="0" applyFont="1" applyAlignment="1">
      <alignment horizontal="center" wrapText="1"/>
    </xf>
    <xf numFmtId="0" fontId="3" fillId="5" borderId="0" xfId="0" applyFont="1" applyFill="1"/>
    <xf numFmtId="0" fontId="3" fillId="5" borderId="0" xfId="0" applyFont="1" applyFill="1" applyAlignment="1">
      <alignment horizontal="center" wrapText="1"/>
    </xf>
    <xf numFmtId="0" fontId="2" fillId="5" borderId="0" xfId="0" applyFont="1" applyFill="1" applyAlignment="1">
      <alignment horizontal="center"/>
    </xf>
    <xf numFmtId="0" fontId="2" fillId="5" borderId="0" xfId="0" applyFont="1" applyFill="1" applyAlignment="1">
      <alignment horizontal="center" vertical="center" wrapText="1"/>
    </xf>
    <xf numFmtId="0" fontId="3" fillId="0" borderId="0" xfId="0" applyFont="1" applyAlignment="1">
      <alignment vertical="center" wrapText="1"/>
    </xf>
    <xf numFmtId="0" fontId="6" fillId="5" borderId="0" xfId="0" applyFont="1" applyFill="1" applyAlignment="1">
      <alignment horizontal="center"/>
    </xf>
    <xf numFmtId="0" fontId="3" fillId="0" borderId="0" xfId="0" applyFont="1" applyAlignment="1">
      <alignment horizontal="center" vertical="center" wrapText="1"/>
    </xf>
    <xf numFmtId="0" fontId="2" fillId="5" borderId="0" xfId="0" applyFont="1" applyFill="1" applyAlignment="1">
      <alignment horizontal="center" vertical="center"/>
    </xf>
    <xf numFmtId="0" fontId="12" fillId="0" borderId="1" xfId="0" applyFont="1" applyBorder="1" applyAlignment="1">
      <alignment wrapText="1"/>
    </xf>
    <xf numFmtId="0" fontId="10" fillId="0" borderId="1" xfId="0" applyFont="1" applyBorder="1"/>
    <xf numFmtId="0" fontId="10" fillId="0" borderId="1" xfId="0" applyFont="1" applyBorder="1" applyAlignment="1">
      <alignment horizontal="right"/>
    </xf>
    <xf numFmtId="0" fontId="11" fillId="0" borderId="0" xfId="0" applyFont="1"/>
    <xf numFmtId="0" fontId="12" fillId="0" borderId="1" xfId="0" applyFont="1" applyBorder="1" applyAlignment="1">
      <alignment horizontal="center"/>
    </xf>
    <xf numFmtId="0" fontId="3" fillId="0" borderId="1" xfId="0" applyFont="1" applyBorder="1" applyAlignment="1">
      <alignment horizontal="center" wrapText="1"/>
    </xf>
    <xf numFmtId="0" fontId="1" fillId="0" borderId="1" xfId="0" applyFont="1" applyBorder="1"/>
    <xf numFmtId="0" fontId="1" fillId="0" borderId="1" xfId="0" applyFont="1" applyBorder="1" applyAlignment="1">
      <alignment vertical="center"/>
    </xf>
    <xf numFmtId="0" fontId="2" fillId="4" borderId="1" xfId="0" applyFont="1" applyFill="1" applyBorder="1" applyAlignment="1">
      <alignment horizontal="center" wrapText="1"/>
    </xf>
    <xf numFmtId="0" fontId="2" fillId="4" borderId="1" xfId="0" applyFont="1" applyFill="1" applyBorder="1" applyAlignment="1">
      <alignment horizontal="center"/>
    </xf>
    <xf numFmtId="0" fontId="6" fillId="4" borderId="1" xfId="0" applyFont="1" applyFill="1" applyBorder="1" applyAlignment="1">
      <alignment horizontal="center" wrapText="1"/>
    </xf>
    <xf numFmtId="0" fontId="3" fillId="0" borderId="2" xfId="0" applyFont="1" applyBorder="1" applyAlignment="1">
      <alignment horizontal="center" vertical="center" wrapText="1"/>
    </xf>
    <xf numFmtId="0" fontId="3" fillId="0" borderId="1" xfId="0" applyFont="1" applyBorder="1"/>
    <xf numFmtId="0" fontId="13" fillId="10" borderId="1" xfId="0" applyFont="1" applyFill="1" applyBorder="1" applyAlignment="1">
      <alignment horizontal="center" vertical="center"/>
    </xf>
    <xf numFmtId="0" fontId="3" fillId="0" borderId="1" xfId="0" applyFont="1" applyBorder="1" applyAlignment="1">
      <alignment horizontal="center"/>
    </xf>
    <xf numFmtId="0" fontId="14" fillId="10" borderId="0" xfId="0" applyFont="1" applyFill="1"/>
    <xf numFmtId="0" fontId="12" fillId="0" borderId="1" xfId="0" applyFont="1" applyBorder="1" applyAlignment="1">
      <alignment horizontal="center" vertical="center"/>
    </xf>
    <xf numFmtId="0" fontId="12" fillId="0" borderId="0" xfId="0" applyFont="1"/>
    <xf numFmtId="0" fontId="6" fillId="11" borderId="1" xfId="0" applyFont="1" applyFill="1" applyBorder="1" applyAlignment="1">
      <alignment vertical="center" wrapText="1"/>
    </xf>
    <xf numFmtId="0" fontId="6" fillId="3" borderId="1" xfId="0" applyFont="1" applyFill="1" applyBorder="1" applyAlignment="1">
      <alignment horizontal="center" vertical="center" wrapText="1"/>
    </xf>
    <xf numFmtId="0" fontId="6" fillId="0" borderId="0" xfId="0" applyFont="1" applyAlignment="1">
      <alignment horizontal="center" vertical="center" wrapText="1"/>
    </xf>
    <xf numFmtId="0" fontId="6" fillId="0" borderId="0" xfId="0" applyFont="1" applyAlignment="1">
      <alignment horizontal="center" vertical="top" wrapText="1"/>
    </xf>
    <xf numFmtId="0" fontId="6" fillId="11" borderId="1" xfId="0" applyFont="1" applyFill="1" applyBorder="1" applyAlignment="1">
      <alignment horizontal="center" wrapText="1"/>
    </xf>
    <xf numFmtId="0" fontId="2" fillId="11" borderId="1" xfId="0" applyFont="1" applyFill="1" applyBorder="1" applyAlignment="1">
      <alignment horizontal="center" wrapText="1"/>
    </xf>
    <xf numFmtId="0" fontId="3" fillId="0" borderId="0" xfId="0" applyFont="1" applyAlignment="1">
      <alignment vertical="top"/>
    </xf>
    <xf numFmtId="0" fontId="17" fillId="12" borderId="8" xfId="0" applyFont="1" applyFill="1" applyBorder="1" applyAlignment="1">
      <alignment horizontal="center"/>
    </xf>
    <xf numFmtId="0" fontId="17" fillId="12" borderId="9" xfId="0" applyFont="1" applyFill="1" applyBorder="1" applyAlignment="1">
      <alignment horizontal="center"/>
    </xf>
    <xf numFmtId="0" fontId="17" fillId="13" borderId="9" xfId="0" applyFont="1" applyFill="1" applyBorder="1" applyAlignment="1">
      <alignment horizontal="center"/>
    </xf>
    <xf numFmtId="0" fontId="18" fillId="12" borderId="9" xfId="0" applyFont="1" applyFill="1" applyBorder="1" applyAlignment="1">
      <alignment horizontal="center"/>
    </xf>
    <xf numFmtId="0" fontId="19" fillId="9" borderId="10" xfId="0" applyFont="1" applyFill="1" applyBorder="1" applyAlignment="1">
      <alignment horizontal="left"/>
    </xf>
    <xf numFmtId="0" fontId="19" fillId="9" borderId="0" xfId="0" applyFont="1" applyFill="1" applyAlignment="1">
      <alignment horizontal="left"/>
    </xf>
    <xf numFmtId="0" fontId="19" fillId="9" borderId="0" xfId="0" applyFont="1" applyFill="1" applyAlignment="1">
      <alignment horizontal="center"/>
    </xf>
    <xf numFmtId="0" fontId="19" fillId="0" borderId="10" xfId="0" applyFont="1" applyBorder="1" applyAlignment="1">
      <alignment horizontal="left"/>
    </xf>
    <xf numFmtId="0" fontId="19" fillId="0" borderId="0" xfId="0" applyFont="1" applyAlignment="1">
      <alignment horizontal="left"/>
    </xf>
    <xf numFmtId="0" fontId="19" fillId="14" borderId="0" xfId="0" applyFont="1" applyFill="1" applyAlignment="1">
      <alignment horizontal="center"/>
    </xf>
    <xf numFmtId="0" fontId="19" fillId="0" borderId="0" xfId="0" applyFont="1" applyAlignment="1">
      <alignment horizontal="center"/>
    </xf>
    <xf numFmtId="0" fontId="19" fillId="14" borderId="10" xfId="0" applyFont="1" applyFill="1" applyBorder="1" applyAlignment="1">
      <alignment horizontal="left"/>
    </xf>
    <xf numFmtId="0" fontId="19" fillId="14" borderId="0" xfId="0" applyFont="1" applyFill="1" applyAlignment="1">
      <alignment horizontal="left"/>
    </xf>
    <xf numFmtId="0" fontId="20" fillId="0" borderId="0" xfId="0" applyFont="1" applyAlignment="1">
      <alignment horizontal="left"/>
    </xf>
    <xf numFmtId="0" fontId="21" fillId="9" borderId="0" xfId="0" applyFont="1" applyFill="1" applyAlignment="1">
      <alignment horizontal="left"/>
    </xf>
    <xf numFmtId="0" fontId="22" fillId="0" borderId="11" xfId="0" applyFont="1" applyBorder="1" applyAlignment="1">
      <alignment horizontal="left"/>
    </xf>
    <xf numFmtId="0" fontId="19" fillId="0" borderId="12" xfId="0" applyFont="1" applyBorder="1" applyAlignment="1">
      <alignment horizontal="left"/>
    </xf>
    <xf numFmtId="0" fontId="19" fillId="0" borderId="12" xfId="0" applyFont="1" applyBorder="1" applyAlignment="1">
      <alignment horizontal="center"/>
    </xf>
    <xf numFmtId="0" fontId="19" fillId="9" borderId="12" xfId="0" applyFont="1" applyFill="1" applyBorder="1" applyAlignment="1">
      <alignment horizontal="left"/>
    </xf>
    <xf numFmtId="0" fontId="19" fillId="9" borderId="12" xfId="0" applyFont="1" applyFill="1" applyBorder="1" applyAlignment="1">
      <alignment horizontal="center"/>
    </xf>
    <xf numFmtId="0" fontId="19" fillId="0" borderId="11" xfId="0" applyFont="1" applyBorder="1" applyAlignment="1">
      <alignment horizontal="left"/>
    </xf>
    <xf numFmtId="0" fontId="19" fillId="9" borderId="13" xfId="0" applyFont="1" applyFill="1" applyBorder="1" applyAlignment="1">
      <alignment horizontal="left"/>
    </xf>
    <xf numFmtId="0" fontId="19" fillId="9" borderId="14" xfId="0" applyFont="1" applyFill="1" applyBorder="1" applyAlignment="1">
      <alignment horizontal="left"/>
    </xf>
    <xf numFmtId="0" fontId="19" fillId="9" borderId="14" xfId="0" applyFont="1" applyFill="1" applyBorder="1" applyAlignment="1">
      <alignment horizontal="center"/>
    </xf>
    <xf numFmtId="0" fontId="23" fillId="12" borderId="0" xfId="0" applyFont="1" applyFill="1"/>
    <xf numFmtId="0" fontId="10" fillId="9" borderId="0" xfId="0" applyFont="1" applyFill="1" applyAlignment="1">
      <alignment horizontal="right"/>
    </xf>
    <xf numFmtId="0" fontId="10" fillId="9" borderId="0" xfId="0" applyFont="1" applyFill="1"/>
    <xf numFmtId="0" fontId="11" fillId="9" borderId="0" xfId="0" applyFont="1" applyFill="1"/>
    <xf numFmtId="0" fontId="24" fillId="0" borderId="0" xfId="0" applyFont="1"/>
    <xf numFmtId="0" fontId="25" fillId="9" borderId="0" xfId="0" applyFont="1" applyFill="1"/>
    <xf numFmtId="0" fontId="25" fillId="0" borderId="0" xfId="0" applyFont="1"/>
    <xf numFmtId="0" fontId="2" fillId="14" borderId="3" xfId="0" applyFont="1" applyFill="1" applyBorder="1" applyAlignment="1">
      <alignment horizontal="center" vertical="center" wrapText="1"/>
    </xf>
    <xf numFmtId="0" fontId="3" fillId="15" borderId="1" xfId="0" applyFont="1" applyFill="1" applyBorder="1" applyAlignment="1">
      <alignment horizontal="center" vertical="center" wrapText="1"/>
    </xf>
    <xf numFmtId="0" fontId="2" fillId="14" borderId="2" xfId="0" applyFont="1" applyFill="1" applyBorder="1" applyAlignment="1">
      <alignment horizontal="center" vertical="center" wrapText="1"/>
    </xf>
    <xf numFmtId="0" fontId="12" fillId="0" borderId="0" xfId="0" applyFont="1" applyAlignment="1">
      <alignment vertical="center"/>
    </xf>
    <xf numFmtId="0" fontId="3" fillId="15" borderId="2" xfId="0" applyFont="1" applyFill="1" applyBorder="1" applyAlignment="1">
      <alignment horizontal="center" vertical="center" wrapText="1"/>
    </xf>
    <xf numFmtId="0" fontId="3" fillId="0" borderId="4" xfId="0" applyFont="1" applyBorder="1" applyAlignment="1">
      <alignment wrapText="1"/>
    </xf>
    <xf numFmtId="164" fontId="3" fillId="0" borderId="1" xfId="0" applyNumberFormat="1" applyFont="1" applyBorder="1" applyAlignment="1">
      <alignment horizontal="right" vertical="center"/>
    </xf>
    <xf numFmtId="165" fontId="3" fillId="0" borderId="1" xfId="0" applyNumberFormat="1" applyFont="1" applyBorder="1" applyAlignment="1">
      <alignment vertical="center" wrapText="1"/>
    </xf>
    <xf numFmtId="0" fontId="3" fillId="0" borderId="15" xfId="0" applyFont="1" applyBorder="1" applyAlignment="1">
      <alignment wrapText="1"/>
    </xf>
    <xf numFmtId="0" fontId="3" fillId="0" borderId="5" xfId="0" applyFont="1" applyBorder="1" applyAlignment="1">
      <alignment wrapText="1"/>
    </xf>
    <xf numFmtId="0" fontId="3" fillId="0" borderId="15" xfId="0" applyFont="1" applyBorder="1"/>
    <xf numFmtId="0" fontId="3" fillId="0" borderId="4" xfId="0" applyFont="1" applyBorder="1" applyAlignment="1">
      <alignment horizontal="center"/>
    </xf>
    <xf numFmtId="0" fontId="3" fillId="0" borderId="15" xfId="0" applyFont="1" applyBorder="1" applyAlignment="1">
      <alignment horizontal="center"/>
    </xf>
    <xf numFmtId="165" fontId="3" fillId="0" borderId="1" xfId="0" applyNumberFormat="1" applyFont="1" applyBorder="1" applyAlignment="1">
      <alignment horizontal="right" vertical="center" wrapText="1"/>
    </xf>
    <xf numFmtId="0" fontId="3" fillId="0" borderId="1" xfId="0" applyFont="1" applyBorder="1" applyAlignment="1">
      <alignment vertical="center"/>
    </xf>
    <xf numFmtId="0" fontId="26" fillId="0" borderId="4" xfId="0" applyFont="1" applyBorder="1" applyAlignment="1">
      <alignment wrapText="1"/>
    </xf>
    <xf numFmtId="0" fontId="26" fillId="0" borderId="15" xfId="0" applyFont="1" applyBorder="1" applyAlignment="1">
      <alignment wrapText="1"/>
    </xf>
    <xf numFmtId="0" fontId="3" fillId="5" borderId="1" xfId="0" applyFont="1" applyFill="1" applyBorder="1" applyAlignment="1">
      <alignment horizontal="left" vertical="center"/>
    </xf>
    <xf numFmtId="0" fontId="1" fillId="0" borderId="1" xfId="0" applyFont="1" applyBorder="1" applyAlignment="1">
      <alignment horizontal="left" vertical="center" wrapText="1"/>
    </xf>
    <xf numFmtId="0" fontId="27" fillId="0" borderId="1" xfId="0" applyFont="1" applyBorder="1" applyAlignment="1">
      <alignment horizontal="center"/>
    </xf>
    <xf numFmtId="0" fontId="27" fillId="0" borderId="1" xfId="0" applyFont="1" applyBorder="1" applyAlignment="1">
      <alignment horizontal="center" wrapText="1"/>
    </xf>
    <xf numFmtId="0" fontId="12" fillId="0" borderId="1" xfId="0" applyFont="1" applyBorder="1" applyAlignment="1">
      <alignment vertical="center"/>
    </xf>
    <xf numFmtId="0" fontId="12" fillId="0" borderId="1" xfId="0" applyFont="1" applyBorder="1" applyAlignment="1">
      <alignment horizontal="center" vertical="center" wrapText="1"/>
    </xf>
    <xf numFmtId="0" fontId="28" fillId="0" borderId="1" xfId="0" applyFont="1" applyBorder="1" applyAlignment="1">
      <alignment vertical="center"/>
    </xf>
    <xf numFmtId="0" fontId="29" fillId="0" borderId="1" xfId="0" applyFont="1" applyBorder="1" applyAlignment="1">
      <alignment horizontal="left" vertical="center" wrapText="1"/>
    </xf>
    <xf numFmtId="0" fontId="1" fillId="0" borderId="1" xfId="0" applyFont="1" applyBorder="1" applyAlignment="1">
      <alignment horizontal="center" vertical="center" wrapText="1"/>
    </xf>
    <xf numFmtId="0" fontId="12" fillId="0" borderId="1" xfId="0" applyFont="1" applyBorder="1" applyAlignment="1">
      <alignment vertical="center" wrapText="1"/>
    </xf>
    <xf numFmtId="0" fontId="26" fillId="14" borderId="15" xfId="0" applyFont="1" applyFill="1" applyBorder="1" applyAlignment="1">
      <alignment wrapText="1"/>
    </xf>
    <xf numFmtId="0" fontId="12" fillId="14" borderId="1" xfId="0" applyFont="1" applyFill="1" applyBorder="1" applyAlignment="1">
      <alignment vertical="center" wrapText="1"/>
    </xf>
    <xf numFmtId="0" fontId="12" fillId="14" borderId="1" xfId="0" applyFont="1" applyFill="1" applyBorder="1" applyAlignment="1">
      <alignment horizontal="center" vertical="center"/>
    </xf>
    <xf numFmtId="0" fontId="12" fillId="14" borderId="1" xfId="0" applyFont="1" applyFill="1" applyBorder="1" applyAlignment="1">
      <alignment vertical="center"/>
    </xf>
    <xf numFmtId="0" fontId="1" fillId="14" borderId="1" xfId="0" applyFont="1" applyFill="1" applyBorder="1" applyAlignment="1">
      <alignment horizontal="left" vertical="center" wrapText="1"/>
    </xf>
    <xf numFmtId="0" fontId="29" fillId="14" borderId="1" xfId="0" applyFont="1" applyFill="1" applyBorder="1" applyAlignment="1">
      <alignment horizontal="left" vertical="center" wrapText="1"/>
    </xf>
    <xf numFmtId="0" fontId="1" fillId="14" borderId="1" xfId="0" applyFont="1" applyFill="1" applyBorder="1" applyAlignment="1">
      <alignment horizontal="center" vertical="center" wrapText="1"/>
    </xf>
    <xf numFmtId="0" fontId="30" fillId="0" borderId="1" xfId="0" applyFont="1" applyBorder="1"/>
    <xf numFmtId="0" fontId="29" fillId="0" borderId="1" xfId="0" applyFont="1" applyBorder="1" applyAlignment="1">
      <alignment horizontal="center" vertical="center" wrapText="1"/>
    </xf>
    <xf numFmtId="0" fontId="12" fillId="0" borderId="0" xfId="0" applyFont="1" applyAlignment="1">
      <alignment horizontal="center" vertical="center"/>
    </xf>
    <xf numFmtId="0" fontId="31" fillId="10" borderId="15" xfId="0" applyFont="1" applyFill="1" applyBorder="1" applyAlignment="1">
      <alignment wrapText="1"/>
    </xf>
    <xf numFmtId="0" fontId="31" fillId="14" borderId="15" xfId="0" applyFont="1" applyFill="1" applyBorder="1" applyAlignment="1">
      <alignment wrapText="1"/>
    </xf>
    <xf numFmtId="0" fontId="3" fillId="17" borderId="4" xfId="0" applyFont="1" applyFill="1" applyBorder="1" applyAlignment="1">
      <alignment horizontal="center" vertical="center"/>
    </xf>
    <xf numFmtId="0" fontId="32" fillId="10" borderId="1" xfId="0" applyFont="1" applyFill="1" applyBorder="1"/>
    <xf numFmtId="0" fontId="26" fillId="0" borderId="0" xfId="0" applyFont="1" applyAlignment="1">
      <alignment wrapText="1"/>
    </xf>
    <xf numFmtId="0" fontId="1" fillId="0" borderId="0" xfId="0" applyFont="1" applyAlignment="1">
      <alignment horizontal="left" vertical="center" wrapText="1"/>
    </xf>
    <xf numFmtId="0" fontId="26" fillId="10" borderId="15" xfId="0" applyFont="1" applyFill="1" applyBorder="1" applyAlignment="1">
      <alignment horizontal="right"/>
    </xf>
    <xf numFmtId="0" fontId="26" fillId="10" borderId="15" xfId="0" applyFont="1" applyFill="1" applyBorder="1"/>
    <xf numFmtId="0" fontId="33" fillId="10" borderId="15" xfId="0" applyFont="1" applyFill="1" applyBorder="1" applyAlignment="1">
      <alignment horizontal="right"/>
    </xf>
    <xf numFmtId="0" fontId="34" fillId="10" borderId="1" xfId="0" applyFont="1" applyFill="1" applyBorder="1" applyAlignment="1">
      <alignment horizontal="center" wrapText="1"/>
    </xf>
    <xf numFmtId="0" fontId="34" fillId="10" borderId="15" xfId="0" applyFont="1" applyFill="1" applyBorder="1" applyAlignment="1">
      <alignment horizontal="center" wrapText="1"/>
    </xf>
    <xf numFmtId="0" fontId="26" fillId="10" borderId="2" xfId="0" applyFont="1" applyFill="1" applyBorder="1" applyAlignment="1">
      <alignment vertical="center"/>
    </xf>
    <xf numFmtId="0" fontId="26" fillId="10" borderId="1" xfId="0" applyFont="1" applyFill="1" applyBorder="1" applyAlignment="1">
      <alignment vertical="center"/>
    </xf>
    <xf numFmtId="0" fontId="29" fillId="0" borderId="0" xfId="0" applyFont="1" applyAlignment="1">
      <alignment horizontal="left" vertical="center" wrapText="1"/>
    </xf>
    <xf numFmtId="0" fontId="29" fillId="0" borderId="0" xfId="0" applyFont="1" applyAlignment="1">
      <alignment horizontal="center" vertical="center" wrapText="1"/>
    </xf>
    <xf numFmtId="164" fontId="29" fillId="0" borderId="0" xfId="0" applyNumberFormat="1" applyFont="1" applyAlignment="1">
      <alignment horizontal="left" vertical="center" wrapText="1"/>
    </xf>
    <xf numFmtId="0" fontId="1" fillId="0" borderId="0" xfId="0" applyFont="1" applyAlignment="1">
      <alignment horizontal="center" vertical="center" wrapText="1"/>
    </xf>
    <xf numFmtId="166" fontId="29" fillId="0" borderId="0" xfId="0" applyNumberFormat="1" applyFont="1" applyAlignment="1">
      <alignment horizontal="left" vertical="center" wrapText="1"/>
    </xf>
    <xf numFmtId="0" fontId="35" fillId="0" borderId="0" xfId="0" applyFont="1" applyAlignment="1">
      <alignment horizontal="left" vertical="center" wrapText="1"/>
    </xf>
    <xf numFmtId="0" fontId="27" fillId="5" borderId="0" xfId="0" applyFont="1" applyFill="1" applyAlignment="1">
      <alignment horizontal="center"/>
    </xf>
    <xf numFmtId="0" fontId="12" fillId="0" borderId="0" xfId="0" applyFont="1" applyAlignment="1">
      <alignment horizontal="center" vertical="center" wrapText="1"/>
    </xf>
    <xf numFmtId="0" fontId="36" fillId="14" borderId="1" xfId="0" applyFont="1" applyFill="1" applyBorder="1" applyAlignment="1">
      <alignment horizontal="center" vertical="center" wrapText="1"/>
    </xf>
    <xf numFmtId="0" fontId="26" fillId="15" borderId="1" xfId="0" applyFont="1" applyFill="1" applyBorder="1" applyAlignment="1">
      <alignment horizontal="center" vertical="center" wrapText="1"/>
    </xf>
    <xf numFmtId="0" fontId="36" fillId="14" borderId="2" xfId="0" applyFont="1" applyFill="1" applyBorder="1" applyAlignment="1">
      <alignment horizontal="center" vertical="center" wrapText="1"/>
    </xf>
    <xf numFmtId="0" fontId="37" fillId="14" borderId="2" xfId="0" applyFont="1" applyFill="1" applyBorder="1" applyAlignment="1">
      <alignment horizontal="center" vertical="center" wrapText="1"/>
    </xf>
    <xf numFmtId="0" fontId="26" fillId="0" borderId="1" xfId="0" applyFont="1" applyBorder="1" applyAlignment="1">
      <alignment vertical="center"/>
    </xf>
    <xf numFmtId="0" fontId="26" fillId="0" borderId="1" xfId="0" applyFont="1" applyBorder="1" applyAlignment="1">
      <alignment vertical="center" wrapText="1"/>
    </xf>
    <xf numFmtId="0" fontId="26" fillId="16" borderId="1" xfId="0" applyFont="1" applyFill="1" applyBorder="1" applyAlignment="1">
      <alignment horizontal="center" vertical="center"/>
    </xf>
    <xf numFmtId="0" fontId="26" fillId="0" borderId="1" xfId="0" applyFont="1" applyBorder="1" applyAlignment="1">
      <alignment horizontal="center" vertical="center"/>
    </xf>
    <xf numFmtId="0" fontId="12" fillId="0" borderId="0" xfId="0" applyFont="1" applyAlignment="1">
      <alignment horizontal="left" vertical="center" wrapText="1"/>
    </xf>
    <xf numFmtId="165" fontId="26" fillId="0" borderId="1" xfId="0" applyNumberFormat="1" applyFont="1" applyBorder="1" applyAlignment="1">
      <alignment horizontal="center" vertical="center"/>
    </xf>
    <xf numFmtId="0" fontId="26" fillId="0" borderId="0" xfId="0" applyFont="1" applyAlignment="1">
      <alignment vertical="center"/>
    </xf>
    <xf numFmtId="0" fontId="26" fillId="0" borderId="1" xfId="0" applyFont="1" applyBorder="1" applyAlignment="1">
      <alignment horizontal="left" vertical="center" wrapText="1"/>
    </xf>
    <xf numFmtId="0" fontId="1" fillId="10" borderId="0" xfId="0" applyFont="1" applyFill="1" applyAlignment="1">
      <alignment horizontal="left" vertical="center" wrapText="1"/>
    </xf>
    <xf numFmtId="0" fontId="26" fillId="14" borderId="1" xfId="0" applyFont="1" applyFill="1" applyBorder="1" applyAlignment="1">
      <alignment vertical="center"/>
    </xf>
    <xf numFmtId="0" fontId="26" fillId="14" borderId="1" xfId="0" applyFont="1" applyFill="1" applyBorder="1" applyAlignment="1">
      <alignment vertical="center" wrapText="1"/>
    </xf>
    <xf numFmtId="0" fontId="29" fillId="10" borderId="1" xfId="0" applyFont="1" applyFill="1" applyBorder="1" applyAlignment="1">
      <alignment horizontal="left" vertical="center"/>
    </xf>
    <xf numFmtId="164" fontId="26" fillId="0" borderId="1" xfId="0" applyNumberFormat="1" applyFont="1" applyBorder="1" applyAlignment="1">
      <alignment horizontal="center" vertical="center"/>
    </xf>
    <xf numFmtId="0" fontId="29" fillId="22" borderId="1" xfId="0" applyFont="1" applyFill="1" applyBorder="1" applyAlignment="1">
      <alignment horizontal="left" vertical="center"/>
    </xf>
    <xf numFmtId="0" fontId="26" fillId="22" borderId="1" xfId="0" applyFont="1" applyFill="1" applyBorder="1" applyAlignment="1">
      <alignment vertical="center"/>
    </xf>
    <xf numFmtId="0" fontId="26" fillId="22" borderId="1" xfId="0" applyFont="1" applyFill="1" applyBorder="1" applyAlignment="1">
      <alignment vertical="center" wrapText="1"/>
    </xf>
    <xf numFmtId="0" fontId="29" fillId="10" borderId="1" xfId="0" applyFont="1" applyFill="1" applyBorder="1" applyAlignment="1">
      <alignment horizontal="left" vertical="center" wrapText="1"/>
    </xf>
    <xf numFmtId="0" fontId="29" fillId="16" borderId="1" xfId="0" applyFont="1" applyFill="1" applyBorder="1" applyAlignment="1">
      <alignment horizontal="center" vertical="center"/>
    </xf>
    <xf numFmtId="0" fontId="29" fillId="14" borderId="1" xfId="0" applyFont="1" applyFill="1" applyBorder="1" applyAlignment="1">
      <alignment horizontal="left" vertical="center"/>
    </xf>
    <xf numFmtId="0" fontId="29" fillId="0" borderId="1" xfId="0" applyFont="1" applyBorder="1" applyAlignment="1">
      <alignment horizontal="left" vertical="center"/>
    </xf>
    <xf numFmtId="0" fontId="12" fillId="16" borderId="0" xfId="0" applyFont="1" applyFill="1" applyAlignment="1">
      <alignment horizontal="left" vertical="center" wrapText="1"/>
    </xf>
    <xf numFmtId="0" fontId="12" fillId="0" borderId="1" xfId="0" applyFont="1" applyBorder="1" applyAlignment="1">
      <alignment horizontal="left" vertical="center" wrapText="1"/>
    </xf>
    <xf numFmtId="0" fontId="12" fillId="23" borderId="1" xfId="0" applyFont="1" applyFill="1" applyBorder="1"/>
    <xf numFmtId="0" fontId="12" fillId="19" borderId="0" xfId="0" applyFont="1" applyFill="1" applyAlignment="1">
      <alignment horizontal="left" vertical="center" wrapText="1"/>
    </xf>
    <xf numFmtId="164" fontId="29" fillId="0" borderId="5" xfId="0" applyNumberFormat="1" applyFont="1" applyBorder="1" applyAlignment="1">
      <alignment horizontal="center"/>
    </xf>
    <xf numFmtId="0" fontId="38" fillId="10" borderId="1" xfId="0" applyFont="1" applyFill="1" applyBorder="1" applyAlignment="1">
      <alignment horizontal="center" vertical="center"/>
    </xf>
    <xf numFmtId="0" fontId="39" fillId="5" borderId="2" xfId="0" applyFont="1" applyFill="1" applyBorder="1" applyAlignment="1">
      <alignment horizontal="center" vertical="center"/>
    </xf>
    <xf numFmtId="0" fontId="28" fillId="10" borderId="0" xfId="0" applyFont="1" applyFill="1" applyAlignment="1">
      <alignment horizontal="center"/>
    </xf>
    <xf numFmtId="0" fontId="39" fillId="5" borderId="1" xfId="0" applyFont="1" applyFill="1" applyBorder="1" applyAlignment="1">
      <alignment horizontal="center" vertical="center"/>
    </xf>
    <xf numFmtId="0" fontId="12" fillId="20" borderId="0" xfId="0" applyFont="1" applyFill="1" applyAlignment="1">
      <alignment horizontal="left" vertical="center" wrapText="1"/>
    </xf>
    <xf numFmtId="0" fontId="28" fillId="10" borderId="1" xfId="0" applyFont="1" applyFill="1" applyBorder="1" applyAlignment="1">
      <alignment horizontal="center"/>
    </xf>
    <xf numFmtId="0" fontId="29" fillId="0" borderId="5" xfId="0" applyFont="1" applyBorder="1" applyAlignment="1">
      <alignment horizontal="center"/>
    </xf>
    <xf numFmtId="0" fontId="12" fillId="14" borderId="0" xfId="0" applyFont="1" applyFill="1" applyAlignment="1">
      <alignment horizontal="left" vertical="center" wrapText="1"/>
    </xf>
    <xf numFmtId="49" fontId="29" fillId="0" borderId="5" xfId="0" applyNumberFormat="1" applyFont="1" applyBorder="1" applyAlignment="1">
      <alignment horizontal="center"/>
    </xf>
    <xf numFmtId="0" fontId="12" fillId="21" borderId="0" xfId="0" applyFont="1" applyFill="1" applyAlignment="1">
      <alignment horizontal="left" vertical="center" wrapText="1"/>
    </xf>
    <xf numFmtId="0" fontId="41" fillId="10" borderId="1" xfId="0" applyFont="1" applyFill="1" applyBorder="1" applyAlignment="1">
      <alignment horizontal="center" vertical="center"/>
    </xf>
    <xf numFmtId="0" fontId="42" fillId="10" borderId="1" xfId="0" applyFont="1" applyFill="1" applyBorder="1" applyAlignment="1">
      <alignment horizontal="center"/>
    </xf>
    <xf numFmtId="0" fontId="12" fillId="0" borderId="5" xfId="0" applyFont="1" applyBorder="1"/>
    <xf numFmtId="0" fontId="39" fillId="15" borderId="1" xfId="0" applyFont="1" applyFill="1" applyBorder="1" applyAlignment="1">
      <alignment horizontal="center" vertical="center" wrapText="1"/>
    </xf>
    <xf numFmtId="0" fontId="37" fillId="14" borderId="1" xfId="0" applyFont="1" applyFill="1" applyBorder="1" applyAlignment="1">
      <alignment horizontal="center" vertical="center" wrapText="1"/>
    </xf>
    <xf numFmtId="0" fontId="39" fillId="0" borderId="1" xfId="0" applyFont="1" applyBorder="1" applyAlignment="1">
      <alignment vertical="center" wrapText="1"/>
    </xf>
    <xf numFmtId="0" fontId="39" fillId="0" borderId="1" xfId="0" applyFont="1" applyBorder="1" applyAlignment="1">
      <alignment horizontal="left" vertical="center" wrapText="1"/>
    </xf>
    <xf numFmtId="0" fontId="39" fillId="0" borderId="1" xfId="0" applyFont="1" applyBorder="1" applyAlignment="1">
      <alignment horizontal="center" vertical="center" wrapText="1"/>
    </xf>
    <xf numFmtId="0" fontId="39" fillId="16" borderId="1" xfId="0" applyFont="1" applyFill="1" applyBorder="1" applyAlignment="1">
      <alignment horizontal="center" vertical="center" wrapText="1"/>
    </xf>
    <xf numFmtId="164" fontId="39" fillId="0" borderId="1" xfId="0" applyNumberFormat="1" applyFont="1" applyBorder="1" applyAlignment="1">
      <alignment horizontal="center" vertical="center" wrapText="1"/>
    </xf>
    <xf numFmtId="0" fontId="38" fillId="10" borderId="1" xfId="0" applyFont="1" applyFill="1" applyBorder="1" applyAlignment="1">
      <alignment vertical="center"/>
    </xf>
    <xf numFmtId="0" fontId="39" fillId="5" borderId="1" xfId="0" applyFont="1" applyFill="1" applyBorder="1" applyAlignment="1">
      <alignment horizontal="left" vertical="center"/>
    </xf>
    <xf numFmtId="0" fontId="39" fillId="0" borderId="0" xfId="0" applyFont="1" applyAlignment="1">
      <alignment horizontal="center" vertical="center"/>
    </xf>
    <xf numFmtId="0" fontId="38" fillId="10" borderId="1" xfId="0" applyFont="1" applyFill="1" applyBorder="1" applyAlignment="1">
      <alignment horizontal="center"/>
    </xf>
    <xf numFmtId="164" fontId="39" fillId="0" borderId="1" xfId="0" applyNumberFormat="1" applyFont="1" applyBorder="1" applyAlignment="1">
      <alignment horizontal="left" vertical="center" wrapText="1"/>
    </xf>
    <xf numFmtId="0" fontId="39" fillId="0" borderId="1" xfId="0" applyFont="1" applyBorder="1" applyAlignment="1">
      <alignment vertical="center"/>
    </xf>
    <xf numFmtId="0" fontId="39" fillId="0" borderId="1" xfId="0" applyFont="1" applyBorder="1" applyAlignment="1">
      <alignment horizontal="left" vertical="center"/>
    </xf>
    <xf numFmtId="0" fontId="43" fillId="14" borderId="1" xfId="0" applyFont="1" applyFill="1" applyBorder="1" applyAlignment="1">
      <alignment horizontal="center" vertical="center" wrapText="1"/>
    </xf>
    <xf numFmtId="0" fontId="12" fillId="15" borderId="1" xfId="0" applyFont="1" applyFill="1" applyBorder="1" applyAlignment="1">
      <alignment horizontal="center" vertical="center" wrapText="1"/>
    </xf>
    <xf numFmtId="0" fontId="43" fillId="14" borderId="2" xfId="0" applyFont="1" applyFill="1" applyBorder="1" applyAlignment="1">
      <alignment horizontal="center" vertical="center" wrapText="1"/>
    </xf>
    <xf numFmtId="0" fontId="12" fillId="20" borderId="1" xfId="0" applyFont="1" applyFill="1" applyBorder="1" applyAlignment="1">
      <alignment vertical="center" wrapText="1"/>
    </xf>
    <xf numFmtId="0" fontId="12" fillId="20" borderId="1" xfId="0" applyFont="1" applyFill="1" applyBorder="1" applyAlignment="1">
      <alignment horizontal="center" vertical="center" wrapText="1"/>
    </xf>
    <xf numFmtId="0" fontId="12" fillId="0" borderId="2" xfId="0" applyFont="1" applyBorder="1" applyAlignment="1">
      <alignment vertical="center" wrapText="1"/>
    </xf>
    <xf numFmtId="164" fontId="12" fillId="0" borderId="1" xfId="0" applyNumberFormat="1" applyFont="1" applyBorder="1" applyAlignment="1">
      <alignment horizontal="center" vertical="center" wrapText="1"/>
    </xf>
    <xf numFmtId="164" fontId="12" fillId="0" borderId="0" xfId="0" applyNumberFormat="1" applyFont="1" applyAlignment="1">
      <alignment horizontal="center" vertical="center"/>
    </xf>
    <xf numFmtId="164" fontId="12" fillId="0" borderId="1" xfId="0" applyNumberFormat="1" applyFont="1" applyBorder="1" applyAlignment="1">
      <alignment horizontal="center" vertical="center"/>
    </xf>
    <xf numFmtId="0" fontId="27" fillId="24" borderId="1" xfId="0" applyFont="1" applyFill="1" applyBorder="1" applyAlignment="1">
      <alignment horizontal="center" vertical="center"/>
    </xf>
    <xf numFmtId="0" fontId="27" fillId="0" borderId="0" xfId="0" applyFont="1" applyAlignment="1">
      <alignment horizontal="center" vertical="center"/>
    </xf>
    <xf numFmtId="0" fontId="38" fillId="10" borderId="1" xfId="0" applyFont="1" applyFill="1" applyBorder="1"/>
    <xf numFmtId="0" fontId="39" fillId="0" borderId="1" xfId="0" applyFont="1" applyBorder="1" applyAlignment="1">
      <alignment horizontal="center" vertical="center"/>
    </xf>
    <xf numFmtId="0" fontId="28" fillId="10" borderId="0" xfId="0" applyFont="1" applyFill="1"/>
    <xf numFmtId="0" fontId="39" fillId="0" borderId="1" xfId="0" applyFont="1" applyBorder="1"/>
    <xf numFmtId="0" fontId="38" fillId="10" borderId="0" xfId="0" applyFont="1" applyFill="1"/>
    <xf numFmtId="0" fontId="26" fillId="15" borderId="0" xfId="0" applyFont="1" applyFill="1" applyAlignment="1">
      <alignment horizontal="center" vertical="center"/>
    </xf>
    <xf numFmtId="0" fontId="12" fillId="0" borderId="0" xfId="0" applyFont="1" applyAlignment="1">
      <alignment horizontal="center"/>
    </xf>
    <xf numFmtId="0" fontId="26" fillId="15" borderId="2" xfId="0" applyFont="1" applyFill="1" applyBorder="1" applyAlignment="1">
      <alignment horizontal="center" vertical="center" wrapText="1"/>
    </xf>
    <xf numFmtId="0" fontId="29" fillId="10" borderId="0" xfId="0" applyFont="1" applyFill="1" applyAlignment="1">
      <alignment horizontal="left" wrapText="1"/>
    </xf>
    <xf numFmtId="0" fontId="26" fillId="0" borderId="1" xfId="0" applyFont="1" applyBorder="1" applyAlignment="1">
      <alignment horizontal="center" vertical="center" wrapText="1"/>
    </xf>
    <xf numFmtId="0" fontId="26" fillId="16" borderId="1" xfId="0" applyFont="1" applyFill="1" applyBorder="1" applyAlignment="1">
      <alignment horizontal="center" vertical="center" wrapText="1"/>
    </xf>
    <xf numFmtId="0" fontId="26" fillId="21" borderId="1" xfId="0" applyFont="1" applyFill="1" applyBorder="1" applyAlignment="1">
      <alignment horizontal="center" vertical="center" wrapText="1"/>
    </xf>
    <xf numFmtId="0" fontId="26" fillId="16" borderId="1" xfId="0" applyFont="1" applyFill="1" applyBorder="1" applyAlignment="1">
      <alignment horizontal="left" vertical="center" wrapText="1"/>
    </xf>
    <xf numFmtId="0" fontId="26" fillId="20" borderId="1" xfId="0" applyFont="1" applyFill="1" applyBorder="1" applyAlignment="1">
      <alignment horizontal="left" vertical="center" wrapText="1"/>
    </xf>
    <xf numFmtId="0" fontId="26" fillId="20" borderId="1" xfId="0" applyFont="1" applyFill="1" applyBorder="1" applyAlignment="1">
      <alignment horizontal="center" vertical="center" wrapText="1"/>
    </xf>
    <xf numFmtId="0" fontId="26" fillId="20" borderId="1" xfId="0" applyFont="1" applyFill="1" applyBorder="1" applyAlignment="1">
      <alignment horizontal="left" vertical="center"/>
    </xf>
    <xf numFmtId="0" fontId="29" fillId="20" borderId="1" xfId="0" applyFont="1" applyFill="1" applyBorder="1" applyAlignment="1">
      <alignment horizontal="left" vertical="center" wrapText="1"/>
    </xf>
    <xf numFmtId="0" fontId="29" fillId="10" borderId="0" xfId="0" applyFont="1" applyFill="1" applyAlignment="1">
      <alignment horizontal="left"/>
    </xf>
    <xf numFmtId="0" fontId="26" fillId="7" borderId="1" xfId="0" applyFont="1" applyFill="1" applyBorder="1" applyAlignment="1">
      <alignment horizontal="left" vertical="center" wrapText="1"/>
    </xf>
    <xf numFmtId="0" fontId="44" fillId="0" borderId="1" xfId="0" applyFont="1" applyBorder="1" applyAlignment="1">
      <alignment wrapText="1"/>
    </xf>
    <xf numFmtId="0" fontId="26" fillId="0" borderId="1" xfId="0" applyFont="1" applyBorder="1" applyAlignment="1">
      <alignment horizontal="left" vertical="center"/>
    </xf>
    <xf numFmtId="0" fontId="26" fillId="16" borderId="1" xfId="0" applyFont="1" applyFill="1" applyBorder="1" applyAlignment="1">
      <alignment horizontal="left" vertical="center"/>
    </xf>
    <xf numFmtId="0" fontId="44" fillId="0" borderId="5" xfId="0" applyFont="1" applyBorder="1" applyAlignment="1">
      <alignment wrapText="1"/>
    </xf>
    <xf numFmtId="0" fontId="26" fillId="0" borderId="0" xfId="0" applyFont="1" applyAlignment="1">
      <alignment horizontal="left" vertical="center"/>
    </xf>
    <xf numFmtId="0" fontId="26" fillId="0" borderId="5" xfId="0" applyFont="1" applyBorder="1" applyAlignment="1">
      <alignment horizontal="left" vertical="center" wrapText="1"/>
    </xf>
    <xf numFmtId="0" fontId="26" fillId="0" borderId="0" xfId="0" applyFont="1" applyAlignment="1">
      <alignment horizontal="left" vertical="center" wrapText="1"/>
    </xf>
    <xf numFmtId="0" fontId="26" fillId="5" borderId="5" xfId="0" applyFont="1" applyFill="1" applyBorder="1" applyAlignment="1">
      <alignment horizontal="left" vertical="center" wrapText="1"/>
    </xf>
    <xf numFmtId="164" fontId="26" fillId="0" borderId="1" xfId="0" applyNumberFormat="1" applyFont="1" applyBorder="1" applyAlignment="1">
      <alignment horizontal="left" vertical="center"/>
    </xf>
    <xf numFmtId="0" fontId="26" fillId="20" borderId="1" xfId="0" applyFont="1" applyFill="1" applyBorder="1" applyAlignment="1">
      <alignment horizontal="center" vertical="center"/>
    </xf>
    <xf numFmtId="0" fontId="26" fillId="5" borderId="1" xfId="0" applyFont="1" applyFill="1" applyBorder="1" applyAlignment="1">
      <alignment horizontal="center" vertical="center" wrapText="1"/>
    </xf>
    <xf numFmtId="0" fontId="36" fillId="0" borderId="1" xfId="0" applyFont="1" applyBorder="1" applyAlignment="1">
      <alignment horizontal="left" vertical="center" wrapText="1"/>
    </xf>
    <xf numFmtId="0" fontId="26" fillId="0" borderId="1" xfId="0" applyFont="1" applyBorder="1" applyAlignment="1">
      <alignment wrapText="1"/>
    </xf>
    <xf numFmtId="0" fontId="26" fillId="0" borderId="5" xfId="0" applyFont="1" applyBorder="1" applyAlignment="1">
      <alignment wrapText="1"/>
    </xf>
    <xf numFmtId="0" fontId="26" fillId="25" borderId="1" xfId="0" applyFont="1" applyFill="1" applyBorder="1" applyAlignment="1">
      <alignment vertical="center" wrapText="1"/>
    </xf>
    <xf numFmtId="0" fontId="26" fillId="25" borderId="1" xfId="0" applyFont="1" applyFill="1" applyBorder="1" applyAlignment="1">
      <alignment horizontal="center" vertical="center"/>
    </xf>
    <xf numFmtId="0" fontId="26" fillId="25" borderId="1" xfId="0" applyFont="1" applyFill="1" applyBorder="1" applyAlignment="1">
      <alignment horizontal="left" vertical="center" wrapText="1"/>
    </xf>
    <xf numFmtId="0" fontId="26" fillId="25" borderId="1" xfId="0" applyFont="1" applyFill="1" applyBorder="1" applyAlignment="1">
      <alignment horizontal="left" vertical="center"/>
    </xf>
    <xf numFmtId="0" fontId="45" fillId="0" borderId="1" xfId="0" applyFont="1" applyBorder="1" applyAlignment="1">
      <alignment vertical="center" wrapText="1"/>
    </xf>
    <xf numFmtId="0" fontId="46" fillId="0" borderId="0" xfId="0" applyFont="1" applyAlignment="1">
      <alignment vertical="center" wrapText="1"/>
    </xf>
    <xf numFmtId="0" fontId="47" fillId="0" borderId="1" xfId="0" applyFont="1" applyBorder="1" applyAlignment="1">
      <alignment horizontal="center" vertical="center" wrapText="1"/>
    </xf>
    <xf numFmtId="0" fontId="1" fillId="0" borderId="1" xfId="0" applyFont="1" applyBorder="1" applyAlignment="1">
      <alignment vertical="center" wrapText="1"/>
    </xf>
    <xf numFmtId="0" fontId="47" fillId="0" borderId="1" xfId="0" applyFont="1" applyBorder="1" applyAlignment="1">
      <alignment vertical="center" wrapText="1"/>
    </xf>
    <xf numFmtId="0" fontId="1" fillId="16" borderId="1" xfId="0" applyFont="1" applyFill="1" applyBorder="1" applyAlignment="1">
      <alignment horizontal="center" vertical="center" wrapText="1"/>
    </xf>
    <xf numFmtId="0" fontId="1" fillId="26" borderId="1" xfId="0" applyFont="1" applyFill="1" applyBorder="1" applyAlignment="1">
      <alignment horizontal="center" vertical="center" wrapText="1"/>
    </xf>
    <xf numFmtId="0" fontId="29" fillId="0" borderId="1" xfId="0" applyFont="1" applyBorder="1" applyAlignment="1">
      <alignment vertical="center" wrapText="1"/>
    </xf>
    <xf numFmtId="165" fontId="47" fillId="0" borderId="1" xfId="0" applyNumberFormat="1" applyFont="1" applyBorder="1" applyAlignment="1">
      <alignment vertical="center" wrapText="1"/>
    </xf>
    <xf numFmtId="0" fontId="47" fillId="0" borderId="0" xfId="0" applyFont="1" applyAlignment="1">
      <alignment vertical="center" wrapText="1"/>
    </xf>
    <xf numFmtId="165" fontId="48" fillId="0" borderId="1" xfId="0" applyNumberFormat="1" applyFont="1" applyBorder="1" applyAlignment="1">
      <alignment vertical="center" wrapText="1"/>
    </xf>
    <xf numFmtId="0" fontId="48" fillId="0" borderId="1" xfId="0" applyFont="1" applyBorder="1" applyAlignment="1">
      <alignment vertical="center" wrapText="1"/>
    </xf>
    <xf numFmtId="0" fontId="38" fillId="0" borderId="1" xfId="0" applyFont="1" applyBorder="1" applyAlignment="1">
      <alignment vertical="center" wrapText="1"/>
    </xf>
    <xf numFmtId="0" fontId="12" fillId="0" borderId="0" xfId="0" applyFont="1" applyAlignment="1">
      <alignment vertical="center" wrapText="1"/>
    </xf>
    <xf numFmtId="0" fontId="48" fillId="0" borderId="0" xfId="0" applyFont="1" applyAlignment="1">
      <alignment vertical="center" wrapText="1"/>
    </xf>
    <xf numFmtId="0" fontId="12" fillId="5" borderId="0" xfId="0" applyFont="1" applyFill="1" applyAlignment="1">
      <alignment horizontal="center"/>
    </xf>
    <xf numFmtId="0" fontId="12" fillId="25" borderId="0" xfId="0" applyFont="1" applyFill="1" applyAlignment="1">
      <alignment horizontal="center"/>
    </xf>
    <xf numFmtId="0" fontId="12" fillId="16" borderId="0" xfId="0" applyFont="1" applyFill="1"/>
    <xf numFmtId="0" fontId="43" fillId="27" borderId="0" xfId="0" applyFont="1" applyFill="1" applyAlignment="1">
      <alignment horizontal="center" vertical="top" wrapText="1"/>
    </xf>
    <xf numFmtId="0" fontId="12" fillId="19" borderId="0" xfId="0" applyFont="1" applyFill="1"/>
    <xf numFmtId="0" fontId="49" fillId="16" borderId="0" xfId="0" applyFont="1" applyFill="1" applyAlignment="1">
      <alignment horizontal="center" vertical="top" wrapText="1"/>
    </xf>
    <xf numFmtId="0" fontId="49" fillId="16" borderId="0" xfId="0" applyFont="1" applyFill="1" applyAlignment="1">
      <alignment vertical="top" wrapText="1"/>
    </xf>
    <xf numFmtId="10" fontId="49" fillId="16" borderId="0" xfId="0" applyNumberFormat="1" applyFont="1" applyFill="1" applyAlignment="1">
      <alignment horizontal="center"/>
    </xf>
    <xf numFmtId="0" fontId="12" fillId="20" borderId="0" xfId="0" applyFont="1" applyFill="1"/>
    <xf numFmtId="0" fontId="49" fillId="28" borderId="0" xfId="0" applyFont="1" applyFill="1" applyAlignment="1">
      <alignment horizontal="center"/>
    </xf>
    <xf numFmtId="0" fontId="49" fillId="28" borderId="0" xfId="0" applyFont="1" applyFill="1" applyAlignment="1">
      <alignment vertical="top" wrapText="1"/>
    </xf>
    <xf numFmtId="10" fontId="49" fillId="28" borderId="0" xfId="0" applyNumberFormat="1" applyFont="1" applyFill="1" applyAlignment="1">
      <alignment horizontal="center"/>
    </xf>
    <xf numFmtId="0" fontId="12" fillId="14" borderId="0" xfId="0" applyFont="1" applyFill="1"/>
    <xf numFmtId="0" fontId="49" fillId="20" borderId="0" xfId="0" applyFont="1" applyFill="1" applyAlignment="1">
      <alignment horizontal="center"/>
    </xf>
    <xf numFmtId="0" fontId="49" fillId="20" borderId="0" xfId="0" applyFont="1" applyFill="1" applyAlignment="1">
      <alignment vertical="top" wrapText="1"/>
    </xf>
    <xf numFmtId="10" fontId="49" fillId="20" borderId="0" xfId="0" applyNumberFormat="1" applyFont="1" applyFill="1" applyAlignment="1">
      <alignment horizontal="center" vertical="top" wrapText="1"/>
    </xf>
    <xf numFmtId="0" fontId="12" fillId="21" borderId="0" xfId="0" applyFont="1" applyFill="1"/>
    <xf numFmtId="0" fontId="43" fillId="18" borderId="0" xfId="0" applyFont="1" applyFill="1" applyAlignment="1">
      <alignment horizontal="center" vertical="top" wrapText="1"/>
    </xf>
    <xf numFmtId="0" fontId="43" fillId="18" borderId="0" xfId="0" applyFont="1" applyFill="1" applyAlignment="1">
      <alignment vertical="top" wrapText="1"/>
    </xf>
    <xf numFmtId="10" fontId="49" fillId="18" borderId="0" xfId="0" applyNumberFormat="1" applyFont="1" applyFill="1" applyAlignment="1">
      <alignment horizontal="center" vertical="top"/>
    </xf>
    <xf numFmtId="0" fontId="43" fillId="18" borderId="0" xfId="0" applyFont="1" applyFill="1"/>
    <xf numFmtId="0" fontId="50" fillId="0" borderId="1" xfId="0" applyFont="1" applyBorder="1" applyAlignment="1">
      <alignment horizontal="center"/>
    </xf>
    <xf numFmtId="0" fontId="50" fillId="0" borderId="1" xfId="0" applyFont="1" applyBorder="1" applyAlignment="1">
      <alignment horizontal="center" wrapText="1"/>
    </xf>
    <xf numFmtId="165" fontId="12" fillId="0" borderId="1" xfId="0" applyNumberFormat="1" applyFont="1" applyBorder="1" applyAlignment="1">
      <alignment horizontal="center"/>
    </xf>
    <xf numFmtId="164" fontId="12" fillId="0" borderId="1" xfId="0" applyNumberFormat="1" applyFont="1" applyBorder="1" applyAlignment="1">
      <alignment horizontal="center"/>
    </xf>
    <xf numFmtId="0" fontId="30" fillId="0" borderId="1" xfId="0" applyFont="1" applyBorder="1" applyAlignment="1">
      <alignment horizontal="center"/>
    </xf>
    <xf numFmtId="0" fontId="26" fillId="24" borderId="1" xfId="0" applyFont="1" applyFill="1" applyBorder="1" applyAlignment="1">
      <alignment horizontal="left" vertical="center" wrapText="1"/>
    </xf>
    <xf numFmtId="0" fontId="37" fillId="10" borderId="1" xfId="0" applyFont="1" applyFill="1" applyBorder="1" applyAlignment="1">
      <alignment horizontal="left" vertical="center" wrapText="1"/>
    </xf>
    <xf numFmtId="0" fontId="26" fillId="10" borderId="1" xfId="0" applyFont="1" applyFill="1" applyBorder="1" applyAlignment="1">
      <alignment horizontal="left" vertical="center" wrapText="1"/>
    </xf>
    <xf numFmtId="0" fontId="39" fillId="29" borderId="0" xfId="0" applyFont="1" applyFill="1" applyAlignment="1">
      <alignment horizontal="left" vertical="top"/>
    </xf>
    <xf numFmtId="0" fontId="39" fillId="29" borderId="0" xfId="0" applyFont="1" applyFill="1" applyAlignment="1">
      <alignment horizontal="left" vertical="center"/>
    </xf>
    <xf numFmtId="0" fontId="39" fillId="16" borderId="0" xfId="0" applyFont="1" applyFill="1" applyAlignment="1">
      <alignment horizontal="left" vertical="center" wrapText="1"/>
    </xf>
    <xf numFmtId="0" fontId="39" fillId="0" borderId="0" xfId="0" applyFont="1" applyAlignment="1">
      <alignment horizontal="left" vertical="center"/>
    </xf>
    <xf numFmtId="164" fontId="39" fillId="5" borderId="1" xfId="0" applyNumberFormat="1" applyFont="1" applyFill="1" applyBorder="1" applyAlignment="1">
      <alignment horizontal="left" vertical="center"/>
    </xf>
    <xf numFmtId="0" fontId="39" fillId="10" borderId="0" xfId="0" applyFont="1" applyFill="1" applyAlignment="1">
      <alignment horizontal="left" vertical="center"/>
    </xf>
    <xf numFmtId="0" fontId="39" fillId="10" borderId="0" xfId="0" applyFont="1" applyFill="1" applyAlignment="1">
      <alignment horizontal="left" vertical="top"/>
    </xf>
    <xf numFmtId="0" fontId="39" fillId="10" borderId="0" xfId="0" applyFont="1" applyFill="1" applyAlignment="1">
      <alignment horizontal="left" vertical="center" wrapText="1"/>
    </xf>
    <xf numFmtId="164" fontId="39" fillId="0" borderId="0" xfId="0" applyNumberFormat="1" applyFont="1" applyAlignment="1">
      <alignment horizontal="left" vertical="center"/>
    </xf>
    <xf numFmtId="0" fontId="39" fillId="29" borderId="0" xfId="0" applyFont="1" applyFill="1" applyAlignment="1">
      <alignment horizontal="left" vertical="center" wrapText="1"/>
    </xf>
    <xf numFmtId="0" fontId="39" fillId="0" borderId="0" xfId="0" applyFont="1"/>
    <xf numFmtId="0" fontId="51" fillId="10" borderId="0" xfId="0" applyFont="1" applyFill="1" applyAlignment="1">
      <alignment horizontal="left" vertical="center"/>
    </xf>
    <xf numFmtId="0" fontId="52" fillId="29" borderId="0" xfId="0" applyFont="1" applyFill="1"/>
    <xf numFmtId="0" fontId="39" fillId="0" borderId="0" xfId="0" applyFont="1" applyAlignment="1">
      <alignment vertical="center"/>
    </xf>
    <xf numFmtId="0" fontId="12" fillId="10" borderId="0" xfId="0" applyFont="1" applyFill="1" applyAlignment="1">
      <alignment wrapText="1"/>
    </xf>
    <xf numFmtId="0" fontId="29" fillId="10" borderId="0" xfId="0" applyFont="1" applyFill="1"/>
    <xf numFmtId="0" fontId="39" fillId="29" borderId="0" xfId="0" applyFont="1" applyFill="1" applyAlignment="1">
      <alignment horizontal="center" vertical="center" wrapText="1"/>
    </xf>
    <xf numFmtId="0" fontId="39" fillId="10" borderId="0" xfId="0" applyFont="1" applyFill="1" applyAlignment="1">
      <alignment horizontal="center" vertical="center" wrapText="1"/>
    </xf>
    <xf numFmtId="0" fontId="39" fillId="29" borderId="0" xfId="0" applyFont="1" applyFill="1"/>
    <xf numFmtId="0" fontId="38" fillId="29" borderId="0" xfId="0" applyFont="1" applyFill="1" applyAlignment="1">
      <alignment horizontal="left" vertical="top"/>
    </xf>
    <xf numFmtId="0" fontId="38" fillId="10" borderId="0" xfId="0" applyFont="1" applyFill="1" applyAlignment="1">
      <alignment horizontal="left" vertical="top"/>
    </xf>
    <xf numFmtId="0" fontId="39" fillId="0" borderId="0" xfId="0" applyFont="1" applyAlignment="1">
      <alignment horizontal="left" vertical="center" wrapText="1"/>
    </xf>
    <xf numFmtId="0" fontId="39" fillId="29" borderId="0" xfId="0" applyFont="1" applyFill="1" applyAlignment="1">
      <alignment horizontal="center" vertical="center"/>
    </xf>
    <xf numFmtId="0" fontId="39" fillId="10" borderId="0" xfId="0" applyFont="1" applyFill="1" applyAlignment="1">
      <alignment horizontal="center" vertical="center"/>
    </xf>
    <xf numFmtId="0" fontId="54" fillId="10" borderId="0" xfId="0" applyFont="1" applyFill="1"/>
    <xf numFmtId="0" fontId="54" fillId="29" borderId="0" xfId="0" applyFont="1" applyFill="1" applyAlignment="1">
      <alignment vertical="top"/>
    </xf>
    <xf numFmtId="0" fontId="54" fillId="29" borderId="0" xfId="0" applyFont="1" applyFill="1"/>
    <xf numFmtId="0" fontId="12" fillId="10" borderId="0" xfId="0" applyFont="1" applyFill="1"/>
    <xf numFmtId="0" fontId="39" fillId="30" borderId="0" xfId="0" applyFont="1" applyFill="1" applyAlignment="1">
      <alignment horizontal="left" vertical="top"/>
    </xf>
    <xf numFmtId="0" fontId="39" fillId="30" borderId="0" xfId="0" applyFont="1" applyFill="1" applyAlignment="1">
      <alignment horizontal="left" vertical="center"/>
    </xf>
    <xf numFmtId="0" fontId="38" fillId="30" borderId="0" xfId="0" applyFont="1" applyFill="1" applyAlignment="1">
      <alignment horizontal="left" vertical="top"/>
    </xf>
    <xf numFmtId="164" fontId="39" fillId="30" borderId="0" xfId="0" applyNumberFormat="1" applyFont="1" applyFill="1" applyAlignment="1">
      <alignment horizontal="left" vertical="center"/>
    </xf>
    <xf numFmtId="0" fontId="54" fillId="10" borderId="0" xfId="0" applyFont="1" applyFill="1" applyAlignment="1">
      <alignment vertical="top"/>
    </xf>
    <xf numFmtId="0" fontId="54" fillId="10" borderId="0" xfId="0" applyFont="1" applyFill="1" applyAlignment="1">
      <alignment wrapText="1"/>
    </xf>
    <xf numFmtId="0" fontId="54" fillId="0" borderId="0" xfId="0" applyFont="1" applyAlignment="1">
      <alignment wrapText="1"/>
    </xf>
    <xf numFmtId="0" fontId="49" fillId="0" borderId="0" xfId="0" applyFont="1"/>
    <xf numFmtId="0" fontId="49" fillId="10" borderId="0" xfId="0" applyFont="1" applyFill="1"/>
    <xf numFmtId="0" fontId="49" fillId="29" borderId="0" xfId="0" applyFont="1" applyFill="1"/>
    <xf numFmtId="0" fontId="56" fillId="23" borderId="1" xfId="0" applyFont="1" applyFill="1" applyBorder="1" applyAlignment="1">
      <alignment horizontal="left" vertical="center"/>
    </xf>
    <xf numFmtId="0" fontId="56" fillId="23" borderId="3" xfId="0" applyFont="1" applyFill="1" applyBorder="1" applyAlignment="1">
      <alignment horizontal="center" vertical="center"/>
    </xf>
    <xf numFmtId="0" fontId="56" fillId="23" borderId="7" xfId="0" applyFont="1" applyFill="1" applyBorder="1" applyAlignment="1">
      <alignment horizontal="center" vertical="center"/>
    </xf>
    <xf numFmtId="0" fontId="56" fillId="23" borderId="4" xfId="0" applyFont="1" applyFill="1" applyBorder="1" applyAlignment="1">
      <alignment horizontal="center" vertical="center"/>
    </xf>
    <xf numFmtId="0" fontId="56" fillId="23" borderId="2" xfId="0" applyFont="1" applyFill="1" applyBorder="1" applyAlignment="1">
      <alignment horizontal="center" vertical="center"/>
    </xf>
    <xf numFmtId="0" fontId="12" fillId="20" borderId="1" xfId="0" applyFont="1" applyFill="1" applyBorder="1" applyAlignment="1">
      <alignment horizontal="left" vertical="center" wrapText="1"/>
    </xf>
    <xf numFmtId="0" fontId="12" fillId="31" borderId="1" xfId="0" applyFont="1" applyFill="1" applyBorder="1"/>
    <xf numFmtId="0" fontId="28" fillId="10" borderId="1" xfId="0" applyFont="1" applyFill="1" applyBorder="1" applyAlignment="1">
      <alignment horizontal="center" vertical="center"/>
    </xf>
    <xf numFmtId="0" fontId="58" fillId="10" borderId="1" xfId="0" applyFont="1" applyFill="1" applyBorder="1"/>
    <xf numFmtId="164" fontId="54" fillId="10" borderId="4" xfId="0" applyNumberFormat="1" applyFont="1" applyFill="1" applyBorder="1" applyAlignment="1">
      <alignment horizontal="left"/>
    </xf>
    <xf numFmtId="164" fontId="54" fillId="10" borderId="15" xfId="0" applyNumberFormat="1" applyFont="1" applyFill="1" applyBorder="1" applyAlignment="1">
      <alignment horizontal="left"/>
    </xf>
    <xf numFmtId="0" fontId="43" fillId="14" borderId="0" xfId="0" applyFont="1" applyFill="1" applyAlignment="1">
      <alignment horizontal="center" wrapText="1"/>
    </xf>
    <xf numFmtId="0" fontId="49" fillId="0" borderId="0" xfId="0" applyFont="1" applyAlignment="1">
      <alignment horizontal="left" vertical="center" wrapText="1"/>
    </xf>
    <xf numFmtId="0" fontId="12" fillId="15" borderId="1" xfId="0" applyFont="1" applyFill="1" applyBorder="1" applyAlignment="1">
      <alignment horizontal="center" vertical="center"/>
    </xf>
    <xf numFmtId="0" fontId="15" fillId="0" borderId="1" xfId="0" applyFont="1" applyBorder="1" applyAlignment="1">
      <alignment horizontal="left" vertical="center" wrapText="1"/>
    </xf>
    <xf numFmtId="0" fontId="12" fillId="16" borderId="1" xfId="0" applyFont="1" applyFill="1" applyBorder="1" applyAlignment="1">
      <alignment horizontal="center" vertical="center" wrapText="1"/>
    </xf>
    <xf numFmtId="0" fontId="12" fillId="21" borderId="1" xfId="0" applyFont="1" applyFill="1" applyBorder="1" applyAlignment="1">
      <alignment horizontal="center" vertical="center" wrapText="1"/>
    </xf>
    <xf numFmtId="0" fontId="1" fillId="16" borderId="1" xfId="0" applyFont="1" applyFill="1" applyBorder="1" applyAlignment="1">
      <alignment horizontal="center" vertical="center"/>
    </xf>
    <xf numFmtId="0" fontId="1" fillId="16" borderId="0" xfId="0" applyFont="1" applyFill="1" applyAlignment="1">
      <alignment horizontal="center" vertical="center"/>
    </xf>
    <xf numFmtId="0" fontId="12" fillId="0" borderId="1" xfId="0" applyFont="1" applyBorder="1" applyAlignment="1">
      <alignment horizontal="left" vertical="center"/>
    </xf>
    <xf numFmtId="0" fontId="15" fillId="20" borderId="1" xfId="0" applyFont="1" applyFill="1" applyBorder="1" applyAlignment="1">
      <alignment horizontal="left" vertical="center" wrapText="1"/>
    </xf>
    <xf numFmtId="0" fontId="12" fillId="25" borderId="0" xfId="0" applyFont="1" applyFill="1"/>
    <xf numFmtId="0" fontId="43" fillId="27" borderId="0" xfId="0" applyFont="1" applyFill="1" applyAlignment="1">
      <alignment vertical="top" wrapText="1"/>
    </xf>
    <xf numFmtId="0" fontId="12" fillId="33" borderId="1" xfId="0" applyFont="1" applyFill="1" applyBorder="1" applyAlignment="1">
      <alignment horizontal="left" vertical="center" wrapText="1"/>
    </xf>
    <xf numFmtId="0" fontId="12" fillId="33" borderId="1" xfId="0" applyFont="1" applyFill="1" applyBorder="1"/>
    <xf numFmtId="0" fontId="49" fillId="28" borderId="0" xfId="0" applyFont="1" applyFill="1"/>
    <xf numFmtId="0" fontId="49" fillId="20" borderId="0" xfId="0" applyFont="1" applyFill="1"/>
    <xf numFmtId="0" fontId="34" fillId="0" borderId="0" xfId="0" applyFont="1" applyAlignment="1">
      <alignment horizontal="right"/>
    </xf>
    <xf numFmtId="0" fontId="28" fillId="0" borderId="0" xfId="0" applyFont="1"/>
    <xf numFmtId="0" fontId="39" fillId="15" borderId="0" xfId="0" applyFont="1" applyFill="1" applyAlignment="1">
      <alignment horizontal="center" vertical="center"/>
    </xf>
    <xf numFmtId="0" fontId="26" fillId="0" borderId="1" xfId="0" applyFont="1" applyBorder="1" applyAlignment="1">
      <alignment horizontal="left" vertical="top" wrapText="1"/>
    </xf>
    <xf numFmtId="0" fontId="39" fillId="0" borderId="1" xfId="0" applyFont="1" applyBorder="1" applyAlignment="1">
      <alignment wrapText="1"/>
    </xf>
    <xf numFmtId="0" fontId="26" fillId="0" borderId="1" xfId="0" applyFont="1" applyBorder="1" applyAlignment="1">
      <alignment vertical="top" wrapText="1"/>
    </xf>
    <xf numFmtId="0" fontId="39" fillId="16" borderId="1" xfId="0" applyFont="1" applyFill="1" applyBorder="1" applyAlignment="1">
      <alignment horizontal="center" wrapText="1"/>
    </xf>
    <xf numFmtId="0" fontId="39" fillId="21" borderId="1" xfId="0" applyFont="1" applyFill="1" applyBorder="1" applyAlignment="1">
      <alignment horizontal="center" wrapText="1"/>
    </xf>
    <xf numFmtId="0" fontId="39" fillId="0" borderId="1" xfId="0" applyFont="1" applyBorder="1" applyAlignment="1">
      <alignment vertical="top" wrapText="1"/>
    </xf>
    <xf numFmtId="0" fontId="39" fillId="0" borderId="1" xfId="0" applyFont="1" applyBorder="1" applyAlignment="1">
      <alignment horizontal="center" wrapText="1"/>
    </xf>
    <xf numFmtId="0" fontId="39" fillId="0" borderId="1" xfId="0" applyFont="1" applyBorder="1" applyAlignment="1">
      <alignment horizontal="center"/>
    </xf>
    <xf numFmtId="0" fontId="39" fillId="20" borderId="1" xfId="0" applyFont="1" applyFill="1" applyBorder="1" applyAlignment="1">
      <alignment vertical="center" wrapText="1"/>
    </xf>
    <xf numFmtId="0" fontId="26" fillId="20" borderId="1" xfId="0" applyFont="1" applyFill="1" applyBorder="1" applyAlignment="1">
      <alignment vertical="center" wrapText="1"/>
    </xf>
    <xf numFmtId="0" fontId="26" fillId="20" borderId="1" xfId="0" applyFont="1" applyFill="1" applyBorder="1" applyAlignment="1">
      <alignment vertical="top" wrapText="1"/>
    </xf>
    <xf numFmtId="0" fontId="39" fillId="20" borderId="1" xfId="0" applyFont="1" applyFill="1" applyBorder="1" applyAlignment="1">
      <alignment wrapText="1"/>
    </xf>
    <xf numFmtId="0" fontId="39" fillId="20" borderId="1" xfId="0" applyFont="1" applyFill="1" applyBorder="1" applyAlignment="1">
      <alignment horizontal="center" wrapText="1"/>
    </xf>
    <xf numFmtId="0" fontId="39" fillId="20" borderId="1" xfId="0" applyFont="1" applyFill="1" applyBorder="1" applyAlignment="1">
      <alignment horizontal="center" vertical="center" wrapText="1"/>
    </xf>
    <xf numFmtId="0" fontId="39" fillId="20" borderId="0" xfId="0" applyFont="1" applyFill="1" applyAlignment="1">
      <alignment wrapText="1"/>
    </xf>
    <xf numFmtId="0" fontId="26" fillId="10" borderId="1" xfId="0" applyFont="1" applyFill="1" applyBorder="1" applyAlignment="1">
      <alignment vertical="top" wrapText="1"/>
    </xf>
    <xf numFmtId="0" fontId="26" fillId="10" borderId="1" xfId="0" applyFont="1" applyFill="1" applyBorder="1" applyAlignment="1">
      <alignment horizontal="left" vertical="top" wrapText="1"/>
    </xf>
    <xf numFmtId="0" fontId="26" fillId="20" borderId="1" xfId="0" applyFont="1" applyFill="1" applyBorder="1" applyAlignment="1">
      <alignment horizontal="left" vertical="top" wrapText="1"/>
    </xf>
    <xf numFmtId="0" fontId="35" fillId="10" borderId="0" xfId="0" applyFont="1" applyFill="1"/>
    <xf numFmtId="0" fontId="29" fillId="10" borderId="1" xfId="0" applyFont="1" applyFill="1" applyBorder="1" applyAlignment="1">
      <alignment horizontal="left"/>
    </xf>
    <xf numFmtId="0" fontId="12" fillId="30" borderId="1" xfId="0" applyFont="1" applyFill="1" applyBorder="1" applyAlignment="1">
      <alignment horizontal="left" vertical="center" wrapText="1"/>
    </xf>
    <xf numFmtId="0" fontId="28" fillId="30" borderId="1" xfId="0" applyFont="1" applyFill="1" applyBorder="1"/>
    <xf numFmtId="0" fontId="34" fillId="33" borderId="1" xfId="0" applyFont="1" applyFill="1" applyBorder="1" applyAlignment="1">
      <alignment horizontal="right"/>
    </xf>
    <xf numFmtId="0" fontId="12" fillId="5" borderId="0" xfId="0" applyFont="1" applyFill="1" applyAlignment="1">
      <alignment horizontal="left" vertical="center" wrapText="1"/>
    </xf>
    <xf numFmtId="0" fontId="28" fillId="5" borderId="0" xfId="0" applyFont="1" applyFill="1"/>
    <xf numFmtId="0" fontId="60" fillId="14" borderId="15" xfId="0" applyFont="1" applyFill="1" applyBorder="1" applyAlignment="1">
      <alignment horizontal="left" vertical="center" wrapText="1"/>
    </xf>
    <xf numFmtId="0" fontId="37" fillId="14" borderId="15" xfId="0" applyFont="1" applyFill="1" applyBorder="1" applyAlignment="1">
      <alignment horizontal="left" vertical="center" wrapText="1"/>
    </xf>
    <xf numFmtId="0" fontId="37" fillId="31" borderId="15" xfId="0" applyFont="1" applyFill="1" applyBorder="1" applyAlignment="1">
      <alignment horizontal="left" vertical="center" wrapText="1"/>
    </xf>
    <xf numFmtId="0" fontId="61" fillId="15" borderId="15" xfId="0" applyFont="1" applyFill="1" applyBorder="1" applyAlignment="1">
      <alignment horizontal="left" vertical="center" wrapText="1"/>
    </xf>
    <xf numFmtId="0" fontId="49" fillId="0" borderId="5" xfId="0" applyFont="1" applyBorder="1" applyAlignment="1">
      <alignment horizontal="left" vertical="center" wrapText="1"/>
    </xf>
    <xf numFmtId="0" fontId="49" fillId="0" borderId="15" xfId="0" applyFont="1" applyBorder="1" applyAlignment="1">
      <alignment horizontal="left" vertical="center" wrapText="1"/>
    </xf>
    <xf numFmtId="0" fontId="49" fillId="21" borderId="15" xfId="0" applyFont="1" applyFill="1" applyBorder="1" applyAlignment="1">
      <alignment horizontal="left" vertical="center"/>
    </xf>
    <xf numFmtId="0" fontId="49" fillId="16" borderId="15" xfId="0" applyFont="1" applyFill="1" applyBorder="1" applyAlignment="1">
      <alignment horizontal="left" vertical="center" wrapText="1"/>
    </xf>
    <xf numFmtId="0" fontId="49" fillId="10" borderId="15" xfId="0" applyFont="1" applyFill="1" applyBorder="1" applyAlignment="1">
      <alignment horizontal="left" vertical="center" wrapText="1"/>
    </xf>
    <xf numFmtId="164" fontId="49" fillId="10" borderId="15" xfId="0" applyNumberFormat="1" applyFont="1" applyFill="1" applyBorder="1" applyAlignment="1">
      <alignment horizontal="left" vertical="center" wrapText="1"/>
    </xf>
    <xf numFmtId="0" fontId="49" fillId="16" borderId="15" xfId="0" applyFont="1" applyFill="1" applyBorder="1" applyAlignment="1">
      <alignment horizontal="left" vertical="center"/>
    </xf>
    <xf numFmtId="0" fontId="49" fillId="0" borderId="15" xfId="0" applyFont="1" applyBorder="1" applyAlignment="1">
      <alignment horizontal="left" vertical="center"/>
    </xf>
    <xf numFmtId="0" fontId="49" fillId="10" borderId="15" xfId="0" applyFont="1" applyFill="1" applyBorder="1" applyAlignment="1">
      <alignment horizontal="left" vertical="center"/>
    </xf>
    <xf numFmtId="164" fontId="49" fillId="0" borderId="15" xfId="0" applyNumberFormat="1" applyFont="1" applyBorder="1" applyAlignment="1">
      <alignment horizontal="left" vertical="center"/>
    </xf>
    <xf numFmtId="0" fontId="49" fillId="10" borderId="16" xfId="0" applyFont="1" applyFill="1" applyBorder="1" applyAlignment="1">
      <alignment horizontal="left" vertical="center"/>
    </xf>
    <xf numFmtId="164" fontId="49" fillId="10" borderId="15" xfId="0" applyNumberFormat="1" applyFont="1" applyFill="1" applyBorder="1" applyAlignment="1">
      <alignment horizontal="left" vertical="center"/>
    </xf>
    <xf numFmtId="0" fontId="49" fillId="16" borderId="16" xfId="0" applyFont="1" applyFill="1" applyBorder="1" applyAlignment="1">
      <alignment horizontal="left" vertical="center"/>
    </xf>
    <xf numFmtId="0" fontId="62" fillId="0" borderId="0" xfId="0" applyFont="1"/>
    <xf numFmtId="0" fontId="63" fillId="0" borderId="0" xfId="0" applyFont="1" applyAlignment="1">
      <alignment horizontal="center"/>
    </xf>
    <xf numFmtId="167" fontId="64" fillId="19" borderId="0" xfId="0" applyNumberFormat="1" applyFont="1" applyFill="1" applyAlignment="1">
      <alignment horizontal="center" textRotation="90"/>
    </xf>
    <xf numFmtId="168" fontId="65" fillId="10" borderId="1" xfId="0" applyNumberFormat="1" applyFont="1" applyFill="1" applyBorder="1" applyAlignment="1">
      <alignment horizontal="center"/>
    </xf>
    <xf numFmtId="0" fontId="65" fillId="10" borderId="1" xfId="0" applyFont="1" applyFill="1" applyBorder="1" applyAlignment="1">
      <alignment horizontal="center"/>
    </xf>
    <xf numFmtId="0" fontId="12" fillId="25" borderId="1" xfId="0" applyFont="1" applyFill="1" applyBorder="1"/>
    <xf numFmtId="0" fontId="24" fillId="35" borderId="1" xfId="0" applyFont="1" applyFill="1" applyBorder="1"/>
    <xf numFmtId="0" fontId="49" fillId="35" borderId="1" xfId="0" applyFont="1" applyFill="1" applyBorder="1"/>
    <xf numFmtId="0" fontId="24" fillId="10" borderId="1" xfId="0" applyFont="1" applyFill="1" applyBorder="1"/>
    <xf numFmtId="0" fontId="49" fillId="10" borderId="1" xfId="0" applyFont="1" applyFill="1" applyBorder="1"/>
    <xf numFmtId="0" fontId="49" fillId="0" borderId="0" xfId="0" applyFont="1" applyAlignment="1">
      <alignment vertical="top"/>
    </xf>
    <xf numFmtId="0" fontId="3" fillId="0" borderId="4" xfId="0" applyFont="1" applyBorder="1"/>
    <xf numFmtId="0" fontId="71" fillId="0" borderId="18" xfId="0" applyFont="1" applyBorder="1" applyAlignment="1">
      <alignment readingOrder="1"/>
    </xf>
    <xf numFmtId="0" fontId="71" fillId="0" borderId="1" xfId="0" applyFont="1" applyBorder="1" applyAlignment="1">
      <alignment readingOrder="1"/>
    </xf>
    <xf numFmtId="0" fontId="71" fillId="0" borderId="19" xfId="0" applyFont="1" applyBorder="1" applyAlignment="1">
      <alignment readingOrder="1"/>
    </xf>
    <xf numFmtId="0" fontId="3" fillId="0" borderId="17" xfId="0" applyFont="1" applyBorder="1"/>
    <xf numFmtId="0" fontId="3" fillId="0" borderId="2" xfId="0" applyFont="1" applyBorder="1" applyAlignment="1">
      <alignment horizontal="center" vertical="center"/>
    </xf>
    <xf numFmtId="0" fontId="3" fillId="2" borderId="0" xfId="0" applyFont="1" applyFill="1" applyAlignment="1">
      <alignment vertical="center"/>
    </xf>
    <xf numFmtId="0" fontId="3" fillId="2" borderId="1" xfId="0" applyFont="1" applyFill="1" applyBorder="1"/>
    <xf numFmtId="0" fontId="1" fillId="0" borderId="0" xfId="0" applyFont="1" applyAlignment="1">
      <alignment wrapText="1"/>
    </xf>
    <xf numFmtId="0" fontId="1" fillId="0" borderId="0" xfId="0" applyFont="1" applyAlignment="1">
      <alignment horizontal="right" wrapText="1"/>
    </xf>
    <xf numFmtId="0" fontId="3" fillId="2" borderId="1" xfId="0" applyFont="1" applyFill="1" applyBorder="1" applyAlignment="1">
      <alignment horizontal="center" wrapText="1"/>
    </xf>
    <xf numFmtId="10" fontId="3" fillId="2" borderId="1" xfId="0" applyNumberFormat="1" applyFont="1" applyFill="1" applyBorder="1" applyAlignment="1">
      <alignment horizontal="center" wrapText="1"/>
    </xf>
    <xf numFmtId="0" fontId="3" fillId="6" borderId="0" xfId="0" applyFont="1" applyFill="1" applyAlignment="1">
      <alignment vertical="center"/>
    </xf>
    <xf numFmtId="0" fontId="3" fillId="6" borderId="1" xfId="0" applyFont="1" applyFill="1" applyBorder="1" applyAlignment="1">
      <alignment vertical="center"/>
    </xf>
    <xf numFmtId="0" fontId="8" fillId="6" borderId="1" xfId="0" applyFont="1" applyFill="1" applyBorder="1" applyAlignment="1">
      <alignment horizontal="left" vertical="center" wrapText="1"/>
    </xf>
    <xf numFmtId="0" fontId="3" fillId="7" borderId="0" xfId="0" applyFont="1" applyFill="1" applyAlignment="1">
      <alignment vertical="center"/>
    </xf>
    <xf numFmtId="0" fontId="3" fillId="7" borderId="1" xfId="0" applyFont="1" applyFill="1" applyBorder="1" applyAlignment="1">
      <alignment vertical="center"/>
    </xf>
    <xf numFmtId="0" fontId="8" fillId="7" borderId="1" xfId="0" applyFont="1" applyFill="1" applyBorder="1" applyAlignment="1">
      <alignment horizontal="left" vertical="center" wrapText="1"/>
    </xf>
    <xf numFmtId="0" fontId="3" fillId="2" borderId="1" xfId="0" applyFont="1" applyFill="1" applyBorder="1" applyAlignment="1">
      <alignment vertical="center"/>
    </xf>
    <xf numFmtId="0" fontId="3" fillId="8" borderId="0" xfId="0" applyFont="1" applyFill="1" applyAlignment="1">
      <alignment vertical="center"/>
    </xf>
    <xf numFmtId="0" fontId="3" fillId="8" borderId="1" xfId="0" applyFont="1" applyFill="1" applyBorder="1" applyAlignment="1">
      <alignment vertical="center"/>
    </xf>
    <xf numFmtId="0" fontId="8" fillId="8" borderId="1" xfId="0" applyFont="1" applyFill="1" applyBorder="1" applyAlignment="1">
      <alignment horizontal="left" vertical="center" wrapText="1"/>
    </xf>
    <xf numFmtId="0" fontId="8" fillId="2" borderId="0" xfId="0" applyFont="1" applyFill="1" applyAlignment="1">
      <alignment horizontal="left" vertical="center" wrapText="1"/>
    </xf>
    <xf numFmtId="0" fontId="1" fillId="0" borderId="1" xfId="0" applyFont="1" applyBorder="1" applyAlignment="1">
      <alignment horizontal="center" vertical="center"/>
    </xf>
    <xf numFmtId="0" fontId="8" fillId="2" borderId="0" xfId="0" applyFont="1" applyFill="1" applyAlignment="1">
      <alignment wrapText="1"/>
    </xf>
    <xf numFmtId="10" fontId="3" fillId="2" borderId="0" xfId="0" applyNumberFormat="1" applyFont="1" applyFill="1" applyAlignment="1">
      <alignment horizontal="center" wrapText="1"/>
    </xf>
    <xf numFmtId="0" fontId="7" fillId="6" borderId="1" xfId="0" quotePrefix="1" applyFont="1" applyFill="1" applyBorder="1" applyAlignment="1">
      <alignment horizontal="left" vertical="center" wrapText="1"/>
    </xf>
    <xf numFmtId="0" fontId="7" fillId="6" borderId="1" xfId="0" applyFont="1" applyFill="1" applyBorder="1" applyAlignment="1">
      <alignment horizontal="left" vertical="center" wrapText="1"/>
    </xf>
    <xf numFmtId="0" fontId="3" fillId="9" borderId="0" xfId="0" applyFont="1" applyFill="1" applyAlignment="1">
      <alignment vertical="center"/>
    </xf>
    <xf numFmtId="0" fontId="3" fillId="9" borderId="1" xfId="0" applyFont="1" applyFill="1" applyBorder="1" applyAlignment="1">
      <alignment vertical="center"/>
    </xf>
    <xf numFmtId="0" fontId="8" fillId="9" borderId="1" xfId="0" applyFont="1" applyFill="1" applyBorder="1" applyAlignment="1">
      <alignment horizontal="left" vertical="center" wrapText="1"/>
    </xf>
    <xf numFmtId="0" fontId="8" fillId="2" borderId="1" xfId="0" applyFont="1" applyFill="1" applyBorder="1" applyAlignment="1">
      <alignment horizontal="center" vertical="center" wrapText="1"/>
    </xf>
    <xf numFmtId="0" fontId="1" fillId="0" borderId="0" xfId="0" applyFont="1" applyAlignment="1">
      <alignment vertical="top"/>
    </xf>
    <xf numFmtId="0" fontId="1" fillId="0" borderId="1" xfId="0" applyFont="1" applyBorder="1" applyAlignment="1">
      <alignment horizontal="right"/>
    </xf>
    <xf numFmtId="0" fontId="1" fillId="0" borderId="0" xfId="0" applyFont="1"/>
    <xf numFmtId="164" fontId="1" fillId="0" borderId="1" xfId="0" applyNumberFormat="1" applyFont="1" applyBorder="1" applyAlignment="1">
      <alignment horizontal="right" vertical="center" wrapText="1"/>
    </xf>
    <xf numFmtId="0" fontId="3" fillId="0" borderId="4" xfId="0" applyFont="1" applyBorder="1" applyAlignment="1">
      <alignment horizontal="center" wrapText="1"/>
    </xf>
    <xf numFmtId="0" fontId="3" fillId="0" borderId="15" xfId="0" applyFont="1" applyBorder="1" applyAlignment="1">
      <alignment horizontal="center" wrapText="1"/>
    </xf>
    <xf numFmtId="164" fontId="3" fillId="0" borderId="1" xfId="0" applyNumberFormat="1" applyFont="1" applyBorder="1" applyAlignment="1">
      <alignment horizontal="center" vertical="center"/>
    </xf>
    <xf numFmtId="10" fontId="3" fillId="0" borderId="15" xfId="0" applyNumberFormat="1" applyFont="1" applyBorder="1" applyAlignment="1">
      <alignment wrapText="1"/>
    </xf>
    <xf numFmtId="0" fontId="3" fillId="14" borderId="15" xfId="0" applyFont="1" applyFill="1" applyBorder="1" applyAlignment="1">
      <alignment wrapText="1"/>
    </xf>
    <xf numFmtId="0" fontId="3" fillId="14" borderId="15" xfId="0" applyFont="1" applyFill="1" applyBorder="1"/>
    <xf numFmtId="0" fontId="3" fillId="14" borderId="15" xfId="0" applyFont="1" applyFill="1" applyBorder="1" applyAlignment="1">
      <alignment horizontal="center" wrapText="1"/>
    </xf>
    <xf numFmtId="0" fontId="3" fillId="0" borderId="4" xfId="0" applyFont="1" applyBorder="1" applyAlignment="1">
      <alignment vertical="center"/>
    </xf>
    <xf numFmtId="0" fontId="3" fillId="0" borderId="4" xfId="0" applyFont="1" applyBorder="1" applyAlignment="1">
      <alignment horizontal="center" vertical="center"/>
    </xf>
    <xf numFmtId="0" fontId="3" fillId="14" borderId="4" xfId="0" applyFont="1" applyFill="1" applyBorder="1" applyAlignment="1">
      <alignment horizontal="center" wrapText="1"/>
    </xf>
    <xf numFmtId="0" fontId="3" fillId="14" borderId="4" xfId="0" applyFont="1" applyFill="1" applyBorder="1"/>
    <xf numFmtId="0" fontId="3" fillId="14" borderId="4" xfId="0" applyFont="1" applyFill="1" applyBorder="1" applyAlignment="1">
      <alignment vertical="center"/>
    </xf>
    <xf numFmtId="0" fontId="3" fillId="14" borderId="4" xfId="0" applyFont="1" applyFill="1" applyBorder="1" applyAlignment="1">
      <alignment wrapText="1"/>
    </xf>
    <xf numFmtId="0" fontId="3" fillId="14" borderId="4" xfId="0" applyFont="1" applyFill="1" applyBorder="1" applyAlignment="1">
      <alignment horizontal="center" vertical="center"/>
    </xf>
    <xf numFmtId="164" fontId="3" fillId="0" borderId="4" xfId="0" applyNumberFormat="1" applyFont="1" applyBorder="1" applyAlignment="1">
      <alignment horizontal="center" vertical="center"/>
    </xf>
    <xf numFmtId="0" fontId="3" fillId="0" borderId="16" xfId="0" applyFont="1" applyBorder="1" applyAlignment="1">
      <alignment wrapText="1"/>
    </xf>
    <xf numFmtId="165" fontId="3" fillId="0" borderId="4" xfId="0" applyNumberFormat="1" applyFont="1" applyBorder="1" applyAlignment="1">
      <alignment horizontal="center" vertical="center"/>
    </xf>
    <xf numFmtId="0" fontId="3" fillId="0" borderId="4" xfId="0" applyFont="1" applyBorder="1" applyAlignment="1">
      <alignment vertical="center" wrapText="1"/>
    </xf>
    <xf numFmtId="0" fontId="3" fillId="0" borderId="15" xfId="0" applyFont="1" applyBorder="1" applyAlignment="1">
      <alignment vertical="center" wrapText="1"/>
    </xf>
    <xf numFmtId="10" fontId="3" fillId="0" borderId="15" xfId="0" applyNumberFormat="1" applyFont="1" applyBorder="1"/>
    <xf numFmtId="0" fontId="3" fillId="14" borderId="1" xfId="0" applyFont="1" applyFill="1" applyBorder="1" applyAlignment="1">
      <alignment wrapText="1"/>
    </xf>
    <xf numFmtId="10" fontId="3" fillId="0" borderId="1" xfId="0" applyNumberFormat="1" applyFont="1" applyBorder="1"/>
    <xf numFmtId="0" fontId="3" fillId="0" borderId="0" xfId="0" applyFont="1" applyAlignment="1">
      <alignment vertical="center"/>
    </xf>
    <xf numFmtId="0" fontId="3" fillId="16" borderId="0" xfId="0" applyFont="1" applyFill="1"/>
    <xf numFmtId="0" fontId="3" fillId="0" borderId="16" xfId="0" applyFont="1" applyBorder="1"/>
    <xf numFmtId="0" fontId="2" fillId="18" borderId="4" xfId="0" applyFont="1" applyFill="1" applyBorder="1" applyAlignment="1">
      <alignment horizontal="center" vertical="center"/>
    </xf>
    <xf numFmtId="0" fontId="2" fillId="18" borderId="1" xfId="0" applyFont="1" applyFill="1" applyBorder="1" applyAlignment="1">
      <alignment horizontal="center" wrapText="1"/>
    </xf>
    <xf numFmtId="0" fontId="2" fillId="18" borderId="4" xfId="0" applyFont="1" applyFill="1" applyBorder="1" applyAlignment="1">
      <alignment horizontal="center" wrapText="1"/>
    </xf>
    <xf numFmtId="0" fontId="3" fillId="19" borderId="0" xfId="0" applyFont="1" applyFill="1"/>
    <xf numFmtId="164" fontId="3" fillId="0" borderId="15" xfId="0" applyNumberFormat="1" applyFont="1" applyBorder="1" applyAlignment="1">
      <alignment horizontal="center"/>
    </xf>
    <xf numFmtId="0" fontId="3" fillId="20" borderId="0" xfId="0" applyFont="1" applyFill="1"/>
    <xf numFmtId="0" fontId="3" fillId="14" borderId="0" xfId="0" applyFont="1" applyFill="1"/>
    <xf numFmtId="0" fontId="3" fillId="21" borderId="0" xfId="0" applyFont="1" applyFill="1"/>
    <xf numFmtId="164" fontId="3" fillId="0" borderId="1" xfId="0" applyNumberFormat="1" applyFont="1" applyBorder="1" applyAlignment="1">
      <alignment horizontal="center"/>
    </xf>
    <xf numFmtId="0" fontId="3" fillId="0" borderId="1" xfId="0" applyFont="1" applyBorder="1" applyAlignment="1">
      <alignment horizontal="left" vertical="center" wrapText="1"/>
    </xf>
    <xf numFmtId="0" fontId="27" fillId="23" borderId="3" xfId="0" applyFont="1" applyFill="1" applyBorder="1" applyAlignment="1">
      <alignment horizontal="center" vertical="center"/>
    </xf>
    <xf numFmtId="0" fontId="27" fillId="23" borderId="7" xfId="0" applyFont="1" applyFill="1" applyBorder="1" applyAlignment="1">
      <alignment horizontal="center" vertical="center"/>
    </xf>
    <xf numFmtId="0" fontId="27" fillId="23" borderId="1" xfId="0" applyFont="1" applyFill="1" applyBorder="1" applyAlignment="1">
      <alignment horizontal="center" vertical="center"/>
    </xf>
    <xf numFmtId="0" fontId="3" fillId="0" borderId="1" xfId="0" applyFont="1" applyBorder="1" applyAlignment="1">
      <alignment vertical="top" wrapText="1"/>
    </xf>
    <xf numFmtId="0" fontId="3" fillId="0" borderId="5" xfId="0" applyFont="1" applyBorder="1" applyAlignment="1">
      <alignment vertical="top" wrapText="1"/>
    </xf>
    <xf numFmtId="0" fontId="3" fillId="0" borderId="5" xfId="0" applyFont="1" applyBorder="1"/>
    <xf numFmtId="0" fontId="3" fillId="25" borderId="5" xfId="0" applyFont="1" applyFill="1" applyBorder="1" applyAlignment="1">
      <alignment wrapText="1"/>
    </xf>
    <xf numFmtId="0" fontId="3" fillId="18" borderId="0" xfId="0" applyFont="1" applyFill="1"/>
    <xf numFmtId="0" fontId="27" fillId="23" borderId="1" xfId="0" applyFont="1" applyFill="1" applyBorder="1" applyAlignment="1">
      <alignment horizontal="center" vertical="center" wrapText="1"/>
    </xf>
    <xf numFmtId="0" fontId="27" fillId="23" borderId="1" xfId="0" applyFont="1" applyFill="1" applyBorder="1" applyAlignment="1">
      <alignment horizontal="center"/>
    </xf>
    <xf numFmtId="165" fontId="12" fillId="0" borderId="1" xfId="0" applyNumberFormat="1" applyFont="1" applyBorder="1" applyAlignment="1">
      <alignment horizontal="center" vertical="center"/>
    </xf>
    <xf numFmtId="0" fontId="52" fillId="10" borderId="0" xfId="0" applyFont="1" applyFill="1"/>
    <xf numFmtId="0" fontId="51" fillId="29" borderId="0" xfId="0" applyFont="1" applyFill="1" applyAlignment="1">
      <alignment horizontal="left" vertical="center"/>
    </xf>
    <xf numFmtId="0" fontId="29" fillId="10" borderId="0" xfId="0" applyFont="1" applyFill="1" applyAlignment="1">
      <alignment horizontal="left" vertical="top"/>
    </xf>
    <xf numFmtId="0" fontId="29" fillId="29" borderId="0" xfId="0" applyFont="1" applyFill="1" applyAlignment="1">
      <alignment horizontal="left" vertical="top"/>
    </xf>
    <xf numFmtId="0" fontId="12" fillId="16" borderId="1" xfId="0" applyFont="1" applyFill="1" applyBorder="1" applyAlignment="1">
      <alignment horizontal="center" vertical="center"/>
    </xf>
    <xf numFmtId="10" fontId="3" fillId="18" borderId="0" xfId="0" applyNumberFormat="1" applyFont="1" applyFill="1" applyAlignment="1">
      <alignment vertical="top"/>
    </xf>
    <xf numFmtId="0" fontId="51" fillId="20" borderId="1" xfId="0" applyFont="1" applyFill="1" applyBorder="1" applyAlignment="1">
      <alignment vertical="top" wrapText="1"/>
    </xf>
    <xf numFmtId="0" fontId="3" fillId="33" borderId="1" xfId="0" applyFont="1" applyFill="1" applyBorder="1" applyAlignment="1">
      <alignment wrapText="1"/>
    </xf>
    <xf numFmtId="0" fontId="3" fillId="14" borderId="0" xfId="0" applyFont="1" applyFill="1" applyAlignment="1">
      <alignment horizontal="left" vertical="center"/>
    </xf>
    <xf numFmtId="0" fontId="3" fillId="14" borderId="4" xfId="0" applyFont="1" applyFill="1" applyBorder="1" applyAlignment="1">
      <alignment horizontal="left" vertical="center"/>
    </xf>
    <xf numFmtId="0" fontId="3" fillId="15" borderId="4" xfId="0" applyFont="1" applyFill="1" applyBorder="1" applyAlignment="1">
      <alignment horizontal="left" vertical="center"/>
    </xf>
    <xf numFmtId="0" fontId="3" fillId="14" borderId="5" xfId="0" applyFont="1" applyFill="1" applyBorder="1" applyAlignment="1">
      <alignment horizontal="left" vertical="center"/>
    </xf>
    <xf numFmtId="0" fontId="3" fillId="14" borderId="15" xfId="0" applyFont="1" applyFill="1" applyBorder="1" applyAlignment="1">
      <alignment horizontal="left" vertical="center"/>
    </xf>
    <xf numFmtId="0" fontId="3" fillId="10" borderId="15" xfId="0" applyFont="1" applyFill="1" applyBorder="1" applyAlignment="1">
      <alignment horizontal="left" vertical="center"/>
    </xf>
    <xf numFmtId="168" fontId="3" fillId="34" borderId="0" xfId="0" applyNumberFormat="1" applyFont="1" applyFill="1"/>
    <xf numFmtId="0" fontId="3" fillId="34" borderId="0" xfId="0" applyFont="1" applyFill="1"/>
    <xf numFmtId="0" fontId="3" fillId="25" borderId="0" xfId="0" applyFont="1" applyFill="1"/>
    <xf numFmtId="0" fontId="3" fillId="10" borderId="1" xfId="0" applyFont="1" applyFill="1" applyBorder="1"/>
    <xf numFmtId="0" fontId="3" fillId="35" borderId="1" xfId="0" applyFont="1" applyFill="1" applyBorder="1"/>
    <xf numFmtId="0" fontId="3" fillId="25" borderId="1" xfId="0" applyFont="1" applyFill="1" applyBorder="1"/>
    <xf numFmtId="0" fontId="3" fillId="2" borderId="2" xfId="0" applyFont="1" applyFill="1" applyBorder="1" applyAlignment="1">
      <alignment vertical="center" wrapText="1"/>
    </xf>
    <xf numFmtId="0" fontId="3" fillId="2" borderId="2" xfId="0" applyFont="1" applyFill="1" applyBorder="1" applyAlignment="1">
      <alignment horizontal="center" vertical="center" wrapText="1"/>
    </xf>
    <xf numFmtId="17" fontId="3" fillId="2" borderId="1" xfId="0" applyNumberFormat="1" applyFont="1" applyFill="1" applyBorder="1" applyAlignment="1">
      <alignment horizontal="center" vertical="center" wrapText="1"/>
    </xf>
    <xf numFmtId="16" fontId="3" fillId="2" borderId="1" xfId="0" applyNumberFormat="1" applyFont="1" applyFill="1" applyBorder="1" applyAlignment="1">
      <alignment horizontal="center" vertical="center" wrapText="1"/>
    </xf>
    <xf numFmtId="0" fontId="73" fillId="0" borderId="0" xfId="0" applyFont="1"/>
    <xf numFmtId="0" fontId="72" fillId="2" borderId="1" xfId="1" applyFill="1" applyBorder="1" applyAlignment="1">
      <alignment horizontal="left" vertical="center" wrapText="1"/>
    </xf>
    <xf numFmtId="0" fontId="3" fillId="2" borderId="8" xfId="0" applyFont="1" applyFill="1" applyBorder="1" applyAlignment="1">
      <alignment horizontal="center" vertical="center" wrapText="1"/>
    </xf>
    <xf numFmtId="17" fontId="3" fillId="2" borderId="4" xfId="0" applyNumberFormat="1" applyFont="1" applyFill="1" applyBorder="1" applyAlignment="1">
      <alignment horizontal="center" vertical="center" wrapText="1"/>
    </xf>
    <xf numFmtId="10" fontId="3" fillId="2" borderId="2" xfId="0" applyNumberFormat="1" applyFont="1" applyFill="1" applyBorder="1" applyAlignment="1">
      <alignment horizontal="center" vertical="center" wrapText="1"/>
    </xf>
    <xf numFmtId="0" fontId="72" fillId="2" borderId="0" xfId="1" applyFill="1" applyAlignment="1">
      <alignment horizontal="left" vertical="center" wrapText="1"/>
    </xf>
    <xf numFmtId="0" fontId="0" fillId="0" borderId="0" xfId="0" applyAlignment="1">
      <alignment horizontal="center"/>
    </xf>
    <xf numFmtId="9" fontId="0" fillId="0" borderId="0" xfId="0" applyNumberFormat="1"/>
    <xf numFmtId="0" fontId="0" fillId="0" borderId="1" xfId="0" applyBorder="1"/>
    <xf numFmtId="0" fontId="0" fillId="0" borderId="1" xfId="0" applyBorder="1" applyAlignment="1">
      <alignment horizontal="center"/>
    </xf>
    <xf numFmtId="0" fontId="75" fillId="0" borderId="1" xfId="0" applyFont="1" applyBorder="1"/>
    <xf numFmtId="0" fontId="76" fillId="0" borderId="1" xfId="0" applyFont="1" applyBorder="1"/>
    <xf numFmtId="0" fontId="76" fillId="0" borderId="3" xfId="0" applyFont="1" applyBorder="1"/>
    <xf numFmtId="0" fontId="48" fillId="0" borderId="1" xfId="0" applyFont="1" applyBorder="1" applyAlignment="1">
      <alignment horizontal="center"/>
    </xf>
    <xf numFmtId="0" fontId="48" fillId="0" borderId="5" xfId="0" applyFont="1" applyBorder="1" applyAlignment="1">
      <alignment horizontal="center"/>
    </xf>
    <xf numFmtId="0" fontId="48" fillId="0" borderId="1" xfId="0" applyFont="1" applyBorder="1"/>
    <xf numFmtId="0" fontId="48" fillId="36" borderId="1" xfId="0" applyFont="1" applyFill="1" applyBorder="1" applyAlignment="1">
      <alignment horizontal="center"/>
    </xf>
    <xf numFmtId="0" fontId="76" fillId="0" borderId="1" xfId="0" applyFont="1" applyBorder="1" applyAlignment="1">
      <alignment horizontal="center"/>
    </xf>
    <xf numFmtId="0" fontId="76" fillId="0" borderId="1" xfId="0" applyFont="1" applyBorder="1" applyAlignment="1">
      <alignment horizontal="center" wrapText="1"/>
    </xf>
    <xf numFmtId="0" fontId="48" fillId="0" borderId="4" xfId="0" applyFont="1" applyBorder="1" applyAlignment="1">
      <alignment horizontal="center"/>
    </xf>
    <xf numFmtId="0" fontId="48" fillId="36" borderId="4" xfId="0" applyFont="1" applyFill="1" applyBorder="1" applyAlignment="1">
      <alignment horizontal="center"/>
    </xf>
    <xf numFmtId="0" fontId="76" fillId="0" borderId="2" xfId="0" applyFont="1" applyBorder="1" applyAlignment="1">
      <alignment horizontal="center" wrapText="1"/>
    </xf>
    <xf numFmtId="0" fontId="76" fillId="0" borderId="2" xfId="0" applyFont="1" applyBorder="1"/>
    <xf numFmtId="0" fontId="76" fillId="0" borderId="5" xfId="0" applyFont="1" applyBorder="1" applyAlignment="1">
      <alignment horizontal="center"/>
    </xf>
    <xf numFmtId="0" fontId="77" fillId="0" borderId="1" xfId="0" applyFont="1" applyBorder="1"/>
    <xf numFmtId="0" fontId="78" fillId="0" borderId="1" xfId="0" applyFont="1" applyBorder="1"/>
    <xf numFmtId="0" fontId="48" fillId="36" borderId="1" xfId="0" applyFont="1" applyFill="1" applyBorder="1" applyAlignment="1">
      <alignment horizontal="left"/>
    </xf>
    <xf numFmtId="0" fontId="79" fillId="37" borderId="1" xfId="0" applyFont="1" applyFill="1" applyBorder="1" applyAlignment="1">
      <alignment horizontal="left" vertical="center" wrapText="1" readingOrder="1"/>
    </xf>
    <xf numFmtId="0" fontId="80" fillId="37" borderId="1" xfId="0" applyFont="1" applyFill="1" applyBorder="1" applyAlignment="1">
      <alignment horizontal="left" vertical="center" wrapText="1" readingOrder="1"/>
    </xf>
    <xf numFmtId="0" fontId="80" fillId="36" borderId="1" xfId="0" applyFont="1" applyFill="1" applyBorder="1" applyAlignment="1">
      <alignment horizontal="left" vertical="center" wrapText="1" readingOrder="1"/>
    </xf>
    <xf numFmtId="0" fontId="79" fillId="36" borderId="1" xfId="0" applyFont="1" applyFill="1" applyBorder="1" applyAlignment="1">
      <alignment horizontal="left" vertical="center" wrapText="1" readingOrder="1"/>
    </xf>
    <xf numFmtId="0" fontId="0" fillId="37" borderId="1" xfId="0" applyFill="1" applyBorder="1" applyAlignment="1">
      <alignment vertical="center"/>
    </xf>
    <xf numFmtId="0" fontId="0" fillId="0" borderId="1" xfId="0" applyBorder="1" applyAlignment="1">
      <alignment vertical="center"/>
    </xf>
    <xf numFmtId="0" fontId="0" fillId="36" borderId="1" xfId="0" applyFill="1" applyBorder="1" applyAlignment="1">
      <alignment vertical="center"/>
    </xf>
    <xf numFmtId="0" fontId="81" fillId="0" borderId="1" xfId="0" applyFont="1" applyBorder="1" applyAlignment="1">
      <alignment horizontal="left" vertical="center" wrapText="1"/>
    </xf>
    <xf numFmtId="0" fontId="81" fillId="36" borderId="1" xfId="0" applyFont="1" applyFill="1" applyBorder="1" applyAlignment="1">
      <alignment horizontal="left" vertical="center" wrapText="1"/>
    </xf>
    <xf numFmtId="0" fontId="82" fillId="0" borderId="1" xfId="0" applyFont="1" applyBorder="1" applyAlignment="1">
      <alignment horizontal="left" vertical="center" wrapText="1"/>
    </xf>
    <xf numFmtId="0" fontId="82" fillId="0" borderId="2" xfId="0" applyFont="1" applyBorder="1" applyAlignment="1">
      <alignment horizontal="left" vertical="center" wrapText="1"/>
    </xf>
    <xf numFmtId="0" fontId="82" fillId="0" borderId="5" xfId="0" applyFont="1" applyBorder="1" applyAlignment="1">
      <alignment horizontal="left" vertical="center" wrapText="1"/>
    </xf>
    <xf numFmtId="0" fontId="74" fillId="0" borderId="0" xfId="0" applyFont="1"/>
    <xf numFmtId="3" fontId="0" fillId="0" borderId="0" xfId="0" applyNumberFormat="1"/>
    <xf numFmtId="3" fontId="74" fillId="0" borderId="0" xfId="0" applyNumberFormat="1" applyFont="1"/>
    <xf numFmtId="10" fontId="0" fillId="0" borderId="0" xfId="0" applyNumberFormat="1"/>
    <xf numFmtId="0" fontId="3" fillId="2" borderId="3" xfId="0" applyFont="1" applyFill="1" applyBorder="1" applyAlignment="1">
      <alignment horizontal="center" vertical="center" wrapText="1"/>
    </xf>
    <xf numFmtId="10" fontId="2" fillId="3" borderId="3" xfId="0" applyNumberFormat="1" applyFont="1" applyFill="1" applyBorder="1" applyAlignment="1">
      <alignment horizontal="center" wrapText="1"/>
    </xf>
    <xf numFmtId="0" fontId="12" fillId="2" borderId="3" xfId="0" applyFont="1" applyFill="1" applyBorder="1" applyAlignment="1">
      <alignment horizontal="center" vertical="center" wrapText="1"/>
    </xf>
    <xf numFmtId="0" fontId="3" fillId="2" borderId="3" xfId="0" applyFont="1" applyFill="1" applyBorder="1" applyAlignment="1">
      <alignment horizontal="center" wrapText="1"/>
    </xf>
    <xf numFmtId="0" fontId="3" fillId="6" borderId="3" xfId="0" applyFont="1" applyFill="1" applyBorder="1" applyAlignment="1">
      <alignment horizontal="center" vertical="center" wrapText="1"/>
    </xf>
    <xf numFmtId="0" fontId="3" fillId="7" borderId="3" xfId="0" applyFont="1" applyFill="1" applyBorder="1" applyAlignment="1">
      <alignment horizontal="center" vertical="center" wrapText="1"/>
    </xf>
    <xf numFmtId="0" fontId="3" fillId="8" borderId="3" xfId="0" applyFont="1" applyFill="1" applyBorder="1" applyAlignment="1">
      <alignment horizontal="center" vertical="center" wrapText="1"/>
    </xf>
    <xf numFmtId="0" fontId="3" fillId="9" borderId="3" xfId="0" applyFont="1" applyFill="1" applyBorder="1" applyAlignment="1">
      <alignment horizontal="center" vertical="center" wrapText="1"/>
    </xf>
    <xf numFmtId="16" fontId="3" fillId="2" borderId="3" xfId="0" applyNumberFormat="1" applyFont="1" applyFill="1" applyBorder="1" applyAlignment="1">
      <alignment horizontal="center" vertical="center" wrapText="1"/>
    </xf>
    <xf numFmtId="17" fontId="3" fillId="2" borderId="3" xfId="0" applyNumberFormat="1" applyFont="1" applyFill="1" applyBorder="1" applyAlignment="1">
      <alignment horizontal="center" vertical="center" wrapText="1"/>
    </xf>
    <xf numFmtId="17" fontId="3" fillId="2" borderId="7" xfId="0" applyNumberFormat="1" applyFont="1" applyFill="1" applyBorder="1" applyAlignment="1">
      <alignment horizontal="center" vertical="center" wrapText="1"/>
    </xf>
    <xf numFmtId="0" fontId="2" fillId="3" borderId="3" xfId="0" applyFont="1" applyFill="1" applyBorder="1" applyAlignment="1">
      <alignment horizontal="center" wrapText="1"/>
    </xf>
    <xf numFmtId="0" fontId="7" fillId="2" borderId="4" xfId="0" quotePrefix="1" applyFont="1" applyFill="1" applyBorder="1" applyAlignment="1">
      <alignment horizontal="left" vertical="center" wrapText="1"/>
    </xf>
    <xf numFmtId="0" fontId="8" fillId="2" borderId="4" xfId="0" applyFont="1" applyFill="1" applyBorder="1" applyAlignment="1">
      <alignment horizontal="left" vertical="center" wrapText="1"/>
    </xf>
    <xf numFmtId="0" fontId="8" fillId="2" borderId="4" xfId="0" applyFont="1" applyFill="1" applyBorder="1" applyAlignment="1">
      <alignment wrapText="1"/>
    </xf>
    <xf numFmtId="10" fontId="12" fillId="2" borderId="4" xfId="0" applyNumberFormat="1" applyFont="1" applyFill="1" applyBorder="1" applyAlignment="1">
      <alignment horizontal="left" vertical="center" wrapText="1"/>
    </xf>
    <xf numFmtId="0" fontId="8" fillId="6" borderId="4" xfId="0" applyFont="1" applyFill="1" applyBorder="1" applyAlignment="1">
      <alignment horizontal="left" vertical="center" wrapText="1"/>
    </xf>
    <xf numFmtId="0" fontId="8" fillId="7" borderId="4" xfId="0" applyFont="1" applyFill="1" applyBorder="1" applyAlignment="1">
      <alignment horizontal="left" vertical="center" wrapText="1"/>
    </xf>
    <xf numFmtId="0" fontId="8" fillId="8" borderId="4" xfId="0" applyFont="1" applyFill="1" applyBorder="1" applyAlignment="1">
      <alignment horizontal="left" vertical="center" wrapText="1"/>
    </xf>
    <xf numFmtId="10" fontId="3" fillId="2" borderId="4" xfId="0" applyNumberFormat="1" applyFont="1" applyFill="1" applyBorder="1" applyAlignment="1">
      <alignment horizontal="left" vertical="center" wrapText="1"/>
    </xf>
    <xf numFmtId="0" fontId="8" fillId="9" borderId="4" xfId="0" applyFont="1" applyFill="1" applyBorder="1" applyAlignment="1">
      <alignment horizontal="left" vertical="center" wrapText="1"/>
    </xf>
    <xf numFmtId="0" fontId="8" fillId="2" borderId="4" xfId="0" applyFont="1" applyFill="1" applyBorder="1" applyAlignment="1">
      <alignment horizontal="center" vertical="center" wrapText="1"/>
    </xf>
    <xf numFmtId="0" fontId="72" fillId="2" borderId="4" xfId="1" applyFill="1" applyBorder="1" applyAlignment="1">
      <alignment horizontal="left" vertical="center" wrapText="1"/>
    </xf>
    <xf numFmtId="0" fontId="2" fillId="3" borderId="4" xfId="0" applyFont="1" applyFill="1" applyBorder="1" applyAlignment="1">
      <alignment horizontal="center" wrapText="1"/>
    </xf>
    <xf numFmtId="10" fontId="2" fillId="3" borderId="4" xfId="0" applyNumberFormat="1" applyFont="1" applyFill="1" applyBorder="1" applyAlignment="1">
      <alignment horizontal="center" wrapText="1"/>
    </xf>
    <xf numFmtId="0" fontId="72" fillId="2" borderId="1" xfId="2" applyFill="1" applyBorder="1" applyAlignment="1">
      <alignment horizontal="left" vertical="center" wrapText="1"/>
    </xf>
    <xf numFmtId="0" fontId="3" fillId="4" borderId="0" xfId="0" applyFont="1" applyFill="1" applyAlignment="1">
      <alignment horizontal="center" wrapText="1"/>
    </xf>
    <xf numFmtId="0" fontId="3" fillId="4" borderId="0" xfId="0" applyFont="1" applyFill="1" applyAlignment="1">
      <alignment horizontal="center"/>
    </xf>
    <xf numFmtId="0" fontId="2" fillId="3" borderId="2" xfId="0" applyFont="1" applyFill="1" applyBorder="1" applyAlignment="1">
      <alignment horizontal="center" vertical="center" wrapText="1"/>
    </xf>
    <xf numFmtId="0" fontId="3" fillId="0" borderId="2" xfId="0" applyFont="1" applyBorder="1" applyAlignment="1">
      <alignment vertical="center" wrapText="1"/>
    </xf>
    <xf numFmtId="0" fontId="2" fillId="3" borderId="3" xfId="0" applyFont="1" applyFill="1" applyBorder="1" applyAlignment="1">
      <alignment horizontal="center" vertical="center" wrapText="1"/>
    </xf>
    <xf numFmtId="0" fontId="2" fillId="3" borderId="13" xfId="0" applyFont="1" applyFill="1" applyBorder="1" applyAlignment="1">
      <alignment horizontal="center" wrapText="1"/>
    </xf>
    <xf numFmtId="0" fontId="3" fillId="5" borderId="0" xfId="0" applyFont="1" applyFill="1" applyAlignment="1">
      <alignment wrapText="1"/>
    </xf>
    <xf numFmtId="0" fontId="3" fillId="2" borderId="3" xfId="0" applyFont="1" applyFill="1" applyBorder="1" applyAlignment="1">
      <alignment horizontal="center" vertical="center" wrapText="1"/>
    </xf>
    <xf numFmtId="0" fontId="12" fillId="0" borderId="3" xfId="0" applyFont="1" applyBorder="1" applyAlignment="1">
      <alignment horizontal="center"/>
    </xf>
    <xf numFmtId="10" fontId="2" fillId="3" borderId="3" xfId="0" applyNumberFormat="1" applyFont="1" applyFill="1" applyBorder="1" applyAlignment="1">
      <alignment horizontal="center" wrapText="1"/>
    </xf>
    <xf numFmtId="0" fontId="2" fillId="3" borderId="0" xfId="0" applyFont="1" applyFill="1" applyAlignment="1">
      <alignment horizontal="center" wrapText="1"/>
    </xf>
    <xf numFmtId="0" fontId="2" fillId="3" borderId="8" xfId="0" applyFont="1" applyFill="1" applyBorder="1" applyAlignment="1">
      <alignment horizontal="center" vertical="center" wrapText="1"/>
    </xf>
    <xf numFmtId="0" fontId="2" fillId="3" borderId="17" xfId="0" applyFont="1" applyFill="1" applyBorder="1" applyAlignment="1">
      <alignment horizontal="center" vertical="center" wrapText="1"/>
    </xf>
    <xf numFmtId="0" fontId="2" fillId="4" borderId="0" xfId="0" applyFont="1" applyFill="1" applyAlignment="1">
      <alignment horizontal="center" vertical="center" wrapText="1"/>
    </xf>
    <xf numFmtId="0" fontId="2" fillId="3" borderId="1" xfId="0" applyFont="1" applyFill="1" applyBorder="1" applyAlignment="1">
      <alignment horizontal="center" vertical="center" wrapText="1"/>
    </xf>
    <xf numFmtId="0" fontId="2" fillId="4" borderId="3" xfId="0" applyFont="1" applyFill="1" applyBorder="1" applyAlignment="1">
      <alignment horizontal="center" wrapText="1"/>
    </xf>
    <xf numFmtId="0" fontId="3" fillId="0" borderId="2" xfId="0" applyFont="1" applyBorder="1" applyAlignment="1">
      <alignment horizontal="center" vertical="center" wrapText="1"/>
    </xf>
    <xf numFmtId="0" fontId="2" fillId="0" borderId="3" xfId="0" applyFont="1" applyBorder="1" applyAlignment="1">
      <alignment horizontal="center" vertical="center" wrapText="1"/>
    </xf>
    <xf numFmtId="0" fontId="6" fillId="0" borderId="3" xfId="0" applyFont="1" applyBorder="1" applyAlignment="1">
      <alignment horizontal="center" vertical="center" wrapText="1"/>
    </xf>
    <xf numFmtId="0" fontId="2" fillId="0" borderId="2" xfId="0" applyFont="1" applyBorder="1" applyAlignment="1">
      <alignment horizontal="center" vertical="center" wrapText="1"/>
    </xf>
    <xf numFmtId="0" fontId="3" fillId="0" borderId="0" xfId="0" applyFont="1" applyAlignment="1">
      <alignment horizontal="center"/>
    </xf>
    <xf numFmtId="0" fontId="6" fillId="0" borderId="2" xfId="0" applyFont="1" applyBorder="1" applyAlignment="1">
      <alignment horizontal="center" wrapText="1"/>
    </xf>
    <xf numFmtId="0" fontId="6" fillId="0" borderId="2" xfId="0" applyFont="1" applyBorder="1" applyAlignment="1">
      <alignment horizontal="center" vertical="center" wrapText="1"/>
    </xf>
    <xf numFmtId="0" fontId="16" fillId="0" borderId="0" xfId="0" applyFont="1" applyAlignment="1">
      <alignment horizontal="center"/>
    </xf>
    <xf numFmtId="0" fontId="29" fillId="0" borderId="0" xfId="0" applyFont="1" applyAlignment="1">
      <alignment horizontal="left" vertical="center" wrapText="1"/>
    </xf>
    <xf numFmtId="0" fontId="26" fillId="0" borderId="2" xfId="0" applyFont="1" applyBorder="1" applyAlignment="1">
      <alignment horizontal="center" vertical="center"/>
    </xf>
    <xf numFmtId="0" fontId="26" fillId="10" borderId="16" xfId="0" applyFont="1" applyFill="1" applyBorder="1" applyAlignment="1">
      <alignment horizontal="left" vertical="center"/>
    </xf>
    <xf numFmtId="0" fontId="26" fillId="10" borderId="2" xfId="0" applyFont="1" applyFill="1" applyBorder="1" applyAlignment="1">
      <alignment vertical="center"/>
    </xf>
    <xf numFmtId="0" fontId="32" fillId="10" borderId="2" xfId="0" applyFont="1" applyFill="1" applyBorder="1" applyAlignment="1">
      <alignment vertical="center"/>
    </xf>
    <xf numFmtId="0" fontId="2" fillId="18" borderId="7" xfId="0" applyFont="1" applyFill="1" applyBorder="1" applyAlignment="1">
      <alignment horizontal="center"/>
    </xf>
    <xf numFmtId="0" fontId="12" fillId="5" borderId="0" xfId="0" applyFont="1" applyFill="1" applyAlignment="1">
      <alignment horizontal="center" vertical="center"/>
    </xf>
    <xf numFmtId="0" fontId="3" fillId="0" borderId="6" xfId="0" applyFont="1" applyBorder="1" applyAlignment="1">
      <alignment vertical="center" wrapText="1"/>
    </xf>
    <xf numFmtId="0" fontId="32" fillId="10" borderId="2" xfId="0" applyFont="1" applyFill="1" applyBorder="1" applyAlignment="1">
      <alignment horizontal="center" vertical="center"/>
    </xf>
    <xf numFmtId="0" fontId="3" fillId="0" borderId="6" xfId="0" applyFont="1" applyBorder="1" applyAlignment="1">
      <alignment wrapText="1"/>
    </xf>
    <xf numFmtId="0" fontId="3" fillId="0" borderId="2" xfId="0" applyFont="1" applyBorder="1" applyAlignment="1">
      <alignment horizontal="left" vertical="center" wrapText="1"/>
    </xf>
    <xf numFmtId="0" fontId="3" fillId="0" borderId="2" xfId="0" applyFont="1" applyBorder="1" applyAlignment="1">
      <alignment wrapText="1"/>
    </xf>
    <xf numFmtId="0" fontId="3" fillId="14" borderId="2" xfId="0" applyFont="1" applyFill="1" applyBorder="1" applyAlignment="1">
      <alignment horizontal="left" vertical="center" wrapText="1"/>
    </xf>
    <xf numFmtId="0" fontId="2" fillId="14" borderId="2" xfId="0" applyFont="1" applyFill="1" applyBorder="1" applyAlignment="1">
      <alignment horizontal="left" vertical="center" wrapText="1"/>
    </xf>
    <xf numFmtId="0" fontId="2" fillId="14" borderId="2" xfId="0" applyFont="1" applyFill="1" applyBorder="1" applyAlignment="1">
      <alignment horizontal="center" vertical="center"/>
    </xf>
    <xf numFmtId="0" fontId="2" fillId="14" borderId="2" xfId="0" applyFont="1" applyFill="1" applyBorder="1" applyAlignment="1">
      <alignment horizontal="center" vertical="center" wrapText="1"/>
    </xf>
    <xf numFmtId="0" fontId="12" fillId="0" borderId="2" xfId="0" applyFont="1" applyBorder="1" applyAlignment="1">
      <alignment horizontal="center" vertical="center"/>
    </xf>
    <xf numFmtId="0" fontId="39" fillId="0" borderId="2" xfId="0" applyFont="1" applyBorder="1" applyAlignment="1">
      <alignment horizontal="center" vertical="center"/>
    </xf>
    <xf numFmtId="0" fontId="39" fillId="5" borderId="2" xfId="0" applyFont="1" applyFill="1" applyBorder="1" applyAlignment="1">
      <alignment horizontal="center" vertical="center"/>
    </xf>
    <xf numFmtId="49" fontId="40" fillId="0" borderId="2" xfId="0" applyNumberFormat="1" applyFont="1" applyBorder="1" applyAlignment="1">
      <alignment horizontal="center" vertical="center"/>
    </xf>
    <xf numFmtId="0" fontId="26" fillId="0" borderId="2" xfId="0" applyFont="1" applyBorder="1" applyAlignment="1">
      <alignment vertical="center"/>
    </xf>
    <xf numFmtId="0" fontId="39" fillId="5" borderId="8" xfId="0" applyFont="1" applyFill="1" applyBorder="1" applyAlignment="1">
      <alignment horizontal="center" vertical="center"/>
    </xf>
    <xf numFmtId="0" fontId="39" fillId="5" borderId="6" xfId="0" applyFont="1" applyFill="1" applyBorder="1" applyAlignment="1">
      <alignment horizontal="center" vertical="center"/>
    </xf>
    <xf numFmtId="0" fontId="26" fillId="14" borderId="2" xfId="0" applyFont="1" applyFill="1" applyBorder="1" applyAlignment="1">
      <alignment horizontal="center" vertical="center" wrapText="1"/>
    </xf>
    <xf numFmtId="0" fontId="36" fillId="14" borderId="2" xfId="0" applyFont="1" applyFill="1" applyBorder="1" applyAlignment="1">
      <alignment horizontal="center" vertical="center" wrapText="1"/>
    </xf>
    <xf numFmtId="0" fontId="36" fillId="14" borderId="2" xfId="0" applyFont="1" applyFill="1" applyBorder="1" applyAlignment="1">
      <alignment horizontal="center" vertical="center"/>
    </xf>
    <xf numFmtId="0" fontId="37" fillId="14" borderId="2" xfId="0" applyFont="1" applyFill="1" applyBorder="1" applyAlignment="1">
      <alignment horizontal="center" vertical="center" wrapText="1"/>
    </xf>
    <xf numFmtId="0" fontId="39" fillId="0" borderId="2" xfId="0" applyFont="1" applyBorder="1" applyAlignment="1">
      <alignment vertical="center" wrapText="1"/>
    </xf>
    <xf numFmtId="0" fontId="39" fillId="0" borderId="2" xfId="0" applyFont="1" applyBorder="1" applyAlignment="1">
      <alignment horizontal="left" vertical="center" wrapText="1"/>
    </xf>
    <xf numFmtId="0" fontId="37" fillId="14" borderId="3" xfId="0" applyFont="1" applyFill="1" applyBorder="1" applyAlignment="1">
      <alignment horizontal="center" vertical="center" wrapText="1"/>
    </xf>
    <xf numFmtId="0" fontId="39" fillId="5" borderId="2" xfId="0" applyFont="1" applyFill="1" applyBorder="1" applyAlignment="1">
      <alignment horizontal="left" vertical="center"/>
    </xf>
    <xf numFmtId="0" fontId="27" fillId="24" borderId="3" xfId="0" applyFont="1" applyFill="1" applyBorder="1" applyAlignment="1">
      <alignment horizontal="center" vertical="center"/>
    </xf>
    <xf numFmtId="0" fontId="39" fillId="0" borderId="2" xfId="0" applyFont="1" applyBorder="1" applyAlignment="1">
      <alignment vertical="center"/>
    </xf>
    <xf numFmtId="0" fontId="39" fillId="0" borderId="2" xfId="0" applyFont="1" applyBorder="1" applyAlignment="1">
      <alignment horizontal="left" vertical="center"/>
    </xf>
    <xf numFmtId="0" fontId="3" fillId="14" borderId="2" xfId="0" applyFont="1" applyFill="1" applyBorder="1" applyAlignment="1">
      <alignment horizontal="center" vertical="center" wrapText="1"/>
    </xf>
    <xf numFmtId="0" fontId="12" fillId="0" borderId="2" xfId="0" applyFont="1" applyBorder="1" applyAlignment="1">
      <alignment vertical="center" wrapText="1"/>
    </xf>
    <xf numFmtId="0" fontId="12" fillId="20" borderId="2" xfId="0" applyFont="1" applyFill="1" applyBorder="1" applyAlignment="1">
      <alignment vertical="center" wrapText="1"/>
    </xf>
    <xf numFmtId="0" fontId="8" fillId="0" borderId="2" xfId="0" applyFont="1" applyBorder="1" applyAlignment="1">
      <alignment vertical="center" wrapText="1"/>
    </xf>
    <xf numFmtId="0" fontId="43" fillId="14" borderId="2" xfId="0" applyFont="1" applyFill="1" applyBorder="1" applyAlignment="1">
      <alignment horizontal="center" vertical="center" wrapText="1"/>
    </xf>
    <xf numFmtId="0" fontId="26" fillId="0" borderId="2" xfId="0" applyFont="1" applyBorder="1" applyAlignment="1">
      <alignment horizontal="left" vertical="center" wrapText="1"/>
    </xf>
    <xf numFmtId="0" fontId="26" fillId="0" borderId="2" xfId="0" applyFont="1" applyBorder="1" applyAlignment="1">
      <alignment horizontal="left" vertical="center"/>
    </xf>
    <xf numFmtId="0" fontId="26" fillId="20" borderId="2" xfId="0" applyFont="1" applyFill="1" applyBorder="1" applyAlignment="1">
      <alignment horizontal="left" vertical="center"/>
    </xf>
    <xf numFmtId="0" fontId="36" fillId="14" borderId="3" xfId="0" applyFont="1" applyFill="1" applyBorder="1" applyAlignment="1">
      <alignment horizontal="center" vertical="center" wrapText="1"/>
    </xf>
    <xf numFmtId="0" fontId="12" fillId="0" borderId="2" xfId="0" applyFont="1" applyBorder="1" applyAlignment="1">
      <alignment horizontal="center"/>
    </xf>
    <xf numFmtId="0" fontId="11" fillId="0" borderId="2" xfId="0" applyFont="1" applyBorder="1" applyAlignment="1">
      <alignment vertical="center" wrapText="1"/>
    </xf>
    <xf numFmtId="0" fontId="27" fillId="25" borderId="0" xfId="0" applyFont="1" applyFill="1" applyAlignment="1">
      <alignment horizontal="center"/>
    </xf>
    <xf numFmtId="0" fontId="43" fillId="27" borderId="0" xfId="0" applyFont="1" applyFill="1" applyAlignment="1">
      <alignment horizontal="center" vertical="top"/>
    </xf>
    <xf numFmtId="0" fontId="29" fillId="29" borderId="0" xfId="0" applyFont="1" applyFill="1" applyAlignment="1">
      <alignment horizontal="left" vertical="top"/>
    </xf>
    <xf numFmtId="0" fontId="55" fillId="10" borderId="0" xfId="0" applyFont="1" applyFill="1" applyAlignment="1">
      <alignment vertical="top"/>
    </xf>
    <xf numFmtId="0" fontId="57" fillId="0" borderId="2" xfId="0" applyFont="1" applyBorder="1" applyAlignment="1">
      <alignment horizontal="center" vertical="center"/>
    </xf>
    <xf numFmtId="0" fontId="59" fillId="32" borderId="8" xfId="0" applyFont="1" applyFill="1" applyBorder="1" applyAlignment="1">
      <alignment horizontal="center" vertical="center"/>
    </xf>
    <xf numFmtId="0" fontId="54" fillId="0" borderId="2" xfId="0" applyFont="1" applyBorder="1" applyAlignment="1">
      <alignment horizontal="center" vertical="center"/>
    </xf>
    <xf numFmtId="0" fontId="54" fillId="10" borderId="17" xfId="0" applyFont="1" applyFill="1" applyBorder="1" applyAlignment="1">
      <alignment horizontal="center" vertical="center"/>
    </xf>
    <xf numFmtId="0" fontId="54" fillId="10" borderId="16" xfId="0" applyFont="1" applyFill="1" applyBorder="1" applyAlignment="1">
      <alignment horizontal="center" vertical="center"/>
    </xf>
    <xf numFmtId="0" fontId="39" fillId="10" borderId="0" xfId="0" applyFont="1" applyFill="1" applyAlignment="1">
      <alignment horizontal="left" vertical="top"/>
    </xf>
    <xf numFmtId="0" fontId="39" fillId="29" borderId="0" xfId="0" applyFont="1" applyFill="1" applyAlignment="1">
      <alignment horizontal="left" vertical="top"/>
    </xf>
    <xf numFmtId="0" fontId="54" fillId="10" borderId="0" xfId="0" applyFont="1" applyFill="1" applyAlignment="1">
      <alignment vertical="top"/>
    </xf>
    <xf numFmtId="0" fontId="54" fillId="29" borderId="0" xfId="0" applyFont="1" applyFill="1" applyAlignment="1">
      <alignment vertical="top"/>
    </xf>
    <xf numFmtId="0" fontId="29" fillId="10" borderId="0" xfId="0" applyFont="1" applyFill="1" applyAlignment="1">
      <alignment horizontal="left" vertical="top" wrapText="1"/>
    </xf>
    <xf numFmtId="0" fontId="29" fillId="10" borderId="0" xfId="0" applyFont="1" applyFill="1" applyAlignment="1">
      <alignment horizontal="left" vertical="top"/>
    </xf>
    <xf numFmtId="0" fontId="38" fillId="29" borderId="0" xfId="0" applyFont="1" applyFill="1" applyAlignment="1">
      <alignment horizontal="left" vertical="top"/>
    </xf>
    <xf numFmtId="0" fontId="29" fillId="29" borderId="0" xfId="0" applyFont="1" applyFill="1" applyAlignment="1">
      <alignment horizontal="left" vertical="top" wrapText="1"/>
    </xf>
    <xf numFmtId="0" fontId="51" fillId="10" borderId="0" xfId="0" applyFont="1" applyFill="1" applyAlignment="1">
      <alignment horizontal="left" vertical="top"/>
    </xf>
    <xf numFmtId="0" fontId="55" fillId="29" borderId="0" xfId="0" applyFont="1" applyFill="1" applyAlignment="1">
      <alignment vertical="top"/>
    </xf>
    <xf numFmtId="0" fontId="53" fillId="10" borderId="0" xfId="0" applyFont="1" applyFill="1" applyAlignment="1">
      <alignment vertical="top"/>
    </xf>
    <xf numFmtId="0" fontId="38" fillId="10" borderId="0" xfId="0" applyFont="1" applyFill="1" applyAlignment="1">
      <alignment horizontal="left" vertical="top"/>
    </xf>
    <xf numFmtId="0" fontId="39" fillId="10" borderId="0" xfId="0" applyFont="1" applyFill="1" applyAlignment="1">
      <alignment horizontal="left" vertical="center"/>
    </xf>
    <xf numFmtId="0" fontId="39" fillId="10" borderId="0" xfId="0" applyFont="1" applyFill="1" applyAlignment="1">
      <alignment horizontal="left" vertical="center" wrapText="1"/>
    </xf>
    <xf numFmtId="0" fontId="51" fillId="29" borderId="0" xfId="0" applyFont="1" applyFill="1" applyAlignment="1">
      <alignment horizontal="left" vertical="top"/>
    </xf>
    <xf numFmtId="0" fontId="26" fillId="24" borderId="2" xfId="0" applyFont="1" applyFill="1" applyBorder="1" applyAlignment="1">
      <alignment horizontal="left" vertical="center" wrapText="1"/>
    </xf>
    <xf numFmtId="0" fontId="26" fillId="24" borderId="2" xfId="0" applyFont="1" applyFill="1" applyBorder="1" applyAlignment="1">
      <alignment horizontal="center" vertical="center" wrapText="1"/>
    </xf>
    <xf numFmtId="0" fontId="39" fillId="29" borderId="0" xfId="0" applyFont="1" applyFill="1" applyAlignment="1">
      <alignment horizontal="left" vertical="top" wrapText="1"/>
    </xf>
    <xf numFmtId="0" fontId="26" fillId="14" borderId="2" xfId="0" applyFont="1" applyFill="1" applyBorder="1" applyAlignment="1">
      <alignment horizontal="left" vertical="center" wrapText="1"/>
    </xf>
    <xf numFmtId="0" fontId="37" fillId="14" borderId="2" xfId="0" applyFont="1" applyFill="1" applyBorder="1" applyAlignment="1">
      <alignment horizontal="left" vertical="center" wrapText="1"/>
    </xf>
    <xf numFmtId="0" fontId="37" fillId="24" borderId="3" xfId="0" applyFont="1" applyFill="1" applyBorder="1" applyAlignment="1">
      <alignment horizontal="left" vertical="center" wrapText="1"/>
    </xf>
    <xf numFmtId="0" fontId="39" fillId="31" borderId="2" xfId="0" applyFont="1" applyFill="1" applyBorder="1" applyAlignment="1">
      <alignment horizontal="center" vertical="center"/>
    </xf>
    <xf numFmtId="0" fontId="12" fillId="33" borderId="2" xfId="0" applyFont="1" applyFill="1" applyBorder="1" applyAlignment="1">
      <alignment horizontal="left" vertical="center" wrapText="1"/>
    </xf>
    <xf numFmtId="0" fontId="12" fillId="33" borderId="2" xfId="0" applyFont="1" applyFill="1" applyBorder="1" applyAlignment="1">
      <alignment horizontal="center" vertical="center" wrapText="1"/>
    </xf>
    <xf numFmtId="0" fontId="27" fillId="25" borderId="0" xfId="0" applyFont="1" applyFill="1" applyAlignment="1">
      <alignment horizontal="center" vertical="center" wrapText="1"/>
    </xf>
    <xf numFmtId="0" fontId="27" fillId="33" borderId="3" xfId="0" applyFont="1" applyFill="1" applyBorder="1" applyAlignment="1">
      <alignment horizontal="center"/>
    </xf>
    <xf numFmtId="0" fontId="43" fillId="14" borderId="3" xfId="0" applyFont="1" applyFill="1" applyBorder="1" applyAlignment="1">
      <alignment horizontal="center" vertical="center" wrapText="1"/>
    </xf>
    <xf numFmtId="0" fontId="12" fillId="30" borderId="2" xfId="0" applyFont="1" applyFill="1" applyBorder="1" applyAlignment="1">
      <alignment horizontal="center" vertical="center"/>
    </xf>
    <xf numFmtId="0" fontId="39" fillId="20" borderId="2" xfId="0" applyFont="1" applyFill="1" applyBorder="1" applyAlignment="1">
      <alignment vertical="center" wrapText="1"/>
    </xf>
    <xf numFmtId="0" fontId="27" fillId="30" borderId="3" xfId="0" applyFont="1" applyFill="1" applyBorder="1" applyAlignment="1">
      <alignment horizontal="center"/>
    </xf>
    <xf numFmtId="0" fontId="3" fillId="14" borderId="7" xfId="0" applyFont="1" applyFill="1" applyBorder="1" applyAlignment="1">
      <alignment horizontal="left" vertical="center"/>
    </xf>
    <xf numFmtId="0" fontId="74" fillId="0" borderId="1" xfId="0" applyFont="1" applyBorder="1" applyAlignment="1">
      <alignment horizontal="center" wrapText="1"/>
    </xf>
    <xf numFmtId="0" fontId="74" fillId="0" borderId="2" xfId="0" applyFont="1" applyBorder="1" applyAlignment="1">
      <alignment horizontal="center" wrapText="1"/>
    </xf>
    <xf numFmtId="0" fontId="0" fillId="0" borderId="3" xfId="0" applyBorder="1" applyAlignment="1">
      <alignment horizontal="center" wrapText="1"/>
    </xf>
    <xf numFmtId="0" fontId="0" fillId="0" borderId="7" xfId="0" applyBorder="1" applyAlignment="1">
      <alignment horizontal="center" wrapText="1"/>
    </xf>
    <xf numFmtId="0" fontId="0" fillId="0" borderId="4" xfId="0" applyBorder="1" applyAlignment="1">
      <alignment horizontal="center" wrapText="1"/>
    </xf>
    <xf numFmtId="0" fontId="72" fillId="0" borderId="3" xfId="1" applyBorder="1" applyAlignment="1">
      <alignment horizontal="center" wrapText="1"/>
    </xf>
    <xf numFmtId="0" fontId="72" fillId="0" borderId="7" xfId="1" applyBorder="1" applyAlignment="1">
      <alignment horizontal="center" wrapText="1"/>
    </xf>
    <xf numFmtId="0" fontId="72" fillId="0" borderId="4" xfId="1" applyBorder="1" applyAlignment="1">
      <alignment horizontal="center" wrapText="1"/>
    </xf>
    <xf numFmtId="0" fontId="0" fillId="0" borderId="0" xfId="0" applyAlignment="1"/>
    <xf numFmtId="0" fontId="5" fillId="0" borderId="4" xfId="0" applyFont="1" applyBorder="1" applyAlignment="1"/>
    <xf numFmtId="0" fontId="5" fillId="0" borderId="13" xfId="0" applyFont="1" applyBorder="1" applyAlignment="1"/>
    <xf numFmtId="0" fontId="5" fillId="0" borderId="15" xfId="0" applyFont="1" applyBorder="1" applyAlignment="1"/>
    <xf numFmtId="0" fontId="5" fillId="0" borderId="5" xfId="0" applyFont="1" applyBorder="1" applyAlignment="1"/>
    <xf numFmtId="0" fontId="5" fillId="0" borderId="6" xfId="0" applyFont="1" applyBorder="1" applyAlignment="1"/>
    <xf numFmtId="0" fontId="5" fillId="0" borderId="7" xfId="0" applyFont="1" applyBorder="1" applyAlignment="1"/>
    <xf numFmtId="0" fontId="32" fillId="10" borderId="2" xfId="0" applyFont="1" applyFill="1" applyBorder="1" applyAlignment="1"/>
    <xf numFmtId="0" fontId="32" fillId="10" borderId="16" xfId="0" applyFont="1" applyFill="1" applyBorder="1" applyAlignment="1"/>
    <xf numFmtId="0" fontId="5" fillId="0" borderId="16" xfId="0" applyFont="1" applyBorder="1" applyAlignment="1"/>
    <xf numFmtId="0" fontId="5" fillId="0" borderId="10" xfId="0" applyFont="1" applyBorder="1" applyAlignment="1"/>
    <xf numFmtId="0" fontId="12" fillId="0" borderId="2" xfId="0" applyFont="1" applyBorder="1" applyAlignment="1"/>
    <xf numFmtId="0" fontId="5" fillId="24" borderId="7" xfId="0" applyFont="1" applyFill="1" applyBorder="1" applyAlignment="1"/>
    <xf numFmtId="0" fontId="5" fillId="24" borderId="4" xfId="0" applyFont="1" applyFill="1" applyBorder="1" applyAlignment="1"/>
    <xf numFmtId="0" fontId="5" fillId="10" borderId="5" xfId="0" applyFont="1" applyFill="1" applyBorder="1" applyAlignment="1"/>
    <xf numFmtId="0" fontId="5" fillId="0" borderId="9" xfId="0" applyFont="1" applyBorder="1" applyAlignment="1"/>
    <xf numFmtId="0" fontId="5" fillId="0" borderId="17" xfId="0" applyFont="1" applyBorder="1" applyAlignment="1"/>
    <xf numFmtId="0" fontId="5" fillId="0" borderId="14" xfId="0" applyFont="1" applyBorder="1" applyAlignment="1"/>
  </cellXfs>
  <cellStyles count="3">
    <cellStyle name="Hipertaut" xfId="1" builtinId="8"/>
    <cellStyle name="Hyperlink" xfId="2" xr:uid="{00000000-000B-0000-0000-000008000000}"/>
    <cellStyle name="Normal" xfId="0" builtinId="0"/>
  </cellStyles>
  <dxfs count="13">
    <dxf>
      <fill>
        <patternFill patternType="solid">
          <fgColor rgb="FFB7E1CD"/>
          <bgColor rgb="FFB7E1CD"/>
        </patternFill>
      </fill>
    </dxf>
    <dxf>
      <fill>
        <patternFill patternType="solid">
          <fgColor rgb="FFB7E1CD"/>
          <bgColor rgb="FFB7E1CD"/>
        </patternFill>
      </fill>
    </dxf>
    <dxf>
      <font>
        <b val="0"/>
        <i val="0"/>
        <strike val="0"/>
        <condense val="0"/>
        <extend val="0"/>
        <outline val="0"/>
        <shadow val="0"/>
        <u val="none"/>
        <vertAlign val="baseline"/>
        <sz val="10"/>
        <color theme="1"/>
        <name val="Arial"/>
        <scheme val="none"/>
      </font>
      <fill>
        <patternFill patternType="solid">
          <fgColor rgb="FFD9EAD3"/>
          <bgColor rgb="FFD9EAD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rgb="FFB7E1CD"/>
          <bgColor rgb="FFB7E1C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s>
  <tableStyles count="3">
    <tableStyle name="Automation Monitoring-style" pivot="0" count="3" xr9:uid="{00000000-0011-0000-FFFF-FFFF00000000}">
      <tableStyleElement type="headerRow" dxfId="12"/>
      <tableStyleElement type="firstRowStripe" dxfId="11"/>
      <tableStyleElement type="secondRowStripe" dxfId="10"/>
    </tableStyle>
    <tableStyle name="Copy of Automation Monitoring-style" pivot="0" count="3" xr9:uid="{00000000-0011-0000-FFFF-FFFF01000000}">
      <tableStyleElement type="headerRow" dxfId="9"/>
      <tableStyleElement type="firstRowStripe" dxfId="8"/>
      <tableStyleElement type="secondRowStripe" dxfId="7"/>
    </tableStyle>
    <tableStyle name="Sheet98-style" pivot="0" count="3" xr9:uid="{00000000-0011-0000-FFFF-FFFF02000000}">
      <tableStyleElement type="headerRow" dxfId="6"/>
      <tableStyleElement type="firstRowStripe" dxfId="5"/>
      <tableStyleElement type="secondRowStripe" dxfId="4"/>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ustomXml" Target="../customXml/item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d-ID"/>
  <c:roundedCorners val="1"/>
  <c:style val="2"/>
  <c:chart>
    <c:autoTitleDeleted val="1"/>
    <c:plotArea>
      <c:layout/>
      <c:doughnutChart>
        <c:varyColors val="1"/>
        <c:ser>
          <c:idx val="0"/>
          <c:order val="0"/>
          <c:tx>
            <c:strRef>
              <c:f>'Automation Monitoring'!$F$4:$F$5</c:f>
              <c:strCache>
                <c:ptCount val="2"/>
                <c:pt idx="0">
                  <c:v>Final TC</c:v>
                </c:pt>
              </c:strCache>
            </c:strRef>
          </c:tx>
          <c:dPt>
            <c:idx val="0"/>
            <c:bubble3D val="0"/>
            <c:spPr>
              <a:solidFill>
                <a:srgbClr val="41D9CA"/>
              </a:solidFill>
            </c:spPr>
            <c:extLst>
              <c:ext xmlns:c16="http://schemas.microsoft.com/office/drawing/2014/chart" uri="{C3380CC4-5D6E-409C-BE32-E72D297353CC}">
                <c16:uniqueId val="{00000001-ADC2-452B-B692-849D9E75570D}"/>
              </c:ext>
            </c:extLst>
          </c:dPt>
          <c:dPt>
            <c:idx val="1"/>
            <c:bubble3D val="0"/>
            <c:spPr>
              <a:solidFill>
                <a:srgbClr val="EDF25E"/>
              </a:solidFill>
            </c:spPr>
            <c:extLst>
              <c:ext xmlns:c16="http://schemas.microsoft.com/office/drawing/2014/chart" uri="{C3380CC4-5D6E-409C-BE32-E72D297353CC}">
                <c16:uniqueId val="{00000003-ADC2-452B-B692-849D9E75570D}"/>
              </c:ext>
            </c:extLst>
          </c:dPt>
          <c:dPt>
            <c:idx val="2"/>
            <c:bubble3D val="0"/>
            <c:spPr>
              <a:solidFill>
                <a:srgbClr val="BFB39B"/>
              </a:solidFill>
            </c:spPr>
            <c:extLst>
              <c:ext xmlns:c16="http://schemas.microsoft.com/office/drawing/2014/chart" uri="{C3380CC4-5D6E-409C-BE32-E72D297353CC}">
                <c16:uniqueId val="{00000005-ADC2-452B-B692-849D9E75570D}"/>
              </c:ext>
            </c:extLst>
          </c:dPt>
          <c:dPt>
            <c:idx val="3"/>
            <c:bubble3D val="0"/>
            <c:spPr>
              <a:solidFill>
                <a:srgbClr val="F27405"/>
              </a:solidFill>
            </c:spPr>
            <c:extLst>
              <c:ext xmlns:c16="http://schemas.microsoft.com/office/drawing/2014/chart" uri="{C3380CC4-5D6E-409C-BE32-E72D297353CC}">
                <c16:uniqueId val="{00000007-ADC2-452B-B692-849D9E75570D}"/>
              </c:ext>
            </c:extLst>
          </c:dPt>
          <c:dPt>
            <c:idx val="4"/>
            <c:bubble3D val="0"/>
            <c:spPr>
              <a:solidFill>
                <a:srgbClr val="D96941"/>
              </a:solidFill>
            </c:spPr>
            <c:extLst>
              <c:ext xmlns:c16="http://schemas.microsoft.com/office/drawing/2014/chart" uri="{C3380CC4-5D6E-409C-BE32-E72D297353CC}">
                <c16:uniqueId val="{00000009-ADC2-452B-B692-849D9E75570D}"/>
              </c:ext>
            </c:extLst>
          </c:dPt>
          <c:dPt>
            <c:idx val="5"/>
            <c:bubble3D val="0"/>
            <c:spPr>
              <a:solidFill>
                <a:srgbClr val="9379F2"/>
              </a:solidFill>
            </c:spPr>
            <c:extLst>
              <c:ext xmlns:c16="http://schemas.microsoft.com/office/drawing/2014/chart" uri="{C3380CC4-5D6E-409C-BE32-E72D297353CC}">
                <c16:uniqueId val="{0000000B-ADC2-452B-B692-849D9E75570D}"/>
              </c:ext>
            </c:extLst>
          </c:dPt>
          <c:dPt>
            <c:idx val="6"/>
            <c:bubble3D val="0"/>
            <c:spPr>
              <a:solidFill>
                <a:schemeClr val="accent1"/>
              </a:solidFill>
            </c:spPr>
            <c:extLst>
              <c:ext xmlns:c16="http://schemas.microsoft.com/office/drawing/2014/chart" uri="{C3380CC4-5D6E-409C-BE32-E72D297353CC}">
                <c16:uniqueId val="{0000000D-ADC2-452B-B692-849D9E75570D}"/>
              </c:ext>
            </c:extLst>
          </c:dPt>
          <c:dPt>
            <c:idx val="7"/>
            <c:bubble3D val="0"/>
            <c:spPr>
              <a:solidFill>
                <a:schemeClr val="accent2"/>
              </a:solidFill>
            </c:spPr>
            <c:extLst>
              <c:ext xmlns:c16="http://schemas.microsoft.com/office/drawing/2014/chart" uri="{C3380CC4-5D6E-409C-BE32-E72D297353CC}">
                <c16:uniqueId val="{0000000F-ADC2-452B-B692-849D9E75570D}"/>
              </c:ext>
            </c:extLst>
          </c:dPt>
          <c:dPt>
            <c:idx val="8"/>
            <c:bubble3D val="0"/>
            <c:spPr>
              <a:solidFill>
                <a:schemeClr val="accent3"/>
              </a:solidFill>
            </c:spPr>
            <c:extLst>
              <c:ext xmlns:c16="http://schemas.microsoft.com/office/drawing/2014/chart" uri="{C3380CC4-5D6E-409C-BE32-E72D297353CC}">
                <c16:uniqueId val="{00000011-ADC2-452B-B692-849D9E75570D}"/>
              </c:ext>
            </c:extLst>
          </c:dPt>
          <c:dPt>
            <c:idx val="9"/>
            <c:bubble3D val="0"/>
            <c:spPr>
              <a:solidFill>
                <a:schemeClr val="accent4"/>
              </a:solidFill>
            </c:spPr>
            <c:extLst>
              <c:ext xmlns:c16="http://schemas.microsoft.com/office/drawing/2014/chart" uri="{C3380CC4-5D6E-409C-BE32-E72D297353CC}">
                <c16:uniqueId val="{00000013-ADC2-452B-B692-849D9E75570D}"/>
              </c:ext>
            </c:extLst>
          </c:dPt>
          <c:dPt>
            <c:idx val="10"/>
            <c:bubble3D val="0"/>
            <c:spPr>
              <a:solidFill>
                <a:schemeClr val="accent5"/>
              </a:solidFill>
            </c:spPr>
            <c:extLst>
              <c:ext xmlns:c16="http://schemas.microsoft.com/office/drawing/2014/chart" uri="{C3380CC4-5D6E-409C-BE32-E72D297353CC}">
                <c16:uniqueId val="{00000015-ADC2-452B-B692-849D9E75570D}"/>
              </c:ext>
            </c:extLst>
          </c:dPt>
          <c:dPt>
            <c:idx val="11"/>
            <c:bubble3D val="0"/>
            <c:spPr>
              <a:solidFill>
                <a:schemeClr val="accent6"/>
              </a:solidFill>
            </c:spPr>
            <c:extLst>
              <c:ext xmlns:c16="http://schemas.microsoft.com/office/drawing/2014/chart" uri="{C3380CC4-5D6E-409C-BE32-E72D297353CC}">
                <c16:uniqueId val="{00000017-ADC2-452B-B692-849D9E75570D}"/>
              </c:ext>
            </c:extLst>
          </c:dPt>
          <c:dPt>
            <c:idx val="12"/>
            <c:bubble3D val="0"/>
            <c:spPr>
              <a:solidFill>
                <a:schemeClr val="accent1"/>
              </a:solidFill>
            </c:spPr>
            <c:extLst>
              <c:ext xmlns:c16="http://schemas.microsoft.com/office/drawing/2014/chart" uri="{C3380CC4-5D6E-409C-BE32-E72D297353CC}">
                <c16:uniqueId val="{00000019-ADC2-452B-B692-849D9E75570D}"/>
              </c:ext>
            </c:extLst>
          </c:dPt>
          <c:dPt>
            <c:idx val="13"/>
            <c:bubble3D val="0"/>
            <c:spPr>
              <a:solidFill>
                <a:schemeClr val="accent2"/>
              </a:solidFill>
            </c:spPr>
            <c:extLst>
              <c:ext xmlns:c16="http://schemas.microsoft.com/office/drawing/2014/chart" uri="{C3380CC4-5D6E-409C-BE32-E72D297353CC}">
                <c16:uniqueId val="{0000001B-ADC2-452B-B692-849D9E75570D}"/>
              </c:ext>
            </c:extLst>
          </c:dPt>
          <c:dPt>
            <c:idx val="14"/>
            <c:bubble3D val="0"/>
            <c:spPr>
              <a:solidFill>
                <a:schemeClr val="accent3"/>
              </a:solidFill>
            </c:spPr>
            <c:extLst>
              <c:ext xmlns:c16="http://schemas.microsoft.com/office/drawing/2014/chart" uri="{C3380CC4-5D6E-409C-BE32-E72D297353CC}">
                <c16:uniqueId val="{0000001D-ADC2-452B-B692-849D9E75570D}"/>
              </c:ext>
            </c:extLst>
          </c:dPt>
          <c:dPt>
            <c:idx val="15"/>
            <c:bubble3D val="0"/>
            <c:spPr>
              <a:solidFill>
                <a:schemeClr val="accent4"/>
              </a:solidFill>
            </c:spPr>
            <c:extLst>
              <c:ext xmlns:c16="http://schemas.microsoft.com/office/drawing/2014/chart" uri="{C3380CC4-5D6E-409C-BE32-E72D297353CC}">
                <c16:uniqueId val="{0000001F-ADC2-452B-B692-849D9E75570D}"/>
              </c:ext>
            </c:extLst>
          </c:dPt>
          <c:dPt>
            <c:idx val="16"/>
            <c:bubble3D val="0"/>
            <c:spPr>
              <a:solidFill>
                <a:schemeClr val="accent5"/>
              </a:solidFill>
            </c:spPr>
            <c:extLst>
              <c:ext xmlns:c16="http://schemas.microsoft.com/office/drawing/2014/chart" uri="{C3380CC4-5D6E-409C-BE32-E72D297353CC}">
                <c16:uniqueId val="{00000021-ADC2-452B-B692-849D9E75570D}"/>
              </c:ext>
            </c:extLst>
          </c:dPt>
          <c:dPt>
            <c:idx val="17"/>
            <c:bubble3D val="0"/>
            <c:spPr>
              <a:solidFill>
                <a:schemeClr val="accent6"/>
              </a:solidFill>
            </c:spPr>
            <c:extLst>
              <c:ext xmlns:c16="http://schemas.microsoft.com/office/drawing/2014/chart" uri="{C3380CC4-5D6E-409C-BE32-E72D297353CC}">
                <c16:uniqueId val="{00000023-ADC2-452B-B692-849D9E75570D}"/>
              </c:ext>
            </c:extLst>
          </c:dPt>
          <c:dPt>
            <c:idx val="18"/>
            <c:bubble3D val="0"/>
            <c:spPr>
              <a:solidFill>
                <a:schemeClr val="accent1"/>
              </a:solidFill>
            </c:spPr>
            <c:extLst>
              <c:ext xmlns:c16="http://schemas.microsoft.com/office/drawing/2014/chart" uri="{C3380CC4-5D6E-409C-BE32-E72D297353CC}">
                <c16:uniqueId val="{00000025-ADC2-452B-B692-849D9E75570D}"/>
              </c:ext>
            </c:extLst>
          </c:dPt>
          <c:dPt>
            <c:idx val="19"/>
            <c:bubble3D val="0"/>
            <c:spPr>
              <a:solidFill>
                <a:schemeClr val="accent2"/>
              </a:solidFill>
            </c:spPr>
            <c:extLst>
              <c:ext xmlns:c16="http://schemas.microsoft.com/office/drawing/2014/chart" uri="{C3380CC4-5D6E-409C-BE32-E72D297353CC}">
                <c16:uniqueId val="{00000027-ADC2-452B-B692-849D9E75570D}"/>
              </c:ext>
            </c:extLst>
          </c:dPt>
          <c:dPt>
            <c:idx val="20"/>
            <c:bubble3D val="0"/>
            <c:spPr>
              <a:solidFill>
                <a:schemeClr val="accent3"/>
              </a:solidFill>
            </c:spPr>
            <c:extLst>
              <c:ext xmlns:c16="http://schemas.microsoft.com/office/drawing/2014/chart" uri="{C3380CC4-5D6E-409C-BE32-E72D297353CC}">
                <c16:uniqueId val="{00000029-ADC2-452B-B692-849D9E75570D}"/>
              </c:ext>
            </c:extLst>
          </c:dPt>
          <c:dPt>
            <c:idx val="21"/>
            <c:bubble3D val="0"/>
            <c:spPr>
              <a:solidFill>
                <a:schemeClr val="accent4"/>
              </a:solidFill>
            </c:spPr>
            <c:extLst>
              <c:ext xmlns:c16="http://schemas.microsoft.com/office/drawing/2014/chart" uri="{C3380CC4-5D6E-409C-BE32-E72D297353CC}">
                <c16:uniqueId val="{0000002B-ADC2-452B-B692-849D9E75570D}"/>
              </c:ext>
            </c:extLst>
          </c:dPt>
          <c:dPt>
            <c:idx val="22"/>
            <c:bubble3D val="0"/>
            <c:spPr>
              <a:solidFill>
                <a:schemeClr val="accent5"/>
              </a:solidFill>
            </c:spPr>
            <c:extLst>
              <c:ext xmlns:c16="http://schemas.microsoft.com/office/drawing/2014/chart" uri="{C3380CC4-5D6E-409C-BE32-E72D297353CC}">
                <c16:uniqueId val="{0000002D-ADC2-452B-B692-849D9E75570D}"/>
              </c:ext>
            </c:extLst>
          </c:dPt>
          <c:dPt>
            <c:idx val="23"/>
            <c:bubble3D val="0"/>
            <c:spPr>
              <a:solidFill>
                <a:schemeClr val="accent6"/>
              </a:solidFill>
            </c:spPr>
            <c:extLst>
              <c:ext xmlns:c16="http://schemas.microsoft.com/office/drawing/2014/chart" uri="{C3380CC4-5D6E-409C-BE32-E72D297353CC}">
                <c16:uniqueId val="{0000002F-ADC2-452B-B692-849D9E75570D}"/>
              </c:ext>
            </c:extLst>
          </c:dPt>
          <c:dPt>
            <c:idx val="24"/>
            <c:bubble3D val="0"/>
            <c:spPr>
              <a:solidFill>
                <a:schemeClr val="accent1"/>
              </a:solidFill>
            </c:spPr>
            <c:extLst>
              <c:ext xmlns:c16="http://schemas.microsoft.com/office/drawing/2014/chart" uri="{C3380CC4-5D6E-409C-BE32-E72D297353CC}">
                <c16:uniqueId val="{00000031-ADC2-452B-B692-849D9E75570D}"/>
              </c:ext>
            </c:extLst>
          </c:dPt>
          <c:dPt>
            <c:idx val="25"/>
            <c:bubble3D val="0"/>
            <c:spPr>
              <a:solidFill>
                <a:schemeClr val="accent2"/>
              </a:solidFill>
            </c:spPr>
            <c:extLst>
              <c:ext xmlns:c16="http://schemas.microsoft.com/office/drawing/2014/chart" uri="{C3380CC4-5D6E-409C-BE32-E72D297353CC}">
                <c16:uniqueId val="{00000033-ADC2-452B-B692-849D9E75570D}"/>
              </c:ext>
            </c:extLst>
          </c:dPt>
          <c:dPt>
            <c:idx val="26"/>
            <c:bubble3D val="0"/>
            <c:spPr>
              <a:solidFill>
                <a:schemeClr val="accent3"/>
              </a:solidFill>
            </c:spPr>
            <c:extLst>
              <c:ext xmlns:c16="http://schemas.microsoft.com/office/drawing/2014/chart" uri="{C3380CC4-5D6E-409C-BE32-E72D297353CC}">
                <c16:uniqueId val="{00000035-ADC2-452B-B692-849D9E75570D}"/>
              </c:ext>
            </c:extLst>
          </c:dPt>
          <c:dPt>
            <c:idx val="27"/>
            <c:bubble3D val="0"/>
            <c:spPr>
              <a:solidFill>
                <a:schemeClr val="accent4"/>
              </a:solidFill>
            </c:spPr>
            <c:extLst>
              <c:ext xmlns:c16="http://schemas.microsoft.com/office/drawing/2014/chart" uri="{C3380CC4-5D6E-409C-BE32-E72D297353CC}">
                <c16:uniqueId val="{00000037-ADC2-452B-B692-849D9E75570D}"/>
              </c:ext>
            </c:extLst>
          </c:dPt>
          <c:dPt>
            <c:idx val="28"/>
            <c:bubble3D val="0"/>
            <c:spPr>
              <a:solidFill>
                <a:schemeClr val="accent5"/>
              </a:solidFill>
            </c:spPr>
            <c:extLst>
              <c:ext xmlns:c16="http://schemas.microsoft.com/office/drawing/2014/chart" uri="{C3380CC4-5D6E-409C-BE32-E72D297353CC}">
                <c16:uniqueId val="{00000039-ADC2-452B-B692-849D9E75570D}"/>
              </c:ext>
            </c:extLst>
          </c:dPt>
          <c:dPt>
            <c:idx val="29"/>
            <c:bubble3D val="0"/>
            <c:spPr>
              <a:solidFill>
                <a:srgbClr val="151A02"/>
              </a:solidFill>
            </c:spPr>
            <c:extLst>
              <c:ext xmlns:c16="http://schemas.microsoft.com/office/drawing/2014/chart" uri="{C3380CC4-5D6E-409C-BE32-E72D297353CC}">
                <c16:uniqueId val="{0000003B-ADC2-452B-B692-849D9E75570D}"/>
              </c:ext>
            </c:extLst>
          </c:dPt>
          <c:dPt>
            <c:idx val="30"/>
            <c:bubble3D val="0"/>
            <c:spPr>
              <a:solidFill>
                <a:srgbClr val="5E121A"/>
              </a:solidFill>
            </c:spPr>
            <c:extLst>
              <c:ext xmlns:c16="http://schemas.microsoft.com/office/drawing/2014/chart" uri="{C3380CC4-5D6E-409C-BE32-E72D297353CC}">
                <c16:uniqueId val="{0000003D-ADC2-452B-B692-849D9E75570D}"/>
              </c:ext>
            </c:extLst>
          </c:dPt>
          <c:dPt>
            <c:idx val="31"/>
            <c:bubble3D val="0"/>
            <c:spPr>
              <a:solidFill>
                <a:srgbClr val="080650"/>
              </a:solidFill>
            </c:spPr>
            <c:extLst>
              <c:ext xmlns:c16="http://schemas.microsoft.com/office/drawing/2014/chart" uri="{C3380CC4-5D6E-409C-BE32-E72D297353CC}">
                <c16:uniqueId val="{0000003F-ADC2-452B-B692-849D9E75570D}"/>
              </c:ext>
            </c:extLst>
          </c:dPt>
          <c:dPt>
            <c:idx val="32"/>
            <c:bubble3D val="0"/>
            <c:spPr>
              <a:solidFill>
                <a:srgbClr val="1F2531"/>
              </a:solidFill>
            </c:spPr>
            <c:extLst>
              <c:ext xmlns:c16="http://schemas.microsoft.com/office/drawing/2014/chart" uri="{C3380CC4-5D6E-409C-BE32-E72D297353CC}">
                <c16:uniqueId val="{00000041-ADC2-452B-B692-849D9E75570D}"/>
              </c:ext>
            </c:extLst>
          </c:dPt>
          <c:dPt>
            <c:idx val="33"/>
            <c:bubble3D val="0"/>
            <c:spPr>
              <a:solidFill>
                <a:srgbClr val="06457C"/>
              </a:solidFill>
            </c:spPr>
            <c:extLst>
              <c:ext xmlns:c16="http://schemas.microsoft.com/office/drawing/2014/chart" uri="{C3380CC4-5D6E-409C-BE32-E72D297353CC}">
                <c16:uniqueId val="{00000043-ADC2-452B-B692-849D9E75570D}"/>
              </c:ext>
            </c:extLst>
          </c:dPt>
          <c:dPt>
            <c:idx val="34"/>
            <c:bubble3D val="0"/>
            <c:spPr>
              <a:solidFill>
                <a:srgbClr val="124A5E"/>
              </a:solidFill>
            </c:spPr>
            <c:extLst>
              <c:ext xmlns:c16="http://schemas.microsoft.com/office/drawing/2014/chart" uri="{C3380CC4-5D6E-409C-BE32-E72D297353CC}">
                <c16:uniqueId val="{00000045-ADC2-452B-B692-849D9E75570D}"/>
              </c:ext>
            </c:extLst>
          </c:dPt>
          <c:dPt>
            <c:idx val="35"/>
            <c:bubble3D val="0"/>
            <c:spPr>
              <a:solidFill>
                <a:srgbClr val="354206"/>
              </a:solidFill>
            </c:spPr>
            <c:extLst>
              <c:ext xmlns:c16="http://schemas.microsoft.com/office/drawing/2014/chart" uri="{C3380CC4-5D6E-409C-BE32-E72D297353CC}">
                <c16:uniqueId val="{00000047-ADC2-452B-B692-849D9E75570D}"/>
              </c:ext>
            </c:extLst>
          </c:dPt>
          <c:dPt>
            <c:idx val="36"/>
            <c:bubble3D val="0"/>
            <c:spPr>
              <a:solidFill>
                <a:srgbClr val="971D29"/>
              </a:solidFill>
            </c:spPr>
            <c:extLst>
              <c:ext xmlns:c16="http://schemas.microsoft.com/office/drawing/2014/chart" uri="{C3380CC4-5D6E-409C-BE32-E72D297353CC}">
                <c16:uniqueId val="{00000049-ADC2-452B-B692-849D9E75570D}"/>
              </c:ext>
            </c:extLst>
          </c:dPt>
          <c:dPt>
            <c:idx val="37"/>
            <c:bubble3D val="0"/>
            <c:spPr>
              <a:solidFill>
                <a:srgbClr val="0D0980"/>
              </a:solidFill>
            </c:spPr>
            <c:extLst>
              <c:ext xmlns:c16="http://schemas.microsoft.com/office/drawing/2014/chart" uri="{C3380CC4-5D6E-409C-BE32-E72D297353CC}">
                <c16:uniqueId val="{0000004B-ADC2-452B-B692-849D9E75570D}"/>
              </c:ext>
            </c:extLst>
          </c:dPt>
          <c:dPt>
            <c:idx val="38"/>
            <c:bubble3D val="0"/>
            <c:spPr>
              <a:solidFill>
                <a:srgbClr val="323C4F"/>
              </a:solidFill>
            </c:spPr>
            <c:extLst>
              <c:ext xmlns:c16="http://schemas.microsoft.com/office/drawing/2014/chart" uri="{C3380CC4-5D6E-409C-BE32-E72D297353CC}">
                <c16:uniqueId val="{0000004D-ADC2-452B-B692-849D9E75570D}"/>
              </c:ext>
            </c:extLst>
          </c:dPt>
          <c:dPt>
            <c:idx val="39"/>
            <c:bubble3D val="0"/>
            <c:spPr>
              <a:solidFill>
                <a:srgbClr val="096EC7"/>
              </a:solidFill>
            </c:spPr>
            <c:extLst>
              <c:ext xmlns:c16="http://schemas.microsoft.com/office/drawing/2014/chart" uri="{C3380CC4-5D6E-409C-BE32-E72D297353CC}">
                <c16:uniqueId val="{0000004F-ADC2-452B-B692-849D9E75570D}"/>
              </c:ext>
            </c:extLst>
          </c:dPt>
          <c:dPt>
            <c:idx val="40"/>
            <c:bubble3D val="0"/>
            <c:spPr>
              <a:solidFill>
                <a:srgbClr val="1D7797"/>
              </a:solidFill>
            </c:spPr>
            <c:extLst>
              <c:ext xmlns:c16="http://schemas.microsoft.com/office/drawing/2014/chart" uri="{C3380CC4-5D6E-409C-BE32-E72D297353CC}">
                <c16:uniqueId val="{00000051-ADC2-452B-B692-849D9E75570D}"/>
              </c:ext>
            </c:extLst>
          </c:dPt>
          <c:dPt>
            <c:idx val="41"/>
            <c:bubble3D val="0"/>
            <c:spPr>
              <a:solidFill>
                <a:srgbClr val="556A09"/>
              </a:solidFill>
            </c:spPr>
            <c:extLst>
              <c:ext xmlns:c16="http://schemas.microsoft.com/office/drawing/2014/chart" uri="{C3380CC4-5D6E-409C-BE32-E72D297353CC}">
                <c16:uniqueId val="{00000053-ADC2-452B-B692-849D9E75570D}"/>
              </c:ext>
            </c:extLst>
          </c:dPt>
          <c:dPt>
            <c:idx val="42"/>
            <c:bubble3D val="0"/>
            <c:spPr>
              <a:solidFill>
                <a:srgbClr val="D02939"/>
              </a:solidFill>
            </c:spPr>
            <c:extLst>
              <c:ext xmlns:c16="http://schemas.microsoft.com/office/drawing/2014/chart" uri="{C3380CC4-5D6E-409C-BE32-E72D297353CC}">
                <c16:uniqueId val="{00000055-ADC2-452B-B692-849D9E75570D}"/>
              </c:ext>
            </c:extLst>
          </c:dPt>
          <c:dPt>
            <c:idx val="43"/>
            <c:bubble3D val="0"/>
            <c:spPr>
              <a:solidFill>
                <a:srgbClr val="130DB0"/>
              </a:solidFill>
            </c:spPr>
            <c:extLst>
              <c:ext xmlns:c16="http://schemas.microsoft.com/office/drawing/2014/chart" uri="{C3380CC4-5D6E-409C-BE32-E72D297353CC}">
                <c16:uniqueId val="{00000057-ADC2-452B-B692-849D9E75570D}"/>
              </c:ext>
            </c:extLst>
          </c:dPt>
          <c:dPt>
            <c:idx val="44"/>
            <c:bubble3D val="0"/>
            <c:spPr>
              <a:solidFill>
                <a:srgbClr val="45536D"/>
              </a:solidFill>
            </c:spPr>
            <c:extLst>
              <c:ext xmlns:c16="http://schemas.microsoft.com/office/drawing/2014/chart" uri="{C3380CC4-5D6E-409C-BE32-E72D297353CC}">
                <c16:uniqueId val="{00000059-ADC2-452B-B692-849D9E75570D}"/>
              </c:ext>
            </c:extLst>
          </c:dPt>
          <c:dPt>
            <c:idx val="45"/>
            <c:bubble3D val="0"/>
            <c:spPr>
              <a:solidFill>
                <a:srgbClr val="0D9812"/>
              </a:solidFill>
            </c:spPr>
            <c:extLst>
              <c:ext xmlns:c16="http://schemas.microsoft.com/office/drawing/2014/chart" uri="{C3380CC4-5D6E-409C-BE32-E72D297353CC}">
                <c16:uniqueId val="{0000005B-ADC2-452B-B692-849D9E75570D}"/>
              </c:ext>
            </c:extLst>
          </c:dPt>
          <c:dPt>
            <c:idx val="46"/>
            <c:bubble3D val="0"/>
            <c:spPr>
              <a:solidFill>
                <a:srgbClr val="29A4D0"/>
              </a:solidFill>
            </c:spPr>
            <c:extLst>
              <c:ext xmlns:c16="http://schemas.microsoft.com/office/drawing/2014/chart" uri="{C3380CC4-5D6E-409C-BE32-E72D297353CC}">
                <c16:uniqueId val="{0000005D-ADC2-452B-B692-849D9E75570D}"/>
              </c:ext>
            </c:extLst>
          </c:dPt>
          <c:dPt>
            <c:idx val="47"/>
            <c:bubble3D val="0"/>
            <c:spPr>
              <a:solidFill>
                <a:srgbClr val="76920D"/>
              </a:solidFill>
            </c:spPr>
            <c:extLst>
              <c:ext xmlns:c16="http://schemas.microsoft.com/office/drawing/2014/chart" uri="{C3380CC4-5D6E-409C-BE32-E72D297353CC}">
                <c16:uniqueId val="{0000005F-ADC2-452B-B692-849D9E75570D}"/>
              </c:ext>
            </c:extLst>
          </c:dPt>
          <c:dPt>
            <c:idx val="48"/>
            <c:bubble3D val="0"/>
            <c:spPr>
              <a:solidFill>
                <a:srgbClr val="093449"/>
              </a:solidFill>
            </c:spPr>
            <c:extLst>
              <c:ext xmlns:c16="http://schemas.microsoft.com/office/drawing/2014/chart" uri="{C3380CC4-5D6E-409C-BE32-E72D297353CC}">
                <c16:uniqueId val="{00000061-ADC2-452B-B692-849D9E75570D}"/>
              </c:ext>
            </c:extLst>
          </c:dPt>
          <c:dPt>
            <c:idx val="49"/>
            <c:bubble3D val="0"/>
            <c:spPr>
              <a:solidFill>
                <a:srgbClr val="1811E0"/>
              </a:solidFill>
            </c:spPr>
            <c:extLst>
              <c:ext xmlns:c16="http://schemas.microsoft.com/office/drawing/2014/chart" uri="{C3380CC4-5D6E-409C-BE32-E72D297353CC}">
                <c16:uniqueId val="{00000063-ADC2-452B-B692-849D9E75570D}"/>
              </c:ext>
            </c:extLst>
          </c:dPt>
          <c:dPt>
            <c:idx val="50"/>
            <c:bubble3D val="0"/>
            <c:spPr>
              <a:solidFill>
                <a:srgbClr val="59698B"/>
              </a:solidFill>
            </c:spPr>
            <c:extLst>
              <c:ext xmlns:c16="http://schemas.microsoft.com/office/drawing/2014/chart" uri="{C3380CC4-5D6E-409C-BE32-E72D297353CC}">
                <c16:uniqueId val="{00000065-ADC2-452B-B692-849D9E75570D}"/>
              </c:ext>
            </c:extLst>
          </c:dPt>
          <c:dPt>
            <c:idx val="51"/>
            <c:bubble3D val="0"/>
            <c:spPr>
              <a:solidFill>
                <a:srgbClr val="11C25D"/>
              </a:solidFill>
            </c:spPr>
            <c:extLst>
              <c:ext xmlns:c16="http://schemas.microsoft.com/office/drawing/2014/chart" uri="{C3380CC4-5D6E-409C-BE32-E72D297353CC}">
                <c16:uniqueId val="{00000067-ADC2-452B-B692-849D9E75570D}"/>
              </c:ext>
            </c:extLst>
          </c:dPt>
          <c:dPt>
            <c:idx val="52"/>
            <c:bubble3D val="0"/>
            <c:spPr>
              <a:solidFill>
                <a:srgbClr val="34D109"/>
              </a:solidFill>
            </c:spPr>
            <c:extLst>
              <c:ext xmlns:c16="http://schemas.microsoft.com/office/drawing/2014/chart" uri="{C3380CC4-5D6E-409C-BE32-E72D297353CC}">
                <c16:uniqueId val="{00000069-ADC2-452B-B692-849D9E75570D}"/>
              </c:ext>
            </c:extLst>
          </c:dPt>
          <c:dPt>
            <c:idx val="53"/>
            <c:bubble3D val="0"/>
            <c:spPr>
              <a:solidFill>
                <a:srgbClr val="96BB11"/>
              </a:solidFill>
            </c:spPr>
            <c:extLst>
              <c:ext xmlns:c16="http://schemas.microsoft.com/office/drawing/2014/chart" uri="{C3380CC4-5D6E-409C-BE32-E72D297353CC}">
                <c16:uniqueId val="{0000006B-ADC2-452B-B692-849D9E75570D}"/>
              </c:ext>
            </c:extLst>
          </c:dPt>
          <c:dPt>
            <c:idx val="54"/>
            <c:bubble3D val="0"/>
            <c:spPr>
              <a:solidFill>
                <a:srgbClr val="424059"/>
              </a:solidFill>
            </c:spPr>
            <c:extLst>
              <c:ext xmlns:c16="http://schemas.microsoft.com/office/drawing/2014/chart" uri="{C3380CC4-5D6E-409C-BE32-E72D297353CC}">
                <c16:uniqueId val="{0000006D-ADC2-452B-B692-849D9E75570D}"/>
              </c:ext>
            </c:extLst>
          </c:dPt>
          <c:dPt>
            <c:idx val="55"/>
            <c:bubble3D val="0"/>
            <c:spPr>
              <a:solidFill>
                <a:srgbClr val="1E1511"/>
              </a:solidFill>
            </c:spPr>
            <c:extLst>
              <c:ext xmlns:c16="http://schemas.microsoft.com/office/drawing/2014/chart" uri="{C3380CC4-5D6E-409C-BE32-E72D297353CC}">
                <c16:uniqueId val="{0000006F-ADC2-452B-B692-849D9E75570D}"/>
              </c:ext>
            </c:extLst>
          </c:dPt>
          <c:dPt>
            <c:idx val="56"/>
            <c:bubble3D val="0"/>
            <c:spPr>
              <a:solidFill>
                <a:srgbClr val="6C80A9"/>
              </a:solidFill>
            </c:spPr>
            <c:extLst>
              <c:ext xmlns:c16="http://schemas.microsoft.com/office/drawing/2014/chart" uri="{C3380CC4-5D6E-409C-BE32-E72D297353CC}">
                <c16:uniqueId val="{00000071-ADC2-452B-B692-849D9E75570D}"/>
              </c:ext>
            </c:extLst>
          </c:dPt>
          <c:dPt>
            <c:idx val="57"/>
            <c:bubble3D val="0"/>
            <c:spPr>
              <a:solidFill>
                <a:srgbClr val="15EBA8"/>
              </a:solidFill>
            </c:spPr>
            <c:extLst>
              <c:ext xmlns:c16="http://schemas.microsoft.com/office/drawing/2014/chart" uri="{C3380CC4-5D6E-409C-BE32-E72D297353CC}">
                <c16:uniqueId val="{00000073-ADC2-452B-B692-849D9E75570D}"/>
              </c:ext>
            </c:extLst>
          </c:dPt>
          <c:dPt>
            <c:idx val="58"/>
            <c:bubble3D val="0"/>
            <c:spPr>
              <a:solidFill>
                <a:srgbClr val="40FE42"/>
              </a:solidFill>
            </c:spPr>
            <c:extLst>
              <c:ext xmlns:c16="http://schemas.microsoft.com/office/drawing/2014/chart" uri="{C3380CC4-5D6E-409C-BE32-E72D297353CC}">
                <c16:uniqueId val="{00000075-ADC2-452B-B692-849D9E75570D}"/>
              </c:ext>
            </c:extLst>
          </c:dPt>
          <c:dPt>
            <c:idx val="59"/>
            <c:bubble3D val="0"/>
            <c:spPr>
              <a:solidFill>
                <a:srgbClr val="B7E315"/>
              </a:solidFill>
            </c:spPr>
            <c:extLst>
              <c:ext xmlns:c16="http://schemas.microsoft.com/office/drawing/2014/chart" uri="{C3380CC4-5D6E-409C-BE32-E72D297353CC}">
                <c16:uniqueId val="{00000077-ADC2-452B-B692-849D9E75570D}"/>
              </c:ext>
            </c:extLst>
          </c:dPt>
          <c:dPt>
            <c:idx val="60"/>
            <c:bubble3D val="0"/>
            <c:spPr>
              <a:solidFill>
                <a:srgbClr val="7B4B69"/>
              </a:solidFill>
            </c:spPr>
            <c:extLst>
              <c:ext xmlns:c16="http://schemas.microsoft.com/office/drawing/2014/chart" uri="{C3380CC4-5D6E-409C-BE32-E72D297353CC}">
                <c16:uniqueId val="{00000079-ADC2-452B-B692-849D9E75570D}"/>
              </c:ext>
            </c:extLst>
          </c:dPt>
          <c:dPt>
            <c:idx val="61"/>
            <c:bubble3D val="0"/>
            <c:spPr>
              <a:solidFill>
                <a:srgbClr val="231941"/>
              </a:solidFill>
            </c:spPr>
            <c:extLst>
              <c:ext xmlns:c16="http://schemas.microsoft.com/office/drawing/2014/chart" uri="{C3380CC4-5D6E-409C-BE32-E72D297353CC}">
                <c16:uniqueId val="{0000007B-ADC2-452B-B692-849D9E75570D}"/>
              </c:ext>
            </c:extLst>
          </c:dPt>
          <c:dPt>
            <c:idx val="62"/>
            <c:bubble3D val="0"/>
            <c:spPr>
              <a:solidFill>
                <a:srgbClr val="7F97C7"/>
              </a:solidFill>
            </c:spPr>
            <c:extLst>
              <c:ext xmlns:c16="http://schemas.microsoft.com/office/drawing/2014/chart" uri="{C3380CC4-5D6E-409C-BE32-E72D297353CC}">
                <c16:uniqueId val="{0000007D-ADC2-452B-B692-849D9E75570D}"/>
              </c:ext>
            </c:extLst>
          </c:dPt>
          <c:dPt>
            <c:idx val="63"/>
            <c:bubble3D val="0"/>
            <c:spPr>
              <a:solidFill>
                <a:srgbClr val="1915F3"/>
              </a:solidFill>
            </c:spPr>
            <c:extLst>
              <c:ext xmlns:c16="http://schemas.microsoft.com/office/drawing/2014/chart" uri="{C3380CC4-5D6E-409C-BE32-E72D297353CC}">
                <c16:uniqueId val="{0000007F-ADC2-452B-B692-849D9E75570D}"/>
              </c:ext>
            </c:extLst>
          </c:dPt>
          <c:dPt>
            <c:idx val="64"/>
            <c:bubble3D val="0"/>
            <c:spPr>
              <a:solidFill>
                <a:srgbClr val="4B2B7B"/>
              </a:solidFill>
            </c:spPr>
            <c:extLst>
              <c:ext xmlns:c16="http://schemas.microsoft.com/office/drawing/2014/chart" uri="{C3380CC4-5D6E-409C-BE32-E72D297353CC}">
                <c16:uniqueId val="{00000081-ADC2-452B-B692-849D9E75570D}"/>
              </c:ext>
            </c:extLst>
          </c:dPt>
          <c:dPt>
            <c:idx val="65"/>
            <c:bubble3D val="0"/>
            <c:spPr>
              <a:solidFill>
                <a:srgbClr val="D70B19"/>
              </a:solidFill>
            </c:spPr>
            <c:extLst>
              <c:ext xmlns:c16="http://schemas.microsoft.com/office/drawing/2014/chart" uri="{C3380CC4-5D6E-409C-BE32-E72D297353CC}">
                <c16:uniqueId val="{00000083-ADC2-452B-B692-849D9E75570D}"/>
              </c:ext>
            </c:extLst>
          </c:dPt>
          <c:dPt>
            <c:idx val="66"/>
            <c:bubble3D val="0"/>
            <c:spPr>
              <a:solidFill>
                <a:srgbClr val="B45679"/>
              </a:solidFill>
            </c:spPr>
            <c:extLst>
              <c:ext xmlns:c16="http://schemas.microsoft.com/office/drawing/2014/chart" uri="{C3380CC4-5D6E-409C-BE32-E72D297353CC}">
                <c16:uniqueId val="{00000085-ADC2-452B-B692-849D9E75570D}"/>
              </c:ext>
            </c:extLst>
          </c:dPt>
          <c:cat>
            <c:strRef>
              <c:f>'Automation Monitoring'!$D$6:$D$72</c:f>
              <c:strCache>
                <c:ptCount val="67"/>
                <c:pt idx="0">
                  <c:v>Integrated &amp; Centralized Online System (ICONS)-Tokyo</c:v>
                </c:pt>
                <c:pt idx="1">
                  <c:v>Integrated &amp; Centralized Online System (LDN)-London</c:v>
                </c:pt>
                <c:pt idx="2">
                  <c:v>Integrated &amp; Centralized Online System (NYA)-New York</c:v>
                </c:pt>
                <c:pt idx="3">
                  <c:v>Integrated &amp; Centralized Online System (HKG)-Hongkong</c:v>
                </c:pt>
                <c:pt idx="4">
                  <c:v>Integrated &amp; Centralized Online System (SEO)-Seoul</c:v>
                </c:pt>
                <c:pt idx="5">
                  <c:v>Integrated &amp; Centralized Online System (SNG)-Singapore</c:v>
                </c:pt>
                <c:pt idx="6">
                  <c:v>Integrated &amp; Centralized Online System (ICONS)-Poseidon</c:v>
                </c:pt>
                <c:pt idx="7">
                  <c:v>BNIDirect Cash Management-BNI Direct Reguler / Reskinning</c:v>
                </c:pt>
                <c:pt idx="8">
                  <c:v>BNIDirect Cash Management-BNI Direct Lite</c:v>
                </c:pt>
                <c:pt idx="9">
                  <c:v>BNIDirect Portal-CXO</c:v>
                </c:pt>
                <c:pt idx="10">
                  <c:v>TIPlus-Tiplus UFE</c:v>
                </c:pt>
                <c:pt idx="11">
                  <c:v>TIPlus-Tiplus SFE</c:v>
                </c:pt>
                <c:pt idx="12">
                  <c:v>TIPlus-Tiplus Export Local</c:v>
                </c:pt>
                <c:pt idx="13">
                  <c:v>TIPlus-Tiplus GB Local</c:v>
                </c:pt>
                <c:pt idx="14">
                  <c:v>iBank Remitt-Ibank Remittance Fase 1</c:v>
                </c:pt>
                <c:pt idx="15">
                  <c:v>iBank Remitt-Ibank Remittance Fase 2</c:v>
                </c:pt>
                <c:pt idx="16">
                  <c:v>iBank Remitt-Ibank Remittance Fase 3</c:v>
                </c:pt>
                <c:pt idx="17">
                  <c:v>Wondr-Mobile Wondr Business (Android)</c:v>
                </c:pt>
                <c:pt idx="18">
                  <c:v>Wondr-Mobile Wondr Business (iOS)</c:v>
                </c:pt>
                <c:pt idx="19">
                  <c:v>SMS Banking-Mobile SMS Menu (Android)</c:v>
                </c:pt>
                <c:pt idx="20">
                  <c:v>SMS Banking-Mobile SMS Menu (iOS)</c:v>
                </c:pt>
                <c:pt idx="21">
                  <c:v>Mobile Banking (Android)</c:v>
                </c:pt>
                <c:pt idx="22">
                  <c:v>Mobile Banking (iOS)</c:v>
                </c:pt>
                <c:pt idx="23">
                  <c:v>Keagenan-Web Agen46</c:v>
                </c:pt>
                <c:pt idx="24">
                  <c:v>Keagenan-Mobile Agen46 (Android)</c:v>
                </c:pt>
                <c:pt idx="25">
                  <c:v>Keagenan-Mobile Agen46 (iOS)</c:v>
                </c:pt>
                <c:pt idx="26">
                  <c:v>MyCard-Mobile Credit Card (Android)</c:v>
                </c:pt>
                <c:pt idx="27">
                  <c:v>MyCard-Mobile Credit Card (iOS)</c:v>
                </c:pt>
                <c:pt idx="28">
                  <c:v>Document Management System-Sprint 1</c:v>
                </c:pt>
                <c:pt idx="29">
                  <c:v>Document Management System-Sprint 2</c:v>
                </c:pt>
                <c:pt idx="30">
                  <c:v>Document Management System-Sprint 3</c:v>
                </c:pt>
                <c:pt idx="31">
                  <c:v>New BAMS &amp; CPR-BAMS-TAT</c:v>
                </c:pt>
                <c:pt idx="32">
                  <c:v>DigIMS</c:v>
                </c:pt>
                <c:pt idx="33">
                  <c:v>Digisales-Portal (4B)</c:v>
                </c:pt>
                <c:pt idx="34">
                  <c:v>Digisales-Generalis Mobile Browser (4B)</c:v>
                </c:pt>
                <c:pt idx="35">
                  <c:v>Digisales-Generalis Mobile APK (4B)</c:v>
                </c:pt>
                <c:pt idx="36">
                  <c:v>Digisales-FTE Mobile Browser (4B)</c:v>
                </c:pt>
                <c:pt idx="37">
                  <c:v>Digisales-FTE Mobile APK (4B)</c:v>
                </c:pt>
                <c:pt idx="38">
                  <c:v>Smart VA-Portal</c:v>
                </c:pt>
                <c:pt idx="39">
                  <c:v>BNIDirect Cash Management Lite-Cash Management Lite</c:v>
                </c:pt>
                <c:pt idx="40">
                  <c:v>BNIDirect Trade (e-Bank Guarantee)-GB Online</c:v>
                </c:pt>
                <c:pt idx="41">
                  <c:v>Lendix (LMS Wholesale)-MVP 1 Sprint 1</c:v>
                </c:pt>
                <c:pt idx="42">
                  <c:v>Lendix (LMS Wholesale)-MVP 1 Sprint 2</c:v>
                </c:pt>
                <c:pt idx="43">
                  <c:v>Lendix (LMS Wholesale)-MVP 1 Sprint 3</c:v>
                </c:pt>
                <c:pt idx="44">
                  <c:v>Lendix (LMS Wholesale)-MVP 1 Sprint 4</c:v>
                </c:pt>
                <c:pt idx="45">
                  <c:v>Host QRIS-Web Portal Admin</c:v>
                </c:pt>
                <c:pt idx="46">
                  <c:v>Global File Exchange (GFX)</c:v>
                </c:pt>
                <c:pt idx="47">
                  <c:v>RM Tool</c:v>
                </c:pt>
                <c:pt idx="48">
                  <c:v>BNI Move (Digitalisasi KUR)-Mobile BNI Move (Android)</c:v>
                </c:pt>
                <c:pt idx="49">
                  <c:v>API Management-API Gateway</c:v>
                </c:pt>
                <c:pt idx="50">
                  <c:v>CX COMM</c:v>
                </c:pt>
                <c:pt idx="51">
                  <c:v>Lendix (LMS Wholesale)-MVP 2 Sprint 1</c:v>
                </c:pt>
                <c:pt idx="52">
                  <c:v>Digisales-Portal (5B)</c:v>
                </c:pt>
                <c:pt idx="53">
                  <c:v>Digisales-Generalis Mobile Browser (5B)</c:v>
                </c:pt>
                <c:pt idx="54">
                  <c:v>Digisales-Generalis Mobile APK (5B)</c:v>
                </c:pt>
                <c:pt idx="55">
                  <c:v>Digisales-FTE Mobile Browser (5B)</c:v>
                </c:pt>
                <c:pt idx="56">
                  <c:v>Digisales-FTE Mobile APK (5B)</c:v>
                </c:pt>
                <c:pt idx="57">
                  <c:v>Digisales-Sales Farmer Mobile APK (5B)</c:v>
                </c:pt>
                <c:pt idx="58">
                  <c:v>Digisales-Sales Farmer Mobile Browser (5B)</c:v>
                </c:pt>
                <c:pt idx="59">
                  <c:v>Digisales-Portal (6C)</c:v>
                </c:pt>
                <c:pt idx="60">
                  <c:v>Digisales-Portal (6D)</c:v>
                </c:pt>
                <c:pt idx="61">
                  <c:v>Digisales-Portal (7A)</c:v>
                </c:pt>
                <c:pt idx="62">
                  <c:v>BNI Direct FSCM</c:v>
                </c:pt>
                <c:pt idx="63">
                  <c:v>BNI Direct Bisnis</c:v>
                </c:pt>
                <c:pt idx="64">
                  <c:v>Digisales-Portal (7B)</c:v>
                </c:pt>
                <c:pt idx="65">
                  <c:v>BNI Direct Cash</c:v>
                </c:pt>
                <c:pt idx="66">
                  <c:v>SWMP / Direct Mobile</c:v>
                </c:pt>
              </c:strCache>
            </c:strRef>
          </c:cat>
          <c:val>
            <c:numRef>
              <c:f>'Automation Monitoring'!$F$6:$F$72</c:f>
              <c:numCache>
                <c:formatCode>General</c:formatCode>
                <c:ptCount val="67"/>
                <c:pt idx="0">
                  <c:v>1079</c:v>
                </c:pt>
                <c:pt idx="1">
                  <c:v>1006</c:v>
                </c:pt>
                <c:pt idx="2">
                  <c:v>1013</c:v>
                </c:pt>
                <c:pt idx="3">
                  <c:v>932</c:v>
                </c:pt>
                <c:pt idx="4">
                  <c:v>921</c:v>
                </c:pt>
                <c:pt idx="5">
                  <c:v>918</c:v>
                </c:pt>
                <c:pt idx="6">
                  <c:v>1554</c:v>
                </c:pt>
                <c:pt idx="7">
                  <c:v>695</c:v>
                </c:pt>
                <c:pt idx="8">
                  <c:v>1603</c:v>
                </c:pt>
                <c:pt idx="9">
                  <c:v>896</c:v>
                </c:pt>
                <c:pt idx="10">
                  <c:v>312</c:v>
                </c:pt>
                <c:pt idx="11">
                  <c:v>318</c:v>
                </c:pt>
                <c:pt idx="12">
                  <c:v>133</c:v>
                </c:pt>
                <c:pt idx="13">
                  <c:v>5264</c:v>
                </c:pt>
                <c:pt idx="14">
                  <c:v>185</c:v>
                </c:pt>
                <c:pt idx="15">
                  <c:v>457</c:v>
                </c:pt>
                <c:pt idx="16">
                  <c:v>194</c:v>
                </c:pt>
                <c:pt idx="17">
                  <c:v>80</c:v>
                </c:pt>
                <c:pt idx="18">
                  <c:v>92</c:v>
                </c:pt>
                <c:pt idx="19">
                  <c:v>780</c:v>
                </c:pt>
                <c:pt idx="20">
                  <c:v>780</c:v>
                </c:pt>
                <c:pt idx="21">
                  <c:v>5590</c:v>
                </c:pt>
                <c:pt idx="22">
                  <c:v>5590</c:v>
                </c:pt>
                <c:pt idx="23">
                  <c:v>329</c:v>
                </c:pt>
                <c:pt idx="24">
                  <c:v>609</c:v>
                </c:pt>
                <c:pt idx="25">
                  <c:v>609</c:v>
                </c:pt>
                <c:pt idx="26">
                  <c:v>60</c:v>
                </c:pt>
                <c:pt idx="27">
                  <c:v>60</c:v>
                </c:pt>
                <c:pt idx="28">
                  <c:v>97</c:v>
                </c:pt>
                <c:pt idx="29">
                  <c:v>136</c:v>
                </c:pt>
                <c:pt idx="30">
                  <c:v>210</c:v>
                </c:pt>
                <c:pt idx="31">
                  <c:v>390</c:v>
                </c:pt>
                <c:pt idx="32">
                  <c:v>1137</c:v>
                </c:pt>
                <c:pt idx="33">
                  <c:v>47</c:v>
                </c:pt>
                <c:pt idx="34">
                  <c:v>47</c:v>
                </c:pt>
                <c:pt idx="35">
                  <c:v>47</c:v>
                </c:pt>
                <c:pt idx="36">
                  <c:v>257</c:v>
                </c:pt>
                <c:pt idx="37">
                  <c:v>257</c:v>
                </c:pt>
                <c:pt idx="38">
                  <c:v>629</c:v>
                </c:pt>
                <c:pt idx="39">
                  <c:v>32967</c:v>
                </c:pt>
                <c:pt idx="40">
                  <c:v>329</c:v>
                </c:pt>
                <c:pt idx="41">
                  <c:v>15</c:v>
                </c:pt>
                <c:pt idx="42">
                  <c:v>16</c:v>
                </c:pt>
                <c:pt idx="43">
                  <c:v>37</c:v>
                </c:pt>
                <c:pt idx="44">
                  <c:v>21</c:v>
                </c:pt>
                <c:pt idx="45">
                  <c:v>37</c:v>
                </c:pt>
                <c:pt idx="46">
                  <c:v>27</c:v>
                </c:pt>
                <c:pt idx="47">
                  <c:v>307</c:v>
                </c:pt>
                <c:pt idx="48">
                  <c:v>169</c:v>
                </c:pt>
                <c:pt idx="49">
                  <c:v>658</c:v>
                </c:pt>
                <c:pt idx="50">
                  <c:v>329</c:v>
                </c:pt>
                <c:pt idx="51">
                  <c:v>704</c:v>
                </c:pt>
                <c:pt idx="52">
                  <c:v>137</c:v>
                </c:pt>
                <c:pt idx="53">
                  <c:v>227</c:v>
                </c:pt>
                <c:pt idx="54">
                  <c:v>232</c:v>
                </c:pt>
                <c:pt idx="55">
                  <c:v>272</c:v>
                </c:pt>
                <c:pt idx="56">
                  <c:v>299</c:v>
                </c:pt>
                <c:pt idx="57">
                  <c:v>259</c:v>
                </c:pt>
                <c:pt idx="58">
                  <c:v>259</c:v>
                </c:pt>
                <c:pt idx="59">
                  <c:v>134</c:v>
                </c:pt>
                <c:pt idx="60">
                  <c:v>98</c:v>
                </c:pt>
                <c:pt idx="61">
                  <c:v>37</c:v>
                </c:pt>
                <c:pt idx="62">
                  <c:v>125</c:v>
                </c:pt>
                <c:pt idx="63">
                  <c:v>2168</c:v>
                </c:pt>
                <c:pt idx="64">
                  <c:v>228</c:v>
                </c:pt>
                <c:pt idx="65">
                  <c:v>7852</c:v>
                </c:pt>
                <c:pt idx="66">
                  <c:v>102</c:v>
                </c:pt>
              </c:numCache>
            </c:numRef>
          </c:val>
          <c:extLst>
            <c:ext xmlns:c16="http://schemas.microsoft.com/office/drawing/2014/chart" uri="{C3380CC4-5D6E-409C-BE32-E72D297353CC}">
              <c16:uniqueId val="{00000086-ADC2-452B-B692-849D9E75570D}"/>
            </c:ext>
          </c:extLst>
        </c:ser>
        <c:dLbls>
          <c:showLegendKey val="0"/>
          <c:showVal val="0"/>
          <c:showCatName val="0"/>
          <c:showSerName val="0"/>
          <c:showPercent val="0"/>
          <c:showBubbleSize val="0"/>
          <c:showLeaderLines val="1"/>
        </c:dLbls>
        <c:firstSliceAng val="0"/>
        <c:holeSize val="50"/>
      </c:doughnutChart>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d-ID"/>
  <c:roundedCorners val="1"/>
  <c:style val="2"/>
  <c:chart>
    <c:autoTitleDeleted val="1"/>
    <c:plotArea>
      <c:layout/>
      <c:doughnutChart>
        <c:varyColors val="1"/>
        <c:ser>
          <c:idx val="0"/>
          <c:order val="0"/>
          <c:tx>
            <c:strRef>
              <c:f>'Automation Monitoring'!$AZ$4:$AZ$5</c:f>
              <c:strCache>
                <c:ptCount val="2"/>
                <c:pt idx="0">
                  <c:v>Done Running</c:v>
                </c:pt>
                <c:pt idx="1">
                  <c:v>TC</c:v>
                </c:pt>
              </c:strCache>
            </c:strRef>
          </c:tx>
          <c:dPt>
            <c:idx val="0"/>
            <c:bubble3D val="0"/>
            <c:spPr>
              <a:solidFill>
                <a:srgbClr val="41D9CA"/>
              </a:solidFill>
            </c:spPr>
            <c:extLst>
              <c:ext xmlns:c16="http://schemas.microsoft.com/office/drawing/2014/chart" uri="{C3380CC4-5D6E-409C-BE32-E72D297353CC}">
                <c16:uniqueId val="{00000001-1246-4EE1-80A7-1662C444F751}"/>
              </c:ext>
            </c:extLst>
          </c:dPt>
          <c:dPt>
            <c:idx val="1"/>
            <c:bubble3D val="0"/>
            <c:spPr>
              <a:solidFill>
                <a:srgbClr val="EDF25E"/>
              </a:solidFill>
            </c:spPr>
            <c:extLst>
              <c:ext xmlns:c16="http://schemas.microsoft.com/office/drawing/2014/chart" uri="{C3380CC4-5D6E-409C-BE32-E72D297353CC}">
                <c16:uniqueId val="{00000003-1246-4EE1-80A7-1662C444F751}"/>
              </c:ext>
            </c:extLst>
          </c:dPt>
          <c:dPt>
            <c:idx val="2"/>
            <c:bubble3D val="0"/>
            <c:spPr>
              <a:solidFill>
                <a:srgbClr val="9379F2"/>
              </a:solidFill>
            </c:spPr>
            <c:extLst>
              <c:ext xmlns:c16="http://schemas.microsoft.com/office/drawing/2014/chart" uri="{C3380CC4-5D6E-409C-BE32-E72D297353CC}">
                <c16:uniqueId val="{00000005-1246-4EE1-80A7-1662C444F751}"/>
              </c:ext>
            </c:extLst>
          </c:dPt>
          <c:dPt>
            <c:idx val="3"/>
            <c:bubble3D val="0"/>
            <c:spPr>
              <a:solidFill>
                <a:srgbClr val="F27405"/>
              </a:solidFill>
            </c:spPr>
            <c:extLst>
              <c:ext xmlns:c16="http://schemas.microsoft.com/office/drawing/2014/chart" uri="{C3380CC4-5D6E-409C-BE32-E72D297353CC}">
                <c16:uniqueId val="{00000007-1246-4EE1-80A7-1662C444F751}"/>
              </c:ext>
            </c:extLst>
          </c:dPt>
          <c:dPt>
            <c:idx val="4"/>
            <c:bubble3D val="0"/>
            <c:spPr>
              <a:solidFill>
                <a:srgbClr val="D96941"/>
              </a:solidFill>
            </c:spPr>
            <c:extLst>
              <c:ext xmlns:c16="http://schemas.microsoft.com/office/drawing/2014/chart" uri="{C3380CC4-5D6E-409C-BE32-E72D297353CC}">
                <c16:uniqueId val="{00000009-1246-4EE1-80A7-1662C444F751}"/>
              </c:ext>
            </c:extLst>
          </c:dPt>
          <c:dPt>
            <c:idx val="5"/>
            <c:bubble3D val="0"/>
            <c:spPr>
              <a:solidFill>
                <a:srgbClr val="9379F2"/>
              </a:solidFill>
            </c:spPr>
            <c:extLst>
              <c:ext xmlns:c16="http://schemas.microsoft.com/office/drawing/2014/chart" uri="{C3380CC4-5D6E-409C-BE32-E72D297353CC}">
                <c16:uniqueId val="{0000000B-1246-4EE1-80A7-1662C444F751}"/>
              </c:ext>
            </c:extLst>
          </c:dPt>
          <c:dPt>
            <c:idx val="6"/>
            <c:bubble3D val="0"/>
            <c:spPr>
              <a:solidFill>
                <a:srgbClr val="7AE4DA"/>
              </a:solidFill>
            </c:spPr>
            <c:extLst>
              <c:ext xmlns:c16="http://schemas.microsoft.com/office/drawing/2014/chart" uri="{C3380CC4-5D6E-409C-BE32-E72D297353CC}">
                <c16:uniqueId val="{0000000D-1246-4EE1-80A7-1662C444F751}"/>
              </c:ext>
            </c:extLst>
          </c:dPt>
          <c:dPt>
            <c:idx val="7"/>
            <c:bubble3D val="0"/>
            <c:spPr>
              <a:solidFill>
                <a:srgbClr val="F2F68E"/>
              </a:solidFill>
            </c:spPr>
            <c:extLst>
              <c:ext xmlns:c16="http://schemas.microsoft.com/office/drawing/2014/chart" uri="{C3380CC4-5D6E-409C-BE32-E72D297353CC}">
                <c16:uniqueId val="{0000000F-1246-4EE1-80A7-1662C444F751}"/>
              </c:ext>
            </c:extLst>
          </c:dPt>
          <c:dPt>
            <c:idx val="8"/>
            <c:bubble3D val="0"/>
            <c:spPr>
              <a:solidFill>
                <a:srgbClr val="D2CAB9"/>
              </a:solidFill>
            </c:spPr>
            <c:extLst>
              <c:ext xmlns:c16="http://schemas.microsoft.com/office/drawing/2014/chart" uri="{C3380CC4-5D6E-409C-BE32-E72D297353CC}">
                <c16:uniqueId val="{00000011-1246-4EE1-80A7-1662C444F751}"/>
              </c:ext>
            </c:extLst>
          </c:dPt>
          <c:dPt>
            <c:idx val="9"/>
            <c:bubble3D val="0"/>
            <c:spPr>
              <a:solidFill>
                <a:srgbClr val="F69E50"/>
              </a:solidFill>
            </c:spPr>
            <c:extLst>
              <c:ext xmlns:c16="http://schemas.microsoft.com/office/drawing/2014/chart" uri="{C3380CC4-5D6E-409C-BE32-E72D297353CC}">
                <c16:uniqueId val="{00000013-1246-4EE1-80A7-1662C444F751}"/>
              </c:ext>
            </c:extLst>
          </c:dPt>
          <c:dPt>
            <c:idx val="10"/>
            <c:bubble3D val="0"/>
            <c:spPr>
              <a:solidFill>
                <a:srgbClr val="E4967A"/>
              </a:solidFill>
            </c:spPr>
            <c:extLst>
              <c:ext xmlns:c16="http://schemas.microsoft.com/office/drawing/2014/chart" uri="{C3380CC4-5D6E-409C-BE32-E72D297353CC}">
                <c16:uniqueId val="{00000015-1246-4EE1-80A7-1662C444F751}"/>
              </c:ext>
            </c:extLst>
          </c:dPt>
          <c:dPt>
            <c:idx val="11"/>
            <c:bubble3D val="0"/>
            <c:spPr>
              <a:solidFill>
                <a:srgbClr val="B3A1F6"/>
              </a:solidFill>
            </c:spPr>
            <c:extLst>
              <c:ext xmlns:c16="http://schemas.microsoft.com/office/drawing/2014/chart" uri="{C3380CC4-5D6E-409C-BE32-E72D297353CC}">
                <c16:uniqueId val="{00000017-1246-4EE1-80A7-1662C444F751}"/>
              </c:ext>
            </c:extLst>
          </c:dPt>
          <c:dPt>
            <c:idx val="12"/>
            <c:bubble3D val="0"/>
            <c:spPr>
              <a:solidFill>
                <a:srgbClr val="B3F0EA"/>
              </a:solidFill>
            </c:spPr>
            <c:extLst>
              <c:ext xmlns:c16="http://schemas.microsoft.com/office/drawing/2014/chart" uri="{C3380CC4-5D6E-409C-BE32-E72D297353CC}">
                <c16:uniqueId val="{00000019-1246-4EE1-80A7-1662C444F751}"/>
              </c:ext>
            </c:extLst>
          </c:dPt>
          <c:dPt>
            <c:idx val="13"/>
            <c:bubble3D val="0"/>
            <c:spPr>
              <a:solidFill>
                <a:srgbClr val="F8FABF"/>
              </a:solidFill>
            </c:spPr>
            <c:extLst>
              <c:ext xmlns:c16="http://schemas.microsoft.com/office/drawing/2014/chart" uri="{C3380CC4-5D6E-409C-BE32-E72D297353CC}">
                <c16:uniqueId val="{0000001B-1246-4EE1-80A7-1662C444F751}"/>
              </c:ext>
            </c:extLst>
          </c:dPt>
          <c:dPt>
            <c:idx val="14"/>
            <c:bubble3D val="0"/>
            <c:spPr>
              <a:solidFill>
                <a:srgbClr val="E5E1D7"/>
              </a:solidFill>
            </c:spPr>
            <c:extLst>
              <c:ext xmlns:c16="http://schemas.microsoft.com/office/drawing/2014/chart" uri="{C3380CC4-5D6E-409C-BE32-E72D297353CC}">
                <c16:uniqueId val="{0000001D-1246-4EE1-80A7-1662C444F751}"/>
              </c:ext>
            </c:extLst>
          </c:dPt>
          <c:dPt>
            <c:idx val="15"/>
            <c:bubble3D val="0"/>
            <c:spPr>
              <a:solidFill>
                <a:srgbClr val="FAC79B"/>
              </a:solidFill>
            </c:spPr>
            <c:extLst>
              <c:ext xmlns:c16="http://schemas.microsoft.com/office/drawing/2014/chart" uri="{C3380CC4-5D6E-409C-BE32-E72D297353CC}">
                <c16:uniqueId val="{0000001F-1246-4EE1-80A7-1662C444F751}"/>
              </c:ext>
            </c:extLst>
          </c:dPt>
          <c:dPt>
            <c:idx val="16"/>
            <c:bubble3D val="0"/>
            <c:spPr>
              <a:solidFill>
                <a:srgbClr val="F0C3B3"/>
              </a:solidFill>
            </c:spPr>
            <c:extLst>
              <c:ext xmlns:c16="http://schemas.microsoft.com/office/drawing/2014/chart" uri="{C3380CC4-5D6E-409C-BE32-E72D297353CC}">
                <c16:uniqueId val="{00000021-1246-4EE1-80A7-1662C444F751}"/>
              </c:ext>
            </c:extLst>
          </c:dPt>
          <c:dPt>
            <c:idx val="17"/>
            <c:bubble3D val="0"/>
            <c:spPr>
              <a:solidFill>
                <a:srgbClr val="D4C9FA"/>
              </a:solidFill>
            </c:spPr>
            <c:extLst>
              <c:ext xmlns:c16="http://schemas.microsoft.com/office/drawing/2014/chart" uri="{C3380CC4-5D6E-409C-BE32-E72D297353CC}">
                <c16:uniqueId val="{00000023-1246-4EE1-80A7-1662C444F751}"/>
              </c:ext>
            </c:extLst>
          </c:dPt>
          <c:dPt>
            <c:idx val="18"/>
            <c:bubble3D val="0"/>
            <c:spPr>
              <a:solidFill>
                <a:srgbClr val="ECFBFA"/>
              </a:solidFill>
            </c:spPr>
            <c:extLst>
              <c:ext xmlns:c16="http://schemas.microsoft.com/office/drawing/2014/chart" uri="{C3380CC4-5D6E-409C-BE32-E72D297353CC}">
                <c16:uniqueId val="{00000025-1246-4EE1-80A7-1662C444F751}"/>
              </c:ext>
            </c:extLst>
          </c:dPt>
          <c:dPt>
            <c:idx val="19"/>
            <c:bubble3D val="0"/>
            <c:spPr>
              <a:solidFill>
                <a:srgbClr val="FDFEEF"/>
              </a:solidFill>
            </c:spPr>
            <c:extLst>
              <c:ext xmlns:c16="http://schemas.microsoft.com/office/drawing/2014/chart" uri="{C3380CC4-5D6E-409C-BE32-E72D297353CC}">
                <c16:uniqueId val="{00000027-1246-4EE1-80A7-1662C444F751}"/>
              </c:ext>
            </c:extLst>
          </c:dPt>
          <c:dPt>
            <c:idx val="20"/>
            <c:bubble3D val="0"/>
            <c:spPr>
              <a:solidFill>
                <a:srgbClr val="F9F7F5"/>
              </a:solidFill>
            </c:spPr>
            <c:extLst>
              <c:ext xmlns:c16="http://schemas.microsoft.com/office/drawing/2014/chart" uri="{C3380CC4-5D6E-409C-BE32-E72D297353CC}">
                <c16:uniqueId val="{00000029-1246-4EE1-80A7-1662C444F751}"/>
              </c:ext>
            </c:extLst>
          </c:dPt>
          <c:dPt>
            <c:idx val="21"/>
            <c:bubble3D val="0"/>
            <c:spPr>
              <a:solidFill>
                <a:srgbClr val="FEF1E6"/>
              </a:solidFill>
            </c:spPr>
            <c:extLst>
              <c:ext xmlns:c16="http://schemas.microsoft.com/office/drawing/2014/chart" uri="{C3380CC4-5D6E-409C-BE32-E72D297353CC}">
                <c16:uniqueId val="{0000002B-1246-4EE1-80A7-1662C444F751}"/>
              </c:ext>
            </c:extLst>
          </c:dPt>
          <c:dPt>
            <c:idx val="22"/>
            <c:bubble3D val="0"/>
            <c:spPr>
              <a:solidFill>
                <a:srgbClr val="FBF0EC"/>
              </a:solidFill>
            </c:spPr>
            <c:extLst>
              <c:ext xmlns:c16="http://schemas.microsoft.com/office/drawing/2014/chart" uri="{C3380CC4-5D6E-409C-BE32-E72D297353CC}">
                <c16:uniqueId val="{0000002D-1246-4EE1-80A7-1662C444F751}"/>
              </c:ext>
            </c:extLst>
          </c:dPt>
          <c:dPt>
            <c:idx val="23"/>
            <c:bubble3D val="0"/>
            <c:spPr>
              <a:solidFill>
                <a:srgbClr val="F4F2FE"/>
              </a:solidFill>
            </c:spPr>
            <c:extLst>
              <c:ext xmlns:c16="http://schemas.microsoft.com/office/drawing/2014/chart" uri="{C3380CC4-5D6E-409C-BE32-E72D297353CC}">
                <c16:uniqueId val="{0000002F-1246-4EE1-80A7-1662C444F751}"/>
              </c:ext>
            </c:extLst>
          </c:dPt>
          <c:dPt>
            <c:idx val="24"/>
            <c:bubble3D val="0"/>
            <c:spPr>
              <a:solidFill>
                <a:srgbClr val="25070A"/>
              </a:solidFill>
            </c:spPr>
            <c:extLst>
              <c:ext xmlns:c16="http://schemas.microsoft.com/office/drawing/2014/chart" uri="{C3380CC4-5D6E-409C-BE32-E72D297353CC}">
                <c16:uniqueId val="{00000031-1246-4EE1-80A7-1662C444F751}"/>
              </c:ext>
            </c:extLst>
          </c:dPt>
          <c:dPt>
            <c:idx val="25"/>
            <c:bubble3D val="0"/>
            <c:extLst>
              <c:ext xmlns:c16="http://schemas.microsoft.com/office/drawing/2014/chart" uri="{C3380CC4-5D6E-409C-BE32-E72D297353CC}">
                <c16:uniqueId val="{00000032-1246-4EE1-80A7-1662C444F751}"/>
              </c:ext>
            </c:extLst>
          </c:dPt>
          <c:dPt>
            <c:idx val="26"/>
            <c:bubble3D val="0"/>
            <c:extLst>
              <c:ext xmlns:c16="http://schemas.microsoft.com/office/drawing/2014/chart" uri="{C3380CC4-5D6E-409C-BE32-E72D297353CC}">
                <c16:uniqueId val="{00000033-1246-4EE1-80A7-1662C444F751}"/>
              </c:ext>
            </c:extLst>
          </c:dPt>
          <c:dPt>
            <c:idx val="27"/>
            <c:bubble3D val="0"/>
            <c:extLst>
              <c:ext xmlns:c16="http://schemas.microsoft.com/office/drawing/2014/chart" uri="{C3380CC4-5D6E-409C-BE32-E72D297353CC}">
                <c16:uniqueId val="{00000034-1246-4EE1-80A7-1662C444F751}"/>
              </c:ext>
            </c:extLst>
          </c:dPt>
          <c:dPt>
            <c:idx val="28"/>
            <c:bubble3D val="0"/>
            <c:extLst>
              <c:ext xmlns:c16="http://schemas.microsoft.com/office/drawing/2014/chart" uri="{C3380CC4-5D6E-409C-BE32-E72D297353CC}">
                <c16:uniqueId val="{00000035-1246-4EE1-80A7-1662C444F751}"/>
              </c:ext>
            </c:extLst>
          </c:dPt>
          <c:dPt>
            <c:idx val="29"/>
            <c:bubble3D val="0"/>
            <c:extLst>
              <c:ext xmlns:c16="http://schemas.microsoft.com/office/drawing/2014/chart" uri="{C3380CC4-5D6E-409C-BE32-E72D297353CC}">
                <c16:uniqueId val="{00000036-1246-4EE1-80A7-1662C444F751}"/>
              </c:ext>
            </c:extLst>
          </c:dPt>
          <c:dPt>
            <c:idx val="30"/>
            <c:bubble3D val="0"/>
            <c:extLst>
              <c:ext xmlns:c16="http://schemas.microsoft.com/office/drawing/2014/chart" uri="{C3380CC4-5D6E-409C-BE32-E72D297353CC}">
                <c16:uniqueId val="{00000037-1246-4EE1-80A7-1662C444F751}"/>
              </c:ext>
            </c:extLst>
          </c:dPt>
          <c:dPt>
            <c:idx val="31"/>
            <c:bubble3D val="0"/>
            <c:extLst>
              <c:ext xmlns:c16="http://schemas.microsoft.com/office/drawing/2014/chart" uri="{C3380CC4-5D6E-409C-BE32-E72D297353CC}">
                <c16:uniqueId val="{00000038-1246-4EE1-80A7-1662C444F751}"/>
              </c:ext>
            </c:extLst>
          </c:dPt>
          <c:dPt>
            <c:idx val="32"/>
            <c:bubble3D val="0"/>
            <c:extLst>
              <c:ext xmlns:c16="http://schemas.microsoft.com/office/drawing/2014/chart" uri="{C3380CC4-5D6E-409C-BE32-E72D297353CC}">
                <c16:uniqueId val="{00000039-1246-4EE1-80A7-1662C444F751}"/>
              </c:ext>
            </c:extLst>
          </c:dPt>
          <c:dPt>
            <c:idx val="33"/>
            <c:bubble3D val="0"/>
            <c:extLst>
              <c:ext xmlns:c16="http://schemas.microsoft.com/office/drawing/2014/chart" uri="{C3380CC4-5D6E-409C-BE32-E72D297353CC}">
                <c16:uniqueId val="{0000003A-1246-4EE1-80A7-1662C444F751}"/>
              </c:ext>
            </c:extLst>
          </c:dPt>
          <c:dPt>
            <c:idx val="34"/>
            <c:bubble3D val="0"/>
            <c:extLst>
              <c:ext xmlns:c16="http://schemas.microsoft.com/office/drawing/2014/chart" uri="{C3380CC4-5D6E-409C-BE32-E72D297353CC}">
                <c16:uniqueId val="{0000003B-1246-4EE1-80A7-1662C444F751}"/>
              </c:ext>
            </c:extLst>
          </c:dPt>
          <c:dPt>
            <c:idx val="35"/>
            <c:bubble3D val="0"/>
            <c:extLst>
              <c:ext xmlns:c16="http://schemas.microsoft.com/office/drawing/2014/chart" uri="{C3380CC4-5D6E-409C-BE32-E72D297353CC}">
                <c16:uniqueId val="{0000003C-1246-4EE1-80A7-1662C444F751}"/>
              </c:ext>
            </c:extLst>
          </c:dPt>
          <c:dPt>
            <c:idx val="36"/>
            <c:bubble3D val="0"/>
            <c:extLst>
              <c:ext xmlns:c16="http://schemas.microsoft.com/office/drawing/2014/chart" uri="{C3380CC4-5D6E-409C-BE32-E72D297353CC}">
                <c16:uniqueId val="{0000003D-1246-4EE1-80A7-1662C444F751}"/>
              </c:ext>
            </c:extLst>
          </c:dPt>
          <c:dPt>
            <c:idx val="37"/>
            <c:bubble3D val="0"/>
            <c:extLst>
              <c:ext xmlns:c16="http://schemas.microsoft.com/office/drawing/2014/chart" uri="{C3380CC4-5D6E-409C-BE32-E72D297353CC}">
                <c16:uniqueId val="{0000003E-1246-4EE1-80A7-1662C444F751}"/>
              </c:ext>
            </c:extLst>
          </c:dPt>
          <c:dPt>
            <c:idx val="38"/>
            <c:bubble3D val="0"/>
            <c:extLst>
              <c:ext xmlns:c16="http://schemas.microsoft.com/office/drawing/2014/chart" uri="{C3380CC4-5D6E-409C-BE32-E72D297353CC}">
                <c16:uniqueId val="{0000003F-1246-4EE1-80A7-1662C444F751}"/>
              </c:ext>
            </c:extLst>
          </c:dPt>
          <c:dPt>
            <c:idx val="39"/>
            <c:bubble3D val="0"/>
            <c:extLst>
              <c:ext xmlns:c16="http://schemas.microsoft.com/office/drawing/2014/chart" uri="{C3380CC4-5D6E-409C-BE32-E72D297353CC}">
                <c16:uniqueId val="{00000040-1246-4EE1-80A7-1662C444F751}"/>
              </c:ext>
            </c:extLst>
          </c:dPt>
          <c:dPt>
            <c:idx val="40"/>
            <c:bubble3D val="0"/>
            <c:extLst>
              <c:ext xmlns:c16="http://schemas.microsoft.com/office/drawing/2014/chart" uri="{C3380CC4-5D6E-409C-BE32-E72D297353CC}">
                <c16:uniqueId val="{00000041-1246-4EE1-80A7-1662C444F751}"/>
              </c:ext>
            </c:extLst>
          </c:dPt>
          <c:dPt>
            <c:idx val="41"/>
            <c:bubble3D val="0"/>
            <c:extLst>
              <c:ext xmlns:c16="http://schemas.microsoft.com/office/drawing/2014/chart" uri="{C3380CC4-5D6E-409C-BE32-E72D297353CC}">
                <c16:uniqueId val="{00000042-1246-4EE1-80A7-1662C444F751}"/>
              </c:ext>
            </c:extLst>
          </c:dPt>
          <c:dPt>
            <c:idx val="42"/>
            <c:bubble3D val="0"/>
            <c:extLst>
              <c:ext xmlns:c16="http://schemas.microsoft.com/office/drawing/2014/chart" uri="{C3380CC4-5D6E-409C-BE32-E72D297353CC}">
                <c16:uniqueId val="{00000043-1246-4EE1-80A7-1662C444F751}"/>
              </c:ext>
            </c:extLst>
          </c:dPt>
          <c:dPt>
            <c:idx val="43"/>
            <c:bubble3D val="0"/>
            <c:extLst>
              <c:ext xmlns:c16="http://schemas.microsoft.com/office/drawing/2014/chart" uri="{C3380CC4-5D6E-409C-BE32-E72D297353CC}">
                <c16:uniqueId val="{00000044-1246-4EE1-80A7-1662C444F751}"/>
              </c:ext>
            </c:extLst>
          </c:dPt>
          <c:dPt>
            <c:idx val="44"/>
            <c:bubble3D val="0"/>
            <c:extLst>
              <c:ext xmlns:c16="http://schemas.microsoft.com/office/drawing/2014/chart" uri="{C3380CC4-5D6E-409C-BE32-E72D297353CC}">
                <c16:uniqueId val="{00000045-1246-4EE1-80A7-1662C444F751}"/>
              </c:ext>
            </c:extLst>
          </c:dPt>
          <c:dPt>
            <c:idx val="45"/>
            <c:bubble3D val="0"/>
            <c:extLst>
              <c:ext xmlns:c16="http://schemas.microsoft.com/office/drawing/2014/chart" uri="{C3380CC4-5D6E-409C-BE32-E72D297353CC}">
                <c16:uniqueId val="{00000046-1246-4EE1-80A7-1662C444F751}"/>
              </c:ext>
            </c:extLst>
          </c:dPt>
          <c:dPt>
            <c:idx val="46"/>
            <c:bubble3D val="0"/>
            <c:extLst>
              <c:ext xmlns:c16="http://schemas.microsoft.com/office/drawing/2014/chart" uri="{C3380CC4-5D6E-409C-BE32-E72D297353CC}">
                <c16:uniqueId val="{00000047-1246-4EE1-80A7-1662C444F751}"/>
              </c:ext>
            </c:extLst>
          </c:dPt>
          <c:dPt>
            <c:idx val="47"/>
            <c:bubble3D val="0"/>
            <c:extLst>
              <c:ext xmlns:c16="http://schemas.microsoft.com/office/drawing/2014/chart" uri="{C3380CC4-5D6E-409C-BE32-E72D297353CC}">
                <c16:uniqueId val="{00000048-1246-4EE1-80A7-1662C444F751}"/>
              </c:ext>
            </c:extLst>
          </c:dPt>
          <c:dPt>
            <c:idx val="48"/>
            <c:bubble3D val="0"/>
            <c:extLst>
              <c:ext xmlns:c16="http://schemas.microsoft.com/office/drawing/2014/chart" uri="{C3380CC4-5D6E-409C-BE32-E72D297353CC}">
                <c16:uniqueId val="{00000049-1246-4EE1-80A7-1662C444F751}"/>
              </c:ext>
            </c:extLst>
          </c:dPt>
          <c:dPt>
            <c:idx val="49"/>
            <c:bubble3D val="0"/>
            <c:extLst>
              <c:ext xmlns:c16="http://schemas.microsoft.com/office/drawing/2014/chart" uri="{C3380CC4-5D6E-409C-BE32-E72D297353CC}">
                <c16:uniqueId val="{0000004A-1246-4EE1-80A7-1662C444F751}"/>
              </c:ext>
            </c:extLst>
          </c:dPt>
          <c:dPt>
            <c:idx val="50"/>
            <c:bubble3D val="0"/>
            <c:extLst>
              <c:ext xmlns:c16="http://schemas.microsoft.com/office/drawing/2014/chart" uri="{C3380CC4-5D6E-409C-BE32-E72D297353CC}">
                <c16:uniqueId val="{0000004B-1246-4EE1-80A7-1662C444F751}"/>
              </c:ext>
            </c:extLst>
          </c:dPt>
          <c:dPt>
            <c:idx val="51"/>
            <c:bubble3D val="0"/>
            <c:extLst>
              <c:ext xmlns:c16="http://schemas.microsoft.com/office/drawing/2014/chart" uri="{C3380CC4-5D6E-409C-BE32-E72D297353CC}">
                <c16:uniqueId val="{0000004C-1246-4EE1-80A7-1662C444F751}"/>
              </c:ext>
            </c:extLst>
          </c:dPt>
          <c:dPt>
            <c:idx val="52"/>
            <c:bubble3D val="0"/>
            <c:extLst>
              <c:ext xmlns:c16="http://schemas.microsoft.com/office/drawing/2014/chart" uri="{C3380CC4-5D6E-409C-BE32-E72D297353CC}">
                <c16:uniqueId val="{0000004D-1246-4EE1-80A7-1662C444F751}"/>
              </c:ext>
            </c:extLst>
          </c:dPt>
          <c:dPt>
            <c:idx val="53"/>
            <c:bubble3D val="0"/>
            <c:extLst>
              <c:ext xmlns:c16="http://schemas.microsoft.com/office/drawing/2014/chart" uri="{C3380CC4-5D6E-409C-BE32-E72D297353CC}">
                <c16:uniqueId val="{0000004E-1246-4EE1-80A7-1662C444F751}"/>
              </c:ext>
            </c:extLst>
          </c:dPt>
          <c:dPt>
            <c:idx val="54"/>
            <c:bubble3D val="0"/>
            <c:extLst>
              <c:ext xmlns:c16="http://schemas.microsoft.com/office/drawing/2014/chart" uri="{C3380CC4-5D6E-409C-BE32-E72D297353CC}">
                <c16:uniqueId val="{0000004F-1246-4EE1-80A7-1662C444F751}"/>
              </c:ext>
            </c:extLst>
          </c:dPt>
          <c:dPt>
            <c:idx val="55"/>
            <c:bubble3D val="0"/>
            <c:extLst>
              <c:ext xmlns:c16="http://schemas.microsoft.com/office/drawing/2014/chart" uri="{C3380CC4-5D6E-409C-BE32-E72D297353CC}">
                <c16:uniqueId val="{00000050-1246-4EE1-80A7-1662C444F751}"/>
              </c:ext>
            </c:extLst>
          </c:dPt>
          <c:dPt>
            <c:idx val="56"/>
            <c:bubble3D val="0"/>
            <c:extLst>
              <c:ext xmlns:c16="http://schemas.microsoft.com/office/drawing/2014/chart" uri="{C3380CC4-5D6E-409C-BE32-E72D297353CC}">
                <c16:uniqueId val="{00000051-1246-4EE1-80A7-1662C444F751}"/>
              </c:ext>
            </c:extLst>
          </c:dPt>
          <c:dPt>
            <c:idx val="57"/>
            <c:bubble3D val="0"/>
            <c:extLst>
              <c:ext xmlns:c16="http://schemas.microsoft.com/office/drawing/2014/chart" uri="{C3380CC4-5D6E-409C-BE32-E72D297353CC}">
                <c16:uniqueId val="{00000052-1246-4EE1-80A7-1662C444F751}"/>
              </c:ext>
            </c:extLst>
          </c:dPt>
          <c:dPt>
            <c:idx val="58"/>
            <c:bubble3D val="0"/>
            <c:extLst>
              <c:ext xmlns:c16="http://schemas.microsoft.com/office/drawing/2014/chart" uri="{C3380CC4-5D6E-409C-BE32-E72D297353CC}">
                <c16:uniqueId val="{00000053-1246-4EE1-80A7-1662C444F751}"/>
              </c:ext>
            </c:extLst>
          </c:dPt>
          <c:dPt>
            <c:idx val="59"/>
            <c:bubble3D val="0"/>
            <c:extLst>
              <c:ext xmlns:c16="http://schemas.microsoft.com/office/drawing/2014/chart" uri="{C3380CC4-5D6E-409C-BE32-E72D297353CC}">
                <c16:uniqueId val="{00000054-1246-4EE1-80A7-1662C444F751}"/>
              </c:ext>
            </c:extLst>
          </c:dPt>
          <c:dPt>
            <c:idx val="60"/>
            <c:bubble3D val="0"/>
            <c:extLst>
              <c:ext xmlns:c16="http://schemas.microsoft.com/office/drawing/2014/chart" uri="{C3380CC4-5D6E-409C-BE32-E72D297353CC}">
                <c16:uniqueId val="{00000055-1246-4EE1-80A7-1662C444F751}"/>
              </c:ext>
            </c:extLst>
          </c:dPt>
          <c:dPt>
            <c:idx val="61"/>
            <c:bubble3D val="0"/>
            <c:extLst>
              <c:ext xmlns:c16="http://schemas.microsoft.com/office/drawing/2014/chart" uri="{C3380CC4-5D6E-409C-BE32-E72D297353CC}">
                <c16:uniqueId val="{00000056-1246-4EE1-80A7-1662C444F751}"/>
              </c:ext>
            </c:extLst>
          </c:dPt>
          <c:dPt>
            <c:idx val="62"/>
            <c:bubble3D val="0"/>
            <c:extLst>
              <c:ext xmlns:c16="http://schemas.microsoft.com/office/drawing/2014/chart" uri="{C3380CC4-5D6E-409C-BE32-E72D297353CC}">
                <c16:uniqueId val="{00000057-1246-4EE1-80A7-1662C444F751}"/>
              </c:ext>
            </c:extLst>
          </c:dPt>
          <c:dPt>
            <c:idx val="63"/>
            <c:bubble3D val="0"/>
            <c:extLst>
              <c:ext xmlns:c16="http://schemas.microsoft.com/office/drawing/2014/chart" uri="{C3380CC4-5D6E-409C-BE32-E72D297353CC}">
                <c16:uniqueId val="{00000058-1246-4EE1-80A7-1662C444F751}"/>
              </c:ext>
            </c:extLst>
          </c:dPt>
          <c:dPt>
            <c:idx val="64"/>
            <c:bubble3D val="0"/>
            <c:extLst>
              <c:ext xmlns:c16="http://schemas.microsoft.com/office/drawing/2014/chart" uri="{C3380CC4-5D6E-409C-BE32-E72D297353CC}">
                <c16:uniqueId val="{00000059-1246-4EE1-80A7-1662C444F751}"/>
              </c:ext>
            </c:extLst>
          </c:dPt>
          <c:dPt>
            <c:idx val="65"/>
            <c:bubble3D val="0"/>
            <c:extLst>
              <c:ext xmlns:c16="http://schemas.microsoft.com/office/drawing/2014/chart" uri="{C3380CC4-5D6E-409C-BE32-E72D297353CC}">
                <c16:uniqueId val="{0000005A-1246-4EE1-80A7-1662C444F751}"/>
              </c:ext>
            </c:extLst>
          </c:dPt>
          <c:dPt>
            <c:idx val="66"/>
            <c:bubble3D val="0"/>
            <c:extLst>
              <c:ext xmlns:c16="http://schemas.microsoft.com/office/drawing/2014/chart" uri="{C3380CC4-5D6E-409C-BE32-E72D297353CC}">
                <c16:uniqueId val="{0000005B-1246-4EE1-80A7-1662C444F751}"/>
              </c:ext>
            </c:extLst>
          </c:dPt>
          <c:dPt>
            <c:idx val="67"/>
            <c:bubble3D val="0"/>
            <c:extLst>
              <c:ext xmlns:c16="http://schemas.microsoft.com/office/drawing/2014/chart" uri="{C3380CC4-5D6E-409C-BE32-E72D297353CC}">
                <c16:uniqueId val="{0000005C-1246-4EE1-80A7-1662C444F751}"/>
              </c:ext>
            </c:extLst>
          </c:dPt>
          <c:dPt>
            <c:idx val="68"/>
            <c:bubble3D val="0"/>
            <c:extLst>
              <c:ext xmlns:c16="http://schemas.microsoft.com/office/drawing/2014/chart" uri="{C3380CC4-5D6E-409C-BE32-E72D297353CC}">
                <c16:uniqueId val="{0000005D-1246-4EE1-80A7-1662C444F751}"/>
              </c:ext>
            </c:extLst>
          </c:dPt>
          <c:dPt>
            <c:idx val="69"/>
            <c:bubble3D val="0"/>
            <c:extLst>
              <c:ext xmlns:c16="http://schemas.microsoft.com/office/drawing/2014/chart" uri="{C3380CC4-5D6E-409C-BE32-E72D297353CC}">
                <c16:uniqueId val="{0000005E-1246-4EE1-80A7-1662C444F751}"/>
              </c:ext>
            </c:extLst>
          </c:dPt>
          <c:dPt>
            <c:idx val="70"/>
            <c:bubble3D val="0"/>
            <c:extLst>
              <c:ext xmlns:c16="http://schemas.microsoft.com/office/drawing/2014/chart" uri="{C3380CC4-5D6E-409C-BE32-E72D297353CC}">
                <c16:uniqueId val="{0000005F-1246-4EE1-80A7-1662C444F751}"/>
              </c:ext>
            </c:extLst>
          </c:dPt>
          <c:dPt>
            <c:idx val="71"/>
            <c:bubble3D val="0"/>
            <c:extLst>
              <c:ext xmlns:c16="http://schemas.microsoft.com/office/drawing/2014/chart" uri="{C3380CC4-5D6E-409C-BE32-E72D297353CC}">
                <c16:uniqueId val="{00000060-1246-4EE1-80A7-1662C444F751}"/>
              </c:ext>
            </c:extLst>
          </c:dPt>
          <c:dPt>
            <c:idx val="72"/>
            <c:bubble3D val="0"/>
            <c:extLst>
              <c:ext xmlns:c16="http://schemas.microsoft.com/office/drawing/2014/chart" uri="{C3380CC4-5D6E-409C-BE32-E72D297353CC}">
                <c16:uniqueId val="{00000061-1246-4EE1-80A7-1662C444F751}"/>
              </c:ext>
            </c:extLst>
          </c:dPt>
          <c:dPt>
            <c:idx val="73"/>
            <c:bubble3D val="0"/>
            <c:extLst>
              <c:ext xmlns:c16="http://schemas.microsoft.com/office/drawing/2014/chart" uri="{C3380CC4-5D6E-409C-BE32-E72D297353CC}">
                <c16:uniqueId val="{00000062-1246-4EE1-80A7-1662C444F751}"/>
              </c:ext>
            </c:extLst>
          </c:dPt>
          <c:dPt>
            <c:idx val="74"/>
            <c:bubble3D val="0"/>
            <c:extLst>
              <c:ext xmlns:c16="http://schemas.microsoft.com/office/drawing/2014/chart" uri="{C3380CC4-5D6E-409C-BE32-E72D297353CC}">
                <c16:uniqueId val="{00000063-1246-4EE1-80A7-1662C444F751}"/>
              </c:ext>
            </c:extLst>
          </c:dPt>
          <c:dPt>
            <c:idx val="75"/>
            <c:bubble3D val="0"/>
            <c:extLst>
              <c:ext xmlns:c16="http://schemas.microsoft.com/office/drawing/2014/chart" uri="{C3380CC4-5D6E-409C-BE32-E72D297353CC}">
                <c16:uniqueId val="{00000064-1246-4EE1-80A7-1662C444F751}"/>
              </c:ext>
            </c:extLst>
          </c:dPt>
          <c:dPt>
            <c:idx val="77"/>
            <c:bubble3D val="0"/>
            <c:extLst>
              <c:ext xmlns:c16="http://schemas.microsoft.com/office/drawing/2014/chart" uri="{C3380CC4-5D6E-409C-BE32-E72D297353CC}">
                <c16:uniqueId val="{00000066-1246-4EE1-80A7-1662C444F751}"/>
              </c:ext>
            </c:extLst>
          </c:dPt>
          <c:dPt>
            <c:idx val="78"/>
            <c:bubble3D val="0"/>
            <c:extLst>
              <c:ext xmlns:c16="http://schemas.microsoft.com/office/drawing/2014/chart" uri="{C3380CC4-5D6E-409C-BE32-E72D297353CC}">
                <c16:uniqueId val="{00000067-1246-4EE1-80A7-1662C444F751}"/>
              </c:ext>
            </c:extLst>
          </c:dPt>
          <c:dPt>
            <c:idx val="79"/>
            <c:bubble3D val="0"/>
            <c:extLst>
              <c:ext xmlns:c16="http://schemas.microsoft.com/office/drawing/2014/chart" uri="{C3380CC4-5D6E-409C-BE32-E72D297353CC}">
                <c16:uniqueId val="{00000068-1246-4EE1-80A7-1662C444F751}"/>
              </c:ext>
            </c:extLst>
          </c:dPt>
          <c:dPt>
            <c:idx val="80"/>
            <c:bubble3D val="0"/>
            <c:extLst>
              <c:ext xmlns:c16="http://schemas.microsoft.com/office/drawing/2014/chart" uri="{C3380CC4-5D6E-409C-BE32-E72D297353CC}">
                <c16:uniqueId val="{00000069-1246-4EE1-80A7-1662C444F751}"/>
              </c:ext>
            </c:extLst>
          </c:dPt>
          <c:dPt>
            <c:idx val="81"/>
            <c:bubble3D val="0"/>
            <c:extLst>
              <c:ext xmlns:c16="http://schemas.microsoft.com/office/drawing/2014/chart" uri="{C3380CC4-5D6E-409C-BE32-E72D297353CC}">
                <c16:uniqueId val="{0000006A-1246-4EE1-80A7-1662C444F751}"/>
              </c:ext>
            </c:extLst>
          </c:dPt>
          <c:dPt>
            <c:idx val="82"/>
            <c:bubble3D val="0"/>
            <c:extLst>
              <c:ext xmlns:c16="http://schemas.microsoft.com/office/drawing/2014/chart" uri="{C3380CC4-5D6E-409C-BE32-E72D297353CC}">
                <c16:uniqueId val="{0000006B-1246-4EE1-80A7-1662C444F751}"/>
              </c:ext>
            </c:extLst>
          </c:dPt>
          <c:dPt>
            <c:idx val="83"/>
            <c:bubble3D val="0"/>
            <c:extLst>
              <c:ext xmlns:c16="http://schemas.microsoft.com/office/drawing/2014/chart" uri="{C3380CC4-5D6E-409C-BE32-E72D297353CC}">
                <c16:uniqueId val="{0000006C-1246-4EE1-80A7-1662C444F751}"/>
              </c:ext>
            </c:extLst>
          </c:dPt>
          <c:dPt>
            <c:idx val="84"/>
            <c:bubble3D val="0"/>
            <c:extLst>
              <c:ext xmlns:c16="http://schemas.microsoft.com/office/drawing/2014/chart" uri="{C3380CC4-5D6E-409C-BE32-E72D297353CC}">
                <c16:uniqueId val="{0000006D-1246-4EE1-80A7-1662C444F751}"/>
              </c:ext>
            </c:extLst>
          </c:dPt>
          <c:dPt>
            <c:idx val="85"/>
            <c:bubble3D val="0"/>
            <c:extLst>
              <c:ext xmlns:c16="http://schemas.microsoft.com/office/drawing/2014/chart" uri="{C3380CC4-5D6E-409C-BE32-E72D297353CC}">
                <c16:uniqueId val="{0000006E-1246-4EE1-80A7-1662C444F751}"/>
              </c:ext>
            </c:extLst>
          </c:dPt>
          <c:dPt>
            <c:idx val="86"/>
            <c:bubble3D val="0"/>
            <c:extLst>
              <c:ext xmlns:c16="http://schemas.microsoft.com/office/drawing/2014/chart" uri="{C3380CC4-5D6E-409C-BE32-E72D297353CC}">
                <c16:uniqueId val="{0000006F-1246-4EE1-80A7-1662C444F751}"/>
              </c:ext>
            </c:extLst>
          </c:dPt>
          <c:dPt>
            <c:idx val="87"/>
            <c:bubble3D val="0"/>
            <c:extLst>
              <c:ext xmlns:c16="http://schemas.microsoft.com/office/drawing/2014/chart" uri="{C3380CC4-5D6E-409C-BE32-E72D297353CC}">
                <c16:uniqueId val="{00000070-1246-4EE1-80A7-1662C444F751}"/>
              </c:ext>
            </c:extLst>
          </c:dPt>
          <c:dPt>
            <c:idx val="88"/>
            <c:bubble3D val="0"/>
            <c:extLst>
              <c:ext xmlns:c16="http://schemas.microsoft.com/office/drawing/2014/chart" uri="{C3380CC4-5D6E-409C-BE32-E72D297353CC}">
                <c16:uniqueId val="{00000071-1246-4EE1-80A7-1662C444F751}"/>
              </c:ext>
            </c:extLst>
          </c:dPt>
          <c:dPt>
            <c:idx val="89"/>
            <c:bubble3D val="0"/>
            <c:extLst>
              <c:ext xmlns:c16="http://schemas.microsoft.com/office/drawing/2014/chart" uri="{C3380CC4-5D6E-409C-BE32-E72D297353CC}">
                <c16:uniqueId val="{00000072-1246-4EE1-80A7-1662C444F751}"/>
              </c:ext>
            </c:extLst>
          </c:dPt>
          <c:dPt>
            <c:idx val="90"/>
            <c:bubble3D val="0"/>
            <c:extLst>
              <c:ext xmlns:c16="http://schemas.microsoft.com/office/drawing/2014/chart" uri="{C3380CC4-5D6E-409C-BE32-E72D297353CC}">
                <c16:uniqueId val="{00000073-1246-4EE1-80A7-1662C444F751}"/>
              </c:ext>
            </c:extLst>
          </c:dPt>
          <c:dPt>
            <c:idx val="91"/>
            <c:bubble3D val="0"/>
            <c:extLst>
              <c:ext xmlns:c16="http://schemas.microsoft.com/office/drawing/2014/chart" uri="{C3380CC4-5D6E-409C-BE32-E72D297353CC}">
                <c16:uniqueId val="{00000074-1246-4EE1-80A7-1662C444F751}"/>
              </c:ext>
            </c:extLst>
          </c:dPt>
          <c:dPt>
            <c:idx val="92"/>
            <c:bubble3D val="0"/>
            <c:extLst>
              <c:ext xmlns:c16="http://schemas.microsoft.com/office/drawing/2014/chart" uri="{C3380CC4-5D6E-409C-BE32-E72D297353CC}">
                <c16:uniqueId val="{00000075-1246-4EE1-80A7-1662C444F751}"/>
              </c:ext>
            </c:extLst>
          </c:dPt>
          <c:dPt>
            <c:idx val="93"/>
            <c:bubble3D val="0"/>
            <c:extLst>
              <c:ext xmlns:c16="http://schemas.microsoft.com/office/drawing/2014/chart" uri="{C3380CC4-5D6E-409C-BE32-E72D297353CC}">
                <c16:uniqueId val="{00000076-1246-4EE1-80A7-1662C444F751}"/>
              </c:ext>
            </c:extLst>
          </c:dPt>
          <c:dPt>
            <c:idx val="94"/>
            <c:bubble3D val="0"/>
            <c:extLst>
              <c:ext xmlns:c16="http://schemas.microsoft.com/office/drawing/2014/chart" uri="{C3380CC4-5D6E-409C-BE32-E72D297353CC}">
                <c16:uniqueId val="{00000077-1246-4EE1-80A7-1662C444F751}"/>
              </c:ext>
            </c:extLst>
          </c:dPt>
          <c:dPt>
            <c:idx val="95"/>
            <c:bubble3D val="0"/>
            <c:extLst>
              <c:ext xmlns:c16="http://schemas.microsoft.com/office/drawing/2014/chart" uri="{C3380CC4-5D6E-409C-BE32-E72D297353CC}">
                <c16:uniqueId val="{00000078-1246-4EE1-80A7-1662C444F751}"/>
              </c:ext>
            </c:extLst>
          </c:dPt>
          <c:dPt>
            <c:idx val="96"/>
            <c:bubble3D val="0"/>
            <c:extLst>
              <c:ext xmlns:c16="http://schemas.microsoft.com/office/drawing/2014/chart" uri="{C3380CC4-5D6E-409C-BE32-E72D297353CC}">
                <c16:uniqueId val="{00000079-1246-4EE1-80A7-1662C444F751}"/>
              </c:ext>
            </c:extLst>
          </c:dPt>
          <c:dPt>
            <c:idx val="97"/>
            <c:bubble3D val="0"/>
            <c:extLst>
              <c:ext xmlns:c16="http://schemas.microsoft.com/office/drawing/2014/chart" uri="{C3380CC4-5D6E-409C-BE32-E72D297353CC}">
                <c16:uniqueId val="{0000007A-1246-4EE1-80A7-1662C444F751}"/>
              </c:ext>
            </c:extLst>
          </c:dPt>
          <c:dPt>
            <c:idx val="98"/>
            <c:bubble3D val="0"/>
            <c:extLst>
              <c:ext xmlns:c16="http://schemas.microsoft.com/office/drawing/2014/chart" uri="{C3380CC4-5D6E-409C-BE32-E72D297353CC}">
                <c16:uniqueId val="{0000007B-1246-4EE1-80A7-1662C444F751}"/>
              </c:ext>
            </c:extLst>
          </c:dPt>
          <c:dPt>
            <c:idx val="99"/>
            <c:bubble3D val="0"/>
            <c:extLst>
              <c:ext xmlns:c16="http://schemas.microsoft.com/office/drawing/2014/chart" uri="{C3380CC4-5D6E-409C-BE32-E72D297353CC}">
                <c16:uniqueId val="{0000007C-1246-4EE1-80A7-1662C444F751}"/>
              </c:ext>
            </c:extLst>
          </c:dPt>
          <c:dPt>
            <c:idx val="100"/>
            <c:bubble3D val="0"/>
            <c:extLst>
              <c:ext xmlns:c16="http://schemas.microsoft.com/office/drawing/2014/chart" uri="{C3380CC4-5D6E-409C-BE32-E72D297353CC}">
                <c16:uniqueId val="{0000007D-1246-4EE1-80A7-1662C444F751}"/>
              </c:ext>
            </c:extLst>
          </c:dPt>
          <c:dPt>
            <c:idx val="101"/>
            <c:bubble3D val="0"/>
            <c:extLst>
              <c:ext xmlns:c16="http://schemas.microsoft.com/office/drawing/2014/chart" uri="{C3380CC4-5D6E-409C-BE32-E72D297353CC}">
                <c16:uniqueId val="{0000007E-1246-4EE1-80A7-1662C444F751}"/>
              </c:ext>
            </c:extLst>
          </c:dPt>
          <c:dPt>
            <c:idx val="102"/>
            <c:bubble3D val="0"/>
            <c:extLst>
              <c:ext xmlns:c16="http://schemas.microsoft.com/office/drawing/2014/chart" uri="{C3380CC4-5D6E-409C-BE32-E72D297353CC}">
                <c16:uniqueId val="{0000007F-1246-4EE1-80A7-1662C444F751}"/>
              </c:ext>
            </c:extLst>
          </c:dPt>
          <c:dPt>
            <c:idx val="103"/>
            <c:bubble3D val="0"/>
            <c:extLst>
              <c:ext xmlns:c16="http://schemas.microsoft.com/office/drawing/2014/chart" uri="{C3380CC4-5D6E-409C-BE32-E72D297353CC}">
                <c16:uniqueId val="{00000080-1246-4EE1-80A7-1662C444F751}"/>
              </c:ext>
            </c:extLst>
          </c:dPt>
          <c:dPt>
            <c:idx val="104"/>
            <c:bubble3D val="0"/>
            <c:extLst>
              <c:ext xmlns:c16="http://schemas.microsoft.com/office/drawing/2014/chart" uri="{C3380CC4-5D6E-409C-BE32-E72D297353CC}">
                <c16:uniqueId val="{00000081-1246-4EE1-80A7-1662C444F751}"/>
              </c:ext>
            </c:extLst>
          </c:dPt>
          <c:dPt>
            <c:idx val="105"/>
            <c:bubble3D val="0"/>
            <c:extLst>
              <c:ext xmlns:c16="http://schemas.microsoft.com/office/drawing/2014/chart" uri="{C3380CC4-5D6E-409C-BE32-E72D297353CC}">
                <c16:uniqueId val="{00000082-1246-4EE1-80A7-1662C444F751}"/>
              </c:ext>
            </c:extLst>
          </c:dPt>
          <c:dPt>
            <c:idx val="106"/>
            <c:bubble3D val="0"/>
            <c:extLst>
              <c:ext xmlns:c16="http://schemas.microsoft.com/office/drawing/2014/chart" uri="{C3380CC4-5D6E-409C-BE32-E72D297353CC}">
                <c16:uniqueId val="{00000083-1246-4EE1-80A7-1662C444F751}"/>
              </c:ext>
            </c:extLst>
          </c:dPt>
          <c:dPt>
            <c:idx val="107"/>
            <c:bubble3D val="0"/>
            <c:extLst>
              <c:ext xmlns:c16="http://schemas.microsoft.com/office/drawing/2014/chart" uri="{C3380CC4-5D6E-409C-BE32-E72D297353CC}">
                <c16:uniqueId val="{00000084-1246-4EE1-80A7-1662C444F751}"/>
              </c:ext>
            </c:extLst>
          </c:dPt>
          <c:dPt>
            <c:idx val="108"/>
            <c:bubble3D val="0"/>
            <c:extLst>
              <c:ext xmlns:c16="http://schemas.microsoft.com/office/drawing/2014/chart" uri="{C3380CC4-5D6E-409C-BE32-E72D297353CC}">
                <c16:uniqueId val="{00000085-1246-4EE1-80A7-1662C444F751}"/>
              </c:ext>
            </c:extLst>
          </c:dPt>
          <c:dPt>
            <c:idx val="109"/>
            <c:bubble3D val="0"/>
            <c:extLst>
              <c:ext xmlns:c16="http://schemas.microsoft.com/office/drawing/2014/chart" uri="{C3380CC4-5D6E-409C-BE32-E72D297353CC}">
                <c16:uniqueId val="{00000086-1246-4EE1-80A7-1662C444F751}"/>
              </c:ext>
            </c:extLst>
          </c:dPt>
          <c:dPt>
            <c:idx val="110"/>
            <c:bubble3D val="0"/>
            <c:extLst>
              <c:ext xmlns:c16="http://schemas.microsoft.com/office/drawing/2014/chart" uri="{C3380CC4-5D6E-409C-BE32-E72D297353CC}">
                <c16:uniqueId val="{00000087-1246-4EE1-80A7-1662C444F751}"/>
              </c:ext>
            </c:extLst>
          </c:dPt>
          <c:dPt>
            <c:idx val="111"/>
            <c:bubble3D val="0"/>
            <c:extLst>
              <c:ext xmlns:c16="http://schemas.microsoft.com/office/drawing/2014/chart" uri="{C3380CC4-5D6E-409C-BE32-E72D297353CC}">
                <c16:uniqueId val="{00000088-1246-4EE1-80A7-1662C444F751}"/>
              </c:ext>
            </c:extLst>
          </c:dPt>
          <c:dPt>
            <c:idx val="112"/>
            <c:bubble3D val="0"/>
            <c:extLst>
              <c:ext xmlns:c16="http://schemas.microsoft.com/office/drawing/2014/chart" uri="{C3380CC4-5D6E-409C-BE32-E72D297353CC}">
                <c16:uniqueId val="{00000089-1246-4EE1-80A7-1662C444F751}"/>
              </c:ext>
            </c:extLst>
          </c:dPt>
          <c:dPt>
            <c:idx val="113"/>
            <c:bubble3D val="0"/>
            <c:extLst>
              <c:ext xmlns:c16="http://schemas.microsoft.com/office/drawing/2014/chart" uri="{C3380CC4-5D6E-409C-BE32-E72D297353CC}">
                <c16:uniqueId val="{0000008A-1246-4EE1-80A7-1662C444F751}"/>
              </c:ext>
            </c:extLst>
          </c:dPt>
          <c:dPt>
            <c:idx val="114"/>
            <c:bubble3D val="0"/>
            <c:extLst>
              <c:ext xmlns:c16="http://schemas.microsoft.com/office/drawing/2014/chart" uri="{C3380CC4-5D6E-409C-BE32-E72D297353CC}">
                <c16:uniqueId val="{0000008B-1246-4EE1-80A7-1662C444F751}"/>
              </c:ext>
            </c:extLst>
          </c:dPt>
          <c:dPt>
            <c:idx val="115"/>
            <c:bubble3D val="0"/>
            <c:extLst>
              <c:ext xmlns:c16="http://schemas.microsoft.com/office/drawing/2014/chart" uri="{C3380CC4-5D6E-409C-BE32-E72D297353CC}">
                <c16:uniqueId val="{0000008C-1246-4EE1-80A7-1662C444F751}"/>
              </c:ext>
            </c:extLst>
          </c:dPt>
          <c:dPt>
            <c:idx val="116"/>
            <c:bubble3D val="0"/>
            <c:extLst>
              <c:ext xmlns:c16="http://schemas.microsoft.com/office/drawing/2014/chart" uri="{C3380CC4-5D6E-409C-BE32-E72D297353CC}">
                <c16:uniqueId val="{0000008D-1246-4EE1-80A7-1662C444F751}"/>
              </c:ext>
            </c:extLst>
          </c:dPt>
          <c:dPt>
            <c:idx val="117"/>
            <c:bubble3D val="0"/>
            <c:extLst>
              <c:ext xmlns:c16="http://schemas.microsoft.com/office/drawing/2014/chart" uri="{C3380CC4-5D6E-409C-BE32-E72D297353CC}">
                <c16:uniqueId val="{0000008E-1246-4EE1-80A7-1662C444F751}"/>
              </c:ext>
            </c:extLst>
          </c:dPt>
          <c:dPt>
            <c:idx val="118"/>
            <c:bubble3D val="0"/>
            <c:extLst>
              <c:ext xmlns:c16="http://schemas.microsoft.com/office/drawing/2014/chart" uri="{C3380CC4-5D6E-409C-BE32-E72D297353CC}">
                <c16:uniqueId val="{0000008F-1246-4EE1-80A7-1662C444F751}"/>
              </c:ext>
            </c:extLst>
          </c:dPt>
          <c:dPt>
            <c:idx val="119"/>
            <c:bubble3D val="0"/>
            <c:extLst>
              <c:ext xmlns:c16="http://schemas.microsoft.com/office/drawing/2014/chart" uri="{C3380CC4-5D6E-409C-BE32-E72D297353CC}">
                <c16:uniqueId val="{00000090-1246-4EE1-80A7-1662C444F751}"/>
              </c:ext>
            </c:extLst>
          </c:dPt>
          <c:dPt>
            <c:idx val="120"/>
            <c:bubble3D val="0"/>
            <c:extLst>
              <c:ext xmlns:c16="http://schemas.microsoft.com/office/drawing/2014/chart" uri="{C3380CC4-5D6E-409C-BE32-E72D297353CC}">
                <c16:uniqueId val="{00000091-1246-4EE1-80A7-1662C444F751}"/>
              </c:ext>
            </c:extLst>
          </c:dPt>
          <c:dPt>
            <c:idx val="121"/>
            <c:bubble3D val="0"/>
            <c:extLst>
              <c:ext xmlns:c16="http://schemas.microsoft.com/office/drawing/2014/chart" uri="{C3380CC4-5D6E-409C-BE32-E72D297353CC}">
                <c16:uniqueId val="{00000092-1246-4EE1-80A7-1662C444F751}"/>
              </c:ext>
            </c:extLst>
          </c:dPt>
          <c:dPt>
            <c:idx val="122"/>
            <c:bubble3D val="0"/>
            <c:extLst>
              <c:ext xmlns:c16="http://schemas.microsoft.com/office/drawing/2014/chart" uri="{C3380CC4-5D6E-409C-BE32-E72D297353CC}">
                <c16:uniqueId val="{00000093-1246-4EE1-80A7-1662C444F751}"/>
              </c:ext>
            </c:extLst>
          </c:dPt>
          <c:dPt>
            <c:idx val="123"/>
            <c:bubble3D val="0"/>
            <c:extLst>
              <c:ext xmlns:c16="http://schemas.microsoft.com/office/drawing/2014/chart" uri="{C3380CC4-5D6E-409C-BE32-E72D297353CC}">
                <c16:uniqueId val="{00000094-1246-4EE1-80A7-1662C444F751}"/>
              </c:ext>
            </c:extLst>
          </c:dPt>
          <c:dPt>
            <c:idx val="124"/>
            <c:bubble3D val="0"/>
            <c:extLst>
              <c:ext xmlns:c16="http://schemas.microsoft.com/office/drawing/2014/chart" uri="{C3380CC4-5D6E-409C-BE32-E72D297353CC}">
                <c16:uniqueId val="{00000095-1246-4EE1-80A7-1662C444F751}"/>
              </c:ext>
            </c:extLst>
          </c:dPt>
          <c:dPt>
            <c:idx val="125"/>
            <c:bubble3D val="0"/>
            <c:extLst>
              <c:ext xmlns:c16="http://schemas.microsoft.com/office/drawing/2014/chart" uri="{C3380CC4-5D6E-409C-BE32-E72D297353CC}">
                <c16:uniqueId val="{00000096-1246-4EE1-80A7-1662C444F751}"/>
              </c:ext>
            </c:extLst>
          </c:dPt>
          <c:dPt>
            <c:idx val="126"/>
            <c:bubble3D val="0"/>
            <c:extLst>
              <c:ext xmlns:c16="http://schemas.microsoft.com/office/drawing/2014/chart" uri="{C3380CC4-5D6E-409C-BE32-E72D297353CC}">
                <c16:uniqueId val="{00000097-1246-4EE1-80A7-1662C444F751}"/>
              </c:ext>
            </c:extLst>
          </c:dPt>
          <c:dPt>
            <c:idx val="127"/>
            <c:bubble3D val="0"/>
            <c:extLst>
              <c:ext xmlns:c16="http://schemas.microsoft.com/office/drawing/2014/chart" uri="{C3380CC4-5D6E-409C-BE32-E72D297353CC}">
                <c16:uniqueId val="{00000098-1246-4EE1-80A7-1662C444F751}"/>
              </c:ext>
            </c:extLst>
          </c:dPt>
          <c:dPt>
            <c:idx val="128"/>
            <c:bubble3D val="0"/>
            <c:extLst>
              <c:ext xmlns:c16="http://schemas.microsoft.com/office/drawing/2014/chart" uri="{C3380CC4-5D6E-409C-BE32-E72D297353CC}">
                <c16:uniqueId val="{00000099-1246-4EE1-80A7-1662C444F751}"/>
              </c:ext>
            </c:extLst>
          </c:dPt>
          <c:dPt>
            <c:idx val="129"/>
            <c:bubble3D val="0"/>
            <c:extLst>
              <c:ext xmlns:c16="http://schemas.microsoft.com/office/drawing/2014/chart" uri="{C3380CC4-5D6E-409C-BE32-E72D297353CC}">
                <c16:uniqueId val="{0000009A-1246-4EE1-80A7-1662C444F751}"/>
              </c:ext>
            </c:extLst>
          </c:dPt>
          <c:dPt>
            <c:idx val="130"/>
            <c:bubble3D val="0"/>
            <c:extLst>
              <c:ext xmlns:c16="http://schemas.microsoft.com/office/drawing/2014/chart" uri="{C3380CC4-5D6E-409C-BE32-E72D297353CC}">
                <c16:uniqueId val="{0000009B-1246-4EE1-80A7-1662C444F751}"/>
              </c:ext>
            </c:extLst>
          </c:dPt>
          <c:dPt>
            <c:idx val="131"/>
            <c:bubble3D val="0"/>
            <c:extLst>
              <c:ext xmlns:c16="http://schemas.microsoft.com/office/drawing/2014/chart" uri="{C3380CC4-5D6E-409C-BE32-E72D297353CC}">
                <c16:uniqueId val="{0000009C-1246-4EE1-80A7-1662C444F751}"/>
              </c:ext>
            </c:extLst>
          </c:dPt>
          <c:dPt>
            <c:idx val="132"/>
            <c:bubble3D val="0"/>
            <c:extLst>
              <c:ext xmlns:c16="http://schemas.microsoft.com/office/drawing/2014/chart" uri="{C3380CC4-5D6E-409C-BE32-E72D297353CC}">
                <c16:uniqueId val="{0000009D-1246-4EE1-80A7-1662C444F751}"/>
              </c:ext>
            </c:extLst>
          </c:dPt>
          <c:dPt>
            <c:idx val="133"/>
            <c:bubble3D val="0"/>
            <c:extLst>
              <c:ext xmlns:c16="http://schemas.microsoft.com/office/drawing/2014/chart" uri="{C3380CC4-5D6E-409C-BE32-E72D297353CC}">
                <c16:uniqueId val="{0000009E-1246-4EE1-80A7-1662C444F751}"/>
              </c:ext>
            </c:extLst>
          </c:dPt>
          <c:dPt>
            <c:idx val="134"/>
            <c:bubble3D val="0"/>
            <c:extLst>
              <c:ext xmlns:c16="http://schemas.microsoft.com/office/drawing/2014/chart" uri="{C3380CC4-5D6E-409C-BE32-E72D297353CC}">
                <c16:uniqueId val="{0000009F-1246-4EE1-80A7-1662C444F751}"/>
              </c:ext>
            </c:extLst>
          </c:dPt>
          <c:dPt>
            <c:idx val="135"/>
            <c:bubble3D val="0"/>
            <c:extLst>
              <c:ext xmlns:c16="http://schemas.microsoft.com/office/drawing/2014/chart" uri="{C3380CC4-5D6E-409C-BE32-E72D297353CC}">
                <c16:uniqueId val="{000000A0-1246-4EE1-80A7-1662C444F751}"/>
              </c:ext>
            </c:extLst>
          </c:dPt>
          <c:dPt>
            <c:idx val="136"/>
            <c:bubble3D val="0"/>
            <c:extLst>
              <c:ext xmlns:c16="http://schemas.microsoft.com/office/drawing/2014/chart" uri="{C3380CC4-5D6E-409C-BE32-E72D297353CC}">
                <c16:uniqueId val="{000000A1-1246-4EE1-80A7-1662C444F751}"/>
              </c:ext>
            </c:extLst>
          </c:dPt>
          <c:dPt>
            <c:idx val="137"/>
            <c:bubble3D val="0"/>
            <c:extLst>
              <c:ext xmlns:c16="http://schemas.microsoft.com/office/drawing/2014/chart" uri="{C3380CC4-5D6E-409C-BE32-E72D297353CC}">
                <c16:uniqueId val="{000000A2-1246-4EE1-80A7-1662C444F751}"/>
              </c:ext>
            </c:extLst>
          </c:dPt>
          <c:dPt>
            <c:idx val="138"/>
            <c:bubble3D val="0"/>
            <c:extLst>
              <c:ext xmlns:c16="http://schemas.microsoft.com/office/drawing/2014/chart" uri="{C3380CC4-5D6E-409C-BE32-E72D297353CC}">
                <c16:uniqueId val="{000000A3-1246-4EE1-80A7-1662C444F751}"/>
              </c:ext>
            </c:extLst>
          </c:dPt>
          <c:dPt>
            <c:idx val="139"/>
            <c:bubble3D val="0"/>
            <c:extLst>
              <c:ext xmlns:c16="http://schemas.microsoft.com/office/drawing/2014/chart" uri="{C3380CC4-5D6E-409C-BE32-E72D297353CC}">
                <c16:uniqueId val="{000000A4-1246-4EE1-80A7-1662C444F751}"/>
              </c:ext>
            </c:extLst>
          </c:dPt>
          <c:dPt>
            <c:idx val="140"/>
            <c:bubble3D val="0"/>
            <c:extLst>
              <c:ext xmlns:c16="http://schemas.microsoft.com/office/drawing/2014/chart" uri="{C3380CC4-5D6E-409C-BE32-E72D297353CC}">
                <c16:uniqueId val="{000000A5-1246-4EE1-80A7-1662C444F751}"/>
              </c:ext>
            </c:extLst>
          </c:dPt>
          <c:dPt>
            <c:idx val="141"/>
            <c:bubble3D val="0"/>
            <c:extLst>
              <c:ext xmlns:c16="http://schemas.microsoft.com/office/drawing/2014/chart" uri="{C3380CC4-5D6E-409C-BE32-E72D297353CC}">
                <c16:uniqueId val="{000000A6-1246-4EE1-80A7-1662C444F751}"/>
              </c:ext>
            </c:extLst>
          </c:dPt>
          <c:dPt>
            <c:idx val="142"/>
            <c:bubble3D val="0"/>
            <c:extLst>
              <c:ext xmlns:c16="http://schemas.microsoft.com/office/drawing/2014/chart" uri="{C3380CC4-5D6E-409C-BE32-E72D297353CC}">
                <c16:uniqueId val="{000000A7-1246-4EE1-80A7-1662C444F751}"/>
              </c:ext>
            </c:extLst>
          </c:dPt>
          <c:dPt>
            <c:idx val="143"/>
            <c:bubble3D val="0"/>
            <c:extLst>
              <c:ext xmlns:c16="http://schemas.microsoft.com/office/drawing/2014/chart" uri="{C3380CC4-5D6E-409C-BE32-E72D297353CC}">
                <c16:uniqueId val="{000000A8-1246-4EE1-80A7-1662C444F751}"/>
              </c:ext>
            </c:extLst>
          </c:dPt>
          <c:dPt>
            <c:idx val="144"/>
            <c:bubble3D val="0"/>
            <c:extLst>
              <c:ext xmlns:c16="http://schemas.microsoft.com/office/drawing/2014/chart" uri="{C3380CC4-5D6E-409C-BE32-E72D297353CC}">
                <c16:uniqueId val="{000000A9-1246-4EE1-80A7-1662C444F751}"/>
              </c:ext>
            </c:extLst>
          </c:dPt>
          <c:dPt>
            <c:idx val="145"/>
            <c:bubble3D val="0"/>
            <c:extLst>
              <c:ext xmlns:c16="http://schemas.microsoft.com/office/drawing/2014/chart" uri="{C3380CC4-5D6E-409C-BE32-E72D297353CC}">
                <c16:uniqueId val="{000000AA-1246-4EE1-80A7-1662C444F751}"/>
              </c:ext>
            </c:extLst>
          </c:dPt>
          <c:dPt>
            <c:idx val="146"/>
            <c:bubble3D val="0"/>
            <c:extLst>
              <c:ext xmlns:c16="http://schemas.microsoft.com/office/drawing/2014/chart" uri="{C3380CC4-5D6E-409C-BE32-E72D297353CC}">
                <c16:uniqueId val="{000000AB-1246-4EE1-80A7-1662C444F751}"/>
              </c:ext>
            </c:extLst>
          </c:dPt>
          <c:dPt>
            <c:idx val="147"/>
            <c:bubble3D val="0"/>
            <c:extLst>
              <c:ext xmlns:c16="http://schemas.microsoft.com/office/drawing/2014/chart" uri="{C3380CC4-5D6E-409C-BE32-E72D297353CC}">
                <c16:uniqueId val="{000000AC-1246-4EE1-80A7-1662C444F751}"/>
              </c:ext>
            </c:extLst>
          </c:dPt>
          <c:dPt>
            <c:idx val="148"/>
            <c:bubble3D val="0"/>
            <c:extLst>
              <c:ext xmlns:c16="http://schemas.microsoft.com/office/drawing/2014/chart" uri="{C3380CC4-5D6E-409C-BE32-E72D297353CC}">
                <c16:uniqueId val="{000000AD-1246-4EE1-80A7-1662C444F751}"/>
              </c:ext>
            </c:extLst>
          </c:dPt>
          <c:dPt>
            <c:idx val="149"/>
            <c:bubble3D val="0"/>
            <c:extLst>
              <c:ext xmlns:c16="http://schemas.microsoft.com/office/drawing/2014/chart" uri="{C3380CC4-5D6E-409C-BE32-E72D297353CC}">
                <c16:uniqueId val="{000000AE-1246-4EE1-80A7-1662C444F751}"/>
              </c:ext>
            </c:extLst>
          </c:dPt>
          <c:dPt>
            <c:idx val="150"/>
            <c:bubble3D val="0"/>
            <c:extLst>
              <c:ext xmlns:c16="http://schemas.microsoft.com/office/drawing/2014/chart" uri="{C3380CC4-5D6E-409C-BE32-E72D297353CC}">
                <c16:uniqueId val="{000000AF-1246-4EE1-80A7-1662C444F751}"/>
              </c:ext>
            </c:extLst>
          </c:dPt>
          <c:dPt>
            <c:idx val="151"/>
            <c:bubble3D val="0"/>
            <c:extLst>
              <c:ext xmlns:c16="http://schemas.microsoft.com/office/drawing/2014/chart" uri="{C3380CC4-5D6E-409C-BE32-E72D297353CC}">
                <c16:uniqueId val="{000000B0-1246-4EE1-80A7-1662C444F751}"/>
              </c:ext>
            </c:extLst>
          </c:dPt>
          <c:dPt>
            <c:idx val="152"/>
            <c:bubble3D val="0"/>
            <c:extLst>
              <c:ext xmlns:c16="http://schemas.microsoft.com/office/drawing/2014/chart" uri="{C3380CC4-5D6E-409C-BE32-E72D297353CC}">
                <c16:uniqueId val="{000000B1-1246-4EE1-80A7-1662C444F751}"/>
              </c:ext>
            </c:extLst>
          </c:dPt>
          <c:dPt>
            <c:idx val="153"/>
            <c:bubble3D val="0"/>
            <c:extLst>
              <c:ext xmlns:c16="http://schemas.microsoft.com/office/drawing/2014/chart" uri="{C3380CC4-5D6E-409C-BE32-E72D297353CC}">
                <c16:uniqueId val="{000000B2-1246-4EE1-80A7-1662C444F751}"/>
              </c:ext>
            </c:extLst>
          </c:dPt>
          <c:dPt>
            <c:idx val="154"/>
            <c:bubble3D val="0"/>
            <c:extLst>
              <c:ext xmlns:c16="http://schemas.microsoft.com/office/drawing/2014/chart" uri="{C3380CC4-5D6E-409C-BE32-E72D297353CC}">
                <c16:uniqueId val="{000000B3-1246-4EE1-80A7-1662C444F751}"/>
              </c:ext>
            </c:extLst>
          </c:dPt>
          <c:dPt>
            <c:idx val="155"/>
            <c:bubble3D val="0"/>
            <c:extLst>
              <c:ext xmlns:c16="http://schemas.microsoft.com/office/drawing/2014/chart" uri="{C3380CC4-5D6E-409C-BE32-E72D297353CC}">
                <c16:uniqueId val="{000000B4-1246-4EE1-80A7-1662C444F751}"/>
              </c:ext>
            </c:extLst>
          </c:dPt>
          <c:dPt>
            <c:idx val="156"/>
            <c:bubble3D val="0"/>
            <c:extLst>
              <c:ext xmlns:c16="http://schemas.microsoft.com/office/drawing/2014/chart" uri="{C3380CC4-5D6E-409C-BE32-E72D297353CC}">
                <c16:uniqueId val="{000000B5-1246-4EE1-80A7-1662C444F751}"/>
              </c:ext>
            </c:extLst>
          </c:dPt>
          <c:dPt>
            <c:idx val="157"/>
            <c:bubble3D val="0"/>
            <c:extLst>
              <c:ext xmlns:c16="http://schemas.microsoft.com/office/drawing/2014/chart" uri="{C3380CC4-5D6E-409C-BE32-E72D297353CC}">
                <c16:uniqueId val="{000000B6-1246-4EE1-80A7-1662C444F751}"/>
              </c:ext>
            </c:extLst>
          </c:dPt>
          <c:dPt>
            <c:idx val="158"/>
            <c:bubble3D val="0"/>
            <c:extLst>
              <c:ext xmlns:c16="http://schemas.microsoft.com/office/drawing/2014/chart" uri="{C3380CC4-5D6E-409C-BE32-E72D297353CC}">
                <c16:uniqueId val="{000000B7-1246-4EE1-80A7-1662C444F751}"/>
              </c:ext>
            </c:extLst>
          </c:dPt>
          <c:dPt>
            <c:idx val="159"/>
            <c:bubble3D val="0"/>
            <c:extLst>
              <c:ext xmlns:c16="http://schemas.microsoft.com/office/drawing/2014/chart" uri="{C3380CC4-5D6E-409C-BE32-E72D297353CC}">
                <c16:uniqueId val="{000000B8-1246-4EE1-80A7-1662C444F751}"/>
              </c:ext>
            </c:extLst>
          </c:dPt>
          <c:dPt>
            <c:idx val="160"/>
            <c:bubble3D val="0"/>
            <c:extLst>
              <c:ext xmlns:c16="http://schemas.microsoft.com/office/drawing/2014/chart" uri="{C3380CC4-5D6E-409C-BE32-E72D297353CC}">
                <c16:uniqueId val="{000000B9-1246-4EE1-80A7-1662C444F751}"/>
              </c:ext>
            </c:extLst>
          </c:dPt>
          <c:dPt>
            <c:idx val="161"/>
            <c:bubble3D val="0"/>
            <c:extLst>
              <c:ext xmlns:c16="http://schemas.microsoft.com/office/drawing/2014/chart" uri="{C3380CC4-5D6E-409C-BE32-E72D297353CC}">
                <c16:uniqueId val="{000000BA-1246-4EE1-80A7-1662C444F751}"/>
              </c:ext>
            </c:extLst>
          </c:dPt>
          <c:dPt>
            <c:idx val="162"/>
            <c:bubble3D val="0"/>
            <c:extLst>
              <c:ext xmlns:c16="http://schemas.microsoft.com/office/drawing/2014/chart" uri="{C3380CC4-5D6E-409C-BE32-E72D297353CC}">
                <c16:uniqueId val="{000000BB-1246-4EE1-80A7-1662C444F751}"/>
              </c:ext>
            </c:extLst>
          </c:dPt>
          <c:dPt>
            <c:idx val="163"/>
            <c:bubble3D val="0"/>
            <c:extLst>
              <c:ext xmlns:c16="http://schemas.microsoft.com/office/drawing/2014/chart" uri="{C3380CC4-5D6E-409C-BE32-E72D297353CC}">
                <c16:uniqueId val="{000000BC-1246-4EE1-80A7-1662C444F751}"/>
              </c:ext>
            </c:extLst>
          </c:dPt>
          <c:dPt>
            <c:idx val="164"/>
            <c:bubble3D val="0"/>
            <c:extLst>
              <c:ext xmlns:c16="http://schemas.microsoft.com/office/drawing/2014/chart" uri="{C3380CC4-5D6E-409C-BE32-E72D297353CC}">
                <c16:uniqueId val="{000000BD-1246-4EE1-80A7-1662C444F751}"/>
              </c:ext>
            </c:extLst>
          </c:dPt>
          <c:dPt>
            <c:idx val="165"/>
            <c:bubble3D val="0"/>
            <c:extLst>
              <c:ext xmlns:c16="http://schemas.microsoft.com/office/drawing/2014/chart" uri="{C3380CC4-5D6E-409C-BE32-E72D297353CC}">
                <c16:uniqueId val="{000000BE-1246-4EE1-80A7-1662C444F751}"/>
              </c:ext>
            </c:extLst>
          </c:dPt>
          <c:dPt>
            <c:idx val="166"/>
            <c:bubble3D val="0"/>
            <c:extLst>
              <c:ext xmlns:c16="http://schemas.microsoft.com/office/drawing/2014/chart" uri="{C3380CC4-5D6E-409C-BE32-E72D297353CC}">
                <c16:uniqueId val="{000000BF-1246-4EE1-80A7-1662C444F751}"/>
              </c:ext>
            </c:extLst>
          </c:dPt>
          <c:dPt>
            <c:idx val="167"/>
            <c:bubble3D val="0"/>
            <c:extLst>
              <c:ext xmlns:c16="http://schemas.microsoft.com/office/drawing/2014/chart" uri="{C3380CC4-5D6E-409C-BE32-E72D297353CC}">
                <c16:uniqueId val="{000000C0-1246-4EE1-80A7-1662C444F751}"/>
              </c:ext>
            </c:extLst>
          </c:dPt>
          <c:dPt>
            <c:idx val="168"/>
            <c:bubble3D val="0"/>
            <c:extLst>
              <c:ext xmlns:c16="http://schemas.microsoft.com/office/drawing/2014/chart" uri="{C3380CC4-5D6E-409C-BE32-E72D297353CC}">
                <c16:uniqueId val="{000000C1-1246-4EE1-80A7-1662C444F751}"/>
              </c:ext>
            </c:extLst>
          </c:dPt>
          <c:dPt>
            <c:idx val="169"/>
            <c:bubble3D val="0"/>
            <c:extLst>
              <c:ext xmlns:c16="http://schemas.microsoft.com/office/drawing/2014/chart" uri="{C3380CC4-5D6E-409C-BE32-E72D297353CC}">
                <c16:uniqueId val="{000000C2-1246-4EE1-80A7-1662C444F751}"/>
              </c:ext>
            </c:extLst>
          </c:dPt>
          <c:dPt>
            <c:idx val="170"/>
            <c:bubble3D val="0"/>
            <c:extLst>
              <c:ext xmlns:c16="http://schemas.microsoft.com/office/drawing/2014/chart" uri="{C3380CC4-5D6E-409C-BE32-E72D297353CC}">
                <c16:uniqueId val="{000000C3-1246-4EE1-80A7-1662C444F751}"/>
              </c:ext>
            </c:extLst>
          </c:dPt>
          <c:dPt>
            <c:idx val="171"/>
            <c:bubble3D val="0"/>
            <c:extLst>
              <c:ext xmlns:c16="http://schemas.microsoft.com/office/drawing/2014/chart" uri="{C3380CC4-5D6E-409C-BE32-E72D297353CC}">
                <c16:uniqueId val="{000000C4-1246-4EE1-80A7-1662C444F751}"/>
              </c:ext>
            </c:extLst>
          </c:dPt>
          <c:dPt>
            <c:idx val="172"/>
            <c:bubble3D val="0"/>
            <c:extLst>
              <c:ext xmlns:c16="http://schemas.microsoft.com/office/drawing/2014/chart" uri="{C3380CC4-5D6E-409C-BE32-E72D297353CC}">
                <c16:uniqueId val="{000000C5-1246-4EE1-80A7-1662C444F751}"/>
              </c:ext>
            </c:extLst>
          </c:dPt>
          <c:dPt>
            <c:idx val="173"/>
            <c:bubble3D val="0"/>
            <c:extLst>
              <c:ext xmlns:c16="http://schemas.microsoft.com/office/drawing/2014/chart" uri="{C3380CC4-5D6E-409C-BE32-E72D297353CC}">
                <c16:uniqueId val="{000000C6-1246-4EE1-80A7-1662C444F751}"/>
              </c:ext>
            </c:extLst>
          </c:dPt>
          <c:dPt>
            <c:idx val="174"/>
            <c:bubble3D val="0"/>
            <c:extLst>
              <c:ext xmlns:c16="http://schemas.microsoft.com/office/drawing/2014/chart" uri="{C3380CC4-5D6E-409C-BE32-E72D297353CC}">
                <c16:uniqueId val="{000000C7-1246-4EE1-80A7-1662C444F751}"/>
              </c:ext>
            </c:extLst>
          </c:dPt>
          <c:dPt>
            <c:idx val="175"/>
            <c:bubble3D val="0"/>
            <c:extLst>
              <c:ext xmlns:c16="http://schemas.microsoft.com/office/drawing/2014/chart" uri="{C3380CC4-5D6E-409C-BE32-E72D297353CC}">
                <c16:uniqueId val="{000000C8-1246-4EE1-80A7-1662C444F751}"/>
              </c:ext>
            </c:extLst>
          </c:dPt>
          <c:dPt>
            <c:idx val="176"/>
            <c:bubble3D val="0"/>
            <c:extLst>
              <c:ext xmlns:c16="http://schemas.microsoft.com/office/drawing/2014/chart" uri="{C3380CC4-5D6E-409C-BE32-E72D297353CC}">
                <c16:uniqueId val="{000000C9-1246-4EE1-80A7-1662C444F751}"/>
              </c:ext>
            </c:extLst>
          </c:dPt>
          <c:dPt>
            <c:idx val="177"/>
            <c:bubble3D val="0"/>
            <c:extLst>
              <c:ext xmlns:c16="http://schemas.microsoft.com/office/drawing/2014/chart" uri="{C3380CC4-5D6E-409C-BE32-E72D297353CC}">
                <c16:uniqueId val="{000000CA-1246-4EE1-80A7-1662C444F751}"/>
              </c:ext>
            </c:extLst>
          </c:dPt>
          <c:dPt>
            <c:idx val="178"/>
            <c:bubble3D val="0"/>
            <c:extLst>
              <c:ext xmlns:c16="http://schemas.microsoft.com/office/drawing/2014/chart" uri="{C3380CC4-5D6E-409C-BE32-E72D297353CC}">
                <c16:uniqueId val="{000000CB-1246-4EE1-80A7-1662C444F751}"/>
              </c:ext>
            </c:extLst>
          </c:dPt>
          <c:dPt>
            <c:idx val="179"/>
            <c:bubble3D val="0"/>
            <c:extLst>
              <c:ext xmlns:c16="http://schemas.microsoft.com/office/drawing/2014/chart" uri="{C3380CC4-5D6E-409C-BE32-E72D297353CC}">
                <c16:uniqueId val="{000000CC-1246-4EE1-80A7-1662C444F751}"/>
              </c:ext>
            </c:extLst>
          </c:dPt>
          <c:dPt>
            <c:idx val="180"/>
            <c:bubble3D val="0"/>
            <c:extLst>
              <c:ext xmlns:c16="http://schemas.microsoft.com/office/drawing/2014/chart" uri="{C3380CC4-5D6E-409C-BE32-E72D297353CC}">
                <c16:uniqueId val="{000000CD-1246-4EE1-80A7-1662C444F751}"/>
              </c:ext>
            </c:extLst>
          </c:dPt>
          <c:dPt>
            <c:idx val="181"/>
            <c:bubble3D val="0"/>
            <c:extLst>
              <c:ext xmlns:c16="http://schemas.microsoft.com/office/drawing/2014/chart" uri="{C3380CC4-5D6E-409C-BE32-E72D297353CC}">
                <c16:uniqueId val="{000000CE-1246-4EE1-80A7-1662C444F751}"/>
              </c:ext>
            </c:extLst>
          </c:dPt>
          <c:dPt>
            <c:idx val="182"/>
            <c:bubble3D val="0"/>
            <c:extLst>
              <c:ext xmlns:c16="http://schemas.microsoft.com/office/drawing/2014/chart" uri="{C3380CC4-5D6E-409C-BE32-E72D297353CC}">
                <c16:uniqueId val="{000000CF-1246-4EE1-80A7-1662C444F751}"/>
              </c:ext>
            </c:extLst>
          </c:dPt>
          <c:dPt>
            <c:idx val="183"/>
            <c:bubble3D val="0"/>
            <c:extLst>
              <c:ext xmlns:c16="http://schemas.microsoft.com/office/drawing/2014/chart" uri="{C3380CC4-5D6E-409C-BE32-E72D297353CC}">
                <c16:uniqueId val="{000000D0-1246-4EE1-80A7-1662C444F751}"/>
              </c:ext>
            </c:extLst>
          </c:dPt>
          <c:dPt>
            <c:idx val="184"/>
            <c:bubble3D val="0"/>
            <c:extLst>
              <c:ext xmlns:c16="http://schemas.microsoft.com/office/drawing/2014/chart" uri="{C3380CC4-5D6E-409C-BE32-E72D297353CC}">
                <c16:uniqueId val="{000000D1-1246-4EE1-80A7-1662C444F751}"/>
              </c:ext>
            </c:extLst>
          </c:dPt>
          <c:dPt>
            <c:idx val="185"/>
            <c:bubble3D val="0"/>
            <c:extLst>
              <c:ext xmlns:c16="http://schemas.microsoft.com/office/drawing/2014/chart" uri="{C3380CC4-5D6E-409C-BE32-E72D297353CC}">
                <c16:uniqueId val="{000000D2-1246-4EE1-80A7-1662C444F751}"/>
              </c:ext>
            </c:extLst>
          </c:dPt>
          <c:dPt>
            <c:idx val="186"/>
            <c:bubble3D val="0"/>
            <c:extLst>
              <c:ext xmlns:c16="http://schemas.microsoft.com/office/drawing/2014/chart" uri="{C3380CC4-5D6E-409C-BE32-E72D297353CC}">
                <c16:uniqueId val="{000000D3-1246-4EE1-80A7-1662C444F751}"/>
              </c:ext>
            </c:extLst>
          </c:dPt>
          <c:dPt>
            <c:idx val="187"/>
            <c:bubble3D val="0"/>
            <c:extLst>
              <c:ext xmlns:c16="http://schemas.microsoft.com/office/drawing/2014/chart" uri="{C3380CC4-5D6E-409C-BE32-E72D297353CC}">
                <c16:uniqueId val="{000000D4-1246-4EE1-80A7-1662C444F751}"/>
              </c:ext>
            </c:extLst>
          </c:dPt>
          <c:dPt>
            <c:idx val="188"/>
            <c:bubble3D val="0"/>
            <c:extLst>
              <c:ext xmlns:c16="http://schemas.microsoft.com/office/drawing/2014/chart" uri="{C3380CC4-5D6E-409C-BE32-E72D297353CC}">
                <c16:uniqueId val="{000000D5-1246-4EE1-80A7-1662C444F751}"/>
              </c:ext>
            </c:extLst>
          </c:dPt>
          <c:dPt>
            <c:idx val="189"/>
            <c:bubble3D val="0"/>
            <c:extLst>
              <c:ext xmlns:c16="http://schemas.microsoft.com/office/drawing/2014/chart" uri="{C3380CC4-5D6E-409C-BE32-E72D297353CC}">
                <c16:uniqueId val="{000000D6-1246-4EE1-80A7-1662C444F751}"/>
              </c:ext>
            </c:extLst>
          </c:dPt>
          <c:dPt>
            <c:idx val="190"/>
            <c:bubble3D val="0"/>
            <c:extLst>
              <c:ext xmlns:c16="http://schemas.microsoft.com/office/drawing/2014/chart" uri="{C3380CC4-5D6E-409C-BE32-E72D297353CC}">
                <c16:uniqueId val="{000000D7-1246-4EE1-80A7-1662C444F751}"/>
              </c:ext>
            </c:extLst>
          </c:dPt>
          <c:dPt>
            <c:idx val="191"/>
            <c:bubble3D val="0"/>
            <c:extLst>
              <c:ext xmlns:c16="http://schemas.microsoft.com/office/drawing/2014/chart" uri="{C3380CC4-5D6E-409C-BE32-E72D297353CC}">
                <c16:uniqueId val="{000000D8-1246-4EE1-80A7-1662C444F751}"/>
              </c:ext>
            </c:extLst>
          </c:dPt>
          <c:dPt>
            <c:idx val="192"/>
            <c:bubble3D val="0"/>
            <c:extLst>
              <c:ext xmlns:c16="http://schemas.microsoft.com/office/drawing/2014/chart" uri="{C3380CC4-5D6E-409C-BE32-E72D297353CC}">
                <c16:uniqueId val="{000000D9-1246-4EE1-80A7-1662C444F751}"/>
              </c:ext>
            </c:extLst>
          </c:dPt>
          <c:dPt>
            <c:idx val="193"/>
            <c:bubble3D val="0"/>
            <c:extLst>
              <c:ext xmlns:c16="http://schemas.microsoft.com/office/drawing/2014/chart" uri="{C3380CC4-5D6E-409C-BE32-E72D297353CC}">
                <c16:uniqueId val="{000000DA-1246-4EE1-80A7-1662C444F751}"/>
              </c:ext>
            </c:extLst>
          </c:dPt>
          <c:dPt>
            <c:idx val="194"/>
            <c:bubble3D val="0"/>
            <c:extLst>
              <c:ext xmlns:c16="http://schemas.microsoft.com/office/drawing/2014/chart" uri="{C3380CC4-5D6E-409C-BE32-E72D297353CC}">
                <c16:uniqueId val="{000000DB-1246-4EE1-80A7-1662C444F751}"/>
              </c:ext>
            </c:extLst>
          </c:dPt>
          <c:dPt>
            <c:idx val="195"/>
            <c:bubble3D val="0"/>
            <c:extLst>
              <c:ext xmlns:c16="http://schemas.microsoft.com/office/drawing/2014/chart" uri="{C3380CC4-5D6E-409C-BE32-E72D297353CC}">
                <c16:uniqueId val="{000000DC-1246-4EE1-80A7-1662C444F751}"/>
              </c:ext>
            </c:extLst>
          </c:dPt>
          <c:dPt>
            <c:idx val="196"/>
            <c:bubble3D val="0"/>
            <c:extLst>
              <c:ext xmlns:c16="http://schemas.microsoft.com/office/drawing/2014/chart" uri="{C3380CC4-5D6E-409C-BE32-E72D297353CC}">
                <c16:uniqueId val="{000000DD-1246-4EE1-80A7-1662C444F751}"/>
              </c:ext>
            </c:extLst>
          </c:dPt>
          <c:dPt>
            <c:idx val="197"/>
            <c:bubble3D val="0"/>
            <c:extLst>
              <c:ext xmlns:c16="http://schemas.microsoft.com/office/drawing/2014/chart" uri="{C3380CC4-5D6E-409C-BE32-E72D297353CC}">
                <c16:uniqueId val="{000000DE-1246-4EE1-80A7-1662C444F751}"/>
              </c:ext>
            </c:extLst>
          </c:dPt>
          <c:dPt>
            <c:idx val="198"/>
            <c:bubble3D val="0"/>
            <c:extLst>
              <c:ext xmlns:c16="http://schemas.microsoft.com/office/drawing/2014/chart" uri="{C3380CC4-5D6E-409C-BE32-E72D297353CC}">
                <c16:uniqueId val="{000000DF-1246-4EE1-80A7-1662C444F751}"/>
              </c:ext>
            </c:extLst>
          </c:dPt>
          <c:dPt>
            <c:idx val="199"/>
            <c:bubble3D val="0"/>
            <c:extLst>
              <c:ext xmlns:c16="http://schemas.microsoft.com/office/drawing/2014/chart" uri="{C3380CC4-5D6E-409C-BE32-E72D297353CC}">
                <c16:uniqueId val="{000000E0-1246-4EE1-80A7-1662C444F751}"/>
              </c:ext>
            </c:extLst>
          </c:dPt>
          <c:dPt>
            <c:idx val="200"/>
            <c:bubble3D val="0"/>
            <c:extLst>
              <c:ext xmlns:c16="http://schemas.microsoft.com/office/drawing/2014/chart" uri="{C3380CC4-5D6E-409C-BE32-E72D297353CC}">
                <c16:uniqueId val="{000000E1-1246-4EE1-80A7-1662C444F751}"/>
              </c:ext>
            </c:extLst>
          </c:dPt>
          <c:dPt>
            <c:idx val="201"/>
            <c:bubble3D val="0"/>
            <c:extLst>
              <c:ext xmlns:c16="http://schemas.microsoft.com/office/drawing/2014/chart" uri="{C3380CC4-5D6E-409C-BE32-E72D297353CC}">
                <c16:uniqueId val="{000000E2-1246-4EE1-80A7-1662C444F751}"/>
              </c:ext>
            </c:extLst>
          </c:dPt>
          <c:dPt>
            <c:idx val="202"/>
            <c:bubble3D val="0"/>
            <c:extLst>
              <c:ext xmlns:c16="http://schemas.microsoft.com/office/drawing/2014/chart" uri="{C3380CC4-5D6E-409C-BE32-E72D297353CC}">
                <c16:uniqueId val="{000000E3-1246-4EE1-80A7-1662C444F751}"/>
              </c:ext>
            </c:extLst>
          </c:dPt>
          <c:dPt>
            <c:idx val="203"/>
            <c:bubble3D val="0"/>
            <c:extLst>
              <c:ext xmlns:c16="http://schemas.microsoft.com/office/drawing/2014/chart" uri="{C3380CC4-5D6E-409C-BE32-E72D297353CC}">
                <c16:uniqueId val="{000000E4-1246-4EE1-80A7-1662C444F751}"/>
              </c:ext>
            </c:extLst>
          </c:dPt>
          <c:dPt>
            <c:idx val="204"/>
            <c:bubble3D val="0"/>
            <c:extLst>
              <c:ext xmlns:c16="http://schemas.microsoft.com/office/drawing/2014/chart" uri="{C3380CC4-5D6E-409C-BE32-E72D297353CC}">
                <c16:uniqueId val="{000000E5-1246-4EE1-80A7-1662C444F751}"/>
              </c:ext>
            </c:extLst>
          </c:dPt>
          <c:dPt>
            <c:idx val="205"/>
            <c:bubble3D val="0"/>
            <c:extLst>
              <c:ext xmlns:c16="http://schemas.microsoft.com/office/drawing/2014/chart" uri="{C3380CC4-5D6E-409C-BE32-E72D297353CC}">
                <c16:uniqueId val="{000000E6-1246-4EE1-80A7-1662C444F751}"/>
              </c:ext>
            </c:extLst>
          </c:dPt>
          <c:dPt>
            <c:idx val="206"/>
            <c:bubble3D val="0"/>
            <c:extLst>
              <c:ext xmlns:c16="http://schemas.microsoft.com/office/drawing/2014/chart" uri="{C3380CC4-5D6E-409C-BE32-E72D297353CC}">
                <c16:uniqueId val="{000000E7-1246-4EE1-80A7-1662C444F751}"/>
              </c:ext>
            </c:extLst>
          </c:dPt>
          <c:dPt>
            <c:idx val="207"/>
            <c:bubble3D val="0"/>
            <c:extLst>
              <c:ext xmlns:c16="http://schemas.microsoft.com/office/drawing/2014/chart" uri="{C3380CC4-5D6E-409C-BE32-E72D297353CC}">
                <c16:uniqueId val="{000000E8-1246-4EE1-80A7-1662C444F751}"/>
              </c:ext>
            </c:extLst>
          </c:dPt>
          <c:dPt>
            <c:idx val="208"/>
            <c:bubble3D val="0"/>
            <c:extLst>
              <c:ext xmlns:c16="http://schemas.microsoft.com/office/drawing/2014/chart" uri="{C3380CC4-5D6E-409C-BE32-E72D297353CC}">
                <c16:uniqueId val="{000000E9-1246-4EE1-80A7-1662C444F751}"/>
              </c:ext>
            </c:extLst>
          </c:dPt>
          <c:dPt>
            <c:idx val="209"/>
            <c:bubble3D val="0"/>
            <c:extLst>
              <c:ext xmlns:c16="http://schemas.microsoft.com/office/drawing/2014/chart" uri="{C3380CC4-5D6E-409C-BE32-E72D297353CC}">
                <c16:uniqueId val="{000000EA-1246-4EE1-80A7-1662C444F751}"/>
              </c:ext>
            </c:extLst>
          </c:dPt>
          <c:dPt>
            <c:idx val="210"/>
            <c:bubble3D val="0"/>
            <c:extLst>
              <c:ext xmlns:c16="http://schemas.microsoft.com/office/drawing/2014/chart" uri="{C3380CC4-5D6E-409C-BE32-E72D297353CC}">
                <c16:uniqueId val="{000000EB-1246-4EE1-80A7-1662C444F751}"/>
              </c:ext>
            </c:extLst>
          </c:dPt>
          <c:dPt>
            <c:idx val="211"/>
            <c:bubble3D val="0"/>
            <c:extLst>
              <c:ext xmlns:c16="http://schemas.microsoft.com/office/drawing/2014/chart" uri="{C3380CC4-5D6E-409C-BE32-E72D297353CC}">
                <c16:uniqueId val="{000000EC-1246-4EE1-80A7-1662C444F751}"/>
              </c:ext>
            </c:extLst>
          </c:dPt>
          <c:dPt>
            <c:idx val="212"/>
            <c:bubble3D val="0"/>
            <c:extLst>
              <c:ext xmlns:c16="http://schemas.microsoft.com/office/drawing/2014/chart" uri="{C3380CC4-5D6E-409C-BE32-E72D297353CC}">
                <c16:uniqueId val="{000000ED-1246-4EE1-80A7-1662C444F751}"/>
              </c:ext>
            </c:extLst>
          </c:dPt>
          <c:dPt>
            <c:idx val="213"/>
            <c:bubble3D val="0"/>
            <c:extLst>
              <c:ext xmlns:c16="http://schemas.microsoft.com/office/drawing/2014/chart" uri="{C3380CC4-5D6E-409C-BE32-E72D297353CC}">
                <c16:uniqueId val="{000000EE-1246-4EE1-80A7-1662C444F751}"/>
              </c:ext>
            </c:extLst>
          </c:dPt>
          <c:dPt>
            <c:idx val="214"/>
            <c:bubble3D val="0"/>
            <c:extLst>
              <c:ext xmlns:c16="http://schemas.microsoft.com/office/drawing/2014/chart" uri="{C3380CC4-5D6E-409C-BE32-E72D297353CC}">
                <c16:uniqueId val="{000000EF-1246-4EE1-80A7-1662C444F751}"/>
              </c:ext>
            </c:extLst>
          </c:dPt>
          <c:dPt>
            <c:idx val="215"/>
            <c:bubble3D val="0"/>
            <c:extLst>
              <c:ext xmlns:c16="http://schemas.microsoft.com/office/drawing/2014/chart" uri="{C3380CC4-5D6E-409C-BE32-E72D297353CC}">
                <c16:uniqueId val="{000000F0-1246-4EE1-80A7-1662C444F751}"/>
              </c:ext>
            </c:extLst>
          </c:dPt>
          <c:dPt>
            <c:idx val="216"/>
            <c:bubble3D val="0"/>
            <c:extLst>
              <c:ext xmlns:c16="http://schemas.microsoft.com/office/drawing/2014/chart" uri="{C3380CC4-5D6E-409C-BE32-E72D297353CC}">
                <c16:uniqueId val="{000000F1-1246-4EE1-80A7-1662C444F751}"/>
              </c:ext>
            </c:extLst>
          </c:dPt>
          <c:dPt>
            <c:idx val="217"/>
            <c:bubble3D val="0"/>
            <c:extLst>
              <c:ext xmlns:c16="http://schemas.microsoft.com/office/drawing/2014/chart" uri="{C3380CC4-5D6E-409C-BE32-E72D297353CC}">
                <c16:uniqueId val="{000000F2-1246-4EE1-80A7-1662C444F751}"/>
              </c:ext>
            </c:extLst>
          </c:dPt>
          <c:dPt>
            <c:idx val="218"/>
            <c:bubble3D val="0"/>
            <c:extLst>
              <c:ext xmlns:c16="http://schemas.microsoft.com/office/drawing/2014/chart" uri="{C3380CC4-5D6E-409C-BE32-E72D297353CC}">
                <c16:uniqueId val="{000000F3-1246-4EE1-80A7-1662C444F751}"/>
              </c:ext>
            </c:extLst>
          </c:dPt>
          <c:dPt>
            <c:idx val="219"/>
            <c:bubble3D val="0"/>
            <c:extLst>
              <c:ext xmlns:c16="http://schemas.microsoft.com/office/drawing/2014/chart" uri="{C3380CC4-5D6E-409C-BE32-E72D297353CC}">
                <c16:uniqueId val="{000000F4-1246-4EE1-80A7-1662C444F751}"/>
              </c:ext>
            </c:extLst>
          </c:dPt>
          <c:dPt>
            <c:idx val="220"/>
            <c:bubble3D val="0"/>
            <c:extLst>
              <c:ext xmlns:c16="http://schemas.microsoft.com/office/drawing/2014/chart" uri="{C3380CC4-5D6E-409C-BE32-E72D297353CC}">
                <c16:uniqueId val="{000000F5-1246-4EE1-80A7-1662C444F751}"/>
              </c:ext>
            </c:extLst>
          </c:dPt>
          <c:dPt>
            <c:idx val="221"/>
            <c:bubble3D val="0"/>
            <c:extLst>
              <c:ext xmlns:c16="http://schemas.microsoft.com/office/drawing/2014/chart" uri="{C3380CC4-5D6E-409C-BE32-E72D297353CC}">
                <c16:uniqueId val="{000000F6-1246-4EE1-80A7-1662C444F751}"/>
              </c:ext>
            </c:extLst>
          </c:dPt>
          <c:dPt>
            <c:idx val="222"/>
            <c:bubble3D val="0"/>
            <c:extLst>
              <c:ext xmlns:c16="http://schemas.microsoft.com/office/drawing/2014/chart" uri="{C3380CC4-5D6E-409C-BE32-E72D297353CC}">
                <c16:uniqueId val="{000000F7-1246-4EE1-80A7-1662C444F751}"/>
              </c:ext>
            </c:extLst>
          </c:dPt>
          <c:dPt>
            <c:idx val="223"/>
            <c:bubble3D val="0"/>
            <c:extLst>
              <c:ext xmlns:c16="http://schemas.microsoft.com/office/drawing/2014/chart" uri="{C3380CC4-5D6E-409C-BE32-E72D297353CC}">
                <c16:uniqueId val="{000000F8-1246-4EE1-80A7-1662C444F751}"/>
              </c:ext>
            </c:extLst>
          </c:dPt>
          <c:dPt>
            <c:idx val="224"/>
            <c:bubble3D val="0"/>
            <c:extLst>
              <c:ext xmlns:c16="http://schemas.microsoft.com/office/drawing/2014/chart" uri="{C3380CC4-5D6E-409C-BE32-E72D297353CC}">
                <c16:uniqueId val="{000000F9-1246-4EE1-80A7-1662C444F751}"/>
              </c:ext>
            </c:extLst>
          </c:dPt>
          <c:dPt>
            <c:idx val="225"/>
            <c:bubble3D val="0"/>
            <c:extLst>
              <c:ext xmlns:c16="http://schemas.microsoft.com/office/drawing/2014/chart" uri="{C3380CC4-5D6E-409C-BE32-E72D297353CC}">
                <c16:uniqueId val="{000000FA-1246-4EE1-80A7-1662C444F751}"/>
              </c:ext>
            </c:extLst>
          </c:dPt>
          <c:dPt>
            <c:idx val="226"/>
            <c:bubble3D val="0"/>
            <c:extLst>
              <c:ext xmlns:c16="http://schemas.microsoft.com/office/drawing/2014/chart" uri="{C3380CC4-5D6E-409C-BE32-E72D297353CC}">
                <c16:uniqueId val="{000000FB-1246-4EE1-80A7-1662C444F751}"/>
              </c:ext>
            </c:extLst>
          </c:dPt>
          <c:dPt>
            <c:idx val="227"/>
            <c:bubble3D val="0"/>
            <c:extLst>
              <c:ext xmlns:c16="http://schemas.microsoft.com/office/drawing/2014/chart" uri="{C3380CC4-5D6E-409C-BE32-E72D297353CC}">
                <c16:uniqueId val="{000000FC-1246-4EE1-80A7-1662C444F751}"/>
              </c:ext>
            </c:extLst>
          </c:dPt>
          <c:dPt>
            <c:idx val="228"/>
            <c:bubble3D val="0"/>
            <c:extLst>
              <c:ext xmlns:c16="http://schemas.microsoft.com/office/drawing/2014/chart" uri="{C3380CC4-5D6E-409C-BE32-E72D297353CC}">
                <c16:uniqueId val="{000000FD-1246-4EE1-80A7-1662C444F751}"/>
              </c:ext>
            </c:extLst>
          </c:dPt>
          <c:dPt>
            <c:idx val="229"/>
            <c:bubble3D val="0"/>
            <c:extLst>
              <c:ext xmlns:c16="http://schemas.microsoft.com/office/drawing/2014/chart" uri="{C3380CC4-5D6E-409C-BE32-E72D297353CC}">
                <c16:uniqueId val="{000000FE-1246-4EE1-80A7-1662C444F751}"/>
              </c:ext>
            </c:extLst>
          </c:dPt>
          <c:dPt>
            <c:idx val="230"/>
            <c:bubble3D val="0"/>
            <c:extLst>
              <c:ext xmlns:c16="http://schemas.microsoft.com/office/drawing/2014/chart" uri="{C3380CC4-5D6E-409C-BE32-E72D297353CC}">
                <c16:uniqueId val="{000000FF-1246-4EE1-80A7-1662C444F751}"/>
              </c:ext>
            </c:extLst>
          </c:dPt>
          <c:dPt>
            <c:idx val="231"/>
            <c:bubble3D val="0"/>
            <c:extLst>
              <c:ext xmlns:c16="http://schemas.microsoft.com/office/drawing/2014/chart" uri="{C3380CC4-5D6E-409C-BE32-E72D297353CC}">
                <c16:uniqueId val="{00000100-1246-4EE1-80A7-1662C444F751}"/>
              </c:ext>
            </c:extLst>
          </c:dPt>
          <c:dPt>
            <c:idx val="232"/>
            <c:bubble3D val="0"/>
            <c:extLst>
              <c:ext xmlns:c16="http://schemas.microsoft.com/office/drawing/2014/chart" uri="{C3380CC4-5D6E-409C-BE32-E72D297353CC}">
                <c16:uniqueId val="{00000101-1246-4EE1-80A7-1662C444F751}"/>
              </c:ext>
            </c:extLst>
          </c:dPt>
          <c:dPt>
            <c:idx val="233"/>
            <c:bubble3D val="0"/>
            <c:extLst>
              <c:ext xmlns:c16="http://schemas.microsoft.com/office/drawing/2014/chart" uri="{C3380CC4-5D6E-409C-BE32-E72D297353CC}">
                <c16:uniqueId val="{00000102-1246-4EE1-80A7-1662C444F751}"/>
              </c:ext>
            </c:extLst>
          </c:dPt>
          <c:dPt>
            <c:idx val="234"/>
            <c:bubble3D val="0"/>
            <c:extLst>
              <c:ext xmlns:c16="http://schemas.microsoft.com/office/drawing/2014/chart" uri="{C3380CC4-5D6E-409C-BE32-E72D297353CC}">
                <c16:uniqueId val="{00000103-1246-4EE1-80A7-1662C444F751}"/>
              </c:ext>
            </c:extLst>
          </c:dPt>
          <c:dPt>
            <c:idx val="235"/>
            <c:bubble3D val="0"/>
            <c:extLst>
              <c:ext xmlns:c16="http://schemas.microsoft.com/office/drawing/2014/chart" uri="{C3380CC4-5D6E-409C-BE32-E72D297353CC}">
                <c16:uniqueId val="{00000104-1246-4EE1-80A7-1662C444F751}"/>
              </c:ext>
            </c:extLst>
          </c:dPt>
          <c:dPt>
            <c:idx val="236"/>
            <c:bubble3D val="0"/>
            <c:extLst>
              <c:ext xmlns:c16="http://schemas.microsoft.com/office/drawing/2014/chart" uri="{C3380CC4-5D6E-409C-BE32-E72D297353CC}">
                <c16:uniqueId val="{00000105-1246-4EE1-80A7-1662C444F751}"/>
              </c:ext>
            </c:extLst>
          </c:dPt>
          <c:dPt>
            <c:idx val="237"/>
            <c:bubble3D val="0"/>
            <c:extLst>
              <c:ext xmlns:c16="http://schemas.microsoft.com/office/drawing/2014/chart" uri="{C3380CC4-5D6E-409C-BE32-E72D297353CC}">
                <c16:uniqueId val="{00000106-1246-4EE1-80A7-1662C444F751}"/>
              </c:ext>
            </c:extLst>
          </c:dPt>
          <c:dPt>
            <c:idx val="238"/>
            <c:bubble3D val="0"/>
            <c:extLst>
              <c:ext xmlns:c16="http://schemas.microsoft.com/office/drawing/2014/chart" uri="{C3380CC4-5D6E-409C-BE32-E72D297353CC}">
                <c16:uniqueId val="{00000107-1246-4EE1-80A7-1662C444F751}"/>
              </c:ext>
            </c:extLst>
          </c:dPt>
          <c:dPt>
            <c:idx val="239"/>
            <c:bubble3D val="0"/>
            <c:extLst>
              <c:ext xmlns:c16="http://schemas.microsoft.com/office/drawing/2014/chart" uri="{C3380CC4-5D6E-409C-BE32-E72D297353CC}">
                <c16:uniqueId val="{00000108-1246-4EE1-80A7-1662C444F751}"/>
              </c:ext>
            </c:extLst>
          </c:dPt>
          <c:dPt>
            <c:idx val="240"/>
            <c:bubble3D val="0"/>
            <c:extLst>
              <c:ext xmlns:c16="http://schemas.microsoft.com/office/drawing/2014/chart" uri="{C3380CC4-5D6E-409C-BE32-E72D297353CC}">
                <c16:uniqueId val="{00000109-1246-4EE1-80A7-1662C444F751}"/>
              </c:ext>
            </c:extLst>
          </c:dPt>
          <c:dPt>
            <c:idx val="241"/>
            <c:bubble3D val="0"/>
            <c:extLst>
              <c:ext xmlns:c16="http://schemas.microsoft.com/office/drawing/2014/chart" uri="{C3380CC4-5D6E-409C-BE32-E72D297353CC}">
                <c16:uniqueId val="{0000010A-1246-4EE1-80A7-1662C444F751}"/>
              </c:ext>
            </c:extLst>
          </c:dPt>
          <c:dPt>
            <c:idx val="242"/>
            <c:bubble3D val="0"/>
            <c:extLst>
              <c:ext xmlns:c16="http://schemas.microsoft.com/office/drawing/2014/chart" uri="{C3380CC4-5D6E-409C-BE32-E72D297353CC}">
                <c16:uniqueId val="{0000010B-1246-4EE1-80A7-1662C444F751}"/>
              </c:ext>
            </c:extLst>
          </c:dPt>
          <c:dPt>
            <c:idx val="243"/>
            <c:bubble3D val="0"/>
            <c:extLst>
              <c:ext xmlns:c16="http://schemas.microsoft.com/office/drawing/2014/chart" uri="{C3380CC4-5D6E-409C-BE32-E72D297353CC}">
                <c16:uniqueId val="{0000010C-1246-4EE1-80A7-1662C444F751}"/>
              </c:ext>
            </c:extLst>
          </c:dPt>
          <c:dPt>
            <c:idx val="244"/>
            <c:bubble3D val="0"/>
            <c:extLst>
              <c:ext xmlns:c16="http://schemas.microsoft.com/office/drawing/2014/chart" uri="{C3380CC4-5D6E-409C-BE32-E72D297353CC}">
                <c16:uniqueId val="{0000010D-1246-4EE1-80A7-1662C444F751}"/>
              </c:ext>
            </c:extLst>
          </c:dPt>
          <c:dPt>
            <c:idx val="245"/>
            <c:bubble3D val="0"/>
            <c:extLst>
              <c:ext xmlns:c16="http://schemas.microsoft.com/office/drawing/2014/chart" uri="{C3380CC4-5D6E-409C-BE32-E72D297353CC}">
                <c16:uniqueId val="{0000010E-1246-4EE1-80A7-1662C444F751}"/>
              </c:ext>
            </c:extLst>
          </c:dPt>
          <c:dPt>
            <c:idx val="246"/>
            <c:bubble3D val="0"/>
            <c:extLst>
              <c:ext xmlns:c16="http://schemas.microsoft.com/office/drawing/2014/chart" uri="{C3380CC4-5D6E-409C-BE32-E72D297353CC}">
                <c16:uniqueId val="{0000010F-1246-4EE1-80A7-1662C444F751}"/>
              </c:ext>
            </c:extLst>
          </c:dPt>
          <c:dPt>
            <c:idx val="247"/>
            <c:bubble3D val="0"/>
            <c:extLst>
              <c:ext xmlns:c16="http://schemas.microsoft.com/office/drawing/2014/chart" uri="{C3380CC4-5D6E-409C-BE32-E72D297353CC}">
                <c16:uniqueId val="{00000110-1246-4EE1-80A7-1662C444F751}"/>
              </c:ext>
            </c:extLst>
          </c:dPt>
          <c:dPt>
            <c:idx val="248"/>
            <c:bubble3D val="0"/>
            <c:extLst>
              <c:ext xmlns:c16="http://schemas.microsoft.com/office/drawing/2014/chart" uri="{C3380CC4-5D6E-409C-BE32-E72D297353CC}">
                <c16:uniqueId val="{00000111-1246-4EE1-80A7-1662C444F751}"/>
              </c:ext>
            </c:extLst>
          </c:dPt>
          <c:dPt>
            <c:idx val="249"/>
            <c:bubble3D val="0"/>
            <c:extLst>
              <c:ext xmlns:c16="http://schemas.microsoft.com/office/drawing/2014/chart" uri="{C3380CC4-5D6E-409C-BE32-E72D297353CC}">
                <c16:uniqueId val="{00000112-1246-4EE1-80A7-1662C444F751}"/>
              </c:ext>
            </c:extLst>
          </c:dPt>
          <c:dPt>
            <c:idx val="250"/>
            <c:bubble3D val="0"/>
            <c:extLst>
              <c:ext xmlns:c16="http://schemas.microsoft.com/office/drawing/2014/chart" uri="{C3380CC4-5D6E-409C-BE32-E72D297353CC}">
                <c16:uniqueId val="{00000113-1246-4EE1-80A7-1662C444F751}"/>
              </c:ext>
            </c:extLst>
          </c:dPt>
          <c:dPt>
            <c:idx val="251"/>
            <c:bubble3D val="0"/>
            <c:extLst>
              <c:ext xmlns:c16="http://schemas.microsoft.com/office/drawing/2014/chart" uri="{C3380CC4-5D6E-409C-BE32-E72D297353CC}">
                <c16:uniqueId val="{00000114-1246-4EE1-80A7-1662C444F751}"/>
              </c:ext>
            </c:extLst>
          </c:dPt>
          <c:dPt>
            <c:idx val="252"/>
            <c:bubble3D val="0"/>
            <c:extLst>
              <c:ext xmlns:c16="http://schemas.microsoft.com/office/drawing/2014/chart" uri="{C3380CC4-5D6E-409C-BE32-E72D297353CC}">
                <c16:uniqueId val="{00000115-1246-4EE1-80A7-1662C444F751}"/>
              </c:ext>
            </c:extLst>
          </c:dPt>
          <c:dPt>
            <c:idx val="253"/>
            <c:bubble3D val="0"/>
            <c:extLst>
              <c:ext xmlns:c16="http://schemas.microsoft.com/office/drawing/2014/chart" uri="{C3380CC4-5D6E-409C-BE32-E72D297353CC}">
                <c16:uniqueId val="{00000116-1246-4EE1-80A7-1662C444F751}"/>
              </c:ext>
            </c:extLst>
          </c:dPt>
          <c:dPt>
            <c:idx val="254"/>
            <c:bubble3D val="0"/>
            <c:extLst>
              <c:ext xmlns:c16="http://schemas.microsoft.com/office/drawing/2014/chart" uri="{C3380CC4-5D6E-409C-BE32-E72D297353CC}">
                <c16:uniqueId val="{00000117-1246-4EE1-80A7-1662C444F751}"/>
              </c:ext>
            </c:extLst>
          </c:dPt>
          <c:dPt>
            <c:idx val="255"/>
            <c:bubble3D val="0"/>
            <c:extLst>
              <c:ext xmlns:c16="http://schemas.microsoft.com/office/drawing/2014/chart" uri="{C3380CC4-5D6E-409C-BE32-E72D297353CC}">
                <c16:uniqueId val="{00000118-1246-4EE1-80A7-1662C444F751}"/>
              </c:ext>
            </c:extLst>
          </c:dPt>
          <c:dPt>
            <c:idx val="256"/>
            <c:bubble3D val="0"/>
            <c:extLst>
              <c:ext xmlns:c16="http://schemas.microsoft.com/office/drawing/2014/chart" uri="{C3380CC4-5D6E-409C-BE32-E72D297353CC}">
                <c16:uniqueId val="{00000119-1246-4EE1-80A7-1662C444F751}"/>
              </c:ext>
            </c:extLst>
          </c:dPt>
          <c:dPt>
            <c:idx val="257"/>
            <c:bubble3D val="0"/>
            <c:extLst>
              <c:ext xmlns:c16="http://schemas.microsoft.com/office/drawing/2014/chart" uri="{C3380CC4-5D6E-409C-BE32-E72D297353CC}">
                <c16:uniqueId val="{0000011A-1246-4EE1-80A7-1662C444F751}"/>
              </c:ext>
            </c:extLst>
          </c:dPt>
          <c:dPt>
            <c:idx val="258"/>
            <c:bubble3D val="0"/>
            <c:extLst>
              <c:ext xmlns:c16="http://schemas.microsoft.com/office/drawing/2014/chart" uri="{C3380CC4-5D6E-409C-BE32-E72D297353CC}">
                <c16:uniqueId val="{0000011B-1246-4EE1-80A7-1662C444F751}"/>
              </c:ext>
            </c:extLst>
          </c:dPt>
          <c:dPt>
            <c:idx val="259"/>
            <c:bubble3D val="0"/>
            <c:extLst>
              <c:ext xmlns:c16="http://schemas.microsoft.com/office/drawing/2014/chart" uri="{C3380CC4-5D6E-409C-BE32-E72D297353CC}">
                <c16:uniqueId val="{0000011C-1246-4EE1-80A7-1662C444F751}"/>
              </c:ext>
            </c:extLst>
          </c:dPt>
          <c:dPt>
            <c:idx val="260"/>
            <c:bubble3D val="0"/>
            <c:extLst>
              <c:ext xmlns:c16="http://schemas.microsoft.com/office/drawing/2014/chart" uri="{C3380CC4-5D6E-409C-BE32-E72D297353CC}">
                <c16:uniqueId val="{0000011D-1246-4EE1-80A7-1662C444F751}"/>
              </c:ext>
            </c:extLst>
          </c:dPt>
          <c:dPt>
            <c:idx val="261"/>
            <c:bubble3D val="0"/>
            <c:extLst>
              <c:ext xmlns:c16="http://schemas.microsoft.com/office/drawing/2014/chart" uri="{C3380CC4-5D6E-409C-BE32-E72D297353CC}">
                <c16:uniqueId val="{0000011E-1246-4EE1-80A7-1662C444F751}"/>
              </c:ext>
            </c:extLst>
          </c:dPt>
          <c:dPt>
            <c:idx val="262"/>
            <c:bubble3D val="0"/>
            <c:extLst>
              <c:ext xmlns:c16="http://schemas.microsoft.com/office/drawing/2014/chart" uri="{C3380CC4-5D6E-409C-BE32-E72D297353CC}">
                <c16:uniqueId val="{0000011F-1246-4EE1-80A7-1662C444F751}"/>
              </c:ext>
            </c:extLst>
          </c:dPt>
          <c:dPt>
            <c:idx val="263"/>
            <c:bubble3D val="0"/>
            <c:extLst>
              <c:ext xmlns:c16="http://schemas.microsoft.com/office/drawing/2014/chart" uri="{C3380CC4-5D6E-409C-BE32-E72D297353CC}">
                <c16:uniqueId val="{00000120-1246-4EE1-80A7-1662C444F751}"/>
              </c:ext>
            </c:extLst>
          </c:dPt>
          <c:dPt>
            <c:idx val="264"/>
            <c:bubble3D val="0"/>
            <c:extLst>
              <c:ext xmlns:c16="http://schemas.microsoft.com/office/drawing/2014/chart" uri="{C3380CC4-5D6E-409C-BE32-E72D297353CC}">
                <c16:uniqueId val="{00000121-1246-4EE1-80A7-1662C444F751}"/>
              </c:ext>
            </c:extLst>
          </c:dPt>
          <c:dPt>
            <c:idx val="265"/>
            <c:bubble3D val="0"/>
            <c:extLst>
              <c:ext xmlns:c16="http://schemas.microsoft.com/office/drawing/2014/chart" uri="{C3380CC4-5D6E-409C-BE32-E72D297353CC}">
                <c16:uniqueId val="{00000122-1246-4EE1-80A7-1662C444F751}"/>
              </c:ext>
            </c:extLst>
          </c:dPt>
          <c:dPt>
            <c:idx val="266"/>
            <c:bubble3D val="0"/>
            <c:extLst>
              <c:ext xmlns:c16="http://schemas.microsoft.com/office/drawing/2014/chart" uri="{C3380CC4-5D6E-409C-BE32-E72D297353CC}">
                <c16:uniqueId val="{00000123-1246-4EE1-80A7-1662C444F751}"/>
              </c:ext>
            </c:extLst>
          </c:dPt>
          <c:dPt>
            <c:idx val="267"/>
            <c:bubble3D val="0"/>
            <c:extLst>
              <c:ext xmlns:c16="http://schemas.microsoft.com/office/drawing/2014/chart" uri="{C3380CC4-5D6E-409C-BE32-E72D297353CC}">
                <c16:uniqueId val="{00000124-1246-4EE1-80A7-1662C444F751}"/>
              </c:ext>
            </c:extLst>
          </c:dPt>
          <c:dPt>
            <c:idx val="268"/>
            <c:bubble3D val="0"/>
            <c:extLst>
              <c:ext xmlns:c16="http://schemas.microsoft.com/office/drawing/2014/chart" uri="{C3380CC4-5D6E-409C-BE32-E72D297353CC}">
                <c16:uniqueId val="{00000125-1246-4EE1-80A7-1662C444F751}"/>
              </c:ext>
            </c:extLst>
          </c:dPt>
          <c:dPt>
            <c:idx val="269"/>
            <c:bubble3D val="0"/>
            <c:extLst>
              <c:ext xmlns:c16="http://schemas.microsoft.com/office/drawing/2014/chart" uri="{C3380CC4-5D6E-409C-BE32-E72D297353CC}">
                <c16:uniqueId val="{00000126-1246-4EE1-80A7-1662C444F751}"/>
              </c:ext>
            </c:extLst>
          </c:dPt>
          <c:dPt>
            <c:idx val="270"/>
            <c:bubble3D val="0"/>
            <c:extLst>
              <c:ext xmlns:c16="http://schemas.microsoft.com/office/drawing/2014/chart" uri="{C3380CC4-5D6E-409C-BE32-E72D297353CC}">
                <c16:uniqueId val="{00000127-1246-4EE1-80A7-1662C444F751}"/>
              </c:ext>
            </c:extLst>
          </c:dPt>
          <c:dPt>
            <c:idx val="271"/>
            <c:bubble3D val="0"/>
            <c:extLst>
              <c:ext xmlns:c16="http://schemas.microsoft.com/office/drawing/2014/chart" uri="{C3380CC4-5D6E-409C-BE32-E72D297353CC}">
                <c16:uniqueId val="{00000128-1246-4EE1-80A7-1662C444F751}"/>
              </c:ext>
            </c:extLst>
          </c:dPt>
          <c:dPt>
            <c:idx val="272"/>
            <c:bubble3D val="0"/>
            <c:extLst>
              <c:ext xmlns:c16="http://schemas.microsoft.com/office/drawing/2014/chart" uri="{C3380CC4-5D6E-409C-BE32-E72D297353CC}">
                <c16:uniqueId val="{00000129-1246-4EE1-80A7-1662C444F751}"/>
              </c:ext>
            </c:extLst>
          </c:dPt>
          <c:dPt>
            <c:idx val="273"/>
            <c:bubble3D val="0"/>
            <c:extLst>
              <c:ext xmlns:c16="http://schemas.microsoft.com/office/drawing/2014/chart" uri="{C3380CC4-5D6E-409C-BE32-E72D297353CC}">
                <c16:uniqueId val="{0000012A-1246-4EE1-80A7-1662C444F751}"/>
              </c:ext>
            </c:extLst>
          </c:dPt>
          <c:dPt>
            <c:idx val="274"/>
            <c:bubble3D val="0"/>
            <c:extLst>
              <c:ext xmlns:c16="http://schemas.microsoft.com/office/drawing/2014/chart" uri="{C3380CC4-5D6E-409C-BE32-E72D297353CC}">
                <c16:uniqueId val="{0000012B-1246-4EE1-80A7-1662C444F751}"/>
              </c:ext>
            </c:extLst>
          </c:dPt>
          <c:dPt>
            <c:idx val="275"/>
            <c:bubble3D val="0"/>
            <c:extLst>
              <c:ext xmlns:c16="http://schemas.microsoft.com/office/drawing/2014/chart" uri="{C3380CC4-5D6E-409C-BE32-E72D297353CC}">
                <c16:uniqueId val="{0000012C-1246-4EE1-80A7-1662C444F751}"/>
              </c:ext>
            </c:extLst>
          </c:dPt>
          <c:dPt>
            <c:idx val="276"/>
            <c:bubble3D val="0"/>
            <c:extLst>
              <c:ext xmlns:c16="http://schemas.microsoft.com/office/drawing/2014/chart" uri="{C3380CC4-5D6E-409C-BE32-E72D297353CC}">
                <c16:uniqueId val="{0000012D-1246-4EE1-80A7-1662C444F751}"/>
              </c:ext>
            </c:extLst>
          </c:dPt>
          <c:dPt>
            <c:idx val="277"/>
            <c:bubble3D val="0"/>
            <c:extLst>
              <c:ext xmlns:c16="http://schemas.microsoft.com/office/drawing/2014/chart" uri="{C3380CC4-5D6E-409C-BE32-E72D297353CC}">
                <c16:uniqueId val="{0000012E-1246-4EE1-80A7-1662C444F751}"/>
              </c:ext>
            </c:extLst>
          </c:dPt>
          <c:dPt>
            <c:idx val="278"/>
            <c:bubble3D val="0"/>
            <c:extLst>
              <c:ext xmlns:c16="http://schemas.microsoft.com/office/drawing/2014/chart" uri="{C3380CC4-5D6E-409C-BE32-E72D297353CC}">
                <c16:uniqueId val="{0000012F-1246-4EE1-80A7-1662C444F751}"/>
              </c:ext>
            </c:extLst>
          </c:dPt>
          <c:dPt>
            <c:idx val="279"/>
            <c:bubble3D val="0"/>
            <c:extLst>
              <c:ext xmlns:c16="http://schemas.microsoft.com/office/drawing/2014/chart" uri="{C3380CC4-5D6E-409C-BE32-E72D297353CC}">
                <c16:uniqueId val="{00000130-1246-4EE1-80A7-1662C444F751}"/>
              </c:ext>
            </c:extLst>
          </c:dPt>
          <c:dPt>
            <c:idx val="280"/>
            <c:bubble3D val="0"/>
            <c:extLst>
              <c:ext xmlns:c16="http://schemas.microsoft.com/office/drawing/2014/chart" uri="{C3380CC4-5D6E-409C-BE32-E72D297353CC}">
                <c16:uniqueId val="{00000131-1246-4EE1-80A7-1662C444F751}"/>
              </c:ext>
            </c:extLst>
          </c:dPt>
          <c:dPt>
            <c:idx val="281"/>
            <c:bubble3D val="0"/>
            <c:extLst>
              <c:ext xmlns:c16="http://schemas.microsoft.com/office/drawing/2014/chart" uri="{C3380CC4-5D6E-409C-BE32-E72D297353CC}">
                <c16:uniqueId val="{00000132-1246-4EE1-80A7-1662C444F751}"/>
              </c:ext>
            </c:extLst>
          </c:dPt>
          <c:dPt>
            <c:idx val="282"/>
            <c:bubble3D val="0"/>
            <c:extLst>
              <c:ext xmlns:c16="http://schemas.microsoft.com/office/drawing/2014/chart" uri="{C3380CC4-5D6E-409C-BE32-E72D297353CC}">
                <c16:uniqueId val="{00000133-1246-4EE1-80A7-1662C444F751}"/>
              </c:ext>
            </c:extLst>
          </c:dPt>
          <c:dPt>
            <c:idx val="283"/>
            <c:bubble3D val="0"/>
            <c:extLst>
              <c:ext xmlns:c16="http://schemas.microsoft.com/office/drawing/2014/chart" uri="{C3380CC4-5D6E-409C-BE32-E72D297353CC}">
                <c16:uniqueId val="{00000134-1246-4EE1-80A7-1662C444F751}"/>
              </c:ext>
            </c:extLst>
          </c:dPt>
          <c:dPt>
            <c:idx val="284"/>
            <c:bubble3D val="0"/>
            <c:extLst>
              <c:ext xmlns:c16="http://schemas.microsoft.com/office/drawing/2014/chart" uri="{C3380CC4-5D6E-409C-BE32-E72D297353CC}">
                <c16:uniqueId val="{00000135-1246-4EE1-80A7-1662C444F751}"/>
              </c:ext>
            </c:extLst>
          </c:dPt>
          <c:dPt>
            <c:idx val="285"/>
            <c:bubble3D val="0"/>
            <c:extLst>
              <c:ext xmlns:c16="http://schemas.microsoft.com/office/drawing/2014/chart" uri="{C3380CC4-5D6E-409C-BE32-E72D297353CC}">
                <c16:uniqueId val="{00000136-1246-4EE1-80A7-1662C444F751}"/>
              </c:ext>
            </c:extLst>
          </c:dPt>
          <c:dPt>
            <c:idx val="286"/>
            <c:bubble3D val="0"/>
            <c:extLst>
              <c:ext xmlns:c16="http://schemas.microsoft.com/office/drawing/2014/chart" uri="{C3380CC4-5D6E-409C-BE32-E72D297353CC}">
                <c16:uniqueId val="{00000137-1246-4EE1-80A7-1662C444F751}"/>
              </c:ext>
            </c:extLst>
          </c:dPt>
          <c:dPt>
            <c:idx val="287"/>
            <c:bubble3D val="0"/>
            <c:extLst>
              <c:ext xmlns:c16="http://schemas.microsoft.com/office/drawing/2014/chart" uri="{C3380CC4-5D6E-409C-BE32-E72D297353CC}">
                <c16:uniqueId val="{00000138-1246-4EE1-80A7-1662C444F751}"/>
              </c:ext>
            </c:extLst>
          </c:dPt>
          <c:dPt>
            <c:idx val="288"/>
            <c:bubble3D val="0"/>
            <c:extLst>
              <c:ext xmlns:c16="http://schemas.microsoft.com/office/drawing/2014/chart" uri="{C3380CC4-5D6E-409C-BE32-E72D297353CC}">
                <c16:uniqueId val="{00000139-1246-4EE1-80A7-1662C444F751}"/>
              </c:ext>
            </c:extLst>
          </c:dPt>
          <c:dPt>
            <c:idx val="289"/>
            <c:bubble3D val="0"/>
            <c:extLst>
              <c:ext xmlns:c16="http://schemas.microsoft.com/office/drawing/2014/chart" uri="{C3380CC4-5D6E-409C-BE32-E72D297353CC}">
                <c16:uniqueId val="{0000013A-1246-4EE1-80A7-1662C444F751}"/>
              </c:ext>
            </c:extLst>
          </c:dPt>
          <c:dPt>
            <c:idx val="290"/>
            <c:bubble3D val="0"/>
            <c:extLst>
              <c:ext xmlns:c16="http://schemas.microsoft.com/office/drawing/2014/chart" uri="{C3380CC4-5D6E-409C-BE32-E72D297353CC}">
                <c16:uniqueId val="{0000013B-1246-4EE1-80A7-1662C444F751}"/>
              </c:ext>
            </c:extLst>
          </c:dPt>
          <c:dPt>
            <c:idx val="291"/>
            <c:bubble3D val="0"/>
            <c:extLst>
              <c:ext xmlns:c16="http://schemas.microsoft.com/office/drawing/2014/chart" uri="{C3380CC4-5D6E-409C-BE32-E72D297353CC}">
                <c16:uniqueId val="{0000013C-1246-4EE1-80A7-1662C444F751}"/>
              </c:ext>
            </c:extLst>
          </c:dPt>
          <c:dPt>
            <c:idx val="292"/>
            <c:bubble3D val="0"/>
            <c:extLst>
              <c:ext xmlns:c16="http://schemas.microsoft.com/office/drawing/2014/chart" uri="{C3380CC4-5D6E-409C-BE32-E72D297353CC}">
                <c16:uniqueId val="{0000013D-1246-4EE1-80A7-1662C444F751}"/>
              </c:ext>
            </c:extLst>
          </c:dPt>
          <c:dPt>
            <c:idx val="293"/>
            <c:bubble3D val="0"/>
            <c:extLst>
              <c:ext xmlns:c16="http://schemas.microsoft.com/office/drawing/2014/chart" uri="{C3380CC4-5D6E-409C-BE32-E72D297353CC}">
                <c16:uniqueId val="{0000013E-1246-4EE1-80A7-1662C444F751}"/>
              </c:ext>
            </c:extLst>
          </c:dPt>
          <c:dPt>
            <c:idx val="294"/>
            <c:bubble3D val="0"/>
            <c:extLst>
              <c:ext xmlns:c16="http://schemas.microsoft.com/office/drawing/2014/chart" uri="{C3380CC4-5D6E-409C-BE32-E72D297353CC}">
                <c16:uniqueId val="{0000013F-1246-4EE1-80A7-1662C444F751}"/>
              </c:ext>
            </c:extLst>
          </c:dPt>
          <c:dPt>
            <c:idx val="295"/>
            <c:bubble3D val="0"/>
            <c:extLst>
              <c:ext xmlns:c16="http://schemas.microsoft.com/office/drawing/2014/chart" uri="{C3380CC4-5D6E-409C-BE32-E72D297353CC}">
                <c16:uniqueId val="{00000140-1246-4EE1-80A7-1662C444F751}"/>
              </c:ext>
            </c:extLst>
          </c:dPt>
          <c:dPt>
            <c:idx val="296"/>
            <c:bubble3D val="0"/>
            <c:extLst>
              <c:ext xmlns:c16="http://schemas.microsoft.com/office/drawing/2014/chart" uri="{C3380CC4-5D6E-409C-BE32-E72D297353CC}">
                <c16:uniqueId val="{00000141-1246-4EE1-80A7-1662C444F751}"/>
              </c:ext>
            </c:extLst>
          </c:dPt>
          <c:dPt>
            <c:idx val="297"/>
            <c:bubble3D val="0"/>
            <c:extLst>
              <c:ext xmlns:c16="http://schemas.microsoft.com/office/drawing/2014/chart" uri="{C3380CC4-5D6E-409C-BE32-E72D297353CC}">
                <c16:uniqueId val="{00000142-1246-4EE1-80A7-1662C444F751}"/>
              </c:ext>
            </c:extLst>
          </c:dPt>
          <c:dPt>
            <c:idx val="298"/>
            <c:bubble3D val="0"/>
            <c:extLst>
              <c:ext xmlns:c16="http://schemas.microsoft.com/office/drawing/2014/chart" uri="{C3380CC4-5D6E-409C-BE32-E72D297353CC}">
                <c16:uniqueId val="{00000143-1246-4EE1-80A7-1662C444F751}"/>
              </c:ext>
            </c:extLst>
          </c:dPt>
          <c:dPt>
            <c:idx val="299"/>
            <c:bubble3D val="0"/>
            <c:extLst>
              <c:ext xmlns:c16="http://schemas.microsoft.com/office/drawing/2014/chart" uri="{C3380CC4-5D6E-409C-BE32-E72D297353CC}">
                <c16:uniqueId val="{00000144-1246-4EE1-80A7-1662C444F751}"/>
              </c:ext>
            </c:extLst>
          </c:dPt>
          <c:dPt>
            <c:idx val="300"/>
            <c:bubble3D val="0"/>
            <c:extLst>
              <c:ext xmlns:c16="http://schemas.microsoft.com/office/drawing/2014/chart" uri="{C3380CC4-5D6E-409C-BE32-E72D297353CC}">
                <c16:uniqueId val="{00000145-1246-4EE1-80A7-1662C444F751}"/>
              </c:ext>
            </c:extLst>
          </c:dPt>
          <c:dPt>
            <c:idx val="301"/>
            <c:bubble3D val="0"/>
            <c:extLst>
              <c:ext xmlns:c16="http://schemas.microsoft.com/office/drawing/2014/chart" uri="{C3380CC4-5D6E-409C-BE32-E72D297353CC}">
                <c16:uniqueId val="{00000146-1246-4EE1-80A7-1662C444F751}"/>
              </c:ext>
            </c:extLst>
          </c:dPt>
          <c:dPt>
            <c:idx val="302"/>
            <c:bubble3D val="0"/>
            <c:extLst>
              <c:ext xmlns:c16="http://schemas.microsoft.com/office/drawing/2014/chart" uri="{C3380CC4-5D6E-409C-BE32-E72D297353CC}">
                <c16:uniqueId val="{00000147-1246-4EE1-80A7-1662C444F751}"/>
              </c:ext>
            </c:extLst>
          </c:dPt>
          <c:dPt>
            <c:idx val="303"/>
            <c:bubble3D val="0"/>
            <c:extLst>
              <c:ext xmlns:c16="http://schemas.microsoft.com/office/drawing/2014/chart" uri="{C3380CC4-5D6E-409C-BE32-E72D297353CC}">
                <c16:uniqueId val="{00000148-1246-4EE1-80A7-1662C444F751}"/>
              </c:ext>
            </c:extLst>
          </c:dPt>
          <c:dPt>
            <c:idx val="304"/>
            <c:bubble3D val="0"/>
            <c:extLst>
              <c:ext xmlns:c16="http://schemas.microsoft.com/office/drawing/2014/chart" uri="{C3380CC4-5D6E-409C-BE32-E72D297353CC}">
                <c16:uniqueId val="{00000149-1246-4EE1-80A7-1662C444F751}"/>
              </c:ext>
            </c:extLst>
          </c:dPt>
          <c:dPt>
            <c:idx val="305"/>
            <c:bubble3D val="0"/>
            <c:extLst>
              <c:ext xmlns:c16="http://schemas.microsoft.com/office/drawing/2014/chart" uri="{C3380CC4-5D6E-409C-BE32-E72D297353CC}">
                <c16:uniqueId val="{0000014A-1246-4EE1-80A7-1662C444F751}"/>
              </c:ext>
            </c:extLst>
          </c:dPt>
          <c:dPt>
            <c:idx val="306"/>
            <c:bubble3D val="0"/>
            <c:extLst>
              <c:ext xmlns:c16="http://schemas.microsoft.com/office/drawing/2014/chart" uri="{C3380CC4-5D6E-409C-BE32-E72D297353CC}">
                <c16:uniqueId val="{0000014B-1246-4EE1-80A7-1662C444F751}"/>
              </c:ext>
            </c:extLst>
          </c:dPt>
          <c:dPt>
            <c:idx val="307"/>
            <c:bubble3D val="0"/>
            <c:extLst>
              <c:ext xmlns:c16="http://schemas.microsoft.com/office/drawing/2014/chart" uri="{C3380CC4-5D6E-409C-BE32-E72D297353CC}">
                <c16:uniqueId val="{0000014C-1246-4EE1-80A7-1662C444F751}"/>
              </c:ext>
            </c:extLst>
          </c:dPt>
          <c:dPt>
            <c:idx val="308"/>
            <c:bubble3D val="0"/>
            <c:extLst>
              <c:ext xmlns:c16="http://schemas.microsoft.com/office/drawing/2014/chart" uri="{C3380CC4-5D6E-409C-BE32-E72D297353CC}">
                <c16:uniqueId val="{0000014D-1246-4EE1-80A7-1662C444F751}"/>
              </c:ext>
            </c:extLst>
          </c:dPt>
          <c:dPt>
            <c:idx val="309"/>
            <c:bubble3D val="0"/>
            <c:extLst>
              <c:ext xmlns:c16="http://schemas.microsoft.com/office/drawing/2014/chart" uri="{C3380CC4-5D6E-409C-BE32-E72D297353CC}">
                <c16:uniqueId val="{0000014E-1246-4EE1-80A7-1662C444F751}"/>
              </c:ext>
            </c:extLst>
          </c:dPt>
          <c:dPt>
            <c:idx val="310"/>
            <c:bubble3D val="0"/>
            <c:extLst>
              <c:ext xmlns:c16="http://schemas.microsoft.com/office/drawing/2014/chart" uri="{C3380CC4-5D6E-409C-BE32-E72D297353CC}">
                <c16:uniqueId val="{0000014F-1246-4EE1-80A7-1662C444F751}"/>
              </c:ext>
            </c:extLst>
          </c:dPt>
          <c:dPt>
            <c:idx val="311"/>
            <c:bubble3D val="0"/>
            <c:extLst>
              <c:ext xmlns:c16="http://schemas.microsoft.com/office/drawing/2014/chart" uri="{C3380CC4-5D6E-409C-BE32-E72D297353CC}">
                <c16:uniqueId val="{00000150-1246-4EE1-80A7-1662C444F751}"/>
              </c:ext>
            </c:extLst>
          </c:dPt>
          <c:dPt>
            <c:idx val="312"/>
            <c:bubble3D val="0"/>
            <c:extLst>
              <c:ext xmlns:c16="http://schemas.microsoft.com/office/drawing/2014/chart" uri="{C3380CC4-5D6E-409C-BE32-E72D297353CC}">
                <c16:uniqueId val="{00000151-1246-4EE1-80A7-1662C444F751}"/>
              </c:ext>
            </c:extLst>
          </c:dPt>
          <c:dPt>
            <c:idx val="313"/>
            <c:bubble3D val="0"/>
            <c:extLst>
              <c:ext xmlns:c16="http://schemas.microsoft.com/office/drawing/2014/chart" uri="{C3380CC4-5D6E-409C-BE32-E72D297353CC}">
                <c16:uniqueId val="{00000152-1246-4EE1-80A7-1662C444F751}"/>
              </c:ext>
            </c:extLst>
          </c:dPt>
          <c:dPt>
            <c:idx val="314"/>
            <c:bubble3D val="0"/>
            <c:extLst>
              <c:ext xmlns:c16="http://schemas.microsoft.com/office/drawing/2014/chart" uri="{C3380CC4-5D6E-409C-BE32-E72D297353CC}">
                <c16:uniqueId val="{00000153-1246-4EE1-80A7-1662C444F751}"/>
              </c:ext>
            </c:extLst>
          </c:dPt>
          <c:dPt>
            <c:idx val="315"/>
            <c:bubble3D val="0"/>
            <c:extLst>
              <c:ext xmlns:c16="http://schemas.microsoft.com/office/drawing/2014/chart" uri="{C3380CC4-5D6E-409C-BE32-E72D297353CC}">
                <c16:uniqueId val="{00000154-1246-4EE1-80A7-1662C444F751}"/>
              </c:ext>
            </c:extLst>
          </c:dPt>
          <c:dPt>
            <c:idx val="316"/>
            <c:bubble3D val="0"/>
            <c:extLst>
              <c:ext xmlns:c16="http://schemas.microsoft.com/office/drawing/2014/chart" uri="{C3380CC4-5D6E-409C-BE32-E72D297353CC}">
                <c16:uniqueId val="{00000155-1246-4EE1-80A7-1662C444F751}"/>
              </c:ext>
            </c:extLst>
          </c:dPt>
          <c:dPt>
            <c:idx val="317"/>
            <c:bubble3D val="0"/>
            <c:extLst>
              <c:ext xmlns:c16="http://schemas.microsoft.com/office/drawing/2014/chart" uri="{C3380CC4-5D6E-409C-BE32-E72D297353CC}">
                <c16:uniqueId val="{00000156-1246-4EE1-80A7-1662C444F751}"/>
              </c:ext>
            </c:extLst>
          </c:dPt>
          <c:dPt>
            <c:idx val="318"/>
            <c:bubble3D val="0"/>
            <c:extLst>
              <c:ext xmlns:c16="http://schemas.microsoft.com/office/drawing/2014/chart" uri="{C3380CC4-5D6E-409C-BE32-E72D297353CC}">
                <c16:uniqueId val="{00000157-1246-4EE1-80A7-1662C444F751}"/>
              </c:ext>
            </c:extLst>
          </c:dPt>
          <c:dPt>
            <c:idx val="319"/>
            <c:bubble3D val="0"/>
            <c:extLst>
              <c:ext xmlns:c16="http://schemas.microsoft.com/office/drawing/2014/chart" uri="{C3380CC4-5D6E-409C-BE32-E72D297353CC}">
                <c16:uniqueId val="{00000158-1246-4EE1-80A7-1662C444F751}"/>
              </c:ext>
            </c:extLst>
          </c:dPt>
          <c:dPt>
            <c:idx val="320"/>
            <c:bubble3D val="0"/>
            <c:extLst>
              <c:ext xmlns:c16="http://schemas.microsoft.com/office/drawing/2014/chart" uri="{C3380CC4-5D6E-409C-BE32-E72D297353CC}">
                <c16:uniqueId val="{00000159-1246-4EE1-80A7-1662C444F751}"/>
              </c:ext>
            </c:extLst>
          </c:dPt>
          <c:dPt>
            <c:idx val="321"/>
            <c:bubble3D val="0"/>
            <c:extLst>
              <c:ext xmlns:c16="http://schemas.microsoft.com/office/drawing/2014/chart" uri="{C3380CC4-5D6E-409C-BE32-E72D297353CC}">
                <c16:uniqueId val="{0000015A-1246-4EE1-80A7-1662C444F751}"/>
              </c:ext>
            </c:extLst>
          </c:dPt>
          <c:dPt>
            <c:idx val="322"/>
            <c:bubble3D val="0"/>
            <c:extLst>
              <c:ext xmlns:c16="http://schemas.microsoft.com/office/drawing/2014/chart" uri="{C3380CC4-5D6E-409C-BE32-E72D297353CC}">
                <c16:uniqueId val="{0000015B-1246-4EE1-80A7-1662C444F751}"/>
              </c:ext>
            </c:extLst>
          </c:dPt>
          <c:dPt>
            <c:idx val="323"/>
            <c:bubble3D val="0"/>
            <c:extLst>
              <c:ext xmlns:c16="http://schemas.microsoft.com/office/drawing/2014/chart" uri="{C3380CC4-5D6E-409C-BE32-E72D297353CC}">
                <c16:uniqueId val="{0000015C-1246-4EE1-80A7-1662C444F751}"/>
              </c:ext>
            </c:extLst>
          </c:dPt>
          <c:dPt>
            <c:idx val="324"/>
            <c:bubble3D val="0"/>
            <c:extLst>
              <c:ext xmlns:c16="http://schemas.microsoft.com/office/drawing/2014/chart" uri="{C3380CC4-5D6E-409C-BE32-E72D297353CC}">
                <c16:uniqueId val="{0000015D-1246-4EE1-80A7-1662C444F751}"/>
              </c:ext>
            </c:extLst>
          </c:dPt>
          <c:dPt>
            <c:idx val="325"/>
            <c:bubble3D val="0"/>
            <c:extLst>
              <c:ext xmlns:c16="http://schemas.microsoft.com/office/drawing/2014/chart" uri="{C3380CC4-5D6E-409C-BE32-E72D297353CC}">
                <c16:uniqueId val="{0000015E-1246-4EE1-80A7-1662C444F751}"/>
              </c:ext>
            </c:extLst>
          </c:dPt>
          <c:dPt>
            <c:idx val="326"/>
            <c:bubble3D val="0"/>
            <c:extLst>
              <c:ext xmlns:c16="http://schemas.microsoft.com/office/drawing/2014/chart" uri="{C3380CC4-5D6E-409C-BE32-E72D297353CC}">
                <c16:uniqueId val="{0000015F-1246-4EE1-80A7-1662C444F751}"/>
              </c:ext>
            </c:extLst>
          </c:dPt>
          <c:dPt>
            <c:idx val="327"/>
            <c:bubble3D val="0"/>
            <c:extLst>
              <c:ext xmlns:c16="http://schemas.microsoft.com/office/drawing/2014/chart" uri="{C3380CC4-5D6E-409C-BE32-E72D297353CC}">
                <c16:uniqueId val="{00000160-1246-4EE1-80A7-1662C444F751}"/>
              </c:ext>
            </c:extLst>
          </c:dPt>
          <c:dPt>
            <c:idx val="328"/>
            <c:bubble3D val="0"/>
            <c:extLst>
              <c:ext xmlns:c16="http://schemas.microsoft.com/office/drawing/2014/chart" uri="{C3380CC4-5D6E-409C-BE32-E72D297353CC}">
                <c16:uniqueId val="{00000161-1246-4EE1-80A7-1662C444F751}"/>
              </c:ext>
            </c:extLst>
          </c:dPt>
          <c:dPt>
            <c:idx val="329"/>
            <c:bubble3D val="0"/>
            <c:extLst>
              <c:ext xmlns:c16="http://schemas.microsoft.com/office/drawing/2014/chart" uri="{C3380CC4-5D6E-409C-BE32-E72D297353CC}">
                <c16:uniqueId val="{00000162-1246-4EE1-80A7-1662C444F751}"/>
              </c:ext>
            </c:extLst>
          </c:dPt>
          <c:dPt>
            <c:idx val="330"/>
            <c:bubble3D val="0"/>
            <c:extLst>
              <c:ext xmlns:c16="http://schemas.microsoft.com/office/drawing/2014/chart" uri="{C3380CC4-5D6E-409C-BE32-E72D297353CC}">
                <c16:uniqueId val="{00000163-1246-4EE1-80A7-1662C444F751}"/>
              </c:ext>
            </c:extLst>
          </c:dPt>
          <c:dPt>
            <c:idx val="331"/>
            <c:bubble3D val="0"/>
            <c:extLst>
              <c:ext xmlns:c16="http://schemas.microsoft.com/office/drawing/2014/chart" uri="{C3380CC4-5D6E-409C-BE32-E72D297353CC}">
                <c16:uniqueId val="{00000164-1246-4EE1-80A7-1662C444F751}"/>
              </c:ext>
            </c:extLst>
          </c:dPt>
          <c:dPt>
            <c:idx val="332"/>
            <c:bubble3D val="0"/>
            <c:extLst>
              <c:ext xmlns:c16="http://schemas.microsoft.com/office/drawing/2014/chart" uri="{C3380CC4-5D6E-409C-BE32-E72D297353CC}">
                <c16:uniqueId val="{00000165-1246-4EE1-80A7-1662C444F751}"/>
              </c:ext>
            </c:extLst>
          </c:dPt>
          <c:dPt>
            <c:idx val="333"/>
            <c:bubble3D val="0"/>
            <c:extLst>
              <c:ext xmlns:c16="http://schemas.microsoft.com/office/drawing/2014/chart" uri="{C3380CC4-5D6E-409C-BE32-E72D297353CC}">
                <c16:uniqueId val="{00000166-1246-4EE1-80A7-1662C444F751}"/>
              </c:ext>
            </c:extLst>
          </c:dPt>
          <c:dPt>
            <c:idx val="334"/>
            <c:bubble3D val="0"/>
            <c:extLst>
              <c:ext xmlns:c16="http://schemas.microsoft.com/office/drawing/2014/chart" uri="{C3380CC4-5D6E-409C-BE32-E72D297353CC}">
                <c16:uniqueId val="{00000167-1246-4EE1-80A7-1662C444F751}"/>
              </c:ext>
            </c:extLst>
          </c:dPt>
          <c:dPt>
            <c:idx val="335"/>
            <c:bubble3D val="0"/>
            <c:extLst>
              <c:ext xmlns:c16="http://schemas.microsoft.com/office/drawing/2014/chart" uri="{C3380CC4-5D6E-409C-BE32-E72D297353CC}">
                <c16:uniqueId val="{00000168-1246-4EE1-80A7-1662C444F751}"/>
              </c:ext>
            </c:extLst>
          </c:dPt>
          <c:dPt>
            <c:idx val="336"/>
            <c:bubble3D val="0"/>
            <c:extLst>
              <c:ext xmlns:c16="http://schemas.microsoft.com/office/drawing/2014/chart" uri="{C3380CC4-5D6E-409C-BE32-E72D297353CC}">
                <c16:uniqueId val="{00000169-1246-4EE1-80A7-1662C444F751}"/>
              </c:ext>
            </c:extLst>
          </c:dPt>
          <c:dPt>
            <c:idx val="337"/>
            <c:bubble3D val="0"/>
            <c:extLst>
              <c:ext xmlns:c16="http://schemas.microsoft.com/office/drawing/2014/chart" uri="{C3380CC4-5D6E-409C-BE32-E72D297353CC}">
                <c16:uniqueId val="{0000016A-1246-4EE1-80A7-1662C444F751}"/>
              </c:ext>
            </c:extLst>
          </c:dPt>
          <c:dPt>
            <c:idx val="338"/>
            <c:bubble3D val="0"/>
            <c:extLst>
              <c:ext xmlns:c16="http://schemas.microsoft.com/office/drawing/2014/chart" uri="{C3380CC4-5D6E-409C-BE32-E72D297353CC}">
                <c16:uniqueId val="{0000016B-1246-4EE1-80A7-1662C444F751}"/>
              </c:ext>
            </c:extLst>
          </c:dPt>
          <c:dPt>
            <c:idx val="339"/>
            <c:bubble3D val="0"/>
            <c:extLst>
              <c:ext xmlns:c16="http://schemas.microsoft.com/office/drawing/2014/chart" uri="{C3380CC4-5D6E-409C-BE32-E72D297353CC}">
                <c16:uniqueId val="{0000016C-1246-4EE1-80A7-1662C444F751}"/>
              </c:ext>
            </c:extLst>
          </c:dPt>
          <c:dPt>
            <c:idx val="340"/>
            <c:bubble3D val="0"/>
            <c:extLst>
              <c:ext xmlns:c16="http://schemas.microsoft.com/office/drawing/2014/chart" uri="{C3380CC4-5D6E-409C-BE32-E72D297353CC}">
                <c16:uniqueId val="{0000016D-1246-4EE1-80A7-1662C444F751}"/>
              </c:ext>
            </c:extLst>
          </c:dPt>
          <c:dPt>
            <c:idx val="341"/>
            <c:bubble3D val="0"/>
            <c:extLst>
              <c:ext xmlns:c16="http://schemas.microsoft.com/office/drawing/2014/chart" uri="{C3380CC4-5D6E-409C-BE32-E72D297353CC}">
                <c16:uniqueId val="{0000016E-1246-4EE1-80A7-1662C444F751}"/>
              </c:ext>
            </c:extLst>
          </c:dPt>
          <c:dPt>
            <c:idx val="342"/>
            <c:bubble3D val="0"/>
            <c:extLst>
              <c:ext xmlns:c16="http://schemas.microsoft.com/office/drawing/2014/chart" uri="{C3380CC4-5D6E-409C-BE32-E72D297353CC}">
                <c16:uniqueId val="{0000016F-1246-4EE1-80A7-1662C444F751}"/>
              </c:ext>
            </c:extLst>
          </c:dPt>
          <c:dPt>
            <c:idx val="343"/>
            <c:bubble3D val="0"/>
            <c:extLst>
              <c:ext xmlns:c16="http://schemas.microsoft.com/office/drawing/2014/chart" uri="{C3380CC4-5D6E-409C-BE32-E72D297353CC}">
                <c16:uniqueId val="{00000170-1246-4EE1-80A7-1662C444F751}"/>
              </c:ext>
            </c:extLst>
          </c:dPt>
          <c:dPt>
            <c:idx val="344"/>
            <c:bubble3D val="0"/>
            <c:extLst>
              <c:ext xmlns:c16="http://schemas.microsoft.com/office/drawing/2014/chart" uri="{C3380CC4-5D6E-409C-BE32-E72D297353CC}">
                <c16:uniqueId val="{00000171-1246-4EE1-80A7-1662C444F751}"/>
              </c:ext>
            </c:extLst>
          </c:dPt>
          <c:dPt>
            <c:idx val="345"/>
            <c:bubble3D val="0"/>
            <c:extLst>
              <c:ext xmlns:c16="http://schemas.microsoft.com/office/drawing/2014/chart" uri="{C3380CC4-5D6E-409C-BE32-E72D297353CC}">
                <c16:uniqueId val="{00000172-1246-4EE1-80A7-1662C444F751}"/>
              </c:ext>
            </c:extLst>
          </c:dPt>
          <c:dPt>
            <c:idx val="346"/>
            <c:bubble3D val="0"/>
            <c:extLst>
              <c:ext xmlns:c16="http://schemas.microsoft.com/office/drawing/2014/chart" uri="{C3380CC4-5D6E-409C-BE32-E72D297353CC}">
                <c16:uniqueId val="{00000173-1246-4EE1-80A7-1662C444F751}"/>
              </c:ext>
            </c:extLst>
          </c:dPt>
          <c:dPt>
            <c:idx val="347"/>
            <c:bubble3D val="0"/>
            <c:extLst>
              <c:ext xmlns:c16="http://schemas.microsoft.com/office/drawing/2014/chart" uri="{C3380CC4-5D6E-409C-BE32-E72D297353CC}">
                <c16:uniqueId val="{00000174-1246-4EE1-80A7-1662C444F751}"/>
              </c:ext>
            </c:extLst>
          </c:dPt>
          <c:dPt>
            <c:idx val="348"/>
            <c:bubble3D val="0"/>
            <c:extLst>
              <c:ext xmlns:c16="http://schemas.microsoft.com/office/drawing/2014/chart" uri="{C3380CC4-5D6E-409C-BE32-E72D297353CC}">
                <c16:uniqueId val="{00000175-1246-4EE1-80A7-1662C444F751}"/>
              </c:ext>
            </c:extLst>
          </c:dPt>
          <c:dPt>
            <c:idx val="349"/>
            <c:bubble3D val="0"/>
            <c:extLst>
              <c:ext xmlns:c16="http://schemas.microsoft.com/office/drawing/2014/chart" uri="{C3380CC4-5D6E-409C-BE32-E72D297353CC}">
                <c16:uniqueId val="{00000176-1246-4EE1-80A7-1662C444F751}"/>
              </c:ext>
            </c:extLst>
          </c:dPt>
          <c:dPt>
            <c:idx val="350"/>
            <c:bubble3D val="0"/>
            <c:extLst>
              <c:ext xmlns:c16="http://schemas.microsoft.com/office/drawing/2014/chart" uri="{C3380CC4-5D6E-409C-BE32-E72D297353CC}">
                <c16:uniqueId val="{00000177-1246-4EE1-80A7-1662C444F751}"/>
              </c:ext>
            </c:extLst>
          </c:dPt>
          <c:dPt>
            <c:idx val="351"/>
            <c:bubble3D val="0"/>
            <c:extLst>
              <c:ext xmlns:c16="http://schemas.microsoft.com/office/drawing/2014/chart" uri="{C3380CC4-5D6E-409C-BE32-E72D297353CC}">
                <c16:uniqueId val="{00000178-1246-4EE1-80A7-1662C444F751}"/>
              </c:ext>
            </c:extLst>
          </c:dPt>
          <c:dPt>
            <c:idx val="352"/>
            <c:bubble3D val="0"/>
            <c:extLst>
              <c:ext xmlns:c16="http://schemas.microsoft.com/office/drawing/2014/chart" uri="{C3380CC4-5D6E-409C-BE32-E72D297353CC}">
                <c16:uniqueId val="{00000179-1246-4EE1-80A7-1662C444F751}"/>
              </c:ext>
            </c:extLst>
          </c:dPt>
          <c:dPt>
            <c:idx val="353"/>
            <c:bubble3D val="0"/>
            <c:extLst>
              <c:ext xmlns:c16="http://schemas.microsoft.com/office/drawing/2014/chart" uri="{C3380CC4-5D6E-409C-BE32-E72D297353CC}">
                <c16:uniqueId val="{0000017A-1246-4EE1-80A7-1662C444F751}"/>
              </c:ext>
            </c:extLst>
          </c:dPt>
          <c:dPt>
            <c:idx val="354"/>
            <c:bubble3D val="0"/>
            <c:extLst>
              <c:ext xmlns:c16="http://schemas.microsoft.com/office/drawing/2014/chart" uri="{C3380CC4-5D6E-409C-BE32-E72D297353CC}">
                <c16:uniqueId val="{0000017B-1246-4EE1-80A7-1662C444F751}"/>
              </c:ext>
            </c:extLst>
          </c:dPt>
          <c:dPt>
            <c:idx val="355"/>
            <c:bubble3D val="0"/>
            <c:extLst>
              <c:ext xmlns:c16="http://schemas.microsoft.com/office/drawing/2014/chart" uri="{C3380CC4-5D6E-409C-BE32-E72D297353CC}">
                <c16:uniqueId val="{0000017C-1246-4EE1-80A7-1662C444F751}"/>
              </c:ext>
            </c:extLst>
          </c:dPt>
          <c:dPt>
            <c:idx val="356"/>
            <c:bubble3D val="0"/>
            <c:extLst>
              <c:ext xmlns:c16="http://schemas.microsoft.com/office/drawing/2014/chart" uri="{C3380CC4-5D6E-409C-BE32-E72D297353CC}">
                <c16:uniqueId val="{0000017D-1246-4EE1-80A7-1662C444F751}"/>
              </c:ext>
            </c:extLst>
          </c:dPt>
          <c:dPt>
            <c:idx val="357"/>
            <c:bubble3D val="0"/>
            <c:extLst>
              <c:ext xmlns:c16="http://schemas.microsoft.com/office/drawing/2014/chart" uri="{C3380CC4-5D6E-409C-BE32-E72D297353CC}">
                <c16:uniqueId val="{0000017E-1246-4EE1-80A7-1662C444F751}"/>
              </c:ext>
            </c:extLst>
          </c:dPt>
          <c:dPt>
            <c:idx val="358"/>
            <c:bubble3D val="0"/>
            <c:extLst>
              <c:ext xmlns:c16="http://schemas.microsoft.com/office/drawing/2014/chart" uri="{C3380CC4-5D6E-409C-BE32-E72D297353CC}">
                <c16:uniqueId val="{0000017F-1246-4EE1-80A7-1662C444F751}"/>
              </c:ext>
            </c:extLst>
          </c:dPt>
          <c:dPt>
            <c:idx val="359"/>
            <c:bubble3D val="0"/>
            <c:extLst>
              <c:ext xmlns:c16="http://schemas.microsoft.com/office/drawing/2014/chart" uri="{C3380CC4-5D6E-409C-BE32-E72D297353CC}">
                <c16:uniqueId val="{00000180-1246-4EE1-80A7-1662C444F751}"/>
              </c:ext>
            </c:extLst>
          </c:dPt>
          <c:dPt>
            <c:idx val="360"/>
            <c:bubble3D val="0"/>
            <c:extLst>
              <c:ext xmlns:c16="http://schemas.microsoft.com/office/drawing/2014/chart" uri="{C3380CC4-5D6E-409C-BE32-E72D297353CC}">
                <c16:uniqueId val="{00000181-1246-4EE1-80A7-1662C444F751}"/>
              </c:ext>
            </c:extLst>
          </c:dPt>
          <c:dPt>
            <c:idx val="361"/>
            <c:bubble3D val="0"/>
            <c:extLst>
              <c:ext xmlns:c16="http://schemas.microsoft.com/office/drawing/2014/chart" uri="{C3380CC4-5D6E-409C-BE32-E72D297353CC}">
                <c16:uniqueId val="{00000182-1246-4EE1-80A7-1662C444F751}"/>
              </c:ext>
            </c:extLst>
          </c:dPt>
          <c:dPt>
            <c:idx val="362"/>
            <c:bubble3D val="0"/>
            <c:extLst>
              <c:ext xmlns:c16="http://schemas.microsoft.com/office/drawing/2014/chart" uri="{C3380CC4-5D6E-409C-BE32-E72D297353CC}">
                <c16:uniqueId val="{00000183-1246-4EE1-80A7-1662C444F751}"/>
              </c:ext>
            </c:extLst>
          </c:dPt>
          <c:dPt>
            <c:idx val="363"/>
            <c:bubble3D val="0"/>
            <c:extLst>
              <c:ext xmlns:c16="http://schemas.microsoft.com/office/drawing/2014/chart" uri="{C3380CC4-5D6E-409C-BE32-E72D297353CC}">
                <c16:uniqueId val="{00000184-1246-4EE1-80A7-1662C444F751}"/>
              </c:ext>
            </c:extLst>
          </c:dPt>
          <c:dPt>
            <c:idx val="364"/>
            <c:bubble3D val="0"/>
            <c:extLst>
              <c:ext xmlns:c16="http://schemas.microsoft.com/office/drawing/2014/chart" uri="{C3380CC4-5D6E-409C-BE32-E72D297353CC}">
                <c16:uniqueId val="{00000185-1246-4EE1-80A7-1662C444F751}"/>
              </c:ext>
            </c:extLst>
          </c:dPt>
          <c:dPt>
            <c:idx val="365"/>
            <c:bubble3D val="0"/>
            <c:extLst>
              <c:ext xmlns:c16="http://schemas.microsoft.com/office/drawing/2014/chart" uri="{C3380CC4-5D6E-409C-BE32-E72D297353CC}">
                <c16:uniqueId val="{00000186-1246-4EE1-80A7-1662C444F751}"/>
              </c:ext>
            </c:extLst>
          </c:dPt>
          <c:dPt>
            <c:idx val="366"/>
            <c:bubble3D val="0"/>
            <c:extLst>
              <c:ext xmlns:c16="http://schemas.microsoft.com/office/drawing/2014/chart" uri="{C3380CC4-5D6E-409C-BE32-E72D297353CC}">
                <c16:uniqueId val="{00000187-1246-4EE1-80A7-1662C444F751}"/>
              </c:ext>
            </c:extLst>
          </c:dPt>
          <c:dPt>
            <c:idx val="367"/>
            <c:bubble3D val="0"/>
            <c:extLst>
              <c:ext xmlns:c16="http://schemas.microsoft.com/office/drawing/2014/chart" uri="{C3380CC4-5D6E-409C-BE32-E72D297353CC}">
                <c16:uniqueId val="{00000188-1246-4EE1-80A7-1662C444F751}"/>
              </c:ext>
            </c:extLst>
          </c:dPt>
          <c:dPt>
            <c:idx val="368"/>
            <c:bubble3D val="0"/>
            <c:extLst>
              <c:ext xmlns:c16="http://schemas.microsoft.com/office/drawing/2014/chart" uri="{C3380CC4-5D6E-409C-BE32-E72D297353CC}">
                <c16:uniqueId val="{00000189-1246-4EE1-80A7-1662C444F751}"/>
              </c:ext>
            </c:extLst>
          </c:dPt>
          <c:dPt>
            <c:idx val="369"/>
            <c:bubble3D val="0"/>
            <c:extLst>
              <c:ext xmlns:c16="http://schemas.microsoft.com/office/drawing/2014/chart" uri="{C3380CC4-5D6E-409C-BE32-E72D297353CC}">
                <c16:uniqueId val="{0000018A-1246-4EE1-80A7-1662C444F751}"/>
              </c:ext>
            </c:extLst>
          </c:dPt>
          <c:dPt>
            <c:idx val="370"/>
            <c:bubble3D val="0"/>
            <c:extLst>
              <c:ext xmlns:c16="http://schemas.microsoft.com/office/drawing/2014/chart" uri="{C3380CC4-5D6E-409C-BE32-E72D297353CC}">
                <c16:uniqueId val="{0000018B-1246-4EE1-80A7-1662C444F751}"/>
              </c:ext>
            </c:extLst>
          </c:dPt>
          <c:dPt>
            <c:idx val="371"/>
            <c:bubble3D val="0"/>
            <c:extLst>
              <c:ext xmlns:c16="http://schemas.microsoft.com/office/drawing/2014/chart" uri="{C3380CC4-5D6E-409C-BE32-E72D297353CC}">
                <c16:uniqueId val="{0000018C-1246-4EE1-80A7-1662C444F751}"/>
              </c:ext>
            </c:extLst>
          </c:dPt>
          <c:dPt>
            <c:idx val="372"/>
            <c:bubble3D val="0"/>
            <c:extLst>
              <c:ext xmlns:c16="http://schemas.microsoft.com/office/drawing/2014/chart" uri="{C3380CC4-5D6E-409C-BE32-E72D297353CC}">
                <c16:uniqueId val="{0000018D-1246-4EE1-80A7-1662C444F751}"/>
              </c:ext>
            </c:extLst>
          </c:dPt>
          <c:dPt>
            <c:idx val="373"/>
            <c:bubble3D val="0"/>
            <c:extLst>
              <c:ext xmlns:c16="http://schemas.microsoft.com/office/drawing/2014/chart" uri="{C3380CC4-5D6E-409C-BE32-E72D297353CC}">
                <c16:uniqueId val="{0000018E-1246-4EE1-80A7-1662C444F751}"/>
              </c:ext>
            </c:extLst>
          </c:dPt>
          <c:dPt>
            <c:idx val="374"/>
            <c:bubble3D val="0"/>
            <c:extLst>
              <c:ext xmlns:c16="http://schemas.microsoft.com/office/drawing/2014/chart" uri="{C3380CC4-5D6E-409C-BE32-E72D297353CC}">
                <c16:uniqueId val="{0000018F-1246-4EE1-80A7-1662C444F751}"/>
              </c:ext>
            </c:extLst>
          </c:dPt>
          <c:dPt>
            <c:idx val="375"/>
            <c:bubble3D val="0"/>
            <c:extLst>
              <c:ext xmlns:c16="http://schemas.microsoft.com/office/drawing/2014/chart" uri="{C3380CC4-5D6E-409C-BE32-E72D297353CC}">
                <c16:uniqueId val="{00000190-1246-4EE1-80A7-1662C444F751}"/>
              </c:ext>
            </c:extLst>
          </c:dPt>
          <c:dPt>
            <c:idx val="376"/>
            <c:bubble3D val="0"/>
            <c:extLst>
              <c:ext xmlns:c16="http://schemas.microsoft.com/office/drawing/2014/chart" uri="{C3380CC4-5D6E-409C-BE32-E72D297353CC}">
                <c16:uniqueId val="{00000191-1246-4EE1-80A7-1662C444F751}"/>
              </c:ext>
            </c:extLst>
          </c:dPt>
          <c:dPt>
            <c:idx val="377"/>
            <c:bubble3D val="0"/>
            <c:extLst>
              <c:ext xmlns:c16="http://schemas.microsoft.com/office/drawing/2014/chart" uri="{C3380CC4-5D6E-409C-BE32-E72D297353CC}">
                <c16:uniqueId val="{00000192-1246-4EE1-80A7-1662C444F751}"/>
              </c:ext>
            </c:extLst>
          </c:dPt>
          <c:dPt>
            <c:idx val="378"/>
            <c:bubble3D val="0"/>
            <c:extLst>
              <c:ext xmlns:c16="http://schemas.microsoft.com/office/drawing/2014/chart" uri="{C3380CC4-5D6E-409C-BE32-E72D297353CC}">
                <c16:uniqueId val="{00000193-1246-4EE1-80A7-1662C444F751}"/>
              </c:ext>
            </c:extLst>
          </c:dPt>
          <c:dPt>
            <c:idx val="379"/>
            <c:bubble3D val="0"/>
            <c:extLst>
              <c:ext xmlns:c16="http://schemas.microsoft.com/office/drawing/2014/chart" uri="{C3380CC4-5D6E-409C-BE32-E72D297353CC}">
                <c16:uniqueId val="{00000194-1246-4EE1-80A7-1662C444F751}"/>
              </c:ext>
            </c:extLst>
          </c:dPt>
          <c:dPt>
            <c:idx val="380"/>
            <c:bubble3D val="0"/>
            <c:extLst>
              <c:ext xmlns:c16="http://schemas.microsoft.com/office/drawing/2014/chart" uri="{C3380CC4-5D6E-409C-BE32-E72D297353CC}">
                <c16:uniqueId val="{00000195-1246-4EE1-80A7-1662C444F751}"/>
              </c:ext>
            </c:extLst>
          </c:dPt>
          <c:dPt>
            <c:idx val="381"/>
            <c:bubble3D val="0"/>
            <c:extLst>
              <c:ext xmlns:c16="http://schemas.microsoft.com/office/drawing/2014/chart" uri="{C3380CC4-5D6E-409C-BE32-E72D297353CC}">
                <c16:uniqueId val="{00000196-1246-4EE1-80A7-1662C444F751}"/>
              </c:ext>
            </c:extLst>
          </c:dPt>
          <c:dPt>
            <c:idx val="382"/>
            <c:bubble3D val="0"/>
            <c:extLst>
              <c:ext xmlns:c16="http://schemas.microsoft.com/office/drawing/2014/chart" uri="{C3380CC4-5D6E-409C-BE32-E72D297353CC}">
                <c16:uniqueId val="{00000197-1246-4EE1-80A7-1662C444F751}"/>
              </c:ext>
            </c:extLst>
          </c:dPt>
          <c:dPt>
            <c:idx val="383"/>
            <c:bubble3D val="0"/>
            <c:extLst>
              <c:ext xmlns:c16="http://schemas.microsoft.com/office/drawing/2014/chart" uri="{C3380CC4-5D6E-409C-BE32-E72D297353CC}">
                <c16:uniqueId val="{00000198-1246-4EE1-80A7-1662C444F751}"/>
              </c:ext>
            </c:extLst>
          </c:dPt>
          <c:dPt>
            <c:idx val="384"/>
            <c:bubble3D val="0"/>
            <c:extLst>
              <c:ext xmlns:c16="http://schemas.microsoft.com/office/drawing/2014/chart" uri="{C3380CC4-5D6E-409C-BE32-E72D297353CC}">
                <c16:uniqueId val="{00000199-1246-4EE1-80A7-1662C444F751}"/>
              </c:ext>
            </c:extLst>
          </c:dPt>
          <c:dPt>
            <c:idx val="385"/>
            <c:bubble3D val="0"/>
            <c:extLst>
              <c:ext xmlns:c16="http://schemas.microsoft.com/office/drawing/2014/chart" uri="{C3380CC4-5D6E-409C-BE32-E72D297353CC}">
                <c16:uniqueId val="{0000019A-1246-4EE1-80A7-1662C444F751}"/>
              </c:ext>
            </c:extLst>
          </c:dPt>
          <c:dPt>
            <c:idx val="386"/>
            <c:bubble3D val="0"/>
            <c:extLst>
              <c:ext xmlns:c16="http://schemas.microsoft.com/office/drawing/2014/chart" uri="{C3380CC4-5D6E-409C-BE32-E72D297353CC}">
                <c16:uniqueId val="{0000019B-1246-4EE1-80A7-1662C444F751}"/>
              </c:ext>
            </c:extLst>
          </c:dPt>
          <c:dPt>
            <c:idx val="387"/>
            <c:bubble3D val="0"/>
            <c:extLst>
              <c:ext xmlns:c16="http://schemas.microsoft.com/office/drawing/2014/chart" uri="{C3380CC4-5D6E-409C-BE32-E72D297353CC}">
                <c16:uniqueId val="{0000019C-1246-4EE1-80A7-1662C444F751}"/>
              </c:ext>
            </c:extLst>
          </c:dPt>
          <c:dPt>
            <c:idx val="388"/>
            <c:bubble3D val="0"/>
            <c:extLst>
              <c:ext xmlns:c16="http://schemas.microsoft.com/office/drawing/2014/chart" uri="{C3380CC4-5D6E-409C-BE32-E72D297353CC}">
                <c16:uniqueId val="{0000019D-1246-4EE1-80A7-1662C444F751}"/>
              </c:ext>
            </c:extLst>
          </c:dPt>
          <c:dPt>
            <c:idx val="389"/>
            <c:bubble3D val="0"/>
            <c:extLst>
              <c:ext xmlns:c16="http://schemas.microsoft.com/office/drawing/2014/chart" uri="{C3380CC4-5D6E-409C-BE32-E72D297353CC}">
                <c16:uniqueId val="{0000019E-1246-4EE1-80A7-1662C444F751}"/>
              </c:ext>
            </c:extLst>
          </c:dPt>
          <c:dPt>
            <c:idx val="390"/>
            <c:bubble3D val="0"/>
            <c:extLst>
              <c:ext xmlns:c16="http://schemas.microsoft.com/office/drawing/2014/chart" uri="{C3380CC4-5D6E-409C-BE32-E72D297353CC}">
                <c16:uniqueId val="{0000019F-1246-4EE1-80A7-1662C444F751}"/>
              </c:ext>
            </c:extLst>
          </c:dPt>
          <c:dPt>
            <c:idx val="391"/>
            <c:bubble3D val="0"/>
            <c:extLst>
              <c:ext xmlns:c16="http://schemas.microsoft.com/office/drawing/2014/chart" uri="{C3380CC4-5D6E-409C-BE32-E72D297353CC}">
                <c16:uniqueId val="{000001A0-1246-4EE1-80A7-1662C444F751}"/>
              </c:ext>
            </c:extLst>
          </c:dPt>
          <c:dPt>
            <c:idx val="392"/>
            <c:bubble3D val="0"/>
            <c:extLst>
              <c:ext xmlns:c16="http://schemas.microsoft.com/office/drawing/2014/chart" uri="{C3380CC4-5D6E-409C-BE32-E72D297353CC}">
                <c16:uniqueId val="{000001A1-1246-4EE1-80A7-1662C444F751}"/>
              </c:ext>
            </c:extLst>
          </c:dPt>
          <c:dPt>
            <c:idx val="393"/>
            <c:bubble3D val="0"/>
            <c:extLst>
              <c:ext xmlns:c16="http://schemas.microsoft.com/office/drawing/2014/chart" uri="{C3380CC4-5D6E-409C-BE32-E72D297353CC}">
                <c16:uniqueId val="{000001A2-1246-4EE1-80A7-1662C444F751}"/>
              </c:ext>
            </c:extLst>
          </c:dPt>
          <c:dPt>
            <c:idx val="394"/>
            <c:bubble3D val="0"/>
            <c:extLst>
              <c:ext xmlns:c16="http://schemas.microsoft.com/office/drawing/2014/chart" uri="{C3380CC4-5D6E-409C-BE32-E72D297353CC}">
                <c16:uniqueId val="{000001A3-1246-4EE1-80A7-1662C444F751}"/>
              </c:ext>
            </c:extLst>
          </c:dPt>
          <c:dPt>
            <c:idx val="395"/>
            <c:bubble3D val="0"/>
            <c:extLst>
              <c:ext xmlns:c16="http://schemas.microsoft.com/office/drawing/2014/chart" uri="{C3380CC4-5D6E-409C-BE32-E72D297353CC}">
                <c16:uniqueId val="{000001A4-1246-4EE1-80A7-1662C444F751}"/>
              </c:ext>
            </c:extLst>
          </c:dPt>
          <c:dPt>
            <c:idx val="396"/>
            <c:bubble3D val="0"/>
            <c:extLst>
              <c:ext xmlns:c16="http://schemas.microsoft.com/office/drawing/2014/chart" uri="{C3380CC4-5D6E-409C-BE32-E72D297353CC}">
                <c16:uniqueId val="{000001A5-1246-4EE1-80A7-1662C444F751}"/>
              </c:ext>
            </c:extLst>
          </c:dPt>
          <c:dPt>
            <c:idx val="397"/>
            <c:bubble3D val="0"/>
            <c:extLst>
              <c:ext xmlns:c16="http://schemas.microsoft.com/office/drawing/2014/chart" uri="{C3380CC4-5D6E-409C-BE32-E72D297353CC}">
                <c16:uniqueId val="{000001A6-1246-4EE1-80A7-1662C444F751}"/>
              </c:ext>
            </c:extLst>
          </c:dPt>
          <c:dPt>
            <c:idx val="398"/>
            <c:bubble3D val="0"/>
            <c:extLst>
              <c:ext xmlns:c16="http://schemas.microsoft.com/office/drawing/2014/chart" uri="{C3380CC4-5D6E-409C-BE32-E72D297353CC}">
                <c16:uniqueId val="{000001A7-1246-4EE1-80A7-1662C444F751}"/>
              </c:ext>
            </c:extLst>
          </c:dPt>
          <c:dPt>
            <c:idx val="399"/>
            <c:bubble3D val="0"/>
            <c:extLst>
              <c:ext xmlns:c16="http://schemas.microsoft.com/office/drawing/2014/chart" uri="{C3380CC4-5D6E-409C-BE32-E72D297353CC}">
                <c16:uniqueId val="{000001A8-1246-4EE1-80A7-1662C444F751}"/>
              </c:ext>
            </c:extLst>
          </c:dPt>
          <c:dPt>
            <c:idx val="400"/>
            <c:bubble3D val="0"/>
            <c:extLst>
              <c:ext xmlns:c16="http://schemas.microsoft.com/office/drawing/2014/chart" uri="{C3380CC4-5D6E-409C-BE32-E72D297353CC}">
                <c16:uniqueId val="{000001A9-1246-4EE1-80A7-1662C444F751}"/>
              </c:ext>
            </c:extLst>
          </c:dPt>
          <c:dPt>
            <c:idx val="401"/>
            <c:bubble3D val="0"/>
            <c:extLst>
              <c:ext xmlns:c16="http://schemas.microsoft.com/office/drawing/2014/chart" uri="{C3380CC4-5D6E-409C-BE32-E72D297353CC}">
                <c16:uniqueId val="{000001AA-1246-4EE1-80A7-1662C444F751}"/>
              </c:ext>
            </c:extLst>
          </c:dPt>
          <c:dPt>
            <c:idx val="402"/>
            <c:bubble3D val="0"/>
            <c:extLst>
              <c:ext xmlns:c16="http://schemas.microsoft.com/office/drawing/2014/chart" uri="{C3380CC4-5D6E-409C-BE32-E72D297353CC}">
                <c16:uniqueId val="{000001AB-1246-4EE1-80A7-1662C444F751}"/>
              </c:ext>
            </c:extLst>
          </c:dPt>
          <c:dPt>
            <c:idx val="403"/>
            <c:bubble3D val="0"/>
            <c:extLst>
              <c:ext xmlns:c16="http://schemas.microsoft.com/office/drawing/2014/chart" uri="{C3380CC4-5D6E-409C-BE32-E72D297353CC}">
                <c16:uniqueId val="{000001AC-1246-4EE1-80A7-1662C444F751}"/>
              </c:ext>
            </c:extLst>
          </c:dPt>
          <c:dPt>
            <c:idx val="404"/>
            <c:bubble3D val="0"/>
            <c:extLst>
              <c:ext xmlns:c16="http://schemas.microsoft.com/office/drawing/2014/chart" uri="{C3380CC4-5D6E-409C-BE32-E72D297353CC}">
                <c16:uniqueId val="{000001AD-1246-4EE1-80A7-1662C444F751}"/>
              </c:ext>
            </c:extLst>
          </c:dPt>
          <c:dPt>
            <c:idx val="405"/>
            <c:bubble3D val="0"/>
            <c:extLst>
              <c:ext xmlns:c16="http://schemas.microsoft.com/office/drawing/2014/chart" uri="{C3380CC4-5D6E-409C-BE32-E72D297353CC}">
                <c16:uniqueId val="{000001AE-1246-4EE1-80A7-1662C444F751}"/>
              </c:ext>
            </c:extLst>
          </c:dPt>
          <c:dPt>
            <c:idx val="406"/>
            <c:bubble3D val="0"/>
            <c:extLst>
              <c:ext xmlns:c16="http://schemas.microsoft.com/office/drawing/2014/chart" uri="{C3380CC4-5D6E-409C-BE32-E72D297353CC}">
                <c16:uniqueId val="{000001AF-1246-4EE1-80A7-1662C444F751}"/>
              </c:ext>
            </c:extLst>
          </c:dPt>
          <c:dPt>
            <c:idx val="407"/>
            <c:bubble3D val="0"/>
            <c:extLst>
              <c:ext xmlns:c16="http://schemas.microsoft.com/office/drawing/2014/chart" uri="{C3380CC4-5D6E-409C-BE32-E72D297353CC}">
                <c16:uniqueId val="{000001B0-1246-4EE1-80A7-1662C444F751}"/>
              </c:ext>
            </c:extLst>
          </c:dPt>
          <c:dPt>
            <c:idx val="408"/>
            <c:bubble3D val="0"/>
            <c:extLst>
              <c:ext xmlns:c16="http://schemas.microsoft.com/office/drawing/2014/chart" uri="{C3380CC4-5D6E-409C-BE32-E72D297353CC}">
                <c16:uniqueId val="{000001B1-1246-4EE1-80A7-1662C444F751}"/>
              </c:ext>
            </c:extLst>
          </c:dPt>
          <c:dPt>
            <c:idx val="409"/>
            <c:bubble3D val="0"/>
            <c:extLst>
              <c:ext xmlns:c16="http://schemas.microsoft.com/office/drawing/2014/chart" uri="{C3380CC4-5D6E-409C-BE32-E72D297353CC}">
                <c16:uniqueId val="{000001B2-1246-4EE1-80A7-1662C444F751}"/>
              </c:ext>
            </c:extLst>
          </c:dPt>
          <c:dPt>
            <c:idx val="410"/>
            <c:bubble3D val="0"/>
            <c:extLst>
              <c:ext xmlns:c16="http://schemas.microsoft.com/office/drawing/2014/chart" uri="{C3380CC4-5D6E-409C-BE32-E72D297353CC}">
                <c16:uniqueId val="{000001B3-1246-4EE1-80A7-1662C444F751}"/>
              </c:ext>
            </c:extLst>
          </c:dPt>
          <c:dPt>
            <c:idx val="411"/>
            <c:bubble3D val="0"/>
            <c:extLst>
              <c:ext xmlns:c16="http://schemas.microsoft.com/office/drawing/2014/chart" uri="{C3380CC4-5D6E-409C-BE32-E72D297353CC}">
                <c16:uniqueId val="{000001B4-1246-4EE1-80A7-1662C444F751}"/>
              </c:ext>
            </c:extLst>
          </c:dPt>
          <c:dPt>
            <c:idx val="412"/>
            <c:bubble3D val="0"/>
            <c:extLst>
              <c:ext xmlns:c16="http://schemas.microsoft.com/office/drawing/2014/chart" uri="{C3380CC4-5D6E-409C-BE32-E72D297353CC}">
                <c16:uniqueId val="{000001B5-1246-4EE1-80A7-1662C444F751}"/>
              </c:ext>
            </c:extLst>
          </c:dPt>
          <c:dPt>
            <c:idx val="413"/>
            <c:bubble3D val="0"/>
            <c:extLst>
              <c:ext xmlns:c16="http://schemas.microsoft.com/office/drawing/2014/chart" uri="{C3380CC4-5D6E-409C-BE32-E72D297353CC}">
                <c16:uniqueId val="{000001B6-1246-4EE1-80A7-1662C444F751}"/>
              </c:ext>
            </c:extLst>
          </c:dPt>
          <c:dPt>
            <c:idx val="414"/>
            <c:bubble3D val="0"/>
            <c:extLst>
              <c:ext xmlns:c16="http://schemas.microsoft.com/office/drawing/2014/chart" uri="{C3380CC4-5D6E-409C-BE32-E72D297353CC}">
                <c16:uniqueId val="{000001B7-1246-4EE1-80A7-1662C444F751}"/>
              </c:ext>
            </c:extLst>
          </c:dPt>
          <c:dPt>
            <c:idx val="415"/>
            <c:bubble3D val="0"/>
            <c:extLst>
              <c:ext xmlns:c16="http://schemas.microsoft.com/office/drawing/2014/chart" uri="{C3380CC4-5D6E-409C-BE32-E72D297353CC}">
                <c16:uniqueId val="{000001B8-1246-4EE1-80A7-1662C444F751}"/>
              </c:ext>
            </c:extLst>
          </c:dPt>
          <c:dPt>
            <c:idx val="416"/>
            <c:bubble3D val="0"/>
            <c:extLst>
              <c:ext xmlns:c16="http://schemas.microsoft.com/office/drawing/2014/chart" uri="{C3380CC4-5D6E-409C-BE32-E72D297353CC}">
                <c16:uniqueId val="{000001B9-1246-4EE1-80A7-1662C444F751}"/>
              </c:ext>
            </c:extLst>
          </c:dPt>
          <c:dPt>
            <c:idx val="417"/>
            <c:bubble3D val="0"/>
            <c:extLst>
              <c:ext xmlns:c16="http://schemas.microsoft.com/office/drawing/2014/chart" uri="{C3380CC4-5D6E-409C-BE32-E72D297353CC}">
                <c16:uniqueId val="{000001BA-1246-4EE1-80A7-1662C444F751}"/>
              </c:ext>
            </c:extLst>
          </c:dPt>
          <c:dPt>
            <c:idx val="418"/>
            <c:bubble3D val="0"/>
            <c:extLst>
              <c:ext xmlns:c16="http://schemas.microsoft.com/office/drawing/2014/chart" uri="{C3380CC4-5D6E-409C-BE32-E72D297353CC}">
                <c16:uniqueId val="{000001BB-1246-4EE1-80A7-1662C444F751}"/>
              </c:ext>
            </c:extLst>
          </c:dPt>
          <c:dPt>
            <c:idx val="419"/>
            <c:bubble3D val="0"/>
            <c:extLst>
              <c:ext xmlns:c16="http://schemas.microsoft.com/office/drawing/2014/chart" uri="{C3380CC4-5D6E-409C-BE32-E72D297353CC}">
                <c16:uniqueId val="{000001BC-1246-4EE1-80A7-1662C444F751}"/>
              </c:ext>
            </c:extLst>
          </c:dPt>
          <c:dPt>
            <c:idx val="420"/>
            <c:bubble3D val="0"/>
            <c:extLst>
              <c:ext xmlns:c16="http://schemas.microsoft.com/office/drawing/2014/chart" uri="{C3380CC4-5D6E-409C-BE32-E72D297353CC}">
                <c16:uniqueId val="{000001BD-1246-4EE1-80A7-1662C444F751}"/>
              </c:ext>
            </c:extLst>
          </c:dPt>
          <c:dPt>
            <c:idx val="421"/>
            <c:bubble3D val="0"/>
            <c:extLst>
              <c:ext xmlns:c16="http://schemas.microsoft.com/office/drawing/2014/chart" uri="{C3380CC4-5D6E-409C-BE32-E72D297353CC}">
                <c16:uniqueId val="{000001BE-1246-4EE1-80A7-1662C444F751}"/>
              </c:ext>
            </c:extLst>
          </c:dPt>
          <c:dPt>
            <c:idx val="422"/>
            <c:bubble3D val="0"/>
            <c:extLst>
              <c:ext xmlns:c16="http://schemas.microsoft.com/office/drawing/2014/chart" uri="{C3380CC4-5D6E-409C-BE32-E72D297353CC}">
                <c16:uniqueId val="{000001BF-1246-4EE1-80A7-1662C444F751}"/>
              </c:ext>
            </c:extLst>
          </c:dPt>
          <c:dPt>
            <c:idx val="423"/>
            <c:bubble3D val="0"/>
            <c:extLst>
              <c:ext xmlns:c16="http://schemas.microsoft.com/office/drawing/2014/chart" uri="{C3380CC4-5D6E-409C-BE32-E72D297353CC}">
                <c16:uniqueId val="{000001C0-1246-4EE1-80A7-1662C444F751}"/>
              </c:ext>
            </c:extLst>
          </c:dPt>
          <c:dPt>
            <c:idx val="424"/>
            <c:bubble3D val="0"/>
            <c:extLst>
              <c:ext xmlns:c16="http://schemas.microsoft.com/office/drawing/2014/chart" uri="{C3380CC4-5D6E-409C-BE32-E72D297353CC}">
                <c16:uniqueId val="{000001C1-1246-4EE1-80A7-1662C444F751}"/>
              </c:ext>
            </c:extLst>
          </c:dPt>
          <c:dPt>
            <c:idx val="425"/>
            <c:bubble3D val="0"/>
            <c:extLst>
              <c:ext xmlns:c16="http://schemas.microsoft.com/office/drawing/2014/chart" uri="{C3380CC4-5D6E-409C-BE32-E72D297353CC}">
                <c16:uniqueId val="{000001C2-1246-4EE1-80A7-1662C444F751}"/>
              </c:ext>
            </c:extLst>
          </c:dPt>
          <c:dPt>
            <c:idx val="426"/>
            <c:bubble3D val="0"/>
            <c:extLst>
              <c:ext xmlns:c16="http://schemas.microsoft.com/office/drawing/2014/chart" uri="{C3380CC4-5D6E-409C-BE32-E72D297353CC}">
                <c16:uniqueId val="{000001C3-1246-4EE1-80A7-1662C444F751}"/>
              </c:ext>
            </c:extLst>
          </c:dPt>
          <c:dPt>
            <c:idx val="427"/>
            <c:bubble3D val="0"/>
            <c:extLst>
              <c:ext xmlns:c16="http://schemas.microsoft.com/office/drawing/2014/chart" uri="{C3380CC4-5D6E-409C-BE32-E72D297353CC}">
                <c16:uniqueId val="{000001C4-1246-4EE1-80A7-1662C444F751}"/>
              </c:ext>
            </c:extLst>
          </c:dPt>
          <c:dPt>
            <c:idx val="428"/>
            <c:bubble3D val="0"/>
            <c:extLst>
              <c:ext xmlns:c16="http://schemas.microsoft.com/office/drawing/2014/chart" uri="{C3380CC4-5D6E-409C-BE32-E72D297353CC}">
                <c16:uniqueId val="{000001C5-1246-4EE1-80A7-1662C444F751}"/>
              </c:ext>
            </c:extLst>
          </c:dPt>
          <c:dPt>
            <c:idx val="429"/>
            <c:bubble3D val="0"/>
            <c:extLst>
              <c:ext xmlns:c16="http://schemas.microsoft.com/office/drawing/2014/chart" uri="{C3380CC4-5D6E-409C-BE32-E72D297353CC}">
                <c16:uniqueId val="{000001C6-1246-4EE1-80A7-1662C444F751}"/>
              </c:ext>
            </c:extLst>
          </c:dPt>
          <c:dPt>
            <c:idx val="430"/>
            <c:bubble3D val="0"/>
            <c:extLst>
              <c:ext xmlns:c16="http://schemas.microsoft.com/office/drawing/2014/chart" uri="{C3380CC4-5D6E-409C-BE32-E72D297353CC}">
                <c16:uniqueId val="{000001C7-1246-4EE1-80A7-1662C444F751}"/>
              </c:ext>
            </c:extLst>
          </c:dPt>
          <c:dPt>
            <c:idx val="431"/>
            <c:bubble3D val="0"/>
            <c:extLst>
              <c:ext xmlns:c16="http://schemas.microsoft.com/office/drawing/2014/chart" uri="{C3380CC4-5D6E-409C-BE32-E72D297353CC}">
                <c16:uniqueId val="{000001C8-1246-4EE1-80A7-1662C444F751}"/>
              </c:ext>
            </c:extLst>
          </c:dPt>
          <c:dPt>
            <c:idx val="432"/>
            <c:bubble3D val="0"/>
            <c:extLst>
              <c:ext xmlns:c16="http://schemas.microsoft.com/office/drawing/2014/chart" uri="{C3380CC4-5D6E-409C-BE32-E72D297353CC}">
                <c16:uniqueId val="{000001C9-1246-4EE1-80A7-1662C444F751}"/>
              </c:ext>
            </c:extLst>
          </c:dPt>
          <c:dPt>
            <c:idx val="433"/>
            <c:bubble3D val="0"/>
            <c:extLst>
              <c:ext xmlns:c16="http://schemas.microsoft.com/office/drawing/2014/chart" uri="{C3380CC4-5D6E-409C-BE32-E72D297353CC}">
                <c16:uniqueId val="{000001CA-1246-4EE1-80A7-1662C444F751}"/>
              </c:ext>
            </c:extLst>
          </c:dPt>
          <c:dPt>
            <c:idx val="434"/>
            <c:bubble3D val="0"/>
            <c:extLst>
              <c:ext xmlns:c16="http://schemas.microsoft.com/office/drawing/2014/chart" uri="{C3380CC4-5D6E-409C-BE32-E72D297353CC}">
                <c16:uniqueId val="{000001CB-1246-4EE1-80A7-1662C444F751}"/>
              </c:ext>
            </c:extLst>
          </c:dPt>
          <c:dPt>
            <c:idx val="435"/>
            <c:bubble3D val="0"/>
            <c:extLst>
              <c:ext xmlns:c16="http://schemas.microsoft.com/office/drawing/2014/chart" uri="{C3380CC4-5D6E-409C-BE32-E72D297353CC}">
                <c16:uniqueId val="{000001CC-1246-4EE1-80A7-1662C444F751}"/>
              </c:ext>
            </c:extLst>
          </c:dPt>
          <c:dPt>
            <c:idx val="436"/>
            <c:bubble3D val="0"/>
            <c:extLst>
              <c:ext xmlns:c16="http://schemas.microsoft.com/office/drawing/2014/chart" uri="{C3380CC4-5D6E-409C-BE32-E72D297353CC}">
                <c16:uniqueId val="{000001CD-1246-4EE1-80A7-1662C444F751}"/>
              </c:ext>
            </c:extLst>
          </c:dPt>
          <c:dPt>
            <c:idx val="437"/>
            <c:bubble3D val="0"/>
            <c:extLst>
              <c:ext xmlns:c16="http://schemas.microsoft.com/office/drawing/2014/chart" uri="{C3380CC4-5D6E-409C-BE32-E72D297353CC}">
                <c16:uniqueId val="{000001CE-1246-4EE1-80A7-1662C444F751}"/>
              </c:ext>
            </c:extLst>
          </c:dPt>
          <c:dPt>
            <c:idx val="438"/>
            <c:bubble3D val="0"/>
            <c:extLst>
              <c:ext xmlns:c16="http://schemas.microsoft.com/office/drawing/2014/chart" uri="{C3380CC4-5D6E-409C-BE32-E72D297353CC}">
                <c16:uniqueId val="{000001CF-1246-4EE1-80A7-1662C444F751}"/>
              </c:ext>
            </c:extLst>
          </c:dPt>
          <c:dPt>
            <c:idx val="439"/>
            <c:bubble3D val="0"/>
            <c:extLst>
              <c:ext xmlns:c16="http://schemas.microsoft.com/office/drawing/2014/chart" uri="{C3380CC4-5D6E-409C-BE32-E72D297353CC}">
                <c16:uniqueId val="{000001D0-1246-4EE1-80A7-1662C444F751}"/>
              </c:ext>
            </c:extLst>
          </c:dPt>
          <c:dPt>
            <c:idx val="440"/>
            <c:bubble3D val="0"/>
            <c:extLst>
              <c:ext xmlns:c16="http://schemas.microsoft.com/office/drawing/2014/chart" uri="{C3380CC4-5D6E-409C-BE32-E72D297353CC}">
                <c16:uniqueId val="{000001D1-1246-4EE1-80A7-1662C444F751}"/>
              </c:ext>
            </c:extLst>
          </c:dPt>
          <c:dPt>
            <c:idx val="441"/>
            <c:bubble3D val="0"/>
            <c:extLst>
              <c:ext xmlns:c16="http://schemas.microsoft.com/office/drawing/2014/chart" uri="{C3380CC4-5D6E-409C-BE32-E72D297353CC}">
                <c16:uniqueId val="{000001D2-1246-4EE1-80A7-1662C444F751}"/>
              </c:ext>
            </c:extLst>
          </c:dPt>
          <c:dPt>
            <c:idx val="442"/>
            <c:bubble3D val="0"/>
            <c:extLst>
              <c:ext xmlns:c16="http://schemas.microsoft.com/office/drawing/2014/chart" uri="{C3380CC4-5D6E-409C-BE32-E72D297353CC}">
                <c16:uniqueId val="{000001D3-1246-4EE1-80A7-1662C444F751}"/>
              </c:ext>
            </c:extLst>
          </c:dPt>
          <c:dPt>
            <c:idx val="443"/>
            <c:bubble3D val="0"/>
            <c:extLst>
              <c:ext xmlns:c16="http://schemas.microsoft.com/office/drawing/2014/chart" uri="{C3380CC4-5D6E-409C-BE32-E72D297353CC}">
                <c16:uniqueId val="{000001D4-1246-4EE1-80A7-1662C444F751}"/>
              </c:ext>
            </c:extLst>
          </c:dPt>
          <c:dPt>
            <c:idx val="444"/>
            <c:bubble3D val="0"/>
            <c:extLst>
              <c:ext xmlns:c16="http://schemas.microsoft.com/office/drawing/2014/chart" uri="{C3380CC4-5D6E-409C-BE32-E72D297353CC}">
                <c16:uniqueId val="{000001D5-1246-4EE1-80A7-1662C444F751}"/>
              </c:ext>
            </c:extLst>
          </c:dPt>
          <c:dPt>
            <c:idx val="445"/>
            <c:bubble3D val="0"/>
            <c:extLst>
              <c:ext xmlns:c16="http://schemas.microsoft.com/office/drawing/2014/chart" uri="{C3380CC4-5D6E-409C-BE32-E72D297353CC}">
                <c16:uniqueId val="{000001D6-1246-4EE1-80A7-1662C444F751}"/>
              </c:ext>
            </c:extLst>
          </c:dPt>
          <c:dPt>
            <c:idx val="446"/>
            <c:bubble3D val="0"/>
            <c:extLst>
              <c:ext xmlns:c16="http://schemas.microsoft.com/office/drawing/2014/chart" uri="{C3380CC4-5D6E-409C-BE32-E72D297353CC}">
                <c16:uniqueId val="{000001D7-1246-4EE1-80A7-1662C444F751}"/>
              </c:ext>
            </c:extLst>
          </c:dPt>
          <c:dPt>
            <c:idx val="447"/>
            <c:bubble3D val="0"/>
            <c:extLst>
              <c:ext xmlns:c16="http://schemas.microsoft.com/office/drawing/2014/chart" uri="{C3380CC4-5D6E-409C-BE32-E72D297353CC}">
                <c16:uniqueId val="{000001D8-1246-4EE1-80A7-1662C444F751}"/>
              </c:ext>
            </c:extLst>
          </c:dPt>
          <c:dPt>
            <c:idx val="448"/>
            <c:bubble3D val="0"/>
            <c:extLst>
              <c:ext xmlns:c16="http://schemas.microsoft.com/office/drawing/2014/chart" uri="{C3380CC4-5D6E-409C-BE32-E72D297353CC}">
                <c16:uniqueId val="{000001D9-1246-4EE1-80A7-1662C444F751}"/>
              </c:ext>
            </c:extLst>
          </c:dPt>
          <c:dPt>
            <c:idx val="449"/>
            <c:bubble3D val="0"/>
            <c:extLst>
              <c:ext xmlns:c16="http://schemas.microsoft.com/office/drawing/2014/chart" uri="{C3380CC4-5D6E-409C-BE32-E72D297353CC}">
                <c16:uniqueId val="{000001DA-1246-4EE1-80A7-1662C444F751}"/>
              </c:ext>
            </c:extLst>
          </c:dPt>
          <c:dPt>
            <c:idx val="450"/>
            <c:bubble3D val="0"/>
            <c:extLst>
              <c:ext xmlns:c16="http://schemas.microsoft.com/office/drawing/2014/chart" uri="{C3380CC4-5D6E-409C-BE32-E72D297353CC}">
                <c16:uniqueId val="{000001DB-1246-4EE1-80A7-1662C444F751}"/>
              </c:ext>
            </c:extLst>
          </c:dPt>
          <c:dPt>
            <c:idx val="451"/>
            <c:bubble3D val="0"/>
            <c:extLst>
              <c:ext xmlns:c16="http://schemas.microsoft.com/office/drawing/2014/chart" uri="{C3380CC4-5D6E-409C-BE32-E72D297353CC}">
                <c16:uniqueId val="{000001DC-1246-4EE1-80A7-1662C444F751}"/>
              </c:ext>
            </c:extLst>
          </c:dPt>
          <c:dPt>
            <c:idx val="452"/>
            <c:bubble3D val="0"/>
            <c:extLst>
              <c:ext xmlns:c16="http://schemas.microsoft.com/office/drawing/2014/chart" uri="{C3380CC4-5D6E-409C-BE32-E72D297353CC}">
                <c16:uniqueId val="{000001DD-1246-4EE1-80A7-1662C444F751}"/>
              </c:ext>
            </c:extLst>
          </c:dPt>
          <c:dPt>
            <c:idx val="453"/>
            <c:bubble3D val="0"/>
            <c:extLst>
              <c:ext xmlns:c16="http://schemas.microsoft.com/office/drawing/2014/chart" uri="{C3380CC4-5D6E-409C-BE32-E72D297353CC}">
                <c16:uniqueId val="{000001DE-1246-4EE1-80A7-1662C444F751}"/>
              </c:ext>
            </c:extLst>
          </c:dPt>
          <c:dPt>
            <c:idx val="454"/>
            <c:bubble3D val="0"/>
            <c:extLst>
              <c:ext xmlns:c16="http://schemas.microsoft.com/office/drawing/2014/chart" uri="{C3380CC4-5D6E-409C-BE32-E72D297353CC}">
                <c16:uniqueId val="{000001DF-1246-4EE1-80A7-1662C444F751}"/>
              </c:ext>
            </c:extLst>
          </c:dPt>
          <c:dPt>
            <c:idx val="455"/>
            <c:bubble3D val="0"/>
            <c:extLst>
              <c:ext xmlns:c16="http://schemas.microsoft.com/office/drawing/2014/chart" uri="{C3380CC4-5D6E-409C-BE32-E72D297353CC}">
                <c16:uniqueId val="{000001E0-1246-4EE1-80A7-1662C444F751}"/>
              </c:ext>
            </c:extLst>
          </c:dPt>
          <c:dPt>
            <c:idx val="456"/>
            <c:bubble3D val="0"/>
            <c:extLst>
              <c:ext xmlns:c16="http://schemas.microsoft.com/office/drawing/2014/chart" uri="{C3380CC4-5D6E-409C-BE32-E72D297353CC}">
                <c16:uniqueId val="{000001E1-1246-4EE1-80A7-1662C444F751}"/>
              </c:ext>
            </c:extLst>
          </c:dPt>
          <c:dPt>
            <c:idx val="457"/>
            <c:bubble3D val="0"/>
            <c:extLst>
              <c:ext xmlns:c16="http://schemas.microsoft.com/office/drawing/2014/chart" uri="{C3380CC4-5D6E-409C-BE32-E72D297353CC}">
                <c16:uniqueId val="{000001E2-1246-4EE1-80A7-1662C444F751}"/>
              </c:ext>
            </c:extLst>
          </c:dPt>
          <c:dPt>
            <c:idx val="458"/>
            <c:bubble3D val="0"/>
            <c:extLst>
              <c:ext xmlns:c16="http://schemas.microsoft.com/office/drawing/2014/chart" uri="{C3380CC4-5D6E-409C-BE32-E72D297353CC}">
                <c16:uniqueId val="{000001E3-1246-4EE1-80A7-1662C444F751}"/>
              </c:ext>
            </c:extLst>
          </c:dPt>
          <c:dPt>
            <c:idx val="459"/>
            <c:bubble3D val="0"/>
            <c:extLst>
              <c:ext xmlns:c16="http://schemas.microsoft.com/office/drawing/2014/chart" uri="{C3380CC4-5D6E-409C-BE32-E72D297353CC}">
                <c16:uniqueId val="{000001E4-1246-4EE1-80A7-1662C444F751}"/>
              </c:ext>
            </c:extLst>
          </c:dPt>
          <c:dPt>
            <c:idx val="460"/>
            <c:bubble3D val="0"/>
            <c:extLst>
              <c:ext xmlns:c16="http://schemas.microsoft.com/office/drawing/2014/chart" uri="{C3380CC4-5D6E-409C-BE32-E72D297353CC}">
                <c16:uniqueId val="{000001E5-1246-4EE1-80A7-1662C444F751}"/>
              </c:ext>
            </c:extLst>
          </c:dPt>
          <c:dPt>
            <c:idx val="461"/>
            <c:bubble3D val="0"/>
            <c:extLst>
              <c:ext xmlns:c16="http://schemas.microsoft.com/office/drawing/2014/chart" uri="{C3380CC4-5D6E-409C-BE32-E72D297353CC}">
                <c16:uniqueId val="{000001E6-1246-4EE1-80A7-1662C444F751}"/>
              </c:ext>
            </c:extLst>
          </c:dPt>
          <c:dPt>
            <c:idx val="462"/>
            <c:bubble3D val="0"/>
            <c:extLst>
              <c:ext xmlns:c16="http://schemas.microsoft.com/office/drawing/2014/chart" uri="{C3380CC4-5D6E-409C-BE32-E72D297353CC}">
                <c16:uniqueId val="{000001E7-1246-4EE1-80A7-1662C444F751}"/>
              </c:ext>
            </c:extLst>
          </c:dPt>
          <c:dPt>
            <c:idx val="463"/>
            <c:bubble3D val="0"/>
            <c:extLst>
              <c:ext xmlns:c16="http://schemas.microsoft.com/office/drawing/2014/chart" uri="{C3380CC4-5D6E-409C-BE32-E72D297353CC}">
                <c16:uniqueId val="{000001E8-1246-4EE1-80A7-1662C444F751}"/>
              </c:ext>
            </c:extLst>
          </c:dPt>
          <c:dPt>
            <c:idx val="464"/>
            <c:bubble3D val="0"/>
            <c:extLst>
              <c:ext xmlns:c16="http://schemas.microsoft.com/office/drawing/2014/chart" uri="{C3380CC4-5D6E-409C-BE32-E72D297353CC}">
                <c16:uniqueId val="{000001E9-1246-4EE1-80A7-1662C444F751}"/>
              </c:ext>
            </c:extLst>
          </c:dPt>
          <c:dPt>
            <c:idx val="465"/>
            <c:bubble3D val="0"/>
            <c:extLst>
              <c:ext xmlns:c16="http://schemas.microsoft.com/office/drawing/2014/chart" uri="{C3380CC4-5D6E-409C-BE32-E72D297353CC}">
                <c16:uniqueId val="{000001EA-1246-4EE1-80A7-1662C444F751}"/>
              </c:ext>
            </c:extLst>
          </c:dPt>
          <c:dPt>
            <c:idx val="466"/>
            <c:bubble3D val="0"/>
            <c:extLst>
              <c:ext xmlns:c16="http://schemas.microsoft.com/office/drawing/2014/chart" uri="{C3380CC4-5D6E-409C-BE32-E72D297353CC}">
                <c16:uniqueId val="{000001EB-1246-4EE1-80A7-1662C444F751}"/>
              </c:ext>
            </c:extLst>
          </c:dPt>
          <c:dPt>
            <c:idx val="467"/>
            <c:bubble3D val="0"/>
            <c:extLst>
              <c:ext xmlns:c16="http://schemas.microsoft.com/office/drawing/2014/chart" uri="{C3380CC4-5D6E-409C-BE32-E72D297353CC}">
                <c16:uniqueId val="{000001EC-1246-4EE1-80A7-1662C444F751}"/>
              </c:ext>
            </c:extLst>
          </c:dPt>
          <c:dPt>
            <c:idx val="468"/>
            <c:bubble3D val="0"/>
            <c:extLst>
              <c:ext xmlns:c16="http://schemas.microsoft.com/office/drawing/2014/chart" uri="{C3380CC4-5D6E-409C-BE32-E72D297353CC}">
                <c16:uniqueId val="{000001ED-1246-4EE1-80A7-1662C444F751}"/>
              </c:ext>
            </c:extLst>
          </c:dPt>
          <c:dPt>
            <c:idx val="469"/>
            <c:bubble3D val="0"/>
            <c:extLst>
              <c:ext xmlns:c16="http://schemas.microsoft.com/office/drawing/2014/chart" uri="{C3380CC4-5D6E-409C-BE32-E72D297353CC}">
                <c16:uniqueId val="{000001EE-1246-4EE1-80A7-1662C444F751}"/>
              </c:ext>
            </c:extLst>
          </c:dPt>
          <c:dPt>
            <c:idx val="470"/>
            <c:bubble3D val="0"/>
            <c:extLst>
              <c:ext xmlns:c16="http://schemas.microsoft.com/office/drawing/2014/chart" uri="{C3380CC4-5D6E-409C-BE32-E72D297353CC}">
                <c16:uniqueId val="{000001EF-1246-4EE1-80A7-1662C444F751}"/>
              </c:ext>
            </c:extLst>
          </c:dPt>
          <c:dPt>
            <c:idx val="471"/>
            <c:bubble3D val="0"/>
            <c:extLst>
              <c:ext xmlns:c16="http://schemas.microsoft.com/office/drawing/2014/chart" uri="{C3380CC4-5D6E-409C-BE32-E72D297353CC}">
                <c16:uniqueId val="{000001F0-1246-4EE1-80A7-1662C444F751}"/>
              </c:ext>
            </c:extLst>
          </c:dPt>
          <c:dPt>
            <c:idx val="472"/>
            <c:bubble3D val="0"/>
            <c:extLst>
              <c:ext xmlns:c16="http://schemas.microsoft.com/office/drawing/2014/chart" uri="{C3380CC4-5D6E-409C-BE32-E72D297353CC}">
                <c16:uniqueId val="{000001F1-1246-4EE1-80A7-1662C444F751}"/>
              </c:ext>
            </c:extLst>
          </c:dPt>
          <c:dPt>
            <c:idx val="473"/>
            <c:bubble3D val="0"/>
            <c:extLst>
              <c:ext xmlns:c16="http://schemas.microsoft.com/office/drawing/2014/chart" uri="{C3380CC4-5D6E-409C-BE32-E72D297353CC}">
                <c16:uniqueId val="{000001F2-1246-4EE1-80A7-1662C444F751}"/>
              </c:ext>
            </c:extLst>
          </c:dPt>
          <c:dPt>
            <c:idx val="474"/>
            <c:bubble3D val="0"/>
            <c:extLst>
              <c:ext xmlns:c16="http://schemas.microsoft.com/office/drawing/2014/chart" uri="{C3380CC4-5D6E-409C-BE32-E72D297353CC}">
                <c16:uniqueId val="{000001F3-1246-4EE1-80A7-1662C444F751}"/>
              </c:ext>
            </c:extLst>
          </c:dPt>
          <c:dPt>
            <c:idx val="475"/>
            <c:bubble3D val="0"/>
            <c:extLst>
              <c:ext xmlns:c16="http://schemas.microsoft.com/office/drawing/2014/chart" uri="{C3380CC4-5D6E-409C-BE32-E72D297353CC}">
                <c16:uniqueId val="{000001F4-1246-4EE1-80A7-1662C444F751}"/>
              </c:ext>
            </c:extLst>
          </c:dPt>
          <c:dPt>
            <c:idx val="476"/>
            <c:bubble3D val="0"/>
            <c:extLst>
              <c:ext xmlns:c16="http://schemas.microsoft.com/office/drawing/2014/chart" uri="{C3380CC4-5D6E-409C-BE32-E72D297353CC}">
                <c16:uniqueId val="{000001F5-1246-4EE1-80A7-1662C444F751}"/>
              </c:ext>
            </c:extLst>
          </c:dPt>
          <c:dPt>
            <c:idx val="477"/>
            <c:bubble3D val="0"/>
            <c:extLst>
              <c:ext xmlns:c16="http://schemas.microsoft.com/office/drawing/2014/chart" uri="{C3380CC4-5D6E-409C-BE32-E72D297353CC}">
                <c16:uniqueId val="{000001F6-1246-4EE1-80A7-1662C444F751}"/>
              </c:ext>
            </c:extLst>
          </c:dPt>
          <c:dPt>
            <c:idx val="478"/>
            <c:bubble3D val="0"/>
            <c:extLst>
              <c:ext xmlns:c16="http://schemas.microsoft.com/office/drawing/2014/chart" uri="{C3380CC4-5D6E-409C-BE32-E72D297353CC}">
                <c16:uniqueId val="{000001F7-1246-4EE1-80A7-1662C444F751}"/>
              </c:ext>
            </c:extLst>
          </c:dPt>
          <c:dPt>
            <c:idx val="479"/>
            <c:bubble3D val="0"/>
            <c:extLst>
              <c:ext xmlns:c16="http://schemas.microsoft.com/office/drawing/2014/chart" uri="{C3380CC4-5D6E-409C-BE32-E72D297353CC}">
                <c16:uniqueId val="{000001F8-1246-4EE1-80A7-1662C444F751}"/>
              </c:ext>
            </c:extLst>
          </c:dPt>
          <c:dPt>
            <c:idx val="480"/>
            <c:bubble3D val="0"/>
            <c:extLst>
              <c:ext xmlns:c16="http://schemas.microsoft.com/office/drawing/2014/chart" uri="{C3380CC4-5D6E-409C-BE32-E72D297353CC}">
                <c16:uniqueId val="{000001F9-1246-4EE1-80A7-1662C444F751}"/>
              </c:ext>
            </c:extLst>
          </c:dPt>
          <c:dPt>
            <c:idx val="481"/>
            <c:bubble3D val="0"/>
            <c:extLst>
              <c:ext xmlns:c16="http://schemas.microsoft.com/office/drawing/2014/chart" uri="{C3380CC4-5D6E-409C-BE32-E72D297353CC}">
                <c16:uniqueId val="{000001FA-1246-4EE1-80A7-1662C444F751}"/>
              </c:ext>
            </c:extLst>
          </c:dPt>
          <c:dPt>
            <c:idx val="482"/>
            <c:bubble3D val="0"/>
            <c:extLst>
              <c:ext xmlns:c16="http://schemas.microsoft.com/office/drawing/2014/chart" uri="{C3380CC4-5D6E-409C-BE32-E72D297353CC}">
                <c16:uniqueId val="{000001FB-1246-4EE1-80A7-1662C444F751}"/>
              </c:ext>
            </c:extLst>
          </c:dPt>
          <c:dPt>
            <c:idx val="483"/>
            <c:bubble3D val="0"/>
            <c:extLst>
              <c:ext xmlns:c16="http://schemas.microsoft.com/office/drawing/2014/chart" uri="{C3380CC4-5D6E-409C-BE32-E72D297353CC}">
                <c16:uniqueId val="{000001FC-1246-4EE1-80A7-1662C444F751}"/>
              </c:ext>
            </c:extLst>
          </c:dPt>
          <c:dPt>
            <c:idx val="484"/>
            <c:bubble3D val="0"/>
            <c:extLst>
              <c:ext xmlns:c16="http://schemas.microsoft.com/office/drawing/2014/chart" uri="{C3380CC4-5D6E-409C-BE32-E72D297353CC}">
                <c16:uniqueId val="{000001FD-1246-4EE1-80A7-1662C444F751}"/>
              </c:ext>
            </c:extLst>
          </c:dPt>
          <c:dPt>
            <c:idx val="485"/>
            <c:bubble3D val="0"/>
            <c:extLst>
              <c:ext xmlns:c16="http://schemas.microsoft.com/office/drawing/2014/chart" uri="{C3380CC4-5D6E-409C-BE32-E72D297353CC}">
                <c16:uniqueId val="{000001FE-1246-4EE1-80A7-1662C444F751}"/>
              </c:ext>
            </c:extLst>
          </c:dPt>
          <c:dPt>
            <c:idx val="486"/>
            <c:bubble3D val="0"/>
            <c:extLst>
              <c:ext xmlns:c16="http://schemas.microsoft.com/office/drawing/2014/chart" uri="{C3380CC4-5D6E-409C-BE32-E72D297353CC}">
                <c16:uniqueId val="{000001FF-1246-4EE1-80A7-1662C444F751}"/>
              </c:ext>
            </c:extLst>
          </c:dPt>
          <c:dPt>
            <c:idx val="487"/>
            <c:bubble3D val="0"/>
            <c:extLst>
              <c:ext xmlns:c16="http://schemas.microsoft.com/office/drawing/2014/chart" uri="{C3380CC4-5D6E-409C-BE32-E72D297353CC}">
                <c16:uniqueId val="{00000200-1246-4EE1-80A7-1662C444F751}"/>
              </c:ext>
            </c:extLst>
          </c:dPt>
          <c:dPt>
            <c:idx val="488"/>
            <c:bubble3D val="0"/>
            <c:extLst>
              <c:ext xmlns:c16="http://schemas.microsoft.com/office/drawing/2014/chart" uri="{C3380CC4-5D6E-409C-BE32-E72D297353CC}">
                <c16:uniqueId val="{00000201-1246-4EE1-80A7-1662C444F751}"/>
              </c:ext>
            </c:extLst>
          </c:dPt>
          <c:dPt>
            <c:idx val="489"/>
            <c:bubble3D val="0"/>
            <c:extLst>
              <c:ext xmlns:c16="http://schemas.microsoft.com/office/drawing/2014/chart" uri="{C3380CC4-5D6E-409C-BE32-E72D297353CC}">
                <c16:uniqueId val="{00000202-1246-4EE1-80A7-1662C444F751}"/>
              </c:ext>
            </c:extLst>
          </c:dPt>
          <c:dPt>
            <c:idx val="490"/>
            <c:bubble3D val="0"/>
            <c:extLst>
              <c:ext xmlns:c16="http://schemas.microsoft.com/office/drawing/2014/chart" uri="{C3380CC4-5D6E-409C-BE32-E72D297353CC}">
                <c16:uniqueId val="{00000203-1246-4EE1-80A7-1662C444F751}"/>
              </c:ext>
            </c:extLst>
          </c:dPt>
          <c:dPt>
            <c:idx val="491"/>
            <c:bubble3D val="0"/>
            <c:extLst>
              <c:ext xmlns:c16="http://schemas.microsoft.com/office/drawing/2014/chart" uri="{C3380CC4-5D6E-409C-BE32-E72D297353CC}">
                <c16:uniqueId val="{00000204-1246-4EE1-80A7-1662C444F751}"/>
              </c:ext>
            </c:extLst>
          </c:dPt>
          <c:dPt>
            <c:idx val="492"/>
            <c:bubble3D val="0"/>
            <c:extLst>
              <c:ext xmlns:c16="http://schemas.microsoft.com/office/drawing/2014/chart" uri="{C3380CC4-5D6E-409C-BE32-E72D297353CC}">
                <c16:uniqueId val="{00000205-1246-4EE1-80A7-1662C444F751}"/>
              </c:ext>
            </c:extLst>
          </c:dPt>
          <c:dPt>
            <c:idx val="493"/>
            <c:bubble3D val="0"/>
            <c:extLst>
              <c:ext xmlns:c16="http://schemas.microsoft.com/office/drawing/2014/chart" uri="{C3380CC4-5D6E-409C-BE32-E72D297353CC}">
                <c16:uniqueId val="{00000206-1246-4EE1-80A7-1662C444F751}"/>
              </c:ext>
            </c:extLst>
          </c:dPt>
          <c:dPt>
            <c:idx val="494"/>
            <c:bubble3D val="0"/>
            <c:extLst>
              <c:ext xmlns:c16="http://schemas.microsoft.com/office/drawing/2014/chart" uri="{C3380CC4-5D6E-409C-BE32-E72D297353CC}">
                <c16:uniqueId val="{00000207-1246-4EE1-80A7-1662C444F751}"/>
              </c:ext>
            </c:extLst>
          </c:dPt>
          <c:dPt>
            <c:idx val="495"/>
            <c:bubble3D val="0"/>
            <c:extLst>
              <c:ext xmlns:c16="http://schemas.microsoft.com/office/drawing/2014/chart" uri="{C3380CC4-5D6E-409C-BE32-E72D297353CC}">
                <c16:uniqueId val="{00000208-1246-4EE1-80A7-1662C444F751}"/>
              </c:ext>
            </c:extLst>
          </c:dPt>
          <c:dPt>
            <c:idx val="496"/>
            <c:bubble3D val="0"/>
            <c:extLst>
              <c:ext xmlns:c16="http://schemas.microsoft.com/office/drawing/2014/chart" uri="{C3380CC4-5D6E-409C-BE32-E72D297353CC}">
                <c16:uniqueId val="{00000209-1246-4EE1-80A7-1662C444F751}"/>
              </c:ext>
            </c:extLst>
          </c:dPt>
          <c:dPt>
            <c:idx val="497"/>
            <c:bubble3D val="0"/>
            <c:extLst>
              <c:ext xmlns:c16="http://schemas.microsoft.com/office/drawing/2014/chart" uri="{C3380CC4-5D6E-409C-BE32-E72D297353CC}">
                <c16:uniqueId val="{0000020A-1246-4EE1-80A7-1662C444F751}"/>
              </c:ext>
            </c:extLst>
          </c:dPt>
          <c:dPt>
            <c:idx val="498"/>
            <c:bubble3D val="0"/>
            <c:extLst>
              <c:ext xmlns:c16="http://schemas.microsoft.com/office/drawing/2014/chart" uri="{C3380CC4-5D6E-409C-BE32-E72D297353CC}">
                <c16:uniqueId val="{0000020B-1246-4EE1-80A7-1662C444F751}"/>
              </c:ext>
            </c:extLst>
          </c:dPt>
          <c:dPt>
            <c:idx val="499"/>
            <c:bubble3D val="0"/>
            <c:extLst>
              <c:ext xmlns:c16="http://schemas.microsoft.com/office/drawing/2014/chart" uri="{C3380CC4-5D6E-409C-BE32-E72D297353CC}">
                <c16:uniqueId val="{0000020C-1246-4EE1-80A7-1662C444F751}"/>
              </c:ext>
            </c:extLst>
          </c:dPt>
          <c:dPt>
            <c:idx val="500"/>
            <c:bubble3D val="0"/>
            <c:extLst>
              <c:ext xmlns:c16="http://schemas.microsoft.com/office/drawing/2014/chart" uri="{C3380CC4-5D6E-409C-BE32-E72D297353CC}">
                <c16:uniqueId val="{0000020D-1246-4EE1-80A7-1662C444F751}"/>
              </c:ext>
            </c:extLst>
          </c:dPt>
          <c:dPt>
            <c:idx val="501"/>
            <c:bubble3D val="0"/>
            <c:extLst>
              <c:ext xmlns:c16="http://schemas.microsoft.com/office/drawing/2014/chart" uri="{C3380CC4-5D6E-409C-BE32-E72D297353CC}">
                <c16:uniqueId val="{0000020E-1246-4EE1-80A7-1662C444F751}"/>
              </c:ext>
            </c:extLst>
          </c:dPt>
          <c:dPt>
            <c:idx val="502"/>
            <c:bubble3D val="0"/>
            <c:extLst>
              <c:ext xmlns:c16="http://schemas.microsoft.com/office/drawing/2014/chart" uri="{C3380CC4-5D6E-409C-BE32-E72D297353CC}">
                <c16:uniqueId val="{0000020F-1246-4EE1-80A7-1662C444F751}"/>
              </c:ext>
            </c:extLst>
          </c:dPt>
          <c:dPt>
            <c:idx val="503"/>
            <c:bubble3D val="0"/>
            <c:extLst>
              <c:ext xmlns:c16="http://schemas.microsoft.com/office/drawing/2014/chart" uri="{C3380CC4-5D6E-409C-BE32-E72D297353CC}">
                <c16:uniqueId val="{00000210-1246-4EE1-80A7-1662C444F751}"/>
              </c:ext>
            </c:extLst>
          </c:dPt>
          <c:dPt>
            <c:idx val="504"/>
            <c:bubble3D val="0"/>
            <c:extLst>
              <c:ext xmlns:c16="http://schemas.microsoft.com/office/drawing/2014/chart" uri="{C3380CC4-5D6E-409C-BE32-E72D297353CC}">
                <c16:uniqueId val="{00000211-1246-4EE1-80A7-1662C444F751}"/>
              </c:ext>
            </c:extLst>
          </c:dPt>
          <c:dPt>
            <c:idx val="505"/>
            <c:bubble3D val="0"/>
            <c:extLst>
              <c:ext xmlns:c16="http://schemas.microsoft.com/office/drawing/2014/chart" uri="{C3380CC4-5D6E-409C-BE32-E72D297353CC}">
                <c16:uniqueId val="{00000212-1246-4EE1-80A7-1662C444F751}"/>
              </c:ext>
            </c:extLst>
          </c:dPt>
          <c:dPt>
            <c:idx val="506"/>
            <c:bubble3D val="0"/>
            <c:extLst>
              <c:ext xmlns:c16="http://schemas.microsoft.com/office/drawing/2014/chart" uri="{C3380CC4-5D6E-409C-BE32-E72D297353CC}">
                <c16:uniqueId val="{00000213-1246-4EE1-80A7-1662C444F751}"/>
              </c:ext>
            </c:extLst>
          </c:dPt>
          <c:dPt>
            <c:idx val="507"/>
            <c:bubble3D val="0"/>
            <c:extLst>
              <c:ext xmlns:c16="http://schemas.microsoft.com/office/drawing/2014/chart" uri="{C3380CC4-5D6E-409C-BE32-E72D297353CC}">
                <c16:uniqueId val="{00000214-1246-4EE1-80A7-1662C444F751}"/>
              </c:ext>
            </c:extLst>
          </c:dPt>
          <c:dPt>
            <c:idx val="508"/>
            <c:bubble3D val="0"/>
            <c:extLst>
              <c:ext xmlns:c16="http://schemas.microsoft.com/office/drawing/2014/chart" uri="{C3380CC4-5D6E-409C-BE32-E72D297353CC}">
                <c16:uniqueId val="{00000215-1246-4EE1-80A7-1662C444F751}"/>
              </c:ext>
            </c:extLst>
          </c:dPt>
          <c:dPt>
            <c:idx val="509"/>
            <c:bubble3D val="0"/>
            <c:extLst>
              <c:ext xmlns:c16="http://schemas.microsoft.com/office/drawing/2014/chart" uri="{C3380CC4-5D6E-409C-BE32-E72D297353CC}">
                <c16:uniqueId val="{00000216-1246-4EE1-80A7-1662C444F751}"/>
              </c:ext>
            </c:extLst>
          </c:dPt>
          <c:dPt>
            <c:idx val="510"/>
            <c:bubble3D val="0"/>
            <c:extLst>
              <c:ext xmlns:c16="http://schemas.microsoft.com/office/drawing/2014/chart" uri="{C3380CC4-5D6E-409C-BE32-E72D297353CC}">
                <c16:uniqueId val="{00000217-1246-4EE1-80A7-1662C444F751}"/>
              </c:ext>
            </c:extLst>
          </c:dPt>
          <c:dPt>
            <c:idx val="511"/>
            <c:bubble3D val="0"/>
            <c:extLst>
              <c:ext xmlns:c16="http://schemas.microsoft.com/office/drawing/2014/chart" uri="{C3380CC4-5D6E-409C-BE32-E72D297353CC}">
                <c16:uniqueId val="{00000218-1246-4EE1-80A7-1662C444F751}"/>
              </c:ext>
            </c:extLst>
          </c:dPt>
          <c:dPt>
            <c:idx val="512"/>
            <c:bubble3D val="0"/>
            <c:extLst>
              <c:ext xmlns:c16="http://schemas.microsoft.com/office/drawing/2014/chart" uri="{C3380CC4-5D6E-409C-BE32-E72D297353CC}">
                <c16:uniqueId val="{00000219-1246-4EE1-80A7-1662C444F751}"/>
              </c:ext>
            </c:extLst>
          </c:dPt>
          <c:dPt>
            <c:idx val="513"/>
            <c:bubble3D val="0"/>
            <c:extLst>
              <c:ext xmlns:c16="http://schemas.microsoft.com/office/drawing/2014/chart" uri="{C3380CC4-5D6E-409C-BE32-E72D297353CC}">
                <c16:uniqueId val="{0000021A-1246-4EE1-80A7-1662C444F751}"/>
              </c:ext>
            </c:extLst>
          </c:dPt>
          <c:dPt>
            <c:idx val="514"/>
            <c:bubble3D val="0"/>
            <c:extLst>
              <c:ext xmlns:c16="http://schemas.microsoft.com/office/drawing/2014/chart" uri="{C3380CC4-5D6E-409C-BE32-E72D297353CC}">
                <c16:uniqueId val="{0000021B-1246-4EE1-80A7-1662C444F751}"/>
              </c:ext>
            </c:extLst>
          </c:dPt>
          <c:dPt>
            <c:idx val="515"/>
            <c:bubble3D val="0"/>
            <c:extLst>
              <c:ext xmlns:c16="http://schemas.microsoft.com/office/drawing/2014/chart" uri="{C3380CC4-5D6E-409C-BE32-E72D297353CC}">
                <c16:uniqueId val="{0000021C-1246-4EE1-80A7-1662C444F751}"/>
              </c:ext>
            </c:extLst>
          </c:dPt>
          <c:dPt>
            <c:idx val="516"/>
            <c:bubble3D val="0"/>
            <c:extLst>
              <c:ext xmlns:c16="http://schemas.microsoft.com/office/drawing/2014/chart" uri="{C3380CC4-5D6E-409C-BE32-E72D297353CC}">
                <c16:uniqueId val="{0000021D-1246-4EE1-80A7-1662C444F751}"/>
              </c:ext>
            </c:extLst>
          </c:dPt>
          <c:dPt>
            <c:idx val="517"/>
            <c:bubble3D val="0"/>
            <c:extLst>
              <c:ext xmlns:c16="http://schemas.microsoft.com/office/drawing/2014/chart" uri="{C3380CC4-5D6E-409C-BE32-E72D297353CC}">
                <c16:uniqueId val="{0000021E-1246-4EE1-80A7-1662C444F751}"/>
              </c:ext>
            </c:extLst>
          </c:dPt>
          <c:dPt>
            <c:idx val="518"/>
            <c:bubble3D val="0"/>
            <c:extLst>
              <c:ext xmlns:c16="http://schemas.microsoft.com/office/drawing/2014/chart" uri="{C3380CC4-5D6E-409C-BE32-E72D297353CC}">
                <c16:uniqueId val="{0000021F-1246-4EE1-80A7-1662C444F751}"/>
              </c:ext>
            </c:extLst>
          </c:dPt>
          <c:dPt>
            <c:idx val="519"/>
            <c:bubble3D val="0"/>
            <c:extLst>
              <c:ext xmlns:c16="http://schemas.microsoft.com/office/drawing/2014/chart" uri="{C3380CC4-5D6E-409C-BE32-E72D297353CC}">
                <c16:uniqueId val="{00000220-1246-4EE1-80A7-1662C444F751}"/>
              </c:ext>
            </c:extLst>
          </c:dPt>
          <c:dPt>
            <c:idx val="520"/>
            <c:bubble3D val="0"/>
            <c:extLst>
              <c:ext xmlns:c16="http://schemas.microsoft.com/office/drawing/2014/chart" uri="{C3380CC4-5D6E-409C-BE32-E72D297353CC}">
                <c16:uniqueId val="{00000221-1246-4EE1-80A7-1662C444F751}"/>
              </c:ext>
            </c:extLst>
          </c:dPt>
          <c:dPt>
            <c:idx val="521"/>
            <c:bubble3D val="0"/>
            <c:extLst>
              <c:ext xmlns:c16="http://schemas.microsoft.com/office/drawing/2014/chart" uri="{C3380CC4-5D6E-409C-BE32-E72D297353CC}">
                <c16:uniqueId val="{00000222-1246-4EE1-80A7-1662C444F751}"/>
              </c:ext>
            </c:extLst>
          </c:dPt>
          <c:dPt>
            <c:idx val="522"/>
            <c:bubble3D val="0"/>
            <c:extLst>
              <c:ext xmlns:c16="http://schemas.microsoft.com/office/drawing/2014/chart" uri="{C3380CC4-5D6E-409C-BE32-E72D297353CC}">
                <c16:uniqueId val="{00000223-1246-4EE1-80A7-1662C444F751}"/>
              </c:ext>
            </c:extLst>
          </c:dPt>
          <c:dPt>
            <c:idx val="523"/>
            <c:bubble3D val="0"/>
            <c:extLst>
              <c:ext xmlns:c16="http://schemas.microsoft.com/office/drawing/2014/chart" uri="{C3380CC4-5D6E-409C-BE32-E72D297353CC}">
                <c16:uniqueId val="{00000224-1246-4EE1-80A7-1662C444F751}"/>
              </c:ext>
            </c:extLst>
          </c:dPt>
          <c:dPt>
            <c:idx val="524"/>
            <c:bubble3D val="0"/>
            <c:extLst>
              <c:ext xmlns:c16="http://schemas.microsoft.com/office/drawing/2014/chart" uri="{C3380CC4-5D6E-409C-BE32-E72D297353CC}">
                <c16:uniqueId val="{00000225-1246-4EE1-80A7-1662C444F751}"/>
              </c:ext>
            </c:extLst>
          </c:dPt>
          <c:dPt>
            <c:idx val="525"/>
            <c:bubble3D val="0"/>
            <c:extLst>
              <c:ext xmlns:c16="http://schemas.microsoft.com/office/drawing/2014/chart" uri="{C3380CC4-5D6E-409C-BE32-E72D297353CC}">
                <c16:uniqueId val="{00000226-1246-4EE1-80A7-1662C444F751}"/>
              </c:ext>
            </c:extLst>
          </c:dPt>
          <c:dPt>
            <c:idx val="526"/>
            <c:bubble3D val="0"/>
            <c:extLst>
              <c:ext xmlns:c16="http://schemas.microsoft.com/office/drawing/2014/chart" uri="{C3380CC4-5D6E-409C-BE32-E72D297353CC}">
                <c16:uniqueId val="{00000227-1246-4EE1-80A7-1662C444F751}"/>
              </c:ext>
            </c:extLst>
          </c:dPt>
          <c:dPt>
            <c:idx val="527"/>
            <c:bubble3D val="0"/>
            <c:extLst>
              <c:ext xmlns:c16="http://schemas.microsoft.com/office/drawing/2014/chart" uri="{C3380CC4-5D6E-409C-BE32-E72D297353CC}">
                <c16:uniqueId val="{00000228-1246-4EE1-80A7-1662C444F751}"/>
              </c:ext>
            </c:extLst>
          </c:dPt>
          <c:dPt>
            <c:idx val="528"/>
            <c:bubble3D val="0"/>
            <c:extLst>
              <c:ext xmlns:c16="http://schemas.microsoft.com/office/drawing/2014/chart" uri="{C3380CC4-5D6E-409C-BE32-E72D297353CC}">
                <c16:uniqueId val="{00000229-1246-4EE1-80A7-1662C444F751}"/>
              </c:ext>
            </c:extLst>
          </c:dPt>
          <c:dPt>
            <c:idx val="529"/>
            <c:bubble3D val="0"/>
            <c:extLst>
              <c:ext xmlns:c16="http://schemas.microsoft.com/office/drawing/2014/chart" uri="{C3380CC4-5D6E-409C-BE32-E72D297353CC}">
                <c16:uniqueId val="{0000022A-1246-4EE1-80A7-1662C444F751}"/>
              </c:ext>
            </c:extLst>
          </c:dPt>
          <c:dPt>
            <c:idx val="530"/>
            <c:bubble3D val="0"/>
            <c:extLst>
              <c:ext xmlns:c16="http://schemas.microsoft.com/office/drawing/2014/chart" uri="{C3380CC4-5D6E-409C-BE32-E72D297353CC}">
                <c16:uniqueId val="{0000022B-1246-4EE1-80A7-1662C444F751}"/>
              </c:ext>
            </c:extLst>
          </c:dPt>
          <c:dPt>
            <c:idx val="531"/>
            <c:bubble3D val="0"/>
            <c:extLst>
              <c:ext xmlns:c16="http://schemas.microsoft.com/office/drawing/2014/chart" uri="{C3380CC4-5D6E-409C-BE32-E72D297353CC}">
                <c16:uniqueId val="{0000022C-1246-4EE1-80A7-1662C444F751}"/>
              </c:ext>
            </c:extLst>
          </c:dPt>
          <c:dPt>
            <c:idx val="532"/>
            <c:bubble3D val="0"/>
            <c:extLst>
              <c:ext xmlns:c16="http://schemas.microsoft.com/office/drawing/2014/chart" uri="{C3380CC4-5D6E-409C-BE32-E72D297353CC}">
                <c16:uniqueId val="{0000022D-1246-4EE1-80A7-1662C444F751}"/>
              </c:ext>
            </c:extLst>
          </c:dPt>
          <c:dPt>
            <c:idx val="533"/>
            <c:bubble3D val="0"/>
            <c:extLst>
              <c:ext xmlns:c16="http://schemas.microsoft.com/office/drawing/2014/chart" uri="{C3380CC4-5D6E-409C-BE32-E72D297353CC}">
                <c16:uniqueId val="{0000022E-1246-4EE1-80A7-1662C444F751}"/>
              </c:ext>
            </c:extLst>
          </c:dPt>
          <c:dPt>
            <c:idx val="534"/>
            <c:bubble3D val="0"/>
            <c:extLst>
              <c:ext xmlns:c16="http://schemas.microsoft.com/office/drawing/2014/chart" uri="{C3380CC4-5D6E-409C-BE32-E72D297353CC}">
                <c16:uniqueId val="{0000022F-1246-4EE1-80A7-1662C444F751}"/>
              </c:ext>
            </c:extLst>
          </c:dPt>
          <c:dPt>
            <c:idx val="535"/>
            <c:bubble3D val="0"/>
            <c:extLst>
              <c:ext xmlns:c16="http://schemas.microsoft.com/office/drawing/2014/chart" uri="{C3380CC4-5D6E-409C-BE32-E72D297353CC}">
                <c16:uniqueId val="{00000230-1246-4EE1-80A7-1662C444F751}"/>
              </c:ext>
            </c:extLst>
          </c:dPt>
          <c:dPt>
            <c:idx val="536"/>
            <c:bubble3D val="0"/>
            <c:extLst>
              <c:ext xmlns:c16="http://schemas.microsoft.com/office/drawing/2014/chart" uri="{C3380CC4-5D6E-409C-BE32-E72D297353CC}">
                <c16:uniqueId val="{00000231-1246-4EE1-80A7-1662C444F751}"/>
              </c:ext>
            </c:extLst>
          </c:dPt>
          <c:dPt>
            <c:idx val="537"/>
            <c:bubble3D val="0"/>
            <c:extLst>
              <c:ext xmlns:c16="http://schemas.microsoft.com/office/drawing/2014/chart" uri="{C3380CC4-5D6E-409C-BE32-E72D297353CC}">
                <c16:uniqueId val="{00000232-1246-4EE1-80A7-1662C444F751}"/>
              </c:ext>
            </c:extLst>
          </c:dPt>
          <c:dPt>
            <c:idx val="538"/>
            <c:bubble3D val="0"/>
            <c:extLst>
              <c:ext xmlns:c16="http://schemas.microsoft.com/office/drawing/2014/chart" uri="{C3380CC4-5D6E-409C-BE32-E72D297353CC}">
                <c16:uniqueId val="{00000233-1246-4EE1-80A7-1662C444F751}"/>
              </c:ext>
            </c:extLst>
          </c:dPt>
          <c:dPt>
            <c:idx val="539"/>
            <c:bubble3D val="0"/>
            <c:extLst>
              <c:ext xmlns:c16="http://schemas.microsoft.com/office/drawing/2014/chart" uri="{C3380CC4-5D6E-409C-BE32-E72D297353CC}">
                <c16:uniqueId val="{00000234-1246-4EE1-80A7-1662C444F751}"/>
              </c:ext>
            </c:extLst>
          </c:dPt>
          <c:dPt>
            <c:idx val="540"/>
            <c:bubble3D val="0"/>
            <c:extLst>
              <c:ext xmlns:c16="http://schemas.microsoft.com/office/drawing/2014/chart" uri="{C3380CC4-5D6E-409C-BE32-E72D297353CC}">
                <c16:uniqueId val="{00000235-1246-4EE1-80A7-1662C444F751}"/>
              </c:ext>
            </c:extLst>
          </c:dPt>
          <c:dPt>
            <c:idx val="541"/>
            <c:bubble3D val="0"/>
            <c:extLst>
              <c:ext xmlns:c16="http://schemas.microsoft.com/office/drawing/2014/chart" uri="{C3380CC4-5D6E-409C-BE32-E72D297353CC}">
                <c16:uniqueId val="{00000236-1246-4EE1-80A7-1662C444F751}"/>
              </c:ext>
            </c:extLst>
          </c:dPt>
          <c:dPt>
            <c:idx val="542"/>
            <c:bubble3D val="0"/>
            <c:extLst>
              <c:ext xmlns:c16="http://schemas.microsoft.com/office/drawing/2014/chart" uri="{C3380CC4-5D6E-409C-BE32-E72D297353CC}">
                <c16:uniqueId val="{00000237-1246-4EE1-80A7-1662C444F751}"/>
              </c:ext>
            </c:extLst>
          </c:dPt>
          <c:dPt>
            <c:idx val="543"/>
            <c:bubble3D val="0"/>
            <c:extLst>
              <c:ext xmlns:c16="http://schemas.microsoft.com/office/drawing/2014/chart" uri="{C3380CC4-5D6E-409C-BE32-E72D297353CC}">
                <c16:uniqueId val="{00000238-1246-4EE1-80A7-1662C444F751}"/>
              </c:ext>
            </c:extLst>
          </c:dPt>
          <c:dPt>
            <c:idx val="544"/>
            <c:bubble3D val="0"/>
            <c:extLst>
              <c:ext xmlns:c16="http://schemas.microsoft.com/office/drawing/2014/chart" uri="{C3380CC4-5D6E-409C-BE32-E72D297353CC}">
                <c16:uniqueId val="{00000239-1246-4EE1-80A7-1662C444F751}"/>
              </c:ext>
            </c:extLst>
          </c:dPt>
          <c:dPt>
            <c:idx val="545"/>
            <c:bubble3D val="0"/>
            <c:extLst>
              <c:ext xmlns:c16="http://schemas.microsoft.com/office/drawing/2014/chart" uri="{C3380CC4-5D6E-409C-BE32-E72D297353CC}">
                <c16:uniqueId val="{0000023A-1246-4EE1-80A7-1662C444F751}"/>
              </c:ext>
            </c:extLst>
          </c:dPt>
          <c:dPt>
            <c:idx val="546"/>
            <c:bubble3D val="0"/>
            <c:extLst>
              <c:ext xmlns:c16="http://schemas.microsoft.com/office/drawing/2014/chart" uri="{C3380CC4-5D6E-409C-BE32-E72D297353CC}">
                <c16:uniqueId val="{0000023A-BF7B-42E0-BCD7-A30363492E62}"/>
              </c:ext>
            </c:extLst>
          </c:dPt>
          <c:cat>
            <c:strRef>
              <c:f>'Automation Monitoring'!$AU$6:$AU$552</c:f>
              <c:strCache>
                <c:ptCount val="28"/>
                <c:pt idx="0">
                  <c:v>BNI Direct Reguler / Reskinning</c:v>
                </c:pt>
                <c:pt idx="1">
                  <c:v>CXO Onboarding</c:v>
                </c:pt>
                <c:pt idx="2">
                  <c:v>Ibank Remittance Fase 1</c:v>
                </c:pt>
                <c:pt idx="6">
                  <c:v>Ibank Remittance Fase 2</c:v>
                </c:pt>
                <c:pt idx="7">
                  <c:v>Ibank Remittance Fase 3</c:v>
                </c:pt>
                <c:pt idx="8">
                  <c:v>Mobile Wondr Business (Android)</c:v>
                </c:pt>
                <c:pt idx="9">
                  <c:v>Mobile Wondr Business (iOS)</c:v>
                </c:pt>
                <c:pt idx="10">
                  <c:v>Mobile SMS Menu (Android)</c:v>
                </c:pt>
                <c:pt idx="11">
                  <c:v>Mobile SMS Menu (iOS)</c:v>
                </c:pt>
                <c:pt idx="12">
                  <c:v>Mobile Banking (Android)</c:v>
                </c:pt>
                <c:pt idx="13">
                  <c:v>Mobile Banking (iOS)</c:v>
                </c:pt>
                <c:pt idx="14">
                  <c:v>Web Agen46</c:v>
                </c:pt>
                <c:pt idx="15">
                  <c:v>Mobile Agen46 (Android)</c:v>
                </c:pt>
                <c:pt idx="16">
                  <c:v>Mobile Agen46 (iOS)</c:v>
                </c:pt>
                <c:pt idx="17">
                  <c:v>Web Portal Admin</c:v>
                </c:pt>
                <c:pt idx="18">
                  <c:v>LMS Sprint 1</c:v>
                </c:pt>
                <c:pt idx="19">
                  <c:v>LMS Sprint 2</c:v>
                </c:pt>
                <c:pt idx="20">
                  <c:v>LMS Sprint 3</c:v>
                </c:pt>
                <c:pt idx="21">
                  <c:v>LMS Sprint 4</c:v>
                </c:pt>
                <c:pt idx="22">
                  <c:v>Digisales Portal</c:v>
                </c:pt>
                <c:pt idx="23">
                  <c:v>Digisales Generalis Mobile Browser</c:v>
                </c:pt>
                <c:pt idx="24">
                  <c:v>Digisales Generalis Mobile APK</c:v>
                </c:pt>
                <c:pt idx="25">
                  <c:v>Digisales FTE Mobile Browser</c:v>
                </c:pt>
                <c:pt idx="26">
                  <c:v>Digisales FTE Mobile APK</c:v>
                </c:pt>
                <c:pt idx="27">
                  <c:v>Smart VA Portal</c:v>
                </c:pt>
              </c:strCache>
            </c:strRef>
          </c:cat>
          <c:val>
            <c:numRef>
              <c:f>'Automation Monitoring'!$AZ$6:$AZ$552</c:f>
              <c:numCache>
                <c:formatCode>General</c:formatCode>
                <c:ptCount val="547"/>
                <c:pt idx="0">
                  <c:v>623</c:v>
                </c:pt>
                <c:pt idx="1">
                  <c:v>397</c:v>
                </c:pt>
                <c:pt idx="2">
                  <c:v>185</c:v>
                </c:pt>
                <c:pt idx="6">
                  <c:v>457</c:v>
                </c:pt>
                <c:pt idx="7">
                  <c:v>194</c:v>
                </c:pt>
                <c:pt idx="8">
                  <c:v>80</c:v>
                </c:pt>
                <c:pt idx="9">
                  <c:v>74</c:v>
                </c:pt>
                <c:pt idx="10">
                  <c:v>772</c:v>
                </c:pt>
                <c:pt idx="11">
                  <c:v>772</c:v>
                </c:pt>
                <c:pt idx="12">
                  <c:v>1709</c:v>
                </c:pt>
                <c:pt idx="13">
                  <c:v>1328</c:v>
                </c:pt>
                <c:pt idx="14">
                  <c:v>329</c:v>
                </c:pt>
                <c:pt idx="15">
                  <c:v>609</c:v>
                </c:pt>
                <c:pt idx="16">
                  <c:v>306</c:v>
                </c:pt>
                <c:pt idx="17">
                  <c:v>36</c:v>
                </c:pt>
                <c:pt idx="18">
                  <c:v>15</c:v>
                </c:pt>
                <c:pt idx="19">
                  <c:v>16</c:v>
                </c:pt>
                <c:pt idx="20">
                  <c:v>37</c:v>
                </c:pt>
                <c:pt idx="21">
                  <c:v>21</c:v>
                </c:pt>
                <c:pt idx="22">
                  <c:v>47</c:v>
                </c:pt>
                <c:pt idx="23">
                  <c:v>47</c:v>
                </c:pt>
                <c:pt idx="24">
                  <c:v>47</c:v>
                </c:pt>
                <c:pt idx="25">
                  <c:v>249</c:v>
                </c:pt>
                <c:pt idx="26">
                  <c:v>254</c:v>
                </c:pt>
                <c:pt idx="27">
                  <c:v>157</c:v>
                </c:pt>
              </c:numCache>
            </c:numRef>
          </c:val>
          <c:extLst>
            <c:ext xmlns:c16="http://schemas.microsoft.com/office/drawing/2014/chart" uri="{C3380CC4-5D6E-409C-BE32-E72D297353CC}">
              <c16:uniqueId val="{0000023B-1246-4EE1-80A7-1662C444F751}"/>
            </c:ext>
          </c:extLst>
        </c:ser>
        <c:dLbls>
          <c:showLegendKey val="0"/>
          <c:showVal val="0"/>
          <c:showCatName val="0"/>
          <c:showSerName val="0"/>
          <c:showPercent val="0"/>
          <c:showBubbleSize val="0"/>
          <c:showLeaderLines val="1"/>
        </c:dLbls>
        <c:firstSliceAng val="0"/>
        <c:holeSize val="50"/>
      </c:doughnutChart>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d-ID"/>
  <c:roundedCorners val="1"/>
  <c:style val="2"/>
  <c:chart>
    <c:autoTitleDeleted val="1"/>
    <c:plotArea>
      <c:layout/>
      <c:doughnutChart>
        <c:varyColors val="1"/>
        <c:ser>
          <c:idx val="0"/>
          <c:order val="0"/>
          <c:dPt>
            <c:idx val="0"/>
            <c:bubble3D val="0"/>
            <c:spPr>
              <a:solidFill>
                <a:srgbClr val="41D9CA"/>
              </a:solidFill>
            </c:spPr>
            <c:extLst>
              <c:ext xmlns:c16="http://schemas.microsoft.com/office/drawing/2014/chart" uri="{C3380CC4-5D6E-409C-BE32-E72D297353CC}">
                <c16:uniqueId val="{00000001-3D46-4F77-B0BC-EB6B4C27FE25}"/>
              </c:ext>
            </c:extLst>
          </c:dPt>
          <c:dPt>
            <c:idx val="1"/>
            <c:bubble3D val="0"/>
            <c:spPr>
              <a:solidFill>
                <a:srgbClr val="EDF25E"/>
              </a:solidFill>
            </c:spPr>
            <c:extLst>
              <c:ext xmlns:c16="http://schemas.microsoft.com/office/drawing/2014/chart" uri="{C3380CC4-5D6E-409C-BE32-E72D297353CC}">
                <c16:uniqueId val="{00000003-3D46-4F77-B0BC-EB6B4C27FE25}"/>
              </c:ext>
            </c:extLst>
          </c:dPt>
          <c:dPt>
            <c:idx val="2"/>
            <c:bubble3D val="0"/>
            <c:spPr>
              <a:solidFill>
                <a:srgbClr val="9379F2"/>
              </a:solidFill>
            </c:spPr>
            <c:extLst>
              <c:ext xmlns:c16="http://schemas.microsoft.com/office/drawing/2014/chart" uri="{C3380CC4-5D6E-409C-BE32-E72D297353CC}">
                <c16:uniqueId val="{00000005-3D46-4F77-B0BC-EB6B4C27FE25}"/>
              </c:ext>
            </c:extLst>
          </c:dPt>
          <c:dPt>
            <c:idx val="3"/>
            <c:bubble3D val="0"/>
            <c:spPr>
              <a:solidFill>
                <a:srgbClr val="F27405"/>
              </a:solidFill>
            </c:spPr>
            <c:extLst>
              <c:ext xmlns:c16="http://schemas.microsoft.com/office/drawing/2014/chart" uri="{C3380CC4-5D6E-409C-BE32-E72D297353CC}">
                <c16:uniqueId val="{00000007-3D46-4F77-B0BC-EB6B4C27FE25}"/>
              </c:ext>
            </c:extLst>
          </c:dPt>
          <c:dPt>
            <c:idx val="4"/>
            <c:bubble3D val="0"/>
            <c:spPr>
              <a:solidFill>
                <a:srgbClr val="D96941"/>
              </a:solidFill>
            </c:spPr>
            <c:extLst>
              <c:ext xmlns:c16="http://schemas.microsoft.com/office/drawing/2014/chart" uri="{C3380CC4-5D6E-409C-BE32-E72D297353CC}">
                <c16:uniqueId val="{00000009-3D46-4F77-B0BC-EB6B4C27FE25}"/>
              </c:ext>
            </c:extLst>
          </c:dPt>
          <c:dPt>
            <c:idx val="5"/>
            <c:bubble3D val="0"/>
            <c:spPr>
              <a:solidFill>
                <a:srgbClr val="9379F2"/>
              </a:solidFill>
            </c:spPr>
            <c:extLst>
              <c:ext xmlns:c16="http://schemas.microsoft.com/office/drawing/2014/chart" uri="{C3380CC4-5D6E-409C-BE32-E72D297353CC}">
                <c16:uniqueId val="{0000000B-3D46-4F77-B0BC-EB6B4C27FE25}"/>
              </c:ext>
            </c:extLst>
          </c:dPt>
          <c:dPt>
            <c:idx val="6"/>
            <c:bubble3D val="0"/>
            <c:spPr>
              <a:solidFill>
                <a:srgbClr val="7AE4DA"/>
              </a:solidFill>
            </c:spPr>
            <c:extLst>
              <c:ext xmlns:c16="http://schemas.microsoft.com/office/drawing/2014/chart" uri="{C3380CC4-5D6E-409C-BE32-E72D297353CC}">
                <c16:uniqueId val="{0000000D-3D46-4F77-B0BC-EB6B4C27FE25}"/>
              </c:ext>
            </c:extLst>
          </c:dPt>
          <c:dPt>
            <c:idx val="7"/>
            <c:bubble3D val="0"/>
            <c:spPr>
              <a:solidFill>
                <a:srgbClr val="F2F68E"/>
              </a:solidFill>
            </c:spPr>
            <c:extLst>
              <c:ext xmlns:c16="http://schemas.microsoft.com/office/drawing/2014/chart" uri="{C3380CC4-5D6E-409C-BE32-E72D297353CC}">
                <c16:uniqueId val="{0000000F-3D46-4F77-B0BC-EB6B4C27FE25}"/>
              </c:ext>
            </c:extLst>
          </c:dPt>
          <c:dPt>
            <c:idx val="8"/>
            <c:bubble3D val="0"/>
            <c:extLst>
              <c:ext xmlns:c16="http://schemas.microsoft.com/office/drawing/2014/chart" uri="{C3380CC4-5D6E-409C-BE32-E72D297353CC}">
                <c16:uniqueId val="{00000010-3D46-4F77-B0BC-EB6B4C27FE25}"/>
              </c:ext>
            </c:extLst>
          </c:dPt>
          <c:dPt>
            <c:idx val="9"/>
            <c:bubble3D val="0"/>
            <c:extLst>
              <c:ext xmlns:c16="http://schemas.microsoft.com/office/drawing/2014/chart" uri="{C3380CC4-5D6E-409C-BE32-E72D297353CC}">
                <c16:uniqueId val="{00000011-3D46-4F77-B0BC-EB6B4C27FE25}"/>
              </c:ext>
            </c:extLst>
          </c:dPt>
          <c:dPt>
            <c:idx val="10"/>
            <c:bubble3D val="0"/>
            <c:extLst>
              <c:ext xmlns:c16="http://schemas.microsoft.com/office/drawing/2014/chart" uri="{C3380CC4-5D6E-409C-BE32-E72D297353CC}">
                <c16:uniqueId val="{00000012-3D46-4F77-B0BC-EB6B4C27FE25}"/>
              </c:ext>
            </c:extLst>
          </c:dPt>
          <c:dPt>
            <c:idx val="11"/>
            <c:bubble3D val="0"/>
            <c:extLst>
              <c:ext xmlns:c16="http://schemas.microsoft.com/office/drawing/2014/chart" uri="{C3380CC4-5D6E-409C-BE32-E72D297353CC}">
                <c16:uniqueId val="{00000013-3D46-4F77-B0BC-EB6B4C27FE25}"/>
              </c:ext>
            </c:extLst>
          </c:dPt>
          <c:dPt>
            <c:idx val="12"/>
            <c:bubble3D val="0"/>
            <c:extLst>
              <c:ext xmlns:c16="http://schemas.microsoft.com/office/drawing/2014/chart" uri="{C3380CC4-5D6E-409C-BE32-E72D297353CC}">
                <c16:uniqueId val="{00000014-3D46-4F77-B0BC-EB6B4C27FE25}"/>
              </c:ext>
            </c:extLst>
          </c:dPt>
          <c:dPt>
            <c:idx val="13"/>
            <c:bubble3D val="0"/>
            <c:extLst>
              <c:ext xmlns:c16="http://schemas.microsoft.com/office/drawing/2014/chart" uri="{C3380CC4-5D6E-409C-BE32-E72D297353CC}">
                <c16:uniqueId val="{00000015-3D46-4F77-B0BC-EB6B4C27FE25}"/>
              </c:ext>
            </c:extLst>
          </c:dPt>
          <c:dPt>
            <c:idx val="14"/>
            <c:bubble3D val="0"/>
            <c:extLst>
              <c:ext xmlns:c16="http://schemas.microsoft.com/office/drawing/2014/chart" uri="{C3380CC4-5D6E-409C-BE32-E72D297353CC}">
                <c16:uniqueId val="{00000016-3D46-4F77-B0BC-EB6B4C27FE25}"/>
              </c:ext>
            </c:extLst>
          </c:dPt>
          <c:dPt>
            <c:idx val="15"/>
            <c:bubble3D val="0"/>
            <c:extLst>
              <c:ext xmlns:c16="http://schemas.microsoft.com/office/drawing/2014/chart" uri="{C3380CC4-5D6E-409C-BE32-E72D297353CC}">
                <c16:uniqueId val="{00000017-3D46-4F77-B0BC-EB6B4C27FE25}"/>
              </c:ext>
            </c:extLst>
          </c:dPt>
          <c:dPt>
            <c:idx val="16"/>
            <c:bubble3D val="0"/>
            <c:extLst>
              <c:ext xmlns:c16="http://schemas.microsoft.com/office/drawing/2014/chart" uri="{C3380CC4-5D6E-409C-BE32-E72D297353CC}">
                <c16:uniqueId val="{00000018-3D46-4F77-B0BC-EB6B4C27FE25}"/>
              </c:ext>
            </c:extLst>
          </c:dPt>
          <c:dPt>
            <c:idx val="17"/>
            <c:bubble3D val="0"/>
            <c:extLst>
              <c:ext xmlns:c16="http://schemas.microsoft.com/office/drawing/2014/chart" uri="{C3380CC4-5D6E-409C-BE32-E72D297353CC}">
                <c16:uniqueId val="{00000019-3D46-4F77-B0BC-EB6B4C27FE25}"/>
              </c:ext>
            </c:extLst>
          </c:dPt>
          <c:dPt>
            <c:idx val="18"/>
            <c:bubble3D val="0"/>
            <c:extLst>
              <c:ext xmlns:c16="http://schemas.microsoft.com/office/drawing/2014/chart" uri="{C3380CC4-5D6E-409C-BE32-E72D297353CC}">
                <c16:uniqueId val="{0000001A-3D46-4F77-B0BC-EB6B4C27FE25}"/>
              </c:ext>
            </c:extLst>
          </c:dPt>
          <c:dPt>
            <c:idx val="19"/>
            <c:bubble3D val="0"/>
            <c:extLst>
              <c:ext xmlns:c16="http://schemas.microsoft.com/office/drawing/2014/chart" uri="{C3380CC4-5D6E-409C-BE32-E72D297353CC}">
                <c16:uniqueId val="{0000001B-3D46-4F77-B0BC-EB6B4C27FE25}"/>
              </c:ext>
            </c:extLst>
          </c:dPt>
          <c:dPt>
            <c:idx val="20"/>
            <c:bubble3D val="0"/>
            <c:extLst>
              <c:ext xmlns:c16="http://schemas.microsoft.com/office/drawing/2014/chart" uri="{C3380CC4-5D6E-409C-BE32-E72D297353CC}">
                <c16:uniqueId val="{0000001C-3D46-4F77-B0BC-EB6B4C27FE25}"/>
              </c:ext>
            </c:extLst>
          </c:dPt>
          <c:dPt>
            <c:idx val="21"/>
            <c:bubble3D val="0"/>
            <c:extLst>
              <c:ext xmlns:c16="http://schemas.microsoft.com/office/drawing/2014/chart" uri="{C3380CC4-5D6E-409C-BE32-E72D297353CC}">
                <c16:uniqueId val="{0000001D-3D46-4F77-B0BC-EB6B4C27FE25}"/>
              </c:ext>
            </c:extLst>
          </c:dPt>
          <c:dPt>
            <c:idx val="22"/>
            <c:bubble3D val="0"/>
            <c:extLst>
              <c:ext xmlns:c16="http://schemas.microsoft.com/office/drawing/2014/chart" uri="{C3380CC4-5D6E-409C-BE32-E72D297353CC}">
                <c16:uniqueId val="{0000001E-3D46-4F77-B0BC-EB6B4C27FE25}"/>
              </c:ext>
            </c:extLst>
          </c:dPt>
          <c:dPt>
            <c:idx val="23"/>
            <c:bubble3D val="0"/>
            <c:extLst>
              <c:ext xmlns:c16="http://schemas.microsoft.com/office/drawing/2014/chart" uri="{C3380CC4-5D6E-409C-BE32-E72D297353CC}">
                <c16:uniqueId val="{0000001F-3D46-4F77-B0BC-EB6B4C27FE25}"/>
              </c:ext>
            </c:extLst>
          </c:dPt>
          <c:dPt>
            <c:idx val="24"/>
            <c:bubble3D val="0"/>
            <c:extLst>
              <c:ext xmlns:c16="http://schemas.microsoft.com/office/drawing/2014/chart" uri="{C3380CC4-5D6E-409C-BE32-E72D297353CC}">
                <c16:uniqueId val="{00000020-3D46-4F77-B0BC-EB6B4C27FE25}"/>
              </c:ext>
            </c:extLst>
          </c:dPt>
          <c:dPt>
            <c:idx val="25"/>
            <c:bubble3D val="0"/>
            <c:extLst>
              <c:ext xmlns:c16="http://schemas.microsoft.com/office/drawing/2014/chart" uri="{C3380CC4-5D6E-409C-BE32-E72D297353CC}">
                <c16:uniqueId val="{00000021-3D46-4F77-B0BC-EB6B4C27FE25}"/>
              </c:ext>
            </c:extLst>
          </c:dPt>
          <c:dPt>
            <c:idx val="26"/>
            <c:bubble3D val="0"/>
            <c:extLst>
              <c:ext xmlns:c16="http://schemas.microsoft.com/office/drawing/2014/chart" uri="{C3380CC4-5D6E-409C-BE32-E72D297353CC}">
                <c16:uniqueId val="{00000022-3D46-4F77-B0BC-EB6B4C27FE25}"/>
              </c:ext>
            </c:extLst>
          </c:dPt>
          <c:dPt>
            <c:idx val="27"/>
            <c:bubble3D val="0"/>
            <c:extLst>
              <c:ext xmlns:c16="http://schemas.microsoft.com/office/drawing/2014/chart" uri="{C3380CC4-5D6E-409C-BE32-E72D297353CC}">
                <c16:uniqueId val="{00000023-3D46-4F77-B0BC-EB6B4C27FE25}"/>
              </c:ext>
            </c:extLst>
          </c:dPt>
          <c:dPt>
            <c:idx val="28"/>
            <c:bubble3D val="0"/>
            <c:extLst>
              <c:ext xmlns:c16="http://schemas.microsoft.com/office/drawing/2014/chart" uri="{C3380CC4-5D6E-409C-BE32-E72D297353CC}">
                <c16:uniqueId val="{00000024-3D46-4F77-B0BC-EB6B4C27FE25}"/>
              </c:ext>
            </c:extLst>
          </c:dPt>
          <c:dPt>
            <c:idx val="29"/>
            <c:bubble3D val="0"/>
            <c:extLst>
              <c:ext xmlns:c16="http://schemas.microsoft.com/office/drawing/2014/chart" uri="{C3380CC4-5D6E-409C-BE32-E72D297353CC}">
                <c16:uniqueId val="{00000025-3D46-4F77-B0BC-EB6B4C27FE25}"/>
              </c:ext>
            </c:extLst>
          </c:dPt>
          <c:dPt>
            <c:idx val="30"/>
            <c:bubble3D val="0"/>
            <c:extLst>
              <c:ext xmlns:c16="http://schemas.microsoft.com/office/drawing/2014/chart" uri="{C3380CC4-5D6E-409C-BE32-E72D297353CC}">
                <c16:uniqueId val="{00000026-3D46-4F77-B0BC-EB6B4C27FE25}"/>
              </c:ext>
            </c:extLst>
          </c:dPt>
          <c:dPt>
            <c:idx val="31"/>
            <c:bubble3D val="0"/>
            <c:extLst>
              <c:ext xmlns:c16="http://schemas.microsoft.com/office/drawing/2014/chart" uri="{C3380CC4-5D6E-409C-BE32-E72D297353CC}">
                <c16:uniqueId val="{00000027-3D46-4F77-B0BC-EB6B4C27FE25}"/>
              </c:ext>
            </c:extLst>
          </c:dPt>
          <c:dPt>
            <c:idx val="32"/>
            <c:bubble3D val="0"/>
            <c:extLst>
              <c:ext xmlns:c16="http://schemas.microsoft.com/office/drawing/2014/chart" uri="{C3380CC4-5D6E-409C-BE32-E72D297353CC}">
                <c16:uniqueId val="{00000028-3D46-4F77-B0BC-EB6B4C27FE25}"/>
              </c:ext>
            </c:extLst>
          </c:dPt>
          <c:dPt>
            <c:idx val="33"/>
            <c:bubble3D val="0"/>
            <c:extLst>
              <c:ext xmlns:c16="http://schemas.microsoft.com/office/drawing/2014/chart" uri="{C3380CC4-5D6E-409C-BE32-E72D297353CC}">
                <c16:uniqueId val="{00000029-3D46-4F77-B0BC-EB6B4C27FE25}"/>
              </c:ext>
            </c:extLst>
          </c:dPt>
          <c:dPt>
            <c:idx val="34"/>
            <c:bubble3D val="0"/>
            <c:extLst>
              <c:ext xmlns:c16="http://schemas.microsoft.com/office/drawing/2014/chart" uri="{C3380CC4-5D6E-409C-BE32-E72D297353CC}">
                <c16:uniqueId val="{0000002A-3D46-4F77-B0BC-EB6B4C27FE25}"/>
              </c:ext>
            </c:extLst>
          </c:dPt>
          <c:dPt>
            <c:idx val="35"/>
            <c:bubble3D val="0"/>
            <c:extLst>
              <c:ext xmlns:c16="http://schemas.microsoft.com/office/drawing/2014/chart" uri="{C3380CC4-5D6E-409C-BE32-E72D297353CC}">
                <c16:uniqueId val="{0000002B-3D46-4F77-B0BC-EB6B4C27FE25}"/>
              </c:ext>
            </c:extLst>
          </c:dPt>
          <c:dPt>
            <c:idx val="36"/>
            <c:bubble3D val="0"/>
            <c:extLst>
              <c:ext xmlns:c16="http://schemas.microsoft.com/office/drawing/2014/chart" uri="{C3380CC4-5D6E-409C-BE32-E72D297353CC}">
                <c16:uniqueId val="{0000002C-3D46-4F77-B0BC-EB6B4C27FE25}"/>
              </c:ext>
            </c:extLst>
          </c:dPt>
          <c:dPt>
            <c:idx val="37"/>
            <c:bubble3D val="0"/>
            <c:extLst>
              <c:ext xmlns:c16="http://schemas.microsoft.com/office/drawing/2014/chart" uri="{C3380CC4-5D6E-409C-BE32-E72D297353CC}">
                <c16:uniqueId val="{0000002D-3D46-4F77-B0BC-EB6B4C27FE25}"/>
              </c:ext>
            </c:extLst>
          </c:dPt>
          <c:dPt>
            <c:idx val="38"/>
            <c:bubble3D val="0"/>
            <c:extLst>
              <c:ext xmlns:c16="http://schemas.microsoft.com/office/drawing/2014/chart" uri="{C3380CC4-5D6E-409C-BE32-E72D297353CC}">
                <c16:uniqueId val="{0000002E-3D46-4F77-B0BC-EB6B4C27FE25}"/>
              </c:ext>
            </c:extLst>
          </c:dPt>
          <c:dPt>
            <c:idx val="39"/>
            <c:bubble3D val="0"/>
            <c:extLst>
              <c:ext xmlns:c16="http://schemas.microsoft.com/office/drawing/2014/chart" uri="{C3380CC4-5D6E-409C-BE32-E72D297353CC}">
                <c16:uniqueId val="{0000002F-3D46-4F77-B0BC-EB6B4C27FE25}"/>
              </c:ext>
            </c:extLst>
          </c:dPt>
          <c:dPt>
            <c:idx val="40"/>
            <c:bubble3D val="0"/>
            <c:extLst>
              <c:ext xmlns:c16="http://schemas.microsoft.com/office/drawing/2014/chart" uri="{C3380CC4-5D6E-409C-BE32-E72D297353CC}">
                <c16:uniqueId val="{00000030-3D46-4F77-B0BC-EB6B4C27FE25}"/>
              </c:ext>
            </c:extLst>
          </c:dPt>
          <c:dPt>
            <c:idx val="41"/>
            <c:bubble3D val="0"/>
            <c:extLst>
              <c:ext xmlns:c16="http://schemas.microsoft.com/office/drawing/2014/chart" uri="{C3380CC4-5D6E-409C-BE32-E72D297353CC}">
                <c16:uniqueId val="{00000031-3D46-4F77-B0BC-EB6B4C27FE25}"/>
              </c:ext>
            </c:extLst>
          </c:dPt>
          <c:dPt>
            <c:idx val="42"/>
            <c:bubble3D val="0"/>
            <c:extLst>
              <c:ext xmlns:c16="http://schemas.microsoft.com/office/drawing/2014/chart" uri="{C3380CC4-5D6E-409C-BE32-E72D297353CC}">
                <c16:uniqueId val="{00000032-3D46-4F77-B0BC-EB6B4C27FE25}"/>
              </c:ext>
            </c:extLst>
          </c:dPt>
          <c:dPt>
            <c:idx val="43"/>
            <c:bubble3D val="0"/>
            <c:extLst>
              <c:ext xmlns:c16="http://schemas.microsoft.com/office/drawing/2014/chart" uri="{C3380CC4-5D6E-409C-BE32-E72D297353CC}">
                <c16:uniqueId val="{00000033-3D46-4F77-B0BC-EB6B4C27FE25}"/>
              </c:ext>
            </c:extLst>
          </c:dPt>
          <c:dPt>
            <c:idx val="44"/>
            <c:bubble3D val="0"/>
            <c:extLst>
              <c:ext xmlns:c16="http://schemas.microsoft.com/office/drawing/2014/chart" uri="{C3380CC4-5D6E-409C-BE32-E72D297353CC}">
                <c16:uniqueId val="{00000034-3D46-4F77-B0BC-EB6B4C27FE25}"/>
              </c:ext>
            </c:extLst>
          </c:dPt>
          <c:dPt>
            <c:idx val="45"/>
            <c:bubble3D val="0"/>
            <c:extLst>
              <c:ext xmlns:c16="http://schemas.microsoft.com/office/drawing/2014/chart" uri="{C3380CC4-5D6E-409C-BE32-E72D297353CC}">
                <c16:uniqueId val="{00000035-3D46-4F77-B0BC-EB6B4C27FE25}"/>
              </c:ext>
            </c:extLst>
          </c:dPt>
          <c:dPt>
            <c:idx val="46"/>
            <c:bubble3D val="0"/>
            <c:extLst>
              <c:ext xmlns:c16="http://schemas.microsoft.com/office/drawing/2014/chart" uri="{C3380CC4-5D6E-409C-BE32-E72D297353CC}">
                <c16:uniqueId val="{00000036-3D46-4F77-B0BC-EB6B4C27FE25}"/>
              </c:ext>
            </c:extLst>
          </c:dPt>
          <c:dPt>
            <c:idx val="47"/>
            <c:bubble3D val="0"/>
            <c:extLst>
              <c:ext xmlns:c16="http://schemas.microsoft.com/office/drawing/2014/chart" uri="{C3380CC4-5D6E-409C-BE32-E72D297353CC}">
                <c16:uniqueId val="{00000037-3D46-4F77-B0BC-EB6B4C27FE25}"/>
              </c:ext>
            </c:extLst>
          </c:dPt>
          <c:dPt>
            <c:idx val="48"/>
            <c:bubble3D val="0"/>
            <c:extLst>
              <c:ext xmlns:c16="http://schemas.microsoft.com/office/drawing/2014/chart" uri="{C3380CC4-5D6E-409C-BE32-E72D297353CC}">
                <c16:uniqueId val="{00000038-3D46-4F77-B0BC-EB6B4C27FE25}"/>
              </c:ext>
            </c:extLst>
          </c:dPt>
          <c:dPt>
            <c:idx val="49"/>
            <c:bubble3D val="0"/>
            <c:extLst>
              <c:ext xmlns:c16="http://schemas.microsoft.com/office/drawing/2014/chart" uri="{C3380CC4-5D6E-409C-BE32-E72D297353CC}">
                <c16:uniqueId val="{00000039-3D46-4F77-B0BC-EB6B4C27FE25}"/>
              </c:ext>
            </c:extLst>
          </c:dPt>
          <c:dPt>
            <c:idx val="50"/>
            <c:bubble3D val="0"/>
            <c:extLst>
              <c:ext xmlns:c16="http://schemas.microsoft.com/office/drawing/2014/chart" uri="{C3380CC4-5D6E-409C-BE32-E72D297353CC}">
                <c16:uniqueId val="{0000003A-3D46-4F77-B0BC-EB6B4C27FE25}"/>
              </c:ext>
            </c:extLst>
          </c:dPt>
          <c:dPt>
            <c:idx val="51"/>
            <c:bubble3D val="0"/>
            <c:extLst>
              <c:ext xmlns:c16="http://schemas.microsoft.com/office/drawing/2014/chart" uri="{C3380CC4-5D6E-409C-BE32-E72D297353CC}">
                <c16:uniqueId val="{0000003B-3D46-4F77-B0BC-EB6B4C27FE25}"/>
              </c:ext>
            </c:extLst>
          </c:dPt>
          <c:dPt>
            <c:idx val="52"/>
            <c:bubble3D val="0"/>
            <c:extLst>
              <c:ext xmlns:c16="http://schemas.microsoft.com/office/drawing/2014/chart" uri="{C3380CC4-5D6E-409C-BE32-E72D297353CC}">
                <c16:uniqueId val="{0000003C-3D46-4F77-B0BC-EB6B4C27FE25}"/>
              </c:ext>
            </c:extLst>
          </c:dPt>
          <c:dPt>
            <c:idx val="53"/>
            <c:bubble3D val="0"/>
            <c:extLst>
              <c:ext xmlns:c16="http://schemas.microsoft.com/office/drawing/2014/chart" uri="{C3380CC4-5D6E-409C-BE32-E72D297353CC}">
                <c16:uniqueId val="{0000003D-3D46-4F77-B0BC-EB6B4C27FE25}"/>
              </c:ext>
            </c:extLst>
          </c:dPt>
          <c:dPt>
            <c:idx val="54"/>
            <c:bubble3D val="0"/>
            <c:extLst>
              <c:ext xmlns:c16="http://schemas.microsoft.com/office/drawing/2014/chart" uri="{C3380CC4-5D6E-409C-BE32-E72D297353CC}">
                <c16:uniqueId val="{0000003E-3D46-4F77-B0BC-EB6B4C27FE25}"/>
              </c:ext>
            </c:extLst>
          </c:dPt>
          <c:dPt>
            <c:idx val="55"/>
            <c:bubble3D val="0"/>
            <c:extLst>
              <c:ext xmlns:c16="http://schemas.microsoft.com/office/drawing/2014/chart" uri="{C3380CC4-5D6E-409C-BE32-E72D297353CC}">
                <c16:uniqueId val="{0000003F-3D46-4F77-B0BC-EB6B4C27FE25}"/>
              </c:ext>
            </c:extLst>
          </c:dPt>
          <c:dPt>
            <c:idx val="56"/>
            <c:bubble3D val="0"/>
            <c:extLst>
              <c:ext xmlns:c16="http://schemas.microsoft.com/office/drawing/2014/chart" uri="{C3380CC4-5D6E-409C-BE32-E72D297353CC}">
                <c16:uniqueId val="{00000040-3D46-4F77-B0BC-EB6B4C27FE25}"/>
              </c:ext>
            </c:extLst>
          </c:dPt>
          <c:dPt>
            <c:idx val="57"/>
            <c:bubble3D val="0"/>
            <c:extLst>
              <c:ext xmlns:c16="http://schemas.microsoft.com/office/drawing/2014/chart" uri="{C3380CC4-5D6E-409C-BE32-E72D297353CC}">
                <c16:uniqueId val="{00000041-3D46-4F77-B0BC-EB6B4C27FE25}"/>
              </c:ext>
            </c:extLst>
          </c:dPt>
          <c:dPt>
            <c:idx val="58"/>
            <c:bubble3D val="0"/>
            <c:extLst>
              <c:ext xmlns:c16="http://schemas.microsoft.com/office/drawing/2014/chart" uri="{C3380CC4-5D6E-409C-BE32-E72D297353CC}">
                <c16:uniqueId val="{00000042-3D46-4F77-B0BC-EB6B4C27FE25}"/>
              </c:ext>
            </c:extLst>
          </c:dPt>
          <c:dPt>
            <c:idx val="59"/>
            <c:bubble3D val="0"/>
            <c:extLst>
              <c:ext xmlns:c16="http://schemas.microsoft.com/office/drawing/2014/chart" uri="{C3380CC4-5D6E-409C-BE32-E72D297353CC}">
                <c16:uniqueId val="{00000043-3D46-4F77-B0BC-EB6B4C27FE25}"/>
              </c:ext>
            </c:extLst>
          </c:dPt>
          <c:dPt>
            <c:idx val="60"/>
            <c:bubble3D val="0"/>
            <c:extLst>
              <c:ext xmlns:c16="http://schemas.microsoft.com/office/drawing/2014/chart" uri="{C3380CC4-5D6E-409C-BE32-E72D297353CC}">
                <c16:uniqueId val="{00000044-3D46-4F77-B0BC-EB6B4C27FE25}"/>
              </c:ext>
            </c:extLst>
          </c:dPt>
          <c:dPt>
            <c:idx val="61"/>
            <c:bubble3D val="0"/>
            <c:extLst>
              <c:ext xmlns:c16="http://schemas.microsoft.com/office/drawing/2014/chart" uri="{C3380CC4-5D6E-409C-BE32-E72D297353CC}">
                <c16:uniqueId val="{00000045-3D46-4F77-B0BC-EB6B4C27FE25}"/>
              </c:ext>
            </c:extLst>
          </c:dPt>
          <c:dPt>
            <c:idx val="62"/>
            <c:bubble3D val="0"/>
            <c:extLst>
              <c:ext xmlns:c16="http://schemas.microsoft.com/office/drawing/2014/chart" uri="{C3380CC4-5D6E-409C-BE32-E72D297353CC}">
                <c16:uniqueId val="{00000046-3D46-4F77-B0BC-EB6B4C27FE25}"/>
              </c:ext>
            </c:extLst>
          </c:dPt>
          <c:dPt>
            <c:idx val="63"/>
            <c:bubble3D val="0"/>
            <c:extLst>
              <c:ext xmlns:c16="http://schemas.microsoft.com/office/drawing/2014/chart" uri="{C3380CC4-5D6E-409C-BE32-E72D297353CC}">
                <c16:uniqueId val="{00000047-3D46-4F77-B0BC-EB6B4C27FE25}"/>
              </c:ext>
            </c:extLst>
          </c:dPt>
          <c:dPt>
            <c:idx val="64"/>
            <c:bubble3D val="0"/>
            <c:extLst>
              <c:ext xmlns:c16="http://schemas.microsoft.com/office/drawing/2014/chart" uri="{C3380CC4-5D6E-409C-BE32-E72D297353CC}">
                <c16:uniqueId val="{00000048-3D46-4F77-B0BC-EB6B4C27FE25}"/>
              </c:ext>
            </c:extLst>
          </c:dPt>
          <c:dPt>
            <c:idx val="65"/>
            <c:bubble3D val="0"/>
            <c:extLst>
              <c:ext xmlns:c16="http://schemas.microsoft.com/office/drawing/2014/chart" uri="{C3380CC4-5D6E-409C-BE32-E72D297353CC}">
                <c16:uniqueId val="{00000049-3D46-4F77-B0BC-EB6B4C27FE25}"/>
              </c:ext>
            </c:extLst>
          </c:dPt>
          <c:dPt>
            <c:idx val="66"/>
            <c:bubble3D val="0"/>
            <c:extLst>
              <c:ext xmlns:c16="http://schemas.microsoft.com/office/drawing/2014/chart" uri="{C3380CC4-5D6E-409C-BE32-E72D297353CC}">
                <c16:uniqueId val="{0000004A-3D46-4F77-B0BC-EB6B4C27FE25}"/>
              </c:ext>
            </c:extLst>
          </c:dPt>
          <c:dPt>
            <c:idx val="67"/>
            <c:bubble3D val="0"/>
            <c:extLst>
              <c:ext xmlns:c16="http://schemas.microsoft.com/office/drawing/2014/chart" uri="{C3380CC4-5D6E-409C-BE32-E72D297353CC}">
                <c16:uniqueId val="{0000004B-3D46-4F77-B0BC-EB6B4C27FE25}"/>
              </c:ext>
            </c:extLst>
          </c:dPt>
          <c:dPt>
            <c:idx val="68"/>
            <c:bubble3D val="0"/>
            <c:extLst>
              <c:ext xmlns:c16="http://schemas.microsoft.com/office/drawing/2014/chart" uri="{C3380CC4-5D6E-409C-BE32-E72D297353CC}">
                <c16:uniqueId val="{0000004C-3D46-4F77-B0BC-EB6B4C27FE25}"/>
              </c:ext>
            </c:extLst>
          </c:dPt>
          <c:dPt>
            <c:idx val="69"/>
            <c:bubble3D val="0"/>
            <c:extLst>
              <c:ext xmlns:c16="http://schemas.microsoft.com/office/drawing/2014/chart" uri="{C3380CC4-5D6E-409C-BE32-E72D297353CC}">
                <c16:uniqueId val="{0000004D-3D46-4F77-B0BC-EB6B4C27FE25}"/>
              </c:ext>
            </c:extLst>
          </c:dPt>
          <c:dPt>
            <c:idx val="70"/>
            <c:bubble3D val="0"/>
            <c:extLst>
              <c:ext xmlns:c16="http://schemas.microsoft.com/office/drawing/2014/chart" uri="{C3380CC4-5D6E-409C-BE32-E72D297353CC}">
                <c16:uniqueId val="{0000004E-3D46-4F77-B0BC-EB6B4C27FE25}"/>
              </c:ext>
            </c:extLst>
          </c:dPt>
          <c:dPt>
            <c:idx val="71"/>
            <c:bubble3D val="0"/>
            <c:extLst>
              <c:ext xmlns:c16="http://schemas.microsoft.com/office/drawing/2014/chart" uri="{C3380CC4-5D6E-409C-BE32-E72D297353CC}">
                <c16:uniqueId val="{0000004F-3D46-4F77-B0BC-EB6B4C27FE25}"/>
              </c:ext>
            </c:extLst>
          </c:dPt>
          <c:dPt>
            <c:idx val="72"/>
            <c:bubble3D val="0"/>
            <c:extLst>
              <c:ext xmlns:c16="http://schemas.microsoft.com/office/drawing/2014/chart" uri="{C3380CC4-5D6E-409C-BE32-E72D297353CC}">
                <c16:uniqueId val="{00000050-3D46-4F77-B0BC-EB6B4C27FE25}"/>
              </c:ext>
            </c:extLst>
          </c:dPt>
          <c:dPt>
            <c:idx val="73"/>
            <c:bubble3D val="0"/>
            <c:extLst>
              <c:ext xmlns:c16="http://schemas.microsoft.com/office/drawing/2014/chart" uri="{C3380CC4-5D6E-409C-BE32-E72D297353CC}">
                <c16:uniqueId val="{00000051-3D46-4F77-B0BC-EB6B4C27FE25}"/>
              </c:ext>
            </c:extLst>
          </c:dPt>
          <c:dPt>
            <c:idx val="74"/>
            <c:bubble3D val="0"/>
            <c:extLst>
              <c:ext xmlns:c16="http://schemas.microsoft.com/office/drawing/2014/chart" uri="{C3380CC4-5D6E-409C-BE32-E72D297353CC}">
                <c16:uniqueId val="{00000052-3D46-4F77-B0BC-EB6B4C27FE25}"/>
              </c:ext>
            </c:extLst>
          </c:dPt>
          <c:dPt>
            <c:idx val="75"/>
            <c:bubble3D val="0"/>
            <c:extLst>
              <c:ext xmlns:c16="http://schemas.microsoft.com/office/drawing/2014/chart" uri="{C3380CC4-5D6E-409C-BE32-E72D297353CC}">
                <c16:uniqueId val="{00000053-3D46-4F77-B0BC-EB6B4C27FE25}"/>
              </c:ext>
            </c:extLst>
          </c:dPt>
          <c:dPt>
            <c:idx val="76"/>
            <c:bubble3D val="0"/>
            <c:extLst>
              <c:ext xmlns:c16="http://schemas.microsoft.com/office/drawing/2014/chart" uri="{C3380CC4-5D6E-409C-BE32-E72D297353CC}">
                <c16:uniqueId val="{00000054-3D46-4F77-B0BC-EB6B4C27FE25}"/>
              </c:ext>
            </c:extLst>
          </c:dPt>
          <c:dPt>
            <c:idx val="77"/>
            <c:bubble3D val="0"/>
            <c:extLst>
              <c:ext xmlns:c16="http://schemas.microsoft.com/office/drawing/2014/chart" uri="{C3380CC4-5D6E-409C-BE32-E72D297353CC}">
                <c16:uniqueId val="{00000055-3D46-4F77-B0BC-EB6B4C27FE25}"/>
              </c:ext>
            </c:extLst>
          </c:dPt>
          <c:dPt>
            <c:idx val="78"/>
            <c:bubble3D val="0"/>
            <c:extLst>
              <c:ext xmlns:c16="http://schemas.microsoft.com/office/drawing/2014/chart" uri="{C3380CC4-5D6E-409C-BE32-E72D297353CC}">
                <c16:uniqueId val="{00000056-3D46-4F77-B0BC-EB6B4C27FE25}"/>
              </c:ext>
            </c:extLst>
          </c:dPt>
          <c:dPt>
            <c:idx val="79"/>
            <c:bubble3D val="0"/>
            <c:extLst>
              <c:ext xmlns:c16="http://schemas.microsoft.com/office/drawing/2014/chart" uri="{C3380CC4-5D6E-409C-BE32-E72D297353CC}">
                <c16:uniqueId val="{00000057-3D46-4F77-B0BC-EB6B4C27FE25}"/>
              </c:ext>
            </c:extLst>
          </c:dPt>
          <c:dPt>
            <c:idx val="80"/>
            <c:bubble3D val="0"/>
            <c:extLst>
              <c:ext xmlns:c16="http://schemas.microsoft.com/office/drawing/2014/chart" uri="{C3380CC4-5D6E-409C-BE32-E72D297353CC}">
                <c16:uniqueId val="{00000058-3D46-4F77-B0BC-EB6B4C27FE25}"/>
              </c:ext>
            </c:extLst>
          </c:dPt>
          <c:dPt>
            <c:idx val="81"/>
            <c:bubble3D val="0"/>
            <c:extLst>
              <c:ext xmlns:c16="http://schemas.microsoft.com/office/drawing/2014/chart" uri="{C3380CC4-5D6E-409C-BE32-E72D297353CC}">
                <c16:uniqueId val="{00000059-3D46-4F77-B0BC-EB6B4C27FE25}"/>
              </c:ext>
            </c:extLst>
          </c:dPt>
          <c:dPt>
            <c:idx val="82"/>
            <c:bubble3D val="0"/>
            <c:extLst>
              <c:ext xmlns:c16="http://schemas.microsoft.com/office/drawing/2014/chart" uri="{C3380CC4-5D6E-409C-BE32-E72D297353CC}">
                <c16:uniqueId val="{0000005A-3D46-4F77-B0BC-EB6B4C27FE25}"/>
              </c:ext>
            </c:extLst>
          </c:dPt>
          <c:dPt>
            <c:idx val="83"/>
            <c:bubble3D val="0"/>
            <c:extLst>
              <c:ext xmlns:c16="http://schemas.microsoft.com/office/drawing/2014/chart" uri="{C3380CC4-5D6E-409C-BE32-E72D297353CC}">
                <c16:uniqueId val="{0000005B-3D46-4F77-B0BC-EB6B4C27FE25}"/>
              </c:ext>
            </c:extLst>
          </c:dPt>
          <c:dPt>
            <c:idx val="84"/>
            <c:bubble3D val="0"/>
            <c:extLst>
              <c:ext xmlns:c16="http://schemas.microsoft.com/office/drawing/2014/chart" uri="{C3380CC4-5D6E-409C-BE32-E72D297353CC}">
                <c16:uniqueId val="{0000005C-3D46-4F77-B0BC-EB6B4C27FE25}"/>
              </c:ext>
            </c:extLst>
          </c:dPt>
          <c:dPt>
            <c:idx val="85"/>
            <c:bubble3D val="0"/>
            <c:extLst>
              <c:ext xmlns:c16="http://schemas.microsoft.com/office/drawing/2014/chart" uri="{C3380CC4-5D6E-409C-BE32-E72D297353CC}">
                <c16:uniqueId val="{0000005D-3D46-4F77-B0BC-EB6B4C27FE25}"/>
              </c:ext>
            </c:extLst>
          </c:dPt>
          <c:dPt>
            <c:idx val="86"/>
            <c:bubble3D val="0"/>
            <c:extLst>
              <c:ext xmlns:c16="http://schemas.microsoft.com/office/drawing/2014/chart" uri="{C3380CC4-5D6E-409C-BE32-E72D297353CC}">
                <c16:uniqueId val="{0000005E-3D46-4F77-B0BC-EB6B4C27FE25}"/>
              </c:ext>
            </c:extLst>
          </c:dPt>
          <c:dPt>
            <c:idx val="87"/>
            <c:bubble3D val="0"/>
            <c:extLst>
              <c:ext xmlns:c16="http://schemas.microsoft.com/office/drawing/2014/chart" uri="{C3380CC4-5D6E-409C-BE32-E72D297353CC}">
                <c16:uniqueId val="{0000005F-3D46-4F77-B0BC-EB6B4C27FE25}"/>
              </c:ext>
            </c:extLst>
          </c:dPt>
          <c:dPt>
            <c:idx val="88"/>
            <c:bubble3D val="0"/>
            <c:extLst>
              <c:ext xmlns:c16="http://schemas.microsoft.com/office/drawing/2014/chart" uri="{C3380CC4-5D6E-409C-BE32-E72D297353CC}">
                <c16:uniqueId val="{00000060-3D46-4F77-B0BC-EB6B4C27FE25}"/>
              </c:ext>
            </c:extLst>
          </c:dPt>
          <c:cat>
            <c:strRef>
              <c:f>'Automation Monitoring'!$BC$4:$BC$93</c:f>
              <c:strCache>
                <c:ptCount val="12"/>
                <c:pt idx="0">
                  <c:v>Nama Aplikasi</c:v>
                </c:pt>
                <c:pt idx="2">
                  <c:v>ICONS Tokyo</c:v>
                </c:pt>
                <c:pt idx="3">
                  <c:v>ICONS London</c:v>
                </c:pt>
                <c:pt idx="4">
                  <c:v>ICONS New York</c:v>
                </c:pt>
                <c:pt idx="8">
                  <c:v>ICONS Poseidon</c:v>
                </c:pt>
                <c:pt idx="9">
                  <c:v>Mobile Banking (Android)</c:v>
                </c:pt>
                <c:pt idx="10">
                  <c:v>Mobile Banking (iOS)</c:v>
                </c:pt>
                <c:pt idx="11">
                  <c:v>GB Online</c:v>
                </c:pt>
              </c:strCache>
            </c:strRef>
          </c:cat>
          <c:val>
            <c:numRef>
              <c:f>'Automation Monitoring'!$BH$4:$BH$93</c:f>
              <c:numCache>
                <c:formatCode>General</c:formatCode>
                <c:ptCount val="90"/>
                <c:pt idx="0">
                  <c:v>0</c:v>
                </c:pt>
                <c:pt idx="1">
                  <c:v>0</c:v>
                </c:pt>
                <c:pt idx="2">
                  <c:v>1079</c:v>
                </c:pt>
                <c:pt idx="3">
                  <c:v>694</c:v>
                </c:pt>
                <c:pt idx="4">
                  <c:v>565</c:v>
                </c:pt>
                <c:pt idx="8">
                  <c:v>1416</c:v>
                </c:pt>
                <c:pt idx="9">
                  <c:v>1709</c:v>
                </c:pt>
                <c:pt idx="10">
                  <c:v>1328</c:v>
                </c:pt>
                <c:pt idx="11">
                  <c:v>0</c:v>
                </c:pt>
              </c:numCache>
            </c:numRef>
          </c:val>
          <c:extLst>
            <c:ext xmlns:c16="http://schemas.microsoft.com/office/drawing/2014/chart" uri="{C3380CC4-5D6E-409C-BE32-E72D297353CC}">
              <c16:uniqueId val="{00000061-3D46-4F77-B0BC-EB6B4C27FE25}"/>
            </c:ext>
          </c:extLst>
        </c:ser>
        <c:dLbls>
          <c:showLegendKey val="0"/>
          <c:showVal val="0"/>
          <c:showCatName val="0"/>
          <c:showSerName val="0"/>
          <c:showPercent val="0"/>
          <c:showBubbleSize val="0"/>
          <c:showLeaderLines val="1"/>
        </c:dLbls>
        <c:firstSliceAng val="0"/>
        <c:holeSize val="50"/>
      </c:doughnutChart>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d-ID"/>
  <c:roundedCorners val="1"/>
  <c:style val="2"/>
  <c:chart>
    <c:autoTitleDeleted val="1"/>
    <c:plotArea>
      <c:layout/>
      <c:doughnutChart>
        <c:varyColors val="1"/>
        <c:ser>
          <c:idx val="0"/>
          <c:order val="0"/>
          <c:tx>
            <c:strRef>
              <c:f>'Automation Monitoring'!$AS$4:$AS$5</c:f>
              <c:strCache>
                <c:ptCount val="2"/>
                <c:pt idx="0">
                  <c:v>Done Running</c:v>
                </c:pt>
                <c:pt idx="1">
                  <c:v>Percentage</c:v>
                </c:pt>
              </c:strCache>
            </c:strRef>
          </c:tx>
          <c:dPt>
            <c:idx val="0"/>
            <c:bubble3D val="0"/>
            <c:spPr>
              <a:solidFill>
                <a:srgbClr val="41D9CA"/>
              </a:solidFill>
            </c:spPr>
            <c:extLst>
              <c:ext xmlns:c16="http://schemas.microsoft.com/office/drawing/2014/chart" uri="{C3380CC4-5D6E-409C-BE32-E72D297353CC}">
                <c16:uniqueId val="{00000001-6A88-4E06-9D1C-EC78C963BDD6}"/>
              </c:ext>
            </c:extLst>
          </c:dPt>
          <c:dPt>
            <c:idx val="1"/>
            <c:bubble3D val="0"/>
            <c:spPr>
              <a:solidFill>
                <a:srgbClr val="EDF25E"/>
              </a:solidFill>
            </c:spPr>
            <c:extLst>
              <c:ext xmlns:c16="http://schemas.microsoft.com/office/drawing/2014/chart" uri="{C3380CC4-5D6E-409C-BE32-E72D297353CC}">
                <c16:uniqueId val="{00000003-6A88-4E06-9D1C-EC78C963BDD6}"/>
              </c:ext>
            </c:extLst>
          </c:dPt>
          <c:dPt>
            <c:idx val="2"/>
            <c:bubble3D val="0"/>
            <c:spPr>
              <a:solidFill>
                <a:srgbClr val="9379F2"/>
              </a:solidFill>
            </c:spPr>
            <c:extLst>
              <c:ext xmlns:c16="http://schemas.microsoft.com/office/drawing/2014/chart" uri="{C3380CC4-5D6E-409C-BE32-E72D297353CC}">
                <c16:uniqueId val="{00000005-6A88-4E06-9D1C-EC78C963BDD6}"/>
              </c:ext>
            </c:extLst>
          </c:dPt>
          <c:dPt>
            <c:idx val="3"/>
            <c:bubble3D val="0"/>
            <c:spPr>
              <a:solidFill>
                <a:srgbClr val="F27405"/>
              </a:solidFill>
            </c:spPr>
            <c:extLst>
              <c:ext xmlns:c16="http://schemas.microsoft.com/office/drawing/2014/chart" uri="{C3380CC4-5D6E-409C-BE32-E72D297353CC}">
                <c16:uniqueId val="{00000007-6A88-4E06-9D1C-EC78C963BDD6}"/>
              </c:ext>
            </c:extLst>
          </c:dPt>
          <c:dPt>
            <c:idx val="4"/>
            <c:bubble3D val="0"/>
            <c:spPr>
              <a:solidFill>
                <a:srgbClr val="D96941"/>
              </a:solidFill>
            </c:spPr>
            <c:extLst>
              <c:ext xmlns:c16="http://schemas.microsoft.com/office/drawing/2014/chart" uri="{C3380CC4-5D6E-409C-BE32-E72D297353CC}">
                <c16:uniqueId val="{00000009-6A88-4E06-9D1C-EC78C963BDD6}"/>
              </c:ext>
            </c:extLst>
          </c:dPt>
          <c:dPt>
            <c:idx val="5"/>
            <c:bubble3D val="0"/>
            <c:spPr>
              <a:solidFill>
                <a:srgbClr val="9379F2"/>
              </a:solidFill>
            </c:spPr>
            <c:extLst>
              <c:ext xmlns:c16="http://schemas.microsoft.com/office/drawing/2014/chart" uri="{C3380CC4-5D6E-409C-BE32-E72D297353CC}">
                <c16:uniqueId val="{0000000B-6A88-4E06-9D1C-EC78C963BDD6}"/>
              </c:ext>
            </c:extLst>
          </c:dPt>
          <c:dPt>
            <c:idx val="6"/>
            <c:bubble3D val="0"/>
            <c:spPr>
              <a:solidFill>
                <a:srgbClr val="7AE4DA"/>
              </a:solidFill>
            </c:spPr>
            <c:extLst>
              <c:ext xmlns:c16="http://schemas.microsoft.com/office/drawing/2014/chart" uri="{C3380CC4-5D6E-409C-BE32-E72D297353CC}">
                <c16:uniqueId val="{0000000D-6A88-4E06-9D1C-EC78C963BDD6}"/>
              </c:ext>
            </c:extLst>
          </c:dPt>
          <c:dPt>
            <c:idx val="7"/>
            <c:bubble3D val="0"/>
            <c:spPr>
              <a:solidFill>
                <a:srgbClr val="F2F68E"/>
              </a:solidFill>
            </c:spPr>
            <c:extLst>
              <c:ext xmlns:c16="http://schemas.microsoft.com/office/drawing/2014/chart" uri="{C3380CC4-5D6E-409C-BE32-E72D297353CC}">
                <c16:uniqueId val="{0000000F-6A88-4E06-9D1C-EC78C963BDD6}"/>
              </c:ext>
            </c:extLst>
          </c:dPt>
          <c:dPt>
            <c:idx val="8"/>
            <c:bubble3D val="0"/>
            <c:spPr>
              <a:solidFill>
                <a:srgbClr val="D2CAB9"/>
              </a:solidFill>
            </c:spPr>
            <c:extLst>
              <c:ext xmlns:c16="http://schemas.microsoft.com/office/drawing/2014/chart" uri="{C3380CC4-5D6E-409C-BE32-E72D297353CC}">
                <c16:uniqueId val="{00000011-6A88-4E06-9D1C-EC78C963BDD6}"/>
              </c:ext>
            </c:extLst>
          </c:dPt>
          <c:dPt>
            <c:idx val="9"/>
            <c:bubble3D val="0"/>
            <c:spPr>
              <a:solidFill>
                <a:srgbClr val="F69E50"/>
              </a:solidFill>
            </c:spPr>
            <c:extLst>
              <c:ext xmlns:c16="http://schemas.microsoft.com/office/drawing/2014/chart" uri="{C3380CC4-5D6E-409C-BE32-E72D297353CC}">
                <c16:uniqueId val="{00000013-6A88-4E06-9D1C-EC78C963BDD6}"/>
              </c:ext>
            </c:extLst>
          </c:dPt>
          <c:dPt>
            <c:idx val="10"/>
            <c:bubble3D val="0"/>
            <c:spPr>
              <a:solidFill>
                <a:srgbClr val="E4967A"/>
              </a:solidFill>
            </c:spPr>
            <c:extLst>
              <c:ext xmlns:c16="http://schemas.microsoft.com/office/drawing/2014/chart" uri="{C3380CC4-5D6E-409C-BE32-E72D297353CC}">
                <c16:uniqueId val="{00000015-6A88-4E06-9D1C-EC78C963BDD6}"/>
              </c:ext>
            </c:extLst>
          </c:dPt>
          <c:dPt>
            <c:idx val="11"/>
            <c:bubble3D val="0"/>
            <c:spPr>
              <a:solidFill>
                <a:srgbClr val="B3A1F6"/>
              </a:solidFill>
            </c:spPr>
            <c:extLst>
              <c:ext xmlns:c16="http://schemas.microsoft.com/office/drawing/2014/chart" uri="{C3380CC4-5D6E-409C-BE32-E72D297353CC}">
                <c16:uniqueId val="{00000017-6A88-4E06-9D1C-EC78C963BDD6}"/>
              </c:ext>
            </c:extLst>
          </c:dPt>
          <c:dPt>
            <c:idx val="12"/>
            <c:bubble3D val="0"/>
            <c:spPr>
              <a:solidFill>
                <a:srgbClr val="B3F0EA"/>
              </a:solidFill>
            </c:spPr>
            <c:extLst>
              <c:ext xmlns:c16="http://schemas.microsoft.com/office/drawing/2014/chart" uri="{C3380CC4-5D6E-409C-BE32-E72D297353CC}">
                <c16:uniqueId val="{00000019-6A88-4E06-9D1C-EC78C963BDD6}"/>
              </c:ext>
            </c:extLst>
          </c:dPt>
          <c:dPt>
            <c:idx val="13"/>
            <c:bubble3D val="0"/>
            <c:spPr>
              <a:solidFill>
                <a:srgbClr val="F8FABF"/>
              </a:solidFill>
            </c:spPr>
            <c:extLst>
              <c:ext xmlns:c16="http://schemas.microsoft.com/office/drawing/2014/chart" uri="{C3380CC4-5D6E-409C-BE32-E72D297353CC}">
                <c16:uniqueId val="{0000001B-6A88-4E06-9D1C-EC78C963BDD6}"/>
              </c:ext>
            </c:extLst>
          </c:dPt>
          <c:dPt>
            <c:idx val="14"/>
            <c:bubble3D val="0"/>
            <c:spPr>
              <a:solidFill>
                <a:srgbClr val="E5E1D7"/>
              </a:solidFill>
            </c:spPr>
            <c:extLst>
              <c:ext xmlns:c16="http://schemas.microsoft.com/office/drawing/2014/chart" uri="{C3380CC4-5D6E-409C-BE32-E72D297353CC}">
                <c16:uniqueId val="{0000001D-6A88-4E06-9D1C-EC78C963BDD6}"/>
              </c:ext>
            </c:extLst>
          </c:dPt>
          <c:dPt>
            <c:idx val="15"/>
            <c:bubble3D val="0"/>
            <c:spPr>
              <a:solidFill>
                <a:srgbClr val="FAC79B"/>
              </a:solidFill>
            </c:spPr>
            <c:extLst>
              <c:ext xmlns:c16="http://schemas.microsoft.com/office/drawing/2014/chart" uri="{C3380CC4-5D6E-409C-BE32-E72D297353CC}">
                <c16:uniqueId val="{0000001F-6A88-4E06-9D1C-EC78C963BDD6}"/>
              </c:ext>
            </c:extLst>
          </c:dPt>
          <c:dPt>
            <c:idx val="16"/>
            <c:bubble3D val="0"/>
            <c:spPr>
              <a:solidFill>
                <a:srgbClr val="F0C3B3"/>
              </a:solidFill>
            </c:spPr>
            <c:extLst>
              <c:ext xmlns:c16="http://schemas.microsoft.com/office/drawing/2014/chart" uri="{C3380CC4-5D6E-409C-BE32-E72D297353CC}">
                <c16:uniqueId val="{00000021-6A88-4E06-9D1C-EC78C963BDD6}"/>
              </c:ext>
            </c:extLst>
          </c:dPt>
          <c:dPt>
            <c:idx val="17"/>
            <c:bubble3D val="0"/>
            <c:spPr>
              <a:solidFill>
                <a:srgbClr val="D4C9FA"/>
              </a:solidFill>
            </c:spPr>
            <c:extLst>
              <c:ext xmlns:c16="http://schemas.microsoft.com/office/drawing/2014/chart" uri="{C3380CC4-5D6E-409C-BE32-E72D297353CC}">
                <c16:uniqueId val="{00000023-6A88-4E06-9D1C-EC78C963BDD6}"/>
              </c:ext>
            </c:extLst>
          </c:dPt>
          <c:dPt>
            <c:idx val="18"/>
            <c:bubble3D val="0"/>
            <c:spPr>
              <a:solidFill>
                <a:srgbClr val="ECFBFA"/>
              </a:solidFill>
            </c:spPr>
            <c:extLst>
              <c:ext xmlns:c16="http://schemas.microsoft.com/office/drawing/2014/chart" uri="{C3380CC4-5D6E-409C-BE32-E72D297353CC}">
                <c16:uniqueId val="{00000025-6A88-4E06-9D1C-EC78C963BDD6}"/>
              </c:ext>
            </c:extLst>
          </c:dPt>
          <c:dPt>
            <c:idx val="19"/>
            <c:bubble3D val="0"/>
            <c:spPr>
              <a:solidFill>
                <a:srgbClr val="FDFEEF"/>
              </a:solidFill>
            </c:spPr>
            <c:extLst>
              <c:ext xmlns:c16="http://schemas.microsoft.com/office/drawing/2014/chart" uri="{C3380CC4-5D6E-409C-BE32-E72D297353CC}">
                <c16:uniqueId val="{00000027-6A88-4E06-9D1C-EC78C963BDD6}"/>
              </c:ext>
            </c:extLst>
          </c:dPt>
          <c:dPt>
            <c:idx val="20"/>
            <c:bubble3D val="0"/>
            <c:spPr>
              <a:solidFill>
                <a:srgbClr val="F9F7F5"/>
              </a:solidFill>
            </c:spPr>
            <c:extLst>
              <c:ext xmlns:c16="http://schemas.microsoft.com/office/drawing/2014/chart" uri="{C3380CC4-5D6E-409C-BE32-E72D297353CC}">
                <c16:uniqueId val="{00000029-6A88-4E06-9D1C-EC78C963BDD6}"/>
              </c:ext>
            </c:extLst>
          </c:dPt>
          <c:dPt>
            <c:idx val="21"/>
            <c:bubble3D val="0"/>
            <c:spPr>
              <a:solidFill>
                <a:srgbClr val="FEF1E6"/>
              </a:solidFill>
            </c:spPr>
            <c:extLst>
              <c:ext xmlns:c16="http://schemas.microsoft.com/office/drawing/2014/chart" uri="{C3380CC4-5D6E-409C-BE32-E72D297353CC}">
                <c16:uniqueId val="{0000002B-6A88-4E06-9D1C-EC78C963BDD6}"/>
              </c:ext>
            </c:extLst>
          </c:dPt>
          <c:dPt>
            <c:idx val="22"/>
            <c:bubble3D val="0"/>
            <c:spPr>
              <a:solidFill>
                <a:srgbClr val="FBF0EC"/>
              </a:solidFill>
            </c:spPr>
            <c:extLst>
              <c:ext xmlns:c16="http://schemas.microsoft.com/office/drawing/2014/chart" uri="{C3380CC4-5D6E-409C-BE32-E72D297353CC}">
                <c16:uniqueId val="{0000002D-6A88-4E06-9D1C-EC78C963BDD6}"/>
              </c:ext>
            </c:extLst>
          </c:dPt>
          <c:dPt>
            <c:idx val="23"/>
            <c:bubble3D val="0"/>
            <c:spPr>
              <a:solidFill>
                <a:srgbClr val="F4F2FE"/>
              </a:solidFill>
            </c:spPr>
            <c:extLst>
              <c:ext xmlns:c16="http://schemas.microsoft.com/office/drawing/2014/chart" uri="{C3380CC4-5D6E-409C-BE32-E72D297353CC}">
                <c16:uniqueId val="{0000002F-6A88-4E06-9D1C-EC78C963BDD6}"/>
              </c:ext>
            </c:extLst>
          </c:dPt>
          <c:dPt>
            <c:idx val="24"/>
            <c:bubble3D val="0"/>
            <c:spPr>
              <a:solidFill>
                <a:srgbClr val="25070A"/>
              </a:solidFill>
            </c:spPr>
            <c:extLst>
              <c:ext xmlns:c16="http://schemas.microsoft.com/office/drawing/2014/chart" uri="{C3380CC4-5D6E-409C-BE32-E72D297353CC}">
                <c16:uniqueId val="{00000031-6A88-4E06-9D1C-EC78C963BDD6}"/>
              </c:ext>
            </c:extLst>
          </c:dPt>
          <c:dPt>
            <c:idx val="25"/>
            <c:bubble3D val="0"/>
            <c:spPr>
              <a:solidFill>
                <a:srgbClr val="03021F"/>
              </a:solidFill>
            </c:spPr>
            <c:extLst>
              <c:ext xmlns:c16="http://schemas.microsoft.com/office/drawing/2014/chart" uri="{C3380CC4-5D6E-409C-BE32-E72D297353CC}">
                <c16:uniqueId val="{00000033-6A88-4E06-9D1C-EC78C963BDD6}"/>
              </c:ext>
            </c:extLst>
          </c:dPt>
          <c:dPt>
            <c:idx val="26"/>
            <c:bubble3D val="0"/>
            <c:spPr>
              <a:solidFill>
                <a:srgbClr val="0C0E13"/>
              </a:solidFill>
            </c:spPr>
            <c:extLst>
              <c:ext xmlns:c16="http://schemas.microsoft.com/office/drawing/2014/chart" uri="{C3380CC4-5D6E-409C-BE32-E72D297353CC}">
                <c16:uniqueId val="{00000035-6A88-4E06-9D1C-EC78C963BDD6}"/>
              </c:ext>
            </c:extLst>
          </c:dPt>
          <c:dPt>
            <c:idx val="27"/>
            <c:bubble3D val="0"/>
            <c:spPr>
              <a:solidFill>
                <a:srgbClr val="021B31"/>
              </a:solidFill>
            </c:spPr>
            <c:extLst>
              <c:ext xmlns:c16="http://schemas.microsoft.com/office/drawing/2014/chart" uri="{C3380CC4-5D6E-409C-BE32-E72D297353CC}">
                <c16:uniqueId val="{00000037-6A88-4E06-9D1C-EC78C963BDD6}"/>
              </c:ext>
            </c:extLst>
          </c:dPt>
          <c:dPt>
            <c:idx val="28"/>
            <c:bubble3D val="0"/>
            <c:spPr>
              <a:solidFill>
                <a:srgbClr val="071D25"/>
              </a:solidFill>
            </c:spPr>
            <c:extLst>
              <c:ext xmlns:c16="http://schemas.microsoft.com/office/drawing/2014/chart" uri="{C3380CC4-5D6E-409C-BE32-E72D297353CC}">
                <c16:uniqueId val="{00000039-6A88-4E06-9D1C-EC78C963BDD6}"/>
              </c:ext>
            </c:extLst>
          </c:dPt>
          <c:dPt>
            <c:idx val="29"/>
            <c:bubble3D val="0"/>
            <c:spPr>
              <a:solidFill>
                <a:srgbClr val="151A02"/>
              </a:solidFill>
            </c:spPr>
            <c:extLst>
              <c:ext xmlns:c16="http://schemas.microsoft.com/office/drawing/2014/chart" uri="{C3380CC4-5D6E-409C-BE32-E72D297353CC}">
                <c16:uniqueId val="{0000003B-6A88-4E06-9D1C-EC78C963BDD6}"/>
              </c:ext>
            </c:extLst>
          </c:dPt>
          <c:dPt>
            <c:idx val="30"/>
            <c:bubble3D val="0"/>
            <c:spPr>
              <a:solidFill>
                <a:srgbClr val="5E121A"/>
              </a:solidFill>
            </c:spPr>
            <c:extLst>
              <c:ext xmlns:c16="http://schemas.microsoft.com/office/drawing/2014/chart" uri="{C3380CC4-5D6E-409C-BE32-E72D297353CC}">
                <c16:uniqueId val="{0000003D-6A88-4E06-9D1C-EC78C963BDD6}"/>
              </c:ext>
            </c:extLst>
          </c:dPt>
          <c:dPt>
            <c:idx val="31"/>
            <c:bubble3D val="0"/>
            <c:spPr>
              <a:solidFill>
                <a:srgbClr val="080650"/>
              </a:solidFill>
            </c:spPr>
            <c:extLst>
              <c:ext xmlns:c16="http://schemas.microsoft.com/office/drawing/2014/chart" uri="{C3380CC4-5D6E-409C-BE32-E72D297353CC}">
                <c16:uniqueId val="{0000003F-6A88-4E06-9D1C-EC78C963BDD6}"/>
              </c:ext>
            </c:extLst>
          </c:dPt>
          <c:dPt>
            <c:idx val="32"/>
            <c:bubble3D val="0"/>
            <c:extLst>
              <c:ext xmlns:c16="http://schemas.microsoft.com/office/drawing/2014/chart" uri="{C3380CC4-5D6E-409C-BE32-E72D297353CC}">
                <c16:uniqueId val="{00000040-6A88-4E06-9D1C-EC78C963BDD6}"/>
              </c:ext>
            </c:extLst>
          </c:dPt>
          <c:dPt>
            <c:idx val="33"/>
            <c:bubble3D val="0"/>
            <c:extLst>
              <c:ext xmlns:c16="http://schemas.microsoft.com/office/drawing/2014/chart" uri="{C3380CC4-5D6E-409C-BE32-E72D297353CC}">
                <c16:uniqueId val="{00000041-6A88-4E06-9D1C-EC78C963BDD6}"/>
              </c:ext>
            </c:extLst>
          </c:dPt>
          <c:dPt>
            <c:idx val="34"/>
            <c:bubble3D val="0"/>
            <c:extLst>
              <c:ext xmlns:c16="http://schemas.microsoft.com/office/drawing/2014/chart" uri="{C3380CC4-5D6E-409C-BE32-E72D297353CC}">
                <c16:uniqueId val="{00000042-6A88-4E06-9D1C-EC78C963BDD6}"/>
              </c:ext>
            </c:extLst>
          </c:dPt>
          <c:cat>
            <c:strRef>
              <c:f>'Automation Monitoring'!$AM$6:$AM$40</c:f>
              <c:strCache>
                <c:ptCount val="35"/>
                <c:pt idx="0">
                  <c:v>BNI Direct Reguler / Reskinning</c:v>
                </c:pt>
                <c:pt idx="1">
                  <c:v>BNI Direct Lite</c:v>
                </c:pt>
                <c:pt idx="2">
                  <c:v>CXO Onboarding</c:v>
                </c:pt>
                <c:pt idx="6">
                  <c:v>Tiplus UFE</c:v>
                </c:pt>
                <c:pt idx="7">
                  <c:v>Tiplus SFE</c:v>
                </c:pt>
                <c:pt idx="8">
                  <c:v>Tiplus Export Local</c:v>
                </c:pt>
                <c:pt idx="9">
                  <c:v>Tiplus GB Local</c:v>
                </c:pt>
                <c:pt idx="10">
                  <c:v>Ibank Remittance Fase 1</c:v>
                </c:pt>
                <c:pt idx="11">
                  <c:v>Ibank Remittance Fase 2</c:v>
                </c:pt>
                <c:pt idx="12">
                  <c:v>Ibank Remittance Fase 3</c:v>
                </c:pt>
                <c:pt idx="13">
                  <c:v>Mobile SMS Menu (Android)</c:v>
                </c:pt>
                <c:pt idx="14">
                  <c:v>Mobile SMS Menu (iOS)</c:v>
                </c:pt>
                <c:pt idx="15">
                  <c:v>Mobile Banking (Android)</c:v>
                </c:pt>
                <c:pt idx="16">
                  <c:v>Mobile Banking (iOS)</c:v>
                </c:pt>
                <c:pt idx="17">
                  <c:v>Web Agen46</c:v>
                </c:pt>
                <c:pt idx="18">
                  <c:v>Mobile Agen46 (Android)</c:v>
                </c:pt>
                <c:pt idx="19">
                  <c:v>Mobile Agen46 (iOS)</c:v>
                </c:pt>
                <c:pt idx="20">
                  <c:v>Mobile Credit Card (Android)</c:v>
                </c:pt>
                <c:pt idx="21">
                  <c:v>Mobile Credit Card (iOS)</c:v>
                </c:pt>
                <c:pt idx="22">
                  <c:v>DMS Sprint 1</c:v>
                </c:pt>
                <c:pt idx="23">
                  <c:v>DMS Sprint 2</c:v>
                </c:pt>
                <c:pt idx="24">
                  <c:v>DMS Sprint 3</c:v>
                </c:pt>
                <c:pt idx="25">
                  <c:v>BAMS-TAT</c:v>
                </c:pt>
                <c:pt idx="26">
                  <c:v>DigIMS</c:v>
                </c:pt>
                <c:pt idx="27">
                  <c:v>Digisales Portal</c:v>
                </c:pt>
                <c:pt idx="28">
                  <c:v>Digisales Generalis Mobile Browser</c:v>
                </c:pt>
                <c:pt idx="29">
                  <c:v>Digisales Generalis Mobile APK</c:v>
                </c:pt>
                <c:pt idx="30">
                  <c:v>Digisales FTE Mobile Browser</c:v>
                </c:pt>
                <c:pt idx="31">
                  <c:v>Digisales FTE Mobile APK</c:v>
                </c:pt>
                <c:pt idx="32">
                  <c:v>Smart VA Portal</c:v>
                </c:pt>
                <c:pt idx="33">
                  <c:v>Cash Management Lite</c:v>
                </c:pt>
                <c:pt idx="34">
                  <c:v>GB Online</c:v>
                </c:pt>
              </c:strCache>
            </c:strRef>
          </c:cat>
          <c:val>
            <c:numRef>
              <c:f>'Automation Monitoring'!$AS$6:$AS$40</c:f>
              <c:numCache>
                <c:formatCode>0.00%</c:formatCode>
                <c:ptCount val="35"/>
                <c:pt idx="0">
                  <c:v>0.89640287769784177</c:v>
                </c:pt>
                <c:pt idx="1">
                  <c:v>0.57205240174672489</c:v>
                </c:pt>
                <c:pt idx="2">
                  <c:v>1</c:v>
                </c:pt>
                <c:pt idx="6">
                  <c:v>1</c:v>
                </c:pt>
                <c:pt idx="7">
                  <c:v>1</c:v>
                </c:pt>
                <c:pt idx="8">
                  <c:v>0</c:v>
                </c:pt>
                <c:pt idx="9">
                  <c:v>4.0653495440729485E-2</c:v>
                </c:pt>
                <c:pt idx="10">
                  <c:v>1</c:v>
                </c:pt>
                <c:pt idx="11">
                  <c:v>1</c:v>
                </c:pt>
                <c:pt idx="12">
                  <c:v>1</c:v>
                </c:pt>
                <c:pt idx="13">
                  <c:v>0.98974358974358978</c:v>
                </c:pt>
                <c:pt idx="14">
                  <c:v>0.52179487179487183</c:v>
                </c:pt>
                <c:pt idx="15">
                  <c:v>1</c:v>
                </c:pt>
                <c:pt idx="16">
                  <c:v>1</c:v>
                </c:pt>
                <c:pt idx="17">
                  <c:v>1</c:v>
                </c:pt>
                <c:pt idx="18">
                  <c:v>1</c:v>
                </c:pt>
                <c:pt idx="19">
                  <c:v>1</c:v>
                </c:pt>
                <c:pt idx="20">
                  <c:v>0.66666666666666663</c:v>
                </c:pt>
                <c:pt idx="21">
                  <c:v>0.66666666666666663</c:v>
                </c:pt>
                <c:pt idx="22">
                  <c:v>1</c:v>
                </c:pt>
                <c:pt idx="23">
                  <c:v>1</c:v>
                </c:pt>
                <c:pt idx="24">
                  <c:v>1</c:v>
                </c:pt>
                <c:pt idx="25">
                  <c:v>0.517948717948718</c:v>
                </c:pt>
                <c:pt idx="26">
                  <c:v>1</c:v>
                </c:pt>
                <c:pt idx="27">
                  <c:v>1</c:v>
                </c:pt>
                <c:pt idx="28">
                  <c:v>1</c:v>
                </c:pt>
                <c:pt idx="29">
                  <c:v>1</c:v>
                </c:pt>
                <c:pt idx="30">
                  <c:v>0.9688715953307393</c:v>
                </c:pt>
                <c:pt idx="31">
                  <c:v>0.98832684824902728</c:v>
                </c:pt>
                <c:pt idx="32">
                  <c:v>0.23467862481315396</c:v>
                </c:pt>
                <c:pt idx="33">
                  <c:v>6.0804648177549569E-4</c:v>
                </c:pt>
                <c:pt idx="34">
                  <c:v>0</c:v>
                </c:pt>
              </c:numCache>
            </c:numRef>
          </c:val>
          <c:extLst>
            <c:ext xmlns:c16="http://schemas.microsoft.com/office/drawing/2014/chart" uri="{C3380CC4-5D6E-409C-BE32-E72D297353CC}">
              <c16:uniqueId val="{00000043-6A88-4E06-9D1C-EC78C963BDD6}"/>
            </c:ext>
          </c:extLst>
        </c:ser>
        <c:dLbls>
          <c:showLegendKey val="0"/>
          <c:showVal val="0"/>
          <c:showCatName val="0"/>
          <c:showSerName val="0"/>
          <c:showPercent val="0"/>
          <c:showBubbleSize val="0"/>
          <c:showLeaderLines val="1"/>
        </c:dLbls>
        <c:firstSliceAng val="0"/>
        <c:holeSize val="50"/>
      </c:doughnutChart>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d-ID"/>
  <c:roundedCorners val="1"/>
  <c:style val="2"/>
  <c:chart>
    <c:autoTitleDeleted val="1"/>
    <c:plotArea>
      <c:layout/>
      <c:lineChart>
        <c:grouping val="standard"/>
        <c:varyColors val="1"/>
        <c:ser>
          <c:idx val="0"/>
          <c:order val="0"/>
          <c:tx>
            <c:strRef>
              <c:f>'Weekly TC Team'!$D$4</c:f>
              <c:strCache>
                <c:ptCount val="1"/>
                <c:pt idx="0">
                  <c:v>Thomas Gunawan Sardjono</c:v>
                </c:pt>
              </c:strCache>
            </c:strRef>
          </c:tx>
          <c:spPr>
            <a:ln cmpd="sng">
              <a:solidFill>
                <a:srgbClr val="41D9CA"/>
              </a:solidFill>
            </a:ln>
          </c:spPr>
          <c:marker>
            <c:symbol val="none"/>
          </c:marker>
          <c:cat>
            <c:strRef>
              <c:f>'Weekly TC Team'!$C$5:$C$68</c:f>
              <c:strCache>
                <c:ptCount val="64"/>
                <c:pt idx="0">
                  <c:v>2024</c:v>
                </c:pt>
                <c:pt idx="1">
                  <c:v>Jan-W1</c:v>
                </c:pt>
                <c:pt idx="2">
                  <c:v>Jan-W2</c:v>
                </c:pt>
                <c:pt idx="3">
                  <c:v>Jan-W3</c:v>
                </c:pt>
                <c:pt idx="4">
                  <c:v>Jan-W4</c:v>
                </c:pt>
                <c:pt idx="5">
                  <c:v>Jan-W5</c:v>
                </c:pt>
                <c:pt idx="7">
                  <c:v>Feb-W1</c:v>
                </c:pt>
                <c:pt idx="8">
                  <c:v>Feb-W2</c:v>
                </c:pt>
                <c:pt idx="9">
                  <c:v>Feb-W3</c:v>
                </c:pt>
                <c:pt idx="10">
                  <c:v>Feb-W4</c:v>
                </c:pt>
                <c:pt idx="12">
                  <c:v>Mar-W1</c:v>
                </c:pt>
                <c:pt idx="13">
                  <c:v>Mar-W2</c:v>
                </c:pt>
                <c:pt idx="14">
                  <c:v>Mar-W3</c:v>
                </c:pt>
                <c:pt idx="15">
                  <c:v>Mar-W4</c:v>
                </c:pt>
                <c:pt idx="17">
                  <c:v>Apr-W1</c:v>
                </c:pt>
                <c:pt idx="18">
                  <c:v>Apr-W2</c:v>
                </c:pt>
                <c:pt idx="19">
                  <c:v>Apr-W3</c:v>
                </c:pt>
                <c:pt idx="20">
                  <c:v>Apr-W4</c:v>
                </c:pt>
                <c:pt idx="22">
                  <c:v>May-W1</c:v>
                </c:pt>
                <c:pt idx="23">
                  <c:v>May-W2</c:v>
                </c:pt>
                <c:pt idx="24">
                  <c:v>May-W3</c:v>
                </c:pt>
                <c:pt idx="25">
                  <c:v>May-W4</c:v>
                </c:pt>
                <c:pt idx="26">
                  <c:v>May-W5</c:v>
                </c:pt>
                <c:pt idx="28">
                  <c:v>Jun-W1</c:v>
                </c:pt>
                <c:pt idx="29">
                  <c:v>Jun-W2</c:v>
                </c:pt>
                <c:pt idx="30">
                  <c:v>Jun-W3</c:v>
                </c:pt>
                <c:pt idx="31">
                  <c:v>Jun-W4</c:v>
                </c:pt>
                <c:pt idx="33">
                  <c:v>Jul-W1</c:v>
                </c:pt>
                <c:pt idx="34">
                  <c:v>Jul-W2</c:v>
                </c:pt>
                <c:pt idx="35">
                  <c:v>Jul-W3</c:v>
                </c:pt>
                <c:pt idx="36">
                  <c:v>Jul-W4</c:v>
                </c:pt>
                <c:pt idx="37">
                  <c:v>Jul-W5</c:v>
                </c:pt>
                <c:pt idx="39">
                  <c:v>Aug-W1</c:v>
                </c:pt>
                <c:pt idx="40">
                  <c:v>Aug-W2</c:v>
                </c:pt>
                <c:pt idx="41">
                  <c:v>Aug-W3</c:v>
                </c:pt>
                <c:pt idx="42">
                  <c:v>Aug-W4</c:v>
                </c:pt>
                <c:pt idx="44">
                  <c:v>Sep-W1</c:v>
                </c:pt>
                <c:pt idx="45">
                  <c:v>Sep-W2</c:v>
                </c:pt>
                <c:pt idx="46">
                  <c:v>Sep-W3</c:v>
                </c:pt>
                <c:pt idx="47">
                  <c:v>Sep-W4</c:v>
                </c:pt>
                <c:pt idx="49">
                  <c:v>Oct-W1</c:v>
                </c:pt>
                <c:pt idx="50">
                  <c:v>Oct-W2</c:v>
                </c:pt>
                <c:pt idx="51">
                  <c:v>Oct-W3</c:v>
                </c:pt>
                <c:pt idx="52">
                  <c:v>Oct-W4</c:v>
                </c:pt>
                <c:pt idx="53">
                  <c:v>Oct-W5</c:v>
                </c:pt>
                <c:pt idx="55">
                  <c:v>Nov-W1</c:v>
                </c:pt>
                <c:pt idx="56">
                  <c:v>Nov-W2</c:v>
                </c:pt>
                <c:pt idx="57">
                  <c:v>Nov-W3</c:v>
                </c:pt>
                <c:pt idx="58">
                  <c:v>Nov-W4</c:v>
                </c:pt>
                <c:pt idx="60">
                  <c:v>Dec-W1</c:v>
                </c:pt>
                <c:pt idx="61">
                  <c:v>Dec-W2</c:v>
                </c:pt>
                <c:pt idx="62">
                  <c:v>Dec-W3</c:v>
                </c:pt>
                <c:pt idx="63">
                  <c:v>Dec-W4</c:v>
                </c:pt>
              </c:strCache>
            </c:strRef>
          </c:cat>
          <c:val>
            <c:numRef>
              <c:f>'Weekly TC Team'!$D$5:$D$68</c:f>
              <c:numCache>
                <c:formatCode>General</c:formatCode>
                <c:ptCount val="64"/>
                <c:pt idx="0">
                  <c:v>0</c:v>
                </c:pt>
                <c:pt idx="1">
                  <c:v>25</c:v>
                </c:pt>
                <c:pt idx="2">
                  <c:v>50</c:v>
                </c:pt>
                <c:pt idx="3">
                  <c:v>75</c:v>
                </c:pt>
                <c:pt idx="4">
                  <c:v>25</c:v>
                </c:pt>
                <c:pt idx="5">
                  <c:v>50</c:v>
                </c:pt>
                <c:pt idx="7">
                  <c:v>50</c:v>
                </c:pt>
                <c:pt idx="8">
                  <c:v>75</c:v>
                </c:pt>
                <c:pt idx="9">
                  <c:v>25</c:v>
                </c:pt>
                <c:pt idx="10">
                  <c:v>50</c:v>
                </c:pt>
                <c:pt idx="12">
                  <c:v>75</c:v>
                </c:pt>
                <c:pt idx="13">
                  <c:v>25</c:v>
                </c:pt>
                <c:pt idx="14">
                  <c:v>50</c:v>
                </c:pt>
                <c:pt idx="15">
                  <c:v>75</c:v>
                </c:pt>
                <c:pt idx="17">
                  <c:v>40</c:v>
                </c:pt>
                <c:pt idx="18">
                  <c:v>40</c:v>
                </c:pt>
                <c:pt idx="19">
                  <c:v>40</c:v>
                </c:pt>
                <c:pt idx="20">
                  <c:v>40</c:v>
                </c:pt>
                <c:pt idx="22">
                  <c:v>40</c:v>
                </c:pt>
                <c:pt idx="23">
                  <c:v>40</c:v>
                </c:pt>
                <c:pt idx="24">
                  <c:v>40</c:v>
                </c:pt>
                <c:pt idx="25">
                  <c:v>40</c:v>
                </c:pt>
                <c:pt idx="26">
                  <c:v>40</c:v>
                </c:pt>
                <c:pt idx="28">
                  <c:v>40</c:v>
                </c:pt>
                <c:pt idx="29">
                  <c:v>40</c:v>
                </c:pt>
                <c:pt idx="30">
                  <c:v>40</c:v>
                </c:pt>
                <c:pt idx="31">
                  <c:v>40</c:v>
                </c:pt>
                <c:pt idx="33">
                  <c:v>40</c:v>
                </c:pt>
                <c:pt idx="34">
                  <c:v>40</c:v>
                </c:pt>
                <c:pt idx="35">
                  <c:v>40</c:v>
                </c:pt>
                <c:pt idx="36">
                  <c:v>40</c:v>
                </c:pt>
                <c:pt idx="37">
                  <c:v>40</c:v>
                </c:pt>
                <c:pt idx="39">
                  <c:v>40</c:v>
                </c:pt>
                <c:pt idx="40">
                  <c:v>40</c:v>
                </c:pt>
                <c:pt idx="41">
                  <c:v>40</c:v>
                </c:pt>
                <c:pt idx="42">
                  <c:v>40</c:v>
                </c:pt>
                <c:pt idx="44">
                  <c:v>40</c:v>
                </c:pt>
                <c:pt idx="45">
                  <c:v>40</c:v>
                </c:pt>
                <c:pt idx="46">
                  <c:v>40</c:v>
                </c:pt>
                <c:pt idx="47">
                  <c:v>40</c:v>
                </c:pt>
                <c:pt idx="49">
                  <c:v>40</c:v>
                </c:pt>
                <c:pt idx="50">
                  <c:v>40</c:v>
                </c:pt>
                <c:pt idx="51">
                  <c:v>40</c:v>
                </c:pt>
                <c:pt idx="52">
                  <c:v>40</c:v>
                </c:pt>
                <c:pt idx="53">
                  <c:v>40</c:v>
                </c:pt>
                <c:pt idx="55">
                  <c:v>40</c:v>
                </c:pt>
                <c:pt idx="56">
                  <c:v>40</c:v>
                </c:pt>
                <c:pt idx="57">
                  <c:v>40</c:v>
                </c:pt>
                <c:pt idx="58">
                  <c:v>40</c:v>
                </c:pt>
                <c:pt idx="60">
                  <c:v>40</c:v>
                </c:pt>
                <c:pt idx="61">
                  <c:v>40</c:v>
                </c:pt>
                <c:pt idx="62">
                  <c:v>40</c:v>
                </c:pt>
                <c:pt idx="63">
                  <c:v>40</c:v>
                </c:pt>
              </c:numCache>
            </c:numRef>
          </c:val>
          <c:smooth val="0"/>
          <c:extLst>
            <c:ext xmlns:c16="http://schemas.microsoft.com/office/drawing/2014/chart" uri="{C3380CC4-5D6E-409C-BE32-E72D297353CC}">
              <c16:uniqueId val="{00000000-943D-48EA-B22A-DF3D8E5CF5C3}"/>
            </c:ext>
          </c:extLst>
        </c:ser>
        <c:ser>
          <c:idx val="1"/>
          <c:order val="1"/>
          <c:tx>
            <c:strRef>
              <c:f>'Weekly TC Team'!$E$4</c:f>
              <c:strCache>
                <c:ptCount val="1"/>
                <c:pt idx="0">
                  <c:v>Andinira Rizki Syafitri</c:v>
                </c:pt>
              </c:strCache>
            </c:strRef>
          </c:tx>
          <c:spPr>
            <a:ln cmpd="sng">
              <a:solidFill>
                <a:srgbClr val="EDF25E"/>
              </a:solidFill>
            </a:ln>
          </c:spPr>
          <c:marker>
            <c:symbol val="none"/>
          </c:marker>
          <c:cat>
            <c:strRef>
              <c:f>'Weekly TC Team'!$C$5:$C$68</c:f>
              <c:strCache>
                <c:ptCount val="64"/>
                <c:pt idx="0">
                  <c:v>2024</c:v>
                </c:pt>
                <c:pt idx="1">
                  <c:v>Jan-W1</c:v>
                </c:pt>
                <c:pt idx="2">
                  <c:v>Jan-W2</c:v>
                </c:pt>
                <c:pt idx="3">
                  <c:v>Jan-W3</c:v>
                </c:pt>
                <c:pt idx="4">
                  <c:v>Jan-W4</c:v>
                </c:pt>
                <c:pt idx="5">
                  <c:v>Jan-W5</c:v>
                </c:pt>
                <c:pt idx="7">
                  <c:v>Feb-W1</c:v>
                </c:pt>
                <c:pt idx="8">
                  <c:v>Feb-W2</c:v>
                </c:pt>
                <c:pt idx="9">
                  <c:v>Feb-W3</c:v>
                </c:pt>
                <c:pt idx="10">
                  <c:v>Feb-W4</c:v>
                </c:pt>
                <c:pt idx="12">
                  <c:v>Mar-W1</c:v>
                </c:pt>
                <c:pt idx="13">
                  <c:v>Mar-W2</c:v>
                </c:pt>
                <c:pt idx="14">
                  <c:v>Mar-W3</c:v>
                </c:pt>
                <c:pt idx="15">
                  <c:v>Mar-W4</c:v>
                </c:pt>
                <c:pt idx="17">
                  <c:v>Apr-W1</c:v>
                </c:pt>
                <c:pt idx="18">
                  <c:v>Apr-W2</c:v>
                </c:pt>
                <c:pt idx="19">
                  <c:v>Apr-W3</c:v>
                </c:pt>
                <c:pt idx="20">
                  <c:v>Apr-W4</c:v>
                </c:pt>
                <c:pt idx="22">
                  <c:v>May-W1</c:v>
                </c:pt>
                <c:pt idx="23">
                  <c:v>May-W2</c:v>
                </c:pt>
                <c:pt idx="24">
                  <c:v>May-W3</c:v>
                </c:pt>
                <c:pt idx="25">
                  <c:v>May-W4</c:v>
                </c:pt>
                <c:pt idx="26">
                  <c:v>May-W5</c:v>
                </c:pt>
                <c:pt idx="28">
                  <c:v>Jun-W1</c:v>
                </c:pt>
                <c:pt idx="29">
                  <c:v>Jun-W2</c:v>
                </c:pt>
                <c:pt idx="30">
                  <c:v>Jun-W3</c:v>
                </c:pt>
                <c:pt idx="31">
                  <c:v>Jun-W4</c:v>
                </c:pt>
                <c:pt idx="33">
                  <c:v>Jul-W1</c:v>
                </c:pt>
                <c:pt idx="34">
                  <c:v>Jul-W2</c:v>
                </c:pt>
                <c:pt idx="35">
                  <c:v>Jul-W3</c:v>
                </c:pt>
                <c:pt idx="36">
                  <c:v>Jul-W4</c:v>
                </c:pt>
                <c:pt idx="37">
                  <c:v>Jul-W5</c:v>
                </c:pt>
                <c:pt idx="39">
                  <c:v>Aug-W1</c:v>
                </c:pt>
                <c:pt idx="40">
                  <c:v>Aug-W2</c:v>
                </c:pt>
                <c:pt idx="41">
                  <c:v>Aug-W3</c:v>
                </c:pt>
                <c:pt idx="42">
                  <c:v>Aug-W4</c:v>
                </c:pt>
                <c:pt idx="44">
                  <c:v>Sep-W1</c:v>
                </c:pt>
                <c:pt idx="45">
                  <c:v>Sep-W2</c:v>
                </c:pt>
                <c:pt idx="46">
                  <c:v>Sep-W3</c:v>
                </c:pt>
                <c:pt idx="47">
                  <c:v>Sep-W4</c:v>
                </c:pt>
                <c:pt idx="49">
                  <c:v>Oct-W1</c:v>
                </c:pt>
                <c:pt idx="50">
                  <c:v>Oct-W2</c:v>
                </c:pt>
                <c:pt idx="51">
                  <c:v>Oct-W3</c:v>
                </c:pt>
                <c:pt idx="52">
                  <c:v>Oct-W4</c:v>
                </c:pt>
                <c:pt idx="53">
                  <c:v>Oct-W5</c:v>
                </c:pt>
                <c:pt idx="55">
                  <c:v>Nov-W1</c:v>
                </c:pt>
                <c:pt idx="56">
                  <c:v>Nov-W2</c:v>
                </c:pt>
                <c:pt idx="57">
                  <c:v>Nov-W3</c:v>
                </c:pt>
                <c:pt idx="58">
                  <c:v>Nov-W4</c:v>
                </c:pt>
                <c:pt idx="60">
                  <c:v>Dec-W1</c:v>
                </c:pt>
                <c:pt idx="61">
                  <c:v>Dec-W2</c:v>
                </c:pt>
                <c:pt idx="62">
                  <c:v>Dec-W3</c:v>
                </c:pt>
                <c:pt idx="63">
                  <c:v>Dec-W4</c:v>
                </c:pt>
              </c:strCache>
            </c:strRef>
          </c:cat>
          <c:val>
            <c:numRef>
              <c:f>'Weekly TC Team'!$E$5:$E$68</c:f>
              <c:numCache>
                <c:formatCode>General</c:formatCode>
                <c:ptCount val="64"/>
                <c:pt idx="0">
                  <c:v>0</c:v>
                </c:pt>
                <c:pt idx="1">
                  <c:v>0</c:v>
                </c:pt>
                <c:pt idx="2">
                  <c:v>0</c:v>
                </c:pt>
                <c:pt idx="3">
                  <c:v>0</c:v>
                </c:pt>
                <c:pt idx="4">
                  <c:v>0</c:v>
                </c:pt>
                <c:pt idx="5">
                  <c:v>0</c:v>
                </c:pt>
                <c:pt idx="7">
                  <c:v>0</c:v>
                </c:pt>
                <c:pt idx="8">
                  <c:v>0</c:v>
                </c:pt>
                <c:pt idx="9">
                  <c:v>0</c:v>
                </c:pt>
                <c:pt idx="10">
                  <c:v>0</c:v>
                </c:pt>
                <c:pt idx="12">
                  <c:v>0</c:v>
                </c:pt>
                <c:pt idx="13">
                  <c:v>0</c:v>
                </c:pt>
                <c:pt idx="14">
                  <c:v>0</c:v>
                </c:pt>
                <c:pt idx="15">
                  <c:v>0</c:v>
                </c:pt>
                <c:pt idx="17">
                  <c:v>0</c:v>
                </c:pt>
                <c:pt idx="18">
                  <c:v>0</c:v>
                </c:pt>
                <c:pt idx="19">
                  <c:v>0</c:v>
                </c:pt>
                <c:pt idx="20">
                  <c:v>0</c:v>
                </c:pt>
                <c:pt idx="22">
                  <c:v>0</c:v>
                </c:pt>
                <c:pt idx="23">
                  <c:v>0</c:v>
                </c:pt>
                <c:pt idx="24">
                  <c:v>0</c:v>
                </c:pt>
                <c:pt idx="25">
                  <c:v>0</c:v>
                </c:pt>
                <c:pt idx="26">
                  <c:v>0</c:v>
                </c:pt>
                <c:pt idx="28">
                  <c:v>0</c:v>
                </c:pt>
                <c:pt idx="29">
                  <c:v>0</c:v>
                </c:pt>
                <c:pt idx="30">
                  <c:v>0</c:v>
                </c:pt>
                <c:pt idx="31">
                  <c:v>0</c:v>
                </c:pt>
                <c:pt idx="33">
                  <c:v>0</c:v>
                </c:pt>
                <c:pt idx="34">
                  <c:v>0</c:v>
                </c:pt>
                <c:pt idx="35">
                  <c:v>0</c:v>
                </c:pt>
                <c:pt idx="36">
                  <c:v>0</c:v>
                </c:pt>
                <c:pt idx="37">
                  <c:v>0</c:v>
                </c:pt>
                <c:pt idx="39">
                  <c:v>0</c:v>
                </c:pt>
                <c:pt idx="40">
                  <c:v>0</c:v>
                </c:pt>
                <c:pt idx="41">
                  <c:v>0</c:v>
                </c:pt>
                <c:pt idx="42">
                  <c:v>0</c:v>
                </c:pt>
                <c:pt idx="44">
                  <c:v>0</c:v>
                </c:pt>
                <c:pt idx="45">
                  <c:v>0</c:v>
                </c:pt>
                <c:pt idx="46">
                  <c:v>0</c:v>
                </c:pt>
                <c:pt idx="47">
                  <c:v>0</c:v>
                </c:pt>
                <c:pt idx="49">
                  <c:v>0</c:v>
                </c:pt>
                <c:pt idx="50">
                  <c:v>0</c:v>
                </c:pt>
                <c:pt idx="51">
                  <c:v>0</c:v>
                </c:pt>
                <c:pt idx="52">
                  <c:v>0</c:v>
                </c:pt>
                <c:pt idx="53">
                  <c:v>0</c:v>
                </c:pt>
                <c:pt idx="55">
                  <c:v>0</c:v>
                </c:pt>
                <c:pt idx="56">
                  <c:v>0</c:v>
                </c:pt>
                <c:pt idx="57">
                  <c:v>0</c:v>
                </c:pt>
                <c:pt idx="58">
                  <c:v>0</c:v>
                </c:pt>
                <c:pt idx="60">
                  <c:v>0</c:v>
                </c:pt>
                <c:pt idx="61">
                  <c:v>0</c:v>
                </c:pt>
                <c:pt idx="62">
                  <c:v>0</c:v>
                </c:pt>
                <c:pt idx="63">
                  <c:v>0</c:v>
                </c:pt>
              </c:numCache>
            </c:numRef>
          </c:val>
          <c:smooth val="0"/>
          <c:extLst>
            <c:ext xmlns:c16="http://schemas.microsoft.com/office/drawing/2014/chart" uri="{C3380CC4-5D6E-409C-BE32-E72D297353CC}">
              <c16:uniqueId val="{00000001-943D-48EA-B22A-DF3D8E5CF5C3}"/>
            </c:ext>
          </c:extLst>
        </c:ser>
        <c:ser>
          <c:idx val="2"/>
          <c:order val="2"/>
          <c:tx>
            <c:strRef>
              <c:f>'Weekly TC Team'!$F$4</c:f>
              <c:strCache>
                <c:ptCount val="1"/>
                <c:pt idx="0">
                  <c:v>Al Khawarismi Atma Pratama</c:v>
                </c:pt>
              </c:strCache>
            </c:strRef>
          </c:tx>
          <c:spPr>
            <a:ln cmpd="sng">
              <a:solidFill>
                <a:srgbClr val="BFB39B"/>
              </a:solidFill>
            </a:ln>
          </c:spPr>
          <c:marker>
            <c:symbol val="none"/>
          </c:marker>
          <c:cat>
            <c:strRef>
              <c:f>'Weekly TC Team'!$C$5:$C$68</c:f>
              <c:strCache>
                <c:ptCount val="64"/>
                <c:pt idx="0">
                  <c:v>2024</c:v>
                </c:pt>
                <c:pt idx="1">
                  <c:v>Jan-W1</c:v>
                </c:pt>
                <c:pt idx="2">
                  <c:v>Jan-W2</c:v>
                </c:pt>
                <c:pt idx="3">
                  <c:v>Jan-W3</c:v>
                </c:pt>
                <c:pt idx="4">
                  <c:v>Jan-W4</c:v>
                </c:pt>
                <c:pt idx="5">
                  <c:v>Jan-W5</c:v>
                </c:pt>
                <c:pt idx="7">
                  <c:v>Feb-W1</c:v>
                </c:pt>
                <c:pt idx="8">
                  <c:v>Feb-W2</c:v>
                </c:pt>
                <c:pt idx="9">
                  <c:v>Feb-W3</c:v>
                </c:pt>
                <c:pt idx="10">
                  <c:v>Feb-W4</c:v>
                </c:pt>
                <c:pt idx="12">
                  <c:v>Mar-W1</c:v>
                </c:pt>
                <c:pt idx="13">
                  <c:v>Mar-W2</c:v>
                </c:pt>
                <c:pt idx="14">
                  <c:v>Mar-W3</c:v>
                </c:pt>
                <c:pt idx="15">
                  <c:v>Mar-W4</c:v>
                </c:pt>
                <c:pt idx="17">
                  <c:v>Apr-W1</c:v>
                </c:pt>
                <c:pt idx="18">
                  <c:v>Apr-W2</c:v>
                </c:pt>
                <c:pt idx="19">
                  <c:v>Apr-W3</c:v>
                </c:pt>
                <c:pt idx="20">
                  <c:v>Apr-W4</c:v>
                </c:pt>
                <c:pt idx="22">
                  <c:v>May-W1</c:v>
                </c:pt>
                <c:pt idx="23">
                  <c:v>May-W2</c:v>
                </c:pt>
                <c:pt idx="24">
                  <c:v>May-W3</c:v>
                </c:pt>
                <c:pt idx="25">
                  <c:v>May-W4</c:v>
                </c:pt>
                <c:pt idx="26">
                  <c:v>May-W5</c:v>
                </c:pt>
                <c:pt idx="28">
                  <c:v>Jun-W1</c:v>
                </c:pt>
                <c:pt idx="29">
                  <c:v>Jun-W2</c:v>
                </c:pt>
                <c:pt idx="30">
                  <c:v>Jun-W3</c:v>
                </c:pt>
                <c:pt idx="31">
                  <c:v>Jun-W4</c:v>
                </c:pt>
                <c:pt idx="33">
                  <c:v>Jul-W1</c:v>
                </c:pt>
                <c:pt idx="34">
                  <c:v>Jul-W2</c:v>
                </c:pt>
                <c:pt idx="35">
                  <c:v>Jul-W3</c:v>
                </c:pt>
                <c:pt idx="36">
                  <c:v>Jul-W4</c:v>
                </c:pt>
                <c:pt idx="37">
                  <c:v>Jul-W5</c:v>
                </c:pt>
                <c:pt idx="39">
                  <c:v>Aug-W1</c:v>
                </c:pt>
                <c:pt idx="40">
                  <c:v>Aug-W2</c:v>
                </c:pt>
                <c:pt idx="41">
                  <c:v>Aug-W3</c:v>
                </c:pt>
                <c:pt idx="42">
                  <c:v>Aug-W4</c:v>
                </c:pt>
                <c:pt idx="44">
                  <c:v>Sep-W1</c:v>
                </c:pt>
                <c:pt idx="45">
                  <c:v>Sep-W2</c:v>
                </c:pt>
                <c:pt idx="46">
                  <c:v>Sep-W3</c:v>
                </c:pt>
                <c:pt idx="47">
                  <c:v>Sep-W4</c:v>
                </c:pt>
                <c:pt idx="49">
                  <c:v>Oct-W1</c:v>
                </c:pt>
                <c:pt idx="50">
                  <c:v>Oct-W2</c:v>
                </c:pt>
                <c:pt idx="51">
                  <c:v>Oct-W3</c:v>
                </c:pt>
                <c:pt idx="52">
                  <c:v>Oct-W4</c:v>
                </c:pt>
                <c:pt idx="53">
                  <c:v>Oct-W5</c:v>
                </c:pt>
                <c:pt idx="55">
                  <c:v>Nov-W1</c:v>
                </c:pt>
                <c:pt idx="56">
                  <c:v>Nov-W2</c:v>
                </c:pt>
                <c:pt idx="57">
                  <c:v>Nov-W3</c:v>
                </c:pt>
                <c:pt idx="58">
                  <c:v>Nov-W4</c:v>
                </c:pt>
                <c:pt idx="60">
                  <c:v>Dec-W1</c:v>
                </c:pt>
                <c:pt idx="61">
                  <c:v>Dec-W2</c:v>
                </c:pt>
                <c:pt idx="62">
                  <c:v>Dec-W3</c:v>
                </c:pt>
                <c:pt idx="63">
                  <c:v>Dec-W4</c:v>
                </c:pt>
              </c:strCache>
            </c:strRef>
          </c:cat>
          <c:val>
            <c:numRef>
              <c:f>'Weekly TC Team'!$F$5:$F$68</c:f>
              <c:numCache>
                <c:formatCode>General</c:formatCode>
                <c:ptCount val="64"/>
                <c:pt idx="0">
                  <c:v>0</c:v>
                </c:pt>
                <c:pt idx="1">
                  <c:v>0</c:v>
                </c:pt>
                <c:pt idx="2">
                  <c:v>0</c:v>
                </c:pt>
                <c:pt idx="3">
                  <c:v>0</c:v>
                </c:pt>
                <c:pt idx="4">
                  <c:v>0</c:v>
                </c:pt>
                <c:pt idx="5">
                  <c:v>0</c:v>
                </c:pt>
                <c:pt idx="7">
                  <c:v>0</c:v>
                </c:pt>
                <c:pt idx="8">
                  <c:v>0</c:v>
                </c:pt>
                <c:pt idx="9">
                  <c:v>0</c:v>
                </c:pt>
                <c:pt idx="10">
                  <c:v>0</c:v>
                </c:pt>
                <c:pt idx="12">
                  <c:v>0</c:v>
                </c:pt>
                <c:pt idx="13">
                  <c:v>0</c:v>
                </c:pt>
                <c:pt idx="14">
                  <c:v>0</c:v>
                </c:pt>
                <c:pt idx="15">
                  <c:v>0</c:v>
                </c:pt>
                <c:pt idx="17">
                  <c:v>0</c:v>
                </c:pt>
                <c:pt idx="18">
                  <c:v>0</c:v>
                </c:pt>
                <c:pt idx="19">
                  <c:v>0</c:v>
                </c:pt>
                <c:pt idx="20">
                  <c:v>0</c:v>
                </c:pt>
                <c:pt idx="22">
                  <c:v>0</c:v>
                </c:pt>
                <c:pt idx="23">
                  <c:v>0</c:v>
                </c:pt>
                <c:pt idx="24">
                  <c:v>0</c:v>
                </c:pt>
                <c:pt idx="25">
                  <c:v>0</c:v>
                </c:pt>
                <c:pt idx="26">
                  <c:v>0</c:v>
                </c:pt>
                <c:pt idx="28">
                  <c:v>0</c:v>
                </c:pt>
                <c:pt idx="29">
                  <c:v>0</c:v>
                </c:pt>
                <c:pt idx="30">
                  <c:v>0</c:v>
                </c:pt>
                <c:pt idx="31">
                  <c:v>0</c:v>
                </c:pt>
                <c:pt idx="33">
                  <c:v>0</c:v>
                </c:pt>
                <c:pt idx="34">
                  <c:v>0</c:v>
                </c:pt>
                <c:pt idx="35">
                  <c:v>0</c:v>
                </c:pt>
                <c:pt idx="36">
                  <c:v>0</c:v>
                </c:pt>
                <c:pt idx="37">
                  <c:v>0</c:v>
                </c:pt>
                <c:pt idx="39">
                  <c:v>0</c:v>
                </c:pt>
                <c:pt idx="40">
                  <c:v>0</c:v>
                </c:pt>
                <c:pt idx="41">
                  <c:v>0</c:v>
                </c:pt>
                <c:pt idx="42">
                  <c:v>0</c:v>
                </c:pt>
                <c:pt idx="44">
                  <c:v>0</c:v>
                </c:pt>
                <c:pt idx="45">
                  <c:v>0</c:v>
                </c:pt>
                <c:pt idx="46">
                  <c:v>0</c:v>
                </c:pt>
                <c:pt idx="47">
                  <c:v>0</c:v>
                </c:pt>
                <c:pt idx="49">
                  <c:v>0</c:v>
                </c:pt>
                <c:pt idx="50">
                  <c:v>0</c:v>
                </c:pt>
                <c:pt idx="51">
                  <c:v>0</c:v>
                </c:pt>
                <c:pt idx="52">
                  <c:v>0</c:v>
                </c:pt>
                <c:pt idx="53">
                  <c:v>0</c:v>
                </c:pt>
                <c:pt idx="55">
                  <c:v>0</c:v>
                </c:pt>
                <c:pt idx="56">
                  <c:v>0</c:v>
                </c:pt>
                <c:pt idx="57">
                  <c:v>0</c:v>
                </c:pt>
                <c:pt idx="58">
                  <c:v>0</c:v>
                </c:pt>
                <c:pt idx="60">
                  <c:v>0</c:v>
                </c:pt>
                <c:pt idx="61">
                  <c:v>0</c:v>
                </c:pt>
                <c:pt idx="62">
                  <c:v>0</c:v>
                </c:pt>
                <c:pt idx="63">
                  <c:v>0</c:v>
                </c:pt>
              </c:numCache>
            </c:numRef>
          </c:val>
          <c:smooth val="0"/>
          <c:extLst>
            <c:ext xmlns:c16="http://schemas.microsoft.com/office/drawing/2014/chart" uri="{C3380CC4-5D6E-409C-BE32-E72D297353CC}">
              <c16:uniqueId val="{00000002-943D-48EA-B22A-DF3D8E5CF5C3}"/>
            </c:ext>
          </c:extLst>
        </c:ser>
        <c:ser>
          <c:idx val="3"/>
          <c:order val="3"/>
          <c:tx>
            <c:strRef>
              <c:f>'Weekly TC Team'!$G$4</c:f>
              <c:strCache>
                <c:ptCount val="1"/>
                <c:pt idx="0">
                  <c:v>Burhan Aditya</c:v>
                </c:pt>
              </c:strCache>
            </c:strRef>
          </c:tx>
          <c:spPr>
            <a:ln cmpd="sng">
              <a:solidFill>
                <a:srgbClr val="F27405"/>
              </a:solidFill>
            </a:ln>
          </c:spPr>
          <c:marker>
            <c:symbol val="none"/>
          </c:marker>
          <c:cat>
            <c:strRef>
              <c:f>'Weekly TC Team'!$C$5:$C$68</c:f>
              <c:strCache>
                <c:ptCount val="64"/>
                <c:pt idx="0">
                  <c:v>2024</c:v>
                </c:pt>
                <c:pt idx="1">
                  <c:v>Jan-W1</c:v>
                </c:pt>
                <c:pt idx="2">
                  <c:v>Jan-W2</c:v>
                </c:pt>
                <c:pt idx="3">
                  <c:v>Jan-W3</c:v>
                </c:pt>
                <c:pt idx="4">
                  <c:v>Jan-W4</c:v>
                </c:pt>
                <c:pt idx="5">
                  <c:v>Jan-W5</c:v>
                </c:pt>
                <c:pt idx="7">
                  <c:v>Feb-W1</c:v>
                </c:pt>
                <c:pt idx="8">
                  <c:v>Feb-W2</c:v>
                </c:pt>
                <c:pt idx="9">
                  <c:v>Feb-W3</c:v>
                </c:pt>
                <c:pt idx="10">
                  <c:v>Feb-W4</c:v>
                </c:pt>
                <c:pt idx="12">
                  <c:v>Mar-W1</c:v>
                </c:pt>
                <c:pt idx="13">
                  <c:v>Mar-W2</c:v>
                </c:pt>
                <c:pt idx="14">
                  <c:v>Mar-W3</c:v>
                </c:pt>
                <c:pt idx="15">
                  <c:v>Mar-W4</c:v>
                </c:pt>
                <c:pt idx="17">
                  <c:v>Apr-W1</c:v>
                </c:pt>
                <c:pt idx="18">
                  <c:v>Apr-W2</c:v>
                </c:pt>
                <c:pt idx="19">
                  <c:v>Apr-W3</c:v>
                </c:pt>
                <c:pt idx="20">
                  <c:v>Apr-W4</c:v>
                </c:pt>
                <c:pt idx="22">
                  <c:v>May-W1</c:v>
                </c:pt>
                <c:pt idx="23">
                  <c:v>May-W2</c:v>
                </c:pt>
                <c:pt idx="24">
                  <c:v>May-W3</c:v>
                </c:pt>
                <c:pt idx="25">
                  <c:v>May-W4</c:v>
                </c:pt>
                <c:pt idx="26">
                  <c:v>May-W5</c:v>
                </c:pt>
                <c:pt idx="28">
                  <c:v>Jun-W1</c:v>
                </c:pt>
                <c:pt idx="29">
                  <c:v>Jun-W2</c:v>
                </c:pt>
                <c:pt idx="30">
                  <c:v>Jun-W3</c:v>
                </c:pt>
                <c:pt idx="31">
                  <c:v>Jun-W4</c:v>
                </c:pt>
                <c:pt idx="33">
                  <c:v>Jul-W1</c:v>
                </c:pt>
                <c:pt idx="34">
                  <c:v>Jul-W2</c:v>
                </c:pt>
                <c:pt idx="35">
                  <c:v>Jul-W3</c:v>
                </c:pt>
                <c:pt idx="36">
                  <c:v>Jul-W4</c:v>
                </c:pt>
                <c:pt idx="37">
                  <c:v>Jul-W5</c:v>
                </c:pt>
                <c:pt idx="39">
                  <c:v>Aug-W1</c:v>
                </c:pt>
                <c:pt idx="40">
                  <c:v>Aug-W2</c:v>
                </c:pt>
                <c:pt idx="41">
                  <c:v>Aug-W3</c:v>
                </c:pt>
                <c:pt idx="42">
                  <c:v>Aug-W4</c:v>
                </c:pt>
                <c:pt idx="44">
                  <c:v>Sep-W1</c:v>
                </c:pt>
                <c:pt idx="45">
                  <c:v>Sep-W2</c:v>
                </c:pt>
                <c:pt idx="46">
                  <c:v>Sep-W3</c:v>
                </c:pt>
                <c:pt idx="47">
                  <c:v>Sep-W4</c:v>
                </c:pt>
                <c:pt idx="49">
                  <c:v>Oct-W1</c:v>
                </c:pt>
                <c:pt idx="50">
                  <c:v>Oct-W2</c:v>
                </c:pt>
                <c:pt idx="51">
                  <c:v>Oct-W3</c:v>
                </c:pt>
                <c:pt idx="52">
                  <c:v>Oct-W4</c:v>
                </c:pt>
                <c:pt idx="53">
                  <c:v>Oct-W5</c:v>
                </c:pt>
                <c:pt idx="55">
                  <c:v>Nov-W1</c:v>
                </c:pt>
                <c:pt idx="56">
                  <c:v>Nov-W2</c:v>
                </c:pt>
                <c:pt idx="57">
                  <c:v>Nov-W3</c:v>
                </c:pt>
                <c:pt idx="58">
                  <c:v>Nov-W4</c:v>
                </c:pt>
                <c:pt idx="60">
                  <c:v>Dec-W1</c:v>
                </c:pt>
                <c:pt idx="61">
                  <c:v>Dec-W2</c:v>
                </c:pt>
                <c:pt idx="62">
                  <c:v>Dec-W3</c:v>
                </c:pt>
                <c:pt idx="63">
                  <c:v>Dec-W4</c:v>
                </c:pt>
              </c:strCache>
            </c:strRef>
          </c:cat>
          <c:val>
            <c:numRef>
              <c:f>'Weekly TC Team'!$G$5:$G$68</c:f>
              <c:numCache>
                <c:formatCode>General</c:formatCode>
                <c:ptCount val="64"/>
                <c:pt idx="0">
                  <c:v>0</c:v>
                </c:pt>
                <c:pt idx="1">
                  <c:v>0</c:v>
                </c:pt>
                <c:pt idx="2">
                  <c:v>0</c:v>
                </c:pt>
                <c:pt idx="3">
                  <c:v>0</c:v>
                </c:pt>
                <c:pt idx="4">
                  <c:v>0</c:v>
                </c:pt>
                <c:pt idx="5">
                  <c:v>0</c:v>
                </c:pt>
                <c:pt idx="7">
                  <c:v>0</c:v>
                </c:pt>
                <c:pt idx="8">
                  <c:v>0</c:v>
                </c:pt>
                <c:pt idx="9">
                  <c:v>0</c:v>
                </c:pt>
                <c:pt idx="10">
                  <c:v>0</c:v>
                </c:pt>
                <c:pt idx="12">
                  <c:v>0</c:v>
                </c:pt>
                <c:pt idx="13">
                  <c:v>0</c:v>
                </c:pt>
                <c:pt idx="14">
                  <c:v>0</c:v>
                </c:pt>
                <c:pt idx="15">
                  <c:v>0</c:v>
                </c:pt>
                <c:pt idx="17">
                  <c:v>0</c:v>
                </c:pt>
                <c:pt idx="18">
                  <c:v>0</c:v>
                </c:pt>
                <c:pt idx="19">
                  <c:v>0</c:v>
                </c:pt>
                <c:pt idx="20">
                  <c:v>0</c:v>
                </c:pt>
                <c:pt idx="22">
                  <c:v>0</c:v>
                </c:pt>
                <c:pt idx="23">
                  <c:v>0</c:v>
                </c:pt>
                <c:pt idx="24">
                  <c:v>0</c:v>
                </c:pt>
                <c:pt idx="25">
                  <c:v>0</c:v>
                </c:pt>
                <c:pt idx="26">
                  <c:v>0</c:v>
                </c:pt>
                <c:pt idx="28">
                  <c:v>0</c:v>
                </c:pt>
                <c:pt idx="29">
                  <c:v>0</c:v>
                </c:pt>
                <c:pt idx="30">
                  <c:v>0</c:v>
                </c:pt>
                <c:pt idx="31">
                  <c:v>0</c:v>
                </c:pt>
                <c:pt idx="33">
                  <c:v>0</c:v>
                </c:pt>
                <c:pt idx="34">
                  <c:v>0</c:v>
                </c:pt>
                <c:pt idx="35">
                  <c:v>0</c:v>
                </c:pt>
                <c:pt idx="36">
                  <c:v>0</c:v>
                </c:pt>
                <c:pt idx="37">
                  <c:v>0</c:v>
                </c:pt>
                <c:pt idx="39">
                  <c:v>0</c:v>
                </c:pt>
                <c:pt idx="40">
                  <c:v>0</c:v>
                </c:pt>
                <c:pt idx="41">
                  <c:v>0</c:v>
                </c:pt>
                <c:pt idx="42">
                  <c:v>0</c:v>
                </c:pt>
                <c:pt idx="44">
                  <c:v>0</c:v>
                </c:pt>
                <c:pt idx="45">
                  <c:v>0</c:v>
                </c:pt>
                <c:pt idx="46">
                  <c:v>0</c:v>
                </c:pt>
                <c:pt idx="47">
                  <c:v>0</c:v>
                </c:pt>
                <c:pt idx="49">
                  <c:v>0</c:v>
                </c:pt>
                <c:pt idx="50">
                  <c:v>0</c:v>
                </c:pt>
                <c:pt idx="51">
                  <c:v>0</c:v>
                </c:pt>
                <c:pt idx="52">
                  <c:v>0</c:v>
                </c:pt>
                <c:pt idx="53">
                  <c:v>0</c:v>
                </c:pt>
                <c:pt idx="55">
                  <c:v>0</c:v>
                </c:pt>
                <c:pt idx="56">
                  <c:v>0</c:v>
                </c:pt>
                <c:pt idx="57">
                  <c:v>0</c:v>
                </c:pt>
                <c:pt idx="58">
                  <c:v>0</c:v>
                </c:pt>
                <c:pt idx="60">
                  <c:v>0</c:v>
                </c:pt>
                <c:pt idx="61">
                  <c:v>0</c:v>
                </c:pt>
                <c:pt idx="62">
                  <c:v>0</c:v>
                </c:pt>
                <c:pt idx="63">
                  <c:v>0</c:v>
                </c:pt>
              </c:numCache>
            </c:numRef>
          </c:val>
          <c:smooth val="0"/>
          <c:extLst>
            <c:ext xmlns:c16="http://schemas.microsoft.com/office/drawing/2014/chart" uri="{C3380CC4-5D6E-409C-BE32-E72D297353CC}">
              <c16:uniqueId val="{00000003-943D-48EA-B22A-DF3D8E5CF5C3}"/>
            </c:ext>
          </c:extLst>
        </c:ser>
        <c:ser>
          <c:idx val="4"/>
          <c:order val="4"/>
          <c:tx>
            <c:strRef>
              <c:f>'Weekly TC Team'!$H$4</c:f>
              <c:strCache>
                <c:ptCount val="1"/>
                <c:pt idx="0">
                  <c:v>Muhamad Ilyas Azmi Dewanto</c:v>
                </c:pt>
              </c:strCache>
            </c:strRef>
          </c:tx>
          <c:spPr>
            <a:ln cmpd="sng">
              <a:solidFill>
                <a:srgbClr val="D96941"/>
              </a:solidFill>
            </a:ln>
          </c:spPr>
          <c:marker>
            <c:symbol val="none"/>
          </c:marker>
          <c:cat>
            <c:strRef>
              <c:f>'Weekly TC Team'!$C$5:$C$68</c:f>
              <c:strCache>
                <c:ptCount val="64"/>
                <c:pt idx="0">
                  <c:v>2024</c:v>
                </c:pt>
                <c:pt idx="1">
                  <c:v>Jan-W1</c:v>
                </c:pt>
                <c:pt idx="2">
                  <c:v>Jan-W2</c:v>
                </c:pt>
                <c:pt idx="3">
                  <c:v>Jan-W3</c:v>
                </c:pt>
                <c:pt idx="4">
                  <c:v>Jan-W4</c:v>
                </c:pt>
                <c:pt idx="5">
                  <c:v>Jan-W5</c:v>
                </c:pt>
                <c:pt idx="7">
                  <c:v>Feb-W1</c:v>
                </c:pt>
                <c:pt idx="8">
                  <c:v>Feb-W2</c:v>
                </c:pt>
                <c:pt idx="9">
                  <c:v>Feb-W3</c:v>
                </c:pt>
                <c:pt idx="10">
                  <c:v>Feb-W4</c:v>
                </c:pt>
                <c:pt idx="12">
                  <c:v>Mar-W1</c:v>
                </c:pt>
                <c:pt idx="13">
                  <c:v>Mar-W2</c:v>
                </c:pt>
                <c:pt idx="14">
                  <c:v>Mar-W3</c:v>
                </c:pt>
                <c:pt idx="15">
                  <c:v>Mar-W4</c:v>
                </c:pt>
                <c:pt idx="17">
                  <c:v>Apr-W1</c:v>
                </c:pt>
                <c:pt idx="18">
                  <c:v>Apr-W2</c:v>
                </c:pt>
                <c:pt idx="19">
                  <c:v>Apr-W3</c:v>
                </c:pt>
                <c:pt idx="20">
                  <c:v>Apr-W4</c:v>
                </c:pt>
                <c:pt idx="22">
                  <c:v>May-W1</c:v>
                </c:pt>
                <c:pt idx="23">
                  <c:v>May-W2</c:v>
                </c:pt>
                <c:pt idx="24">
                  <c:v>May-W3</c:v>
                </c:pt>
                <c:pt idx="25">
                  <c:v>May-W4</c:v>
                </c:pt>
                <c:pt idx="26">
                  <c:v>May-W5</c:v>
                </c:pt>
                <c:pt idx="28">
                  <c:v>Jun-W1</c:v>
                </c:pt>
                <c:pt idx="29">
                  <c:v>Jun-W2</c:v>
                </c:pt>
                <c:pt idx="30">
                  <c:v>Jun-W3</c:v>
                </c:pt>
                <c:pt idx="31">
                  <c:v>Jun-W4</c:v>
                </c:pt>
                <c:pt idx="33">
                  <c:v>Jul-W1</c:v>
                </c:pt>
                <c:pt idx="34">
                  <c:v>Jul-W2</c:v>
                </c:pt>
                <c:pt idx="35">
                  <c:v>Jul-W3</c:v>
                </c:pt>
                <c:pt idx="36">
                  <c:v>Jul-W4</c:v>
                </c:pt>
                <c:pt idx="37">
                  <c:v>Jul-W5</c:v>
                </c:pt>
                <c:pt idx="39">
                  <c:v>Aug-W1</c:v>
                </c:pt>
                <c:pt idx="40">
                  <c:v>Aug-W2</c:v>
                </c:pt>
                <c:pt idx="41">
                  <c:v>Aug-W3</c:v>
                </c:pt>
                <c:pt idx="42">
                  <c:v>Aug-W4</c:v>
                </c:pt>
                <c:pt idx="44">
                  <c:v>Sep-W1</c:v>
                </c:pt>
                <c:pt idx="45">
                  <c:v>Sep-W2</c:v>
                </c:pt>
                <c:pt idx="46">
                  <c:v>Sep-W3</c:v>
                </c:pt>
                <c:pt idx="47">
                  <c:v>Sep-W4</c:v>
                </c:pt>
                <c:pt idx="49">
                  <c:v>Oct-W1</c:v>
                </c:pt>
                <c:pt idx="50">
                  <c:v>Oct-W2</c:v>
                </c:pt>
                <c:pt idx="51">
                  <c:v>Oct-W3</c:v>
                </c:pt>
                <c:pt idx="52">
                  <c:v>Oct-W4</c:v>
                </c:pt>
                <c:pt idx="53">
                  <c:v>Oct-W5</c:v>
                </c:pt>
                <c:pt idx="55">
                  <c:v>Nov-W1</c:v>
                </c:pt>
                <c:pt idx="56">
                  <c:v>Nov-W2</c:v>
                </c:pt>
                <c:pt idx="57">
                  <c:v>Nov-W3</c:v>
                </c:pt>
                <c:pt idx="58">
                  <c:v>Nov-W4</c:v>
                </c:pt>
                <c:pt idx="60">
                  <c:v>Dec-W1</c:v>
                </c:pt>
                <c:pt idx="61">
                  <c:v>Dec-W2</c:v>
                </c:pt>
                <c:pt idx="62">
                  <c:v>Dec-W3</c:v>
                </c:pt>
                <c:pt idx="63">
                  <c:v>Dec-W4</c:v>
                </c:pt>
              </c:strCache>
            </c:strRef>
          </c:cat>
          <c:val>
            <c:numRef>
              <c:f>'Weekly TC Team'!$H$5:$H$68</c:f>
              <c:numCache>
                <c:formatCode>General</c:formatCode>
                <c:ptCount val="64"/>
                <c:pt idx="0">
                  <c:v>0</c:v>
                </c:pt>
                <c:pt idx="1">
                  <c:v>0</c:v>
                </c:pt>
                <c:pt idx="2">
                  <c:v>0</c:v>
                </c:pt>
                <c:pt idx="3">
                  <c:v>0</c:v>
                </c:pt>
                <c:pt idx="4">
                  <c:v>0</c:v>
                </c:pt>
                <c:pt idx="5">
                  <c:v>0</c:v>
                </c:pt>
                <c:pt idx="7">
                  <c:v>0</c:v>
                </c:pt>
                <c:pt idx="8">
                  <c:v>0</c:v>
                </c:pt>
                <c:pt idx="9">
                  <c:v>0</c:v>
                </c:pt>
                <c:pt idx="10">
                  <c:v>0</c:v>
                </c:pt>
                <c:pt idx="12">
                  <c:v>0</c:v>
                </c:pt>
                <c:pt idx="13">
                  <c:v>0</c:v>
                </c:pt>
                <c:pt idx="14">
                  <c:v>0</c:v>
                </c:pt>
                <c:pt idx="15">
                  <c:v>0</c:v>
                </c:pt>
                <c:pt idx="17">
                  <c:v>0</c:v>
                </c:pt>
                <c:pt idx="18">
                  <c:v>0</c:v>
                </c:pt>
                <c:pt idx="19">
                  <c:v>0</c:v>
                </c:pt>
                <c:pt idx="20">
                  <c:v>0</c:v>
                </c:pt>
                <c:pt idx="22">
                  <c:v>0</c:v>
                </c:pt>
                <c:pt idx="23">
                  <c:v>0</c:v>
                </c:pt>
                <c:pt idx="24">
                  <c:v>0</c:v>
                </c:pt>
                <c:pt idx="25">
                  <c:v>0</c:v>
                </c:pt>
                <c:pt idx="26">
                  <c:v>0</c:v>
                </c:pt>
                <c:pt idx="28">
                  <c:v>0</c:v>
                </c:pt>
                <c:pt idx="29">
                  <c:v>0</c:v>
                </c:pt>
                <c:pt idx="30">
                  <c:v>0</c:v>
                </c:pt>
                <c:pt idx="31">
                  <c:v>0</c:v>
                </c:pt>
                <c:pt idx="33">
                  <c:v>0</c:v>
                </c:pt>
                <c:pt idx="34">
                  <c:v>0</c:v>
                </c:pt>
                <c:pt idx="35">
                  <c:v>0</c:v>
                </c:pt>
                <c:pt idx="36">
                  <c:v>0</c:v>
                </c:pt>
                <c:pt idx="37">
                  <c:v>0</c:v>
                </c:pt>
                <c:pt idx="39">
                  <c:v>0</c:v>
                </c:pt>
                <c:pt idx="40">
                  <c:v>0</c:v>
                </c:pt>
                <c:pt idx="41">
                  <c:v>0</c:v>
                </c:pt>
                <c:pt idx="42">
                  <c:v>0</c:v>
                </c:pt>
                <c:pt idx="44">
                  <c:v>0</c:v>
                </c:pt>
                <c:pt idx="45">
                  <c:v>0</c:v>
                </c:pt>
                <c:pt idx="46">
                  <c:v>0</c:v>
                </c:pt>
                <c:pt idx="47">
                  <c:v>0</c:v>
                </c:pt>
                <c:pt idx="49">
                  <c:v>0</c:v>
                </c:pt>
                <c:pt idx="50">
                  <c:v>0</c:v>
                </c:pt>
                <c:pt idx="51">
                  <c:v>0</c:v>
                </c:pt>
                <c:pt idx="52">
                  <c:v>0</c:v>
                </c:pt>
                <c:pt idx="53">
                  <c:v>0</c:v>
                </c:pt>
                <c:pt idx="55">
                  <c:v>0</c:v>
                </c:pt>
                <c:pt idx="56">
                  <c:v>0</c:v>
                </c:pt>
                <c:pt idx="57">
                  <c:v>0</c:v>
                </c:pt>
                <c:pt idx="58">
                  <c:v>0</c:v>
                </c:pt>
                <c:pt idx="60">
                  <c:v>0</c:v>
                </c:pt>
                <c:pt idx="61">
                  <c:v>0</c:v>
                </c:pt>
                <c:pt idx="62">
                  <c:v>0</c:v>
                </c:pt>
                <c:pt idx="63">
                  <c:v>0</c:v>
                </c:pt>
              </c:numCache>
            </c:numRef>
          </c:val>
          <c:smooth val="0"/>
          <c:extLst>
            <c:ext xmlns:c16="http://schemas.microsoft.com/office/drawing/2014/chart" uri="{C3380CC4-5D6E-409C-BE32-E72D297353CC}">
              <c16:uniqueId val="{00000004-943D-48EA-B22A-DF3D8E5CF5C3}"/>
            </c:ext>
          </c:extLst>
        </c:ser>
        <c:ser>
          <c:idx val="5"/>
          <c:order val="5"/>
          <c:tx>
            <c:strRef>
              <c:f>'Weekly TC Team'!$I$4</c:f>
              <c:strCache>
                <c:ptCount val="1"/>
                <c:pt idx="0">
                  <c:v>Willy Honandar</c:v>
                </c:pt>
              </c:strCache>
            </c:strRef>
          </c:tx>
          <c:spPr>
            <a:ln cmpd="sng">
              <a:solidFill>
                <a:srgbClr val="FF9900">
                  <a:alpha val="100000"/>
                </a:srgbClr>
              </a:solidFill>
            </a:ln>
          </c:spPr>
          <c:marker>
            <c:symbol val="none"/>
          </c:marker>
          <c:cat>
            <c:strRef>
              <c:f>'Weekly TC Team'!$C$5:$C$68</c:f>
              <c:strCache>
                <c:ptCount val="64"/>
                <c:pt idx="0">
                  <c:v>2024</c:v>
                </c:pt>
                <c:pt idx="1">
                  <c:v>Jan-W1</c:v>
                </c:pt>
                <c:pt idx="2">
                  <c:v>Jan-W2</c:v>
                </c:pt>
                <c:pt idx="3">
                  <c:v>Jan-W3</c:v>
                </c:pt>
                <c:pt idx="4">
                  <c:v>Jan-W4</c:v>
                </c:pt>
                <c:pt idx="5">
                  <c:v>Jan-W5</c:v>
                </c:pt>
                <c:pt idx="7">
                  <c:v>Feb-W1</c:v>
                </c:pt>
                <c:pt idx="8">
                  <c:v>Feb-W2</c:v>
                </c:pt>
                <c:pt idx="9">
                  <c:v>Feb-W3</c:v>
                </c:pt>
                <c:pt idx="10">
                  <c:v>Feb-W4</c:v>
                </c:pt>
                <c:pt idx="12">
                  <c:v>Mar-W1</c:v>
                </c:pt>
                <c:pt idx="13">
                  <c:v>Mar-W2</c:v>
                </c:pt>
                <c:pt idx="14">
                  <c:v>Mar-W3</c:v>
                </c:pt>
                <c:pt idx="15">
                  <c:v>Mar-W4</c:v>
                </c:pt>
                <c:pt idx="17">
                  <c:v>Apr-W1</c:v>
                </c:pt>
                <c:pt idx="18">
                  <c:v>Apr-W2</c:v>
                </c:pt>
                <c:pt idx="19">
                  <c:v>Apr-W3</c:v>
                </c:pt>
                <c:pt idx="20">
                  <c:v>Apr-W4</c:v>
                </c:pt>
                <c:pt idx="22">
                  <c:v>May-W1</c:v>
                </c:pt>
                <c:pt idx="23">
                  <c:v>May-W2</c:v>
                </c:pt>
                <c:pt idx="24">
                  <c:v>May-W3</c:v>
                </c:pt>
                <c:pt idx="25">
                  <c:v>May-W4</c:v>
                </c:pt>
                <c:pt idx="26">
                  <c:v>May-W5</c:v>
                </c:pt>
                <c:pt idx="28">
                  <c:v>Jun-W1</c:v>
                </c:pt>
                <c:pt idx="29">
                  <c:v>Jun-W2</c:v>
                </c:pt>
                <c:pt idx="30">
                  <c:v>Jun-W3</c:v>
                </c:pt>
                <c:pt idx="31">
                  <c:v>Jun-W4</c:v>
                </c:pt>
                <c:pt idx="33">
                  <c:v>Jul-W1</c:v>
                </c:pt>
                <c:pt idx="34">
                  <c:v>Jul-W2</c:v>
                </c:pt>
                <c:pt idx="35">
                  <c:v>Jul-W3</c:v>
                </c:pt>
                <c:pt idx="36">
                  <c:v>Jul-W4</c:v>
                </c:pt>
                <c:pt idx="37">
                  <c:v>Jul-W5</c:v>
                </c:pt>
                <c:pt idx="39">
                  <c:v>Aug-W1</c:v>
                </c:pt>
                <c:pt idx="40">
                  <c:v>Aug-W2</c:v>
                </c:pt>
                <c:pt idx="41">
                  <c:v>Aug-W3</c:v>
                </c:pt>
                <c:pt idx="42">
                  <c:v>Aug-W4</c:v>
                </c:pt>
                <c:pt idx="44">
                  <c:v>Sep-W1</c:v>
                </c:pt>
                <c:pt idx="45">
                  <c:v>Sep-W2</c:v>
                </c:pt>
                <c:pt idx="46">
                  <c:v>Sep-W3</c:v>
                </c:pt>
                <c:pt idx="47">
                  <c:v>Sep-W4</c:v>
                </c:pt>
                <c:pt idx="49">
                  <c:v>Oct-W1</c:v>
                </c:pt>
                <c:pt idx="50">
                  <c:v>Oct-W2</c:v>
                </c:pt>
                <c:pt idx="51">
                  <c:v>Oct-W3</c:v>
                </c:pt>
                <c:pt idx="52">
                  <c:v>Oct-W4</c:v>
                </c:pt>
                <c:pt idx="53">
                  <c:v>Oct-W5</c:v>
                </c:pt>
                <c:pt idx="55">
                  <c:v>Nov-W1</c:v>
                </c:pt>
                <c:pt idx="56">
                  <c:v>Nov-W2</c:v>
                </c:pt>
                <c:pt idx="57">
                  <c:v>Nov-W3</c:v>
                </c:pt>
                <c:pt idx="58">
                  <c:v>Nov-W4</c:v>
                </c:pt>
                <c:pt idx="60">
                  <c:v>Dec-W1</c:v>
                </c:pt>
                <c:pt idx="61">
                  <c:v>Dec-W2</c:v>
                </c:pt>
                <c:pt idx="62">
                  <c:v>Dec-W3</c:v>
                </c:pt>
                <c:pt idx="63">
                  <c:v>Dec-W4</c:v>
                </c:pt>
              </c:strCache>
            </c:strRef>
          </c:cat>
          <c:val>
            <c:numRef>
              <c:f>'Weekly TC Team'!$I$5:$I$68</c:f>
              <c:numCache>
                <c:formatCode>General</c:formatCode>
                <c:ptCount val="64"/>
                <c:pt idx="0">
                  <c:v>0</c:v>
                </c:pt>
                <c:pt idx="1">
                  <c:v>0</c:v>
                </c:pt>
                <c:pt idx="2">
                  <c:v>0</c:v>
                </c:pt>
                <c:pt idx="3">
                  <c:v>0</c:v>
                </c:pt>
                <c:pt idx="4">
                  <c:v>0</c:v>
                </c:pt>
                <c:pt idx="5">
                  <c:v>0</c:v>
                </c:pt>
                <c:pt idx="7">
                  <c:v>0</c:v>
                </c:pt>
                <c:pt idx="8">
                  <c:v>0</c:v>
                </c:pt>
                <c:pt idx="9">
                  <c:v>0</c:v>
                </c:pt>
                <c:pt idx="10">
                  <c:v>0</c:v>
                </c:pt>
                <c:pt idx="12">
                  <c:v>0</c:v>
                </c:pt>
                <c:pt idx="13">
                  <c:v>0</c:v>
                </c:pt>
                <c:pt idx="14">
                  <c:v>0</c:v>
                </c:pt>
                <c:pt idx="15">
                  <c:v>0</c:v>
                </c:pt>
                <c:pt idx="17">
                  <c:v>0</c:v>
                </c:pt>
                <c:pt idx="18">
                  <c:v>0</c:v>
                </c:pt>
                <c:pt idx="19">
                  <c:v>0</c:v>
                </c:pt>
                <c:pt idx="20">
                  <c:v>0</c:v>
                </c:pt>
                <c:pt idx="22">
                  <c:v>0</c:v>
                </c:pt>
                <c:pt idx="23">
                  <c:v>0</c:v>
                </c:pt>
                <c:pt idx="24">
                  <c:v>0</c:v>
                </c:pt>
                <c:pt idx="25">
                  <c:v>0</c:v>
                </c:pt>
                <c:pt idx="26">
                  <c:v>0</c:v>
                </c:pt>
                <c:pt idx="28">
                  <c:v>0</c:v>
                </c:pt>
                <c:pt idx="29">
                  <c:v>0</c:v>
                </c:pt>
                <c:pt idx="30">
                  <c:v>0</c:v>
                </c:pt>
                <c:pt idx="31">
                  <c:v>0</c:v>
                </c:pt>
                <c:pt idx="33">
                  <c:v>0</c:v>
                </c:pt>
                <c:pt idx="34">
                  <c:v>0</c:v>
                </c:pt>
                <c:pt idx="35">
                  <c:v>0</c:v>
                </c:pt>
                <c:pt idx="36">
                  <c:v>0</c:v>
                </c:pt>
                <c:pt idx="37">
                  <c:v>0</c:v>
                </c:pt>
                <c:pt idx="39">
                  <c:v>0</c:v>
                </c:pt>
                <c:pt idx="40">
                  <c:v>0</c:v>
                </c:pt>
                <c:pt idx="41">
                  <c:v>0</c:v>
                </c:pt>
                <c:pt idx="42">
                  <c:v>0</c:v>
                </c:pt>
                <c:pt idx="44">
                  <c:v>0</c:v>
                </c:pt>
                <c:pt idx="45">
                  <c:v>0</c:v>
                </c:pt>
                <c:pt idx="46">
                  <c:v>0</c:v>
                </c:pt>
                <c:pt idx="47">
                  <c:v>0</c:v>
                </c:pt>
                <c:pt idx="49">
                  <c:v>0</c:v>
                </c:pt>
                <c:pt idx="50">
                  <c:v>0</c:v>
                </c:pt>
                <c:pt idx="51">
                  <c:v>0</c:v>
                </c:pt>
                <c:pt idx="52">
                  <c:v>0</c:v>
                </c:pt>
                <c:pt idx="53">
                  <c:v>0</c:v>
                </c:pt>
                <c:pt idx="55">
                  <c:v>0</c:v>
                </c:pt>
                <c:pt idx="56">
                  <c:v>0</c:v>
                </c:pt>
                <c:pt idx="57">
                  <c:v>0</c:v>
                </c:pt>
                <c:pt idx="58">
                  <c:v>0</c:v>
                </c:pt>
                <c:pt idx="60">
                  <c:v>0</c:v>
                </c:pt>
                <c:pt idx="61">
                  <c:v>0</c:v>
                </c:pt>
                <c:pt idx="62">
                  <c:v>0</c:v>
                </c:pt>
                <c:pt idx="63">
                  <c:v>0</c:v>
                </c:pt>
              </c:numCache>
            </c:numRef>
          </c:val>
          <c:smooth val="0"/>
          <c:extLst>
            <c:ext xmlns:c16="http://schemas.microsoft.com/office/drawing/2014/chart" uri="{C3380CC4-5D6E-409C-BE32-E72D297353CC}">
              <c16:uniqueId val="{00000005-943D-48EA-B22A-DF3D8E5CF5C3}"/>
            </c:ext>
          </c:extLst>
        </c:ser>
        <c:dLbls>
          <c:showLegendKey val="0"/>
          <c:showVal val="0"/>
          <c:showCatName val="0"/>
          <c:showSerName val="0"/>
          <c:showPercent val="0"/>
          <c:showBubbleSize val="0"/>
        </c:dLbls>
        <c:smooth val="0"/>
        <c:axId val="859723917"/>
        <c:axId val="245082874"/>
      </c:lineChart>
      <c:catAx>
        <c:axId val="859723917"/>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245082874"/>
        <c:crosses val="autoZero"/>
        <c:auto val="1"/>
        <c:lblAlgn val="ctr"/>
        <c:lblOffset val="100"/>
        <c:noMultiLvlLbl val="1"/>
      </c:catAx>
      <c:valAx>
        <c:axId val="24508287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859723917"/>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d-ID"/>
  <c:roundedCorners val="1"/>
  <c:style val="2"/>
  <c:chart>
    <c:autoTitleDeleted val="1"/>
    <c:plotArea>
      <c:layout/>
      <c:lineChart>
        <c:grouping val="standard"/>
        <c:varyColors val="1"/>
        <c:ser>
          <c:idx val="0"/>
          <c:order val="0"/>
          <c:tx>
            <c:strRef>
              <c:f>'Weekly TC Team'!$D$72</c:f>
              <c:strCache>
                <c:ptCount val="1"/>
                <c:pt idx="0">
                  <c:v>Mbincar Rukun Sembiring</c:v>
                </c:pt>
              </c:strCache>
            </c:strRef>
          </c:tx>
          <c:spPr>
            <a:ln cmpd="sng">
              <a:solidFill>
                <a:srgbClr val="41D9CA"/>
              </a:solidFill>
            </a:ln>
          </c:spPr>
          <c:marker>
            <c:symbol val="none"/>
          </c:marker>
          <c:cat>
            <c:strRef>
              <c:f>'Weekly TC Team'!$C$73:$C$120</c:f>
              <c:strCache>
                <c:ptCount val="48"/>
                <c:pt idx="0">
                  <c:v>2024</c:v>
                </c:pt>
                <c:pt idx="1">
                  <c:v>Jan-W1</c:v>
                </c:pt>
                <c:pt idx="2">
                  <c:v>Jan-W2</c:v>
                </c:pt>
                <c:pt idx="3">
                  <c:v>Jan-W3</c:v>
                </c:pt>
                <c:pt idx="4">
                  <c:v>Jan-W4</c:v>
                </c:pt>
                <c:pt idx="5">
                  <c:v>Jan-W5</c:v>
                </c:pt>
                <c:pt idx="7">
                  <c:v>Feb-W1</c:v>
                </c:pt>
                <c:pt idx="8">
                  <c:v>Feb-W2</c:v>
                </c:pt>
                <c:pt idx="9">
                  <c:v>Feb-W3</c:v>
                </c:pt>
                <c:pt idx="10">
                  <c:v>Feb-W4</c:v>
                </c:pt>
                <c:pt idx="12">
                  <c:v>Mar-W1</c:v>
                </c:pt>
                <c:pt idx="13">
                  <c:v>Mar-W2</c:v>
                </c:pt>
                <c:pt idx="14">
                  <c:v>Mar-W3</c:v>
                </c:pt>
                <c:pt idx="15">
                  <c:v>Mar-W4</c:v>
                </c:pt>
                <c:pt idx="17">
                  <c:v>Apr-W1</c:v>
                </c:pt>
                <c:pt idx="18">
                  <c:v>Apr-W2</c:v>
                </c:pt>
                <c:pt idx="19">
                  <c:v>Apr-W3</c:v>
                </c:pt>
                <c:pt idx="20">
                  <c:v>Apr-W4</c:v>
                </c:pt>
                <c:pt idx="22">
                  <c:v>May-W1</c:v>
                </c:pt>
                <c:pt idx="23">
                  <c:v>May-W2</c:v>
                </c:pt>
                <c:pt idx="24">
                  <c:v>May-W3</c:v>
                </c:pt>
                <c:pt idx="25">
                  <c:v>May-W4</c:v>
                </c:pt>
                <c:pt idx="26">
                  <c:v>May-W5</c:v>
                </c:pt>
                <c:pt idx="28">
                  <c:v>Jun-W1</c:v>
                </c:pt>
                <c:pt idx="29">
                  <c:v>Jun-W2</c:v>
                </c:pt>
                <c:pt idx="30">
                  <c:v>Jun-W3</c:v>
                </c:pt>
                <c:pt idx="31">
                  <c:v>Jun-W4</c:v>
                </c:pt>
                <c:pt idx="33">
                  <c:v>Jul-W1</c:v>
                </c:pt>
                <c:pt idx="34">
                  <c:v>Jul-W2</c:v>
                </c:pt>
                <c:pt idx="35">
                  <c:v>Jul-W3</c:v>
                </c:pt>
                <c:pt idx="36">
                  <c:v>Jul-W4</c:v>
                </c:pt>
                <c:pt idx="37">
                  <c:v>Jul-W5</c:v>
                </c:pt>
                <c:pt idx="39">
                  <c:v>Aug-W1</c:v>
                </c:pt>
                <c:pt idx="40">
                  <c:v>Aug-W2</c:v>
                </c:pt>
                <c:pt idx="41">
                  <c:v>Aug-W3</c:v>
                </c:pt>
                <c:pt idx="42">
                  <c:v>Aug-W4</c:v>
                </c:pt>
                <c:pt idx="44">
                  <c:v>Sep-W1</c:v>
                </c:pt>
                <c:pt idx="45">
                  <c:v>Sep-W2</c:v>
                </c:pt>
                <c:pt idx="46">
                  <c:v>Sep-W3</c:v>
                </c:pt>
                <c:pt idx="47">
                  <c:v>Sep-W4</c:v>
                </c:pt>
              </c:strCache>
            </c:strRef>
          </c:cat>
          <c:val>
            <c:numRef>
              <c:f>'Weekly TC Team'!$D$73:$D$120</c:f>
              <c:numCache>
                <c:formatCode>General</c:formatCode>
                <c:ptCount val="48"/>
                <c:pt idx="0">
                  <c:v>0</c:v>
                </c:pt>
                <c:pt idx="1">
                  <c:v>0</c:v>
                </c:pt>
                <c:pt idx="2">
                  <c:v>0</c:v>
                </c:pt>
                <c:pt idx="3">
                  <c:v>0</c:v>
                </c:pt>
                <c:pt idx="4">
                  <c:v>0</c:v>
                </c:pt>
                <c:pt idx="5">
                  <c:v>0</c:v>
                </c:pt>
                <c:pt idx="7">
                  <c:v>0</c:v>
                </c:pt>
                <c:pt idx="8">
                  <c:v>0</c:v>
                </c:pt>
                <c:pt idx="9">
                  <c:v>0</c:v>
                </c:pt>
                <c:pt idx="10">
                  <c:v>0</c:v>
                </c:pt>
                <c:pt idx="12">
                  <c:v>0</c:v>
                </c:pt>
                <c:pt idx="13">
                  <c:v>0</c:v>
                </c:pt>
                <c:pt idx="14">
                  <c:v>0</c:v>
                </c:pt>
                <c:pt idx="15">
                  <c:v>0</c:v>
                </c:pt>
                <c:pt idx="17">
                  <c:v>0</c:v>
                </c:pt>
                <c:pt idx="18">
                  <c:v>0</c:v>
                </c:pt>
                <c:pt idx="19">
                  <c:v>0</c:v>
                </c:pt>
                <c:pt idx="20">
                  <c:v>0</c:v>
                </c:pt>
                <c:pt idx="22">
                  <c:v>0</c:v>
                </c:pt>
                <c:pt idx="23">
                  <c:v>0</c:v>
                </c:pt>
                <c:pt idx="24">
                  <c:v>0</c:v>
                </c:pt>
                <c:pt idx="25">
                  <c:v>0</c:v>
                </c:pt>
                <c:pt idx="26">
                  <c:v>0</c:v>
                </c:pt>
                <c:pt idx="28">
                  <c:v>0</c:v>
                </c:pt>
                <c:pt idx="29">
                  <c:v>0</c:v>
                </c:pt>
                <c:pt idx="30">
                  <c:v>0</c:v>
                </c:pt>
                <c:pt idx="31">
                  <c:v>0</c:v>
                </c:pt>
                <c:pt idx="33">
                  <c:v>0</c:v>
                </c:pt>
                <c:pt idx="34">
                  <c:v>0</c:v>
                </c:pt>
                <c:pt idx="35">
                  <c:v>0</c:v>
                </c:pt>
                <c:pt idx="36">
                  <c:v>0</c:v>
                </c:pt>
                <c:pt idx="37">
                  <c:v>0</c:v>
                </c:pt>
                <c:pt idx="39">
                  <c:v>0</c:v>
                </c:pt>
                <c:pt idx="40">
                  <c:v>0</c:v>
                </c:pt>
                <c:pt idx="41">
                  <c:v>0</c:v>
                </c:pt>
                <c:pt idx="42">
                  <c:v>0</c:v>
                </c:pt>
                <c:pt idx="44">
                  <c:v>0</c:v>
                </c:pt>
                <c:pt idx="45">
                  <c:v>0</c:v>
                </c:pt>
                <c:pt idx="46">
                  <c:v>0</c:v>
                </c:pt>
                <c:pt idx="47">
                  <c:v>0</c:v>
                </c:pt>
              </c:numCache>
            </c:numRef>
          </c:val>
          <c:smooth val="0"/>
          <c:extLst>
            <c:ext xmlns:c16="http://schemas.microsoft.com/office/drawing/2014/chart" uri="{C3380CC4-5D6E-409C-BE32-E72D297353CC}">
              <c16:uniqueId val="{00000000-9FE7-4FE9-A10C-DDD5D669D48D}"/>
            </c:ext>
          </c:extLst>
        </c:ser>
        <c:ser>
          <c:idx val="1"/>
          <c:order val="1"/>
          <c:tx>
            <c:strRef>
              <c:f>'Weekly TC Team'!$E$72</c:f>
              <c:strCache>
                <c:ptCount val="1"/>
                <c:pt idx="0">
                  <c:v>Muhammad Akbar</c:v>
                </c:pt>
              </c:strCache>
            </c:strRef>
          </c:tx>
          <c:spPr>
            <a:ln cmpd="sng">
              <a:solidFill>
                <a:srgbClr val="EDF25E"/>
              </a:solidFill>
            </a:ln>
          </c:spPr>
          <c:marker>
            <c:symbol val="none"/>
          </c:marker>
          <c:cat>
            <c:strRef>
              <c:f>'Weekly TC Team'!$C$73:$C$120</c:f>
              <c:strCache>
                <c:ptCount val="48"/>
                <c:pt idx="0">
                  <c:v>2024</c:v>
                </c:pt>
                <c:pt idx="1">
                  <c:v>Jan-W1</c:v>
                </c:pt>
                <c:pt idx="2">
                  <c:v>Jan-W2</c:v>
                </c:pt>
                <c:pt idx="3">
                  <c:v>Jan-W3</c:v>
                </c:pt>
                <c:pt idx="4">
                  <c:v>Jan-W4</c:v>
                </c:pt>
                <c:pt idx="5">
                  <c:v>Jan-W5</c:v>
                </c:pt>
                <c:pt idx="7">
                  <c:v>Feb-W1</c:v>
                </c:pt>
                <c:pt idx="8">
                  <c:v>Feb-W2</c:v>
                </c:pt>
                <c:pt idx="9">
                  <c:v>Feb-W3</c:v>
                </c:pt>
                <c:pt idx="10">
                  <c:v>Feb-W4</c:v>
                </c:pt>
                <c:pt idx="12">
                  <c:v>Mar-W1</c:v>
                </c:pt>
                <c:pt idx="13">
                  <c:v>Mar-W2</c:v>
                </c:pt>
                <c:pt idx="14">
                  <c:v>Mar-W3</c:v>
                </c:pt>
                <c:pt idx="15">
                  <c:v>Mar-W4</c:v>
                </c:pt>
                <c:pt idx="17">
                  <c:v>Apr-W1</c:v>
                </c:pt>
                <c:pt idx="18">
                  <c:v>Apr-W2</c:v>
                </c:pt>
                <c:pt idx="19">
                  <c:v>Apr-W3</c:v>
                </c:pt>
                <c:pt idx="20">
                  <c:v>Apr-W4</c:v>
                </c:pt>
                <c:pt idx="22">
                  <c:v>May-W1</c:v>
                </c:pt>
                <c:pt idx="23">
                  <c:v>May-W2</c:v>
                </c:pt>
                <c:pt idx="24">
                  <c:v>May-W3</c:v>
                </c:pt>
                <c:pt idx="25">
                  <c:v>May-W4</c:v>
                </c:pt>
                <c:pt idx="26">
                  <c:v>May-W5</c:v>
                </c:pt>
                <c:pt idx="28">
                  <c:v>Jun-W1</c:v>
                </c:pt>
                <c:pt idx="29">
                  <c:v>Jun-W2</c:v>
                </c:pt>
                <c:pt idx="30">
                  <c:v>Jun-W3</c:v>
                </c:pt>
                <c:pt idx="31">
                  <c:v>Jun-W4</c:v>
                </c:pt>
                <c:pt idx="33">
                  <c:v>Jul-W1</c:v>
                </c:pt>
                <c:pt idx="34">
                  <c:v>Jul-W2</c:v>
                </c:pt>
                <c:pt idx="35">
                  <c:v>Jul-W3</c:v>
                </c:pt>
                <c:pt idx="36">
                  <c:v>Jul-W4</c:v>
                </c:pt>
                <c:pt idx="37">
                  <c:v>Jul-W5</c:v>
                </c:pt>
                <c:pt idx="39">
                  <c:v>Aug-W1</c:v>
                </c:pt>
                <c:pt idx="40">
                  <c:v>Aug-W2</c:v>
                </c:pt>
                <c:pt idx="41">
                  <c:v>Aug-W3</c:v>
                </c:pt>
                <c:pt idx="42">
                  <c:v>Aug-W4</c:v>
                </c:pt>
                <c:pt idx="44">
                  <c:v>Sep-W1</c:v>
                </c:pt>
                <c:pt idx="45">
                  <c:v>Sep-W2</c:v>
                </c:pt>
                <c:pt idx="46">
                  <c:v>Sep-W3</c:v>
                </c:pt>
                <c:pt idx="47">
                  <c:v>Sep-W4</c:v>
                </c:pt>
              </c:strCache>
            </c:strRef>
          </c:cat>
          <c:val>
            <c:numRef>
              <c:f>'Weekly TC Team'!$E$73:$E$120</c:f>
              <c:numCache>
                <c:formatCode>General</c:formatCode>
                <c:ptCount val="48"/>
                <c:pt idx="0">
                  <c:v>0</c:v>
                </c:pt>
                <c:pt idx="1">
                  <c:v>0</c:v>
                </c:pt>
                <c:pt idx="2">
                  <c:v>0</c:v>
                </c:pt>
                <c:pt idx="3">
                  <c:v>0</c:v>
                </c:pt>
                <c:pt idx="4">
                  <c:v>0</c:v>
                </c:pt>
                <c:pt idx="5">
                  <c:v>0</c:v>
                </c:pt>
                <c:pt idx="7">
                  <c:v>0</c:v>
                </c:pt>
                <c:pt idx="8">
                  <c:v>0</c:v>
                </c:pt>
                <c:pt idx="9">
                  <c:v>0</c:v>
                </c:pt>
                <c:pt idx="10">
                  <c:v>0</c:v>
                </c:pt>
                <c:pt idx="12">
                  <c:v>0</c:v>
                </c:pt>
                <c:pt idx="13">
                  <c:v>0</c:v>
                </c:pt>
                <c:pt idx="14">
                  <c:v>0</c:v>
                </c:pt>
                <c:pt idx="15">
                  <c:v>0</c:v>
                </c:pt>
                <c:pt idx="17">
                  <c:v>0</c:v>
                </c:pt>
                <c:pt idx="18">
                  <c:v>0</c:v>
                </c:pt>
                <c:pt idx="19">
                  <c:v>0</c:v>
                </c:pt>
                <c:pt idx="20">
                  <c:v>0</c:v>
                </c:pt>
                <c:pt idx="22">
                  <c:v>0</c:v>
                </c:pt>
                <c:pt idx="23">
                  <c:v>0</c:v>
                </c:pt>
                <c:pt idx="24">
                  <c:v>0</c:v>
                </c:pt>
                <c:pt idx="25">
                  <c:v>0</c:v>
                </c:pt>
                <c:pt idx="26">
                  <c:v>0</c:v>
                </c:pt>
                <c:pt idx="28">
                  <c:v>0</c:v>
                </c:pt>
                <c:pt idx="29">
                  <c:v>0</c:v>
                </c:pt>
                <c:pt idx="30">
                  <c:v>0</c:v>
                </c:pt>
                <c:pt idx="31">
                  <c:v>0</c:v>
                </c:pt>
                <c:pt idx="33">
                  <c:v>0</c:v>
                </c:pt>
                <c:pt idx="34">
                  <c:v>0</c:v>
                </c:pt>
                <c:pt idx="35">
                  <c:v>0</c:v>
                </c:pt>
                <c:pt idx="36">
                  <c:v>0</c:v>
                </c:pt>
                <c:pt idx="37">
                  <c:v>0</c:v>
                </c:pt>
                <c:pt idx="39">
                  <c:v>0</c:v>
                </c:pt>
                <c:pt idx="40">
                  <c:v>0</c:v>
                </c:pt>
                <c:pt idx="41">
                  <c:v>0</c:v>
                </c:pt>
                <c:pt idx="42">
                  <c:v>0</c:v>
                </c:pt>
                <c:pt idx="44">
                  <c:v>0</c:v>
                </c:pt>
                <c:pt idx="45">
                  <c:v>0</c:v>
                </c:pt>
                <c:pt idx="46">
                  <c:v>0</c:v>
                </c:pt>
                <c:pt idx="47">
                  <c:v>0</c:v>
                </c:pt>
              </c:numCache>
            </c:numRef>
          </c:val>
          <c:smooth val="0"/>
          <c:extLst>
            <c:ext xmlns:c16="http://schemas.microsoft.com/office/drawing/2014/chart" uri="{C3380CC4-5D6E-409C-BE32-E72D297353CC}">
              <c16:uniqueId val="{00000001-9FE7-4FE9-A10C-DDD5D669D48D}"/>
            </c:ext>
          </c:extLst>
        </c:ser>
        <c:ser>
          <c:idx val="2"/>
          <c:order val="2"/>
          <c:tx>
            <c:strRef>
              <c:f>'Weekly TC Team'!$F$72</c:f>
              <c:strCache>
                <c:ptCount val="1"/>
                <c:pt idx="0">
                  <c:v>Mafasyafa Annisa Zukhruff</c:v>
                </c:pt>
              </c:strCache>
            </c:strRef>
          </c:tx>
          <c:spPr>
            <a:ln cmpd="sng">
              <a:solidFill>
                <a:srgbClr val="BFB39B"/>
              </a:solidFill>
            </a:ln>
          </c:spPr>
          <c:marker>
            <c:symbol val="none"/>
          </c:marker>
          <c:cat>
            <c:strRef>
              <c:f>'Weekly TC Team'!$C$73:$C$120</c:f>
              <c:strCache>
                <c:ptCount val="48"/>
                <c:pt idx="0">
                  <c:v>2024</c:v>
                </c:pt>
                <c:pt idx="1">
                  <c:v>Jan-W1</c:v>
                </c:pt>
                <c:pt idx="2">
                  <c:v>Jan-W2</c:v>
                </c:pt>
                <c:pt idx="3">
                  <c:v>Jan-W3</c:v>
                </c:pt>
                <c:pt idx="4">
                  <c:v>Jan-W4</c:v>
                </c:pt>
                <c:pt idx="5">
                  <c:v>Jan-W5</c:v>
                </c:pt>
                <c:pt idx="7">
                  <c:v>Feb-W1</c:v>
                </c:pt>
                <c:pt idx="8">
                  <c:v>Feb-W2</c:v>
                </c:pt>
                <c:pt idx="9">
                  <c:v>Feb-W3</c:v>
                </c:pt>
                <c:pt idx="10">
                  <c:v>Feb-W4</c:v>
                </c:pt>
                <c:pt idx="12">
                  <c:v>Mar-W1</c:v>
                </c:pt>
                <c:pt idx="13">
                  <c:v>Mar-W2</c:v>
                </c:pt>
                <c:pt idx="14">
                  <c:v>Mar-W3</c:v>
                </c:pt>
                <c:pt idx="15">
                  <c:v>Mar-W4</c:v>
                </c:pt>
                <c:pt idx="17">
                  <c:v>Apr-W1</c:v>
                </c:pt>
                <c:pt idx="18">
                  <c:v>Apr-W2</c:v>
                </c:pt>
                <c:pt idx="19">
                  <c:v>Apr-W3</c:v>
                </c:pt>
                <c:pt idx="20">
                  <c:v>Apr-W4</c:v>
                </c:pt>
                <c:pt idx="22">
                  <c:v>May-W1</c:v>
                </c:pt>
                <c:pt idx="23">
                  <c:v>May-W2</c:v>
                </c:pt>
                <c:pt idx="24">
                  <c:v>May-W3</c:v>
                </c:pt>
                <c:pt idx="25">
                  <c:v>May-W4</c:v>
                </c:pt>
                <c:pt idx="26">
                  <c:v>May-W5</c:v>
                </c:pt>
                <c:pt idx="28">
                  <c:v>Jun-W1</c:v>
                </c:pt>
                <c:pt idx="29">
                  <c:v>Jun-W2</c:v>
                </c:pt>
                <c:pt idx="30">
                  <c:v>Jun-W3</c:v>
                </c:pt>
                <c:pt idx="31">
                  <c:v>Jun-W4</c:v>
                </c:pt>
                <c:pt idx="33">
                  <c:v>Jul-W1</c:v>
                </c:pt>
                <c:pt idx="34">
                  <c:v>Jul-W2</c:v>
                </c:pt>
                <c:pt idx="35">
                  <c:v>Jul-W3</c:v>
                </c:pt>
                <c:pt idx="36">
                  <c:v>Jul-W4</c:v>
                </c:pt>
                <c:pt idx="37">
                  <c:v>Jul-W5</c:v>
                </c:pt>
                <c:pt idx="39">
                  <c:v>Aug-W1</c:v>
                </c:pt>
                <c:pt idx="40">
                  <c:v>Aug-W2</c:v>
                </c:pt>
                <c:pt idx="41">
                  <c:v>Aug-W3</c:v>
                </c:pt>
                <c:pt idx="42">
                  <c:v>Aug-W4</c:v>
                </c:pt>
                <c:pt idx="44">
                  <c:v>Sep-W1</c:v>
                </c:pt>
                <c:pt idx="45">
                  <c:v>Sep-W2</c:v>
                </c:pt>
                <c:pt idx="46">
                  <c:v>Sep-W3</c:v>
                </c:pt>
                <c:pt idx="47">
                  <c:v>Sep-W4</c:v>
                </c:pt>
              </c:strCache>
            </c:strRef>
          </c:cat>
          <c:val>
            <c:numRef>
              <c:f>'Weekly TC Team'!$F$73:$F$120</c:f>
              <c:numCache>
                <c:formatCode>General</c:formatCode>
                <c:ptCount val="48"/>
                <c:pt idx="0">
                  <c:v>0</c:v>
                </c:pt>
                <c:pt idx="1">
                  <c:v>0</c:v>
                </c:pt>
                <c:pt idx="2">
                  <c:v>0</c:v>
                </c:pt>
                <c:pt idx="3">
                  <c:v>0</c:v>
                </c:pt>
                <c:pt idx="4">
                  <c:v>0</c:v>
                </c:pt>
                <c:pt idx="5">
                  <c:v>0</c:v>
                </c:pt>
                <c:pt idx="7">
                  <c:v>0</c:v>
                </c:pt>
                <c:pt idx="8">
                  <c:v>0</c:v>
                </c:pt>
                <c:pt idx="9">
                  <c:v>0</c:v>
                </c:pt>
                <c:pt idx="10">
                  <c:v>0</c:v>
                </c:pt>
                <c:pt idx="12">
                  <c:v>0</c:v>
                </c:pt>
                <c:pt idx="13">
                  <c:v>0</c:v>
                </c:pt>
                <c:pt idx="14">
                  <c:v>0</c:v>
                </c:pt>
                <c:pt idx="15">
                  <c:v>0</c:v>
                </c:pt>
                <c:pt idx="17">
                  <c:v>0</c:v>
                </c:pt>
                <c:pt idx="18">
                  <c:v>0</c:v>
                </c:pt>
                <c:pt idx="19">
                  <c:v>0</c:v>
                </c:pt>
                <c:pt idx="20">
                  <c:v>0</c:v>
                </c:pt>
                <c:pt idx="22">
                  <c:v>0</c:v>
                </c:pt>
                <c:pt idx="23">
                  <c:v>0</c:v>
                </c:pt>
                <c:pt idx="24">
                  <c:v>0</c:v>
                </c:pt>
                <c:pt idx="25">
                  <c:v>0</c:v>
                </c:pt>
                <c:pt idx="26">
                  <c:v>0</c:v>
                </c:pt>
                <c:pt idx="28">
                  <c:v>0</c:v>
                </c:pt>
                <c:pt idx="29">
                  <c:v>0</c:v>
                </c:pt>
                <c:pt idx="30">
                  <c:v>0</c:v>
                </c:pt>
                <c:pt idx="31">
                  <c:v>0</c:v>
                </c:pt>
                <c:pt idx="33">
                  <c:v>0</c:v>
                </c:pt>
                <c:pt idx="34">
                  <c:v>0</c:v>
                </c:pt>
                <c:pt idx="35">
                  <c:v>0</c:v>
                </c:pt>
                <c:pt idx="36">
                  <c:v>0</c:v>
                </c:pt>
                <c:pt idx="37">
                  <c:v>0</c:v>
                </c:pt>
                <c:pt idx="39">
                  <c:v>0</c:v>
                </c:pt>
                <c:pt idx="40">
                  <c:v>0</c:v>
                </c:pt>
                <c:pt idx="41">
                  <c:v>0</c:v>
                </c:pt>
                <c:pt idx="42">
                  <c:v>0</c:v>
                </c:pt>
                <c:pt idx="44">
                  <c:v>0</c:v>
                </c:pt>
                <c:pt idx="45">
                  <c:v>0</c:v>
                </c:pt>
                <c:pt idx="46">
                  <c:v>0</c:v>
                </c:pt>
                <c:pt idx="47">
                  <c:v>0</c:v>
                </c:pt>
              </c:numCache>
            </c:numRef>
          </c:val>
          <c:smooth val="0"/>
          <c:extLst>
            <c:ext xmlns:c16="http://schemas.microsoft.com/office/drawing/2014/chart" uri="{C3380CC4-5D6E-409C-BE32-E72D297353CC}">
              <c16:uniqueId val="{00000002-9FE7-4FE9-A10C-DDD5D669D48D}"/>
            </c:ext>
          </c:extLst>
        </c:ser>
        <c:ser>
          <c:idx val="3"/>
          <c:order val="3"/>
          <c:tx>
            <c:strRef>
              <c:f>'Weekly TC Team'!$G$72</c:f>
              <c:strCache>
                <c:ptCount val="1"/>
                <c:pt idx="0">
                  <c:v>M. Alvin Fahrian</c:v>
                </c:pt>
              </c:strCache>
            </c:strRef>
          </c:tx>
          <c:spPr>
            <a:ln cmpd="sng">
              <a:solidFill>
                <a:srgbClr val="F27405"/>
              </a:solidFill>
            </a:ln>
          </c:spPr>
          <c:marker>
            <c:symbol val="none"/>
          </c:marker>
          <c:cat>
            <c:strRef>
              <c:f>'Weekly TC Team'!$C$73:$C$120</c:f>
              <c:strCache>
                <c:ptCount val="48"/>
                <c:pt idx="0">
                  <c:v>2024</c:v>
                </c:pt>
                <c:pt idx="1">
                  <c:v>Jan-W1</c:v>
                </c:pt>
                <c:pt idx="2">
                  <c:v>Jan-W2</c:v>
                </c:pt>
                <c:pt idx="3">
                  <c:v>Jan-W3</c:v>
                </c:pt>
                <c:pt idx="4">
                  <c:v>Jan-W4</c:v>
                </c:pt>
                <c:pt idx="5">
                  <c:v>Jan-W5</c:v>
                </c:pt>
                <c:pt idx="7">
                  <c:v>Feb-W1</c:v>
                </c:pt>
                <c:pt idx="8">
                  <c:v>Feb-W2</c:v>
                </c:pt>
                <c:pt idx="9">
                  <c:v>Feb-W3</c:v>
                </c:pt>
                <c:pt idx="10">
                  <c:v>Feb-W4</c:v>
                </c:pt>
                <c:pt idx="12">
                  <c:v>Mar-W1</c:v>
                </c:pt>
                <c:pt idx="13">
                  <c:v>Mar-W2</c:v>
                </c:pt>
                <c:pt idx="14">
                  <c:v>Mar-W3</c:v>
                </c:pt>
                <c:pt idx="15">
                  <c:v>Mar-W4</c:v>
                </c:pt>
                <c:pt idx="17">
                  <c:v>Apr-W1</c:v>
                </c:pt>
                <c:pt idx="18">
                  <c:v>Apr-W2</c:v>
                </c:pt>
                <c:pt idx="19">
                  <c:v>Apr-W3</c:v>
                </c:pt>
                <c:pt idx="20">
                  <c:v>Apr-W4</c:v>
                </c:pt>
                <c:pt idx="22">
                  <c:v>May-W1</c:v>
                </c:pt>
                <c:pt idx="23">
                  <c:v>May-W2</c:v>
                </c:pt>
                <c:pt idx="24">
                  <c:v>May-W3</c:v>
                </c:pt>
                <c:pt idx="25">
                  <c:v>May-W4</c:v>
                </c:pt>
                <c:pt idx="26">
                  <c:v>May-W5</c:v>
                </c:pt>
                <c:pt idx="28">
                  <c:v>Jun-W1</c:v>
                </c:pt>
                <c:pt idx="29">
                  <c:v>Jun-W2</c:v>
                </c:pt>
                <c:pt idx="30">
                  <c:v>Jun-W3</c:v>
                </c:pt>
                <c:pt idx="31">
                  <c:v>Jun-W4</c:v>
                </c:pt>
                <c:pt idx="33">
                  <c:v>Jul-W1</c:v>
                </c:pt>
                <c:pt idx="34">
                  <c:v>Jul-W2</c:v>
                </c:pt>
                <c:pt idx="35">
                  <c:v>Jul-W3</c:v>
                </c:pt>
                <c:pt idx="36">
                  <c:v>Jul-W4</c:v>
                </c:pt>
                <c:pt idx="37">
                  <c:v>Jul-W5</c:v>
                </c:pt>
                <c:pt idx="39">
                  <c:v>Aug-W1</c:v>
                </c:pt>
                <c:pt idx="40">
                  <c:v>Aug-W2</c:v>
                </c:pt>
                <c:pt idx="41">
                  <c:v>Aug-W3</c:v>
                </c:pt>
                <c:pt idx="42">
                  <c:v>Aug-W4</c:v>
                </c:pt>
                <c:pt idx="44">
                  <c:v>Sep-W1</c:v>
                </c:pt>
                <c:pt idx="45">
                  <c:v>Sep-W2</c:v>
                </c:pt>
                <c:pt idx="46">
                  <c:v>Sep-W3</c:v>
                </c:pt>
                <c:pt idx="47">
                  <c:v>Sep-W4</c:v>
                </c:pt>
              </c:strCache>
            </c:strRef>
          </c:cat>
          <c:val>
            <c:numRef>
              <c:f>'Weekly TC Team'!$G$73:$G$120</c:f>
              <c:numCache>
                <c:formatCode>General</c:formatCode>
                <c:ptCount val="48"/>
                <c:pt idx="0">
                  <c:v>0</c:v>
                </c:pt>
                <c:pt idx="1">
                  <c:v>0</c:v>
                </c:pt>
                <c:pt idx="2">
                  <c:v>0</c:v>
                </c:pt>
                <c:pt idx="3">
                  <c:v>0</c:v>
                </c:pt>
                <c:pt idx="4">
                  <c:v>0</c:v>
                </c:pt>
                <c:pt idx="5">
                  <c:v>0</c:v>
                </c:pt>
                <c:pt idx="7">
                  <c:v>0</c:v>
                </c:pt>
                <c:pt idx="8">
                  <c:v>0</c:v>
                </c:pt>
                <c:pt idx="9">
                  <c:v>0</c:v>
                </c:pt>
                <c:pt idx="10">
                  <c:v>0</c:v>
                </c:pt>
                <c:pt idx="12">
                  <c:v>0</c:v>
                </c:pt>
                <c:pt idx="13">
                  <c:v>0</c:v>
                </c:pt>
                <c:pt idx="14">
                  <c:v>0</c:v>
                </c:pt>
                <c:pt idx="15">
                  <c:v>0</c:v>
                </c:pt>
                <c:pt idx="17">
                  <c:v>0</c:v>
                </c:pt>
                <c:pt idx="18">
                  <c:v>0</c:v>
                </c:pt>
                <c:pt idx="19">
                  <c:v>0</c:v>
                </c:pt>
                <c:pt idx="20">
                  <c:v>0</c:v>
                </c:pt>
                <c:pt idx="22">
                  <c:v>0</c:v>
                </c:pt>
                <c:pt idx="23">
                  <c:v>0</c:v>
                </c:pt>
                <c:pt idx="24">
                  <c:v>0</c:v>
                </c:pt>
                <c:pt idx="25">
                  <c:v>0</c:v>
                </c:pt>
                <c:pt idx="26">
                  <c:v>0</c:v>
                </c:pt>
                <c:pt idx="28">
                  <c:v>0</c:v>
                </c:pt>
                <c:pt idx="29">
                  <c:v>0</c:v>
                </c:pt>
                <c:pt idx="30">
                  <c:v>0</c:v>
                </c:pt>
                <c:pt idx="31">
                  <c:v>0</c:v>
                </c:pt>
                <c:pt idx="33">
                  <c:v>0</c:v>
                </c:pt>
                <c:pt idx="34">
                  <c:v>0</c:v>
                </c:pt>
                <c:pt idx="35">
                  <c:v>0</c:v>
                </c:pt>
                <c:pt idx="36">
                  <c:v>0</c:v>
                </c:pt>
                <c:pt idx="37">
                  <c:v>0</c:v>
                </c:pt>
                <c:pt idx="39">
                  <c:v>0</c:v>
                </c:pt>
                <c:pt idx="40">
                  <c:v>0</c:v>
                </c:pt>
                <c:pt idx="41">
                  <c:v>0</c:v>
                </c:pt>
                <c:pt idx="42">
                  <c:v>0</c:v>
                </c:pt>
                <c:pt idx="44">
                  <c:v>0</c:v>
                </c:pt>
                <c:pt idx="45">
                  <c:v>0</c:v>
                </c:pt>
                <c:pt idx="46">
                  <c:v>0</c:v>
                </c:pt>
                <c:pt idx="47">
                  <c:v>0</c:v>
                </c:pt>
              </c:numCache>
            </c:numRef>
          </c:val>
          <c:smooth val="0"/>
          <c:extLst>
            <c:ext xmlns:c16="http://schemas.microsoft.com/office/drawing/2014/chart" uri="{C3380CC4-5D6E-409C-BE32-E72D297353CC}">
              <c16:uniqueId val="{00000003-9FE7-4FE9-A10C-DDD5D669D48D}"/>
            </c:ext>
          </c:extLst>
        </c:ser>
        <c:ser>
          <c:idx val="4"/>
          <c:order val="4"/>
          <c:tx>
            <c:strRef>
              <c:f>'Weekly TC Team'!$H$72</c:f>
              <c:strCache>
                <c:ptCount val="1"/>
                <c:pt idx="0">
                  <c:v>Gafiliano Gapili</c:v>
                </c:pt>
              </c:strCache>
            </c:strRef>
          </c:tx>
          <c:spPr>
            <a:ln cmpd="sng">
              <a:solidFill>
                <a:srgbClr val="D96941"/>
              </a:solidFill>
            </a:ln>
          </c:spPr>
          <c:marker>
            <c:symbol val="none"/>
          </c:marker>
          <c:cat>
            <c:strRef>
              <c:f>'Weekly TC Team'!$C$73:$C$120</c:f>
              <c:strCache>
                <c:ptCount val="48"/>
                <c:pt idx="0">
                  <c:v>2024</c:v>
                </c:pt>
                <c:pt idx="1">
                  <c:v>Jan-W1</c:v>
                </c:pt>
                <c:pt idx="2">
                  <c:v>Jan-W2</c:v>
                </c:pt>
                <c:pt idx="3">
                  <c:v>Jan-W3</c:v>
                </c:pt>
                <c:pt idx="4">
                  <c:v>Jan-W4</c:v>
                </c:pt>
                <c:pt idx="5">
                  <c:v>Jan-W5</c:v>
                </c:pt>
                <c:pt idx="7">
                  <c:v>Feb-W1</c:v>
                </c:pt>
                <c:pt idx="8">
                  <c:v>Feb-W2</c:v>
                </c:pt>
                <c:pt idx="9">
                  <c:v>Feb-W3</c:v>
                </c:pt>
                <c:pt idx="10">
                  <c:v>Feb-W4</c:v>
                </c:pt>
                <c:pt idx="12">
                  <c:v>Mar-W1</c:v>
                </c:pt>
                <c:pt idx="13">
                  <c:v>Mar-W2</c:v>
                </c:pt>
                <c:pt idx="14">
                  <c:v>Mar-W3</c:v>
                </c:pt>
                <c:pt idx="15">
                  <c:v>Mar-W4</c:v>
                </c:pt>
                <c:pt idx="17">
                  <c:v>Apr-W1</c:v>
                </c:pt>
                <c:pt idx="18">
                  <c:v>Apr-W2</c:v>
                </c:pt>
                <c:pt idx="19">
                  <c:v>Apr-W3</c:v>
                </c:pt>
                <c:pt idx="20">
                  <c:v>Apr-W4</c:v>
                </c:pt>
                <c:pt idx="22">
                  <c:v>May-W1</c:v>
                </c:pt>
                <c:pt idx="23">
                  <c:v>May-W2</c:v>
                </c:pt>
                <c:pt idx="24">
                  <c:v>May-W3</c:v>
                </c:pt>
                <c:pt idx="25">
                  <c:v>May-W4</c:v>
                </c:pt>
                <c:pt idx="26">
                  <c:v>May-W5</c:v>
                </c:pt>
                <c:pt idx="28">
                  <c:v>Jun-W1</c:v>
                </c:pt>
                <c:pt idx="29">
                  <c:v>Jun-W2</c:v>
                </c:pt>
                <c:pt idx="30">
                  <c:v>Jun-W3</c:v>
                </c:pt>
                <c:pt idx="31">
                  <c:v>Jun-W4</c:v>
                </c:pt>
                <c:pt idx="33">
                  <c:v>Jul-W1</c:v>
                </c:pt>
                <c:pt idx="34">
                  <c:v>Jul-W2</c:v>
                </c:pt>
                <c:pt idx="35">
                  <c:v>Jul-W3</c:v>
                </c:pt>
                <c:pt idx="36">
                  <c:v>Jul-W4</c:v>
                </c:pt>
                <c:pt idx="37">
                  <c:v>Jul-W5</c:v>
                </c:pt>
                <c:pt idx="39">
                  <c:v>Aug-W1</c:v>
                </c:pt>
                <c:pt idx="40">
                  <c:v>Aug-W2</c:v>
                </c:pt>
                <c:pt idx="41">
                  <c:v>Aug-W3</c:v>
                </c:pt>
                <c:pt idx="42">
                  <c:v>Aug-W4</c:v>
                </c:pt>
                <c:pt idx="44">
                  <c:v>Sep-W1</c:v>
                </c:pt>
                <c:pt idx="45">
                  <c:v>Sep-W2</c:v>
                </c:pt>
                <c:pt idx="46">
                  <c:v>Sep-W3</c:v>
                </c:pt>
                <c:pt idx="47">
                  <c:v>Sep-W4</c:v>
                </c:pt>
              </c:strCache>
            </c:strRef>
          </c:cat>
          <c:val>
            <c:numRef>
              <c:f>'Weekly TC Team'!$H$73:$H$120</c:f>
              <c:numCache>
                <c:formatCode>General</c:formatCode>
                <c:ptCount val="48"/>
                <c:pt idx="0">
                  <c:v>0</c:v>
                </c:pt>
                <c:pt idx="1">
                  <c:v>0</c:v>
                </c:pt>
                <c:pt idx="2">
                  <c:v>0</c:v>
                </c:pt>
                <c:pt idx="3">
                  <c:v>0</c:v>
                </c:pt>
                <c:pt idx="4">
                  <c:v>0</c:v>
                </c:pt>
                <c:pt idx="5">
                  <c:v>0</c:v>
                </c:pt>
                <c:pt idx="7">
                  <c:v>0</c:v>
                </c:pt>
                <c:pt idx="8">
                  <c:v>0</c:v>
                </c:pt>
                <c:pt idx="9">
                  <c:v>0</c:v>
                </c:pt>
                <c:pt idx="10">
                  <c:v>0</c:v>
                </c:pt>
                <c:pt idx="12">
                  <c:v>0</c:v>
                </c:pt>
                <c:pt idx="13">
                  <c:v>0</c:v>
                </c:pt>
                <c:pt idx="14">
                  <c:v>0</c:v>
                </c:pt>
                <c:pt idx="15">
                  <c:v>0</c:v>
                </c:pt>
                <c:pt idx="17">
                  <c:v>0</c:v>
                </c:pt>
                <c:pt idx="18">
                  <c:v>0</c:v>
                </c:pt>
                <c:pt idx="19">
                  <c:v>0</c:v>
                </c:pt>
                <c:pt idx="20">
                  <c:v>0</c:v>
                </c:pt>
                <c:pt idx="22">
                  <c:v>0</c:v>
                </c:pt>
                <c:pt idx="23">
                  <c:v>0</c:v>
                </c:pt>
                <c:pt idx="24">
                  <c:v>0</c:v>
                </c:pt>
                <c:pt idx="25">
                  <c:v>0</c:v>
                </c:pt>
                <c:pt idx="26">
                  <c:v>0</c:v>
                </c:pt>
                <c:pt idx="28">
                  <c:v>0</c:v>
                </c:pt>
                <c:pt idx="29">
                  <c:v>0</c:v>
                </c:pt>
                <c:pt idx="30">
                  <c:v>0</c:v>
                </c:pt>
                <c:pt idx="31">
                  <c:v>0</c:v>
                </c:pt>
                <c:pt idx="33">
                  <c:v>0</c:v>
                </c:pt>
                <c:pt idx="34">
                  <c:v>0</c:v>
                </c:pt>
                <c:pt idx="35">
                  <c:v>0</c:v>
                </c:pt>
                <c:pt idx="36">
                  <c:v>0</c:v>
                </c:pt>
                <c:pt idx="37">
                  <c:v>0</c:v>
                </c:pt>
                <c:pt idx="39">
                  <c:v>0</c:v>
                </c:pt>
                <c:pt idx="40">
                  <c:v>0</c:v>
                </c:pt>
                <c:pt idx="41">
                  <c:v>0</c:v>
                </c:pt>
                <c:pt idx="42">
                  <c:v>0</c:v>
                </c:pt>
                <c:pt idx="44">
                  <c:v>0</c:v>
                </c:pt>
                <c:pt idx="45">
                  <c:v>0</c:v>
                </c:pt>
                <c:pt idx="46">
                  <c:v>0</c:v>
                </c:pt>
                <c:pt idx="47">
                  <c:v>0</c:v>
                </c:pt>
              </c:numCache>
            </c:numRef>
          </c:val>
          <c:smooth val="0"/>
          <c:extLst>
            <c:ext xmlns:c16="http://schemas.microsoft.com/office/drawing/2014/chart" uri="{C3380CC4-5D6E-409C-BE32-E72D297353CC}">
              <c16:uniqueId val="{00000004-9FE7-4FE9-A10C-DDD5D669D48D}"/>
            </c:ext>
          </c:extLst>
        </c:ser>
        <c:ser>
          <c:idx val="5"/>
          <c:order val="5"/>
          <c:tx>
            <c:strRef>
              <c:f>'Weekly TC Team'!$I$72</c:f>
              <c:strCache>
                <c:ptCount val="1"/>
                <c:pt idx="0">
                  <c:v>Unedo Ignasius Manalu</c:v>
                </c:pt>
              </c:strCache>
            </c:strRef>
          </c:tx>
          <c:spPr>
            <a:ln cmpd="sng">
              <a:solidFill>
                <a:srgbClr val="FF9900">
                  <a:alpha val="100000"/>
                </a:srgbClr>
              </a:solidFill>
            </a:ln>
          </c:spPr>
          <c:marker>
            <c:symbol val="none"/>
          </c:marker>
          <c:cat>
            <c:strRef>
              <c:f>'Weekly TC Team'!$C$73:$C$120</c:f>
              <c:strCache>
                <c:ptCount val="48"/>
                <c:pt idx="0">
                  <c:v>2024</c:v>
                </c:pt>
                <c:pt idx="1">
                  <c:v>Jan-W1</c:v>
                </c:pt>
                <c:pt idx="2">
                  <c:v>Jan-W2</c:v>
                </c:pt>
                <c:pt idx="3">
                  <c:v>Jan-W3</c:v>
                </c:pt>
                <c:pt idx="4">
                  <c:v>Jan-W4</c:v>
                </c:pt>
                <c:pt idx="5">
                  <c:v>Jan-W5</c:v>
                </c:pt>
                <c:pt idx="7">
                  <c:v>Feb-W1</c:v>
                </c:pt>
                <c:pt idx="8">
                  <c:v>Feb-W2</c:v>
                </c:pt>
                <c:pt idx="9">
                  <c:v>Feb-W3</c:v>
                </c:pt>
                <c:pt idx="10">
                  <c:v>Feb-W4</c:v>
                </c:pt>
                <c:pt idx="12">
                  <c:v>Mar-W1</c:v>
                </c:pt>
                <c:pt idx="13">
                  <c:v>Mar-W2</c:v>
                </c:pt>
                <c:pt idx="14">
                  <c:v>Mar-W3</c:v>
                </c:pt>
                <c:pt idx="15">
                  <c:v>Mar-W4</c:v>
                </c:pt>
                <c:pt idx="17">
                  <c:v>Apr-W1</c:v>
                </c:pt>
                <c:pt idx="18">
                  <c:v>Apr-W2</c:v>
                </c:pt>
                <c:pt idx="19">
                  <c:v>Apr-W3</c:v>
                </c:pt>
                <c:pt idx="20">
                  <c:v>Apr-W4</c:v>
                </c:pt>
                <c:pt idx="22">
                  <c:v>May-W1</c:v>
                </c:pt>
                <c:pt idx="23">
                  <c:v>May-W2</c:v>
                </c:pt>
                <c:pt idx="24">
                  <c:v>May-W3</c:v>
                </c:pt>
                <c:pt idx="25">
                  <c:v>May-W4</c:v>
                </c:pt>
                <c:pt idx="26">
                  <c:v>May-W5</c:v>
                </c:pt>
                <c:pt idx="28">
                  <c:v>Jun-W1</c:v>
                </c:pt>
                <c:pt idx="29">
                  <c:v>Jun-W2</c:v>
                </c:pt>
                <c:pt idx="30">
                  <c:v>Jun-W3</c:v>
                </c:pt>
                <c:pt idx="31">
                  <c:v>Jun-W4</c:v>
                </c:pt>
                <c:pt idx="33">
                  <c:v>Jul-W1</c:v>
                </c:pt>
                <c:pt idx="34">
                  <c:v>Jul-W2</c:v>
                </c:pt>
                <c:pt idx="35">
                  <c:v>Jul-W3</c:v>
                </c:pt>
                <c:pt idx="36">
                  <c:v>Jul-W4</c:v>
                </c:pt>
                <c:pt idx="37">
                  <c:v>Jul-W5</c:v>
                </c:pt>
                <c:pt idx="39">
                  <c:v>Aug-W1</c:v>
                </c:pt>
                <c:pt idx="40">
                  <c:v>Aug-W2</c:v>
                </c:pt>
                <c:pt idx="41">
                  <c:v>Aug-W3</c:v>
                </c:pt>
                <c:pt idx="42">
                  <c:v>Aug-W4</c:v>
                </c:pt>
                <c:pt idx="44">
                  <c:v>Sep-W1</c:v>
                </c:pt>
                <c:pt idx="45">
                  <c:v>Sep-W2</c:v>
                </c:pt>
                <c:pt idx="46">
                  <c:v>Sep-W3</c:v>
                </c:pt>
                <c:pt idx="47">
                  <c:v>Sep-W4</c:v>
                </c:pt>
              </c:strCache>
            </c:strRef>
          </c:cat>
          <c:val>
            <c:numRef>
              <c:f>'Weekly TC Team'!$I$73:$I$120</c:f>
              <c:numCache>
                <c:formatCode>General</c:formatCode>
                <c:ptCount val="48"/>
                <c:pt idx="0">
                  <c:v>0</c:v>
                </c:pt>
                <c:pt idx="1">
                  <c:v>0</c:v>
                </c:pt>
                <c:pt idx="2">
                  <c:v>0</c:v>
                </c:pt>
                <c:pt idx="3">
                  <c:v>0</c:v>
                </c:pt>
                <c:pt idx="4">
                  <c:v>0</c:v>
                </c:pt>
                <c:pt idx="5">
                  <c:v>0</c:v>
                </c:pt>
                <c:pt idx="7">
                  <c:v>0</c:v>
                </c:pt>
                <c:pt idx="8">
                  <c:v>0</c:v>
                </c:pt>
                <c:pt idx="9">
                  <c:v>0</c:v>
                </c:pt>
                <c:pt idx="10">
                  <c:v>0</c:v>
                </c:pt>
                <c:pt idx="12">
                  <c:v>0</c:v>
                </c:pt>
                <c:pt idx="13">
                  <c:v>0</c:v>
                </c:pt>
                <c:pt idx="14">
                  <c:v>0</c:v>
                </c:pt>
                <c:pt idx="15">
                  <c:v>0</c:v>
                </c:pt>
                <c:pt idx="17">
                  <c:v>0</c:v>
                </c:pt>
                <c:pt idx="18">
                  <c:v>0</c:v>
                </c:pt>
                <c:pt idx="19">
                  <c:v>0</c:v>
                </c:pt>
                <c:pt idx="20">
                  <c:v>0</c:v>
                </c:pt>
                <c:pt idx="22">
                  <c:v>0</c:v>
                </c:pt>
                <c:pt idx="23">
                  <c:v>0</c:v>
                </c:pt>
                <c:pt idx="24">
                  <c:v>0</c:v>
                </c:pt>
                <c:pt idx="25">
                  <c:v>0</c:v>
                </c:pt>
                <c:pt idx="26">
                  <c:v>0</c:v>
                </c:pt>
                <c:pt idx="28">
                  <c:v>0</c:v>
                </c:pt>
                <c:pt idx="29">
                  <c:v>0</c:v>
                </c:pt>
                <c:pt idx="30">
                  <c:v>0</c:v>
                </c:pt>
                <c:pt idx="31">
                  <c:v>0</c:v>
                </c:pt>
                <c:pt idx="33">
                  <c:v>0</c:v>
                </c:pt>
                <c:pt idx="34">
                  <c:v>0</c:v>
                </c:pt>
                <c:pt idx="35">
                  <c:v>0</c:v>
                </c:pt>
                <c:pt idx="36">
                  <c:v>0</c:v>
                </c:pt>
                <c:pt idx="37">
                  <c:v>0</c:v>
                </c:pt>
                <c:pt idx="39">
                  <c:v>0</c:v>
                </c:pt>
                <c:pt idx="40">
                  <c:v>0</c:v>
                </c:pt>
                <c:pt idx="41">
                  <c:v>0</c:v>
                </c:pt>
                <c:pt idx="42">
                  <c:v>0</c:v>
                </c:pt>
                <c:pt idx="44">
                  <c:v>0</c:v>
                </c:pt>
                <c:pt idx="45">
                  <c:v>0</c:v>
                </c:pt>
                <c:pt idx="46">
                  <c:v>0</c:v>
                </c:pt>
                <c:pt idx="47">
                  <c:v>0</c:v>
                </c:pt>
              </c:numCache>
            </c:numRef>
          </c:val>
          <c:smooth val="0"/>
          <c:extLst>
            <c:ext xmlns:c16="http://schemas.microsoft.com/office/drawing/2014/chart" uri="{C3380CC4-5D6E-409C-BE32-E72D297353CC}">
              <c16:uniqueId val="{00000005-9FE7-4FE9-A10C-DDD5D669D48D}"/>
            </c:ext>
          </c:extLst>
        </c:ser>
        <c:dLbls>
          <c:showLegendKey val="0"/>
          <c:showVal val="0"/>
          <c:showCatName val="0"/>
          <c:showSerName val="0"/>
          <c:showPercent val="0"/>
          <c:showBubbleSize val="0"/>
        </c:dLbls>
        <c:smooth val="0"/>
        <c:axId val="1789302600"/>
        <c:axId val="695073353"/>
      </c:lineChart>
      <c:catAx>
        <c:axId val="1789302600"/>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695073353"/>
        <c:crosses val="autoZero"/>
        <c:auto val="1"/>
        <c:lblAlgn val="ctr"/>
        <c:lblOffset val="100"/>
        <c:noMultiLvlLbl val="1"/>
      </c:catAx>
      <c:valAx>
        <c:axId val="69507335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1789302600"/>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d-ID"/>
  <c:roundedCorners val="1"/>
  <c:style val="2"/>
  <c:chart>
    <c:autoTitleDeleted val="1"/>
    <c:plotArea>
      <c:layout/>
      <c:lineChart>
        <c:grouping val="standard"/>
        <c:varyColors val="1"/>
        <c:ser>
          <c:idx val="0"/>
          <c:order val="0"/>
          <c:tx>
            <c:strRef>
              <c:f>'Weekly TC Team'!$D$140</c:f>
              <c:strCache>
                <c:ptCount val="1"/>
                <c:pt idx="0">
                  <c:v>Marinda Ika Dewi Sakariana</c:v>
                </c:pt>
              </c:strCache>
            </c:strRef>
          </c:tx>
          <c:spPr>
            <a:ln cmpd="sng">
              <a:solidFill>
                <a:srgbClr val="41D9CA"/>
              </a:solidFill>
            </a:ln>
          </c:spPr>
          <c:marker>
            <c:symbol val="none"/>
          </c:marker>
          <c:cat>
            <c:strRef>
              <c:f>'Weekly TC Team'!$C$141:$C$204</c:f>
              <c:strCache>
                <c:ptCount val="64"/>
                <c:pt idx="0">
                  <c:v>2024</c:v>
                </c:pt>
                <c:pt idx="1">
                  <c:v>Jan-W1</c:v>
                </c:pt>
                <c:pt idx="2">
                  <c:v>Jan-W2</c:v>
                </c:pt>
                <c:pt idx="3">
                  <c:v>Jan-W3</c:v>
                </c:pt>
                <c:pt idx="4">
                  <c:v>Jan-W4</c:v>
                </c:pt>
                <c:pt idx="5">
                  <c:v>Jan-W5</c:v>
                </c:pt>
                <c:pt idx="7">
                  <c:v>Feb-W1</c:v>
                </c:pt>
                <c:pt idx="8">
                  <c:v>Feb-W2</c:v>
                </c:pt>
                <c:pt idx="9">
                  <c:v>Feb-W3</c:v>
                </c:pt>
                <c:pt idx="10">
                  <c:v>Feb-W4</c:v>
                </c:pt>
                <c:pt idx="12">
                  <c:v>Mar-W1</c:v>
                </c:pt>
                <c:pt idx="13">
                  <c:v>Mar-W2</c:v>
                </c:pt>
                <c:pt idx="14">
                  <c:v>Mar-W3</c:v>
                </c:pt>
                <c:pt idx="15">
                  <c:v>Mar-W4</c:v>
                </c:pt>
                <c:pt idx="17">
                  <c:v>Apr-W1</c:v>
                </c:pt>
                <c:pt idx="18">
                  <c:v>Apr-W2</c:v>
                </c:pt>
                <c:pt idx="19">
                  <c:v>Apr-W3</c:v>
                </c:pt>
                <c:pt idx="20">
                  <c:v>Apr-W4</c:v>
                </c:pt>
                <c:pt idx="22">
                  <c:v>May-W1</c:v>
                </c:pt>
                <c:pt idx="23">
                  <c:v>May-W2</c:v>
                </c:pt>
                <c:pt idx="24">
                  <c:v>May-W3</c:v>
                </c:pt>
                <c:pt idx="25">
                  <c:v>May-W4</c:v>
                </c:pt>
                <c:pt idx="26">
                  <c:v>May-W5</c:v>
                </c:pt>
                <c:pt idx="28">
                  <c:v>Jun-W1</c:v>
                </c:pt>
                <c:pt idx="29">
                  <c:v>Jun-W2</c:v>
                </c:pt>
                <c:pt idx="30">
                  <c:v>Jun-W3</c:v>
                </c:pt>
                <c:pt idx="31">
                  <c:v>Jun-W4</c:v>
                </c:pt>
                <c:pt idx="33">
                  <c:v>Jul-W1</c:v>
                </c:pt>
                <c:pt idx="34">
                  <c:v>Jul-W2</c:v>
                </c:pt>
                <c:pt idx="35">
                  <c:v>Jul-W3</c:v>
                </c:pt>
                <c:pt idx="36">
                  <c:v>Jul-W4</c:v>
                </c:pt>
                <c:pt idx="37">
                  <c:v>Jul-W5</c:v>
                </c:pt>
                <c:pt idx="39">
                  <c:v>Aug-W1</c:v>
                </c:pt>
                <c:pt idx="40">
                  <c:v>Aug-W2</c:v>
                </c:pt>
                <c:pt idx="41">
                  <c:v>Aug-W3</c:v>
                </c:pt>
                <c:pt idx="42">
                  <c:v>Aug-W4</c:v>
                </c:pt>
                <c:pt idx="44">
                  <c:v>Sep-W1</c:v>
                </c:pt>
                <c:pt idx="45">
                  <c:v>Sep-W2</c:v>
                </c:pt>
                <c:pt idx="46">
                  <c:v>Sep-W3</c:v>
                </c:pt>
                <c:pt idx="47">
                  <c:v>Sep-W4</c:v>
                </c:pt>
                <c:pt idx="49">
                  <c:v>Oct-W1</c:v>
                </c:pt>
                <c:pt idx="50">
                  <c:v>Oct-W2</c:v>
                </c:pt>
                <c:pt idx="51">
                  <c:v>Oct-W3</c:v>
                </c:pt>
                <c:pt idx="52">
                  <c:v>Oct-W4</c:v>
                </c:pt>
                <c:pt idx="53">
                  <c:v>Oct-W5</c:v>
                </c:pt>
                <c:pt idx="55">
                  <c:v>Nov-W1</c:v>
                </c:pt>
                <c:pt idx="56">
                  <c:v>Nov-W2</c:v>
                </c:pt>
                <c:pt idx="57">
                  <c:v>Nov-W3</c:v>
                </c:pt>
                <c:pt idx="58">
                  <c:v>Nov-W4</c:v>
                </c:pt>
                <c:pt idx="60">
                  <c:v>Dec-W1</c:v>
                </c:pt>
                <c:pt idx="61">
                  <c:v>Dec-W2</c:v>
                </c:pt>
                <c:pt idx="62">
                  <c:v>Dec-W3</c:v>
                </c:pt>
                <c:pt idx="63">
                  <c:v>Dec-W4</c:v>
                </c:pt>
              </c:strCache>
            </c:strRef>
          </c:cat>
          <c:val>
            <c:numRef>
              <c:f>'Weekly TC Team'!$D$141:$D$204</c:f>
              <c:numCache>
                <c:formatCode>General</c:formatCode>
                <c:ptCount val="64"/>
                <c:pt idx="0">
                  <c:v>0</c:v>
                </c:pt>
                <c:pt idx="1">
                  <c:v>0</c:v>
                </c:pt>
                <c:pt idx="2">
                  <c:v>0</c:v>
                </c:pt>
                <c:pt idx="3">
                  <c:v>0</c:v>
                </c:pt>
                <c:pt idx="4">
                  <c:v>0</c:v>
                </c:pt>
                <c:pt idx="5">
                  <c:v>0</c:v>
                </c:pt>
                <c:pt idx="7">
                  <c:v>0</c:v>
                </c:pt>
                <c:pt idx="8">
                  <c:v>0</c:v>
                </c:pt>
                <c:pt idx="9">
                  <c:v>0</c:v>
                </c:pt>
                <c:pt idx="10">
                  <c:v>0</c:v>
                </c:pt>
                <c:pt idx="12">
                  <c:v>0</c:v>
                </c:pt>
                <c:pt idx="13">
                  <c:v>0</c:v>
                </c:pt>
                <c:pt idx="14">
                  <c:v>0</c:v>
                </c:pt>
                <c:pt idx="15">
                  <c:v>0</c:v>
                </c:pt>
                <c:pt idx="17">
                  <c:v>0</c:v>
                </c:pt>
                <c:pt idx="18">
                  <c:v>0</c:v>
                </c:pt>
                <c:pt idx="19">
                  <c:v>0</c:v>
                </c:pt>
                <c:pt idx="20">
                  <c:v>0</c:v>
                </c:pt>
                <c:pt idx="22">
                  <c:v>0</c:v>
                </c:pt>
                <c:pt idx="23">
                  <c:v>0</c:v>
                </c:pt>
                <c:pt idx="24">
                  <c:v>0</c:v>
                </c:pt>
                <c:pt idx="25">
                  <c:v>0</c:v>
                </c:pt>
                <c:pt idx="26">
                  <c:v>0</c:v>
                </c:pt>
                <c:pt idx="28">
                  <c:v>0</c:v>
                </c:pt>
                <c:pt idx="29">
                  <c:v>0</c:v>
                </c:pt>
                <c:pt idx="30">
                  <c:v>0</c:v>
                </c:pt>
                <c:pt idx="31">
                  <c:v>0</c:v>
                </c:pt>
                <c:pt idx="33">
                  <c:v>0</c:v>
                </c:pt>
                <c:pt idx="34">
                  <c:v>0</c:v>
                </c:pt>
                <c:pt idx="35">
                  <c:v>0</c:v>
                </c:pt>
                <c:pt idx="36">
                  <c:v>0</c:v>
                </c:pt>
                <c:pt idx="37">
                  <c:v>0</c:v>
                </c:pt>
                <c:pt idx="39">
                  <c:v>0</c:v>
                </c:pt>
                <c:pt idx="40">
                  <c:v>0</c:v>
                </c:pt>
                <c:pt idx="41">
                  <c:v>0</c:v>
                </c:pt>
                <c:pt idx="42">
                  <c:v>0</c:v>
                </c:pt>
                <c:pt idx="44">
                  <c:v>0</c:v>
                </c:pt>
                <c:pt idx="45">
                  <c:v>0</c:v>
                </c:pt>
                <c:pt idx="46">
                  <c:v>0</c:v>
                </c:pt>
                <c:pt idx="47">
                  <c:v>0</c:v>
                </c:pt>
                <c:pt idx="49">
                  <c:v>0</c:v>
                </c:pt>
                <c:pt idx="50">
                  <c:v>0</c:v>
                </c:pt>
                <c:pt idx="51">
                  <c:v>0</c:v>
                </c:pt>
                <c:pt idx="52">
                  <c:v>0</c:v>
                </c:pt>
                <c:pt idx="53">
                  <c:v>0</c:v>
                </c:pt>
                <c:pt idx="55">
                  <c:v>0</c:v>
                </c:pt>
                <c:pt idx="56">
                  <c:v>0</c:v>
                </c:pt>
                <c:pt idx="57">
                  <c:v>0</c:v>
                </c:pt>
                <c:pt idx="58">
                  <c:v>0</c:v>
                </c:pt>
                <c:pt idx="60">
                  <c:v>0</c:v>
                </c:pt>
                <c:pt idx="61">
                  <c:v>0</c:v>
                </c:pt>
                <c:pt idx="62">
                  <c:v>0</c:v>
                </c:pt>
                <c:pt idx="63">
                  <c:v>0</c:v>
                </c:pt>
              </c:numCache>
            </c:numRef>
          </c:val>
          <c:smooth val="0"/>
          <c:extLst>
            <c:ext xmlns:c16="http://schemas.microsoft.com/office/drawing/2014/chart" uri="{C3380CC4-5D6E-409C-BE32-E72D297353CC}">
              <c16:uniqueId val="{00000000-EF0F-4CE4-B731-DAD64760E8D3}"/>
            </c:ext>
          </c:extLst>
        </c:ser>
        <c:ser>
          <c:idx val="1"/>
          <c:order val="1"/>
          <c:tx>
            <c:strRef>
              <c:f>'Weekly TC Team'!$E$140</c:f>
              <c:strCache>
                <c:ptCount val="1"/>
                <c:pt idx="0">
                  <c:v>Syafiq Ali Zhafran</c:v>
                </c:pt>
              </c:strCache>
            </c:strRef>
          </c:tx>
          <c:spPr>
            <a:ln cmpd="sng">
              <a:solidFill>
                <a:srgbClr val="EDF25E"/>
              </a:solidFill>
            </a:ln>
          </c:spPr>
          <c:marker>
            <c:symbol val="none"/>
          </c:marker>
          <c:cat>
            <c:strRef>
              <c:f>'Weekly TC Team'!$C$141:$C$204</c:f>
              <c:strCache>
                <c:ptCount val="64"/>
                <c:pt idx="0">
                  <c:v>2024</c:v>
                </c:pt>
                <c:pt idx="1">
                  <c:v>Jan-W1</c:v>
                </c:pt>
                <c:pt idx="2">
                  <c:v>Jan-W2</c:v>
                </c:pt>
                <c:pt idx="3">
                  <c:v>Jan-W3</c:v>
                </c:pt>
                <c:pt idx="4">
                  <c:v>Jan-W4</c:v>
                </c:pt>
                <c:pt idx="5">
                  <c:v>Jan-W5</c:v>
                </c:pt>
                <c:pt idx="7">
                  <c:v>Feb-W1</c:v>
                </c:pt>
                <c:pt idx="8">
                  <c:v>Feb-W2</c:v>
                </c:pt>
                <c:pt idx="9">
                  <c:v>Feb-W3</c:v>
                </c:pt>
                <c:pt idx="10">
                  <c:v>Feb-W4</c:v>
                </c:pt>
                <c:pt idx="12">
                  <c:v>Mar-W1</c:v>
                </c:pt>
                <c:pt idx="13">
                  <c:v>Mar-W2</c:v>
                </c:pt>
                <c:pt idx="14">
                  <c:v>Mar-W3</c:v>
                </c:pt>
                <c:pt idx="15">
                  <c:v>Mar-W4</c:v>
                </c:pt>
                <c:pt idx="17">
                  <c:v>Apr-W1</c:v>
                </c:pt>
                <c:pt idx="18">
                  <c:v>Apr-W2</c:v>
                </c:pt>
                <c:pt idx="19">
                  <c:v>Apr-W3</c:v>
                </c:pt>
                <c:pt idx="20">
                  <c:v>Apr-W4</c:v>
                </c:pt>
                <c:pt idx="22">
                  <c:v>May-W1</c:v>
                </c:pt>
                <c:pt idx="23">
                  <c:v>May-W2</c:v>
                </c:pt>
                <c:pt idx="24">
                  <c:v>May-W3</c:v>
                </c:pt>
                <c:pt idx="25">
                  <c:v>May-W4</c:v>
                </c:pt>
                <c:pt idx="26">
                  <c:v>May-W5</c:v>
                </c:pt>
                <c:pt idx="28">
                  <c:v>Jun-W1</c:v>
                </c:pt>
                <c:pt idx="29">
                  <c:v>Jun-W2</c:v>
                </c:pt>
                <c:pt idx="30">
                  <c:v>Jun-W3</c:v>
                </c:pt>
                <c:pt idx="31">
                  <c:v>Jun-W4</c:v>
                </c:pt>
                <c:pt idx="33">
                  <c:v>Jul-W1</c:v>
                </c:pt>
                <c:pt idx="34">
                  <c:v>Jul-W2</c:v>
                </c:pt>
                <c:pt idx="35">
                  <c:v>Jul-W3</c:v>
                </c:pt>
                <c:pt idx="36">
                  <c:v>Jul-W4</c:v>
                </c:pt>
                <c:pt idx="37">
                  <c:v>Jul-W5</c:v>
                </c:pt>
                <c:pt idx="39">
                  <c:v>Aug-W1</c:v>
                </c:pt>
                <c:pt idx="40">
                  <c:v>Aug-W2</c:v>
                </c:pt>
                <c:pt idx="41">
                  <c:v>Aug-W3</c:v>
                </c:pt>
                <c:pt idx="42">
                  <c:v>Aug-W4</c:v>
                </c:pt>
                <c:pt idx="44">
                  <c:v>Sep-W1</c:v>
                </c:pt>
                <c:pt idx="45">
                  <c:v>Sep-W2</c:v>
                </c:pt>
                <c:pt idx="46">
                  <c:v>Sep-W3</c:v>
                </c:pt>
                <c:pt idx="47">
                  <c:v>Sep-W4</c:v>
                </c:pt>
                <c:pt idx="49">
                  <c:v>Oct-W1</c:v>
                </c:pt>
                <c:pt idx="50">
                  <c:v>Oct-W2</c:v>
                </c:pt>
                <c:pt idx="51">
                  <c:v>Oct-W3</c:v>
                </c:pt>
                <c:pt idx="52">
                  <c:v>Oct-W4</c:v>
                </c:pt>
                <c:pt idx="53">
                  <c:v>Oct-W5</c:v>
                </c:pt>
                <c:pt idx="55">
                  <c:v>Nov-W1</c:v>
                </c:pt>
                <c:pt idx="56">
                  <c:v>Nov-W2</c:v>
                </c:pt>
                <c:pt idx="57">
                  <c:v>Nov-W3</c:v>
                </c:pt>
                <c:pt idx="58">
                  <c:v>Nov-W4</c:v>
                </c:pt>
                <c:pt idx="60">
                  <c:v>Dec-W1</c:v>
                </c:pt>
                <c:pt idx="61">
                  <c:v>Dec-W2</c:v>
                </c:pt>
                <c:pt idx="62">
                  <c:v>Dec-W3</c:v>
                </c:pt>
                <c:pt idx="63">
                  <c:v>Dec-W4</c:v>
                </c:pt>
              </c:strCache>
            </c:strRef>
          </c:cat>
          <c:val>
            <c:numRef>
              <c:f>'Weekly TC Team'!$E$141:$E$204</c:f>
              <c:numCache>
                <c:formatCode>General</c:formatCode>
                <c:ptCount val="64"/>
                <c:pt idx="0">
                  <c:v>0</c:v>
                </c:pt>
                <c:pt idx="1">
                  <c:v>0</c:v>
                </c:pt>
                <c:pt idx="2">
                  <c:v>0</c:v>
                </c:pt>
                <c:pt idx="3">
                  <c:v>0</c:v>
                </c:pt>
                <c:pt idx="4">
                  <c:v>0</c:v>
                </c:pt>
                <c:pt idx="5">
                  <c:v>0</c:v>
                </c:pt>
                <c:pt idx="7">
                  <c:v>0</c:v>
                </c:pt>
                <c:pt idx="8">
                  <c:v>0</c:v>
                </c:pt>
                <c:pt idx="9">
                  <c:v>0</c:v>
                </c:pt>
                <c:pt idx="10">
                  <c:v>0</c:v>
                </c:pt>
                <c:pt idx="12">
                  <c:v>0</c:v>
                </c:pt>
                <c:pt idx="13">
                  <c:v>0</c:v>
                </c:pt>
                <c:pt idx="14">
                  <c:v>0</c:v>
                </c:pt>
                <c:pt idx="15">
                  <c:v>0</c:v>
                </c:pt>
                <c:pt idx="17">
                  <c:v>0</c:v>
                </c:pt>
                <c:pt idx="18">
                  <c:v>0</c:v>
                </c:pt>
                <c:pt idx="19">
                  <c:v>0</c:v>
                </c:pt>
                <c:pt idx="20">
                  <c:v>0</c:v>
                </c:pt>
                <c:pt idx="22">
                  <c:v>0</c:v>
                </c:pt>
                <c:pt idx="23">
                  <c:v>0</c:v>
                </c:pt>
                <c:pt idx="24">
                  <c:v>0</c:v>
                </c:pt>
                <c:pt idx="25">
                  <c:v>0</c:v>
                </c:pt>
                <c:pt idx="26">
                  <c:v>0</c:v>
                </c:pt>
                <c:pt idx="28">
                  <c:v>0</c:v>
                </c:pt>
                <c:pt idx="29">
                  <c:v>0</c:v>
                </c:pt>
                <c:pt idx="30">
                  <c:v>0</c:v>
                </c:pt>
                <c:pt idx="31">
                  <c:v>0</c:v>
                </c:pt>
                <c:pt idx="33">
                  <c:v>0</c:v>
                </c:pt>
                <c:pt idx="34">
                  <c:v>0</c:v>
                </c:pt>
                <c:pt idx="35">
                  <c:v>0</c:v>
                </c:pt>
                <c:pt idx="36">
                  <c:v>0</c:v>
                </c:pt>
                <c:pt idx="37">
                  <c:v>0</c:v>
                </c:pt>
                <c:pt idx="39">
                  <c:v>0</c:v>
                </c:pt>
                <c:pt idx="40">
                  <c:v>0</c:v>
                </c:pt>
                <c:pt idx="41">
                  <c:v>0</c:v>
                </c:pt>
                <c:pt idx="42">
                  <c:v>0</c:v>
                </c:pt>
                <c:pt idx="44">
                  <c:v>0</c:v>
                </c:pt>
                <c:pt idx="45">
                  <c:v>0</c:v>
                </c:pt>
                <c:pt idx="46">
                  <c:v>0</c:v>
                </c:pt>
                <c:pt idx="47">
                  <c:v>0</c:v>
                </c:pt>
                <c:pt idx="49">
                  <c:v>0</c:v>
                </c:pt>
                <c:pt idx="50">
                  <c:v>0</c:v>
                </c:pt>
                <c:pt idx="51">
                  <c:v>0</c:v>
                </c:pt>
                <c:pt idx="52">
                  <c:v>0</c:v>
                </c:pt>
                <c:pt idx="53">
                  <c:v>0</c:v>
                </c:pt>
                <c:pt idx="55">
                  <c:v>0</c:v>
                </c:pt>
                <c:pt idx="56">
                  <c:v>0</c:v>
                </c:pt>
                <c:pt idx="57">
                  <c:v>0</c:v>
                </c:pt>
                <c:pt idx="58">
                  <c:v>0</c:v>
                </c:pt>
                <c:pt idx="60">
                  <c:v>0</c:v>
                </c:pt>
                <c:pt idx="61">
                  <c:v>0</c:v>
                </c:pt>
                <c:pt idx="62">
                  <c:v>0</c:v>
                </c:pt>
                <c:pt idx="63">
                  <c:v>0</c:v>
                </c:pt>
              </c:numCache>
            </c:numRef>
          </c:val>
          <c:smooth val="0"/>
          <c:extLst>
            <c:ext xmlns:c16="http://schemas.microsoft.com/office/drawing/2014/chart" uri="{C3380CC4-5D6E-409C-BE32-E72D297353CC}">
              <c16:uniqueId val="{00000001-EF0F-4CE4-B731-DAD64760E8D3}"/>
            </c:ext>
          </c:extLst>
        </c:ser>
        <c:ser>
          <c:idx val="2"/>
          <c:order val="2"/>
          <c:tx>
            <c:strRef>
              <c:f>'Weekly TC Team'!$F$140</c:f>
              <c:strCache>
                <c:ptCount val="1"/>
                <c:pt idx="0">
                  <c:v>Yusuf Tri Wibowo</c:v>
                </c:pt>
              </c:strCache>
            </c:strRef>
          </c:tx>
          <c:spPr>
            <a:ln cmpd="sng">
              <a:solidFill>
                <a:srgbClr val="BFB39B"/>
              </a:solidFill>
            </a:ln>
          </c:spPr>
          <c:marker>
            <c:symbol val="none"/>
          </c:marker>
          <c:cat>
            <c:strRef>
              <c:f>'Weekly TC Team'!$C$141:$C$204</c:f>
              <c:strCache>
                <c:ptCount val="64"/>
                <c:pt idx="0">
                  <c:v>2024</c:v>
                </c:pt>
                <c:pt idx="1">
                  <c:v>Jan-W1</c:v>
                </c:pt>
                <c:pt idx="2">
                  <c:v>Jan-W2</c:v>
                </c:pt>
                <c:pt idx="3">
                  <c:v>Jan-W3</c:v>
                </c:pt>
                <c:pt idx="4">
                  <c:v>Jan-W4</c:v>
                </c:pt>
                <c:pt idx="5">
                  <c:v>Jan-W5</c:v>
                </c:pt>
                <c:pt idx="7">
                  <c:v>Feb-W1</c:v>
                </c:pt>
                <c:pt idx="8">
                  <c:v>Feb-W2</c:v>
                </c:pt>
                <c:pt idx="9">
                  <c:v>Feb-W3</c:v>
                </c:pt>
                <c:pt idx="10">
                  <c:v>Feb-W4</c:v>
                </c:pt>
                <c:pt idx="12">
                  <c:v>Mar-W1</c:v>
                </c:pt>
                <c:pt idx="13">
                  <c:v>Mar-W2</c:v>
                </c:pt>
                <c:pt idx="14">
                  <c:v>Mar-W3</c:v>
                </c:pt>
                <c:pt idx="15">
                  <c:v>Mar-W4</c:v>
                </c:pt>
                <c:pt idx="17">
                  <c:v>Apr-W1</c:v>
                </c:pt>
                <c:pt idx="18">
                  <c:v>Apr-W2</c:v>
                </c:pt>
                <c:pt idx="19">
                  <c:v>Apr-W3</c:v>
                </c:pt>
                <c:pt idx="20">
                  <c:v>Apr-W4</c:v>
                </c:pt>
                <c:pt idx="22">
                  <c:v>May-W1</c:v>
                </c:pt>
                <c:pt idx="23">
                  <c:v>May-W2</c:v>
                </c:pt>
                <c:pt idx="24">
                  <c:v>May-W3</c:v>
                </c:pt>
                <c:pt idx="25">
                  <c:v>May-W4</c:v>
                </c:pt>
                <c:pt idx="26">
                  <c:v>May-W5</c:v>
                </c:pt>
                <c:pt idx="28">
                  <c:v>Jun-W1</c:v>
                </c:pt>
                <c:pt idx="29">
                  <c:v>Jun-W2</c:v>
                </c:pt>
                <c:pt idx="30">
                  <c:v>Jun-W3</c:v>
                </c:pt>
                <c:pt idx="31">
                  <c:v>Jun-W4</c:v>
                </c:pt>
                <c:pt idx="33">
                  <c:v>Jul-W1</c:v>
                </c:pt>
                <c:pt idx="34">
                  <c:v>Jul-W2</c:v>
                </c:pt>
                <c:pt idx="35">
                  <c:v>Jul-W3</c:v>
                </c:pt>
                <c:pt idx="36">
                  <c:v>Jul-W4</c:v>
                </c:pt>
                <c:pt idx="37">
                  <c:v>Jul-W5</c:v>
                </c:pt>
                <c:pt idx="39">
                  <c:v>Aug-W1</c:v>
                </c:pt>
                <c:pt idx="40">
                  <c:v>Aug-W2</c:v>
                </c:pt>
                <c:pt idx="41">
                  <c:v>Aug-W3</c:v>
                </c:pt>
                <c:pt idx="42">
                  <c:v>Aug-W4</c:v>
                </c:pt>
                <c:pt idx="44">
                  <c:v>Sep-W1</c:v>
                </c:pt>
                <c:pt idx="45">
                  <c:v>Sep-W2</c:v>
                </c:pt>
                <c:pt idx="46">
                  <c:v>Sep-W3</c:v>
                </c:pt>
                <c:pt idx="47">
                  <c:v>Sep-W4</c:v>
                </c:pt>
                <c:pt idx="49">
                  <c:v>Oct-W1</c:v>
                </c:pt>
                <c:pt idx="50">
                  <c:v>Oct-W2</c:v>
                </c:pt>
                <c:pt idx="51">
                  <c:v>Oct-W3</c:v>
                </c:pt>
                <c:pt idx="52">
                  <c:v>Oct-W4</c:v>
                </c:pt>
                <c:pt idx="53">
                  <c:v>Oct-W5</c:v>
                </c:pt>
                <c:pt idx="55">
                  <c:v>Nov-W1</c:v>
                </c:pt>
                <c:pt idx="56">
                  <c:v>Nov-W2</c:v>
                </c:pt>
                <c:pt idx="57">
                  <c:v>Nov-W3</c:v>
                </c:pt>
                <c:pt idx="58">
                  <c:v>Nov-W4</c:v>
                </c:pt>
                <c:pt idx="60">
                  <c:v>Dec-W1</c:v>
                </c:pt>
                <c:pt idx="61">
                  <c:v>Dec-W2</c:v>
                </c:pt>
                <c:pt idx="62">
                  <c:v>Dec-W3</c:v>
                </c:pt>
                <c:pt idx="63">
                  <c:v>Dec-W4</c:v>
                </c:pt>
              </c:strCache>
            </c:strRef>
          </c:cat>
          <c:val>
            <c:numRef>
              <c:f>'Weekly TC Team'!$F$141:$F$204</c:f>
              <c:numCache>
                <c:formatCode>General</c:formatCode>
                <c:ptCount val="64"/>
                <c:pt idx="0">
                  <c:v>0</c:v>
                </c:pt>
                <c:pt idx="1">
                  <c:v>0</c:v>
                </c:pt>
                <c:pt idx="2">
                  <c:v>0</c:v>
                </c:pt>
                <c:pt idx="3">
                  <c:v>0</c:v>
                </c:pt>
                <c:pt idx="4">
                  <c:v>0</c:v>
                </c:pt>
                <c:pt idx="5">
                  <c:v>0</c:v>
                </c:pt>
                <c:pt idx="7">
                  <c:v>0</c:v>
                </c:pt>
                <c:pt idx="8">
                  <c:v>0</c:v>
                </c:pt>
                <c:pt idx="9">
                  <c:v>0</c:v>
                </c:pt>
                <c:pt idx="10">
                  <c:v>0</c:v>
                </c:pt>
                <c:pt idx="12">
                  <c:v>0</c:v>
                </c:pt>
                <c:pt idx="13">
                  <c:v>0</c:v>
                </c:pt>
                <c:pt idx="14">
                  <c:v>0</c:v>
                </c:pt>
                <c:pt idx="15">
                  <c:v>0</c:v>
                </c:pt>
                <c:pt idx="17">
                  <c:v>0</c:v>
                </c:pt>
                <c:pt idx="18">
                  <c:v>0</c:v>
                </c:pt>
                <c:pt idx="19">
                  <c:v>0</c:v>
                </c:pt>
                <c:pt idx="20">
                  <c:v>0</c:v>
                </c:pt>
                <c:pt idx="22">
                  <c:v>0</c:v>
                </c:pt>
                <c:pt idx="23">
                  <c:v>0</c:v>
                </c:pt>
                <c:pt idx="24">
                  <c:v>0</c:v>
                </c:pt>
                <c:pt idx="25">
                  <c:v>0</c:v>
                </c:pt>
                <c:pt idx="26">
                  <c:v>0</c:v>
                </c:pt>
                <c:pt idx="28">
                  <c:v>0</c:v>
                </c:pt>
                <c:pt idx="29">
                  <c:v>0</c:v>
                </c:pt>
                <c:pt idx="30">
                  <c:v>0</c:v>
                </c:pt>
                <c:pt idx="31">
                  <c:v>0</c:v>
                </c:pt>
                <c:pt idx="33">
                  <c:v>0</c:v>
                </c:pt>
                <c:pt idx="34">
                  <c:v>0</c:v>
                </c:pt>
                <c:pt idx="35">
                  <c:v>0</c:v>
                </c:pt>
                <c:pt idx="36">
                  <c:v>0</c:v>
                </c:pt>
                <c:pt idx="37">
                  <c:v>0</c:v>
                </c:pt>
                <c:pt idx="39">
                  <c:v>0</c:v>
                </c:pt>
                <c:pt idx="40">
                  <c:v>0</c:v>
                </c:pt>
                <c:pt idx="41">
                  <c:v>0</c:v>
                </c:pt>
                <c:pt idx="42">
                  <c:v>0</c:v>
                </c:pt>
                <c:pt idx="44">
                  <c:v>0</c:v>
                </c:pt>
                <c:pt idx="45">
                  <c:v>0</c:v>
                </c:pt>
                <c:pt idx="46">
                  <c:v>0</c:v>
                </c:pt>
                <c:pt idx="47">
                  <c:v>0</c:v>
                </c:pt>
                <c:pt idx="49">
                  <c:v>0</c:v>
                </c:pt>
                <c:pt idx="50">
                  <c:v>0</c:v>
                </c:pt>
                <c:pt idx="51">
                  <c:v>0</c:v>
                </c:pt>
                <c:pt idx="52">
                  <c:v>0</c:v>
                </c:pt>
                <c:pt idx="53">
                  <c:v>0</c:v>
                </c:pt>
                <c:pt idx="55">
                  <c:v>0</c:v>
                </c:pt>
                <c:pt idx="56">
                  <c:v>0</c:v>
                </c:pt>
                <c:pt idx="57">
                  <c:v>0</c:v>
                </c:pt>
                <c:pt idx="58">
                  <c:v>0</c:v>
                </c:pt>
                <c:pt idx="60">
                  <c:v>0</c:v>
                </c:pt>
                <c:pt idx="61">
                  <c:v>0</c:v>
                </c:pt>
                <c:pt idx="62">
                  <c:v>0</c:v>
                </c:pt>
                <c:pt idx="63">
                  <c:v>0</c:v>
                </c:pt>
              </c:numCache>
            </c:numRef>
          </c:val>
          <c:smooth val="0"/>
          <c:extLst>
            <c:ext xmlns:c16="http://schemas.microsoft.com/office/drawing/2014/chart" uri="{C3380CC4-5D6E-409C-BE32-E72D297353CC}">
              <c16:uniqueId val="{00000002-EF0F-4CE4-B731-DAD64760E8D3}"/>
            </c:ext>
          </c:extLst>
        </c:ser>
        <c:ser>
          <c:idx val="3"/>
          <c:order val="3"/>
          <c:tx>
            <c:strRef>
              <c:f>'Weekly TC Team'!$G$140</c:f>
              <c:strCache>
                <c:ptCount val="1"/>
                <c:pt idx="0">
                  <c:v>Alexander Bernadus Sungkono</c:v>
                </c:pt>
              </c:strCache>
            </c:strRef>
          </c:tx>
          <c:spPr>
            <a:ln cmpd="sng">
              <a:solidFill>
                <a:srgbClr val="F27405"/>
              </a:solidFill>
            </a:ln>
          </c:spPr>
          <c:marker>
            <c:symbol val="none"/>
          </c:marker>
          <c:cat>
            <c:strRef>
              <c:f>'Weekly TC Team'!$C$141:$C$204</c:f>
              <c:strCache>
                <c:ptCount val="64"/>
                <c:pt idx="0">
                  <c:v>2024</c:v>
                </c:pt>
                <c:pt idx="1">
                  <c:v>Jan-W1</c:v>
                </c:pt>
                <c:pt idx="2">
                  <c:v>Jan-W2</c:v>
                </c:pt>
                <c:pt idx="3">
                  <c:v>Jan-W3</c:v>
                </c:pt>
                <c:pt idx="4">
                  <c:v>Jan-W4</c:v>
                </c:pt>
                <c:pt idx="5">
                  <c:v>Jan-W5</c:v>
                </c:pt>
                <c:pt idx="7">
                  <c:v>Feb-W1</c:v>
                </c:pt>
                <c:pt idx="8">
                  <c:v>Feb-W2</c:v>
                </c:pt>
                <c:pt idx="9">
                  <c:v>Feb-W3</c:v>
                </c:pt>
                <c:pt idx="10">
                  <c:v>Feb-W4</c:v>
                </c:pt>
                <c:pt idx="12">
                  <c:v>Mar-W1</c:v>
                </c:pt>
                <c:pt idx="13">
                  <c:v>Mar-W2</c:v>
                </c:pt>
                <c:pt idx="14">
                  <c:v>Mar-W3</c:v>
                </c:pt>
                <c:pt idx="15">
                  <c:v>Mar-W4</c:v>
                </c:pt>
                <c:pt idx="17">
                  <c:v>Apr-W1</c:v>
                </c:pt>
                <c:pt idx="18">
                  <c:v>Apr-W2</c:v>
                </c:pt>
                <c:pt idx="19">
                  <c:v>Apr-W3</c:v>
                </c:pt>
                <c:pt idx="20">
                  <c:v>Apr-W4</c:v>
                </c:pt>
                <c:pt idx="22">
                  <c:v>May-W1</c:v>
                </c:pt>
                <c:pt idx="23">
                  <c:v>May-W2</c:v>
                </c:pt>
                <c:pt idx="24">
                  <c:v>May-W3</c:v>
                </c:pt>
                <c:pt idx="25">
                  <c:v>May-W4</c:v>
                </c:pt>
                <c:pt idx="26">
                  <c:v>May-W5</c:v>
                </c:pt>
                <c:pt idx="28">
                  <c:v>Jun-W1</c:v>
                </c:pt>
                <c:pt idx="29">
                  <c:v>Jun-W2</c:v>
                </c:pt>
                <c:pt idx="30">
                  <c:v>Jun-W3</c:v>
                </c:pt>
                <c:pt idx="31">
                  <c:v>Jun-W4</c:v>
                </c:pt>
                <c:pt idx="33">
                  <c:v>Jul-W1</c:v>
                </c:pt>
                <c:pt idx="34">
                  <c:v>Jul-W2</c:v>
                </c:pt>
                <c:pt idx="35">
                  <c:v>Jul-W3</c:v>
                </c:pt>
                <c:pt idx="36">
                  <c:v>Jul-W4</c:v>
                </c:pt>
                <c:pt idx="37">
                  <c:v>Jul-W5</c:v>
                </c:pt>
                <c:pt idx="39">
                  <c:v>Aug-W1</c:v>
                </c:pt>
                <c:pt idx="40">
                  <c:v>Aug-W2</c:v>
                </c:pt>
                <c:pt idx="41">
                  <c:v>Aug-W3</c:v>
                </c:pt>
                <c:pt idx="42">
                  <c:v>Aug-W4</c:v>
                </c:pt>
                <c:pt idx="44">
                  <c:v>Sep-W1</c:v>
                </c:pt>
                <c:pt idx="45">
                  <c:v>Sep-W2</c:v>
                </c:pt>
                <c:pt idx="46">
                  <c:v>Sep-W3</c:v>
                </c:pt>
                <c:pt idx="47">
                  <c:v>Sep-W4</c:v>
                </c:pt>
                <c:pt idx="49">
                  <c:v>Oct-W1</c:v>
                </c:pt>
                <c:pt idx="50">
                  <c:v>Oct-W2</c:v>
                </c:pt>
                <c:pt idx="51">
                  <c:v>Oct-W3</c:v>
                </c:pt>
                <c:pt idx="52">
                  <c:v>Oct-W4</c:v>
                </c:pt>
                <c:pt idx="53">
                  <c:v>Oct-W5</c:v>
                </c:pt>
                <c:pt idx="55">
                  <c:v>Nov-W1</c:v>
                </c:pt>
                <c:pt idx="56">
                  <c:v>Nov-W2</c:v>
                </c:pt>
                <c:pt idx="57">
                  <c:v>Nov-W3</c:v>
                </c:pt>
                <c:pt idx="58">
                  <c:v>Nov-W4</c:v>
                </c:pt>
                <c:pt idx="60">
                  <c:v>Dec-W1</c:v>
                </c:pt>
                <c:pt idx="61">
                  <c:v>Dec-W2</c:v>
                </c:pt>
                <c:pt idx="62">
                  <c:v>Dec-W3</c:v>
                </c:pt>
                <c:pt idx="63">
                  <c:v>Dec-W4</c:v>
                </c:pt>
              </c:strCache>
            </c:strRef>
          </c:cat>
          <c:val>
            <c:numRef>
              <c:f>'Weekly TC Team'!$G$141:$G$204</c:f>
              <c:numCache>
                <c:formatCode>General</c:formatCode>
                <c:ptCount val="64"/>
                <c:pt idx="0">
                  <c:v>0</c:v>
                </c:pt>
                <c:pt idx="1">
                  <c:v>0</c:v>
                </c:pt>
                <c:pt idx="2">
                  <c:v>0</c:v>
                </c:pt>
                <c:pt idx="3">
                  <c:v>0</c:v>
                </c:pt>
                <c:pt idx="4">
                  <c:v>0</c:v>
                </c:pt>
                <c:pt idx="5">
                  <c:v>0</c:v>
                </c:pt>
                <c:pt idx="7">
                  <c:v>0</c:v>
                </c:pt>
                <c:pt idx="8">
                  <c:v>0</c:v>
                </c:pt>
                <c:pt idx="9">
                  <c:v>0</c:v>
                </c:pt>
                <c:pt idx="10">
                  <c:v>0</c:v>
                </c:pt>
                <c:pt idx="12">
                  <c:v>0</c:v>
                </c:pt>
                <c:pt idx="13">
                  <c:v>0</c:v>
                </c:pt>
                <c:pt idx="14">
                  <c:v>0</c:v>
                </c:pt>
                <c:pt idx="15">
                  <c:v>0</c:v>
                </c:pt>
                <c:pt idx="17">
                  <c:v>0</c:v>
                </c:pt>
                <c:pt idx="18">
                  <c:v>0</c:v>
                </c:pt>
                <c:pt idx="19">
                  <c:v>0</c:v>
                </c:pt>
                <c:pt idx="20">
                  <c:v>0</c:v>
                </c:pt>
                <c:pt idx="22">
                  <c:v>0</c:v>
                </c:pt>
                <c:pt idx="23">
                  <c:v>0</c:v>
                </c:pt>
                <c:pt idx="24">
                  <c:v>0</c:v>
                </c:pt>
                <c:pt idx="25">
                  <c:v>0</c:v>
                </c:pt>
                <c:pt idx="26">
                  <c:v>0</c:v>
                </c:pt>
                <c:pt idx="28">
                  <c:v>0</c:v>
                </c:pt>
                <c:pt idx="29">
                  <c:v>0</c:v>
                </c:pt>
                <c:pt idx="30">
                  <c:v>0</c:v>
                </c:pt>
                <c:pt idx="31">
                  <c:v>0</c:v>
                </c:pt>
                <c:pt idx="33">
                  <c:v>0</c:v>
                </c:pt>
                <c:pt idx="34">
                  <c:v>0</c:v>
                </c:pt>
                <c:pt idx="35">
                  <c:v>0</c:v>
                </c:pt>
                <c:pt idx="36">
                  <c:v>0</c:v>
                </c:pt>
                <c:pt idx="37">
                  <c:v>0</c:v>
                </c:pt>
                <c:pt idx="39">
                  <c:v>0</c:v>
                </c:pt>
                <c:pt idx="40">
                  <c:v>0</c:v>
                </c:pt>
                <c:pt idx="41">
                  <c:v>0</c:v>
                </c:pt>
                <c:pt idx="42">
                  <c:v>0</c:v>
                </c:pt>
                <c:pt idx="44">
                  <c:v>0</c:v>
                </c:pt>
                <c:pt idx="45">
                  <c:v>0</c:v>
                </c:pt>
                <c:pt idx="46">
                  <c:v>0</c:v>
                </c:pt>
                <c:pt idx="47">
                  <c:v>0</c:v>
                </c:pt>
                <c:pt idx="49">
                  <c:v>0</c:v>
                </c:pt>
                <c:pt idx="50">
                  <c:v>0</c:v>
                </c:pt>
                <c:pt idx="51">
                  <c:v>0</c:v>
                </c:pt>
                <c:pt idx="52">
                  <c:v>0</c:v>
                </c:pt>
                <c:pt idx="53">
                  <c:v>0</c:v>
                </c:pt>
                <c:pt idx="55">
                  <c:v>0</c:v>
                </c:pt>
                <c:pt idx="56">
                  <c:v>0</c:v>
                </c:pt>
                <c:pt idx="57">
                  <c:v>0</c:v>
                </c:pt>
                <c:pt idx="58">
                  <c:v>0</c:v>
                </c:pt>
                <c:pt idx="60">
                  <c:v>0</c:v>
                </c:pt>
                <c:pt idx="61">
                  <c:v>0</c:v>
                </c:pt>
                <c:pt idx="62">
                  <c:v>0</c:v>
                </c:pt>
                <c:pt idx="63">
                  <c:v>0</c:v>
                </c:pt>
              </c:numCache>
            </c:numRef>
          </c:val>
          <c:smooth val="0"/>
          <c:extLst>
            <c:ext xmlns:c16="http://schemas.microsoft.com/office/drawing/2014/chart" uri="{C3380CC4-5D6E-409C-BE32-E72D297353CC}">
              <c16:uniqueId val="{00000003-EF0F-4CE4-B731-DAD64760E8D3}"/>
            </c:ext>
          </c:extLst>
        </c:ser>
        <c:ser>
          <c:idx val="4"/>
          <c:order val="4"/>
          <c:tx>
            <c:strRef>
              <c:f>'Weekly TC Team'!$H$140</c:f>
              <c:strCache>
                <c:ptCount val="1"/>
                <c:pt idx="0">
                  <c:v>Muhammad Yudho Ardianto</c:v>
                </c:pt>
              </c:strCache>
            </c:strRef>
          </c:tx>
          <c:spPr>
            <a:ln cmpd="sng">
              <a:solidFill>
                <a:srgbClr val="D96941"/>
              </a:solidFill>
            </a:ln>
          </c:spPr>
          <c:marker>
            <c:symbol val="none"/>
          </c:marker>
          <c:cat>
            <c:strRef>
              <c:f>'Weekly TC Team'!$C$141:$C$204</c:f>
              <c:strCache>
                <c:ptCount val="64"/>
                <c:pt idx="0">
                  <c:v>2024</c:v>
                </c:pt>
                <c:pt idx="1">
                  <c:v>Jan-W1</c:v>
                </c:pt>
                <c:pt idx="2">
                  <c:v>Jan-W2</c:v>
                </c:pt>
                <c:pt idx="3">
                  <c:v>Jan-W3</c:v>
                </c:pt>
                <c:pt idx="4">
                  <c:v>Jan-W4</c:v>
                </c:pt>
                <c:pt idx="5">
                  <c:v>Jan-W5</c:v>
                </c:pt>
                <c:pt idx="7">
                  <c:v>Feb-W1</c:v>
                </c:pt>
                <c:pt idx="8">
                  <c:v>Feb-W2</c:v>
                </c:pt>
                <c:pt idx="9">
                  <c:v>Feb-W3</c:v>
                </c:pt>
                <c:pt idx="10">
                  <c:v>Feb-W4</c:v>
                </c:pt>
                <c:pt idx="12">
                  <c:v>Mar-W1</c:v>
                </c:pt>
                <c:pt idx="13">
                  <c:v>Mar-W2</c:v>
                </c:pt>
                <c:pt idx="14">
                  <c:v>Mar-W3</c:v>
                </c:pt>
                <c:pt idx="15">
                  <c:v>Mar-W4</c:v>
                </c:pt>
                <c:pt idx="17">
                  <c:v>Apr-W1</c:v>
                </c:pt>
                <c:pt idx="18">
                  <c:v>Apr-W2</c:v>
                </c:pt>
                <c:pt idx="19">
                  <c:v>Apr-W3</c:v>
                </c:pt>
                <c:pt idx="20">
                  <c:v>Apr-W4</c:v>
                </c:pt>
                <c:pt idx="22">
                  <c:v>May-W1</c:v>
                </c:pt>
                <c:pt idx="23">
                  <c:v>May-W2</c:v>
                </c:pt>
                <c:pt idx="24">
                  <c:v>May-W3</c:v>
                </c:pt>
                <c:pt idx="25">
                  <c:v>May-W4</c:v>
                </c:pt>
                <c:pt idx="26">
                  <c:v>May-W5</c:v>
                </c:pt>
                <c:pt idx="28">
                  <c:v>Jun-W1</c:v>
                </c:pt>
                <c:pt idx="29">
                  <c:v>Jun-W2</c:v>
                </c:pt>
                <c:pt idx="30">
                  <c:v>Jun-W3</c:v>
                </c:pt>
                <c:pt idx="31">
                  <c:v>Jun-W4</c:v>
                </c:pt>
                <c:pt idx="33">
                  <c:v>Jul-W1</c:v>
                </c:pt>
                <c:pt idx="34">
                  <c:v>Jul-W2</c:v>
                </c:pt>
                <c:pt idx="35">
                  <c:v>Jul-W3</c:v>
                </c:pt>
                <c:pt idx="36">
                  <c:v>Jul-W4</c:v>
                </c:pt>
                <c:pt idx="37">
                  <c:v>Jul-W5</c:v>
                </c:pt>
                <c:pt idx="39">
                  <c:v>Aug-W1</c:v>
                </c:pt>
                <c:pt idx="40">
                  <c:v>Aug-W2</c:v>
                </c:pt>
                <c:pt idx="41">
                  <c:v>Aug-W3</c:v>
                </c:pt>
                <c:pt idx="42">
                  <c:v>Aug-W4</c:v>
                </c:pt>
                <c:pt idx="44">
                  <c:v>Sep-W1</c:v>
                </c:pt>
                <c:pt idx="45">
                  <c:v>Sep-W2</c:v>
                </c:pt>
                <c:pt idx="46">
                  <c:v>Sep-W3</c:v>
                </c:pt>
                <c:pt idx="47">
                  <c:v>Sep-W4</c:v>
                </c:pt>
                <c:pt idx="49">
                  <c:v>Oct-W1</c:v>
                </c:pt>
                <c:pt idx="50">
                  <c:v>Oct-W2</c:v>
                </c:pt>
                <c:pt idx="51">
                  <c:v>Oct-W3</c:v>
                </c:pt>
                <c:pt idx="52">
                  <c:v>Oct-W4</c:v>
                </c:pt>
                <c:pt idx="53">
                  <c:v>Oct-W5</c:v>
                </c:pt>
                <c:pt idx="55">
                  <c:v>Nov-W1</c:v>
                </c:pt>
                <c:pt idx="56">
                  <c:v>Nov-W2</c:v>
                </c:pt>
                <c:pt idx="57">
                  <c:v>Nov-W3</c:v>
                </c:pt>
                <c:pt idx="58">
                  <c:v>Nov-W4</c:v>
                </c:pt>
                <c:pt idx="60">
                  <c:v>Dec-W1</c:v>
                </c:pt>
                <c:pt idx="61">
                  <c:v>Dec-W2</c:v>
                </c:pt>
                <c:pt idx="62">
                  <c:v>Dec-W3</c:v>
                </c:pt>
                <c:pt idx="63">
                  <c:v>Dec-W4</c:v>
                </c:pt>
              </c:strCache>
            </c:strRef>
          </c:cat>
          <c:val>
            <c:numRef>
              <c:f>'Weekly TC Team'!$H$141:$H$204</c:f>
              <c:numCache>
                <c:formatCode>General</c:formatCode>
                <c:ptCount val="64"/>
                <c:pt idx="0">
                  <c:v>0</c:v>
                </c:pt>
                <c:pt idx="1">
                  <c:v>0</c:v>
                </c:pt>
                <c:pt idx="2">
                  <c:v>0</c:v>
                </c:pt>
                <c:pt idx="3">
                  <c:v>0</c:v>
                </c:pt>
                <c:pt idx="4">
                  <c:v>0</c:v>
                </c:pt>
                <c:pt idx="5">
                  <c:v>0</c:v>
                </c:pt>
                <c:pt idx="7">
                  <c:v>0</c:v>
                </c:pt>
                <c:pt idx="8">
                  <c:v>0</c:v>
                </c:pt>
                <c:pt idx="9">
                  <c:v>0</c:v>
                </c:pt>
                <c:pt idx="10">
                  <c:v>0</c:v>
                </c:pt>
                <c:pt idx="12">
                  <c:v>0</c:v>
                </c:pt>
                <c:pt idx="13">
                  <c:v>0</c:v>
                </c:pt>
                <c:pt idx="14">
                  <c:v>0</c:v>
                </c:pt>
                <c:pt idx="15">
                  <c:v>0</c:v>
                </c:pt>
                <c:pt idx="17">
                  <c:v>0</c:v>
                </c:pt>
                <c:pt idx="18">
                  <c:v>0</c:v>
                </c:pt>
                <c:pt idx="19">
                  <c:v>0</c:v>
                </c:pt>
                <c:pt idx="20">
                  <c:v>0</c:v>
                </c:pt>
                <c:pt idx="22">
                  <c:v>0</c:v>
                </c:pt>
                <c:pt idx="23">
                  <c:v>0</c:v>
                </c:pt>
                <c:pt idx="24">
                  <c:v>0</c:v>
                </c:pt>
                <c:pt idx="25">
                  <c:v>0</c:v>
                </c:pt>
                <c:pt idx="26">
                  <c:v>0</c:v>
                </c:pt>
                <c:pt idx="28">
                  <c:v>0</c:v>
                </c:pt>
                <c:pt idx="29">
                  <c:v>0</c:v>
                </c:pt>
                <c:pt idx="30">
                  <c:v>0</c:v>
                </c:pt>
                <c:pt idx="31">
                  <c:v>0</c:v>
                </c:pt>
                <c:pt idx="33">
                  <c:v>0</c:v>
                </c:pt>
                <c:pt idx="34">
                  <c:v>0</c:v>
                </c:pt>
                <c:pt idx="35">
                  <c:v>0</c:v>
                </c:pt>
                <c:pt idx="36">
                  <c:v>0</c:v>
                </c:pt>
                <c:pt idx="37">
                  <c:v>0</c:v>
                </c:pt>
                <c:pt idx="39">
                  <c:v>0</c:v>
                </c:pt>
                <c:pt idx="40">
                  <c:v>0</c:v>
                </c:pt>
                <c:pt idx="41">
                  <c:v>0</c:v>
                </c:pt>
                <c:pt idx="42">
                  <c:v>0</c:v>
                </c:pt>
                <c:pt idx="44">
                  <c:v>0</c:v>
                </c:pt>
                <c:pt idx="45">
                  <c:v>0</c:v>
                </c:pt>
                <c:pt idx="46">
                  <c:v>0</c:v>
                </c:pt>
                <c:pt idx="47">
                  <c:v>0</c:v>
                </c:pt>
                <c:pt idx="49">
                  <c:v>0</c:v>
                </c:pt>
                <c:pt idx="50">
                  <c:v>0</c:v>
                </c:pt>
                <c:pt idx="51">
                  <c:v>0</c:v>
                </c:pt>
                <c:pt idx="52">
                  <c:v>0</c:v>
                </c:pt>
                <c:pt idx="53">
                  <c:v>0</c:v>
                </c:pt>
                <c:pt idx="55">
                  <c:v>0</c:v>
                </c:pt>
                <c:pt idx="56">
                  <c:v>0</c:v>
                </c:pt>
                <c:pt idx="57">
                  <c:v>0</c:v>
                </c:pt>
                <c:pt idx="58">
                  <c:v>0</c:v>
                </c:pt>
                <c:pt idx="60">
                  <c:v>0</c:v>
                </c:pt>
                <c:pt idx="61">
                  <c:v>0</c:v>
                </c:pt>
                <c:pt idx="62">
                  <c:v>0</c:v>
                </c:pt>
                <c:pt idx="63">
                  <c:v>0</c:v>
                </c:pt>
              </c:numCache>
            </c:numRef>
          </c:val>
          <c:smooth val="0"/>
          <c:extLst>
            <c:ext xmlns:c16="http://schemas.microsoft.com/office/drawing/2014/chart" uri="{C3380CC4-5D6E-409C-BE32-E72D297353CC}">
              <c16:uniqueId val="{00000004-EF0F-4CE4-B731-DAD64760E8D3}"/>
            </c:ext>
          </c:extLst>
        </c:ser>
        <c:dLbls>
          <c:showLegendKey val="0"/>
          <c:showVal val="0"/>
          <c:showCatName val="0"/>
          <c:showSerName val="0"/>
          <c:showPercent val="0"/>
          <c:showBubbleSize val="0"/>
        </c:dLbls>
        <c:smooth val="0"/>
        <c:axId val="1379158907"/>
        <c:axId val="599952073"/>
      </c:lineChart>
      <c:catAx>
        <c:axId val="1379158907"/>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599952073"/>
        <c:crosses val="autoZero"/>
        <c:auto val="1"/>
        <c:lblAlgn val="ctr"/>
        <c:lblOffset val="100"/>
        <c:noMultiLvlLbl val="1"/>
      </c:catAx>
      <c:valAx>
        <c:axId val="59995207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1379158907"/>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d-ID"/>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'Automation Monitoring (2)'!$F$4:$F$5</c:f>
              <c:strCache>
                <c:ptCount val="2"/>
                <c:pt idx="0">
                  <c:v>Final TC</c:v>
                </c:pt>
              </c:strCache>
            </c:strRef>
          </c:tx>
          <c:dPt>
            <c:idx val="0"/>
            <c:bubble3D val="0"/>
            <c:spPr>
              <a:solidFill>
                <a:schemeClr val="accent1"/>
              </a:solidFill>
            </c:spPr>
            <c:extLst>
              <c:ext xmlns:c16="http://schemas.microsoft.com/office/drawing/2014/chart" uri="{C3380CC4-5D6E-409C-BE32-E72D297353CC}">
                <c16:uniqueId val="{00000001-F814-40F7-89C4-A7940771C0B5}"/>
              </c:ext>
            </c:extLst>
          </c:dPt>
          <c:dPt>
            <c:idx val="1"/>
            <c:bubble3D val="0"/>
            <c:spPr>
              <a:solidFill>
                <a:schemeClr val="accent2"/>
              </a:solidFill>
            </c:spPr>
            <c:extLst>
              <c:ext xmlns:c16="http://schemas.microsoft.com/office/drawing/2014/chart" uri="{C3380CC4-5D6E-409C-BE32-E72D297353CC}">
                <c16:uniqueId val="{00000003-F814-40F7-89C4-A7940771C0B5}"/>
              </c:ext>
            </c:extLst>
          </c:dPt>
          <c:dPt>
            <c:idx val="2"/>
            <c:bubble3D val="0"/>
            <c:spPr>
              <a:solidFill>
                <a:schemeClr val="accent3"/>
              </a:solidFill>
            </c:spPr>
            <c:extLst>
              <c:ext xmlns:c16="http://schemas.microsoft.com/office/drawing/2014/chart" uri="{C3380CC4-5D6E-409C-BE32-E72D297353CC}">
                <c16:uniqueId val="{00000005-F814-40F7-89C4-A7940771C0B5}"/>
              </c:ext>
            </c:extLst>
          </c:dPt>
          <c:dPt>
            <c:idx val="3"/>
            <c:bubble3D val="0"/>
            <c:spPr>
              <a:solidFill>
                <a:srgbClr val="1F2531"/>
              </a:solidFill>
            </c:spPr>
            <c:extLst>
              <c:ext xmlns:c16="http://schemas.microsoft.com/office/drawing/2014/chart" uri="{C3380CC4-5D6E-409C-BE32-E72D297353CC}">
                <c16:uniqueId val="{00000007-F814-40F7-89C4-A7940771C0B5}"/>
              </c:ext>
            </c:extLst>
          </c:dPt>
          <c:dPt>
            <c:idx val="4"/>
            <c:bubble3D val="0"/>
            <c:spPr>
              <a:solidFill>
                <a:srgbClr val="06457C"/>
              </a:solidFill>
            </c:spPr>
            <c:extLst>
              <c:ext xmlns:c16="http://schemas.microsoft.com/office/drawing/2014/chart" uri="{C3380CC4-5D6E-409C-BE32-E72D297353CC}">
                <c16:uniqueId val="{00000009-F814-40F7-89C4-A7940771C0B5}"/>
              </c:ext>
            </c:extLst>
          </c:dPt>
          <c:dPt>
            <c:idx val="5"/>
            <c:bubble3D val="0"/>
            <c:spPr>
              <a:solidFill>
                <a:srgbClr val="124A5E"/>
              </a:solidFill>
            </c:spPr>
            <c:extLst>
              <c:ext xmlns:c16="http://schemas.microsoft.com/office/drawing/2014/chart" uri="{C3380CC4-5D6E-409C-BE32-E72D297353CC}">
                <c16:uniqueId val="{0000000B-F814-40F7-89C4-A7940771C0B5}"/>
              </c:ext>
            </c:extLst>
          </c:dPt>
          <c:dPt>
            <c:idx val="6"/>
            <c:bubble3D val="0"/>
            <c:spPr>
              <a:solidFill>
                <a:srgbClr val="354206"/>
              </a:solidFill>
            </c:spPr>
            <c:extLst>
              <c:ext xmlns:c16="http://schemas.microsoft.com/office/drawing/2014/chart" uri="{C3380CC4-5D6E-409C-BE32-E72D297353CC}">
                <c16:uniqueId val="{0000000D-F814-40F7-89C4-A7940771C0B5}"/>
              </c:ext>
            </c:extLst>
          </c:dPt>
          <c:dPt>
            <c:idx val="7"/>
            <c:bubble3D val="0"/>
            <c:spPr>
              <a:solidFill>
                <a:srgbClr val="971D29"/>
              </a:solidFill>
            </c:spPr>
            <c:extLst>
              <c:ext xmlns:c16="http://schemas.microsoft.com/office/drawing/2014/chart" uri="{C3380CC4-5D6E-409C-BE32-E72D297353CC}">
                <c16:uniqueId val="{0000000F-F814-40F7-89C4-A7940771C0B5}"/>
              </c:ext>
            </c:extLst>
          </c:dPt>
          <c:dPt>
            <c:idx val="8"/>
            <c:bubble3D val="0"/>
            <c:spPr>
              <a:solidFill>
                <a:srgbClr val="0D0980"/>
              </a:solidFill>
            </c:spPr>
            <c:extLst>
              <c:ext xmlns:c16="http://schemas.microsoft.com/office/drawing/2014/chart" uri="{C3380CC4-5D6E-409C-BE32-E72D297353CC}">
                <c16:uniqueId val="{00000011-F814-40F7-89C4-A7940771C0B5}"/>
              </c:ext>
            </c:extLst>
          </c:dPt>
          <c:dPt>
            <c:idx val="9"/>
            <c:bubble3D val="0"/>
            <c:spPr>
              <a:solidFill>
                <a:srgbClr val="323C4F"/>
              </a:solidFill>
            </c:spPr>
            <c:extLst>
              <c:ext xmlns:c16="http://schemas.microsoft.com/office/drawing/2014/chart" uri="{C3380CC4-5D6E-409C-BE32-E72D297353CC}">
                <c16:uniqueId val="{00000013-F814-40F7-89C4-A7940771C0B5}"/>
              </c:ext>
            </c:extLst>
          </c:dPt>
          <c:dPt>
            <c:idx val="10"/>
            <c:bubble3D val="0"/>
            <c:spPr>
              <a:solidFill>
                <a:srgbClr val="1811E0"/>
              </a:solidFill>
            </c:spPr>
            <c:extLst>
              <c:ext xmlns:c16="http://schemas.microsoft.com/office/drawing/2014/chart" uri="{C3380CC4-5D6E-409C-BE32-E72D297353CC}">
                <c16:uniqueId val="{00000015-F814-40F7-89C4-A7940771C0B5}"/>
              </c:ext>
            </c:extLst>
          </c:dPt>
          <c:dPt>
            <c:idx val="11"/>
            <c:bubble3D val="0"/>
            <c:spPr>
              <a:solidFill>
                <a:srgbClr val="59698B"/>
              </a:solidFill>
            </c:spPr>
            <c:extLst>
              <c:ext xmlns:c16="http://schemas.microsoft.com/office/drawing/2014/chart" uri="{C3380CC4-5D6E-409C-BE32-E72D297353CC}">
                <c16:uniqueId val="{00000017-F814-40F7-89C4-A7940771C0B5}"/>
              </c:ext>
            </c:extLst>
          </c:dPt>
          <c:dPt>
            <c:idx val="12"/>
            <c:bubble3D val="0"/>
            <c:spPr>
              <a:solidFill>
                <a:srgbClr val="34D109"/>
              </a:solidFill>
            </c:spPr>
            <c:extLst>
              <c:ext xmlns:c16="http://schemas.microsoft.com/office/drawing/2014/chart" uri="{C3380CC4-5D6E-409C-BE32-E72D297353CC}">
                <c16:uniqueId val="{00000019-F814-40F7-89C4-A7940771C0B5}"/>
              </c:ext>
            </c:extLst>
          </c:dPt>
          <c:dPt>
            <c:idx val="13"/>
            <c:bubble3D val="0"/>
            <c:spPr>
              <a:solidFill>
                <a:srgbClr val="96BB11"/>
              </a:solidFill>
            </c:spPr>
            <c:extLst>
              <c:ext xmlns:c16="http://schemas.microsoft.com/office/drawing/2014/chart" uri="{C3380CC4-5D6E-409C-BE32-E72D297353CC}">
                <c16:uniqueId val="{0000001B-F814-40F7-89C4-A7940771C0B5}"/>
              </c:ext>
            </c:extLst>
          </c:dPt>
          <c:dPt>
            <c:idx val="14"/>
            <c:bubble3D val="0"/>
            <c:spPr>
              <a:solidFill>
                <a:srgbClr val="424059"/>
              </a:solidFill>
            </c:spPr>
            <c:extLst>
              <c:ext xmlns:c16="http://schemas.microsoft.com/office/drawing/2014/chart" uri="{C3380CC4-5D6E-409C-BE32-E72D297353CC}">
                <c16:uniqueId val="{0000001D-F814-40F7-89C4-A7940771C0B5}"/>
              </c:ext>
            </c:extLst>
          </c:dPt>
          <c:dPt>
            <c:idx val="15"/>
            <c:bubble3D val="0"/>
            <c:spPr>
              <a:solidFill>
                <a:srgbClr val="1E1511"/>
              </a:solidFill>
            </c:spPr>
            <c:extLst>
              <c:ext xmlns:c16="http://schemas.microsoft.com/office/drawing/2014/chart" uri="{C3380CC4-5D6E-409C-BE32-E72D297353CC}">
                <c16:uniqueId val="{0000001F-F814-40F7-89C4-A7940771C0B5}"/>
              </c:ext>
            </c:extLst>
          </c:dPt>
          <c:dPt>
            <c:idx val="16"/>
            <c:bubble3D val="0"/>
            <c:spPr>
              <a:solidFill>
                <a:srgbClr val="6C80A9"/>
              </a:solidFill>
            </c:spPr>
            <c:extLst>
              <c:ext xmlns:c16="http://schemas.microsoft.com/office/drawing/2014/chart" uri="{C3380CC4-5D6E-409C-BE32-E72D297353CC}">
                <c16:uniqueId val="{00000021-F814-40F7-89C4-A7940771C0B5}"/>
              </c:ext>
            </c:extLst>
          </c:dPt>
          <c:dPt>
            <c:idx val="17"/>
            <c:bubble3D val="0"/>
            <c:spPr>
              <a:solidFill>
                <a:srgbClr val="15EBA8"/>
              </a:solidFill>
            </c:spPr>
            <c:extLst>
              <c:ext xmlns:c16="http://schemas.microsoft.com/office/drawing/2014/chart" uri="{C3380CC4-5D6E-409C-BE32-E72D297353CC}">
                <c16:uniqueId val="{00000023-F814-40F7-89C4-A7940771C0B5}"/>
              </c:ext>
            </c:extLst>
          </c:dPt>
          <c:dPt>
            <c:idx val="18"/>
            <c:bubble3D val="0"/>
            <c:spPr>
              <a:solidFill>
                <a:srgbClr val="40FE42"/>
              </a:solidFill>
            </c:spPr>
            <c:extLst>
              <c:ext xmlns:c16="http://schemas.microsoft.com/office/drawing/2014/chart" uri="{C3380CC4-5D6E-409C-BE32-E72D297353CC}">
                <c16:uniqueId val="{00000025-F814-40F7-89C4-A7940771C0B5}"/>
              </c:ext>
            </c:extLst>
          </c:dPt>
          <c:dPt>
            <c:idx val="19"/>
            <c:bubble3D val="0"/>
            <c:spPr>
              <a:solidFill>
                <a:srgbClr val="B7E315"/>
              </a:solidFill>
            </c:spPr>
            <c:extLst>
              <c:ext xmlns:c16="http://schemas.microsoft.com/office/drawing/2014/chart" uri="{C3380CC4-5D6E-409C-BE32-E72D297353CC}">
                <c16:uniqueId val="{00000027-F814-40F7-89C4-A7940771C0B5}"/>
              </c:ext>
            </c:extLst>
          </c:dPt>
          <c:dPt>
            <c:idx val="20"/>
            <c:bubble3D val="0"/>
            <c:spPr>
              <a:solidFill>
                <a:srgbClr val="7B4B69"/>
              </a:solidFill>
            </c:spPr>
            <c:extLst>
              <c:ext xmlns:c16="http://schemas.microsoft.com/office/drawing/2014/chart" uri="{C3380CC4-5D6E-409C-BE32-E72D297353CC}">
                <c16:uniqueId val="{00000029-F814-40F7-89C4-A7940771C0B5}"/>
              </c:ext>
            </c:extLst>
          </c:dPt>
          <c:dPt>
            <c:idx val="21"/>
            <c:bubble3D val="0"/>
            <c:spPr>
              <a:solidFill>
                <a:srgbClr val="231941"/>
              </a:solidFill>
            </c:spPr>
            <c:extLst>
              <c:ext xmlns:c16="http://schemas.microsoft.com/office/drawing/2014/chart" uri="{C3380CC4-5D6E-409C-BE32-E72D297353CC}">
                <c16:uniqueId val="{0000002B-F814-40F7-89C4-A7940771C0B5}"/>
              </c:ext>
            </c:extLst>
          </c:dPt>
          <c:dPt>
            <c:idx val="22"/>
            <c:bubble3D val="0"/>
            <c:spPr>
              <a:solidFill>
                <a:srgbClr val="7F97C7"/>
              </a:solidFill>
            </c:spPr>
            <c:extLst>
              <c:ext xmlns:c16="http://schemas.microsoft.com/office/drawing/2014/chart" uri="{C3380CC4-5D6E-409C-BE32-E72D297353CC}">
                <c16:uniqueId val="{0000002D-F814-40F7-89C4-A7940771C0B5}"/>
              </c:ext>
            </c:extLst>
          </c:dPt>
          <c:dPt>
            <c:idx val="23"/>
            <c:bubble3D val="0"/>
            <c:spPr>
              <a:solidFill>
                <a:srgbClr val="1915F3"/>
              </a:solidFill>
            </c:spPr>
            <c:extLst>
              <c:ext xmlns:c16="http://schemas.microsoft.com/office/drawing/2014/chart" uri="{C3380CC4-5D6E-409C-BE32-E72D297353CC}">
                <c16:uniqueId val="{0000002F-F814-40F7-89C4-A7940771C0B5}"/>
              </c:ext>
            </c:extLst>
          </c:dPt>
          <c:dPt>
            <c:idx val="24"/>
            <c:bubble3D val="0"/>
            <c:spPr>
              <a:solidFill>
                <a:srgbClr val="4B2B7B"/>
              </a:solidFill>
            </c:spPr>
            <c:extLst>
              <c:ext xmlns:c16="http://schemas.microsoft.com/office/drawing/2014/chart" uri="{C3380CC4-5D6E-409C-BE32-E72D297353CC}">
                <c16:uniqueId val="{00000031-F814-40F7-89C4-A7940771C0B5}"/>
              </c:ext>
            </c:extLst>
          </c:dPt>
          <c:dPt>
            <c:idx val="25"/>
            <c:bubble3D val="0"/>
            <c:spPr>
              <a:solidFill>
                <a:srgbClr val="D70B19"/>
              </a:solidFill>
            </c:spPr>
            <c:extLst>
              <c:ext xmlns:c16="http://schemas.microsoft.com/office/drawing/2014/chart" uri="{C3380CC4-5D6E-409C-BE32-E72D297353CC}">
                <c16:uniqueId val="{00000033-F814-40F7-89C4-A7940771C0B5}"/>
              </c:ext>
            </c:extLst>
          </c:dPt>
          <c:dPt>
            <c:idx val="26"/>
            <c:bubble3D val="0"/>
            <c:spPr>
              <a:solidFill>
                <a:srgbClr val="B45679"/>
              </a:solidFill>
            </c:spPr>
            <c:extLst>
              <c:ext xmlns:c16="http://schemas.microsoft.com/office/drawing/2014/chart" uri="{C3380CC4-5D6E-409C-BE32-E72D297353CC}">
                <c16:uniqueId val="{00000035-F814-40F7-89C4-A7940771C0B5}"/>
              </c:ext>
            </c:extLst>
          </c:dPt>
          <c:cat>
            <c:strRef>
              <c:f>'Automation Monitoring (2)'!$D$6:$D$32</c:f>
              <c:strCache>
                <c:ptCount val="27"/>
                <c:pt idx="0">
                  <c:v>Integrated &amp; Centralized Online System (ICONS)-Poseidon</c:v>
                </c:pt>
                <c:pt idx="1">
                  <c:v>SMS Banking-Mobile SMS Menu (Android)</c:v>
                </c:pt>
                <c:pt idx="2">
                  <c:v>SMS Banking-Mobile SMS Menu (iOS)</c:v>
                </c:pt>
                <c:pt idx="3">
                  <c:v>DigIMS</c:v>
                </c:pt>
                <c:pt idx="4">
                  <c:v>Digisales-Portal (4B)</c:v>
                </c:pt>
                <c:pt idx="5">
                  <c:v>Digisales-Generalis Mobile Browser (4B)</c:v>
                </c:pt>
                <c:pt idx="6">
                  <c:v>Digisales-Generalis Mobile APK (4B)</c:v>
                </c:pt>
                <c:pt idx="7">
                  <c:v>Digisales-FTE Mobile Browser (4B)</c:v>
                </c:pt>
                <c:pt idx="8">
                  <c:v>Digisales-FTE Mobile APK (4B)</c:v>
                </c:pt>
                <c:pt idx="9">
                  <c:v>Smart VA-Portal</c:v>
                </c:pt>
                <c:pt idx="10">
                  <c:v>API Management-API Gateway</c:v>
                </c:pt>
                <c:pt idx="11">
                  <c:v>CX COMM</c:v>
                </c:pt>
                <c:pt idx="12">
                  <c:v>Digisales-Portal (5B)</c:v>
                </c:pt>
                <c:pt idx="13">
                  <c:v>Digisales-Generalis Mobile Browser (5B)</c:v>
                </c:pt>
                <c:pt idx="14">
                  <c:v>Digisales-Generalis Mobile APK (5B)</c:v>
                </c:pt>
                <c:pt idx="15">
                  <c:v>Digisales-FTE Mobile Browser (5B)</c:v>
                </c:pt>
                <c:pt idx="16">
                  <c:v>Digisales-FTE Mobile APK (5B)</c:v>
                </c:pt>
                <c:pt idx="17">
                  <c:v>Digisales-Sales Farmer Mobile APK (5B)</c:v>
                </c:pt>
                <c:pt idx="18">
                  <c:v>Digisales-Sales Farmer Mobile Browser (5B)</c:v>
                </c:pt>
                <c:pt idx="19">
                  <c:v>Digisales-Portal (6C)</c:v>
                </c:pt>
                <c:pt idx="20">
                  <c:v>Digisales-Portal (6D)</c:v>
                </c:pt>
                <c:pt idx="21">
                  <c:v>Digisales-Portal (7A)</c:v>
                </c:pt>
                <c:pt idx="22">
                  <c:v>BNI Direct FSCM</c:v>
                </c:pt>
                <c:pt idx="23">
                  <c:v>BNI Direct Bisnis</c:v>
                </c:pt>
                <c:pt idx="24">
                  <c:v>Digisales-Portal (7B)</c:v>
                </c:pt>
                <c:pt idx="25">
                  <c:v>BNI Direct Cash</c:v>
                </c:pt>
                <c:pt idx="26">
                  <c:v>SWMP / Direct Mobile</c:v>
                </c:pt>
              </c:strCache>
            </c:strRef>
          </c:cat>
          <c:val>
            <c:numRef>
              <c:f>'Automation Monitoring (2)'!$F$6:$F$32</c:f>
              <c:numCache>
                <c:formatCode>General</c:formatCode>
                <c:ptCount val="27"/>
                <c:pt idx="0">
                  <c:v>1554</c:v>
                </c:pt>
                <c:pt idx="1">
                  <c:v>780</c:v>
                </c:pt>
                <c:pt idx="2">
                  <c:v>780</c:v>
                </c:pt>
                <c:pt idx="3">
                  <c:v>1137</c:v>
                </c:pt>
                <c:pt idx="4">
                  <c:v>47</c:v>
                </c:pt>
                <c:pt idx="5">
                  <c:v>47</c:v>
                </c:pt>
                <c:pt idx="6">
                  <c:v>47</c:v>
                </c:pt>
                <c:pt idx="7">
                  <c:v>257</c:v>
                </c:pt>
                <c:pt idx="8">
                  <c:v>257</c:v>
                </c:pt>
                <c:pt idx="9">
                  <c:v>629</c:v>
                </c:pt>
                <c:pt idx="10">
                  <c:v>658</c:v>
                </c:pt>
                <c:pt idx="11">
                  <c:v>329</c:v>
                </c:pt>
                <c:pt idx="12">
                  <c:v>137</c:v>
                </c:pt>
                <c:pt idx="13">
                  <c:v>227</c:v>
                </c:pt>
                <c:pt idx="14">
                  <c:v>232</c:v>
                </c:pt>
                <c:pt idx="15">
                  <c:v>272</c:v>
                </c:pt>
                <c:pt idx="16">
                  <c:v>299</c:v>
                </c:pt>
                <c:pt idx="17">
                  <c:v>259</c:v>
                </c:pt>
                <c:pt idx="18">
                  <c:v>259</c:v>
                </c:pt>
                <c:pt idx="19">
                  <c:v>134</c:v>
                </c:pt>
                <c:pt idx="20">
                  <c:v>98</c:v>
                </c:pt>
                <c:pt idx="21">
                  <c:v>37</c:v>
                </c:pt>
                <c:pt idx="22">
                  <c:v>125</c:v>
                </c:pt>
                <c:pt idx="23">
                  <c:v>2168</c:v>
                </c:pt>
                <c:pt idx="24">
                  <c:v>228</c:v>
                </c:pt>
                <c:pt idx="25">
                  <c:v>7852</c:v>
                </c:pt>
                <c:pt idx="26">
                  <c:v>102</c:v>
                </c:pt>
              </c:numCache>
            </c:numRef>
          </c:val>
          <c:extLst>
            <c:ext xmlns:c16="http://schemas.microsoft.com/office/drawing/2014/chart" uri="{C3380CC4-5D6E-409C-BE32-E72D297353CC}">
              <c16:uniqueId val="{00000086-F814-40F7-89C4-A7940771C0B5}"/>
            </c:ext>
          </c:extLst>
        </c:ser>
        <c:dLbls>
          <c:showLegendKey val="0"/>
          <c:showVal val="0"/>
          <c:showCatName val="0"/>
          <c:showSerName val="0"/>
          <c:showPercent val="0"/>
          <c:showBubbleSize val="0"/>
          <c:showLeaderLines val="1"/>
        </c:dLbls>
        <c:firstSliceAng val="0"/>
        <c:holeSize val="50"/>
      </c:doughnutChart>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d-ID"/>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'Automation Monitoring (2)'!$AY$4:$AY$5</c:f>
              <c:strCache>
                <c:ptCount val="2"/>
                <c:pt idx="0">
                  <c:v>Done Running</c:v>
                </c:pt>
                <c:pt idx="1">
                  <c:v>TC</c:v>
                </c:pt>
              </c:strCache>
            </c:strRef>
          </c:tx>
          <c:dPt>
            <c:idx val="0"/>
            <c:bubble3D val="0"/>
            <c:spPr>
              <a:solidFill>
                <a:srgbClr val="7AE4DA"/>
              </a:solidFill>
            </c:spPr>
            <c:extLst>
              <c:ext xmlns:c16="http://schemas.microsoft.com/office/drawing/2014/chart" uri="{C3380CC4-5D6E-409C-BE32-E72D297353CC}">
                <c16:uniqueId val="{00000001-C2BD-4E74-BA78-14F87465200A}"/>
              </c:ext>
            </c:extLst>
          </c:dPt>
          <c:dPt>
            <c:idx val="1"/>
            <c:bubble3D val="0"/>
            <c:spPr>
              <a:solidFill>
                <a:srgbClr val="FDFEEF"/>
              </a:solidFill>
            </c:spPr>
            <c:extLst>
              <c:ext xmlns:c16="http://schemas.microsoft.com/office/drawing/2014/chart" uri="{C3380CC4-5D6E-409C-BE32-E72D297353CC}">
                <c16:uniqueId val="{00000003-C2BD-4E74-BA78-14F87465200A}"/>
              </c:ext>
            </c:extLst>
          </c:dPt>
          <c:dPt>
            <c:idx val="2"/>
            <c:bubble3D val="0"/>
            <c:spPr>
              <a:solidFill>
                <a:srgbClr val="F9F7F5"/>
              </a:solidFill>
            </c:spPr>
            <c:extLst>
              <c:ext xmlns:c16="http://schemas.microsoft.com/office/drawing/2014/chart" uri="{C3380CC4-5D6E-409C-BE32-E72D297353CC}">
                <c16:uniqueId val="{00000005-C2BD-4E74-BA78-14F87465200A}"/>
              </c:ext>
            </c:extLst>
          </c:dPt>
          <c:dPt>
            <c:idx val="3"/>
            <c:bubble3D val="0"/>
            <c:extLst>
              <c:ext xmlns:c16="http://schemas.microsoft.com/office/drawing/2014/chart" uri="{C3380CC4-5D6E-409C-BE32-E72D297353CC}">
                <c16:uniqueId val="{00000007-C2BD-4E74-BA78-14F87465200A}"/>
              </c:ext>
            </c:extLst>
          </c:dPt>
          <c:dPt>
            <c:idx val="4"/>
            <c:bubble3D val="0"/>
            <c:extLst>
              <c:ext xmlns:c16="http://schemas.microsoft.com/office/drawing/2014/chart" uri="{C3380CC4-5D6E-409C-BE32-E72D297353CC}">
                <c16:uniqueId val="{00000009-C2BD-4E74-BA78-14F87465200A}"/>
              </c:ext>
            </c:extLst>
          </c:dPt>
          <c:dPt>
            <c:idx val="5"/>
            <c:bubble3D val="0"/>
            <c:extLst>
              <c:ext xmlns:c16="http://schemas.microsoft.com/office/drawing/2014/chart" uri="{C3380CC4-5D6E-409C-BE32-E72D297353CC}">
                <c16:uniqueId val="{0000000B-C2BD-4E74-BA78-14F87465200A}"/>
              </c:ext>
            </c:extLst>
          </c:dPt>
          <c:dPt>
            <c:idx val="6"/>
            <c:bubble3D val="0"/>
            <c:extLst>
              <c:ext xmlns:c16="http://schemas.microsoft.com/office/drawing/2014/chart" uri="{C3380CC4-5D6E-409C-BE32-E72D297353CC}">
                <c16:uniqueId val="{0000000D-C2BD-4E74-BA78-14F87465200A}"/>
              </c:ext>
            </c:extLst>
          </c:dPt>
          <c:dPt>
            <c:idx val="7"/>
            <c:bubble3D val="0"/>
            <c:extLst>
              <c:ext xmlns:c16="http://schemas.microsoft.com/office/drawing/2014/chart" uri="{C3380CC4-5D6E-409C-BE32-E72D297353CC}">
                <c16:uniqueId val="{0000000F-C2BD-4E74-BA78-14F87465200A}"/>
              </c:ext>
            </c:extLst>
          </c:dPt>
          <c:dPt>
            <c:idx val="8"/>
            <c:bubble3D val="0"/>
            <c:extLst>
              <c:ext xmlns:c16="http://schemas.microsoft.com/office/drawing/2014/chart" uri="{C3380CC4-5D6E-409C-BE32-E72D297353CC}">
                <c16:uniqueId val="{00000011-C2BD-4E74-BA78-14F87465200A}"/>
              </c:ext>
            </c:extLst>
          </c:dPt>
          <c:dPt>
            <c:idx val="9"/>
            <c:bubble3D val="0"/>
            <c:extLst>
              <c:ext xmlns:c16="http://schemas.microsoft.com/office/drawing/2014/chart" uri="{C3380CC4-5D6E-409C-BE32-E72D297353CC}">
                <c16:uniqueId val="{00000013-C2BD-4E74-BA78-14F87465200A}"/>
              </c:ext>
            </c:extLst>
          </c:dPt>
          <c:dPt>
            <c:idx val="10"/>
            <c:bubble3D val="0"/>
            <c:extLst>
              <c:ext xmlns:c16="http://schemas.microsoft.com/office/drawing/2014/chart" uri="{C3380CC4-5D6E-409C-BE32-E72D297353CC}">
                <c16:uniqueId val="{00000015-C2BD-4E74-BA78-14F87465200A}"/>
              </c:ext>
            </c:extLst>
          </c:dPt>
          <c:dPt>
            <c:idx val="11"/>
            <c:bubble3D val="0"/>
            <c:extLst>
              <c:ext xmlns:c16="http://schemas.microsoft.com/office/drawing/2014/chart" uri="{C3380CC4-5D6E-409C-BE32-E72D297353CC}">
                <c16:uniqueId val="{00000017-C2BD-4E74-BA78-14F87465200A}"/>
              </c:ext>
            </c:extLst>
          </c:dPt>
          <c:dPt>
            <c:idx val="12"/>
            <c:bubble3D val="0"/>
            <c:extLst>
              <c:ext xmlns:c16="http://schemas.microsoft.com/office/drawing/2014/chart" uri="{C3380CC4-5D6E-409C-BE32-E72D297353CC}">
                <c16:uniqueId val="{00000019-C2BD-4E74-BA78-14F87465200A}"/>
              </c:ext>
            </c:extLst>
          </c:dPt>
          <c:dPt>
            <c:idx val="13"/>
            <c:bubble3D val="0"/>
            <c:extLst>
              <c:ext xmlns:c16="http://schemas.microsoft.com/office/drawing/2014/chart" uri="{C3380CC4-5D6E-409C-BE32-E72D297353CC}">
                <c16:uniqueId val="{0000001B-C2BD-4E74-BA78-14F87465200A}"/>
              </c:ext>
            </c:extLst>
          </c:dPt>
          <c:dPt>
            <c:idx val="14"/>
            <c:bubble3D val="0"/>
            <c:extLst>
              <c:ext xmlns:c16="http://schemas.microsoft.com/office/drawing/2014/chart" uri="{C3380CC4-5D6E-409C-BE32-E72D297353CC}">
                <c16:uniqueId val="{0000001D-C2BD-4E74-BA78-14F87465200A}"/>
              </c:ext>
            </c:extLst>
          </c:dPt>
          <c:dPt>
            <c:idx val="15"/>
            <c:bubble3D val="0"/>
            <c:extLst>
              <c:ext xmlns:c16="http://schemas.microsoft.com/office/drawing/2014/chart" uri="{C3380CC4-5D6E-409C-BE32-E72D297353CC}">
                <c16:uniqueId val="{0000001F-C2BD-4E74-BA78-14F87465200A}"/>
              </c:ext>
            </c:extLst>
          </c:dPt>
          <c:dPt>
            <c:idx val="16"/>
            <c:bubble3D val="0"/>
            <c:extLst>
              <c:ext xmlns:c16="http://schemas.microsoft.com/office/drawing/2014/chart" uri="{C3380CC4-5D6E-409C-BE32-E72D297353CC}">
                <c16:uniqueId val="{00000021-C2BD-4E74-BA78-14F87465200A}"/>
              </c:ext>
            </c:extLst>
          </c:dPt>
          <c:dPt>
            <c:idx val="17"/>
            <c:bubble3D val="0"/>
            <c:extLst>
              <c:ext xmlns:c16="http://schemas.microsoft.com/office/drawing/2014/chart" uri="{C3380CC4-5D6E-409C-BE32-E72D297353CC}">
                <c16:uniqueId val="{00000023-C2BD-4E74-BA78-14F87465200A}"/>
              </c:ext>
            </c:extLst>
          </c:dPt>
          <c:dPt>
            <c:idx val="18"/>
            <c:bubble3D val="0"/>
            <c:extLst>
              <c:ext xmlns:c16="http://schemas.microsoft.com/office/drawing/2014/chart" uri="{C3380CC4-5D6E-409C-BE32-E72D297353CC}">
                <c16:uniqueId val="{00000025-C2BD-4E74-BA78-14F87465200A}"/>
              </c:ext>
            </c:extLst>
          </c:dPt>
          <c:dPt>
            <c:idx val="19"/>
            <c:bubble3D val="0"/>
            <c:extLst>
              <c:ext xmlns:c16="http://schemas.microsoft.com/office/drawing/2014/chart" uri="{C3380CC4-5D6E-409C-BE32-E72D297353CC}">
                <c16:uniqueId val="{00000027-C2BD-4E74-BA78-14F87465200A}"/>
              </c:ext>
            </c:extLst>
          </c:dPt>
          <c:dPt>
            <c:idx val="20"/>
            <c:bubble3D val="0"/>
            <c:extLst>
              <c:ext xmlns:c16="http://schemas.microsoft.com/office/drawing/2014/chart" uri="{C3380CC4-5D6E-409C-BE32-E72D297353CC}">
                <c16:uniqueId val="{00000029-C2BD-4E74-BA78-14F87465200A}"/>
              </c:ext>
            </c:extLst>
          </c:dPt>
          <c:dPt>
            <c:idx val="21"/>
            <c:bubble3D val="0"/>
            <c:extLst>
              <c:ext xmlns:c16="http://schemas.microsoft.com/office/drawing/2014/chart" uri="{C3380CC4-5D6E-409C-BE32-E72D297353CC}">
                <c16:uniqueId val="{0000002B-C2BD-4E74-BA78-14F87465200A}"/>
              </c:ext>
            </c:extLst>
          </c:dPt>
          <c:dPt>
            <c:idx val="22"/>
            <c:bubble3D val="0"/>
            <c:extLst>
              <c:ext xmlns:c16="http://schemas.microsoft.com/office/drawing/2014/chart" uri="{C3380CC4-5D6E-409C-BE32-E72D297353CC}">
                <c16:uniqueId val="{0000002D-C2BD-4E74-BA78-14F87465200A}"/>
              </c:ext>
            </c:extLst>
          </c:dPt>
          <c:dPt>
            <c:idx val="23"/>
            <c:bubble3D val="0"/>
            <c:extLst>
              <c:ext xmlns:c16="http://schemas.microsoft.com/office/drawing/2014/chart" uri="{C3380CC4-5D6E-409C-BE32-E72D297353CC}">
                <c16:uniqueId val="{0000002F-C2BD-4E74-BA78-14F87465200A}"/>
              </c:ext>
            </c:extLst>
          </c:dPt>
          <c:dPt>
            <c:idx val="24"/>
            <c:bubble3D val="0"/>
            <c:extLst>
              <c:ext xmlns:c16="http://schemas.microsoft.com/office/drawing/2014/chart" uri="{C3380CC4-5D6E-409C-BE32-E72D297353CC}">
                <c16:uniqueId val="{00000031-C2BD-4E74-BA78-14F87465200A}"/>
              </c:ext>
            </c:extLst>
          </c:dPt>
          <c:dPt>
            <c:idx val="25"/>
            <c:bubble3D val="0"/>
            <c:extLst>
              <c:ext xmlns:c16="http://schemas.microsoft.com/office/drawing/2014/chart" uri="{C3380CC4-5D6E-409C-BE32-E72D297353CC}">
                <c16:uniqueId val="{00000032-C2BD-4E74-BA78-14F87465200A}"/>
              </c:ext>
            </c:extLst>
          </c:dPt>
          <c:dPt>
            <c:idx val="26"/>
            <c:bubble3D val="0"/>
            <c:extLst>
              <c:ext xmlns:c16="http://schemas.microsoft.com/office/drawing/2014/chart" uri="{C3380CC4-5D6E-409C-BE32-E72D297353CC}">
                <c16:uniqueId val="{00000033-C2BD-4E74-BA78-14F87465200A}"/>
              </c:ext>
            </c:extLst>
          </c:dPt>
          <c:dPt>
            <c:idx val="27"/>
            <c:bubble3D val="0"/>
            <c:extLst>
              <c:ext xmlns:c16="http://schemas.microsoft.com/office/drawing/2014/chart" uri="{C3380CC4-5D6E-409C-BE32-E72D297353CC}">
                <c16:uniqueId val="{00000034-C2BD-4E74-BA78-14F87465200A}"/>
              </c:ext>
            </c:extLst>
          </c:dPt>
          <c:dPt>
            <c:idx val="28"/>
            <c:bubble3D val="0"/>
            <c:extLst>
              <c:ext xmlns:c16="http://schemas.microsoft.com/office/drawing/2014/chart" uri="{C3380CC4-5D6E-409C-BE32-E72D297353CC}">
                <c16:uniqueId val="{00000035-C2BD-4E74-BA78-14F87465200A}"/>
              </c:ext>
            </c:extLst>
          </c:dPt>
          <c:dPt>
            <c:idx val="29"/>
            <c:bubble3D val="0"/>
            <c:extLst>
              <c:ext xmlns:c16="http://schemas.microsoft.com/office/drawing/2014/chart" uri="{C3380CC4-5D6E-409C-BE32-E72D297353CC}">
                <c16:uniqueId val="{00000036-C2BD-4E74-BA78-14F87465200A}"/>
              </c:ext>
            </c:extLst>
          </c:dPt>
          <c:dPt>
            <c:idx val="30"/>
            <c:bubble3D val="0"/>
            <c:extLst>
              <c:ext xmlns:c16="http://schemas.microsoft.com/office/drawing/2014/chart" uri="{C3380CC4-5D6E-409C-BE32-E72D297353CC}">
                <c16:uniqueId val="{00000037-C2BD-4E74-BA78-14F87465200A}"/>
              </c:ext>
            </c:extLst>
          </c:dPt>
          <c:dPt>
            <c:idx val="31"/>
            <c:bubble3D val="0"/>
            <c:extLst>
              <c:ext xmlns:c16="http://schemas.microsoft.com/office/drawing/2014/chart" uri="{C3380CC4-5D6E-409C-BE32-E72D297353CC}">
                <c16:uniqueId val="{00000038-C2BD-4E74-BA78-14F87465200A}"/>
              </c:ext>
            </c:extLst>
          </c:dPt>
          <c:dPt>
            <c:idx val="32"/>
            <c:bubble3D val="0"/>
            <c:extLst>
              <c:ext xmlns:c16="http://schemas.microsoft.com/office/drawing/2014/chart" uri="{C3380CC4-5D6E-409C-BE32-E72D297353CC}">
                <c16:uniqueId val="{00000039-C2BD-4E74-BA78-14F87465200A}"/>
              </c:ext>
            </c:extLst>
          </c:dPt>
          <c:dPt>
            <c:idx val="33"/>
            <c:bubble3D val="0"/>
            <c:extLst>
              <c:ext xmlns:c16="http://schemas.microsoft.com/office/drawing/2014/chart" uri="{C3380CC4-5D6E-409C-BE32-E72D297353CC}">
                <c16:uniqueId val="{0000003A-C2BD-4E74-BA78-14F87465200A}"/>
              </c:ext>
            </c:extLst>
          </c:dPt>
          <c:dPt>
            <c:idx val="34"/>
            <c:bubble3D val="0"/>
            <c:extLst>
              <c:ext xmlns:c16="http://schemas.microsoft.com/office/drawing/2014/chart" uri="{C3380CC4-5D6E-409C-BE32-E72D297353CC}">
                <c16:uniqueId val="{0000003B-C2BD-4E74-BA78-14F87465200A}"/>
              </c:ext>
            </c:extLst>
          </c:dPt>
          <c:dPt>
            <c:idx val="35"/>
            <c:bubble3D val="0"/>
            <c:extLst>
              <c:ext xmlns:c16="http://schemas.microsoft.com/office/drawing/2014/chart" uri="{C3380CC4-5D6E-409C-BE32-E72D297353CC}">
                <c16:uniqueId val="{0000003C-C2BD-4E74-BA78-14F87465200A}"/>
              </c:ext>
            </c:extLst>
          </c:dPt>
          <c:dPt>
            <c:idx val="37"/>
            <c:bubble3D val="0"/>
            <c:extLst>
              <c:ext xmlns:c16="http://schemas.microsoft.com/office/drawing/2014/chart" uri="{C3380CC4-5D6E-409C-BE32-E72D297353CC}">
                <c16:uniqueId val="{0000003E-C2BD-4E74-BA78-14F87465200A}"/>
              </c:ext>
            </c:extLst>
          </c:dPt>
          <c:dPt>
            <c:idx val="38"/>
            <c:bubble3D val="0"/>
            <c:extLst>
              <c:ext xmlns:c16="http://schemas.microsoft.com/office/drawing/2014/chart" uri="{C3380CC4-5D6E-409C-BE32-E72D297353CC}">
                <c16:uniqueId val="{0000003F-C2BD-4E74-BA78-14F87465200A}"/>
              </c:ext>
            </c:extLst>
          </c:dPt>
          <c:dPt>
            <c:idx val="39"/>
            <c:bubble3D val="0"/>
            <c:extLst>
              <c:ext xmlns:c16="http://schemas.microsoft.com/office/drawing/2014/chart" uri="{C3380CC4-5D6E-409C-BE32-E72D297353CC}">
                <c16:uniqueId val="{00000040-C2BD-4E74-BA78-14F87465200A}"/>
              </c:ext>
            </c:extLst>
          </c:dPt>
          <c:dPt>
            <c:idx val="40"/>
            <c:bubble3D val="0"/>
            <c:extLst>
              <c:ext xmlns:c16="http://schemas.microsoft.com/office/drawing/2014/chart" uri="{C3380CC4-5D6E-409C-BE32-E72D297353CC}">
                <c16:uniqueId val="{00000041-C2BD-4E74-BA78-14F87465200A}"/>
              </c:ext>
            </c:extLst>
          </c:dPt>
          <c:dPt>
            <c:idx val="41"/>
            <c:bubble3D val="0"/>
            <c:extLst>
              <c:ext xmlns:c16="http://schemas.microsoft.com/office/drawing/2014/chart" uri="{C3380CC4-5D6E-409C-BE32-E72D297353CC}">
                <c16:uniqueId val="{00000042-C2BD-4E74-BA78-14F87465200A}"/>
              </c:ext>
            </c:extLst>
          </c:dPt>
          <c:dPt>
            <c:idx val="42"/>
            <c:bubble3D val="0"/>
            <c:extLst>
              <c:ext xmlns:c16="http://schemas.microsoft.com/office/drawing/2014/chart" uri="{C3380CC4-5D6E-409C-BE32-E72D297353CC}">
                <c16:uniqueId val="{00000043-C2BD-4E74-BA78-14F87465200A}"/>
              </c:ext>
            </c:extLst>
          </c:dPt>
          <c:dPt>
            <c:idx val="43"/>
            <c:bubble3D val="0"/>
            <c:extLst>
              <c:ext xmlns:c16="http://schemas.microsoft.com/office/drawing/2014/chart" uri="{C3380CC4-5D6E-409C-BE32-E72D297353CC}">
                <c16:uniqueId val="{00000044-C2BD-4E74-BA78-14F87465200A}"/>
              </c:ext>
            </c:extLst>
          </c:dPt>
          <c:dPt>
            <c:idx val="44"/>
            <c:bubble3D val="0"/>
            <c:extLst>
              <c:ext xmlns:c16="http://schemas.microsoft.com/office/drawing/2014/chart" uri="{C3380CC4-5D6E-409C-BE32-E72D297353CC}">
                <c16:uniqueId val="{00000045-C2BD-4E74-BA78-14F87465200A}"/>
              </c:ext>
            </c:extLst>
          </c:dPt>
          <c:dPt>
            <c:idx val="45"/>
            <c:bubble3D val="0"/>
            <c:extLst>
              <c:ext xmlns:c16="http://schemas.microsoft.com/office/drawing/2014/chart" uri="{C3380CC4-5D6E-409C-BE32-E72D297353CC}">
                <c16:uniqueId val="{00000046-C2BD-4E74-BA78-14F87465200A}"/>
              </c:ext>
            </c:extLst>
          </c:dPt>
          <c:dPt>
            <c:idx val="46"/>
            <c:bubble3D val="0"/>
            <c:extLst>
              <c:ext xmlns:c16="http://schemas.microsoft.com/office/drawing/2014/chart" uri="{C3380CC4-5D6E-409C-BE32-E72D297353CC}">
                <c16:uniqueId val="{00000047-C2BD-4E74-BA78-14F87465200A}"/>
              </c:ext>
            </c:extLst>
          </c:dPt>
          <c:dPt>
            <c:idx val="47"/>
            <c:bubble3D val="0"/>
            <c:extLst>
              <c:ext xmlns:c16="http://schemas.microsoft.com/office/drawing/2014/chart" uri="{C3380CC4-5D6E-409C-BE32-E72D297353CC}">
                <c16:uniqueId val="{00000048-C2BD-4E74-BA78-14F87465200A}"/>
              </c:ext>
            </c:extLst>
          </c:dPt>
          <c:dPt>
            <c:idx val="48"/>
            <c:bubble3D val="0"/>
            <c:extLst>
              <c:ext xmlns:c16="http://schemas.microsoft.com/office/drawing/2014/chart" uri="{C3380CC4-5D6E-409C-BE32-E72D297353CC}">
                <c16:uniqueId val="{00000049-C2BD-4E74-BA78-14F87465200A}"/>
              </c:ext>
            </c:extLst>
          </c:dPt>
          <c:dPt>
            <c:idx val="49"/>
            <c:bubble3D val="0"/>
            <c:extLst>
              <c:ext xmlns:c16="http://schemas.microsoft.com/office/drawing/2014/chart" uri="{C3380CC4-5D6E-409C-BE32-E72D297353CC}">
                <c16:uniqueId val="{0000004A-C2BD-4E74-BA78-14F87465200A}"/>
              </c:ext>
            </c:extLst>
          </c:dPt>
          <c:dPt>
            <c:idx val="50"/>
            <c:bubble3D val="0"/>
            <c:extLst>
              <c:ext xmlns:c16="http://schemas.microsoft.com/office/drawing/2014/chart" uri="{C3380CC4-5D6E-409C-BE32-E72D297353CC}">
                <c16:uniqueId val="{0000004B-C2BD-4E74-BA78-14F87465200A}"/>
              </c:ext>
            </c:extLst>
          </c:dPt>
          <c:dPt>
            <c:idx val="51"/>
            <c:bubble3D val="0"/>
            <c:extLst>
              <c:ext xmlns:c16="http://schemas.microsoft.com/office/drawing/2014/chart" uri="{C3380CC4-5D6E-409C-BE32-E72D297353CC}">
                <c16:uniqueId val="{0000004C-C2BD-4E74-BA78-14F87465200A}"/>
              </c:ext>
            </c:extLst>
          </c:dPt>
          <c:dPt>
            <c:idx val="52"/>
            <c:bubble3D val="0"/>
            <c:extLst>
              <c:ext xmlns:c16="http://schemas.microsoft.com/office/drawing/2014/chart" uri="{C3380CC4-5D6E-409C-BE32-E72D297353CC}">
                <c16:uniqueId val="{0000004D-C2BD-4E74-BA78-14F87465200A}"/>
              </c:ext>
            </c:extLst>
          </c:dPt>
          <c:dPt>
            <c:idx val="53"/>
            <c:bubble3D val="0"/>
            <c:extLst>
              <c:ext xmlns:c16="http://schemas.microsoft.com/office/drawing/2014/chart" uri="{C3380CC4-5D6E-409C-BE32-E72D297353CC}">
                <c16:uniqueId val="{0000004E-C2BD-4E74-BA78-14F87465200A}"/>
              </c:ext>
            </c:extLst>
          </c:dPt>
          <c:dPt>
            <c:idx val="54"/>
            <c:bubble3D val="0"/>
            <c:extLst>
              <c:ext xmlns:c16="http://schemas.microsoft.com/office/drawing/2014/chart" uri="{C3380CC4-5D6E-409C-BE32-E72D297353CC}">
                <c16:uniqueId val="{0000004F-C2BD-4E74-BA78-14F87465200A}"/>
              </c:ext>
            </c:extLst>
          </c:dPt>
          <c:dPt>
            <c:idx val="55"/>
            <c:bubble3D val="0"/>
            <c:extLst>
              <c:ext xmlns:c16="http://schemas.microsoft.com/office/drawing/2014/chart" uri="{C3380CC4-5D6E-409C-BE32-E72D297353CC}">
                <c16:uniqueId val="{00000050-C2BD-4E74-BA78-14F87465200A}"/>
              </c:ext>
            </c:extLst>
          </c:dPt>
          <c:dPt>
            <c:idx val="56"/>
            <c:bubble3D val="0"/>
            <c:extLst>
              <c:ext xmlns:c16="http://schemas.microsoft.com/office/drawing/2014/chart" uri="{C3380CC4-5D6E-409C-BE32-E72D297353CC}">
                <c16:uniqueId val="{00000051-C2BD-4E74-BA78-14F87465200A}"/>
              </c:ext>
            </c:extLst>
          </c:dPt>
          <c:dPt>
            <c:idx val="57"/>
            <c:bubble3D val="0"/>
            <c:extLst>
              <c:ext xmlns:c16="http://schemas.microsoft.com/office/drawing/2014/chart" uri="{C3380CC4-5D6E-409C-BE32-E72D297353CC}">
                <c16:uniqueId val="{00000052-C2BD-4E74-BA78-14F87465200A}"/>
              </c:ext>
            </c:extLst>
          </c:dPt>
          <c:dPt>
            <c:idx val="58"/>
            <c:bubble3D val="0"/>
            <c:extLst>
              <c:ext xmlns:c16="http://schemas.microsoft.com/office/drawing/2014/chart" uri="{C3380CC4-5D6E-409C-BE32-E72D297353CC}">
                <c16:uniqueId val="{00000053-C2BD-4E74-BA78-14F87465200A}"/>
              </c:ext>
            </c:extLst>
          </c:dPt>
          <c:dPt>
            <c:idx val="59"/>
            <c:bubble3D val="0"/>
            <c:extLst>
              <c:ext xmlns:c16="http://schemas.microsoft.com/office/drawing/2014/chart" uri="{C3380CC4-5D6E-409C-BE32-E72D297353CC}">
                <c16:uniqueId val="{00000054-C2BD-4E74-BA78-14F87465200A}"/>
              </c:ext>
            </c:extLst>
          </c:dPt>
          <c:dPt>
            <c:idx val="60"/>
            <c:bubble3D val="0"/>
            <c:extLst>
              <c:ext xmlns:c16="http://schemas.microsoft.com/office/drawing/2014/chart" uri="{C3380CC4-5D6E-409C-BE32-E72D297353CC}">
                <c16:uniqueId val="{00000055-C2BD-4E74-BA78-14F87465200A}"/>
              </c:ext>
            </c:extLst>
          </c:dPt>
          <c:dPt>
            <c:idx val="61"/>
            <c:bubble3D val="0"/>
            <c:extLst>
              <c:ext xmlns:c16="http://schemas.microsoft.com/office/drawing/2014/chart" uri="{C3380CC4-5D6E-409C-BE32-E72D297353CC}">
                <c16:uniqueId val="{00000056-C2BD-4E74-BA78-14F87465200A}"/>
              </c:ext>
            </c:extLst>
          </c:dPt>
          <c:dPt>
            <c:idx val="62"/>
            <c:bubble3D val="0"/>
            <c:extLst>
              <c:ext xmlns:c16="http://schemas.microsoft.com/office/drawing/2014/chart" uri="{C3380CC4-5D6E-409C-BE32-E72D297353CC}">
                <c16:uniqueId val="{00000057-C2BD-4E74-BA78-14F87465200A}"/>
              </c:ext>
            </c:extLst>
          </c:dPt>
          <c:dPt>
            <c:idx val="63"/>
            <c:bubble3D val="0"/>
            <c:extLst>
              <c:ext xmlns:c16="http://schemas.microsoft.com/office/drawing/2014/chart" uri="{C3380CC4-5D6E-409C-BE32-E72D297353CC}">
                <c16:uniqueId val="{00000058-C2BD-4E74-BA78-14F87465200A}"/>
              </c:ext>
            </c:extLst>
          </c:dPt>
          <c:dPt>
            <c:idx val="64"/>
            <c:bubble3D val="0"/>
            <c:extLst>
              <c:ext xmlns:c16="http://schemas.microsoft.com/office/drawing/2014/chart" uri="{C3380CC4-5D6E-409C-BE32-E72D297353CC}">
                <c16:uniqueId val="{00000059-C2BD-4E74-BA78-14F87465200A}"/>
              </c:ext>
            </c:extLst>
          </c:dPt>
          <c:dPt>
            <c:idx val="65"/>
            <c:bubble3D val="0"/>
            <c:extLst>
              <c:ext xmlns:c16="http://schemas.microsoft.com/office/drawing/2014/chart" uri="{C3380CC4-5D6E-409C-BE32-E72D297353CC}">
                <c16:uniqueId val="{0000005A-C2BD-4E74-BA78-14F87465200A}"/>
              </c:ext>
            </c:extLst>
          </c:dPt>
          <c:dPt>
            <c:idx val="66"/>
            <c:bubble3D val="0"/>
            <c:extLst>
              <c:ext xmlns:c16="http://schemas.microsoft.com/office/drawing/2014/chart" uri="{C3380CC4-5D6E-409C-BE32-E72D297353CC}">
                <c16:uniqueId val="{0000005B-C2BD-4E74-BA78-14F87465200A}"/>
              </c:ext>
            </c:extLst>
          </c:dPt>
          <c:dPt>
            <c:idx val="67"/>
            <c:bubble3D val="0"/>
            <c:extLst>
              <c:ext xmlns:c16="http://schemas.microsoft.com/office/drawing/2014/chart" uri="{C3380CC4-5D6E-409C-BE32-E72D297353CC}">
                <c16:uniqueId val="{0000005C-C2BD-4E74-BA78-14F87465200A}"/>
              </c:ext>
            </c:extLst>
          </c:dPt>
          <c:dPt>
            <c:idx val="68"/>
            <c:bubble3D val="0"/>
            <c:extLst>
              <c:ext xmlns:c16="http://schemas.microsoft.com/office/drawing/2014/chart" uri="{C3380CC4-5D6E-409C-BE32-E72D297353CC}">
                <c16:uniqueId val="{0000005D-C2BD-4E74-BA78-14F87465200A}"/>
              </c:ext>
            </c:extLst>
          </c:dPt>
          <c:dPt>
            <c:idx val="69"/>
            <c:bubble3D val="0"/>
            <c:extLst>
              <c:ext xmlns:c16="http://schemas.microsoft.com/office/drawing/2014/chart" uri="{C3380CC4-5D6E-409C-BE32-E72D297353CC}">
                <c16:uniqueId val="{0000005E-C2BD-4E74-BA78-14F87465200A}"/>
              </c:ext>
            </c:extLst>
          </c:dPt>
          <c:dPt>
            <c:idx val="70"/>
            <c:bubble3D val="0"/>
            <c:extLst>
              <c:ext xmlns:c16="http://schemas.microsoft.com/office/drawing/2014/chart" uri="{C3380CC4-5D6E-409C-BE32-E72D297353CC}">
                <c16:uniqueId val="{0000005F-C2BD-4E74-BA78-14F87465200A}"/>
              </c:ext>
            </c:extLst>
          </c:dPt>
          <c:dPt>
            <c:idx val="71"/>
            <c:bubble3D val="0"/>
            <c:extLst>
              <c:ext xmlns:c16="http://schemas.microsoft.com/office/drawing/2014/chart" uri="{C3380CC4-5D6E-409C-BE32-E72D297353CC}">
                <c16:uniqueId val="{00000060-C2BD-4E74-BA78-14F87465200A}"/>
              </c:ext>
            </c:extLst>
          </c:dPt>
          <c:dPt>
            <c:idx val="72"/>
            <c:bubble3D val="0"/>
            <c:extLst>
              <c:ext xmlns:c16="http://schemas.microsoft.com/office/drawing/2014/chart" uri="{C3380CC4-5D6E-409C-BE32-E72D297353CC}">
                <c16:uniqueId val="{00000061-C2BD-4E74-BA78-14F87465200A}"/>
              </c:ext>
            </c:extLst>
          </c:dPt>
          <c:dPt>
            <c:idx val="73"/>
            <c:bubble3D val="0"/>
            <c:extLst>
              <c:ext xmlns:c16="http://schemas.microsoft.com/office/drawing/2014/chart" uri="{C3380CC4-5D6E-409C-BE32-E72D297353CC}">
                <c16:uniqueId val="{00000062-C2BD-4E74-BA78-14F87465200A}"/>
              </c:ext>
            </c:extLst>
          </c:dPt>
          <c:dPt>
            <c:idx val="74"/>
            <c:bubble3D val="0"/>
            <c:extLst>
              <c:ext xmlns:c16="http://schemas.microsoft.com/office/drawing/2014/chart" uri="{C3380CC4-5D6E-409C-BE32-E72D297353CC}">
                <c16:uniqueId val="{00000063-C2BD-4E74-BA78-14F87465200A}"/>
              </c:ext>
            </c:extLst>
          </c:dPt>
          <c:dPt>
            <c:idx val="75"/>
            <c:bubble3D val="0"/>
            <c:extLst>
              <c:ext xmlns:c16="http://schemas.microsoft.com/office/drawing/2014/chart" uri="{C3380CC4-5D6E-409C-BE32-E72D297353CC}">
                <c16:uniqueId val="{00000064-C2BD-4E74-BA78-14F87465200A}"/>
              </c:ext>
            </c:extLst>
          </c:dPt>
          <c:dPt>
            <c:idx val="76"/>
            <c:bubble3D val="0"/>
            <c:extLst>
              <c:ext xmlns:c16="http://schemas.microsoft.com/office/drawing/2014/chart" uri="{C3380CC4-5D6E-409C-BE32-E72D297353CC}">
                <c16:uniqueId val="{0000004E-35E3-41EA-84AE-4780789AE3E1}"/>
              </c:ext>
            </c:extLst>
          </c:dPt>
          <c:dPt>
            <c:idx val="77"/>
            <c:bubble3D val="0"/>
            <c:extLst>
              <c:ext xmlns:c16="http://schemas.microsoft.com/office/drawing/2014/chart" uri="{C3380CC4-5D6E-409C-BE32-E72D297353CC}">
                <c16:uniqueId val="{00000065-C2BD-4E74-BA78-14F87465200A}"/>
              </c:ext>
            </c:extLst>
          </c:dPt>
          <c:dPt>
            <c:idx val="78"/>
            <c:bubble3D val="0"/>
            <c:extLst>
              <c:ext xmlns:c16="http://schemas.microsoft.com/office/drawing/2014/chart" uri="{C3380CC4-5D6E-409C-BE32-E72D297353CC}">
                <c16:uniqueId val="{00000066-C2BD-4E74-BA78-14F87465200A}"/>
              </c:ext>
            </c:extLst>
          </c:dPt>
          <c:dPt>
            <c:idx val="79"/>
            <c:bubble3D val="0"/>
            <c:extLst>
              <c:ext xmlns:c16="http://schemas.microsoft.com/office/drawing/2014/chart" uri="{C3380CC4-5D6E-409C-BE32-E72D297353CC}">
                <c16:uniqueId val="{00000067-C2BD-4E74-BA78-14F87465200A}"/>
              </c:ext>
            </c:extLst>
          </c:dPt>
          <c:dPt>
            <c:idx val="80"/>
            <c:bubble3D val="0"/>
            <c:extLst>
              <c:ext xmlns:c16="http://schemas.microsoft.com/office/drawing/2014/chart" uri="{C3380CC4-5D6E-409C-BE32-E72D297353CC}">
                <c16:uniqueId val="{00000068-C2BD-4E74-BA78-14F87465200A}"/>
              </c:ext>
            </c:extLst>
          </c:dPt>
          <c:dPt>
            <c:idx val="81"/>
            <c:bubble3D val="0"/>
            <c:extLst>
              <c:ext xmlns:c16="http://schemas.microsoft.com/office/drawing/2014/chart" uri="{C3380CC4-5D6E-409C-BE32-E72D297353CC}">
                <c16:uniqueId val="{00000069-C2BD-4E74-BA78-14F87465200A}"/>
              </c:ext>
            </c:extLst>
          </c:dPt>
          <c:dPt>
            <c:idx val="82"/>
            <c:bubble3D val="0"/>
            <c:extLst>
              <c:ext xmlns:c16="http://schemas.microsoft.com/office/drawing/2014/chart" uri="{C3380CC4-5D6E-409C-BE32-E72D297353CC}">
                <c16:uniqueId val="{0000006A-C2BD-4E74-BA78-14F87465200A}"/>
              </c:ext>
            </c:extLst>
          </c:dPt>
          <c:dPt>
            <c:idx val="83"/>
            <c:bubble3D val="0"/>
            <c:extLst>
              <c:ext xmlns:c16="http://schemas.microsoft.com/office/drawing/2014/chart" uri="{C3380CC4-5D6E-409C-BE32-E72D297353CC}">
                <c16:uniqueId val="{0000006B-C2BD-4E74-BA78-14F87465200A}"/>
              </c:ext>
            </c:extLst>
          </c:dPt>
          <c:dPt>
            <c:idx val="84"/>
            <c:bubble3D val="0"/>
            <c:extLst>
              <c:ext xmlns:c16="http://schemas.microsoft.com/office/drawing/2014/chart" uri="{C3380CC4-5D6E-409C-BE32-E72D297353CC}">
                <c16:uniqueId val="{0000006C-C2BD-4E74-BA78-14F87465200A}"/>
              </c:ext>
            </c:extLst>
          </c:dPt>
          <c:dPt>
            <c:idx val="85"/>
            <c:bubble3D val="0"/>
            <c:extLst>
              <c:ext xmlns:c16="http://schemas.microsoft.com/office/drawing/2014/chart" uri="{C3380CC4-5D6E-409C-BE32-E72D297353CC}">
                <c16:uniqueId val="{0000006D-C2BD-4E74-BA78-14F87465200A}"/>
              </c:ext>
            </c:extLst>
          </c:dPt>
          <c:dPt>
            <c:idx val="86"/>
            <c:bubble3D val="0"/>
            <c:extLst>
              <c:ext xmlns:c16="http://schemas.microsoft.com/office/drawing/2014/chart" uri="{C3380CC4-5D6E-409C-BE32-E72D297353CC}">
                <c16:uniqueId val="{0000006E-C2BD-4E74-BA78-14F87465200A}"/>
              </c:ext>
            </c:extLst>
          </c:dPt>
          <c:dPt>
            <c:idx val="87"/>
            <c:bubble3D val="0"/>
            <c:extLst>
              <c:ext xmlns:c16="http://schemas.microsoft.com/office/drawing/2014/chart" uri="{C3380CC4-5D6E-409C-BE32-E72D297353CC}">
                <c16:uniqueId val="{0000006F-C2BD-4E74-BA78-14F87465200A}"/>
              </c:ext>
            </c:extLst>
          </c:dPt>
          <c:dPt>
            <c:idx val="88"/>
            <c:bubble3D val="0"/>
            <c:extLst>
              <c:ext xmlns:c16="http://schemas.microsoft.com/office/drawing/2014/chart" uri="{C3380CC4-5D6E-409C-BE32-E72D297353CC}">
                <c16:uniqueId val="{00000070-C2BD-4E74-BA78-14F87465200A}"/>
              </c:ext>
            </c:extLst>
          </c:dPt>
          <c:dPt>
            <c:idx val="89"/>
            <c:bubble3D val="0"/>
            <c:extLst>
              <c:ext xmlns:c16="http://schemas.microsoft.com/office/drawing/2014/chart" uri="{C3380CC4-5D6E-409C-BE32-E72D297353CC}">
                <c16:uniqueId val="{00000071-C2BD-4E74-BA78-14F87465200A}"/>
              </c:ext>
            </c:extLst>
          </c:dPt>
          <c:dPt>
            <c:idx val="90"/>
            <c:bubble3D val="0"/>
            <c:extLst>
              <c:ext xmlns:c16="http://schemas.microsoft.com/office/drawing/2014/chart" uri="{C3380CC4-5D6E-409C-BE32-E72D297353CC}">
                <c16:uniqueId val="{00000072-C2BD-4E74-BA78-14F87465200A}"/>
              </c:ext>
            </c:extLst>
          </c:dPt>
          <c:dPt>
            <c:idx val="91"/>
            <c:bubble3D val="0"/>
            <c:extLst>
              <c:ext xmlns:c16="http://schemas.microsoft.com/office/drawing/2014/chart" uri="{C3380CC4-5D6E-409C-BE32-E72D297353CC}">
                <c16:uniqueId val="{00000073-C2BD-4E74-BA78-14F87465200A}"/>
              </c:ext>
            </c:extLst>
          </c:dPt>
          <c:dPt>
            <c:idx val="92"/>
            <c:bubble3D val="0"/>
            <c:extLst>
              <c:ext xmlns:c16="http://schemas.microsoft.com/office/drawing/2014/chart" uri="{C3380CC4-5D6E-409C-BE32-E72D297353CC}">
                <c16:uniqueId val="{00000074-C2BD-4E74-BA78-14F87465200A}"/>
              </c:ext>
            </c:extLst>
          </c:dPt>
          <c:dPt>
            <c:idx val="93"/>
            <c:bubble3D val="0"/>
            <c:extLst>
              <c:ext xmlns:c16="http://schemas.microsoft.com/office/drawing/2014/chart" uri="{C3380CC4-5D6E-409C-BE32-E72D297353CC}">
                <c16:uniqueId val="{00000075-C2BD-4E74-BA78-14F87465200A}"/>
              </c:ext>
            </c:extLst>
          </c:dPt>
          <c:dPt>
            <c:idx val="94"/>
            <c:bubble3D val="0"/>
            <c:extLst>
              <c:ext xmlns:c16="http://schemas.microsoft.com/office/drawing/2014/chart" uri="{C3380CC4-5D6E-409C-BE32-E72D297353CC}">
                <c16:uniqueId val="{00000076-C2BD-4E74-BA78-14F87465200A}"/>
              </c:ext>
            </c:extLst>
          </c:dPt>
          <c:dPt>
            <c:idx val="95"/>
            <c:bubble3D val="0"/>
            <c:extLst>
              <c:ext xmlns:c16="http://schemas.microsoft.com/office/drawing/2014/chart" uri="{C3380CC4-5D6E-409C-BE32-E72D297353CC}">
                <c16:uniqueId val="{00000077-C2BD-4E74-BA78-14F87465200A}"/>
              </c:ext>
            </c:extLst>
          </c:dPt>
          <c:dPt>
            <c:idx val="96"/>
            <c:bubble3D val="0"/>
            <c:extLst>
              <c:ext xmlns:c16="http://schemas.microsoft.com/office/drawing/2014/chart" uri="{C3380CC4-5D6E-409C-BE32-E72D297353CC}">
                <c16:uniqueId val="{00000078-C2BD-4E74-BA78-14F87465200A}"/>
              </c:ext>
            </c:extLst>
          </c:dPt>
          <c:dPt>
            <c:idx val="97"/>
            <c:bubble3D val="0"/>
            <c:extLst>
              <c:ext xmlns:c16="http://schemas.microsoft.com/office/drawing/2014/chart" uri="{C3380CC4-5D6E-409C-BE32-E72D297353CC}">
                <c16:uniqueId val="{00000079-C2BD-4E74-BA78-14F87465200A}"/>
              </c:ext>
            </c:extLst>
          </c:dPt>
          <c:dPt>
            <c:idx val="98"/>
            <c:bubble3D val="0"/>
            <c:extLst>
              <c:ext xmlns:c16="http://schemas.microsoft.com/office/drawing/2014/chart" uri="{C3380CC4-5D6E-409C-BE32-E72D297353CC}">
                <c16:uniqueId val="{0000007A-C2BD-4E74-BA78-14F87465200A}"/>
              </c:ext>
            </c:extLst>
          </c:dPt>
          <c:dPt>
            <c:idx val="99"/>
            <c:bubble3D val="0"/>
            <c:extLst>
              <c:ext xmlns:c16="http://schemas.microsoft.com/office/drawing/2014/chart" uri="{C3380CC4-5D6E-409C-BE32-E72D297353CC}">
                <c16:uniqueId val="{0000007B-C2BD-4E74-BA78-14F87465200A}"/>
              </c:ext>
            </c:extLst>
          </c:dPt>
          <c:dPt>
            <c:idx val="100"/>
            <c:bubble3D val="0"/>
            <c:extLst>
              <c:ext xmlns:c16="http://schemas.microsoft.com/office/drawing/2014/chart" uri="{C3380CC4-5D6E-409C-BE32-E72D297353CC}">
                <c16:uniqueId val="{0000007C-C2BD-4E74-BA78-14F87465200A}"/>
              </c:ext>
            </c:extLst>
          </c:dPt>
          <c:dPt>
            <c:idx val="101"/>
            <c:bubble3D val="0"/>
            <c:extLst>
              <c:ext xmlns:c16="http://schemas.microsoft.com/office/drawing/2014/chart" uri="{C3380CC4-5D6E-409C-BE32-E72D297353CC}">
                <c16:uniqueId val="{0000007D-C2BD-4E74-BA78-14F87465200A}"/>
              </c:ext>
            </c:extLst>
          </c:dPt>
          <c:dPt>
            <c:idx val="102"/>
            <c:bubble3D val="0"/>
            <c:extLst>
              <c:ext xmlns:c16="http://schemas.microsoft.com/office/drawing/2014/chart" uri="{C3380CC4-5D6E-409C-BE32-E72D297353CC}">
                <c16:uniqueId val="{0000007E-C2BD-4E74-BA78-14F87465200A}"/>
              </c:ext>
            </c:extLst>
          </c:dPt>
          <c:dPt>
            <c:idx val="103"/>
            <c:bubble3D val="0"/>
            <c:extLst>
              <c:ext xmlns:c16="http://schemas.microsoft.com/office/drawing/2014/chart" uri="{C3380CC4-5D6E-409C-BE32-E72D297353CC}">
                <c16:uniqueId val="{0000007F-C2BD-4E74-BA78-14F87465200A}"/>
              </c:ext>
            </c:extLst>
          </c:dPt>
          <c:dPt>
            <c:idx val="104"/>
            <c:bubble3D val="0"/>
            <c:extLst>
              <c:ext xmlns:c16="http://schemas.microsoft.com/office/drawing/2014/chart" uri="{C3380CC4-5D6E-409C-BE32-E72D297353CC}">
                <c16:uniqueId val="{00000080-C2BD-4E74-BA78-14F87465200A}"/>
              </c:ext>
            </c:extLst>
          </c:dPt>
          <c:dPt>
            <c:idx val="105"/>
            <c:bubble3D val="0"/>
            <c:extLst>
              <c:ext xmlns:c16="http://schemas.microsoft.com/office/drawing/2014/chart" uri="{C3380CC4-5D6E-409C-BE32-E72D297353CC}">
                <c16:uniqueId val="{00000081-C2BD-4E74-BA78-14F87465200A}"/>
              </c:ext>
            </c:extLst>
          </c:dPt>
          <c:dPt>
            <c:idx val="106"/>
            <c:bubble3D val="0"/>
            <c:extLst>
              <c:ext xmlns:c16="http://schemas.microsoft.com/office/drawing/2014/chart" uri="{C3380CC4-5D6E-409C-BE32-E72D297353CC}">
                <c16:uniqueId val="{00000082-C2BD-4E74-BA78-14F87465200A}"/>
              </c:ext>
            </c:extLst>
          </c:dPt>
          <c:dPt>
            <c:idx val="107"/>
            <c:bubble3D val="0"/>
            <c:extLst>
              <c:ext xmlns:c16="http://schemas.microsoft.com/office/drawing/2014/chart" uri="{C3380CC4-5D6E-409C-BE32-E72D297353CC}">
                <c16:uniqueId val="{00000083-C2BD-4E74-BA78-14F87465200A}"/>
              </c:ext>
            </c:extLst>
          </c:dPt>
          <c:dPt>
            <c:idx val="108"/>
            <c:bubble3D val="0"/>
            <c:extLst>
              <c:ext xmlns:c16="http://schemas.microsoft.com/office/drawing/2014/chart" uri="{C3380CC4-5D6E-409C-BE32-E72D297353CC}">
                <c16:uniqueId val="{00000084-C2BD-4E74-BA78-14F87465200A}"/>
              </c:ext>
            </c:extLst>
          </c:dPt>
          <c:dPt>
            <c:idx val="109"/>
            <c:bubble3D val="0"/>
            <c:extLst>
              <c:ext xmlns:c16="http://schemas.microsoft.com/office/drawing/2014/chart" uri="{C3380CC4-5D6E-409C-BE32-E72D297353CC}">
                <c16:uniqueId val="{00000085-C2BD-4E74-BA78-14F87465200A}"/>
              </c:ext>
            </c:extLst>
          </c:dPt>
          <c:dPt>
            <c:idx val="110"/>
            <c:bubble3D val="0"/>
            <c:extLst>
              <c:ext xmlns:c16="http://schemas.microsoft.com/office/drawing/2014/chart" uri="{C3380CC4-5D6E-409C-BE32-E72D297353CC}">
                <c16:uniqueId val="{00000086-C2BD-4E74-BA78-14F87465200A}"/>
              </c:ext>
            </c:extLst>
          </c:dPt>
          <c:dPt>
            <c:idx val="111"/>
            <c:bubble3D val="0"/>
            <c:extLst>
              <c:ext xmlns:c16="http://schemas.microsoft.com/office/drawing/2014/chart" uri="{C3380CC4-5D6E-409C-BE32-E72D297353CC}">
                <c16:uniqueId val="{00000087-C2BD-4E74-BA78-14F87465200A}"/>
              </c:ext>
            </c:extLst>
          </c:dPt>
          <c:dPt>
            <c:idx val="112"/>
            <c:bubble3D val="0"/>
            <c:extLst>
              <c:ext xmlns:c16="http://schemas.microsoft.com/office/drawing/2014/chart" uri="{C3380CC4-5D6E-409C-BE32-E72D297353CC}">
                <c16:uniqueId val="{00000088-C2BD-4E74-BA78-14F87465200A}"/>
              </c:ext>
            </c:extLst>
          </c:dPt>
          <c:dPt>
            <c:idx val="113"/>
            <c:bubble3D val="0"/>
            <c:extLst>
              <c:ext xmlns:c16="http://schemas.microsoft.com/office/drawing/2014/chart" uri="{C3380CC4-5D6E-409C-BE32-E72D297353CC}">
                <c16:uniqueId val="{00000089-C2BD-4E74-BA78-14F87465200A}"/>
              </c:ext>
            </c:extLst>
          </c:dPt>
          <c:dPt>
            <c:idx val="114"/>
            <c:bubble3D val="0"/>
            <c:extLst>
              <c:ext xmlns:c16="http://schemas.microsoft.com/office/drawing/2014/chart" uri="{C3380CC4-5D6E-409C-BE32-E72D297353CC}">
                <c16:uniqueId val="{0000008A-C2BD-4E74-BA78-14F87465200A}"/>
              </c:ext>
            </c:extLst>
          </c:dPt>
          <c:dPt>
            <c:idx val="115"/>
            <c:bubble3D val="0"/>
            <c:extLst>
              <c:ext xmlns:c16="http://schemas.microsoft.com/office/drawing/2014/chart" uri="{C3380CC4-5D6E-409C-BE32-E72D297353CC}">
                <c16:uniqueId val="{0000008B-C2BD-4E74-BA78-14F87465200A}"/>
              </c:ext>
            </c:extLst>
          </c:dPt>
          <c:dPt>
            <c:idx val="116"/>
            <c:bubble3D val="0"/>
            <c:extLst>
              <c:ext xmlns:c16="http://schemas.microsoft.com/office/drawing/2014/chart" uri="{C3380CC4-5D6E-409C-BE32-E72D297353CC}">
                <c16:uniqueId val="{0000008C-C2BD-4E74-BA78-14F87465200A}"/>
              </c:ext>
            </c:extLst>
          </c:dPt>
          <c:dPt>
            <c:idx val="117"/>
            <c:bubble3D val="0"/>
            <c:extLst>
              <c:ext xmlns:c16="http://schemas.microsoft.com/office/drawing/2014/chart" uri="{C3380CC4-5D6E-409C-BE32-E72D297353CC}">
                <c16:uniqueId val="{0000008D-C2BD-4E74-BA78-14F87465200A}"/>
              </c:ext>
            </c:extLst>
          </c:dPt>
          <c:dPt>
            <c:idx val="118"/>
            <c:bubble3D val="0"/>
            <c:extLst>
              <c:ext xmlns:c16="http://schemas.microsoft.com/office/drawing/2014/chart" uri="{C3380CC4-5D6E-409C-BE32-E72D297353CC}">
                <c16:uniqueId val="{0000008E-C2BD-4E74-BA78-14F87465200A}"/>
              </c:ext>
            </c:extLst>
          </c:dPt>
          <c:dPt>
            <c:idx val="119"/>
            <c:bubble3D val="0"/>
            <c:extLst>
              <c:ext xmlns:c16="http://schemas.microsoft.com/office/drawing/2014/chart" uri="{C3380CC4-5D6E-409C-BE32-E72D297353CC}">
                <c16:uniqueId val="{0000008F-C2BD-4E74-BA78-14F87465200A}"/>
              </c:ext>
            </c:extLst>
          </c:dPt>
          <c:dPt>
            <c:idx val="120"/>
            <c:bubble3D val="0"/>
            <c:extLst>
              <c:ext xmlns:c16="http://schemas.microsoft.com/office/drawing/2014/chart" uri="{C3380CC4-5D6E-409C-BE32-E72D297353CC}">
                <c16:uniqueId val="{00000090-C2BD-4E74-BA78-14F87465200A}"/>
              </c:ext>
            </c:extLst>
          </c:dPt>
          <c:dPt>
            <c:idx val="121"/>
            <c:bubble3D val="0"/>
            <c:extLst>
              <c:ext xmlns:c16="http://schemas.microsoft.com/office/drawing/2014/chart" uri="{C3380CC4-5D6E-409C-BE32-E72D297353CC}">
                <c16:uniqueId val="{00000091-C2BD-4E74-BA78-14F87465200A}"/>
              </c:ext>
            </c:extLst>
          </c:dPt>
          <c:dPt>
            <c:idx val="122"/>
            <c:bubble3D val="0"/>
            <c:extLst>
              <c:ext xmlns:c16="http://schemas.microsoft.com/office/drawing/2014/chart" uri="{C3380CC4-5D6E-409C-BE32-E72D297353CC}">
                <c16:uniqueId val="{00000092-C2BD-4E74-BA78-14F87465200A}"/>
              </c:ext>
            </c:extLst>
          </c:dPt>
          <c:dPt>
            <c:idx val="123"/>
            <c:bubble3D val="0"/>
            <c:extLst>
              <c:ext xmlns:c16="http://schemas.microsoft.com/office/drawing/2014/chart" uri="{C3380CC4-5D6E-409C-BE32-E72D297353CC}">
                <c16:uniqueId val="{00000093-C2BD-4E74-BA78-14F87465200A}"/>
              </c:ext>
            </c:extLst>
          </c:dPt>
          <c:dPt>
            <c:idx val="124"/>
            <c:bubble3D val="0"/>
            <c:extLst>
              <c:ext xmlns:c16="http://schemas.microsoft.com/office/drawing/2014/chart" uri="{C3380CC4-5D6E-409C-BE32-E72D297353CC}">
                <c16:uniqueId val="{00000094-C2BD-4E74-BA78-14F87465200A}"/>
              </c:ext>
            </c:extLst>
          </c:dPt>
          <c:dPt>
            <c:idx val="125"/>
            <c:bubble3D val="0"/>
            <c:extLst>
              <c:ext xmlns:c16="http://schemas.microsoft.com/office/drawing/2014/chart" uri="{C3380CC4-5D6E-409C-BE32-E72D297353CC}">
                <c16:uniqueId val="{00000095-C2BD-4E74-BA78-14F87465200A}"/>
              </c:ext>
            </c:extLst>
          </c:dPt>
          <c:dPt>
            <c:idx val="126"/>
            <c:bubble3D val="0"/>
            <c:extLst>
              <c:ext xmlns:c16="http://schemas.microsoft.com/office/drawing/2014/chart" uri="{C3380CC4-5D6E-409C-BE32-E72D297353CC}">
                <c16:uniqueId val="{00000096-C2BD-4E74-BA78-14F87465200A}"/>
              </c:ext>
            </c:extLst>
          </c:dPt>
          <c:dPt>
            <c:idx val="127"/>
            <c:bubble3D val="0"/>
            <c:extLst>
              <c:ext xmlns:c16="http://schemas.microsoft.com/office/drawing/2014/chart" uri="{C3380CC4-5D6E-409C-BE32-E72D297353CC}">
                <c16:uniqueId val="{00000097-C2BD-4E74-BA78-14F87465200A}"/>
              </c:ext>
            </c:extLst>
          </c:dPt>
          <c:dPt>
            <c:idx val="128"/>
            <c:bubble3D val="0"/>
            <c:extLst>
              <c:ext xmlns:c16="http://schemas.microsoft.com/office/drawing/2014/chart" uri="{C3380CC4-5D6E-409C-BE32-E72D297353CC}">
                <c16:uniqueId val="{00000098-C2BD-4E74-BA78-14F87465200A}"/>
              </c:ext>
            </c:extLst>
          </c:dPt>
          <c:dPt>
            <c:idx val="129"/>
            <c:bubble3D val="0"/>
            <c:extLst>
              <c:ext xmlns:c16="http://schemas.microsoft.com/office/drawing/2014/chart" uri="{C3380CC4-5D6E-409C-BE32-E72D297353CC}">
                <c16:uniqueId val="{00000099-C2BD-4E74-BA78-14F87465200A}"/>
              </c:ext>
            </c:extLst>
          </c:dPt>
          <c:dPt>
            <c:idx val="130"/>
            <c:bubble3D val="0"/>
            <c:extLst>
              <c:ext xmlns:c16="http://schemas.microsoft.com/office/drawing/2014/chart" uri="{C3380CC4-5D6E-409C-BE32-E72D297353CC}">
                <c16:uniqueId val="{0000009A-C2BD-4E74-BA78-14F87465200A}"/>
              </c:ext>
            </c:extLst>
          </c:dPt>
          <c:dPt>
            <c:idx val="131"/>
            <c:bubble3D val="0"/>
            <c:extLst>
              <c:ext xmlns:c16="http://schemas.microsoft.com/office/drawing/2014/chart" uri="{C3380CC4-5D6E-409C-BE32-E72D297353CC}">
                <c16:uniqueId val="{0000009B-C2BD-4E74-BA78-14F87465200A}"/>
              </c:ext>
            </c:extLst>
          </c:dPt>
          <c:dPt>
            <c:idx val="132"/>
            <c:bubble3D val="0"/>
            <c:extLst>
              <c:ext xmlns:c16="http://schemas.microsoft.com/office/drawing/2014/chart" uri="{C3380CC4-5D6E-409C-BE32-E72D297353CC}">
                <c16:uniqueId val="{0000009C-C2BD-4E74-BA78-14F87465200A}"/>
              </c:ext>
            </c:extLst>
          </c:dPt>
          <c:dPt>
            <c:idx val="133"/>
            <c:bubble3D val="0"/>
            <c:extLst>
              <c:ext xmlns:c16="http://schemas.microsoft.com/office/drawing/2014/chart" uri="{C3380CC4-5D6E-409C-BE32-E72D297353CC}">
                <c16:uniqueId val="{0000009D-C2BD-4E74-BA78-14F87465200A}"/>
              </c:ext>
            </c:extLst>
          </c:dPt>
          <c:dPt>
            <c:idx val="134"/>
            <c:bubble3D val="0"/>
            <c:extLst>
              <c:ext xmlns:c16="http://schemas.microsoft.com/office/drawing/2014/chart" uri="{C3380CC4-5D6E-409C-BE32-E72D297353CC}">
                <c16:uniqueId val="{0000009E-C2BD-4E74-BA78-14F87465200A}"/>
              </c:ext>
            </c:extLst>
          </c:dPt>
          <c:dPt>
            <c:idx val="135"/>
            <c:bubble3D val="0"/>
            <c:extLst>
              <c:ext xmlns:c16="http://schemas.microsoft.com/office/drawing/2014/chart" uri="{C3380CC4-5D6E-409C-BE32-E72D297353CC}">
                <c16:uniqueId val="{0000009F-C2BD-4E74-BA78-14F87465200A}"/>
              </c:ext>
            </c:extLst>
          </c:dPt>
          <c:dPt>
            <c:idx val="136"/>
            <c:bubble3D val="0"/>
            <c:extLst>
              <c:ext xmlns:c16="http://schemas.microsoft.com/office/drawing/2014/chart" uri="{C3380CC4-5D6E-409C-BE32-E72D297353CC}">
                <c16:uniqueId val="{000000A0-C2BD-4E74-BA78-14F87465200A}"/>
              </c:ext>
            </c:extLst>
          </c:dPt>
          <c:dPt>
            <c:idx val="137"/>
            <c:bubble3D val="0"/>
            <c:extLst>
              <c:ext xmlns:c16="http://schemas.microsoft.com/office/drawing/2014/chart" uri="{C3380CC4-5D6E-409C-BE32-E72D297353CC}">
                <c16:uniqueId val="{000000A1-C2BD-4E74-BA78-14F87465200A}"/>
              </c:ext>
            </c:extLst>
          </c:dPt>
          <c:dPt>
            <c:idx val="138"/>
            <c:bubble3D val="0"/>
            <c:extLst>
              <c:ext xmlns:c16="http://schemas.microsoft.com/office/drawing/2014/chart" uri="{C3380CC4-5D6E-409C-BE32-E72D297353CC}">
                <c16:uniqueId val="{000000A2-C2BD-4E74-BA78-14F87465200A}"/>
              </c:ext>
            </c:extLst>
          </c:dPt>
          <c:dPt>
            <c:idx val="139"/>
            <c:bubble3D val="0"/>
            <c:extLst>
              <c:ext xmlns:c16="http://schemas.microsoft.com/office/drawing/2014/chart" uri="{C3380CC4-5D6E-409C-BE32-E72D297353CC}">
                <c16:uniqueId val="{000000A3-C2BD-4E74-BA78-14F87465200A}"/>
              </c:ext>
            </c:extLst>
          </c:dPt>
          <c:dPt>
            <c:idx val="140"/>
            <c:bubble3D val="0"/>
            <c:extLst>
              <c:ext xmlns:c16="http://schemas.microsoft.com/office/drawing/2014/chart" uri="{C3380CC4-5D6E-409C-BE32-E72D297353CC}">
                <c16:uniqueId val="{000000A4-C2BD-4E74-BA78-14F87465200A}"/>
              </c:ext>
            </c:extLst>
          </c:dPt>
          <c:dPt>
            <c:idx val="141"/>
            <c:bubble3D val="0"/>
            <c:extLst>
              <c:ext xmlns:c16="http://schemas.microsoft.com/office/drawing/2014/chart" uri="{C3380CC4-5D6E-409C-BE32-E72D297353CC}">
                <c16:uniqueId val="{000000A5-C2BD-4E74-BA78-14F87465200A}"/>
              </c:ext>
            </c:extLst>
          </c:dPt>
          <c:dPt>
            <c:idx val="142"/>
            <c:bubble3D val="0"/>
            <c:extLst>
              <c:ext xmlns:c16="http://schemas.microsoft.com/office/drawing/2014/chart" uri="{C3380CC4-5D6E-409C-BE32-E72D297353CC}">
                <c16:uniqueId val="{000000A6-C2BD-4E74-BA78-14F87465200A}"/>
              </c:ext>
            </c:extLst>
          </c:dPt>
          <c:dPt>
            <c:idx val="143"/>
            <c:bubble3D val="0"/>
            <c:extLst>
              <c:ext xmlns:c16="http://schemas.microsoft.com/office/drawing/2014/chart" uri="{C3380CC4-5D6E-409C-BE32-E72D297353CC}">
                <c16:uniqueId val="{000000A7-C2BD-4E74-BA78-14F87465200A}"/>
              </c:ext>
            </c:extLst>
          </c:dPt>
          <c:dPt>
            <c:idx val="144"/>
            <c:bubble3D val="0"/>
            <c:extLst>
              <c:ext xmlns:c16="http://schemas.microsoft.com/office/drawing/2014/chart" uri="{C3380CC4-5D6E-409C-BE32-E72D297353CC}">
                <c16:uniqueId val="{000000A8-C2BD-4E74-BA78-14F87465200A}"/>
              </c:ext>
            </c:extLst>
          </c:dPt>
          <c:dPt>
            <c:idx val="145"/>
            <c:bubble3D val="0"/>
            <c:extLst>
              <c:ext xmlns:c16="http://schemas.microsoft.com/office/drawing/2014/chart" uri="{C3380CC4-5D6E-409C-BE32-E72D297353CC}">
                <c16:uniqueId val="{000000A9-C2BD-4E74-BA78-14F87465200A}"/>
              </c:ext>
            </c:extLst>
          </c:dPt>
          <c:dPt>
            <c:idx val="146"/>
            <c:bubble3D val="0"/>
            <c:extLst>
              <c:ext xmlns:c16="http://schemas.microsoft.com/office/drawing/2014/chart" uri="{C3380CC4-5D6E-409C-BE32-E72D297353CC}">
                <c16:uniqueId val="{000000AA-C2BD-4E74-BA78-14F87465200A}"/>
              </c:ext>
            </c:extLst>
          </c:dPt>
          <c:dPt>
            <c:idx val="147"/>
            <c:bubble3D val="0"/>
            <c:extLst>
              <c:ext xmlns:c16="http://schemas.microsoft.com/office/drawing/2014/chart" uri="{C3380CC4-5D6E-409C-BE32-E72D297353CC}">
                <c16:uniqueId val="{000000AB-C2BD-4E74-BA78-14F87465200A}"/>
              </c:ext>
            </c:extLst>
          </c:dPt>
          <c:dPt>
            <c:idx val="148"/>
            <c:bubble3D val="0"/>
            <c:extLst>
              <c:ext xmlns:c16="http://schemas.microsoft.com/office/drawing/2014/chart" uri="{C3380CC4-5D6E-409C-BE32-E72D297353CC}">
                <c16:uniqueId val="{000000AC-C2BD-4E74-BA78-14F87465200A}"/>
              </c:ext>
            </c:extLst>
          </c:dPt>
          <c:dPt>
            <c:idx val="149"/>
            <c:bubble3D val="0"/>
            <c:extLst>
              <c:ext xmlns:c16="http://schemas.microsoft.com/office/drawing/2014/chart" uri="{C3380CC4-5D6E-409C-BE32-E72D297353CC}">
                <c16:uniqueId val="{000000AD-C2BD-4E74-BA78-14F87465200A}"/>
              </c:ext>
            </c:extLst>
          </c:dPt>
          <c:dPt>
            <c:idx val="150"/>
            <c:bubble3D val="0"/>
            <c:extLst>
              <c:ext xmlns:c16="http://schemas.microsoft.com/office/drawing/2014/chart" uri="{C3380CC4-5D6E-409C-BE32-E72D297353CC}">
                <c16:uniqueId val="{000000AE-C2BD-4E74-BA78-14F87465200A}"/>
              </c:ext>
            </c:extLst>
          </c:dPt>
          <c:dPt>
            <c:idx val="151"/>
            <c:bubble3D val="0"/>
            <c:extLst>
              <c:ext xmlns:c16="http://schemas.microsoft.com/office/drawing/2014/chart" uri="{C3380CC4-5D6E-409C-BE32-E72D297353CC}">
                <c16:uniqueId val="{000000AF-C2BD-4E74-BA78-14F87465200A}"/>
              </c:ext>
            </c:extLst>
          </c:dPt>
          <c:dPt>
            <c:idx val="152"/>
            <c:bubble3D val="0"/>
            <c:extLst>
              <c:ext xmlns:c16="http://schemas.microsoft.com/office/drawing/2014/chart" uri="{C3380CC4-5D6E-409C-BE32-E72D297353CC}">
                <c16:uniqueId val="{000000B0-C2BD-4E74-BA78-14F87465200A}"/>
              </c:ext>
            </c:extLst>
          </c:dPt>
          <c:dPt>
            <c:idx val="153"/>
            <c:bubble3D val="0"/>
            <c:extLst>
              <c:ext xmlns:c16="http://schemas.microsoft.com/office/drawing/2014/chart" uri="{C3380CC4-5D6E-409C-BE32-E72D297353CC}">
                <c16:uniqueId val="{000000B1-C2BD-4E74-BA78-14F87465200A}"/>
              </c:ext>
            </c:extLst>
          </c:dPt>
          <c:dPt>
            <c:idx val="154"/>
            <c:bubble3D val="0"/>
            <c:extLst>
              <c:ext xmlns:c16="http://schemas.microsoft.com/office/drawing/2014/chart" uri="{C3380CC4-5D6E-409C-BE32-E72D297353CC}">
                <c16:uniqueId val="{000000B2-C2BD-4E74-BA78-14F87465200A}"/>
              </c:ext>
            </c:extLst>
          </c:dPt>
          <c:dPt>
            <c:idx val="155"/>
            <c:bubble3D val="0"/>
            <c:extLst>
              <c:ext xmlns:c16="http://schemas.microsoft.com/office/drawing/2014/chart" uri="{C3380CC4-5D6E-409C-BE32-E72D297353CC}">
                <c16:uniqueId val="{000000B3-C2BD-4E74-BA78-14F87465200A}"/>
              </c:ext>
            </c:extLst>
          </c:dPt>
          <c:dPt>
            <c:idx val="156"/>
            <c:bubble3D val="0"/>
            <c:extLst>
              <c:ext xmlns:c16="http://schemas.microsoft.com/office/drawing/2014/chart" uri="{C3380CC4-5D6E-409C-BE32-E72D297353CC}">
                <c16:uniqueId val="{000000B4-C2BD-4E74-BA78-14F87465200A}"/>
              </c:ext>
            </c:extLst>
          </c:dPt>
          <c:dPt>
            <c:idx val="157"/>
            <c:bubble3D val="0"/>
            <c:extLst>
              <c:ext xmlns:c16="http://schemas.microsoft.com/office/drawing/2014/chart" uri="{C3380CC4-5D6E-409C-BE32-E72D297353CC}">
                <c16:uniqueId val="{000000B5-C2BD-4E74-BA78-14F87465200A}"/>
              </c:ext>
            </c:extLst>
          </c:dPt>
          <c:dPt>
            <c:idx val="158"/>
            <c:bubble3D val="0"/>
            <c:extLst>
              <c:ext xmlns:c16="http://schemas.microsoft.com/office/drawing/2014/chart" uri="{C3380CC4-5D6E-409C-BE32-E72D297353CC}">
                <c16:uniqueId val="{000000B6-C2BD-4E74-BA78-14F87465200A}"/>
              </c:ext>
            </c:extLst>
          </c:dPt>
          <c:dPt>
            <c:idx val="159"/>
            <c:bubble3D val="0"/>
            <c:extLst>
              <c:ext xmlns:c16="http://schemas.microsoft.com/office/drawing/2014/chart" uri="{C3380CC4-5D6E-409C-BE32-E72D297353CC}">
                <c16:uniqueId val="{000000B7-C2BD-4E74-BA78-14F87465200A}"/>
              </c:ext>
            </c:extLst>
          </c:dPt>
          <c:dPt>
            <c:idx val="160"/>
            <c:bubble3D val="0"/>
            <c:extLst>
              <c:ext xmlns:c16="http://schemas.microsoft.com/office/drawing/2014/chart" uri="{C3380CC4-5D6E-409C-BE32-E72D297353CC}">
                <c16:uniqueId val="{000000B8-C2BD-4E74-BA78-14F87465200A}"/>
              </c:ext>
            </c:extLst>
          </c:dPt>
          <c:dPt>
            <c:idx val="161"/>
            <c:bubble3D val="0"/>
            <c:extLst>
              <c:ext xmlns:c16="http://schemas.microsoft.com/office/drawing/2014/chart" uri="{C3380CC4-5D6E-409C-BE32-E72D297353CC}">
                <c16:uniqueId val="{000000B9-C2BD-4E74-BA78-14F87465200A}"/>
              </c:ext>
            </c:extLst>
          </c:dPt>
          <c:dPt>
            <c:idx val="162"/>
            <c:bubble3D val="0"/>
            <c:extLst>
              <c:ext xmlns:c16="http://schemas.microsoft.com/office/drawing/2014/chart" uri="{C3380CC4-5D6E-409C-BE32-E72D297353CC}">
                <c16:uniqueId val="{000000BA-C2BD-4E74-BA78-14F87465200A}"/>
              </c:ext>
            </c:extLst>
          </c:dPt>
          <c:dPt>
            <c:idx val="163"/>
            <c:bubble3D val="0"/>
            <c:extLst>
              <c:ext xmlns:c16="http://schemas.microsoft.com/office/drawing/2014/chart" uri="{C3380CC4-5D6E-409C-BE32-E72D297353CC}">
                <c16:uniqueId val="{000000BB-C2BD-4E74-BA78-14F87465200A}"/>
              </c:ext>
            </c:extLst>
          </c:dPt>
          <c:dPt>
            <c:idx val="164"/>
            <c:bubble3D val="0"/>
            <c:extLst>
              <c:ext xmlns:c16="http://schemas.microsoft.com/office/drawing/2014/chart" uri="{C3380CC4-5D6E-409C-BE32-E72D297353CC}">
                <c16:uniqueId val="{000000BC-C2BD-4E74-BA78-14F87465200A}"/>
              </c:ext>
            </c:extLst>
          </c:dPt>
          <c:dPt>
            <c:idx val="165"/>
            <c:bubble3D val="0"/>
            <c:extLst>
              <c:ext xmlns:c16="http://schemas.microsoft.com/office/drawing/2014/chart" uri="{C3380CC4-5D6E-409C-BE32-E72D297353CC}">
                <c16:uniqueId val="{000000BD-C2BD-4E74-BA78-14F87465200A}"/>
              </c:ext>
            </c:extLst>
          </c:dPt>
          <c:dPt>
            <c:idx val="166"/>
            <c:bubble3D val="0"/>
            <c:extLst>
              <c:ext xmlns:c16="http://schemas.microsoft.com/office/drawing/2014/chart" uri="{C3380CC4-5D6E-409C-BE32-E72D297353CC}">
                <c16:uniqueId val="{000000BE-C2BD-4E74-BA78-14F87465200A}"/>
              </c:ext>
            </c:extLst>
          </c:dPt>
          <c:dPt>
            <c:idx val="167"/>
            <c:bubble3D val="0"/>
            <c:extLst>
              <c:ext xmlns:c16="http://schemas.microsoft.com/office/drawing/2014/chart" uri="{C3380CC4-5D6E-409C-BE32-E72D297353CC}">
                <c16:uniqueId val="{000000BF-C2BD-4E74-BA78-14F87465200A}"/>
              </c:ext>
            </c:extLst>
          </c:dPt>
          <c:dPt>
            <c:idx val="168"/>
            <c:bubble3D val="0"/>
            <c:extLst>
              <c:ext xmlns:c16="http://schemas.microsoft.com/office/drawing/2014/chart" uri="{C3380CC4-5D6E-409C-BE32-E72D297353CC}">
                <c16:uniqueId val="{000000C0-C2BD-4E74-BA78-14F87465200A}"/>
              </c:ext>
            </c:extLst>
          </c:dPt>
          <c:dPt>
            <c:idx val="169"/>
            <c:bubble3D val="0"/>
            <c:extLst>
              <c:ext xmlns:c16="http://schemas.microsoft.com/office/drawing/2014/chart" uri="{C3380CC4-5D6E-409C-BE32-E72D297353CC}">
                <c16:uniqueId val="{000000C1-C2BD-4E74-BA78-14F87465200A}"/>
              </c:ext>
            </c:extLst>
          </c:dPt>
          <c:dPt>
            <c:idx val="170"/>
            <c:bubble3D val="0"/>
            <c:extLst>
              <c:ext xmlns:c16="http://schemas.microsoft.com/office/drawing/2014/chart" uri="{C3380CC4-5D6E-409C-BE32-E72D297353CC}">
                <c16:uniqueId val="{000000C2-C2BD-4E74-BA78-14F87465200A}"/>
              </c:ext>
            </c:extLst>
          </c:dPt>
          <c:dPt>
            <c:idx val="171"/>
            <c:bubble3D val="0"/>
            <c:extLst>
              <c:ext xmlns:c16="http://schemas.microsoft.com/office/drawing/2014/chart" uri="{C3380CC4-5D6E-409C-BE32-E72D297353CC}">
                <c16:uniqueId val="{000000C3-C2BD-4E74-BA78-14F87465200A}"/>
              </c:ext>
            </c:extLst>
          </c:dPt>
          <c:dPt>
            <c:idx val="172"/>
            <c:bubble3D val="0"/>
            <c:extLst>
              <c:ext xmlns:c16="http://schemas.microsoft.com/office/drawing/2014/chart" uri="{C3380CC4-5D6E-409C-BE32-E72D297353CC}">
                <c16:uniqueId val="{000000C4-C2BD-4E74-BA78-14F87465200A}"/>
              </c:ext>
            </c:extLst>
          </c:dPt>
          <c:dPt>
            <c:idx val="173"/>
            <c:bubble3D val="0"/>
            <c:extLst>
              <c:ext xmlns:c16="http://schemas.microsoft.com/office/drawing/2014/chart" uri="{C3380CC4-5D6E-409C-BE32-E72D297353CC}">
                <c16:uniqueId val="{000000C5-C2BD-4E74-BA78-14F87465200A}"/>
              </c:ext>
            </c:extLst>
          </c:dPt>
          <c:dPt>
            <c:idx val="174"/>
            <c:bubble3D val="0"/>
            <c:extLst>
              <c:ext xmlns:c16="http://schemas.microsoft.com/office/drawing/2014/chart" uri="{C3380CC4-5D6E-409C-BE32-E72D297353CC}">
                <c16:uniqueId val="{000000C6-C2BD-4E74-BA78-14F87465200A}"/>
              </c:ext>
            </c:extLst>
          </c:dPt>
          <c:dPt>
            <c:idx val="175"/>
            <c:bubble3D val="0"/>
            <c:extLst>
              <c:ext xmlns:c16="http://schemas.microsoft.com/office/drawing/2014/chart" uri="{C3380CC4-5D6E-409C-BE32-E72D297353CC}">
                <c16:uniqueId val="{000000C7-C2BD-4E74-BA78-14F87465200A}"/>
              </c:ext>
            </c:extLst>
          </c:dPt>
          <c:dPt>
            <c:idx val="176"/>
            <c:bubble3D val="0"/>
            <c:extLst>
              <c:ext xmlns:c16="http://schemas.microsoft.com/office/drawing/2014/chart" uri="{C3380CC4-5D6E-409C-BE32-E72D297353CC}">
                <c16:uniqueId val="{000000C8-C2BD-4E74-BA78-14F87465200A}"/>
              </c:ext>
            </c:extLst>
          </c:dPt>
          <c:dPt>
            <c:idx val="177"/>
            <c:bubble3D val="0"/>
            <c:extLst>
              <c:ext xmlns:c16="http://schemas.microsoft.com/office/drawing/2014/chart" uri="{C3380CC4-5D6E-409C-BE32-E72D297353CC}">
                <c16:uniqueId val="{000000C9-C2BD-4E74-BA78-14F87465200A}"/>
              </c:ext>
            </c:extLst>
          </c:dPt>
          <c:dPt>
            <c:idx val="178"/>
            <c:bubble3D val="0"/>
            <c:extLst>
              <c:ext xmlns:c16="http://schemas.microsoft.com/office/drawing/2014/chart" uri="{C3380CC4-5D6E-409C-BE32-E72D297353CC}">
                <c16:uniqueId val="{000000CA-C2BD-4E74-BA78-14F87465200A}"/>
              </c:ext>
            </c:extLst>
          </c:dPt>
          <c:dPt>
            <c:idx val="179"/>
            <c:bubble3D val="0"/>
            <c:extLst>
              <c:ext xmlns:c16="http://schemas.microsoft.com/office/drawing/2014/chart" uri="{C3380CC4-5D6E-409C-BE32-E72D297353CC}">
                <c16:uniqueId val="{000000CB-C2BD-4E74-BA78-14F87465200A}"/>
              </c:ext>
            </c:extLst>
          </c:dPt>
          <c:dPt>
            <c:idx val="180"/>
            <c:bubble3D val="0"/>
            <c:extLst>
              <c:ext xmlns:c16="http://schemas.microsoft.com/office/drawing/2014/chart" uri="{C3380CC4-5D6E-409C-BE32-E72D297353CC}">
                <c16:uniqueId val="{000000CC-C2BD-4E74-BA78-14F87465200A}"/>
              </c:ext>
            </c:extLst>
          </c:dPt>
          <c:dPt>
            <c:idx val="181"/>
            <c:bubble3D val="0"/>
            <c:extLst>
              <c:ext xmlns:c16="http://schemas.microsoft.com/office/drawing/2014/chart" uri="{C3380CC4-5D6E-409C-BE32-E72D297353CC}">
                <c16:uniqueId val="{000000CD-C2BD-4E74-BA78-14F87465200A}"/>
              </c:ext>
            </c:extLst>
          </c:dPt>
          <c:dPt>
            <c:idx val="182"/>
            <c:bubble3D val="0"/>
            <c:extLst>
              <c:ext xmlns:c16="http://schemas.microsoft.com/office/drawing/2014/chart" uri="{C3380CC4-5D6E-409C-BE32-E72D297353CC}">
                <c16:uniqueId val="{000000CE-C2BD-4E74-BA78-14F87465200A}"/>
              </c:ext>
            </c:extLst>
          </c:dPt>
          <c:dPt>
            <c:idx val="183"/>
            <c:bubble3D val="0"/>
            <c:extLst>
              <c:ext xmlns:c16="http://schemas.microsoft.com/office/drawing/2014/chart" uri="{C3380CC4-5D6E-409C-BE32-E72D297353CC}">
                <c16:uniqueId val="{000000CF-C2BD-4E74-BA78-14F87465200A}"/>
              </c:ext>
            </c:extLst>
          </c:dPt>
          <c:dPt>
            <c:idx val="184"/>
            <c:bubble3D val="0"/>
            <c:extLst>
              <c:ext xmlns:c16="http://schemas.microsoft.com/office/drawing/2014/chart" uri="{C3380CC4-5D6E-409C-BE32-E72D297353CC}">
                <c16:uniqueId val="{000000D0-C2BD-4E74-BA78-14F87465200A}"/>
              </c:ext>
            </c:extLst>
          </c:dPt>
          <c:dPt>
            <c:idx val="185"/>
            <c:bubble3D val="0"/>
            <c:extLst>
              <c:ext xmlns:c16="http://schemas.microsoft.com/office/drawing/2014/chart" uri="{C3380CC4-5D6E-409C-BE32-E72D297353CC}">
                <c16:uniqueId val="{000000D1-C2BD-4E74-BA78-14F87465200A}"/>
              </c:ext>
            </c:extLst>
          </c:dPt>
          <c:dPt>
            <c:idx val="186"/>
            <c:bubble3D val="0"/>
            <c:extLst>
              <c:ext xmlns:c16="http://schemas.microsoft.com/office/drawing/2014/chart" uri="{C3380CC4-5D6E-409C-BE32-E72D297353CC}">
                <c16:uniqueId val="{000000D2-C2BD-4E74-BA78-14F87465200A}"/>
              </c:ext>
            </c:extLst>
          </c:dPt>
          <c:dPt>
            <c:idx val="187"/>
            <c:bubble3D val="0"/>
            <c:extLst>
              <c:ext xmlns:c16="http://schemas.microsoft.com/office/drawing/2014/chart" uri="{C3380CC4-5D6E-409C-BE32-E72D297353CC}">
                <c16:uniqueId val="{000000D3-C2BD-4E74-BA78-14F87465200A}"/>
              </c:ext>
            </c:extLst>
          </c:dPt>
          <c:dPt>
            <c:idx val="188"/>
            <c:bubble3D val="0"/>
            <c:extLst>
              <c:ext xmlns:c16="http://schemas.microsoft.com/office/drawing/2014/chart" uri="{C3380CC4-5D6E-409C-BE32-E72D297353CC}">
                <c16:uniqueId val="{000000D4-C2BD-4E74-BA78-14F87465200A}"/>
              </c:ext>
            </c:extLst>
          </c:dPt>
          <c:dPt>
            <c:idx val="189"/>
            <c:bubble3D val="0"/>
            <c:extLst>
              <c:ext xmlns:c16="http://schemas.microsoft.com/office/drawing/2014/chart" uri="{C3380CC4-5D6E-409C-BE32-E72D297353CC}">
                <c16:uniqueId val="{000000D5-C2BD-4E74-BA78-14F87465200A}"/>
              </c:ext>
            </c:extLst>
          </c:dPt>
          <c:dPt>
            <c:idx val="190"/>
            <c:bubble3D val="0"/>
            <c:extLst>
              <c:ext xmlns:c16="http://schemas.microsoft.com/office/drawing/2014/chart" uri="{C3380CC4-5D6E-409C-BE32-E72D297353CC}">
                <c16:uniqueId val="{000000D6-C2BD-4E74-BA78-14F87465200A}"/>
              </c:ext>
            </c:extLst>
          </c:dPt>
          <c:dPt>
            <c:idx val="191"/>
            <c:bubble3D val="0"/>
            <c:extLst>
              <c:ext xmlns:c16="http://schemas.microsoft.com/office/drawing/2014/chart" uri="{C3380CC4-5D6E-409C-BE32-E72D297353CC}">
                <c16:uniqueId val="{000000D7-C2BD-4E74-BA78-14F87465200A}"/>
              </c:ext>
            </c:extLst>
          </c:dPt>
          <c:dPt>
            <c:idx val="192"/>
            <c:bubble3D val="0"/>
            <c:extLst>
              <c:ext xmlns:c16="http://schemas.microsoft.com/office/drawing/2014/chart" uri="{C3380CC4-5D6E-409C-BE32-E72D297353CC}">
                <c16:uniqueId val="{000000D8-C2BD-4E74-BA78-14F87465200A}"/>
              </c:ext>
            </c:extLst>
          </c:dPt>
          <c:dPt>
            <c:idx val="193"/>
            <c:bubble3D val="0"/>
            <c:extLst>
              <c:ext xmlns:c16="http://schemas.microsoft.com/office/drawing/2014/chart" uri="{C3380CC4-5D6E-409C-BE32-E72D297353CC}">
                <c16:uniqueId val="{000000D9-C2BD-4E74-BA78-14F87465200A}"/>
              </c:ext>
            </c:extLst>
          </c:dPt>
          <c:dPt>
            <c:idx val="194"/>
            <c:bubble3D val="0"/>
            <c:extLst>
              <c:ext xmlns:c16="http://schemas.microsoft.com/office/drawing/2014/chart" uri="{C3380CC4-5D6E-409C-BE32-E72D297353CC}">
                <c16:uniqueId val="{000000DA-C2BD-4E74-BA78-14F87465200A}"/>
              </c:ext>
            </c:extLst>
          </c:dPt>
          <c:dPt>
            <c:idx val="195"/>
            <c:bubble3D val="0"/>
            <c:extLst>
              <c:ext xmlns:c16="http://schemas.microsoft.com/office/drawing/2014/chart" uri="{C3380CC4-5D6E-409C-BE32-E72D297353CC}">
                <c16:uniqueId val="{000000DB-C2BD-4E74-BA78-14F87465200A}"/>
              </c:ext>
            </c:extLst>
          </c:dPt>
          <c:dPt>
            <c:idx val="196"/>
            <c:bubble3D val="0"/>
            <c:extLst>
              <c:ext xmlns:c16="http://schemas.microsoft.com/office/drawing/2014/chart" uri="{C3380CC4-5D6E-409C-BE32-E72D297353CC}">
                <c16:uniqueId val="{000000DC-C2BD-4E74-BA78-14F87465200A}"/>
              </c:ext>
            </c:extLst>
          </c:dPt>
          <c:dPt>
            <c:idx val="197"/>
            <c:bubble3D val="0"/>
            <c:extLst>
              <c:ext xmlns:c16="http://schemas.microsoft.com/office/drawing/2014/chart" uri="{C3380CC4-5D6E-409C-BE32-E72D297353CC}">
                <c16:uniqueId val="{000000DD-C2BD-4E74-BA78-14F87465200A}"/>
              </c:ext>
            </c:extLst>
          </c:dPt>
          <c:dPt>
            <c:idx val="198"/>
            <c:bubble3D val="0"/>
            <c:extLst>
              <c:ext xmlns:c16="http://schemas.microsoft.com/office/drawing/2014/chart" uri="{C3380CC4-5D6E-409C-BE32-E72D297353CC}">
                <c16:uniqueId val="{000000DE-C2BD-4E74-BA78-14F87465200A}"/>
              </c:ext>
            </c:extLst>
          </c:dPt>
          <c:dPt>
            <c:idx val="199"/>
            <c:bubble3D val="0"/>
            <c:extLst>
              <c:ext xmlns:c16="http://schemas.microsoft.com/office/drawing/2014/chart" uri="{C3380CC4-5D6E-409C-BE32-E72D297353CC}">
                <c16:uniqueId val="{000000DF-C2BD-4E74-BA78-14F87465200A}"/>
              </c:ext>
            </c:extLst>
          </c:dPt>
          <c:dPt>
            <c:idx val="200"/>
            <c:bubble3D val="0"/>
            <c:extLst>
              <c:ext xmlns:c16="http://schemas.microsoft.com/office/drawing/2014/chart" uri="{C3380CC4-5D6E-409C-BE32-E72D297353CC}">
                <c16:uniqueId val="{000000E0-C2BD-4E74-BA78-14F87465200A}"/>
              </c:ext>
            </c:extLst>
          </c:dPt>
          <c:dPt>
            <c:idx val="201"/>
            <c:bubble3D val="0"/>
            <c:extLst>
              <c:ext xmlns:c16="http://schemas.microsoft.com/office/drawing/2014/chart" uri="{C3380CC4-5D6E-409C-BE32-E72D297353CC}">
                <c16:uniqueId val="{000000E1-C2BD-4E74-BA78-14F87465200A}"/>
              </c:ext>
            </c:extLst>
          </c:dPt>
          <c:dPt>
            <c:idx val="202"/>
            <c:bubble3D val="0"/>
            <c:extLst>
              <c:ext xmlns:c16="http://schemas.microsoft.com/office/drawing/2014/chart" uri="{C3380CC4-5D6E-409C-BE32-E72D297353CC}">
                <c16:uniqueId val="{000000E2-C2BD-4E74-BA78-14F87465200A}"/>
              </c:ext>
            </c:extLst>
          </c:dPt>
          <c:dPt>
            <c:idx val="203"/>
            <c:bubble3D val="0"/>
            <c:extLst>
              <c:ext xmlns:c16="http://schemas.microsoft.com/office/drawing/2014/chart" uri="{C3380CC4-5D6E-409C-BE32-E72D297353CC}">
                <c16:uniqueId val="{000000E3-C2BD-4E74-BA78-14F87465200A}"/>
              </c:ext>
            </c:extLst>
          </c:dPt>
          <c:dPt>
            <c:idx val="204"/>
            <c:bubble3D val="0"/>
            <c:extLst>
              <c:ext xmlns:c16="http://schemas.microsoft.com/office/drawing/2014/chart" uri="{C3380CC4-5D6E-409C-BE32-E72D297353CC}">
                <c16:uniqueId val="{000000E4-C2BD-4E74-BA78-14F87465200A}"/>
              </c:ext>
            </c:extLst>
          </c:dPt>
          <c:dPt>
            <c:idx val="205"/>
            <c:bubble3D val="0"/>
            <c:extLst>
              <c:ext xmlns:c16="http://schemas.microsoft.com/office/drawing/2014/chart" uri="{C3380CC4-5D6E-409C-BE32-E72D297353CC}">
                <c16:uniqueId val="{000000E5-C2BD-4E74-BA78-14F87465200A}"/>
              </c:ext>
            </c:extLst>
          </c:dPt>
          <c:dPt>
            <c:idx val="206"/>
            <c:bubble3D val="0"/>
            <c:extLst>
              <c:ext xmlns:c16="http://schemas.microsoft.com/office/drawing/2014/chart" uri="{C3380CC4-5D6E-409C-BE32-E72D297353CC}">
                <c16:uniqueId val="{000000E6-C2BD-4E74-BA78-14F87465200A}"/>
              </c:ext>
            </c:extLst>
          </c:dPt>
          <c:dPt>
            <c:idx val="207"/>
            <c:bubble3D val="0"/>
            <c:extLst>
              <c:ext xmlns:c16="http://schemas.microsoft.com/office/drawing/2014/chart" uri="{C3380CC4-5D6E-409C-BE32-E72D297353CC}">
                <c16:uniqueId val="{000000E7-C2BD-4E74-BA78-14F87465200A}"/>
              </c:ext>
            </c:extLst>
          </c:dPt>
          <c:dPt>
            <c:idx val="208"/>
            <c:bubble3D val="0"/>
            <c:extLst>
              <c:ext xmlns:c16="http://schemas.microsoft.com/office/drawing/2014/chart" uri="{C3380CC4-5D6E-409C-BE32-E72D297353CC}">
                <c16:uniqueId val="{000000E8-C2BD-4E74-BA78-14F87465200A}"/>
              </c:ext>
            </c:extLst>
          </c:dPt>
          <c:dPt>
            <c:idx val="209"/>
            <c:bubble3D val="0"/>
            <c:extLst>
              <c:ext xmlns:c16="http://schemas.microsoft.com/office/drawing/2014/chart" uri="{C3380CC4-5D6E-409C-BE32-E72D297353CC}">
                <c16:uniqueId val="{000000E9-C2BD-4E74-BA78-14F87465200A}"/>
              </c:ext>
            </c:extLst>
          </c:dPt>
          <c:dPt>
            <c:idx val="210"/>
            <c:bubble3D val="0"/>
            <c:extLst>
              <c:ext xmlns:c16="http://schemas.microsoft.com/office/drawing/2014/chart" uri="{C3380CC4-5D6E-409C-BE32-E72D297353CC}">
                <c16:uniqueId val="{000000EA-C2BD-4E74-BA78-14F87465200A}"/>
              </c:ext>
            </c:extLst>
          </c:dPt>
          <c:dPt>
            <c:idx val="211"/>
            <c:bubble3D val="0"/>
            <c:extLst>
              <c:ext xmlns:c16="http://schemas.microsoft.com/office/drawing/2014/chart" uri="{C3380CC4-5D6E-409C-BE32-E72D297353CC}">
                <c16:uniqueId val="{000000EB-C2BD-4E74-BA78-14F87465200A}"/>
              </c:ext>
            </c:extLst>
          </c:dPt>
          <c:dPt>
            <c:idx val="212"/>
            <c:bubble3D val="0"/>
            <c:extLst>
              <c:ext xmlns:c16="http://schemas.microsoft.com/office/drawing/2014/chart" uri="{C3380CC4-5D6E-409C-BE32-E72D297353CC}">
                <c16:uniqueId val="{000000EC-C2BD-4E74-BA78-14F87465200A}"/>
              </c:ext>
            </c:extLst>
          </c:dPt>
          <c:dPt>
            <c:idx val="213"/>
            <c:bubble3D val="0"/>
            <c:extLst>
              <c:ext xmlns:c16="http://schemas.microsoft.com/office/drawing/2014/chart" uri="{C3380CC4-5D6E-409C-BE32-E72D297353CC}">
                <c16:uniqueId val="{000000ED-C2BD-4E74-BA78-14F87465200A}"/>
              </c:ext>
            </c:extLst>
          </c:dPt>
          <c:dPt>
            <c:idx val="214"/>
            <c:bubble3D val="0"/>
            <c:extLst>
              <c:ext xmlns:c16="http://schemas.microsoft.com/office/drawing/2014/chart" uri="{C3380CC4-5D6E-409C-BE32-E72D297353CC}">
                <c16:uniqueId val="{000000EE-C2BD-4E74-BA78-14F87465200A}"/>
              </c:ext>
            </c:extLst>
          </c:dPt>
          <c:dPt>
            <c:idx val="215"/>
            <c:bubble3D val="0"/>
            <c:extLst>
              <c:ext xmlns:c16="http://schemas.microsoft.com/office/drawing/2014/chart" uri="{C3380CC4-5D6E-409C-BE32-E72D297353CC}">
                <c16:uniqueId val="{000000EF-C2BD-4E74-BA78-14F87465200A}"/>
              </c:ext>
            </c:extLst>
          </c:dPt>
          <c:dPt>
            <c:idx val="216"/>
            <c:bubble3D val="0"/>
            <c:extLst>
              <c:ext xmlns:c16="http://schemas.microsoft.com/office/drawing/2014/chart" uri="{C3380CC4-5D6E-409C-BE32-E72D297353CC}">
                <c16:uniqueId val="{000000F0-C2BD-4E74-BA78-14F87465200A}"/>
              </c:ext>
            </c:extLst>
          </c:dPt>
          <c:dPt>
            <c:idx val="217"/>
            <c:bubble3D val="0"/>
            <c:extLst>
              <c:ext xmlns:c16="http://schemas.microsoft.com/office/drawing/2014/chart" uri="{C3380CC4-5D6E-409C-BE32-E72D297353CC}">
                <c16:uniqueId val="{000000F1-C2BD-4E74-BA78-14F87465200A}"/>
              </c:ext>
            </c:extLst>
          </c:dPt>
          <c:dPt>
            <c:idx val="218"/>
            <c:bubble3D val="0"/>
            <c:extLst>
              <c:ext xmlns:c16="http://schemas.microsoft.com/office/drawing/2014/chart" uri="{C3380CC4-5D6E-409C-BE32-E72D297353CC}">
                <c16:uniqueId val="{000000F2-C2BD-4E74-BA78-14F87465200A}"/>
              </c:ext>
            </c:extLst>
          </c:dPt>
          <c:dPt>
            <c:idx val="219"/>
            <c:bubble3D val="0"/>
            <c:extLst>
              <c:ext xmlns:c16="http://schemas.microsoft.com/office/drawing/2014/chart" uri="{C3380CC4-5D6E-409C-BE32-E72D297353CC}">
                <c16:uniqueId val="{000000F3-C2BD-4E74-BA78-14F87465200A}"/>
              </c:ext>
            </c:extLst>
          </c:dPt>
          <c:dPt>
            <c:idx val="220"/>
            <c:bubble3D val="0"/>
            <c:extLst>
              <c:ext xmlns:c16="http://schemas.microsoft.com/office/drawing/2014/chart" uri="{C3380CC4-5D6E-409C-BE32-E72D297353CC}">
                <c16:uniqueId val="{000000F4-C2BD-4E74-BA78-14F87465200A}"/>
              </c:ext>
            </c:extLst>
          </c:dPt>
          <c:dPt>
            <c:idx val="221"/>
            <c:bubble3D val="0"/>
            <c:extLst>
              <c:ext xmlns:c16="http://schemas.microsoft.com/office/drawing/2014/chart" uri="{C3380CC4-5D6E-409C-BE32-E72D297353CC}">
                <c16:uniqueId val="{000000F5-C2BD-4E74-BA78-14F87465200A}"/>
              </c:ext>
            </c:extLst>
          </c:dPt>
          <c:dPt>
            <c:idx val="222"/>
            <c:bubble3D val="0"/>
            <c:extLst>
              <c:ext xmlns:c16="http://schemas.microsoft.com/office/drawing/2014/chart" uri="{C3380CC4-5D6E-409C-BE32-E72D297353CC}">
                <c16:uniqueId val="{000000F6-C2BD-4E74-BA78-14F87465200A}"/>
              </c:ext>
            </c:extLst>
          </c:dPt>
          <c:dPt>
            <c:idx val="223"/>
            <c:bubble3D val="0"/>
            <c:extLst>
              <c:ext xmlns:c16="http://schemas.microsoft.com/office/drawing/2014/chart" uri="{C3380CC4-5D6E-409C-BE32-E72D297353CC}">
                <c16:uniqueId val="{000000F7-C2BD-4E74-BA78-14F87465200A}"/>
              </c:ext>
            </c:extLst>
          </c:dPt>
          <c:dPt>
            <c:idx val="224"/>
            <c:bubble3D val="0"/>
            <c:extLst>
              <c:ext xmlns:c16="http://schemas.microsoft.com/office/drawing/2014/chart" uri="{C3380CC4-5D6E-409C-BE32-E72D297353CC}">
                <c16:uniqueId val="{000000F8-C2BD-4E74-BA78-14F87465200A}"/>
              </c:ext>
            </c:extLst>
          </c:dPt>
          <c:dPt>
            <c:idx val="225"/>
            <c:bubble3D val="0"/>
            <c:extLst>
              <c:ext xmlns:c16="http://schemas.microsoft.com/office/drawing/2014/chart" uri="{C3380CC4-5D6E-409C-BE32-E72D297353CC}">
                <c16:uniqueId val="{000000F9-C2BD-4E74-BA78-14F87465200A}"/>
              </c:ext>
            </c:extLst>
          </c:dPt>
          <c:dPt>
            <c:idx val="226"/>
            <c:bubble3D val="0"/>
            <c:extLst>
              <c:ext xmlns:c16="http://schemas.microsoft.com/office/drawing/2014/chart" uri="{C3380CC4-5D6E-409C-BE32-E72D297353CC}">
                <c16:uniqueId val="{000000FA-C2BD-4E74-BA78-14F87465200A}"/>
              </c:ext>
            </c:extLst>
          </c:dPt>
          <c:dPt>
            <c:idx val="227"/>
            <c:bubble3D val="0"/>
            <c:extLst>
              <c:ext xmlns:c16="http://schemas.microsoft.com/office/drawing/2014/chart" uri="{C3380CC4-5D6E-409C-BE32-E72D297353CC}">
                <c16:uniqueId val="{000000FB-C2BD-4E74-BA78-14F87465200A}"/>
              </c:ext>
            </c:extLst>
          </c:dPt>
          <c:dPt>
            <c:idx val="228"/>
            <c:bubble3D val="0"/>
            <c:extLst>
              <c:ext xmlns:c16="http://schemas.microsoft.com/office/drawing/2014/chart" uri="{C3380CC4-5D6E-409C-BE32-E72D297353CC}">
                <c16:uniqueId val="{000000FC-C2BD-4E74-BA78-14F87465200A}"/>
              </c:ext>
            </c:extLst>
          </c:dPt>
          <c:dPt>
            <c:idx val="229"/>
            <c:bubble3D val="0"/>
            <c:extLst>
              <c:ext xmlns:c16="http://schemas.microsoft.com/office/drawing/2014/chart" uri="{C3380CC4-5D6E-409C-BE32-E72D297353CC}">
                <c16:uniqueId val="{000000FD-C2BD-4E74-BA78-14F87465200A}"/>
              </c:ext>
            </c:extLst>
          </c:dPt>
          <c:dPt>
            <c:idx val="230"/>
            <c:bubble3D val="0"/>
            <c:extLst>
              <c:ext xmlns:c16="http://schemas.microsoft.com/office/drawing/2014/chart" uri="{C3380CC4-5D6E-409C-BE32-E72D297353CC}">
                <c16:uniqueId val="{000000FE-C2BD-4E74-BA78-14F87465200A}"/>
              </c:ext>
            </c:extLst>
          </c:dPt>
          <c:dPt>
            <c:idx val="231"/>
            <c:bubble3D val="0"/>
            <c:extLst>
              <c:ext xmlns:c16="http://schemas.microsoft.com/office/drawing/2014/chart" uri="{C3380CC4-5D6E-409C-BE32-E72D297353CC}">
                <c16:uniqueId val="{000000FF-C2BD-4E74-BA78-14F87465200A}"/>
              </c:ext>
            </c:extLst>
          </c:dPt>
          <c:dPt>
            <c:idx val="232"/>
            <c:bubble3D val="0"/>
            <c:extLst>
              <c:ext xmlns:c16="http://schemas.microsoft.com/office/drawing/2014/chart" uri="{C3380CC4-5D6E-409C-BE32-E72D297353CC}">
                <c16:uniqueId val="{00000100-C2BD-4E74-BA78-14F87465200A}"/>
              </c:ext>
            </c:extLst>
          </c:dPt>
          <c:dPt>
            <c:idx val="233"/>
            <c:bubble3D val="0"/>
            <c:extLst>
              <c:ext xmlns:c16="http://schemas.microsoft.com/office/drawing/2014/chart" uri="{C3380CC4-5D6E-409C-BE32-E72D297353CC}">
                <c16:uniqueId val="{00000101-C2BD-4E74-BA78-14F87465200A}"/>
              </c:ext>
            </c:extLst>
          </c:dPt>
          <c:dPt>
            <c:idx val="234"/>
            <c:bubble3D val="0"/>
            <c:extLst>
              <c:ext xmlns:c16="http://schemas.microsoft.com/office/drawing/2014/chart" uri="{C3380CC4-5D6E-409C-BE32-E72D297353CC}">
                <c16:uniqueId val="{00000102-C2BD-4E74-BA78-14F87465200A}"/>
              </c:ext>
            </c:extLst>
          </c:dPt>
          <c:dPt>
            <c:idx val="235"/>
            <c:bubble3D val="0"/>
            <c:extLst>
              <c:ext xmlns:c16="http://schemas.microsoft.com/office/drawing/2014/chart" uri="{C3380CC4-5D6E-409C-BE32-E72D297353CC}">
                <c16:uniqueId val="{00000103-C2BD-4E74-BA78-14F87465200A}"/>
              </c:ext>
            </c:extLst>
          </c:dPt>
          <c:dPt>
            <c:idx val="236"/>
            <c:bubble3D val="0"/>
            <c:extLst>
              <c:ext xmlns:c16="http://schemas.microsoft.com/office/drawing/2014/chart" uri="{C3380CC4-5D6E-409C-BE32-E72D297353CC}">
                <c16:uniqueId val="{00000104-C2BD-4E74-BA78-14F87465200A}"/>
              </c:ext>
            </c:extLst>
          </c:dPt>
          <c:dPt>
            <c:idx val="237"/>
            <c:bubble3D val="0"/>
            <c:extLst>
              <c:ext xmlns:c16="http://schemas.microsoft.com/office/drawing/2014/chart" uri="{C3380CC4-5D6E-409C-BE32-E72D297353CC}">
                <c16:uniqueId val="{00000105-C2BD-4E74-BA78-14F87465200A}"/>
              </c:ext>
            </c:extLst>
          </c:dPt>
          <c:dPt>
            <c:idx val="238"/>
            <c:bubble3D val="0"/>
            <c:extLst>
              <c:ext xmlns:c16="http://schemas.microsoft.com/office/drawing/2014/chart" uri="{C3380CC4-5D6E-409C-BE32-E72D297353CC}">
                <c16:uniqueId val="{00000106-C2BD-4E74-BA78-14F87465200A}"/>
              </c:ext>
            </c:extLst>
          </c:dPt>
          <c:dPt>
            <c:idx val="239"/>
            <c:bubble3D val="0"/>
            <c:extLst>
              <c:ext xmlns:c16="http://schemas.microsoft.com/office/drawing/2014/chart" uri="{C3380CC4-5D6E-409C-BE32-E72D297353CC}">
                <c16:uniqueId val="{00000107-C2BD-4E74-BA78-14F87465200A}"/>
              </c:ext>
            </c:extLst>
          </c:dPt>
          <c:dPt>
            <c:idx val="240"/>
            <c:bubble3D val="0"/>
            <c:extLst>
              <c:ext xmlns:c16="http://schemas.microsoft.com/office/drawing/2014/chart" uri="{C3380CC4-5D6E-409C-BE32-E72D297353CC}">
                <c16:uniqueId val="{00000108-C2BD-4E74-BA78-14F87465200A}"/>
              </c:ext>
            </c:extLst>
          </c:dPt>
          <c:dPt>
            <c:idx val="241"/>
            <c:bubble3D val="0"/>
            <c:extLst>
              <c:ext xmlns:c16="http://schemas.microsoft.com/office/drawing/2014/chart" uri="{C3380CC4-5D6E-409C-BE32-E72D297353CC}">
                <c16:uniqueId val="{00000109-C2BD-4E74-BA78-14F87465200A}"/>
              </c:ext>
            </c:extLst>
          </c:dPt>
          <c:dPt>
            <c:idx val="242"/>
            <c:bubble3D val="0"/>
            <c:extLst>
              <c:ext xmlns:c16="http://schemas.microsoft.com/office/drawing/2014/chart" uri="{C3380CC4-5D6E-409C-BE32-E72D297353CC}">
                <c16:uniqueId val="{0000010A-C2BD-4E74-BA78-14F87465200A}"/>
              </c:ext>
            </c:extLst>
          </c:dPt>
          <c:dPt>
            <c:idx val="243"/>
            <c:bubble3D val="0"/>
            <c:extLst>
              <c:ext xmlns:c16="http://schemas.microsoft.com/office/drawing/2014/chart" uri="{C3380CC4-5D6E-409C-BE32-E72D297353CC}">
                <c16:uniqueId val="{0000010B-C2BD-4E74-BA78-14F87465200A}"/>
              </c:ext>
            </c:extLst>
          </c:dPt>
          <c:dPt>
            <c:idx val="244"/>
            <c:bubble3D val="0"/>
            <c:extLst>
              <c:ext xmlns:c16="http://schemas.microsoft.com/office/drawing/2014/chart" uri="{C3380CC4-5D6E-409C-BE32-E72D297353CC}">
                <c16:uniqueId val="{0000010C-C2BD-4E74-BA78-14F87465200A}"/>
              </c:ext>
            </c:extLst>
          </c:dPt>
          <c:dPt>
            <c:idx val="245"/>
            <c:bubble3D val="0"/>
            <c:extLst>
              <c:ext xmlns:c16="http://schemas.microsoft.com/office/drawing/2014/chart" uri="{C3380CC4-5D6E-409C-BE32-E72D297353CC}">
                <c16:uniqueId val="{0000010D-C2BD-4E74-BA78-14F87465200A}"/>
              </c:ext>
            </c:extLst>
          </c:dPt>
          <c:dPt>
            <c:idx val="246"/>
            <c:bubble3D val="0"/>
            <c:extLst>
              <c:ext xmlns:c16="http://schemas.microsoft.com/office/drawing/2014/chart" uri="{C3380CC4-5D6E-409C-BE32-E72D297353CC}">
                <c16:uniqueId val="{0000010E-C2BD-4E74-BA78-14F87465200A}"/>
              </c:ext>
            </c:extLst>
          </c:dPt>
          <c:dPt>
            <c:idx val="247"/>
            <c:bubble3D val="0"/>
            <c:extLst>
              <c:ext xmlns:c16="http://schemas.microsoft.com/office/drawing/2014/chart" uri="{C3380CC4-5D6E-409C-BE32-E72D297353CC}">
                <c16:uniqueId val="{0000010F-C2BD-4E74-BA78-14F87465200A}"/>
              </c:ext>
            </c:extLst>
          </c:dPt>
          <c:dPt>
            <c:idx val="248"/>
            <c:bubble3D val="0"/>
            <c:extLst>
              <c:ext xmlns:c16="http://schemas.microsoft.com/office/drawing/2014/chart" uri="{C3380CC4-5D6E-409C-BE32-E72D297353CC}">
                <c16:uniqueId val="{00000110-C2BD-4E74-BA78-14F87465200A}"/>
              </c:ext>
            </c:extLst>
          </c:dPt>
          <c:dPt>
            <c:idx val="249"/>
            <c:bubble3D val="0"/>
            <c:extLst>
              <c:ext xmlns:c16="http://schemas.microsoft.com/office/drawing/2014/chart" uri="{C3380CC4-5D6E-409C-BE32-E72D297353CC}">
                <c16:uniqueId val="{00000111-C2BD-4E74-BA78-14F87465200A}"/>
              </c:ext>
            </c:extLst>
          </c:dPt>
          <c:dPt>
            <c:idx val="250"/>
            <c:bubble3D val="0"/>
            <c:extLst>
              <c:ext xmlns:c16="http://schemas.microsoft.com/office/drawing/2014/chart" uri="{C3380CC4-5D6E-409C-BE32-E72D297353CC}">
                <c16:uniqueId val="{00000112-C2BD-4E74-BA78-14F87465200A}"/>
              </c:ext>
            </c:extLst>
          </c:dPt>
          <c:dPt>
            <c:idx val="251"/>
            <c:bubble3D val="0"/>
            <c:extLst>
              <c:ext xmlns:c16="http://schemas.microsoft.com/office/drawing/2014/chart" uri="{C3380CC4-5D6E-409C-BE32-E72D297353CC}">
                <c16:uniqueId val="{00000113-C2BD-4E74-BA78-14F87465200A}"/>
              </c:ext>
            </c:extLst>
          </c:dPt>
          <c:dPt>
            <c:idx val="252"/>
            <c:bubble3D val="0"/>
            <c:extLst>
              <c:ext xmlns:c16="http://schemas.microsoft.com/office/drawing/2014/chart" uri="{C3380CC4-5D6E-409C-BE32-E72D297353CC}">
                <c16:uniqueId val="{00000114-C2BD-4E74-BA78-14F87465200A}"/>
              </c:ext>
            </c:extLst>
          </c:dPt>
          <c:dPt>
            <c:idx val="253"/>
            <c:bubble3D val="0"/>
            <c:extLst>
              <c:ext xmlns:c16="http://schemas.microsoft.com/office/drawing/2014/chart" uri="{C3380CC4-5D6E-409C-BE32-E72D297353CC}">
                <c16:uniqueId val="{00000115-C2BD-4E74-BA78-14F87465200A}"/>
              </c:ext>
            </c:extLst>
          </c:dPt>
          <c:dPt>
            <c:idx val="254"/>
            <c:bubble3D val="0"/>
            <c:extLst>
              <c:ext xmlns:c16="http://schemas.microsoft.com/office/drawing/2014/chart" uri="{C3380CC4-5D6E-409C-BE32-E72D297353CC}">
                <c16:uniqueId val="{00000116-C2BD-4E74-BA78-14F87465200A}"/>
              </c:ext>
            </c:extLst>
          </c:dPt>
          <c:dPt>
            <c:idx val="255"/>
            <c:bubble3D val="0"/>
            <c:extLst>
              <c:ext xmlns:c16="http://schemas.microsoft.com/office/drawing/2014/chart" uri="{C3380CC4-5D6E-409C-BE32-E72D297353CC}">
                <c16:uniqueId val="{00000117-C2BD-4E74-BA78-14F87465200A}"/>
              </c:ext>
            </c:extLst>
          </c:dPt>
          <c:dPt>
            <c:idx val="256"/>
            <c:bubble3D val="0"/>
            <c:extLst>
              <c:ext xmlns:c16="http://schemas.microsoft.com/office/drawing/2014/chart" uri="{C3380CC4-5D6E-409C-BE32-E72D297353CC}">
                <c16:uniqueId val="{00000118-C2BD-4E74-BA78-14F87465200A}"/>
              </c:ext>
            </c:extLst>
          </c:dPt>
          <c:dPt>
            <c:idx val="257"/>
            <c:bubble3D val="0"/>
            <c:extLst>
              <c:ext xmlns:c16="http://schemas.microsoft.com/office/drawing/2014/chart" uri="{C3380CC4-5D6E-409C-BE32-E72D297353CC}">
                <c16:uniqueId val="{00000119-C2BD-4E74-BA78-14F87465200A}"/>
              </c:ext>
            </c:extLst>
          </c:dPt>
          <c:dPt>
            <c:idx val="258"/>
            <c:bubble3D val="0"/>
            <c:extLst>
              <c:ext xmlns:c16="http://schemas.microsoft.com/office/drawing/2014/chart" uri="{C3380CC4-5D6E-409C-BE32-E72D297353CC}">
                <c16:uniqueId val="{0000011A-C2BD-4E74-BA78-14F87465200A}"/>
              </c:ext>
            </c:extLst>
          </c:dPt>
          <c:dPt>
            <c:idx val="259"/>
            <c:bubble3D val="0"/>
            <c:extLst>
              <c:ext xmlns:c16="http://schemas.microsoft.com/office/drawing/2014/chart" uri="{C3380CC4-5D6E-409C-BE32-E72D297353CC}">
                <c16:uniqueId val="{0000011B-C2BD-4E74-BA78-14F87465200A}"/>
              </c:ext>
            </c:extLst>
          </c:dPt>
          <c:dPt>
            <c:idx val="260"/>
            <c:bubble3D val="0"/>
            <c:extLst>
              <c:ext xmlns:c16="http://schemas.microsoft.com/office/drawing/2014/chart" uri="{C3380CC4-5D6E-409C-BE32-E72D297353CC}">
                <c16:uniqueId val="{0000011C-C2BD-4E74-BA78-14F87465200A}"/>
              </c:ext>
            </c:extLst>
          </c:dPt>
          <c:dPt>
            <c:idx val="261"/>
            <c:bubble3D val="0"/>
            <c:extLst>
              <c:ext xmlns:c16="http://schemas.microsoft.com/office/drawing/2014/chart" uri="{C3380CC4-5D6E-409C-BE32-E72D297353CC}">
                <c16:uniqueId val="{0000011D-C2BD-4E74-BA78-14F87465200A}"/>
              </c:ext>
            </c:extLst>
          </c:dPt>
          <c:dPt>
            <c:idx val="262"/>
            <c:bubble3D val="0"/>
            <c:extLst>
              <c:ext xmlns:c16="http://schemas.microsoft.com/office/drawing/2014/chart" uri="{C3380CC4-5D6E-409C-BE32-E72D297353CC}">
                <c16:uniqueId val="{0000011E-C2BD-4E74-BA78-14F87465200A}"/>
              </c:ext>
            </c:extLst>
          </c:dPt>
          <c:dPt>
            <c:idx val="263"/>
            <c:bubble3D val="0"/>
            <c:extLst>
              <c:ext xmlns:c16="http://schemas.microsoft.com/office/drawing/2014/chart" uri="{C3380CC4-5D6E-409C-BE32-E72D297353CC}">
                <c16:uniqueId val="{0000011F-C2BD-4E74-BA78-14F87465200A}"/>
              </c:ext>
            </c:extLst>
          </c:dPt>
          <c:dPt>
            <c:idx val="264"/>
            <c:bubble3D val="0"/>
            <c:extLst>
              <c:ext xmlns:c16="http://schemas.microsoft.com/office/drawing/2014/chart" uri="{C3380CC4-5D6E-409C-BE32-E72D297353CC}">
                <c16:uniqueId val="{00000120-C2BD-4E74-BA78-14F87465200A}"/>
              </c:ext>
            </c:extLst>
          </c:dPt>
          <c:dPt>
            <c:idx val="265"/>
            <c:bubble3D val="0"/>
            <c:extLst>
              <c:ext xmlns:c16="http://schemas.microsoft.com/office/drawing/2014/chart" uri="{C3380CC4-5D6E-409C-BE32-E72D297353CC}">
                <c16:uniqueId val="{00000121-C2BD-4E74-BA78-14F87465200A}"/>
              </c:ext>
            </c:extLst>
          </c:dPt>
          <c:dPt>
            <c:idx val="266"/>
            <c:bubble3D val="0"/>
            <c:extLst>
              <c:ext xmlns:c16="http://schemas.microsoft.com/office/drawing/2014/chart" uri="{C3380CC4-5D6E-409C-BE32-E72D297353CC}">
                <c16:uniqueId val="{00000122-C2BD-4E74-BA78-14F87465200A}"/>
              </c:ext>
            </c:extLst>
          </c:dPt>
          <c:dPt>
            <c:idx val="267"/>
            <c:bubble3D val="0"/>
            <c:extLst>
              <c:ext xmlns:c16="http://schemas.microsoft.com/office/drawing/2014/chart" uri="{C3380CC4-5D6E-409C-BE32-E72D297353CC}">
                <c16:uniqueId val="{00000123-C2BD-4E74-BA78-14F87465200A}"/>
              </c:ext>
            </c:extLst>
          </c:dPt>
          <c:dPt>
            <c:idx val="268"/>
            <c:bubble3D val="0"/>
            <c:extLst>
              <c:ext xmlns:c16="http://schemas.microsoft.com/office/drawing/2014/chart" uri="{C3380CC4-5D6E-409C-BE32-E72D297353CC}">
                <c16:uniqueId val="{00000124-C2BD-4E74-BA78-14F87465200A}"/>
              </c:ext>
            </c:extLst>
          </c:dPt>
          <c:dPt>
            <c:idx val="269"/>
            <c:bubble3D val="0"/>
            <c:extLst>
              <c:ext xmlns:c16="http://schemas.microsoft.com/office/drawing/2014/chart" uri="{C3380CC4-5D6E-409C-BE32-E72D297353CC}">
                <c16:uniqueId val="{00000125-C2BD-4E74-BA78-14F87465200A}"/>
              </c:ext>
            </c:extLst>
          </c:dPt>
          <c:dPt>
            <c:idx val="270"/>
            <c:bubble3D val="0"/>
            <c:extLst>
              <c:ext xmlns:c16="http://schemas.microsoft.com/office/drawing/2014/chart" uri="{C3380CC4-5D6E-409C-BE32-E72D297353CC}">
                <c16:uniqueId val="{00000126-C2BD-4E74-BA78-14F87465200A}"/>
              </c:ext>
            </c:extLst>
          </c:dPt>
          <c:dPt>
            <c:idx val="271"/>
            <c:bubble3D val="0"/>
            <c:extLst>
              <c:ext xmlns:c16="http://schemas.microsoft.com/office/drawing/2014/chart" uri="{C3380CC4-5D6E-409C-BE32-E72D297353CC}">
                <c16:uniqueId val="{00000127-C2BD-4E74-BA78-14F87465200A}"/>
              </c:ext>
            </c:extLst>
          </c:dPt>
          <c:dPt>
            <c:idx val="272"/>
            <c:bubble3D val="0"/>
            <c:extLst>
              <c:ext xmlns:c16="http://schemas.microsoft.com/office/drawing/2014/chart" uri="{C3380CC4-5D6E-409C-BE32-E72D297353CC}">
                <c16:uniqueId val="{00000128-C2BD-4E74-BA78-14F87465200A}"/>
              </c:ext>
            </c:extLst>
          </c:dPt>
          <c:dPt>
            <c:idx val="273"/>
            <c:bubble3D val="0"/>
            <c:extLst>
              <c:ext xmlns:c16="http://schemas.microsoft.com/office/drawing/2014/chart" uri="{C3380CC4-5D6E-409C-BE32-E72D297353CC}">
                <c16:uniqueId val="{00000129-C2BD-4E74-BA78-14F87465200A}"/>
              </c:ext>
            </c:extLst>
          </c:dPt>
          <c:dPt>
            <c:idx val="274"/>
            <c:bubble3D val="0"/>
            <c:extLst>
              <c:ext xmlns:c16="http://schemas.microsoft.com/office/drawing/2014/chart" uri="{C3380CC4-5D6E-409C-BE32-E72D297353CC}">
                <c16:uniqueId val="{0000012A-C2BD-4E74-BA78-14F87465200A}"/>
              </c:ext>
            </c:extLst>
          </c:dPt>
          <c:dPt>
            <c:idx val="275"/>
            <c:bubble3D val="0"/>
            <c:extLst>
              <c:ext xmlns:c16="http://schemas.microsoft.com/office/drawing/2014/chart" uri="{C3380CC4-5D6E-409C-BE32-E72D297353CC}">
                <c16:uniqueId val="{0000012B-C2BD-4E74-BA78-14F87465200A}"/>
              </c:ext>
            </c:extLst>
          </c:dPt>
          <c:dPt>
            <c:idx val="276"/>
            <c:bubble3D val="0"/>
            <c:extLst>
              <c:ext xmlns:c16="http://schemas.microsoft.com/office/drawing/2014/chart" uri="{C3380CC4-5D6E-409C-BE32-E72D297353CC}">
                <c16:uniqueId val="{0000012C-C2BD-4E74-BA78-14F87465200A}"/>
              </c:ext>
            </c:extLst>
          </c:dPt>
          <c:dPt>
            <c:idx val="277"/>
            <c:bubble3D val="0"/>
            <c:extLst>
              <c:ext xmlns:c16="http://schemas.microsoft.com/office/drawing/2014/chart" uri="{C3380CC4-5D6E-409C-BE32-E72D297353CC}">
                <c16:uniqueId val="{0000012D-C2BD-4E74-BA78-14F87465200A}"/>
              </c:ext>
            </c:extLst>
          </c:dPt>
          <c:dPt>
            <c:idx val="278"/>
            <c:bubble3D val="0"/>
            <c:extLst>
              <c:ext xmlns:c16="http://schemas.microsoft.com/office/drawing/2014/chart" uri="{C3380CC4-5D6E-409C-BE32-E72D297353CC}">
                <c16:uniqueId val="{0000012E-C2BD-4E74-BA78-14F87465200A}"/>
              </c:ext>
            </c:extLst>
          </c:dPt>
          <c:dPt>
            <c:idx val="279"/>
            <c:bubble3D val="0"/>
            <c:extLst>
              <c:ext xmlns:c16="http://schemas.microsoft.com/office/drawing/2014/chart" uri="{C3380CC4-5D6E-409C-BE32-E72D297353CC}">
                <c16:uniqueId val="{0000012F-C2BD-4E74-BA78-14F87465200A}"/>
              </c:ext>
            </c:extLst>
          </c:dPt>
          <c:dPt>
            <c:idx val="280"/>
            <c:bubble3D val="0"/>
            <c:extLst>
              <c:ext xmlns:c16="http://schemas.microsoft.com/office/drawing/2014/chart" uri="{C3380CC4-5D6E-409C-BE32-E72D297353CC}">
                <c16:uniqueId val="{00000130-C2BD-4E74-BA78-14F87465200A}"/>
              </c:ext>
            </c:extLst>
          </c:dPt>
          <c:dPt>
            <c:idx val="281"/>
            <c:bubble3D val="0"/>
            <c:extLst>
              <c:ext xmlns:c16="http://schemas.microsoft.com/office/drawing/2014/chart" uri="{C3380CC4-5D6E-409C-BE32-E72D297353CC}">
                <c16:uniqueId val="{00000131-C2BD-4E74-BA78-14F87465200A}"/>
              </c:ext>
            </c:extLst>
          </c:dPt>
          <c:dPt>
            <c:idx val="282"/>
            <c:bubble3D val="0"/>
            <c:extLst>
              <c:ext xmlns:c16="http://schemas.microsoft.com/office/drawing/2014/chart" uri="{C3380CC4-5D6E-409C-BE32-E72D297353CC}">
                <c16:uniqueId val="{00000132-C2BD-4E74-BA78-14F87465200A}"/>
              </c:ext>
            </c:extLst>
          </c:dPt>
          <c:dPt>
            <c:idx val="283"/>
            <c:bubble3D val="0"/>
            <c:extLst>
              <c:ext xmlns:c16="http://schemas.microsoft.com/office/drawing/2014/chart" uri="{C3380CC4-5D6E-409C-BE32-E72D297353CC}">
                <c16:uniqueId val="{00000133-C2BD-4E74-BA78-14F87465200A}"/>
              </c:ext>
            </c:extLst>
          </c:dPt>
          <c:dPt>
            <c:idx val="284"/>
            <c:bubble3D val="0"/>
            <c:extLst>
              <c:ext xmlns:c16="http://schemas.microsoft.com/office/drawing/2014/chart" uri="{C3380CC4-5D6E-409C-BE32-E72D297353CC}">
                <c16:uniqueId val="{00000134-C2BD-4E74-BA78-14F87465200A}"/>
              </c:ext>
            </c:extLst>
          </c:dPt>
          <c:dPt>
            <c:idx val="285"/>
            <c:bubble3D val="0"/>
            <c:extLst>
              <c:ext xmlns:c16="http://schemas.microsoft.com/office/drawing/2014/chart" uri="{C3380CC4-5D6E-409C-BE32-E72D297353CC}">
                <c16:uniqueId val="{00000135-C2BD-4E74-BA78-14F87465200A}"/>
              </c:ext>
            </c:extLst>
          </c:dPt>
          <c:dPt>
            <c:idx val="286"/>
            <c:bubble3D val="0"/>
            <c:extLst>
              <c:ext xmlns:c16="http://schemas.microsoft.com/office/drawing/2014/chart" uri="{C3380CC4-5D6E-409C-BE32-E72D297353CC}">
                <c16:uniqueId val="{00000136-C2BD-4E74-BA78-14F87465200A}"/>
              </c:ext>
            </c:extLst>
          </c:dPt>
          <c:dPt>
            <c:idx val="287"/>
            <c:bubble3D val="0"/>
            <c:extLst>
              <c:ext xmlns:c16="http://schemas.microsoft.com/office/drawing/2014/chart" uri="{C3380CC4-5D6E-409C-BE32-E72D297353CC}">
                <c16:uniqueId val="{00000137-C2BD-4E74-BA78-14F87465200A}"/>
              </c:ext>
            </c:extLst>
          </c:dPt>
          <c:dPt>
            <c:idx val="288"/>
            <c:bubble3D val="0"/>
            <c:extLst>
              <c:ext xmlns:c16="http://schemas.microsoft.com/office/drawing/2014/chart" uri="{C3380CC4-5D6E-409C-BE32-E72D297353CC}">
                <c16:uniqueId val="{00000138-C2BD-4E74-BA78-14F87465200A}"/>
              </c:ext>
            </c:extLst>
          </c:dPt>
          <c:dPt>
            <c:idx val="289"/>
            <c:bubble3D val="0"/>
            <c:extLst>
              <c:ext xmlns:c16="http://schemas.microsoft.com/office/drawing/2014/chart" uri="{C3380CC4-5D6E-409C-BE32-E72D297353CC}">
                <c16:uniqueId val="{00000139-C2BD-4E74-BA78-14F87465200A}"/>
              </c:ext>
            </c:extLst>
          </c:dPt>
          <c:dPt>
            <c:idx val="290"/>
            <c:bubble3D val="0"/>
            <c:extLst>
              <c:ext xmlns:c16="http://schemas.microsoft.com/office/drawing/2014/chart" uri="{C3380CC4-5D6E-409C-BE32-E72D297353CC}">
                <c16:uniqueId val="{0000013A-C2BD-4E74-BA78-14F87465200A}"/>
              </c:ext>
            </c:extLst>
          </c:dPt>
          <c:dPt>
            <c:idx val="291"/>
            <c:bubble3D val="0"/>
            <c:extLst>
              <c:ext xmlns:c16="http://schemas.microsoft.com/office/drawing/2014/chart" uri="{C3380CC4-5D6E-409C-BE32-E72D297353CC}">
                <c16:uniqueId val="{0000013B-C2BD-4E74-BA78-14F87465200A}"/>
              </c:ext>
            </c:extLst>
          </c:dPt>
          <c:dPt>
            <c:idx val="292"/>
            <c:bubble3D val="0"/>
            <c:extLst>
              <c:ext xmlns:c16="http://schemas.microsoft.com/office/drawing/2014/chart" uri="{C3380CC4-5D6E-409C-BE32-E72D297353CC}">
                <c16:uniqueId val="{0000013C-C2BD-4E74-BA78-14F87465200A}"/>
              </c:ext>
            </c:extLst>
          </c:dPt>
          <c:dPt>
            <c:idx val="293"/>
            <c:bubble3D val="0"/>
            <c:extLst>
              <c:ext xmlns:c16="http://schemas.microsoft.com/office/drawing/2014/chart" uri="{C3380CC4-5D6E-409C-BE32-E72D297353CC}">
                <c16:uniqueId val="{0000013D-C2BD-4E74-BA78-14F87465200A}"/>
              </c:ext>
            </c:extLst>
          </c:dPt>
          <c:dPt>
            <c:idx val="294"/>
            <c:bubble3D val="0"/>
            <c:extLst>
              <c:ext xmlns:c16="http://schemas.microsoft.com/office/drawing/2014/chart" uri="{C3380CC4-5D6E-409C-BE32-E72D297353CC}">
                <c16:uniqueId val="{0000013E-C2BD-4E74-BA78-14F87465200A}"/>
              </c:ext>
            </c:extLst>
          </c:dPt>
          <c:dPt>
            <c:idx val="295"/>
            <c:bubble3D val="0"/>
            <c:extLst>
              <c:ext xmlns:c16="http://schemas.microsoft.com/office/drawing/2014/chart" uri="{C3380CC4-5D6E-409C-BE32-E72D297353CC}">
                <c16:uniqueId val="{0000013F-C2BD-4E74-BA78-14F87465200A}"/>
              </c:ext>
            </c:extLst>
          </c:dPt>
          <c:dPt>
            <c:idx val="296"/>
            <c:bubble3D val="0"/>
            <c:extLst>
              <c:ext xmlns:c16="http://schemas.microsoft.com/office/drawing/2014/chart" uri="{C3380CC4-5D6E-409C-BE32-E72D297353CC}">
                <c16:uniqueId val="{00000140-C2BD-4E74-BA78-14F87465200A}"/>
              </c:ext>
            </c:extLst>
          </c:dPt>
          <c:dPt>
            <c:idx val="297"/>
            <c:bubble3D val="0"/>
            <c:extLst>
              <c:ext xmlns:c16="http://schemas.microsoft.com/office/drawing/2014/chart" uri="{C3380CC4-5D6E-409C-BE32-E72D297353CC}">
                <c16:uniqueId val="{00000141-C2BD-4E74-BA78-14F87465200A}"/>
              </c:ext>
            </c:extLst>
          </c:dPt>
          <c:dPt>
            <c:idx val="298"/>
            <c:bubble3D val="0"/>
            <c:extLst>
              <c:ext xmlns:c16="http://schemas.microsoft.com/office/drawing/2014/chart" uri="{C3380CC4-5D6E-409C-BE32-E72D297353CC}">
                <c16:uniqueId val="{00000142-C2BD-4E74-BA78-14F87465200A}"/>
              </c:ext>
            </c:extLst>
          </c:dPt>
          <c:dPt>
            <c:idx val="299"/>
            <c:bubble3D val="0"/>
            <c:extLst>
              <c:ext xmlns:c16="http://schemas.microsoft.com/office/drawing/2014/chart" uri="{C3380CC4-5D6E-409C-BE32-E72D297353CC}">
                <c16:uniqueId val="{00000143-C2BD-4E74-BA78-14F87465200A}"/>
              </c:ext>
            </c:extLst>
          </c:dPt>
          <c:dPt>
            <c:idx val="300"/>
            <c:bubble3D val="0"/>
            <c:extLst>
              <c:ext xmlns:c16="http://schemas.microsoft.com/office/drawing/2014/chart" uri="{C3380CC4-5D6E-409C-BE32-E72D297353CC}">
                <c16:uniqueId val="{00000144-C2BD-4E74-BA78-14F87465200A}"/>
              </c:ext>
            </c:extLst>
          </c:dPt>
          <c:dPt>
            <c:idx val="301"/>
            <c:bubble3D val="0"/>
            <c:extLst>
              <c:ext xmlns:c16="http://schemas.microsoft.com/office/drawing/2014/chart" uri="{C3380CC4-5D6E-409C-BE32-E72D297353CC}">
                <c16:uniqueId val="{00000145-C2BD-4E74-BA78-14F87465200A}"/>
              </c:ext>
            </c:extLst>
          </c:dPt>
          <c:dPt>
            <c:idx val="302"/>
            <c:bubble3D val="0"/>
            <c:extLst>
              <c:ext xmlns:c16="http://schemas.microsoft.com/office/drawing/2014/chart" uri="{C3380CC4-5D6E-409C-BE32-E72D297353CC}">
                <c16:uniqueId val="{00000146-C2BD-4E74-BA78-14F87465200A}"/>
              </c:ext>
            </c:extLst>
          </c:dPt>
          <c:dPt>
            <c:idx val="303"/>
            <c:bubble3D val="0"/>
            <c:extLst>
              <c:ext xmlns:c16="http://schemas.microsoft.com/office/drawing/2014/chart" uri="{C3380CC4-5D6E-409C-BE32-E72D297353CC}">
                <c16:uniqueId val="{00000147-C2BD-4E74-BA78-14F87465200A}"/>
              </c:ext>
            </c:extLst>
          </c:dPt>
          <c:dPt>
            <c:idx val="304"/>
            <c:bubble3D val="0"/>
            <c:extLst>
              <c:ext xmlns:c16="http://schemas.microsoft.com/office/drawing/2014/chart" uri="{C3380CC4-5D6E-409C-BE32-E72D297353CC}">
                <c16:uniqueId val="{00000148-C2BD-4E74-BA78-14F87465200A}"/>
              </c:ext>
            </c:extLst>
          </c:dPt>
          <c:dPt>
            <c:idx val="305"/>
            <c:bubble3D val="0"/>
            <c:extLst>
              <c:ext xmlns:c16="http://schemas.microsoft.com/office/drawing/2014/chart" uri="{C3380CC4-5D6E-409C-BE32-E72D297353CC}">
                <c16:uniqueId val="{00000149-C2BD-4E74-BA78-14F87465200A}"/>
              </c:ext>
            </c:extLst>
          </c:dPt>
          <c:dPt>
            <c:idx val="306"/>
            <c:bubble3D val="0"/>
            <c:extLst>
              <c:ext xmlns:c16="http://schemas.microsoft.com/office/drawing/2014/chart" uri="{C3380CC4-5D6E-409C-BE32-E72D297353CC}">
                <c16:uniqueId val="{0000014A-C2BD-4E74-BA78-14F87465200A}"/>
              </c:ext>
            </c:extLst>
          </c:dPt>
          <c:dPt>
            <c:idx val="307"/>
            <c:bubble3D val="0"/>
            <c:extLst>
              <c:ext xmlns:c16="http://schemas.microsoft.com/office/drawing/2014/chart" uri="{C3380CC4-5D6E-409C-BE32-E72D297353CC}">
                <c16:uniqueId val="{0000014B-C2BD-4E74-BA78-14F87465200A}"/>
              </c:ext>
            </c:extLst>
          </c:dPt>
          <c:dPt>
            <c:idx val="308"/>
            <c:bubble3D val="0"/>
            <c:extLst>
              <c:ext xmlns:c16="http://schemas.microsoft.com/office/drawing/2014/chart" uri="{C3380CC4-5D6E-409C-BE32-E72D297353CC}">
                <c16:uniqueId val="{0000014C-C2BD-4E74-BA78-14F87465200A}"/>
              </c:ext>
            </c:extLst>
          </c:dPt>
          <c:dPt>
            <c:idx val="309"/>
            <c:bubble3D val="0"/>
            <c:extLst>
              <c:ext xmlns:c16="http://schemas.microsoft.com/office/drawing/2014/chart" uri="{C3380CC4-5D6E-409C-BE32-E72D297353CC}">
                <c16:uniqueId val="{0000014D-C2BD-4E74-BA78-14F87465200A}"/>
              </c:ext>
            </c:extLst>
          </c:dPt>
          <c:dPt>
            <c:idx val="310"/>
            <c:bubble3D val="0"/>
            <c:extLst>
              <c:ext xmlns:c16="http://schemas.microsoft.com/office/drawing/2014/chart" uri="{C3380CC4-5D6E-409C-BE32-E72D297353CC}">
                <c16:uniqueId val="{0000014E-C2BD-4E74-BA78-14F87465200A}"/>
              </c:ext>
            </c:extLst>
          </c:dPt>
          <c:dPt>
            <c:idx val="311"/>
            <c:bubble3D val="0"/>
            <c:extLst>
              <c:ext xmlns:c16="http://schemas.microsoft.com/office/drawing/2014/chart" uri="{C3380CC4-5D6E-409C-BE32-E72D297353CC}">
                <c16:uniqueId val="{0000014F-C2BD-4E74-BA78-14F87465200A}"/>
              </c:ext>
            </c:extLst>
          </c:dPt>
          <c:dPt>
            <c:idx val="312"/>
            <c:bubble3D val="0"/>
            <c:extLst>
              <c:ext xmlns:c16="http://schemas.microsoft.com/office/drawing/2014/chart" uri="{C3380CC4-5D6E-409C-BE32-E72D297353CC}">
                <c16:uniqueId val="{00000150-C2BD-4E74-BA78-14F87465200A}"/>
              </c:ext>
            </c:extLst>
          </c:dPt>
          <c:dPt>
            <c:idx val="313"/>
            <c:bubble3D val="0"/>
            <c:extLst>
              <c:ext xmlns:c16="http://schemas.microsoft.com/office/drawing/2014/chart" uri="{C3380CC4-5D6E-409C-BE32-E72D297353CC}">
                <c16:uniqueId val="{00000151-C2BD-4E74-BA78-14F87465200A}"/>
              </c:ext>
            </c:extLst>
          </c:dPt>
          <c:dPt>
            <c:idx val="314"/>
            <c:bubble3D val="0"/>
            <c:extLst>
              <c:ext xmlns:c16="http://schemas.microsoft.com/office/drawing/2014/chart" uri="{C3380CC4-5D6E-409C-BE32-E72D297353CC}">
                <c16:uniqueId val="{00000152-C2BD-4E74-BA78-14F87465200A}"/>
              </c:ext>
            </c:extLst>
          </c:dPt>
          <c:dPt>
            <c:idx val="315"/>
            <c:bubble3D val="0"/>
            <c:extLst>
              <c:ext xmlns:c16="http://schemas.microsoft.com/office/drawing/2014/chart" uri="{C3380CC4-5D6E-409C-BE32-E72D297353CC}">
                <c16:uniqueId val="{00000153-C2BD-4E74-BA78-14F87465200A}"/>
              </c:ext>
            </c:extLst>
          </c:dPt>
          <c:dPt>
            <c:idx val="316"/>
            <c:bubble3D val="0"/>
            <c:extLst>
              <c:ext xmlns:c16="http://schemas.microsoft.com/office/drawing/2014/chart" uri="{C3380CC4-5D6E-409C-BE32-E72D297353CC}">
                <c16:uniqueId val="{00000154-C2BD-4E74-BA78-14F87465200A}"/>
              </c:ext>
            </c:extLst>
          </c:dPt>
          <c:dPt>
            <c:idx val="317"/>
            <c:bubble3D val="0"/>
            <c:extLst>
              <c:ext xmlns:c16="http://schemas.microsoft.com/office/drawing/2014/chart" uri="{C3380CC4-5D6E-409C-BE32-E72D297353CC}">
                <c16:uniqueId val="{00000155-C2BD-4E74-BA78-14F87465200A}"/>
              </c:ext>
            </c:extLst>
          </c:dPt>
          <c:dPt>
            <c:idx val="318"/>
            <c:bubble3D val="0"/>
            <c:extLst>
              <c:ext xmlns:c16="http://schemas.microsoft.com/office/drawing/2014/chart" uri="{C3380CC4-5D6E-409C-BE32-E72D297353CC}">
                <c16:uniqueId val="{00000156-C2BD-4E74-BA78-14F87465200A}"/>
              </c:ext>
            </c:extLst>
          </c:dPt>
          <c:dPt>
            <c:idx val="319"/>
            <c:bubble3D val="0"/>
            <c:extLst>
              <c:ext xmlns:c16="http://schemas.microsoft.com/office/drawing/2014/chart" uri="{C3380CC4-5D6E-409C-BE32-E72D297353CC}">
                <c16:uniqueId val="{00000157-C2BD-4E74-BA78-14F87465200A}"/>
              </c:ext>
            </c:extLst>
          </c:dPt>
          <c:dPt>
            <c:idx val="320"/>
            <c:bubble3D val="0"/>
            <c:extLst>
              <c:ext xmlns:c16="http://schemas.microsoft.com/office/drawing/2014/chart" uri="{C3380CC4-5D6E-409C-BE32-E72D297353CC}">
                <c16:uniqueId val="{00000158-C2BD-4E74-BA78-14F87465200A}"/>
              </c:ext>
            </c:extLst>
          </c:dPt>
          <c:dPt>
            <c:idx val="321"/>
            <c:bubble3D val="0"/>
            <c:extLst>
              <c:ext xmlns:c16="http://schemas.microsoft.com/office/drawing/2014/chart" uri="{C3380CC4-5D6E-409C-BE32-E72D297353CC}">
                <c16:uniqueId val="{00000159-C2BD-4E74-BA78-14F87465200A}"/>
              </c:ext>
            </c:extLst>
          </c:dPt>
          <c:dPt>
            <c:idx val="322"/>
            <c:bubble3D val="0"/>
            <c:extLst>
              <c:ext xmlns:c16="http://schemas.microsoft.com/office/drawing/2014/chart" uri="{C3380CC4-5D6E-409C-BE32-E72D297353CC}">
                <c16:uniqueId val="{0000015A-C2BD-4E74-BA78-14F87465200A}"/>
              </c:ext>
            </c:extLst>
          </c:dPt>
          <c:dPt>
            <c:idx val="323"/>
            <c:bubble3D val="0"/>
            <c:extLst>
              <c:ext xmlns:c16="http://schemas.microsoft.com/office/drawing/2014/chart" uri="{C3380CC4-5D6E-409C-BE32-E72D297353CC}">
                <c16:uniqueId val="{0000015B-C2BD-4E74-BA78-14F87465200A}"/>
              </c:ext>
            </c:extLst>
          </c:dPt>
          <c:dPt>
            <c:idx val="324"/>
            <c:bubble3D val="0"/>
            <c:extLst>
              <c:ext xmlns:c16="http://schemas.microsoft.com/office/drawing/2014/chart" uri="{C3380CC4-5D6E-409C-BE32-E72D297353CC}">
                <c16:uniqueId val="{0000015C-C2BD-4E74-BA78-14F87465200A}"/>
              </c:ext>
            </c:extLst>
          </c:dPt>
          <c:dPt>
            <c:idx val="325"/>
            <c:bubble3D val="0"/>
            <c:extLst>
              <c:ext xmlns:c16="http://schemas.microsoft.com/office/drawing/2014/chart" uri="{C3380CC4-5D6E-409C-BE32-E72D297353CC}">
                <c16:uniqueId val="{0000015D-C2BD-4E74-BA78-14F87465200A}"/>
              </c:ext>
            </c:extLst>
          </c:dPt>
          <c:dPt>
            <c:idx val="326"/>
            <c:bubble3D val="0"/>
            <c:extLst>
              <c:ext xmlns:c16="http://schemas.microsoft.com/office/drawing/2014/chart" uri="{C3380CC4-5D6E-409C-BE32-E72D297353CC}">
                <c16:uniqueId val="{0000015E-C2BD-4E74-BA78-14F87465200A}"/>
              </c:ext>
            </c:extLst>
          </c:dPt>
          <c:dPt>
            <c:idx val="327"/>
            <c:bubble3D val="0"/>
            <c:extLst>
              <c:ext xmlns:c16="http://schemas.microsoft.com/office/drawing/2014/chart" uri="{C3380CC4-5D6E-409C-BE32-E72D297353CC}">
                <c16:uniqueId val="{0000015F-C2BD-4E74-BA78-14F87465200A}"/>
              </c:ext>
            </c:extLst>
          </c:dPt>
          <c:dPt>
            <c:idx val="328"/>
            <c:bubble3D val="0"/>
            <c:extLst>
              <c:ext xmlns:c16="http://schemas.microsoft.com/office/drawing/2014/chart" uri="{C3380CC4-5D6E-409C-BE32-E72D297353CC}">
                <c16:uniqueId val="{00000160-C2BD-4E74-BA78-14F87465200A}"/>
              </c:ext>
            </c:extLst>
          </c:dPt>
          <c:dPt>
            <c:idx val="329"/>
            <c:bubble3D val="0"/>
            <c:extLst>
              <c:ext xmlns:c16="http://schemas.microsoft.com/office/drawing/2014/chart" uri="{C3380CC4-5D6E-409C-BE32-E72D297353CC}">
                <c16:uniqueId val="{00000161-C2BD-4E74-BA78-14F87465200A}"/>
              </c:ext>
            </c:extLst>
          </c:dPt>
          <c:dPt>
            <c:idx val="330"/>
            <c:bubble3D val="0"/>
            <c:extLst>
              <c:ext xmlns:c16="http://schemas.microsoft.com/office/drawing/2014/chart" uri="{C3380CC4-5D6E-409C-BE32-E72D297353CC}">
                <c16:uniqueId val="{00000162-C2BD-4E74-BA78-14F87465200A}"/>
              </c:ext>
            </c:extLst>
          </c:dPt>
          <c:dPt>
            <c:idx val="331"/>
            <c:bubble3D val="0"/>
            <c:extLst>
              <c:ext xmlns:c16="http://schemas.microsoft.com/office/drawing/2014/chart" uri="{C3380CC4-5D6E-409C-BE32-E72D297353CC}">
                <c16:uniqueId val="{00000163-C2BD-4E74-BA78-14F87465200A}"/>
              </c:ext>
            </c:extLst>
          </c:dPt>
          <c:dPt>
            <c:idx val="332"/>
            <c:bubble3D val="0"/>
            <c:extLst>
              <c:ext xmlns:c16="http://schemas.microsoft.com/office/drawing/2014/chart" uri="{C3380CC4-5D6E-409C-BE32-E72D297353CC}">
                <c16:uniqueId val="{00000164-C2BD-4E74-BA78-14F87465200A}"/>
              </c:ext>
            </c:extLst>
          </c:dPt>
          <c:dPt>
            <c:idx val="333"/>
            <c:bubble3D val="0"/>
            <c:extLst>
              <c:ext xmlns:c16="http://schemas.microsoft.com/office/drawing/2014/chart" uri="{C3380CC4-5D6E-409C-BE32-E72D297353CC}">
                <c16:uniqueId val="{00000165-C2BD-4E74-BA78-14F87465200A}"/>
              </c:ext>
            </c:extLst>
          </c:dPt>
          <c:dPt>
            <c:idx val="334"/>
            <c:bubble3D val="0"/>
            <c:extLst>
              <c:ext xmlns:c16="http://schemas.microsoft.com/office/drawing/2014/chart" uri="{C3380CC4-5D6E-409C-BE32-E72D297353CC}">
                <c16:uniqueId val="{00000166-C2BD-4E74-BA78-14F87465200A}"/>
              </c:ext>
            </c:extLst>
          </c:dPt>
          <c:dPt>
            <c:idx val="335"/>
            <c:bubble3D val="0"/>
            <c:extLst>
              <c:ext xmlns:c16="http://schemas.microsoft.com/office/drawing/2014/chart" uri="{C3380CC4-5D6E-409C-BE32-E72D297353CC}">
                <c16:uniqueId val="{00000167-C2BD-4E74-BA78-14F87465200A}"/>
              </c:ext>
            </c:extLst>
          </c:dPt>
          <c:dPt>
            <c:idx val="336"/>
            <c:bubble3D val="0"/>
            <c:extLst>
              <c:ext xmlns:c16="http://schemas.microsoft.com/office/drawing/2014/chart" uri="{C3380CC4-5D6E-409C-BE32-E72D297353CC}">
                <c16:uniqueId val="{00000168-C2BD-4E74-BA78-14F87465200A}"/>
              </c:ext>
            </c:extLst>
          </c:dPt>
          <c:dPt>
            <c:idx val="337"/>
            <c:bubble3D val="0"/>
            <c:extLst>
              <c:ext xmlns:c16="http://schemas.microsoft.com/office/drawing/2014/chart" uri="{C3380CC4-5D6E-409C-BE32-E72D297353CC}">
                <c16:uniqueId val="{00000169-C2BD-4E74-BA78-14F87465200A}"/>
              </c:ext>
            </c:extLst>
          </c:dPt>
          <c:dPt>
            <c:idx val="338"/>
            <c:bubble3D val="0"/>
            <c:extLst>
              <c:ext xmlns:c16="http://schemas.microsoft.com/office/drawing/2014/chart" uri="{C3380CC4-5D6E-409C-BE32-E72D297353CC}">
                <c16:uniqueId val="{0000016A-C2BD-4E74-BA78-14F87465200A}"/>
              </c:ext>
            </c:extLst>
          </c:dPt>
          <c:dPt>
            <c:idx val="339"/>
            <c:bubble3D val="0"/>
            <c:extLst>
              <c:ext xmlns:c16="http://schemas.microsoft.com/office/drawing/2014/chart" uri="{C3380CC4-5D6E-409C-BE32-E72D297353CC}">
                <c16:uniqueId val="{0000016B-C2BD-4E74-BA78-14F87465200A}"/>
              </c:ext>
            </c:extLst>
          </c:dPt>
          <c:dPt>
            <c:idx val="340"/>
            <c:bubble3D val="0"/>
            <c:extLst>
              <c:ext xmlns:c16="http://schemas.microsoft.com/office/drawing/2014/chart" uri="{C3380CC4-5D6E-409C-BE32-E72D297353CC}">
                <c16:uniqueId val="{0000016C-C2BD-4E74-BA78-14F87465200A}"/>
              </c:ext>
            </c:extLst>
          </c:dPt>
          <c:dPt>
            <c:idx val="341"/>
            <c:bubble3D val="0"/>
            <c:extLst>
              <c:ext xmlns:c16="http://schemas.microsoft.com/office/drawing/2014/chart" uri="{C3380CC4-5D6E-409C-BE32-E72D297353CC}">
                <c16:uniqueId val="{0000016D-C2BD-4E74-BA78-14F87465200A}"/>
              </c:ext>
            </c:extLst>
          </c:dPt>
          <c:dPt>
            <c:idx val="342"/>
            <c:bubble3D val="0"/>
            <c:extLst>
              <c:ext xmlns:c16="http://schemas.microsoft.com/office/drawing/2014/chart" uri="{C3380CC4-5D6E-409C-BE32-E72D297353CC}">
                <c16:uniqueId val="{0000016E-C2BD-4E74-BA78-14F87465200A}"/>
              </c:ext>
            </c:extLst>
          </c:dPt>
          <c:dPt>
            <c:idx val="343"/>
            <c:bubble3D val="0"/>
            <c:extLst>
              <c:ext xmlns:c16="http://schemas.microsoft.com/office/drawing/2014/chart" uri="{C3380CC4-5D6E-409C-BE32-E72D297353CC}">
                <c16:uniqueId val="{0000016F-C2BD-4E74-BA78-14F87465200A}"/>
              </c:ext>
            </c:extLst>
          </c:dPt>
          <c:dPt>
            <c:idx val="344"/>
            <c:bubble3D val="0"/>
            <c:extLst>
              <c:ext xmlns:c16="http://schemas.microsoft.com/office/drawing/2014/chart" uri="{C3380CC4-5D6E-409C-BE32-E72D297353CC}">
                <c16:uniqueId val="{00000170-C2BD-4E74-BA78-14F87465200A}"/>
              </c:ext>
            </c:extLst>
          </c:dPt>
          <c:dPt>
            <c:idx val="345"/>
            <c:bubble3D val="0"/>
            <c:extLst>
              <c:ext xmlns:c16="http://schemas.microsoft.com/office/drawing/2014/chart" uri="{C3380CC4-5D6E-409C-BE32-E72D297353CC}">
                <c16:uniqueId val="{00000171-C2BD-4E74-BA78-14F87465200A}"/>
              </c:ext>
            </c:extLst>
          </c:dPt>
          <c:dPt>
            <c:idx val="346"/>
            <c:bubble3D val="0"/>
            <c:extLst>
              <c:ext xmlns:c16="http://schemas.microsoft.com/office/drawing/2014/chart" uri="{C3380CC4-5D6E-409C-BE32-E72D297353CC}">
                <c16:uniqueId val="{00000172-C2BD-4E74-BA78-14F87465200A}"/>
              </c:ext>
            </c:extLst>
          </c:dPt>
          <c:dPt>
            <c:idx val="347"/>
            <c:bubble3D val="0"/>
            <c:extLst>
              <c:ext xmlns:c16="http://schemas.microsoft.com/office/drawing/2014/chart" uri="{C3380CC4-5D6E-409C-BE32-E72D297353CC}">
                <c16:uniqueId val="{00000173-C2BD-4E74-BA78-14F87465200A}"/>
              </c:ext>
            </c:extLst>
          </c:dPt>
          <c:dPt>
            <c:idx val="348"/>
            <c:bubble3D val="0"/>
            <c:extLst>
              <c:ext xmlns:c16="http://schemas.microsoft.com/office/drawing/2014/chart" uri="{C3380CC4-5D6E-409C-BE32-E72D297353CC}">
                <c16:uniqueId val="{00000174-C2BD-4E74-BA78-14F87465200A}"/>
              </c:ext>
            </c:extLst>
          </c:dPt>
          <c:dPt>
            <c:idx val="349"/>
            <c:bubble3D val="0"/>
            <c:extLst>
              <c:ext xmlns:c16="http://schemas.microsoft.com/office/drawing/2014/chart" uri="{C3380CC4-5D6E-409C-BE32-E72D297353CC}">
                <c16:uniqueId val="{00000175-C2BD-4E74-BA78-14F87465200A}"/>
              </c:ext>
            </c:extLst>
          </c:dPt>
          <c:dPt>
            <c:idx val="350"/>
            <c:bubble3D val="0"/>
            <c:extLst>
              <c:ext xmlns:c16="http://schemas.microsoft.com/office/drawing/2014/chart" uri="{C3380CC4-5D6E-409C-BE32-E72D297353CC}">
                <c16:uniqueId val="{00000176-C2BD-4E74-BA78-14F87465200A}"/>
              </c:ext>
            </c:extLst>
          </c:dPt>
          <c:dPt>
            <c:idx val="351"/>
            <c:bubble3D val="0"/>
            <c:extLst>
              <c:ext xmlns:c16="http://schemas.microsoft.com/office/drawing/2014/chart" uri="{C3380CC4-5D6E-409C-BE32-E72D297353CC}">
                <c16:uniqueId val="{00000177-C2BD-4E74-BA78-14F87465200A}"/>
              </c:ext>
            </c:extLst>
          </c:dPt>
          <c:dPt>
            <c:idx val="352"/>
            <c:bubble3D val="0"/>
            <c:extLst>
              <c:ext xmlns:c16="http://schemas.microsoft.com/office/drawing/2014/chart" uri="{C3380CC4-5D6E-409C-BE32-E72D297353CC}">
                <c16:uniqueId val="{00000178-C2BD-4E74-BA78-14F87465200A}"/>
              </c:ext>
            </c:extLst>
          </c:dPt>
          <c:dPt>
            <c:idx val="353"/>
            <c:bubble3D val="0"/>
            <c:extLst>
              <c:ext xmlns:c16="http://schemas.microsoft.com/office/drawing/2014/chart" uri="{C3380CC4-5D6E-409C-BE32-E72D297353CC}">
                <c16:uniqueId val="{00000179-C2BD-4E74-BA78-14F87465200A}"/>
              </c:ext>
            </c:extLst>
          </c:dPt>
          <c:dPt>
            <c:idx val="354"/>
            <c:bubble3D val="0"/>
            <c:extLst>
              <c:ext xmlns:c16="http://schemas.microsoft.com/office/drawing/2014/chart" uri="{C3380CC4-5D6E-409C-BE32-E72D297353CC}">
                <c16:uniqueId val="{0000017A-C2BD-4E74-BA78-14F87465200A}"/>
              </c:ext>
            </c:extLst>
          </c:dPt>
          <c:dPt>
            <c:idx val="355"/>
            <c:bubble3D val="0"/>
            <c:extLst>
              <c:ext xmlns:c16="http://schemas.microsoft.com/office/drawing/2014/chart" uri="{C3380CC4-5D6E-409C-BE32-E72D297353CC}">
                <c16:uniqueId val="{0000017B-C2BD-4E74-BA78-14F87465200A}"/>
              </c:ext>
            </c:extLst>
          </c:dPt>
          <c:dPt>
            <c:idx val="356"/>
            <c:bubble3D val="0"/>
            <c:extLst>
              <c:ext xmlns:c16="http://schemas.microsoft.com/office/drawing/2014/chart" uri="{C3380CC4-5D6E-409C-BE32-E72D297353CC}">
                <c16:uniqueId val="{0000017C-C2BD-4E74-BA78-14F87465200A}"/>
              </c:ext>
            </c:extLst>
          </c:dPt>
          <c:dPt>
            <c:idx val="357"/>
            <c:bubble3D val="0"/>
            <c:extLst>
              <c:ext xmlns:c16="http://schemas.microsoft.com/office/drawing/2014/chart" uri="{C3380CC4-5D6E-409C-BE32-E72D297353CC}">
                <c16:uniqueId val="{0000017D-C2BD-4E74-BA78-14F87465200A}"/>
              </c:ext>
            </c:extLst>
          </c:dPt>
          <c:dPt>
            <c:idx val="358"/>
            <c:bubble3D val="0"/>
            <c:extLst>
              <c:ext xmlns:c16="http://schemas.microsoft.com/office/drawing/2014/chart" uri="{C3380CC4-5D6E-409C-BE32-E72D297353CC}">
                <c16:uniqueId val="{0000017E-C2BD-4E74-BA78-14F87465200A}"/>
              </c:ext>
            </c:extLst>
          </c:dPt>
          <c:dPt>
            <c:idx val="359"/>
            <c:bubble3D val="0"/>
            <c:extLst>
              <c:ext xmlns:c16="http://schemas.microsoft.com/office/drawing/2014/chart" uri="{C3380CC4-5D6E-409C-BE32-E72D297353CC}">
                <c16:uniqueId val="{0000017F-C2BD-4E74-BA78-14F87465200A}"/>
              </c:ext>
            </c:extLst>
          </c:dPt>
          <c:dPt>
            <c:idx val="360"/>
            <c:bubble3D val="0"/>
            <c:extLst>
              <c:ext xmlns:c16="http://schemas.microsoft.com/office/drawing/2014/chart" uri="{C3380CC4-5D6E-409C-BE32-E72D297353CC}">
                <c16:uniqueId val="{00000180-C2BD-4E74-BA78-14F87465200A}"/>
              </c:ext>
            </c:extLst>
          </c:dPt>
          <c:dPt>
            <c:idx val="361"/>
            <c:bubble3D val="0"/>
            <c:extLst>
              <c:ext xmlns:c16="http://schemas.microsoft.com/office/drawing/2014/chart" uri="{C3380CC4-5D6E-409C-BE32-E72D297353CC}">
                <c16:uniqueId val="{00000181-C2BD-4E74-BA78-14F87465200A}"/>
              </c:ext>
            </c:extLst>
          </c:dPt>
          <c:dPt>
            <c:idx val="362"/>
            <c:bubble3D val="0"/>
            <c:extLst>
              <c:ext xmlns:c16="http://schemas.microsoft.com/office/drawing/2014/chart" uri="{C3380CC4-5D6E-409C-BE32-E72D297353CC}">
                <c16:uniqueId val="{00000182-C2BD-4E74-BA78-14F87465200A}"/>
              </c:ext>
            </c:extLst>
          </c:dPt>
          <c:dPt>
            <c:idx val="363"/>
            <c:bubble3D val="0"/>
            <c:extLst>
              <c:ext xmlns:c16="http://schemas.microsoft.com/office/drawing/2014/chart" uri="{C3380CC4-5D6E-409C-BE32-E72D297353CC}">
                <c16:uniqueId val="{00000183-C2BD-4E74-BA78-14F87465200A}"/>
              </c:ext>
            </c:extLst>
          </c:dPt>
          <c:dPt>
            <c:idx val="364"/>
            <c:bubble3D val="0"/>
            <c:extLst>
              <c:ext xmlns:c16="http://schemas.microsoft.com/office/drawing/2014/chart" uri="{C3380CC4-5D6E-409C-BE32-E72D297353CC}">
                <c16:uniqueId val="{00000184-C2BD-4E74-BA78-14F87465200A}"/>
              </c:ext>
            </c:extLst>
          </c:dPt>
          <c:dPt>
            <c:idx val="365"/>
            <c:bubble3D val="0"/>
            <c:extLst>
              <c:ext xmlns:c16="http://schemas.microsoft.com/office/drawing/2014/chart" uri="{C3380CC4-5D6E-409C-BE32-E72D297353CC}">
                <c16:uniqueId val="{00000185-C2BD-4E74-BA78-14F87465200A}"/>
              </c:ext>
            </c:extLst>
          </c:dPt>
          <c:dPt>
            <c:idx val="366"/>
            <c:bubble3D val="0"/>
            <c:extLst>
              <c:ext xmlns:c16="http://schemas.microsoft.com/office/drawing/2014/chart" uri="{C3380CC4-5D6E-409C-BE32-E72D297353CC}">
                <c16:uniqueId val="{00000186-C2BD-4E74-BA78-14F87465200A}"/>
              </c:ext>
            </c:extLst>
          </c:dPt>
          <c:dPt>
            <c:idx val="367"/>
            <c:bubble3D val="0"/>
            <c:extLst>
              <c:ext xmlns:c16="http://schemas.microsoft.com/office/drawing/2014/chart" uri="{C3380CC4-5D6E-409C-BE32-E72D297353CC}">
                <c16:uniqueId val="{00000187-C2BD-4E74-BA78-14F87465200A}"/>
              </c:ext>
            </c:extLst>
          </c:dPt>
          <c:dPt>
            <c:idx val="368"/>
            <c:bubble3D val="0"/>
            <c:extLst>
              <c:ext xmlns:c16="http://schemas.microsoft.com/office/drawing/2014/chart" uri="{C3380CC4-5D6E-409C-BE32-E72D297353CC}">
                <c16:uniqueId val="{00000188-C2BD-4E74-BA78-14F87465200A}"/>
              </c:ext>
            </c:extLst>
          </c:dPt>
          <c:dPt>
            <c:idx val="369"/>
            <c:bubble3D val="0"/>
            <c:extLst>
              <c:ext xmlns:c16="http://schemas.microsoft.com/office/drawing/2014/chart" uri="{C3380CC4-5D6E-409C-BE32-E72D297353CC}">
                <c16:uniqueId val="{00000189-C2BD-4E74-BA78-14F87465200A}"/>
              </c:ext>
            </c:extLst>
          </c:dPt>
          <c:dPt>
            <c:idx val="370"/>
            <c:bubble3D val="0"/>
            <c:extLst>
              <c:ext xmlns:c16="http://schemas.microsoft.com/office/drawing/2014/chart" uri="{C3380CC4-5D6E-409C-BE32-E72D297353CC}">
                <c16:uniqueId val="{0000018A-C2BD-4E74-BA78-14F87465200A}"/>
              </c:ext>
            </c:extLst>
          </c:dPt>
          <c:dPt>
            <c:idx val="371"/>
            <c:bubble3D val="0"/>
            <c:extLst>
              <c:ext xmlns:c16="http://schemas.microsoft.com/office/drawing/2014/chart" uri="{C3380CC4-5D6E-409C-BE32-E72D297353CC}">
                <c16:uniqueId val="{0000018B-C2BD-4E74-BA78-14F87465200A}"/>
              </c:ext>
            </c:extLst>
          </c:dPt>
          <c:dPt>
            <c:idx val="372"/>
            <c:bubble3D val="0"/>
            <c:extLst>
              <c:ext xmlns:c16="http://schemas.microsoft.com/office/drawing/2014/chart" uri="{C3380CC4-5D6E-409C-BE32-E72D297353CC}">
                <c16:uniqueId val="{0000018C-C2BD-4E74-BA78-14F87465200A}"/>
              </c:ext>
            </c:extLst>
          </c:dPt>
          <c:dPt>
            <c:idx val="373"/>
            <c:bubble3D val="0"/>
            <c:extLst>
              <c:ext xmlns:c16="http://schemas.microsoft.com/office/drawing/2014/chart" uri="{C3380CC4-5D6E-409C-BE32-E72D297353CC}">
                <c16:uniqueId val="{0000018D-C2BD-4E74-BA78-14F87465200A}"/>
              </c:ext>
            </c:extLst>
          </c:dPt>
          <c:dPt>
            <c:idx val="374"/>
            <c:bubble3D val="0"/>
            <c:extLst>
              <c:ext xmlns:c16="http://schemas.microsoft.com/office/drawing/2014/chart" uri="{C3380CC4-5D6E-409C-BE32-E72D297353CC}">
                <c16:uniqueId val="{0000018E-C2BD-4E74-BA78-14F87465200A}"/>
              </c:ext>
            </c:extLst>
          </c:dPt>
          <c:dPt>
            <c:idx val="375"/>
            <c:bubble3D val="0"/>
            <c:extLst>
              <c:ext xmlns:c16="http://schemas.microsoft.com/office/drawing/2014/chart" uri="{C3380CC4-5D6E-409C-BE32-E72D297353CC}">
                <c16:uniqueId val="{0000018F-C2BD-4E74-BA78-14F87465200A}"/>
              </c:ext>
            </c:extLst>
          </c:dPt>
          <c:dPt>
            <c:idx val="376"/>
            <c:bubble3D val="0"/>
            <c:extLst>
              <c:ext xmlns:c16="http://schemas.microsoft.com/office/drawing/2014/chart" uri="{C3380CC4-5D6E-409C-BE32-E72D297353CC}">
                <c16:uniqueId val="{00000190-C2BD-4E74-BA78-14F87465200A}"/>
              </c:ext>
            </c:extLst>
          </c:dPt>
          <c:dPt>
            <c:idx val="377"/>
            <c:bubble3D val="0"/>
            <c:extLst>
              <c:ext xmlns:c16="http://schemas.microsoft.com/office/drawing/2014/chart" uri="{C3380CC4-5D6E-409C-BE32-E72D297353CC}">
                <c16:uniqueId val="{00000191-C2BD-4E74-BA78-14F87465200A}"/>
              </c:ext>
            </c:extLst>
          </c:dPt>
          <c:dPt>
            <c:idx val="378"/>
            <c:bubble3D val="0"/>
            <c:extLst>
              <c:ext xmlns:c16="http://schemas.microsoft.com/office/drawing/2014/chart" uri="{C3380CC4-5D6E-409C-BE32-E72D297353CC}">
                <c16:uniqueId val="{00000192-C2BD-4E74-BA78-14F87465200A}"/>
              </c:ext>
            </c:extLst>
          </c:dPt>
          <c:dPt>
            <c:idx val="379"/>
            <c:bubble3D val="0"/>
            <c:extLst>
              <c:ext xmlns:c16="http://schemas.microsoft.com/office/drawing/2014/chart" uri="{C3380CC4-5D6E-409C-BE32-E72D297353CC}">
                <c16:uniqueId val="{00000193-C2BD-4E74-BA78-14F87465200A}"/>
              </c:ext>
            </c:extLst>
          </c:dPt>
          <c:dPt>
            <c:idx val="380"/>
            <c:bubble3D val="0"/>
            <c:extLst>
              <c:ext xmlns:c16="http://schemas.microsoft.com/office/drawing/2014/chart" uri="{C3380CC4-5D6E-409C-BE32-E72D297353CC}">
                <c16:uniqueId val="{00000194-C2BD-4E74-BA78-14F87465200A}"/>
              </c:ext>
            </c:extLst>
          </c:dPt>
          <c:dPt>
            <c:idx val="381"/>
            <c:bubble3D val="0"/>
            <c:extLst>
              <c:ext xmlns:c16="http://schemas.microsoft.com/office/drawing/2014/chart" uri="{C3380CC4-5D6E-409C-BE32-E72D297353CC}">
                <c16:uniqueId val="{00000195-C2BD-4E74-BA78-14F87465200A}"/>
              </c:ext>
            </c:extLst>
          </c:dPt>
          <c:dPt>
            <c:idx val="382"/>
            <c:bubble3D val="0"/>
            <c:extLst>
              <c:ext xmlns:c16="http://schemas.microsoft.com/office/drawing/2014/chart" uri="{C3380CC4-5D6E-409C-BE32-E72D297353CC}">
                <c16:uniqueId val="{00000196-C2BD-4E74-BA78-14F87465200A}"/>
              </c:ext>
            </c:extLst>
          </c:dPt>
          <c:dPt>
            <c:idx val="383"/>
            <c:bubble3D val="0"/>
            <c:extLst>
              <c:ext xmlns:c16="http://schemas.microsoft.com/office/drawing/2014/chart" uri="{C3380CC4-5D6E-409C-BE32-E72D297353CC}">
                <c16:uniqueId val="{00000197-C2BD-4E74-BA78-14F87465200A}"/>
              </c:ext>
            </c:extLst>
          </c:dPt>
          <c:dPt>
            <c:idx val="384"/>
            <c:bubble3D val="0"/>
            <c:extLst>
              <c:ext xmlns:c16="http://schemas.microsoft.com/office/drawing/2014/chart" uri="{C3380CC4-5D6E-409C-BE32-E72D297353CC}">
                <c16:uniqueId val="{00000198-C2BD-4E74-BA78-14F87465200A}"/>
              </c:ext>
            </c:extLst>
          </c:dPt>
          <c:dPt>
            <c:idx val="385"/>
            <c:bubble3D val="0"/>
            <c:extLst>
              <c:ext xmlns:c16="http://schemas.microsoft.com/office/drawing/2014/chart" uri="{C3380CC4-5D6E-409C-BE32-E72D297353CC}">
                <c16:uniqueId val="{00000199-C2BD-4E74-BA78-14F87465200A}"/>
              </c:ext>
            </c:extLst>
          </c:dPt>
          <c:dPt>
            <c:idx val="386"/>
            <c:bubble3D val="0"/>
            <c:extLst>
              <c:ext xmlns:c16="http://schemas.microsoft.com/office/drawing/2014/chart" uri="{C3380CC4-5D6E-409C-BE32-E72D297353CC}">
                <c16:uniqueId val="{0000019A-C2BD-4E74-BA78-14F87465200A}"/>
              </c:ext>
            </c:extLst>
          </c:dPt>
          <c:dPt>
            <c:idx val="387"/>
            <c:bubble3D val="0"/>
            <c:extLst>
              <c:ext xmlns:c16="http://schemas.microsoft.com/office/drawing/2014/chart" uri="{C3380CC4-5D6E-409C-BE32-E72D297353CC}">
                <c16:uniqueId val="{0000019B-C2BD-4E74-BA78-14F87465200A}"/>
              </c:ext>
            </c:extLst>
          </c:dPt>
          <c:dPt>
            <c:idx val="388"/>
            <c:bubble3D val="0"/>
            <c:extLst>
              <c:ext xmlns:c16="http://schemas.microsoft.com/office/drawing/2014/chart" uri="{C3380CC4-5D6E-409C-BE32-E72D297353CC}">
                <c16:uniqueId val="{0000019C-C2BD-4E74-BA78-14F87465200A}"/>
              </c:ext>
            </c:extLst>
          </c:dPt>
          <c:dPt>
            <c:idx val="389"/>
            <c:bubble3D val="0"/>
            <c:extLst>
              <c:ext xmlns:c16="http://schemas.microsoft.com/office/drawing/2014/chart" uri="{C3380CC4-5D6E-409C-BE32-E72D297353CC}">
                <c16:uniqueId val="{0000019D-C2BD-4E74-BA78-14F87465200A}"/>
              </c:ext>
            </c:extLst>
          </c:dPt>
          <c:dPt>
            <c:idx val="390"/>
            <c:bubble3D val="0"/>
            <c:extLst>
              <c:ext xmlns:c16="http://schemas.microsoft.com/office/drawing/2014/chart" uri="{C3380CC4-5D6E-409C-BE32-E72D297353CC}">
                <c16:uniqueId val="{0000019E-C2BD-4E74-BA78-14F87465200A}"/>
              </c:ext>
            </c:extLst>
          </c:dPt>
          <c:dPt>
            <c:idx val="391"/>
            <c:bubble3D val="0"/>
            <c:extLst>
              <c:ext xmlns:c16="http://schemas.microsoft.com/office/drawing/2014/chart" uri="{C3380CC4-5D6E-409C-BE32-E72D297353CC}">
                <c16:uniqueId val="{0000019F-C2BD-4E74-BA78-14F87465200A}"/>
              </c:ext>
            </c:extLst>
          </c:dPt>
          <c:dPt>
            <c:idx val="392"/>
            <c:bubble3D val="0"/>
            <c:extLst>
              <c:ext xmlns:c16="http://schemas.microsoft.com/office/drawing/2014/chart" uri="{C3380CC4-5D6E-409C-BE32-E72D297353CC}">
                <c16:uniqueId val="{000001A0-C2BD-4E74-BA78-14F87465200A}"/>
              </c:ext>
            </c:extLst>
          </c:dPt>
          <c:dPt>
            <c:idx val="393"/>
            <c:bubble3D val="0"/>
            <c:extLst>
              <c:ext xmlns:c16="http://schemas.microsoft.com/office/drawing/2014/chart" uri="{C3380CC4-5D6E-409C-BE32-E72D297353CC}">
                <c16:uniqueId val="{000001A1-C2BD-4E74-BA78-14F87465200A}"/>
              </c:ext>
            </c:extLst>
          </c:dPt>
          <c:dPt>
            <c:idx val="394"/>
            <c:bubble3D val="0"/>
            <c:extLst>
              <c:ext xmlns:c16="http://schemas.microsoft.com/office/drawing/2014/chart" uri="{C3380CC4-5D6E-409C-BE32-E72D297353CC}">
                <c16:uniqueId val="{000001A2-C2BD-4E74-BA78-14F87465200A}"/>
              </c:ext>
            </c:extLst>
          </c:dPt>
          <c:dPt>
            <c:idx val="395"/>
            <c:bubble3D val="0"/>
            <c:extLst>
              <c:ext xmlns:c16="http://schemas.microsoft.com/office/drawing/2014/chart" uri="{C3380CC4-5D6E-409C-BE32-E72D297353CC}">
                <c16:uniqueId val="{000001A3-C2BD-4E74-BA78-14F87465200A}"/>
              </c:ext>
            </c:extLst>
          </c:dPt>
          <c:dPt>
            <c:idx val="396"/>
            <c:bubble3D val="0"/>
            <c:extLst>
              <c:ext xmlns:c16="http://schemas.microsoft.com/office/drawing/2014/chart" uri="{C3380CC4-5D6E-409C-BE32-E72D297353CC}">
                <c16:uniqueId val="{000001A4-C2BD-4E74-BA78-14F87465200A}"/>
              </c:ext>
            </c:extLst>
          </c:dPt>
          <c:dPt>
            <c:idx val="397"/>
            <c:bubble3D val="0"/>
            <c:extLst>
              <c:ext xmlns:c16="http://schemas.microsoft.com/office/drawing/2014/chart" uri="{C3380CC4-5D6E-409C-BE32-E72D297353CC}">
                <c16:uniqueId val="{000001A5-C2BD-4E74-BA78-14F87465200A}"/>
              </c:ext>
            </c:extLst>
          </c:dPt>
          <c:dPt>
            <c:idx val="398"/>
            <c:bubble3D val="0"/>
            <c:extLst>
              <c:ext xmlns:c16="http://schemas.microsoft.com/office/drawing/2014/chart" uri="{C3380CC4-5D6E-409C-BE32-E72D297353CC}">
                <c16:uniqueId val="{000001A6-C2BD-4E74-BA78-14F87465200A}"/>
              </c:ext>
            </c:extLst>
          </c:dPt>
          <c:dPt>
            <c:idx val="399"/>
            <c:bubble3D val="0"/>
            <c:extLst>
              <c:ext xmlns:c16="http://schemas.microsoft.com/office/drawing/2014/chart" uri="{C3380CC4-5D6E-409C-BE32-E72D297353CC}">
                <c16:uniqueId val="{000001A7-C2BD-4E74-BA78-14F87465200A}"/>
              </c:ext>
            </c:extLst>
          </c:dPt>
          <c:dPt>
            <c:idx val="400"/>
            <c:bubble3D val="0"/>
            <c:extLst>
              <c:ext xmlns:c16="http://schemas.microsoft.com/office/drawing/2014/chart" uri="{C3380CC4-5D6E-409C-BE32-E72D297353CC}">
                <c16:uniqueId val="{000001A8-C2BD-4E74-BA78-14F87465200A}"/>
              </c:ext>
            </c:extLst>
          </c:dPt>
          <c:dPt>
            <c:idx val="401"/>
            <c:bubble3D val="0"/>
            <c:extLst>
              <c:ext xmlns:c16="http://schemas.microsoft.com/office/drawing/2014/chart" uri="{C3380CC4-5D6E-409C-BE32-E72D297353CC}">
                <c16:uniqueId val="{000001A9-C2BD-4E74-BA78-14F87465200A}"/>
              </c:ext>
            </c:extLst>
          </c:dPt>
          <c:dPt>
            <c:idx val="402"/>
            <c:bubble3D val="0"/>
            <c:extLst>
              <c:ext xmlns:c16="http://schemas.microsoft.com/office/drawing/2014/chart" uri="{C3380CC4-5D6E-409C-BE32-E72D297353CC}">
                <c16:uniqueId val="{000001AA-C2BD-4E74-BA78-14F87465200A}"/>
              </c:ext>
            </c:extLst>
          </c:dPt>
          <c:dPt>
            <c:idx val="403"/>
            <c:bubble3D val="0"/>
            <c:extLst>
              <c:ext xmlns:c16="http://schemas.microsoft.com/office/drawing/2014/chart" uri="{C3380CC4-5D6E-409C-BE32-E72D297353CC}">
                <c16:uniqueId val="{000001AB-C2BD-4E74-BA78-14F87465200A}"/>
              </c:ext>
            </c:extLst>
          </c:dPt>
          <c:dPt>
            <c:idx val="404"/>
            <c:bubble3D val="0"/>
            <c:extLst>
              <c:ext xmlns:c16="http://schemas.microsoft.com/office/drawing/2014/chart" uri="{C3380CC4-5D6E-409C-BE32-E72D297353CC}">
                <c16:uniqueId val="{000001AC-C2BD-4E74-BA78-14F87465200A}"/>
              </c:ext>
            </c:extLst>
          </c:dPt>
          <c:dPt>
            <c:idx val="405"/>
            <c:bubble3D val="0"/>
            <c:extLst>
              <c:ext xmlns:c16="http://schemas.microsoft.com/office/drawing/2014/chart" uri="{C3380CC4-5D6E-409C-BE32-E72D297353CC}">
                <c16:uniqueId val="{000001AD-C2BD-4E74-BA78-14F87465200A}"/>
              </c:ext>
            </c:extLst>
          </c:dPt>
          <c:dPt>
            <c:idx val="406"/>
            <c:bubble3D val="0"/>
            <c:extLst>
              <c:ext xmlns:c16="http://schemas.microsoft.com/office/drawing/2014/chart" uri="{C3380CC4-5D6E-409C-BE32-E72D297353CC}">
                <c16:uniqueId val="{000001AE-C2BD-4E74-BA78-14F87465200A}"/>
              </c:ext>
            </c:extLst>
          </c:dPt>
          <c:dPt>
            <c:idx val="407"/>
            <c:bubble3D val="0"/>
            <c:extLst>
              <c:ext xmlns:c16="http://schemas.microsoft.com/office/drawing/2014/chart" uri="{C3380CC4-5D6E-409C-BE32-E72D297353CC}">
                <c16:uniqueId val="{000001AF-C2BD-4E74-BA78-14F87465200A}"/>
              </c:ext>
            </c:extLst>
          </c:dPt>
          <c:dPt>
            <c:idx val="408"/>
            <c:bubble3D val="0"/>
            <c:extLst>
              <c:ext xmlns:c16="http://schemas.microsoft.com/office/drawing/2014/chart" uri="{C3380CC4-5D6E-409C-BE32-E72D297353CC}">
                <c16:uniqueId val="{000001B0-C2BD-4E74-BA78-14F87465200A}"/>
              </c:ext>
            </c:extLst>
          </c:dPt>
          <c:dPt>
            <c:idx val="409"/>
            <c:bubble3D val="0"/>
            <c:extLst>
              <c:ext xmlns:c16="http://schemas.microsoft.com/office/drawing/2014/chart" uri="{C3380CC4-5D6E-409C-BE32-E72D297353CC}">
                <c16:uniqueId val="{000001B1-C2BD-4E74-BA78-14F87465200A}"/>
              </c:ext>
            </c:extLst>
          </c:dPt>
          <c:dPt>
            <c:idx val="410"/>
            <c:bubble3D val="0"/>
            <c:extLst>
              <c:ext xmlns:c16="http://schemas.microsoft.com/office/drawing/2014/chart" uri="{C3380CC4-5D6E-409C-BE32-E72D297353CC}">
                <c16:uniqueId val="{000001B2-C2BD-4E74-BA78-14F87465200A}"/>
              </c:ext>
            </c:extLst>
          </c:dPt>
          <c:dPt>
            <c:idx val="411"/>
            <c:bubble3D val="0"/>
            <c:extLst>
              <c:ext xmlns:c16="http://schemas.microsoft.com/office/drawing/2014/chart" uri="{C3380CC4-5D6E-409C-BE32-E72D297353CC}">
                <c16:uniqueId val="{000001B3-C2BD-4E74-BA78-14F87465200A}"/>
              </c:ext>
            </c:extLst>
          </c:dPt>
          <c:dPt>
            <c:idx val="412"/>
            <c:bubble3D val="0"/>
            <c:extLst>
              <c:ext xmlns:c16="http://schemas.microsoft.com/office/drawing/2014/chart" uri="{C3380CC4-5D6E-409C-BE32-E72D297353CC}">
                <c16:uniqueId val="{000001B4-C2BD-4E74-BA78-14F87465200A}"/>
              </c:ext>
            </c:extLst>
          </c:dPt>
          <c:dPt>
            <c:idx val="413"/>
            <c:bubble3D val="0"/>
            <c:extLst>
              <c:ext xmlns:c16="http://schemas.microsoft.com/office/drawing/2014/chart" uri="{C3380CC4-5D6E-409C-BE32-E72D297353CC}">
                <c16:uniqueId val="{000001B5-C2BD-4E74-BA78-14F87465200A}"/>
              </c:ext>
            </c:extLst>
          </c:dPt>
          <c:dPt>
            <c:idx val="414"/>
            <c:bubble3D val="0"/>
            <c:extLst>
              <c:ext xmlns:c16="http://schemas.microsoft.com/office/drawing/2014/chart" uri="{C3380CC4-5D6E-409C-BE32-E72D297353CC}">
                <c16:uniqueId val="{000001B6-C2BD-4E74-BA78-14F87465200A}"/>
              </c:ext>
            </c:extLst>
          </c:dPt>
          <c:dPt>
            <c:idx val="415"/>
            <c:bubble3D val="0"/>
            <c:extLst>
              <c:ext xmlns:c16="http://schemas.microsoft.com/office/drawing/2014/chart" uri="{C3380CC4-5D6E-409C-BE32-E72D297353CC}">
                <c16:uniqueId val="{000001B7-C2BD-4E74-BA78-14F87465200A}"/>
              </c:ext>
            </c:extLst>
          </c:dPt>
          <c:dPt>
            <c:idx val="416"/>
            <c:bubble3D val="0"/>
            <c:extLst>
              <c:ext xmlns:c16="http://schemas.microsoft.com/office/drawing/2014/chart" uri="{C3380CC4-5D6E-409C-BE32-E72D297353CC}">
                <c16:uniqueId val="{000001B8-C2BD-4E74-BA78-14F87465200A}"/>
              </c:ext>
            </c:extLst>
          </c:dPt>
          <c:dPt>
            <c:idx val="417"/>
            <c:bubble3D val="0"/>
            <c:extLst>
              <c:ext xmlns:c16="http://schemas.microsoft.com/office/drawing/2014/chart" uri="{C3380CC4-5D6E-409C-BE32-E72D297353CC}">
                <c16:uniqueId val="{000001B9-C2BD-4E74-BA78-14F87465200A}"/>
              </c:ext>
            </c:extLst>
          </c:dPt>
          <c:dPt>
            <c:idx val="418"/>
            <c:bubble3D val="0"/>
            <c:extLst>
              <c:ext xmlns:c16="http://schemas.microsoft.com/office/drawing/2014/chart" uri="{C3380CC4-5D6E-409C-BE32-E72D297353CC}">
                <c16:uniqueId val="{000001BA-C2BD-4E74-BA78-14F87465200A}"/>
              </c:ext>
            </c:extLst>
          </c:dPt>
          <c:dPt>
            <c:idx val="419"/>
            <c:bubble3D val="0"/>
            <c:extLst>
              <c:ext xmlns:c16="http://schemas.microsoft.com/office/drawing/2014/chart" uri="{C3380CC4-5D6E-409C-BE32-E72D297353CC}">
                <c16:uniqueId val="{000001BB-C2BD-4E74-BA78-14F87465200A}"/>
              </c:ext>
            </c:extLst>
          </c:dPt>
          <c:dPt>
            <c:idx val="420"/>
            <c:bubble3D val="0"/>
            <c:extLst>
              <c:ext xmlns:c16="http://schemas.microsoft.com/office/drawing/2014/chart" uri="{C3380CC4-5D6E-409C-BE32-E72D297353CC}">
                <c16:uniqueId val="{000001BC-C2BD-4E74-BA78-14F87465200A}"/>
              </c:ext>
            </c:extLst>
          </c:dPt>
          <c:dPt>
            <c:idx val="421"/>
            <c:bubble3D val="0"/>
            <c:extLst>
              <c:ext xmlns:c16="http://schemas.microsoft.com/office/drawing/2014/chart" uri="{C3380CC4-5D6E-409C-BE32-E72D297353CC}">
                <c16:uniqueId val="{000001BD-C2BD-4E74-BA78-14F87465200A}"/>
              </c:ext>
            </c:extLst>
          </c:dPt>
          <c:dPt>
            <c:idx val="422"/>
            <c:bubble3D val="0"/>
            <c:extLst>
              <c:ext xmlns:c16="http://schemas.microsoft.com/office/drawing/2014/chart" uri="{C3380CC4-5D6E-409C-BE32-E72D297353CC}">
                <c16:uniqueId val="{000001BE-C2BD-4E74-BA78-14F87465200A}"/>
              </c:ext>
            </c:extLst>
          </c:dPt>
          <c:dPt>
            <c:idx val="423"/>
            <c:bubble3D val="0"/>
            <c:extLst>
              <c:ext xmlns:c16="http://schemas.microsoft.com/office/drawing/2014/chart" uri="{C3380CC4-5D6E-409C-BE32-E72D297353CC}">
                <c16:uniqueId val="{000001BF-C2BD-4E74-BA78-14F87465200A}"/>
              </c:ext>
            </c:extLst>
          </c:dPt>
          <c:dPt>
            <c:idx val="424"/>
            <c:bubble3D val="0"/>
            <c:extLst>
              <c:ext xmlns:c16="http://schemas.microsoft.com/office/drawing/2014/chart" uri="{C3380CC4-5D6E-409C-BE32-E72D297353CC}">
                <c16:uniqueId val="{000001C0-C2BD-4E74-BA78-14F87465200A}"/>
              </c:ext>
            </c:extLst>
          </c:dPt>
          <c:dPt>
            <c:idx val="425"/>
            <c:bubble3D val="0"/>
            <c:extLst>
              <c:ext xmlns:c16="http://schemas.microsoft.com/office/drawing/2014/chart" uri="{C3380CC4-5D6E-409C-BE32-E72D297353CC}">
                <c16:uniqueId val="{000001C1-C2BD-4E74-BA78-14F87465200A}"/>
              </c:ext>
            </c:extLst>
          </c:dPt>
          <c:dPt>
            <c:idx val="426"/>
            <c:bubble3D val="0"/>
            <c:extLst>
              <c:ext xmlns:c16="http://schemas.microsoft.com/office/drawing/2014/chart" uri="{C3380CC4-5D6E-409C-BE32-E72D297353CC}">
                <c16:uniqueId val="{000001C2-C2BD-4E74-BA78-14F87465200A}"/>
              </c:ext>
            </c:extLst>
          </c:dPt>
          <c:dPt>
            <c:idx val="427"/>
            <c:bubble3D val="0"/>
            <c:extLst>
              <c:ext xmlns:c16="http://schemas.microsoft.com/office/drawing/2014/chart" uri="{C3380CC4-5D6E-409C-BE32-E72D297353CC}">
                <c16:uniqueId val="{000001C3-C2BD-4E74-BA78-14F87465200A}"/>
              </c:ext>
            </c:extLst>
          </c:dPt>
          <c:dPt>
            <c:idx val="428"/>
            <c:bubble3D val="0"/>
            <c:extLst>
              <c:ext xmlns:c16="http://schemas.microsoft.com/office/drawing/2014/chart" uri="{C3380CC4-5D6E-409C-BE32-E72D297353CC}">
                <c16:uniqueId val="{000001C4-C2BD-4E74-BA78-14F87465200A}"/>
              </c:ext>
            </c:extLst>
          </c:dPt>
          <c:dPt>
            <c:idx val="429"/>
            <c:bubble3D val="0"/>
            <c:extLst>
              <c:ext xmlns:c16="http://schemas.microsoft.com/office/drawing/2014/chart" uri="{C3380CC4-5D6E-409C-BE32-E72D297353CC}">
                <c16:uniqueId val="{000001C5-C2BD-4E74-BA78-14F87465200A}"/>
              </c:ext>
            </c:extLst>
          </c:dPt>
          <c:dPt>
            <c:idx val="430"/>
            <c:bubble3D val="0"/>
            <c:extLst>
              <c:ext xmlns:c16="http://schemas.microsoft.com/office/drawing/2014/chart" uri="{C3380CC4-5D6E-409C-BE32-E72D297353CC}">
                <c16:uniqueId val="{000001C6-C2BD-4E74-BA78-14F87465200A}"/>
              </c:ext>
            </c:extLst>
          </c:dPt>
          <c:dPt>
            <c:idx val="431"/>
            <c:bubble3D val="0"/>
            <c:extLst>
              <c:ext xmlns:c16="http://schemas.microsoft.com/office/drawing/2014/chart" uri="{C3380CC4-5D6E-409C-BE32-E72D297353CC}">
                <c16:uniqueId val="{000001C7-C2BD-4E74-BA78-14F87465200A}"/>
              </c:ext>
            </c:extLst>
          </c:dPt>
          <c:dPt>
            <c:idx val="432"/>
            <c:bubble3D val="0"/>
            <c:extLst>
              <c:ext xmlns:c16="http://schemas.microsoft.com/office/drawing/2014/chart" uri="{C3380CC4-5D6E-409C-BE32-E72D297353CC}">
                <c16:uniqueId val="{000001C8-C2BD-4E74-BA78-14F87465200A}"/>
              </c:ext>
            </c:extLst>
          </c:dPt>
          <c:dPt>
            <c:idx val="433"/>
            <c:bubble3D val="0"/>
            <c:extLst>
              <c:ext xmlns:c16="http://schemas.microsoft.com/office/drawing/2014/chart" uri="{C3380CC4-5D6E-409C-BE32-E72D297353CC}">
                <c16:uniqueId val="{000001C9-C2BD-4E74-BA78-14F87465200A}"/>
              </c:ext>
            </c:extLst>
          </c:dPt>
          <c:dPt>
            <c:idx val="434"/>
            <c:bubble3D val="0"/>
            <c:extLst>
              <c:ext xmlns:c16="http://schemas.microsoft.com/office/drawing/2014/chart" uri="{C3380CC4-5D6E-409C-BE32-E72D297353CC}">
                <c16:uniqueId val="{000001CA-C2BD-4E74-BA78-14F87465200A}"/>
              </c:ext>
            </c:extLst>
          </c:dPt>
          <c:dPt>
            <c:idx val="435"/>
            <c:bubble3D val="0"/>
            <c:extLst>
              <c:ext xmlns:c16="http://schemas.microsoft.com/office/drawing/2014/chart" uri="{C3380CC4-5D6E-409C-BE32-E72D297353CC}">
                <c16:uniqueId val="{000001CB-C2BD-4E74-BA78-14F87465200A}"/>
              </c:ext>
            </c:extLst>
          </c:dPt>
          <c:dPt>
            <c:idx val="436"/>
            <c:bubble3D val="0"/>
            <c:extLst>
              <c:ext xmlns:c16="http://schemas.microsoft.com/office/drawing/2014/chart" uri="{C3380CC4-5D6E-409C-BE32-E72D297353CC}">
                <c16:uniqueId val="{000001CC-C2BD-4E74-BA78-14F87465200A}"/>
              </c:ext>
            </c:extLst>
          </c:dPt>
          <c:dPt>
            <c:idx val="437"/>
            <c:bubble3D val="0"/>
            <c:extLst>
              <c:ext xmlns:c16="http://schemas.microsoft.com/office/drawing/2014/chart" uri="{C3380CC4-5D6E-409C-BE32-E72D297353CC}">
                <c16:uniqueId val="{000001CD-C2BD-4E74-BA78-14F87465200A}"/>
              </c:ext>
            </c:extLst>
          </c:dPt>
          <c:dPt>
            <c:idx val="438"/>
            <c:bubble3D val="0"/>
            <c:extLst>
              <c:ext xmlns:c16="http://schemas.microsoft.com/office/drawing/2014/chart" uri="{C3380CC4-5D6E-409C-BE32-E72D297353CC}">
                <c16:uniqueId val="{000001CE-C2BD-4E74-BA78-14F87465200A}"/>
              </c:ext>
            </c:extLst>
          </c:dPt>
          <c:dPt>
            <c:idx val="439"/>
            <c:bubble3D val="0"/>
            <c:extLst>
              <c:ext xmlns:c16="http://schemas.microsoft.com/office/drawing/2014/chart" uri="{C3380CC4-5D6E-409C-BE32-E72D297353CC}">
                <c16:uniqueId val="{000001CF-C2BD-4E74-BA78-14F87465200A}"/>
              </c:ext>
            </c:extLst>
          </c:dPt>
          <c:dPt>
            <c:idx val="440"/>
            <c:bubble3D val="0"/>
            <c:extLst>
              <c:ext xmlns:c16="http://schemas.microsoft.com/office/drawing/2014/chart" uri="{C3380CC4-5D6E-409C-BE32-E72D297353CC}">
                <c16:uniqueId val="{000001D0-C2BD-4E74-BA78-14F87465200A}"/>
              </c:ext>
            </c:extLst>
          </c:dPt>
          <c:dPt>
            <c:idx val="441"/>
            <c:bubble3D val="0"/>
            <c:extLst>
              <c:ext xmlns:c16="http://schemas.microsoft.com/office/drawing/2014/chart" uri="{C3380CC4-5D6E-409C-BE32-E72D297353CC}">
                <c16:uniqueId val="{000001D1-C2BD-4E74-BA78-14F87465200A}"/>
              </c:ext>
            </c:extLst>
          </c:dPt>
          <c:dPt>
            <c:idx val="442"/>
            <c:bubble3D val="0"/>
            <c:extLst>
              <c:ext xmlns:c16="http://schemas.microsoft.com/office/drawing/2014/chart" uri="{C3380CC4-5D6E-409C-BE32-E72D297353CC}">
                <c16:uniqueId val="{000001D2-C2BD-4E74-BA78-14F87465200A}"/>
              </c:ext>
            </c:extLst>
          </c:dPt>
          <c:dPt>
            <c:idx val="443"/>
            <c:bubble3D val="0"/>
            <c:extLst>
              <c:ext xmlns:c16="http://schemas.microsoft.com/office/drawing/2014/chart" uri="{C3380CC4-5D6E-409C-BE32-E72D297353CC}">
                <c16:uniqueId val="{000001D3-C2BD-4E74-BA78-14F87465200A}"/>
              </c:ext>
            </c:extLst>
          </c:dPt>
          <c:dPt>
            <c:idx val="444"/>
            <c:bubble3D val="0"/>
            <c:extLst>
              <c:ext xmlns:c16="http://schemas.microsoft.com/office/drawing/2014/chart" uri="{C3380CC4-5D6E-409C-BE32-E72D297353CC}">
                <c16:uniqueId val="{000001D4-C2BD-4E74-BA78-14F87465200A}"/>
              </c:ext>
            </c:extLst>
          </c:dPt>
          <c:dPt>
            <c:idx val="445"/>
            <c:bubble3D val="0"/>
            <c:extLst>
              <c:ext xmlns:c16="http://schemas.microsoft.com/office/drawing/2014/chart" uri="{C3380CC4-5D6E-409C-BE32-E72D297353CC}">
                <c16:uniqueId val="{000001D5-C2BD-4E74-BA78-14F87465200A}"/>
              </c:ext>
            </c:extLst>
          </c:dPt>
          <c:dPt>
            <c:idx val="446"/>
            <c:bubble3D val="0"/>
            <c:extLst>
              <c:ext xmlns:c16="http://schemas.microsoft.com/office/drawing/2014/chart" uri="{C3380CC4-5D6E-409C-BE32-E72D297353CC}">
                <c16:uniqueId val="{000001D6-C2BD-4E74-BA78-14F87465200A}"/>
              </c:ext>
            </c:extLst>
          </c:dPt>
          <c:dPt>
            <c:idx val="447"/>
            <c:bubble3D val="0"/>
            <c:extLst>
              <c:ext xmlns:c16="http://schemas.microsoft.com/office/drawing/2014/chart" uri="{C3380CC4-5D6E-409C-BE32-E72D297353CC}">
                <c16:uniqueId val="{000001D7-C2BD-4E74-BA78-14F87465200A}"/>
              </c:ext>
            </c:extLst>
          </c:dPt>
          <c:dPt>
            <c:idx val="448"/>
            <c:bubble3D val="0"/>
            <c:extLst>
              <c:ext xmlns:c16="http://schemas.microsoft.com/office/drawing/2014/chart" uri="{C3380CC4-5D6E-409C-BE32-E72D297353CC}">
                <c16:uniqueId val="{000001D8-C2BD-4E74-BA78-14F87465200A}"/>
              </c:ext>
            </c:extLst>
          </c:dPt>
          <c:dPt>
            <c:idx val="449"/>
            <c:bubble3D val="0"/>
            <c:extLst>
              <c:ext xmlns:c16="http://schemas.microsoft.com/office/drawing/2014/chart" uri="{C3380CC4-5D6E-409C-BE32-E72D297353CC}">
                <c16:uniqueId val="{000001D9-C2BD-4E74-BA78-14F87465200A}"/>
              </c:ext>
            </c:extLst>
          </c:dPt>
          <c:dPt>
            <c:idx val="450"/>
            <c:bubble3D val="0"/>
            <c:extLst>
              <c:ext xmlns:c16="http://schemas.microsoft.com/office/drawing/2014/chart" uri="{C3380CC4-5D6E-409C-BE32-E72D297353CC}">
                <c16:uniqueId val="{000001DA-C2BD-4E74-BA78-14F87465200A}"/>
              </c:ext>
            </c:extLst>
          </c:dPt>
          <c:dPt>
            <c:idx val="451"/>
            <c:bubble3D val="0"/>
            <c:extLst>
              <c:ext xmlns:c16="http://schemas.microsoft.com/office/drawing/2014/chart" uri="{C3380CC4-5D6E-409C-BE32-E72D297353CC}">
                <c16:uniqueId val="{000001DB-C2BD-4E74-BA78-14F87465200A}"/>
              </c:ext>
            </c:extLst>
          </c:dPt>
          <c:dPt>
            <c:idx val="452"/>
            <c:bubble3D val="0"/>
            <c:extLst>
              <c:ext xmlns:c16="http://schemas.microsoft.com/office/drawing/2014/chart" uri="{C3380CC4-5D6E-409C-BE32-E72D297353CC}">
                <c16:uniqueId val="{000001DC-C2BD-4E74-BA78-14F87465200A}"/>
              </c:ext>
            </c:extLst>
          </c:dPt>
          <c:dPt>
            <c:idx val="453"/>
            <c:bubble3D val="0"/>
            <c:extLst>
              <c:ext xmlns:c16="http://schemas.microsoft.com/office/drawing/2014/chart" uri="{C3380CC4-5D6E-409C-BE32-E72D297353CC}">
                <c16:uniqueId val="{000001DD-C2BD-4E74-BA78-14F87465200A}"/>
              </c:ext>
            </c:extLst>
          </c:dPt>
          <c:dPt>
            <c:idx val="454"/>
            <c:bubble3D val="0"/>
            <c:extLst>
              <c:ext xmlns:c16="http://schemas.microsoft.com/office/drawing/2014/chart" uri="{C3380CC4-5D6E-409C-BE32-E72D297353CC}">
                <c16:uniqueId val="{000001DE-C2BD-4E74-BA78-14F87465200A}"/>
              </c:ext>
            </c:extLst>
          </c:dPt>
          <c:dPt>
            <c:idx val="455"/>
            <c:bubble3D val="0"/>
            <c:extLst>
              <c:ext xmlns:c16="http://schemas.microsoft.com/office/drawing/2014/chart" uri="{C3380CC4-5D6E-409C-BE32-E72D297353CC}">
                <c16:uniqueId val="{000001DF-C2BD-4E74-BA78-14F87465200A}"/>
              </c:ext>
            </c:extLst>
          </c:dPt>
          <c:dPt>
            <c:idx val="456"/>
            <c:bubble3D val="0"/>
            <c:extLst>
              <c:ext xmlns:c16="http://schemas.microsoft.com/office/drawing/2014/chart" uri="{C3380CC4-5D6E-409C-BE32-E72D297353CC}">
                <c16:uniqueId val="{000001E0-C2BD-4E74-BA78-14F87465200A}"/>
              </c:ext>
            </c:extLst>
          </c:dPt>
          <c:dPt>
            <c:idx val="457"/>
            <c:bubble3D val="0"/>
            <c:extLst>
              <c:ext xmlns:c16="http://schemas.microsoft.com/office/drawing/2014/chart" uri="{C3380CC4-5D6E-409C-BE32-E72D297353CC}">
                <c16:uniqueId val="{000001E1-C2BD-4E74-BA78-14F87465200A}"/>
              </c:ext>
            </c:extLst>
          </c:dPt>
          <c:dPt>
            <c:idx val="458"/>
            <c:bubble3D val="0"/>
            <c:extLst>
              <c:ext xmlns:c16="http://schemas.microsoft.com/office/drawing/2014/chart" uri="{C3380CC4-5D6E-409C-BE32-E72D297353CC}">
                <c16:uniqueId val="{000001E2-C2BD-4E74-BA78-14F87465200A}"/>
              </c:ext>
            </c:extLst>
          </c:dPt>
          <c:dPt>
            <c:idx val="459"/>
            <c:bubble3D val="0"/>
            <c:extLst>
              <c:ext xmlns:c16="http://schemas.microsoft.com/office/drawing/2014/chart" uri="{C3380CC4-5D6E-409C-BE32-E72D297353CC}">
                <c16:uniqueId val="{000001E3-C2BD-4E74-BA78-14F87465200A}"/>
              </c:ext>
            </c:extLst>
          </c:dPt>
          <c:dPt>
            <c:idx val="460"/>
            <c:bubble3D val="0"/>
            <c:extLst>
              <c:ext xmlns:c16="http://schemas.microsoft.com/office/drawing/2014/chart" uri="{C3380CC4-5D6E-409C-BE32-E72D297353CC}">
                <c16:uniqueId val="{000001E4-C2BD-4E74-BA78-14F87465200A}"/>
              </c:ext>
            </c:extLst>
          </c:dPt>
          <c:dPt>
            <c:idx val="461"/>
            <c:bubble3D val="0"/>
            <c:extLst>
              <c:ext xmlns:c16="http://schemas.microsoft.com/office/drawing/2014/chart" uri="{C3380CC4-5D6E-409C-BE32-E72D297353CC}">
                <c16:uniqueId val="{000001E5-C2BD-4E74-BA78-14F87465200A}"/>
              </c:ext>
            </c:extLst>
          </c:dPt>
          <c:dPt>
            <c:idx val="462"/>
            <c:bubble3D val="0"/>
            <c:extLst>
              <c:ext xmlns:c16="http://schemas.microsoft.com/office/drawing/2014/chart" uri="{C3380CC4-5D6E-409C-BE32-E72D297353CC}">
                <c16:uniqueId val="{000001E6-C2BD-4E74-BA78-14F87465200A}"/>
              </c:ext>
            </c:extLst>
          </c:dPt>
          <c:dPt>
            <c:idx val="463"/>
            <c:bubble3D val="0"/>
            <c:extLst>
              <c:ext xmlns:c16="http://schemas.microsoft.com/office/drawing/2014/chart" uri="{C3380CC4-5D6E-409C-BE32-E72D297353CC}">
                <c16:uniqueId val="{000001E7-C2BD-4E74-BA78-14F87465200A}"/>
              </c:ext>
            </c:extLst>
          </c:dPt>
          <c:dPt>
            <c:idx val="464"/>
            <c:bubble3D val="0"/>
            <c:extLst>
              <c:ext xmlns:c16="http://schemas.microsoft.com/office/drawing/2014/chart" uri="{C3380CC4-5D6E-409C-BE32-E72D297353CC}">
                <c16:uniqueId val="{000001E8-C2BD-4E74-BA78-14F87465200A}"/>
              </c:ext>
            </c:extLst>
          </c:dPt>
          <c:dPt>
            <c:idx val="465"/>
            <c:bubble3D val="0"/>
            <c:extLst>
              <c:ext xmlns:c16="http://schemas.microsoft.com/office/drawing/2014/chart" uri="{C3380CC4-5D6E-409C-BE32-E72D297353CC}">
                <c16:uniqueId val="{000001E9-C2BD-4E74-BA78-14F87465200A}"/>
              </c:ext>
            </c:extLst>
          </c:dPt>
          <c:dPt>
            <c:idx val="466"/>
            <c:bubble3D val="0"/>
            <c:extLst>
              <c:ext xmlns:c16="http://schemas.microsoft.com/office/drawing/2014/chart" uri="{C3380CC4-5D6E-409C-BE32-E72D297353CC}">
                <c16:uniqueId val="{000001EA-C2BD-4E74-BA78-14F87465200A}"/>
              </c:ext>
            </c:extLst>
          </c:dPt>
          <c:dPt>
            <c:idx val="467"/>
            <c:bubble3D val="0"/>
            <c:extLst>
              <c:ext xmlns:c16="http://schemas.microsoft.com/office/drawing/2014/chart" uri="{C3380CC4-5D6E-409C-BE32-E72D297353CC}">
                <c16:uniqueId val="{000001EB-C2BD-4E74-BA78-14F87465200A}"/>
              </c:ext>
            </c:extLst>
          </c:dPt>
          <c:dPt>
            <c:idx val="468"/>
            <c:bubble3D val="0"/>
            <c:extLst>
              <c:ext xmlns:c16="http://schemas.microsoft.com/office/drawing/2014/chart" uri="{C3380CC4-5D6E-409C-BE32-E72D297353CC}">
                <c16:uniqueId val="{000001EC-C2BD-4E74-BA78-14F87465200A}"/>
              </c:ext>
            </c:extLst>
          </c:dPt>
          <c:dPt>
            <c:idx val="469"/>
            <c:bubble3D val="0"/>
            <c:extLst>
              <c:ext xmlns:c16="http://schemas.microsoft.com/office/drawing/2014/chart" uri="{C3380CC4-5D6E-409C-BE32-E72D297353CC}">
                <c16:uniqueId val="{000001ED-C2BD-4E74-BA78-14F87465200A}"/>
              </c:ext>
            </c:extLst>
          </c:dPt>
          <c:dPt>
            <c:idx val="470"/>
            <c:bubble3D val="0"/>
            <c:extLst>
              <c:ext xmlns:c16="http://schemas.microsoft.com/office/drawing/2014/chart" uri="{C3380CC4-5D6E-409C-BE32-E72D297353CC}">
                <c16:uniqueId val="{000001EE-C2BD-4E74-BA78-14F87465200A}"/>
              </c:ext>
            </c:extLst>
          </c:dPt>
          <c:dPt>
            <c:idx val="471"/>
            <c:bubble3D val="0"/>
            <c:extLst>
              <c:ext xmlns:c16="http://schemas.microsoft.com/office/drawing/2014/chart" uri="{C3380CC4-5D6E-409C-BE32-E72D297353CC}">
                <c16:uniqueId val="{000001EF-C2BD-4E74-BA78-14F87465200A}"/>
              </c:ext>
            </c:extLst>
          </c:dPt>
          <c:dPt>
            <c:idx val="472"/>
            <c:bubble3D val="0"/>
            <c:extLst>
              <c:ext xmlns:c16="http://schemas.microsoft.com/office/drawing/2014/chart" uri="{C3380CC4-5D6E-409C-BE32-E72D297353CC}">
                <c16:uniqueId val="{000001F0-C2BD-4E74-BA78-14F87465200A}"/>
              </c:ext>
            </c:extLst>
          </c:dPt>
          <c:dPt>
            <c:idx val="473"/>
            <c:bubble3D val="0"/>
            <c:extLst>
              <c:ext xmlns:c16="http://schemas.microsoft.com/office/drawing/2014/chart" uri="{C3380CC4-5D6E-409C-BE32-E72D297353CC}">
                <c16:uniqueId val="{000001F1-C2BD-4E74-BA78-14F87465200A}"/>
              </c:ext>
            </c:extLst>
          </c:dPt>
          <c:dPt>
            <c:idx val="474"/>
            <c:bubble3D val="0"/>
            <c:extLst>
              <c:ext xmlns:c16="http://schemas.microsoft.com/office/drawing/2014/chart" uri="{C3380CC4-5D6E-409C-BE32-E72D297353CC}">
                <c16:uniqueId val="{000001F2-C2BD-4E74-BA78-14F87465200A}"/>
              </c:ext>
            </c:extLst>
          </c:dPt>
          <c:dPt>
            <c:idx val="475"/>
            <c:bubble3D val="0"/>
            <c:extLst>
              <c:ext xmlns:c16="http://schemas.microsoft.com/office/drawing/2014/chart" uri="{C3380CC4-5D6E-409C-BE32-E72D297353CC}">
                <c16:uniqueId val="{000001F3-C2BD-4E74-BA78-14F87465200A}"/>
              </c:ext>
            </c:extLst>
          </c:dPt>
          <c:dPt>
            <c:idx val="476"/>
            <c:bubble3D val="0"/>
            <c:extLst>
              <c:ext xmlns:c16="http://schemas.microsoft.com/office/drawing/2014/chart" uri="{C3380CC4-5D6E-409C-BE32-E72D297353CC}">
                <c16:uniqueId val="{000001F4-C2BD-4E74-BA78-14F87465200A}"/>
              </c:ext>
            </c:extLst>
          </c:dPt>
          <c:dPt>
            <c:idx val="477"/>
            <c:bubble3D val="0"/>
            <c:extLst>
              <c:ext xmlns:c16="http://schemas.microsoft.com/office/drawing/2014/chart" uri="{C3380CC4-5D6E-409C-BE32-E72D297353CC}">
                <c16:uniqueId val="{000001F5-C2BD-4E74-BA78-14F87465200A}"/>
              </c:ext>
            </c:extLst>
          </c:dPt>
          <c:dPt>
            <c:idx val="478"/>
            <c:bubble3D val="0"/>
            <c:extLst>
              <c:ext xmlns:c16="http://schemas.microsoft.com/office/drawing/2014/chart" uri="{C3380CC4-5D6E-409C-BE32-E72D297353CC}">
                <c16:uniqueId val="{000001F6-C2BD-4E74-BA78-14F87465200A}"/>
              </c:ext>
            </c:extLst>
          </c:dPt>
          <c:dPt>
            <c:idx val="479"/>
            <c:bubble3D val="0"/>
            <c:extLst>
              <c:ext xmlns:c16="http://schemas.microsoft.com/office/drawing/2014/chart" uri="{C3380CC4-5D6E-409C-BE32-E72D297353CC}">
                <c16:uniqueId val="{000001F7-C2BD-4E74-BA78-14F87465200A}"/>
              </c:ext>
            </c:extLst>
          </c:dPt>
          <c:dPt>
            <c:idx val="480"/>
            <c:bubble3D val="0"/>
            <c:extLst>
              <c:ext xmlns:c16="http://schemas.microsoft.com/office/drawing/2014/chart" uri="{C3380CC4-5D6E-409C-BE32-E72D297353CC}">
                <c16:uniqueId val="{000001F8-C2BD-4E74-BA78-14F87465200A}"/>
              </c:ext>
            </c:extLst>
          </c:dPt>
          <c:dPt>
            <c:idx val="481"/>
            <c:bubble3D val="0"/>
            <c:extLst>
              <c:ext xmlns:c16="http://schemas.microsoft.com/office/drawing/2014/chart" uri="{C3380CC4-5D6E-409C-BE32-E72D297353CC}">
                <c16:uniqueId val="{000001F9-C2BD-4E74-BA78-14F87465200A}"/>
              </c:ext>
            </c:extLst>
          </c:dPt>
          <c:dPt>
            <c:idx val="482"/>
            <c:bubble3D val="0"/>
            <c:extLst>
              <c:ext xmlns:c16="http://schemas.microsoft.com/office/drawing/2014/chart" uri="{C3380CC4-5D6E-409C-BE32-E72D297353CC}">
                <c16:uniqueId val="{000001FA-C2BD-4E74-BA78-14F87465200A}"/>
              </c:ext>
            </c:extLst>
          </c:dPt>
          <c:dPt>
            <c:idx val="483"/>
            <c:bubble3D val="0"/>
            <c:extLst>
              <c:ext xmlns:c16="http://schemas.microsoft.com/office/drawing/2014/chart" uri="{C3380CC4-5D6E-409C-BE32-E72D297353CC}">
                <c16:uniqueId val="{000001FB-C2BD-4E74-BA78-14F87465200A}"/>
              </c:ext>
            </c:extLst>
          </c:dPt>
          <c:dPt>
            <c:idx val="484"/>
            <c:bubble3D val="0"/>
            <c:extLst>
              <c:ext xmlns:c16="http://schemas.microsoft.com/office/drawing/2014/chart" uri="{C3380CC4-5D6E-409C-BE32-E72D297353CC}">
                <c16:uniqueId val="{000001FC-C2BD-4E74-BA78-14F87465200A}"/>
              </c:ext>
            </c:extLst>
          </c:dPt>
          <c:dPt>
            <c:idx val="485"/>
            <c:bubble3D val="0"/>
            <c:extLst>
              <c:ext xmlns:c16="http://schemas.microsoft.com/office/drawing/2014/chart" uri="{C3380CC4-5D6E-409C-BE32-E72D297353CC}">
                <c16:uniqueId val="{000001FD-C2BD-4E74-BA78-14F87465200A}"/>
              </c:ext>
            </c:extLst>
          </c:dPt>
          <c:dPt>
            <c:idx val="486"/>
            <c:bubble3D val="0"/>
            <c:extLst>
              <c:ext xmlns:c16="http://schemas.microsoft.com/office/drawing/2014/chart" uri="{C3380CC4-5D6E-409C-BE32-E72D297353CC}">
                <c16:uniqueId val="{000001FE-C2BD-4E74-BA78-14F87465200A}"/>
              </c:ext>
            </c:extLst>
          </c:dPt>
          <c:dPt>
            <c:idx val="487"/>
            <c:bubble3D val="0"/>
            <c:extLst>
              <c:ext xmlns:c16="http://schemas.microsoft.com/office/drawing/2014/chart" uri="{C3380CC4-5D6E-409C-BE32-E72D297353CC}">
                <c16:uniqueId val="{000001FF-C2BD-4E74-BA78-14F87465200A}"/>
              </c:ext>
            </c:extLst>
          </c:dPt>
          <c:dPt>
            <c:idx val="488"/>
            <c:bubble3D val="0"/>
            <c:extLst>
              <c:ext xmlns:c16="http://schemas.microsoft.com/office/drawing/2014/chart" uri="{C3380CC4-5D6E-409C-BE32-E72D297353CC}">
                <c16:uniqueId val="{00000200-C2BD-4E74-BA78-14F87465200A}"/>
              </c:ext>
            </c:extLst>
          </c:dPt>
          <c:dPt>
            <c:idx val="489"/>
            <c:bubble3D val="0"/>
            <c:extLst>
              <c:ext xmlns:c16="http://schemas.microsoft.com/office/drawing/2014/chart" uri="{C3380CC4-5D6E-409C-BE32-E72D297353CC}">
                <c16:uniqueId val="{00000201-C2BD-4E74-BA78-14F87465200A}"/>
              </c:ext>
            </c:extLst>
          </c:dPt>
          <c:dPt>
            <c:idx val="490"/>
            <c:bubble3D val="0"/>
            <c:extLst>
              <c:ext xmlns:c16="http://schemas.microsoft.com/office/drawing/2014/chart" uri="{C3380CC4-5D6E-409C-BE32-E72D297353CC}">
                <c16:uniqueId val="{00000202-C2BD-4E74-BA78-14F87465200A}"/>
              </c:ext>
            </c:extLst>
          </c:dPt>
          <c:dPt>
            <c:idx val="491"/>
            <c:bubble3D val="0"/>
            <c:extLst>
              <c:ext xmlns:c16="http://schemas.microsoft.com/office/drawing/2014/chart" uri="{C3380CC4-5D6E-409C-BE32-E72D297353CC}">
                <c16:uniqueId val="{00000203-C2BD-4E74-BA78-14F87465200A}"/>
              </c:ext>
            </c:extLst>
          </c:dPt>
          <c:dPt>
            <c:idx val="492"/>
            <c:bubble3D val="0"/>
            <c:extLst>
              <c:ext xmlns:c16="http://schemas.microsoft.com/office/drawing/2014/chart" uri="{C3380CC4-5D6E-409C-BE32-E72D297353CC}">
                <c16:uniqueId val="{00000204-C2BD-4E74-BA78-14F87465200A}"/>
              </c:ext>
            </c:extLst>
          </c:dPt>
          <c:dPt>
            <c:idx val="493"/>
            <c:bubble3D val="0"/>
            <c:extLst>
              <c:ext xmlns:c16="http://schemas.microsoft.com/office/drawing/2014/chart" uri="{C3380CC4-5D6E-409C-BE32-E72D297353CC}">
                <c16:uniqueId val="{00000205-C2BD-4E74-BA78-14F87465200A}"/>
              </c:ext>
            </c:extLst>
          </c:dPt>
          <c:dPt>
            <c:idx val="494"/>
            <c:bubble3D val="0"/>
            <c:extLst>
              <c:ext xmlns:c16="http://schemas.microsoft.com/office/drawing/2014/chart" uri="{C3380CC4-5D6E-409C-BE32-E72D297353CC}">
                <c16:uniqueId val="{00000206-C2BD-4E74-BA78-14F87465200A}"/>
              </c:ext>
            </c:extLst>
          </c:dPt>
          <c:dPt>
            <c:idx val="495"/>
            <c:bubble3D val="0"/>
            <c:extLst>
              <c:ext xmlns:c16="http://schemas.microsoft.com/office/drawing/2014/chart" uri="{C3380CC4-5D6E-409C-BE32-E72D297353CC}">
                <c16:uniqueId val="{00000207-C2BD-4E74-BA78-14F87465200A}"/>
              </c:ext>
            </c:extLst>
          </c:dPt>
          <c:dPt>
            <c:idx val="496"/>
            <c:bubble3D val="0"/>
            <c:extLst>
              <c:ext xmlns:c16="http://schemas.microsoft.com/office/drawing/2014/chart" uri="{C3380CC4-5D6E-409C-BE32-E72D297353CC}">
                <c16:uniqueId val="{00000208-C2BD-4E74-BA78-14F87465200A}"/>
              </c:ext>
            </c:extLst>
          </c:dPt>
          <c:dPt>
            <c:idx val="497"/>
            <c:bubble3D val="0"/>
            <c:extLst>
              <c:ext xmlns:c16="http://schemas.microsoft.com/office/drawing/2014/chart" uri="{C3380CC4-5D6E-409C-BE32-E72D297353CC}">
                <c16:uniqueId val="{00000209-C2BD-4E74-BA78-14F87465200A}"/>
              </c:ext>
            </c:extLst>
          </c:dPt>
          <c:dPt>
            <c:idx val="498"/>
            <c:bubble3D val="0"/>
            <c:extLst>
              <c:ext xmlns:c16="http://schemas.microsoft.com/office/drawing/2014/chart" uri="{C3380CC4-5D6E-409C-BE32-E72D297353CC}">
                <c16:uniqueId val="{0000020A-C2BD-4E74-BA78-14F87465200A}"/>
              </c:ext>
            </c:extLst>
          </c:dPt>
          <c:dPt>
            <c:idx val="499"/>
            <c:bubble3D val="0"/>
            <c:extLst>
              <c:ext xmlns:c16="http://schemas.microsoft.com/office/drawing/2014/chart" uri="{C3380CC4-5D6E-409C-BE32-E72D297353CC}">
                <c16:uniqueId val="{0000020B-C2BD-4E74-BA78-14F87465200A}"/>
              </c:ext>
            </c:extLst>
          </c:dPt>
          <c:dPt>
            <c:idx val="500"/>
            <c:bubble3D val="0"/>
            <c:extLst>
              <c:ext xmlns:c16="http://schemas.microsoft.com/office/drawing/2014/chart" uri="{C3380CC4-5D6E-409C-BE32-E72D297353CC}">
                <c16:uniqueId val="{0000020C-C2BD-4E74-BA78-14F87465200A}"/>
              </c:ext>
            </c:extLst>
          </c:dPt>
          <c:dPt>
            <c:idx val="501"/>
            <c:bubble3D val="0"/>
            <c:extLst>
              <c:ext xmlns:c16="http://schemas.microsoft.com/office/drawing/2014/chart" uri="{C3380CC4-5D6E-409C-BE32-E72D297353CC}">
                <c16:uniqueId val="{0000020D-C2BD-4E74-BA78-14F87465200A}"/>
              </c:ext>
            </c:extLst>
          </c:dPt>
          <c:dPt>
            <c:idx val="502"/>
            <c:bubble3D val="0"/>
            <c:extLst>
              <c:ext xmlns:c16="http://schemas.microsoft.com/office/drawing/2014/chart" uri="{C3380CC4-5D6E-409C-BE32-E72D297353CC}">
                <c16:uniqueId val="{0000020E-C2BD-4E74-BA78-14F87465200A}"/>
              </c:ext>
            </c:extLst>
          </c:dPt>
          <c:dPt>
            <c:idx val="503"/>
            <c:bubble3D val="0"/>
            <c:extLst>
              <c:ext xmlns:c16="http://schemas.microsoft.com/office/drawing/2014/chart" uri="{C3380CC4-5D6E-409C-BE32-E72D297353CC}">
                <c16:uniqueId val="{0000020F-C2BD-4E74-BA78-14F87465200A}"/>
              </c:ext>
            </c:extLst>
          </c:dPt>
          <c:dPt>
            <c:idx val="504"/>
            <c:bubble3D val="0"/>
            <c:extLst>
              <c:ext xmlns:c16="http://schemas.microsoft.com/office/drawing/2014/chart" uri="{C3380CC4-5D6E-409C-BE32-E72D297353CC}">
                <c16:uniqueId val="{00000210-C2BD-4E74-BA78-14F87465200A}"/>
              </c:ext>
            </c:extLst>
          </c:dPt>
          <c:dPt>
            <c:idx val="505"/>
            <c:bubble3D val="0"/>
            <c:extLst>
              <c:ext xmlns:c16="http://schemas.microsoft.com/office/drawing/2014/chart" uri="{C3380CC4-5D6E-409C-BE32-E72D297353CC}">
                <c16:uniqueId val="{00000211-C2BD-4E74-BA78-14F87465200A}"/>
              </c:ext>
            </c:extLst>
          </c:dPt>
          <c:dPt>
            <c:idx val="506"/>
            <c:bubble3D val="0"/>
            <c:extLst>
              <c:ext xmlns:c16="http://schemas.microsoft.com/office/drawing/2014/chart" uri="{C3380CC4-5D6E-409C-BE32-E72D297353CC}">
                <c16:uniqueId val="{00000212-C2BD-4E74-BA78-14F87465200A}"/>
              </c:ext>
            </c:extLst>
          </c:dPt>
          <c:cat>
            <c:strRef>
              <c:f>'Automation Monitoring (2)'!$AT$6:$AT$512</c:f>
              <c:strCache>
                <c:ptCount val="3"/>
                <c:pt idx="0">
                  <c:v>Ibank Remittance Fase 2</c:v>
                </c:pt>
                <c:pt idx="1">
                  <c:v>LMS Sprint 2</c:v>
                </c:pt>
                <c:pt idx="2">
                  <c:v>LMS Sprint 3</c:v>
                </c:pt>
              </c:strCache>
            </c:strRef>
          </c:cat>
          <c:val>
            <c:numRef>
              <c:f>'Automation Monitoring (2)'!$AY$6:$AY$512</c:f>
              <c:numCache>
                <c:formatCode>General</c:formatCode>
                <c:ptCount val="507"/>
                <c:pt idx="0">
                  <c:v>457</c:v>
                </c:pt>
                <c:pt idx="1">
                  <c:v>16</c:v>
                </c:pt>
                <c:pt idx="2">
                  <c:v>37</c:v>
                </c:pt>
              </c:numCache>
            </c:numRef>
          </c:val>
          <c:extLst>
            <c:ext xmlns:c16="http://schemas.microsoft.com/office/drawing/2014/chart" uri="{C3380CC4-5D6E-409C-BE32-E72D297353CC}">
              <c16:uniqueId val="{0000023B-C2BD-4E74-BA78-14F87465200A}"/>
            </c:ext>
          </c:extLst>
        </c:ser>
        <c:dLbls>
          <c:showLegendKey val="0"/>
          <c:showVal val="0"/>
          <c:showCatName val="0"/>
          <c:showSerName val="0"/>
          <c:showPercent val="0"/>
          <c:showBubbleSize val="0"/>
          <c:showLeaderLines val="1"/>
        </c:dLbls>
        <c:firstSliceAng val="0"/>
        <c:holeSize val="50"/>
      </c:doughnutChart>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d-ID"/>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rgbClr val="41D9CA"/>
              </a:solidFill>
            </c:spPr>
            <c:extLst>
              <c:ext xmlns:c16="http://schemas.microsoft.com/office/drawing/2014/chart" uri="{C3380CC4-5D6E-409C-BE32-E72D297353CC}">
                <c16:uniqueId val="{00000001-492D-4276-A691-A9FC2FFA12D5}"/>
              </c:ext>
            </c:extLst>
          </c:dPt>
          <c:dPt>
            <c:idx val="1"/>
            <c:bubble3D val="0"/>
            <c:spPr>
              <a:solidFill>
                <a:srgbClr val="EDF25E"/>
              </a:solidFill>
            </c:spPr>
            <c:extLst>
              <c:ext xmlns:c16="http://schemas.microsoft.com/office/drawing/2014/chart" uri="{C3380CC4-5D6E-409C-BE32-E72D297353CC}">
                <c16:uniqueId val="{00000003-492D-4276-A691-A9FC2FFA12D5}"/>
              </c:ext>
            </c:extLst>
          </c:dPt>
          <c:dPt>
            <c:idx val="2"/>
            <c:bubble3D val="0"/>
            <c:spPr>
              <a:solidFill>
                <a:srgbClr val="9379F2"/>
              </a:solidFill>
            </c:spPr>
            <c:extLst>
              <c:ext xmlns:c16="http://schemas.microsoft.com/office/drawing/2014/chart" uri="{C3380CC4-5D6E-409C-BE32-E72D297353CC}">
                <c16:uniqueId val="{00000005-492D-4276-A691-A9FC2FFA12D5}"/>
              </c:ext>
            </c:extLst>
          </c:dPt>
          <c:dPt>
            <c:idx val="3"/>
            <c:bubble3D val="0"/>
            <c:spPr>
              <a:solidFill>
                <a:srgbClr val="F27405"/>
              </a:solidFill>
            </c:spPr>
            <c:extLst>
              <c:ext xmlns:c16="http://schemas.microsoft.com/office/drawing/2014/chart" uri="{C3380CC4-5D6E-409C-BE32-E72D297353CC}">
                <c16:uniqueId val="{00000007-492D-4276-A691-A9FC2FFA12D5}"/>
              </c:ext>
            </c:extLst>
          </c:dPt>
          <c:dPt>
            <c:idx val="4"/>
            <c:bubble3D val="0"/>
            <c:spPr>
              <a:solidFill>
                <a:srgbClr val="D96941"/>
              </a:solidFill>
            </c:spPr>
            <c:extLst>
              <c:ext xmlns:c16="http://schemas.microsoft.com/office/drawing/2014/chart" uri="{C3380CC4-5D6E-409C-BE32-E72D297353CC}">
                <c16:uniqueId val="{00000009-492D-4276-A691-A9FC2FFA12D5}"/>
              </c:ext>
            </c:extLst>
          </c:dPt>
          <c:dPt>
            <c:idx val="5"/>
            <c:bubble3D val="0"/>
            <c:spPr>
              <a:solidFill>
                <a:srgbClr val="9379F2"/>
              </a:solidFill>
            </c:spPr>
            <c:extLst>
              <c:ext xmlns:c16="http://schemas.microsoft.com/office/drawing/2014/chart" uri="{C3380CC4-5D6E-409C-BE32-E72D297353CC}">
                <c16:uniqueId val="{0000000B-492D-4276-A691-A9FC2FFA12D5}"/>
              </c:ext>
            </c:extLst>
          </c:dPt>
          <c:dPt>
            <c:idx val="6"/>
            <c:bubble3D val="0"/>
            <c:spPr>
              <a:solidFill>
                <a:srgbClr val="7AE4DA"/>
              </a:solidFill>
            </c:spPr>
            <c:extLst>
              <c:ext xmlns:c16="http://schemas.microsoft.com/office/drawing/2014/chart" uri="{C3380CC4-5D6E-409C-BE32-E72D297353CC}">
                <c16:uniqueId val="{0000000D-492D-4276-A691-A9FC2FFA12D5}"/>
              </c:ext>
            </c:extLst>
          </c:dPt>
          <c:dPt>
            <c:idx val="7"/>
            <c:bubble3D val="0"/>
            <c:spPr>
              <a:solidFill>
                <a:srgbClr val="F2F68E"/>
              </a:solidFill>
            </c:spPr>
            <c:extLst>
              <c:ext xmlns:c16="http://schemas.microsoft.com/office/drawing/2014/chart" uri="{C3380CC4-5D6E-409C-BE32-E72D297353CC}">
                <c16:uniqueId val="{0000000F-492D-4276-A691-A9FC2FFA12D5}"/>
              </c:ext>
            </c:extLst>
          </c:dPt>
          <c:dPt>
            <c:idx val="8"/>
            <c:bubble3D val="0"/>
            <c:extLst>
              <c:ext xmlns:c16="http://schemas.microsoft.com/office/drawing/2014/chart" uri="{C3380CC4-5D6E-409C-BE32-E72D297353CC}">
                <c16:uniqueId val="{00000010-492D-4276-A691-A9FC2FFA12D5}"/>
              </c:ext>
            </c:extLst>
          </c:dPt>
          <c:dPt>
            <c:idx val="9"/>
            <c:bubble3D val="0"/>
            <c:extLst>
              <c:ext xmlns:c16="http://schemas.microsoft.com/office/drawing/2014/chart" uri="{C3380CC4-5D6E-409C-BE32-E72D297353CC}">
                <c16:uniqueId val="{00000011-492D-4276-A691-A9FC2FFA12D5}"/>
              </c:ext>
            </c:extLst>
          </c:dPt>
          <c:dPt>
            <c:idx val="10"/>
            <c:bubble3D val="0"/>
            <c:extLst>
              <c:ext xmlns:c16="http://schemas.microsoft.com/office/drawing/2014/chart" uri="{C3380CC4-5D6E-409C-BE32-E72D297353CC}">
                <c16:uniqueId val="{00000012-492D-4276-A691-A9FC2FFA12D5}"/>
              </c:ext>
            </c:extLst>
          </c:dPt>
          <c:dPt>
            <c:idx val="11"/>
            <c:bubble3D val="0"/>
            <c:extLst>
              <c:ext xmlns:c16="http://schemas.microsoft.com/office/drawing/2014/chart" uri="{C3380CC4-5D6E-409C-BE32-E72D297353CC}">
                <c16:uniqueId val="{00000013-492D-4276-A691-A9FC2FFA12D5}"/>
              </c:ext>
            </c:extLst>
          </c:dPt>
          <c:dPt>
            <c:idx val="12"/>
            <c:bubble3D val="0"/>
            <c:extLst>
              <c:ext xmlns:c16="http://schemas.microsoft.com/office/drawing/2014/chart" uri="{C3380CC4-5D6E-409C-BE32-E72D297353CC}">
                <c16:uniqueId val="{00000014-492D-4276-A691-A9FC2FFA12D5}"/>
              </c:ext>
            </c:extLst>
          </c:dPt>
          <c:dPt>
            <c:idx val="13"/>
            <c:bubble3D val="0"/>
            <c:extLst>
              <c:ext xmlns:c16="http://schemas.microsoft.com/office/drawing/2014/chart" uri="{C3380CC4-5D6E-409C-BE32-E72D297353CC}">
                <c16:uniqueId val="{00000015-492D-4276-A691-A9FC2FFA12D5}"/>
              </c:ext>
            </c:extLst>
          </c:dPt>
          <c:dPt>
            <c:idx val="14"/>
            <c:bubble3D val="0"/>
            <c:extLst>
              <c:ext xmlns:c16="http://schemas.microsoft.com/office/drawing/2014/chart" uri="{C3380CC4-5D6E-409C-BE32-E72D297353CC}">
                <c16:uniqueId val="{00000016-492D-4276-A691-A9FC2FFA12D5}"/>
              </c:ext>
            </c:extLst>
          </c:dPt>
          <c:dPt>
            <c:idx val="15"/>
            <c:bubble3D val="0"/>
            <c:extLst>
              <c:ext xmlns:c16="http://schemas.microsoft.com/office/drawing/2014/chart" uri="{C3380CC4-5D6E-409C-BE32-E72D297353CC}">
                <c16:uniqueId val="{00000017-492D-4276-A691-A9FC2FFA12D5}"/>
              </c:ext>
            </c:extLst>
          </c:dPt>
          <c:dPt>
            <c:idx val="16"/>
            <c:bubble3D val="0"/>
            <c:extLst>
              <c:ext xmlns:c16="http://schemas.microsoft.com/office/drawing/2014/chart" uri="{C3380CC4-5D6E-409C-BE32-E72D297353CC}">
                <c16:uniqueId val="{00000018-492D-4276-A691-A9FC2FFA12D5}"/>
              </c:ext>
            </c:extLst>
          </c:dPt>
          <c:dPt>
            <c:idx val="17"/>
            <c:bubble3D val="0"/>
            <c:extLst>
              <c:ext xmlns:c16="http://schemas.microsoft.com/office/drawing/2014/chart" uri="{C3380CC4-5D6E-409C-BE32-E72D297353CC}">
                <c16:uniqueId val="{00000019-492D-4276-A691-A9FC2FFA12D5}"/>
              </c:ext>
            </c:extLst>
          </c:dPt>
          <c:dPt>
            <c:idx val="18"/>
            <c:bubble3D val="0"/>
            <c:extLst>
              <c:ext xmlns:c16="http://schemas.microsoft.com/office/drawing/2014/chart" uri="{C3380CC4-5D6E-409C-BE32-E72D297353CC}">
                <c16:uniqueId val="{0000001A-492D-4276-A691-A9FC2FFA12D5}"/>
              </c:ext>
            </c:extLst>
          </c:dPt>
          <c:dPt>
            <c:idx val="19"/>
            <c:bubble3D val="0"/>
            <c:extLst>
              <c:ext xmlns:c16="http://schemas.microsoft.com/office/drawing/2014/chart" uri="{C3380CC4-5D6E-409C-BE32-E72D297353CC}">
                <c16:uniqueId val="{0000001B-492D-4276-A691-A9FC2FFA12D5}"/>
              </c:ext>
            </c:extLst>
          </c:dPt>
          <c:dPt>
            <c:idx val="20"/>
            <c:bubble3D val="0"/>
            <c:extLst>
              <c:ext xmlns:c16="http://schemas.microsoft.com/office/drawing/2014/chart" uri="{C3380CC4-5D6E-409C-BE32-E72D297353CC}">
                <c16:uniqueId val="{0000001C-492D-4276-A691-A9FC2FFA12D5}"/>
              </c:ext>
            </c:extLst>
          </c:dPt>
          <c:dPt>
            <c:idx val="21"/>
            <c:bubble3D val="0"/>
            <c:extLst>
              <c:ext xmlns:c16="http://schemas.microsoft.com/office/drawing/2014/chart" uri="{C3380CC4-5D6E-409C-BE32-E72D297353CC}">
                <c16:uniqueId val="{0000001D-492D-4276-A691-A9FC2FFA12D5}"/>
              </c:ext>
            </c:extLst>
          </c:dPt>
          <c:dPt>
            <c:idx val="22"/>
            <c:bubble3D val="0"/>
            <c:extLst>
              <c:ext xmlns:c16="http://schemas.microsoft.com/office/drawing/2014/chart" uri="{C3380CC4-5D6E-409C-BE32-E72D297353CC}">
                <c16:uniqueId val="{0000001E-492D-4276-A691-A9FC2FFA12D5}"/>
              </c:ext>
            </c:extLst>
          </c:dPt>
          <c:dPt>
            <c:idx val="23"/>
            <c:bubble3D val="0"/>
            <c:extLst>
              <c:ext xmlns:c16="http://schemas.microsoft.com/office/drawing/2014/chart" uri="{C3380CC4-5D6E-409C-BE32-E72D297353CC}">
                <c16:uniqueId val="{0000001F-492D-4276-A691-A9FC2FFA12D5}"/>
              </c:ext>
            </c:extLst>
          </c:dPt>
          <c:dPt>
            <c:idx val="24"/>
            <c:bubble3D val="0"/>
            <c:extLst>
              <c:ext xmlns:c16="http://schemas.microsoft.com/office/drawing/2014/chart" uri="{C3380CC4-5D6E-409C-BE32-E72D297353CC}">
                <c16:uniqueId val="{00000020-492D-4276-A691-A9FC2FFA12D5}"/>
              </c:ext>
            </c:extLst>
          </c:dPt>
          <c:dPt>
            <c:idx val="25"/>
            <c:bubble3D val="0"/>
            <c:extLst>
              <c:ext xmlns:c16="http://schemas.microsoft.com/office/drawing/2014/chart" uri="{C3380CC4-5D6E-409C-BE32-E72D297353CC}">
                <c16:uniqueId val="{00000021-492D-4276-A691-A9FC2FFA12D5}"/>
              </c:ext>
            </c:extLst>
          </c:dPt>
          <c:dPt>
            <c:idx val="26"/>
            <c:bubble3D val="0"/>
            <c:extLst>
              <c:ext xmlns:c16="http://schemas.microsoft.com/office/drawing/2014/chart" uri="{C3380CC4-5D6E-409C-BE32-E72D297353CC}">
                <c16:uniqueId val="{00000022-492D-4276-A691-A9FC2FFA12D5}"/>
              </c:ext>
            </c:extLst>
          </c:dPt>
          <c:dPt>
            <c:idx val="27"/>
            <c:bubble3D val="0"/>
            <c:extLst>
              <c:ext xmlns:c16="http://schemas.microsoft.com/office/drawing/2014/chart" uri="{C3380CC4-5D6E-409C-BE32-E72D297353CC}">
                <c16:uniqueId val="{00000023-492D-4276-A691-A9FC2FFA12D5}"/>
              </c:ext>
            </c:extLst>
          </c:dPt>
          <c:dPt>
            <c:idx val="28"/>
            <c:bubble3D val="0"/>
            <c:extLst>
              <c:ext xmlns:c16="http://schemas.microsoft.com/office/drawing/2014/chart" uri="{C3380CC4-5D6E-409C-BE32-E72D297353CC}">
                <c16:uniqueId val="{00000024-492D-4276-A691-A9FC2FFA12D5}"/>
              </c:ext>
            </c:extLst>
          </c:dPt>
          <c:dPt>
            <c:idx val="29"/>
            <c:bubble3D val="0"/>
            <c:extLst>
              <c:ext xmlns:c16="http://schemas.microsoft.com/office/drawing/2014/chart" uri="{C3380CC4-5D6E-409C-BE32-E72D297353CC}">
                <c16:uniqueId val="{00000025-492D-4276-A691-A9FC2FFA12D5}"/>
              </c:ext>
            </c:extLst>
          </c:dPt>
          <c:dPt>
            <c:idx val="30"/>
            <c:bubble3D val="0"/>
            <c:extLst>
              <c:ext xmlns:c16="http://schemas.microsoft.com/office/drawing/2014/chart" uri="{C3380CC4-5D6E-409C-BE32-E72D297353CC}">
                <c16:uniqueId val="{00000026-492D-4276-A691-A9FC2FFA12D5}"/>
              </c:ext>
            </c:extLst>
          </c:dPt>
          <c:dPt>
            <c:idx val="31"/>
            <c:bubble3D val="0"/>
            <c:extLst>
              <c:ext xmlns:c16="http://schemas.microsoft.com/office/drawing/2014/chart" uri="{C3380CC4-5D6E-409C-BE32-E72D297353CC}">
                <c16:uniqueId val="{00000027-492D-4276-A691-A9FC2FFA12D5}"/>
              </c:ext>
            </c:extLst>
          </c:dPt>
          <c:dPt>
            <c:idx val="32"/>
            <c:bubble3D val="0"/>
            <c:extLst>
              <c:ext xmlns:c16="http://schemas.microsoft.com/office/drawing/2014/chart" uri="{C3380CC4-5D6E-409C-BE32-E72D297353CC}">
                <c16:uniqueId val="{00000028-492D-4276-A691-A9FC2FFA12D5}"/>
              </c:ext>
            </c:extLst>
          </c:dPt>
          <c:dPt>
            <c:idx val="33"/>
            <c:bubble3D val="0"/>
            <c:extLst>
              <c:ext xmlns:c16="http://schemas.microsoft.com/office/drawing/2014/chart" uri="{C3380CC4-5D6E-409C-BE32-E72D297353CC}">
                <c16:uniqueId val="{00000029-492D-4276-A691-A9FC2FFA12D5}"/>
              </c:ext>
            </c:extLst>
          </c:dPt>
          <c:dPt>
            <c:idx val="34"/>
            <c:bubble3D val="0"/>
            <c:extLst>
              <c:ext xmlns:c16="http://schemas.microsoft.com/office/drawing/2014/chart" uri="{C3380CC4-5D6E-409C-BE32-E72D297353CC}">
                <c16:uniqueId val="{0000002A-492D-4276-A691-A9FC2FFA12D5}"/>
              </c:ext>
            </c:extLst>
          </c:dPt>
          <c:dPt>
            <c:idx val="35"/>
            <c:bubble3D val="0"/>
            <c:extLst>
              <c:ext xmlns:c16="http://schemas.microsoft.com/office/drawing/2014/chart" uri="{C3380CC4-5D6E-409C-BE32-E72D297353CC}">
                <c16:uniqueId val="{0000002B-492D-4276-A691-A9FC2FFA12D5}"/>
              </c:ext>
            </c:extLst>
          </c:dPt>
          <c:dPt>
            <c:idx val="36"/>
            <c:bubble3D val="0"/>
            <c:extLst>
              <c:ext xmlns:c16="http://schemas.microsoft.com/office/drawing/2014/chart" uri="{C3380CC4-5D6E-409C-BE32-E72D297353CC}">
                <c16:uniqueId val="{0000002C-492D-4276-A691-A9FC2FFA12D5}"/>
              </c:ext>
            </c:extLst>
          </c:dPt>
          <c:dPt>
            <c:idx val="37"/>
            <c:bubble3D val="0"/>
            <c:extLst>
              <c:ext xmlns:c16="http://schemas.microsoft.com/office/drawing/2014/chart" uri="{C3380CC4-5D6E-409C-BE32-E72D297353CC}">
                <c16:uniqueId val="{0000002D-492D-4276-A691-A9FC2FFA12D5}"/>
              </c:ext>
            </c:extLst>
          </c:dPt>
          <c:dPt>
            <c:idx val="38"/>
            <c:bubble3D val="0"/>
            <c:extLst>
              <c:ext xmlns:c16="http://schemas.microsoft.com/office/drawing/2014/chart" uri="{C3380CC4-5D6E-409C-BE32-E72D297353CC}">
                <c16:uniqueId val="{0000002E-492D-4276-A691-A9FC2FFA12D5}"/>
              </c:ext>
            </c:extLst>
          </c:dPt>
          <c:dPt>
            <c:idx val="39"/>
            <c:bubble3D val="0"/>
            <c:extLst>
              <c:ext xmlns:c16="http://schemas.microsoft.com/office/drawing/2014/chart" uri="{C3380CC4-5D6E-409C-BE32-E72D297353CC}">
                <c16:uniqueId val="{0000002F-492D-4276-A691-A9FC2FFA12D5}"/>
              </c:ext>
            </c:extLst>
          </c:dPt>
          <c:dPt>
            <c:idx val="40"/>
            <c:bubble3D val="0"/>
            <c:extLst>
              <c:ext xmlns:c16="http://schemas.microsoft.com/office/drawing/2014/chart" uri="{C3380CC4-5D6E-409C-BE32-E72D297353CC}">
                <c16:uniqueId val="{00000030-492D-4276-A691-A9FC2FFA12D5}"/>
              </c:ext>
            </c:extLst>
          </c:dPt>
          <c:dPt>
            <c:idx val="41"/>
            <c:bubble3D val="0"/>
            <c:extLst>
              <c:ext xmlns:c16="http://schemas.microsoft.com/office/drawing/2014/chart" uri="{C3380CC4-5D6E-409C-BE32-E72D297353CC}">
                <c16:uniqueId val="{00000031-492D-4276-A691-A9FC2FFA12D5}"/>
              </c:ext>
            </c:extLst>
          </c:dPt>
          <c:dPt>
            <c:idx val="42"/>
            <c:bubble3D val="0"/>
            <c:extLst>
              <c:ext xmlns:c16="http://schemas.microsoft.com/office/drawing/2014/chart" uri="{C3380CC4-5D6E-409C-BE32-E72D297353CC}">
                <c16:uniqueId val="{00000032-492D-4276-A691-A9FC2FFA12D5}"/>
              </c:ext>
            </c:extLst>
          </c:dPt>
          <c:dPt>
            <c:idx val="43"/>
            <c:bubble3D val="0"/>
            <c:extLst>
              <c:ext xmlns:c16="http://schemas.microsoft.com/office/drawing/2014/chart" uri="{C3380CC4-5D6E-409C-BE32-E72D297353CC}">
                <c16:uniqueId val="{00000033-492D-4276-A691-A9FC2FFA12D5}"/>
              </c:ext>
            </c:extLst>
          </c:dPt>
          <c:dPt>
            <c:idx val="44"/>
            <c:bubble3D val="0"/>
            <c:extLst>
              <c:ext xmlns:c16="http://schemas.microsoft.com/office/drawing/2014/chart" uri="{C3380CC4-5D6E-409C-BE32-E72D297353CC}">
                <c16:uniqueId val="{00000034-492D-4276-A691-A9FC2FFA12D5}"/>
              </c:ext>
            </c:extLst>
          </c:dPt>
          <c:dPt>
            <c:idx val="45"/>
            <c:bubble3D val="0"/>
            <c:extLst>
              <c:ext xmlns:c16="http://schemas.microsoft.com/office/drawing/2014/chart" uri="{C3380CC4-5D6E-409C-BE32-E72D297353CC}">
                <c16:uniqueId val="{00000035-492D-4276-A691-A9FC2FFA12D5}"/>
              </c:ext>
            </c:extLst>
          </c:dPt>
          <c:dPt>
            <c:idx val="46"/>
            <c:bubble3D val="0"/>
            <c:extLst>
              <c:ext xmlns:c16="http://schemas.microsoft.com/office/drawing/2014/chart" uri="{C3380CC4-5D6E-409C-BE32-E72D297353CC}">
                <c16:uniqueId val="{00000036-492D-4276-A691-A9FC2FFA12D5}"/>
              </c:ext>
            </c:extLst>
          </c:dPt>
          <c:dPt>
            <c:idx val="47"/>
            <c:bubble3D val="0"/>
            <c:extLst>
              <c:ext xmlns:c16="http://schemas.microsoft.com/office/drawing/2014/chart" uri="{C3380CC4-5D6E-409C-BE32-E72D297353CC}">
                <c16:uniqueId val="{00000037-492D-4276-A691-A9FC2FFA12D5}"/>
              </c:ext>
            </c:extLst>
          </c:dPt>
          <c:dPt>
            <c:idx val="48"/>
            <c:bubble3D val="0"/>
            <c:extLst>
              <c:ext xmlns:c16="http://schemas.microsoft.com/office/drawing/2014/chart" uri="{C3380CC4-5D6E-409C-BE32-E72D297353CC}">
                <c16:uniqueId val="{00000038-492D-4276-A691-A9FC2FFA12D5}"/>
              </c:ext>
            </c:extLst>
          </c:dPt>
          <c:dPt>
            <c:idx val="49"/>
            <c:bubble3D val="0"/>
            <c:extLst>
              <c:ext xmlns:c16="http://schemas.microsoft.com/office/drawing/2014/chart" uri="{C3380CC4-5D6E-409C-BE32-E72D297353CC}">
                <c16:uniqueId val="{00000039-492D-4276-A691-A9FC2FFA12D5}"/>
              </c:ext>
            </c:extLst>
          </c:dPt>
          <c:dPt>
            <c:idx val="50"/>
            <c:bubble3D val="0"/>
            <c:extLst>
              <c:ext xmlns:c16="http://schemas.microsoft.com/office/drawing/2014/chart" uri="{C3380CC4-5D6E-409C-BE32-E72D297353CC}">
                <c16:uniqueId val="{0000003A-492D-4276-A691-A9FC2FFA12D5}"/>
              </c:ext>
            </c:extLst>
          </c:dPt>
          <c:dPt>
            <c:idx val="51"/>
            <c:bubble3D val="0"/>
            <c:extLst>
              <c:ext xmlns:c16="http://schemas.microsoft.com/office/drawing/2014/chart" uri="{C3380CC4-5D6E-409C-BE32-E72D297353CC}">
                <c16:uniqueId val="{0000003B-492D-4276-A691-A9FC2FFA12D5}"/>
              </c:ext>
            </c:extLst>
          </c:dPt>
          <c:dPt>
            <c:idx val="52"/>
            <c:bubble3D val="0"/>
            <c:extLst>
              <c:ext xmlns:c16="http://schemas.microsoft.com/office/drawing/2014/chart" uri="{C3380CC4-5D6E-409C-BE32-E72D297353CC}">
                <c16:uniqueId val="{0000003C-492D-4276-A691-A9FC2FFA12D5}"/>
              </c:ext>
            </c:extLst>
          </c:dPt>
          <c:dPt>
            <c:idx val="53"/>
            <c:bubble3D val="0"/>
            <c:extLst>
              <c:ext xmlns:c16="http://schemas.microsoft.com/office/drawing/2014/chart" uri="{C3380CC4-5D6E-409C-BE32-E72D297353CC}">
                <c16:uniqueId val="{0000003D-492D-4276-A691-A9FC2FFA12D5}"/>
              </c:ext>
            </c:extLst>
          </c:dPt>
          <c:dPt>
            <c:idx val="54"/>
            <c:bubble3D val="0"/>
            <c:extLst>
              <c:ext xmlns:c16="http://schemas.microsoft.com/office/drawing/2014/chart" uri="{C3380CC4-5D6E-409C-BE32-E72D297353CC}">
                <c16:uniqueId val="{0000003E-492D-4276-A691-A9FC2FFA12D5}"/>
              </c:ext>
            </c:extLst>
          </c:dPt>
          <c:dPt>
            <c:idx val="55"/>
            <c:bubble3D val="0"/>
            <c:extLst>
              <c:ext xmlns:c16="http://schemas.microsoft.com/office/drawing/2014/chart" uri="{C3380CC4-5D6E-409C-BE32-E72D297353CC}">
                <c16:uniqueId val="{0000003F-492D-4276-A691-A9FC2FFA12D5}"/>
              </c:ext>
            </c:extLst>
          </c:dPt>
          <c:dPt>
            <c:idx val="56"/>
            <c:bubble3D val="0"/>
            <c:extLst>
              <c:ext xmlns:c16="http://schemas.microsoft.com/office/drawing/2014/chart" uri="{C3380CC4-5D6E-409C-BE32-E72D297353CC}">
                <c16:uniqueId val="{00000040-492D-4276-A691-A9FC2FFA12D5}"/>
              </c:ext>
            </c:extLst>
          </c:dPt>
          <c:dPt>
            <c:idx val="57"/>
            <c:bubble3D val="0"/>
            <c:extLst>
              <c:ext xmlns:c16="http://schemas.microsoft.com/office/drawing/2014/chart" uri="{C3380CC4-5D6E-409C-BE32-E72D297353CC}">
                <c16:uniqueId val="{00000041-492D-4276-A691-A9FC2FFA12D5}"/>
              </c:ext>
            </c:extLst>
          </c:dPt>
          <c:dPt>
            <c:idx val="58"/>
            <c:bubble3D val="0"/>
            <c:extLst>
              <c:ext xmlns:c16="http://schemas.microsoft.com/office/drawing/2014/chart" uri="{C3380CC4-5D6E-409C-BE32-E72D297353CC}">
                <c16:uniqueId val="{00000042-492D-4276-A691-A9FC2FFA12D5}"/>
              </c:ext>
            </c:extLst>
          </c:dPt>
          <c:dPt>
            <c:idx val="59"/>
            <c:bubble3D val="0"/>
            <c:extLst>
              <c:ext xmlns:c16="http://schemas.microsoft.com/office/drawing/2014/chart" uri="{C3380CC4-5D6E-409C-BE32-E72D297353CC}">
                <c16:uniqueId val="{00000043-492D-4276-A691-A9FC2FFA12D5}"/>
              </c:ext>
            </c:extLst>
          </c:dPt>
          <c:dPt>
            <c:idx val="60"/>
            <c:bubble3D val="0"/>
            <c:extLst>
              <c:ext xmlns:c16="http://schemas.microsoft.com/office/drawing/2014/chart" uri="{C3380CC4-5D6E-409C-BE32-E72D297353CC}">
                <c16:uniqueId val="{00000044-492D-4276-A691-A9FC2FFA12D5}"/>
              </c:ext>
            </c:extLst>
          </c:dPt>
          <c:dPt>
            <c:idx val="61"/>
            <c:bubble3D val="0"/>
            <c:extLst>
              <c:ext xmlns:c16="http://schemas.microsoft.com/office/drawing/2014/chart" uri="{C3380CC4-5D6E-409C-BE32-E72D297353CC}">
                <c16:uniqueId val="{00000045-492D-4276-A691-A9FC2FFA12D5}"/>
              </c:ext>
            </c:extLst>
          </c:dPt>
          <c:dPt>
            <c:idx val="62"/>
            <c:bubble3D val="0"/>
            <c:extLst>
              <c:ext xmlns:c16="http://schemas.microsoft.com/office/drawing/2014/chart" uri="{C3380CC4-5D6E-409C-BE32-E72D297353CC}">
                <c16:uniqueId val="{00000046-492D-4276-A691-A9FC2FFA12D5}"/>
              </c:ext>
            </c:extLst>
          </c:dPt>
          <c:dPt>
            <c:idx val="63"/>
            <c:bubble3D val="0"/>
            <c:extLst>
              <c:ext xmlns:c16="http://schemas.microsoft.com/office/drawing/2014/chart" uri="{C3380CC4-5D6E-409C-BE32-E72D297353CC}">
                <c16:uniqueId val="{00000047-492D-4276-A691-A9FC2FFA12D5}"/>
              </c:ext>
            </c:extLst>
          </c:dPt>
          <c:dPt>
            <c:idx val="64"/>
            <c:bubble3D val="0"/>
            <c:extLst>
              <c:ext xmlns:c16="http://schemas.microsoft.com/office/drawing/2014/chart" uri="{C3380CC4-5D6E-409C-BE32-E72D297353CC}">
                <c16:uniqueId val="{00000048-492D-4276-A691-A9FC2FFA12D5}"/>
              </c:ext>
            </c:extLst>
          </c:dPt>
          <c:dPt>
            <c:idx val="65"/>
            <c:bubble3D val="0"/>
            <c:extLst>
              <c:ext xmlns:c16="http://schemas.microsoft.com/office/drawing/2014/chart" uri="{C3380CC4-5D6E-409C-BE32-E72D297353CC}">
                <c16:uniqueId val="{00000049-492D-4276-A691-A9FC2FFA12D5}"/>
              </c:ext>
            </c:extLst>
          </c:dPt>
          <c:dPt>
            <c:idx val="66"/>
            <c:bubble3D val="0"/>
            <c:extLst>
              <c:ext xmlns:c16="http://schemas.microsoft.com/office/drawing/2014/chart" uri="{C3380CC4-5D6E-409C-BE32-E72D297353CC}">
                <c16:uniqueId val="{0000004A-492D-4276-A691-A9FC2FFA12D5}"/>
              </c:ext>
            </c:extLst>
          </c:dPt>
          <c:dPt>
            <c:idx val="67"/>
            <c:bubble3D val="0"/>
            <c:extLst>
              <c:ext xmlns:c16="http://schemas.microsoft.com/office/drawing/2014/chart" uri="{C3380CC4-5D6E-409C-BE32-E72D297353CC}">
                <c16:uniqueId val="{0000004B-492D-4276-A691-A9FC2FFA12D5}"/>
              </c:ext>
            </c:extLst>
          </c:dPt>
          <c:dPt>
            <c:idx val="68"/>
            <c:bubble3D val="0"/>
            <c:extLst>
              <c:ext xmlns:c16="http://schemas.microsoft.com/office/drawing/2014/chart" uri="{C3380CC4-5D6E-409C-BE32-E72D297353CC}">
                <c16:uniqueId val="{0000004C-492D-4276-A691-A9FC2FFA12D5}"/>
              </c:ext>
            </c:extLst>
          </c:dPt>
          <c:dPt>
            <c:idx val="69"/>
            <c:bubble3D val="0"/>
            <c:extLst>
              <c:ext xmlns:c16="http://schemas.microsoft.com/office/drawing/2014/chart" uri="{C3380CC4-5D6E-409C-BE32-E72D297353CC}">
                <c16:uniqueId val="{0000004D-492D-4276-A691-A9FC2FFA12D5}"/>
              </c:ext>
            </c:extLst>
          </c:dPt>
          <c:dPt>
            <c:idx val="70"/>
            <c:bubble3D val="0"/>
            <c:extLst>
              <c:ext xmlns:c16="http://schemas.microsoft.com/office/drawing/2014/chart" uri="{C3380CC4-5D6E-409C-BE32-E72D297353CC}">
                <c16:uniqueId val="{0000004E-492D-4276-A691-A9FC2FFA12D5}"/>
              </c:ext>
            </c:extLst>
          </c:dPt>
          <c:dPt>
            <c:idx val="71"/>
            <c:bubble3D val="0"/>
            <c:extLst>
              <c:ext xmlns:c16="http://schemas.microsoft.com/office/drawing/2014/chart" uri="{C3380CC4-5D6E-409C-BE32-E72D297353CC}">
                <c16:uniqueId val="{0000004F-492D-4276-A691-A9FC2FFA12D5}"/>
              </c:ext>
            </c:extLst>
          </c:dPt>
          <c:dPt>
            <c:idx val="72"/>
            <c:bubble3D val="0"/>
            <c:extLst>
              <c:ext xmlns:c16="http://schemas.microsoft.com/office/drawing/2014/chart" uri="{C3380CC4-5D6E-409C-BE32-E72D297353CC}">
                <c16:uniqueId val="{00000050-492D-4276-A691-A9FC2FFA12D5}"/>
              </c:ext>
            </c:extLst>
          </c:dPt>
          <c:dPt>
            <c:idx val="73"/>
            <c:bubble3D val="0"/>
            <c:extLst>
              <c:ext xmlns:c16="http://schemas.microsoft.com/office/drawing/2014/chart" uri="{C3380CC4-5D6E-409C-BE32-E72D297353CC}">
                <c16:uniqueId val="{00000051-492D-4276-A691-A9FC2FFA12D5}"/>
              </c:ext>
            </c:extLst>
          </c:dPt>
          <c:dPt>
            <c:idx val="74"/>
            <c:bubble3D val="0"/>
            <c:extLst>
              <c:ext xmlns:c16="http://schemas.microsoft.com/office/drawing/2014/chart" uri="{C3380CC4-5D6E-409C-BE32-E72D297353CC}">
                <c16:uniqueId val="{00000052-492D-4276-A691-A9FC2FFA12D5}"/>
              </c:ext>
            </c:extLst>
          </c:dPt>
          <c:dPt>
            <c:idx val="75"/>
            <c:bubble3D val="0"/>
            <c:extLst>
              <c:ext xmlns:c16="http://schemas.microsoft.com/office/drawing/2014/chart" uri="{C3380CC4-5D6E-409C-BE32-E72D297353CC}">
                <c16:uniqueId val="{00000053-492D-4276-A691-A9FC2FFA12D5}"/>
              </c:ext>
            </c:extLst>
          </c:dPt>
          <c:dPt>
            <c:idx val="76"/>
            <c:bubble3D val="0"/>
            <c:extLst>
              <c:ext xmlns:c16="http://schemas.microsoft.com/office/drawing/2014/chart" uri="{C3380CC4-5D6E-409C-BE32-E72D297353CC}">
                <c16:uniqueId val="{00000054-492D-4276-A691-A9FC2FFA12D5}"/>
              </c:ext>
            </c:extLst>
          </c:dPt>
          <c:dPt>
            <c:idx val="77"/>
            <c:bubble3D val="0"/>
            <c:extLst>
              <c:ext xmlns:c16="http://schemas.microsoft.com/office/drawing/2014/chart" uri="{C3380CC4-5D6E-409C-BE32-E72D297353CC}">
                <c16:uniqueId val="{00000055-492D-4276-A691-A9FC2FFA12D5}"/>
              </c:ext>
            </c:extLst>
          </c:dPt>
          <c:dPt>
            <c:idx val="78"/>
            <c:bubble3D val="0"/>
            <c:extLst>
              <c:ext xmlns:c16="http://schemas.microsoft.com/office/drawing/2014/chart" uri="{C3380CC4-5D6E-409C-BE32-E72D297353CC}">
                <c16:uniqueId val="{00000056-492D-4276-A691-A9FC2FFA12D5}"/>
              </c:ext>
            </c:extLst>
          </c:dPt>
          <c:dPt>
            <c:idx val="79"/>
            <c:bubble3D val="0"/>
            <c:extLst>
              <c:ext xmlns:c16="http://schemas.microsoft.com/office/drawing/2014/chart" uri="{C3380CC4-5D6E-409C-BE32-E72D297353CC}">
                <c16:uniqueId val="{00000057-492D-4276-A691-A9FC2FFA12D5}"/>
              </c:ext>
            </c:extLst>
          </c:dPt>
          <c:dPt>
            <c:idx val="80"/>
            <c:bubble3D val="0"/>
            <c:extLst>
              <c:ext xmlns:c16="http://schemas.microsoft.com/office/drawing/2014/chart" uri="{C3380CC4-5D6E-409C-BE32-E72D297353CC}">
                <c16:uniqueId val="{00000058-492D-4276-A691-A9FC2FFA12D5}"/>
              </c:ext>
            </c:extLst>
          </c:dPt>
          <c:dPt>
            <c:idx val="81"/>
            <c:bubble3D val="0"/>
            <c:extLst>
              <c:ext xmlns:c16="http://schemas.microsoft.com/office/drawing/2014/chart" uri="{C3380CC4-5D6E-409C-BE32-E72D297353CC}">
                <c16:uniqueId val="{00000059-492D-4276-A691-A9FC2FFA12D5}"/>
              </c:ext>
            </c:extLst>
          </c:dPt>
          <c:dPt>
            <c:idx val="82"/>
            <c:bubble3D val="0"/>
            <c:extLst>
              <c:ext xmlns:c16="http://schemas.microsoft.com/office/drawing/2014/chart" uri="{C3380CC4-5D6E-409C-BE32-E72D297353CC}">
                <c16:uniqueId val="{0000005A-492D-4276-A691-A9FC2FFA12D5}"/>
              </c:ext>
            </c:extLst>
          </c:dPt>
          <c:dPt>
            <c:idx val="83"/>
            <c:bubble3D val="0"/>
            <c:extLst>
              <c:ext xmlns:c16="http://schemas.microsoft.com/office/drawing/2014/chart" uri="{C3380CC4-5D6E-409C-BE32-E72D297353CC}">
                <c16:uniqueId val="{0000005B-492D-4276-A691-A9FC2FFA12D5}"/>
              </c:ext>
            </c:extLst>
          </c:dPt>
          <c:dPt>
            <c:idx val="84"/>
            <c:bubble3D val="0"/>
            <c:extLst>
              <c:ext xmlns:c16="http://schemas.microsoft.com/office/drawing/2014/chart" uri="{C3380CC4-5D6E-409C-BE32-E72D297353CC}">
                <c16:uniqueId val="{0000005C-492D-4276-A691-A9FC2FFA12D5}"/>
              </c:ext>
            </c:extLst>
          </c:dPt>
          <c:dPt>
            <c:idx val="85"/>
            <c:bubble3D val="0"/>
            <c:extLst>
              <c:ext xmlns:c16="http://schemas.microsoft.com/office/drawing/2014/chart" uri="{C3380CC4-5D6E-409C-BE32-E72D297353CC}">
                <c16:uniqueId val="{0000005D-492D-4276-A691-A9FC2FFA12D5}"/>
              </c:ext>
            </c:extLst>
          </c:dPt>
          <c:dPt>
            <c:idx val="86"/>
            <c:bubble3D val="0"/>
            <c:extLst>
              <c:ext xmlns:c16="http://schemas.microsoft.com/office/drawing/2014/chart" uri="{C3380CC4-5D6E-409C-BE32-E72D297353CC}">
                <c16:uniqueId val="{0000005E-492D-4276-A691-A9FC2FFA12D5}"/>
              </c:ext>
            </c:extLst>
          </c:dPt>
          <c:dPt>
            <c:idx val="87"/>
            <c:bubble3D val="0"/>
            <c:extLst>
              <c:ext xmlns:c16="http://schemas.microsoft.com/office/drawing/2014/chart" uri="{C3380CC4-5D6E-409C-BE32-E72D297353CC}">
                <c16:uniqueId val="{0000005F-492D-4276-A691-A9FC2FFA12D5}"/>
              </c:ext>
            </c:extLst>
          </c:dPt>
          <c:dPt>
            <c:idx val="88"/>
            <c:bubble3D val="0"/>
            <c:extLst>
              <c:ext xmlns:c16="http://schemas.microsoft.com/office/drawing/2014/chart" uri="{C3380CC4-5D6E-409C-BE32-E72D297353CC}">
                <c16:uniqueId val="{00000060-492D-4276-A691-A9FC2FFA12D5}"/>
              </c:ext>
            </c:extLst>
          </c:dPt>
          <c:cat>
            <c:strRef>
              <c:f>'Automation Monitoring (2)'!$BB$4:$BB$53</c:f>
              <c:strCache>
                <c:ptCount val="3"/>
                <c:pt idx="0">
                  <c:v>Nama Aplikasi</c:v>
                </c:pt>
                <c:pt idx="2">
                  <c:v>ICONS Poseidon</c:v>
                </c:pt>
              </c:strCache>
            </c:strRef>
          </c:cat>
          <c:val>
            <c:numRef>
              <c:f>'Automation Monitoring (2)'!$BG$4:$BG$53</c:f>
              <c:numCache>
                <c:formatCode>General</c:formatCode>
                <c:ptCount val="50"/>
                <c:pt idx="0">
                  <c:v>0</c:v>
                </c:pt>
                <c:pt idx="1">
                  <c:v>0</c:v>
                </c:pt>
                <c:pt idx="2">
                  <c:v>1416</c:v>
                </c:pt>
              </c:numCache>
            </c:numRef>
          </c:val>
          <c:extLst>
            <c:ext xmlns:c16="http://schemas.microsoft.com/office/drawing/2014/chart" uri="{C3380CC4-5D6E-409C-BE32-E72D297353CC}">
              <c16:uniqueId val="{00000061-492D-4276-A691-A9FC2FFA12D5}"/>
            </c:ext>
          </c:extLst>
        </c:ser>
        <c:dLbls>
          <c:showLegendKey val="0"/>
          <c:showVal val="0"/>
          <c:showCatName val="0"/>
          <c:showSerName val="0"/>
          <c:showPercent val="0"/>
          <c:showBubbleSize val="0"/>
          <c:showLeaderLines val="1"/>
        </c:dLbls>
        <c:firstSliceAng val="0"/>
        <c:holeSize val="50"/>
      </c:doughnutChart>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d-ID"/>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'Automation Monitoring (2)'!$AR$4:$AR$5</c:f>
              <c:strCache>
                <c:ptCount val="2"/>
                <c:pt idx="0">
                  <c:v>Done Running</c:v>
                </c:pt>
                <c:pt idx="1">
                  <c:v>Percentage</c:v>
                </c:pt>
              </c:strCache>
            </c:strRef>
          </c:tx>
          <c:dPt>
            <c:idx val="0"/>
            <c:bubble3D val="0"/>
            <c:spPr>
              <a:solidFill>
                <a:srgbClr val="7AE4DA"/>
              </a:solidFill>
            </c:spPr>
            <c:extLst>
              <c:ext xmlns:c16="http://schemas.microsoft.com/office/drawing/2014/chart" uri="{C3380CC4-5D6E-409C-BE32-E72D297353CC}">
                <c16:uniqueId val="{00000001-3C98-4C46-AC60-D8F6F4865DA6}"/>
              </c:ext>
            </c:extLst>
          </c:dPt>
          <c:dPt>
            <c:idx val="1"/>
            <c:bubble3D val="0"/>
            <c:spPr>
              <a:solidFill>
                <a:srgbClr val="FDFEEF"/>
              </a:solidFill>
            </c:spPr>
            <c:extLst>
              <c:ext xmlns:c16="http://schemas.microsoft.com/office/drawing/2014/chart" uri="{C3380CC4-5D6E-409C-BE32-E72D297353CC}">
                <c16:uniqueId val="{00000003-3C98-4C46-AC60-D8F6F4865DA6}"/>
              </c:ext>
            </c:extLst>
          </c:dPt>
          <c:dPt>
            <c:idx val="2"/>
            <c:bubble3D val="0"/>
            <c:spPr>
              <a:solidFill>
                <a:srgbClr val="F9F7F5"/>
              </a:solidFill>
            </c:spPr>
            <c:extLst>
              <c:ext xmlns:c16="http://schemas.microsoft.com/office/drawing/2014/chart" uri="{C3380CC4-5D6E-409C-BE32-E72D297353CC}">
                <c16:uniqueId val="{00000005-3C98-4C46-AC60-D8F6F4865DA6}"/>
              </c:ext>
            </c:extLst>
          </c:dPt>
          <c:dPt>
            <c:idx val="3"/>
            <c:bubble3D val="0"/>
            <c:extLst>
              <c:ext xmlns:c16="http://schemas.microsoft.com/office/drawing/2014/chart" uri="{C3380CC4-5D6E-409C-BE32-E72D297353CC}">
                <c16:uniqueId val="{00000007-3C98-4C46-AC60-D8F6F4865DA6}"/>
              </c:ext>
            </c:extLst>
          </c:dPt>
          <c:dPt>
            <c:idx val="4"/>
            <c:bubble3D val="0"/>
            <c:extLst>
              <c:ext xmlns:c16="http://schemas.microsoft.com/office/drawing/2014/chart" uri="{C3380CC4-5D6E-409C-BE32-E72D297353CC}">
                <c16:uniqueId val="{00000009-3C98-4C46-AC60-D8F6F4865DA6}"/>
              </c:ext>
            </c:extLst>
          </c:dPt>
          <c:dPt>
            <c:idx val="5"/>
            <c:bubble3D val="0"/>
            <c:extLst>
              <c:ext xmlns:c16="http://schemas.microsoft.com/office/drawing/2014/chart" uri="{C3380CC4-5D6E-409C-BE32-E72D297353CC}">
                <c16:uniqueId val="{0000000B-3C98-4C46-AC60-D8F6F4865DA6}"/>
              </c:ext>
            </c:extLst>
          </c:dPt>
          <c:cat>
            <c:strRef>
              <c:f>'Automation Monitoring (2)'!$AL$6:$AL$11</c:f>
              <c:strCache>
                <c:ptCount val="6"/>
                <c:pt idx="0">
                  <c:v>Tiplus UFE</c:v>
                </c:pt>
                <c:pt idx="1">
                  <c:v>Mobile Agen46 (iOS)</c:v>
                </c:pt>
                <c:pt idx="2">
                  <c:v>Mobile Credit Card (Android)</c:v>
                </c:pt>
                <c:pt idx="3">
                  <c:v>Smart VA Portal</c:v>
                </c:pt>
                <c:pt idx="4">
                  <c:v>Cash Management Lite</c:v>
                </c:pt>
                <c:pt idx="5">
                  <c:v>GB Online</c:v>
                </c:pt>
              </c:strCache>
            </c:strRef>
          </c:cat>
          <c:val>
            <c:numRef>
              <c:f>'Automation Monitoring (2)'!$AR$6:$AR$11</c:f>
              <c:numCache>
                <c:formatCode>0.00%</c:formatCode>
                <c:ptCount val="6"/>
                <c:pt idx="0">
                  <c:v>1</c:v>
                </c:pt>
                <c:pt idx="1">
                  <c:v>1</c:v>
                </c:pt>
                <c:pt idx="2">
                  <c:v>0.66666666666666663</c:v>
                </c:pt>
                <c:pt idx="3">
                  <c:v>0.23467862481315396</c:v>
                </c:pt>
                <c:pt idx="4">
                  <c:v>6.0804648177549569E-4</c:v>
                </c:pt>
                <c:pt idx="5">
                  <c:v>0</c:v>
                </c:pt>
              </c:numCache>
            </c:numRef>
          </c:val>
          <c:extLst>
            <c:ext xmlns:c16="http://schemas.microsoft.com/office/drawing/2014/chart" uri="{C3380CC4-5D6E-409C-BE32-E72D297353CC}">
              <c16:uniqueId val="{00000043-3C98-4C46-AC60-D8F6F4865DA6}"/>
            </c:ext>
          </c:extLst>
        </c:ser>
        <c:dLbls>
          <c:showLegendKey val="0"/>
          <c:showVal val="0"/>
          <c:showCatName val="0"/>
          <c:showSerName val="0"/>
          <c:showPercent val="0"/>
          <c:showBubbleSize val="0"/>
          <c:showLeaderLines val="1"/>
        </c:dLbls>
        <c:firstSliceAng val="0"/>
        <c:holeSize val="50"/>
      </c:doughnutChart>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oneCellAnchor>
    <xdr:from>
      <xdr:col>21</xdr:col>
      <xdr:colOff>0</xdr:colOff>
      <xdr:row>4</xdr:row>
      <xdr:rowOff>66675</xdr:rowOff>
    </xdr:from>
    <xdr:ext cx="9591675" cy="5924550"/>
    <xdr:graphicFrame macro="">
      <xdr:nvGraphicFramePr>
        <xdr:cNvPr id="2" name="Chart 1" title="Chart">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21</xdr:col>
      <xdr:colOff>1114425</xdr:colOff>
      <xdr:row>92</xdr:row>
      <xdr:rowOff>66675</xdr:rowOff>
    </xdr:from>
    <xdr:ext cx="8829675" cy="4781550"/>
    <xdr:graphicFrame macro="">
      <xdr:nvGraphicFramePr>
        <xdr:cNvPr id="3" name="Chart 2" title="Chart">
          <a:extLst>
            <a:ext uri="{FF2B5EF4-FFF2-40B4-BE49-F238E27FC236}">
              <a16:creationId xmlns:a16="http://schemas.microsoft.com/office/drawing/2014/main" id="{00000000-0008-0000-0000-000003000000}"/>
            </a:ext>
            <a:ext uri="{147F2762-F138-4A5C-976F-8EAC2B608ADB}">
              <a16:predDERef xmlns:a16="http://schemas.microsoft.com/office/drawing/2014/main" pre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33</xdr:col>
      <xdr:colOff>962025</xdr:colOff>
      <xdr:row>92</xdr:row>
      <xdr:rowOff>76200</xdr:rowOff>
    </xdr:from>
    <xdr:ext cx="7953375" cy="4781550"/>
    <xdr:graphicFrame macro="">
      <xdr:nvGraphicFramePr>
        <xdr:cNvPr id="4" name="Chart 3" title="Chart">
          <a:extLst>
            <a:ext uri="{FF2B5EF4-FFF2-40B4-BE49-F238E27FC236}">
              <a16:creationId xmlns:a16="http://schemas.microsoft.com/office/drawing/2014/main" id="{00000000-0008-0000-0000-000004000000}"/>
            </a:ext>
            <a:ext uri="{147F2762-F138-4A5C-976F-8EAC2B608ADB}">
              <a16:predDERef xmlns:a16="http://schemas.microsoft.com/office/drawing/2014/main" pre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0</xdr:col>
      <xdr:colOff>476250</xdr:colOff>
      <xdr:row>92</xdr:row>
      <xdr:rowOff>66675</xdr:rowOff>
    </xdr:from>
    <xdr:ext cx="10125075" cy="4781550"/>
    <xdr:graphicFrame macro="">
      <xdr:nvGraphicFramePr>
        <xdr:cNvPr id="5" name="Chart 4" title="Chart">
          <a:extLst>
            <a:ext uri="{FF2B5EF4-FFF2-40B4-BE49-F238E27FC236}">
              <a16:creationId xmlns:a16="http://schemas.microsoft.com/office/drawing/2014/main" id="{00000000-0008-0000-0000-000005000000}"/>
            </a:ext>
            <a:ext uri="{147F2762-F138-4A5C-976F-8EAC2B608ADB}">
              <a16:predDERef xmlns:a16="http://schemas.microsoft.com/office/drawing/2014/main" pre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dr:oneCellAnchor>
    <xdr:from>
      <xdr:col>9</xdr:col>
      <xdr:colOff>295275</xdr:colOff>
      <xdr:row>2</xdr:row>
      <xdr:rowOff>171450</xdr:rowOff>
    </xdr:from>
    <xdr:ext cx="10325100" cy="6381750"/>
    <xdr:graphicFrame macro="">
      <xdr:nvGraphicFramePr>
        <xdr:cNvPr id="8" name="Chart 8" title="Diagram">
          <a:extLst>
            <a:ext uri="{FF2B5EF4-FFF2-40B4-BE49-F238E27FC236}">
              <a16:creationId xmlns:a16="http://schemas.microsoft.com/office/drawing/2014/main" id="{00000000-0008-0000-05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9</xdr:col>
      <xdr:colOff>295275</xdr:colOff>
      <xdr:row>70</xdr:row>
      <xdr:rowOff>200025</xdr:rowOff>
    </xdr:from>
    <xdr:ext cx="10325100" cy="6381750"/>
    <xdr:graphicFrame macro="">
      <xdr:nvGraphicFramePr>
        <xdr:cNvPr id="9" name="Chart 9" title="Chart">
          <a:extLst>
            <a:ext uri="{FF2B5EF4-FFF2-40B4-BE49-F238E27FC236}">
              <a16:creationId xmlns:a16="http://schemas.microsoft.com/office/drawing/2014/main" id="{00000000-0008-0000-0500-000009000000}"/>
            </a:ext>
            <a:ext uri="{147F2762-F138-4A5C-976F-8EAC2B608ADB}">
              <a16:predDERef xmlns:a16="http://schemas.microsoft.com/office/drawing/2014/main" pred="{00000000-0008-0000-05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9</xdr:col>
      <xdr:colOff>295275</xdr:colOff>
      <xdr:row>138</xdr:row>
      <xdr:rowOff>152400</xdr:rowOff>
    </xdr:from>
    <xdr:ext cx="10325100" cy="6381750"/>
    <xdr:graphicFrame macro="">
      <xdr:nvGraphicFramePr>
        <xdr:cNvPr id="10" name="Chart 10" title="Chart">
          <a:extLst>
            <a:ext uri="{FF2B5EF4-FFF2-40B4-BE49-F238E27FC236}">
              <a16:creationId xmlns:a16="http://schemas.microsoft.com/office/drawing/2014/main" id="{00000000-0008-0000-0500-00000A000000}"/>
            </a:ext>
            <a:ext uri="{147F2762-F138-4A5C-976F-8EAC2B608ADB}">
              <a16:predDERef xmlns:a16="http://schemas.microsoft.com/office/drawing/2014/main" pred="{00000000-0008-0000-05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dr:oneCellAnchor>
    <xdr:from>
      <xdr:col>20</xdr:col>
      <xdr:colOff>0</xdr:colOff>
      <xdr:row>4</xdr:row>
      <xdr:rowOff>66675</xdr:rowOff>
    </xdr:from>
    <xdr:ext cx="9591675" cy="5924550"/>
    <xdr:graphicFrame macro="">
      <xdr:nvGraphicFramePr>
        <xdr:cNvPr id="2" name="Chart 1" title="Chart">
          <a:extLst>
            <a:ext uri="{FF2B5EF4-FFF2-40B4-BE49-F238E27FC236}">
              <a16:creationId xmlns:a16="http://schemas.microsoft.com/office/drawing/2014/main" id="{DA5AB395-6953-41BF-9CA6-5FFE2FE331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20</xdr:col>
      <xdr:colOff>1114425</xdr:colOff>
      <xdr:row>52</xdr:row>
      <xdr:rowOff>66675</xdr:rowOff>
    </xdr:from>
    <xdr:ext cx="8829675" cy="4781550"/>
    <xdr:graphicFrame macro="">
      <xdr:nvGraphicFramePr>
        <xdr:cNvPr id="3" name="Chart 2" title="Chart">
          <a:extLst>
            <a:ext uri="{FF2B5EF4-FFF2-40B4-BE49-F238E27FC236}">
              <a16:creationId xmlns:a16="http://schemas.microsoft.com/office/drawing/2014/main" id="{9EDBC5CD-AD3D-4C20-AE0F-FF268895CE8A}"/>
            </a:ext>
            <a:ext uri="{147F2762-F138-4A5C-976F-8EAC2B608ADB}">
              <a16:predDERef xmlns:a16="http://schemas.microsoft.com/office/drawing/2014/main" pred="{DA5AB395-6953-41BF-9CA6-5FFE2FE331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32</xdr:col>
      <xdr:colOff>962025</xdr:colOff>
      <xdr:row>52</xdr:row>
      <xdr:rowOff>76200</xdr:rowOff>
    </xdr:from>
    <xdr:ext cx="7953375" cy="4781550"/>
    <xdr:graphicFrame macro="">
      <xdr:nvGraphicFramePr>
        <xdr:cNvPr id="4" name="Chart 3" title="Chart">
          <a:extLst>
            <a:ext uri="{FF2B5EF4-FFF2-40B4-BE49-F238E27FC236}">
              <a16:creationId xmlns:a16="http://schemas.microsoft.com/office/drawing/2014/main" id="{1AD854FC-C3A1-45F6-A916-9F0BE6CFC667}"/>
            </a:ext>
            <a:ext uri="{147F2762-F138-4A5C-976F-8EAC2B608ADB}">
              <a16:predDERef xmlns:a16="http://schemas.microsoft.com/office/drawing/2014/main" pred="{9EDBC5CD-AD3D-4C20-AE0F-FF268895CE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0</xdr:col>
      <xdr:colOff>476250</xdr:colOff>
      <xdr:row>52</xdr:row>
      <xdr:rowOff>66675</xdr:rowOff>
    </xdr:from>
    <xdr:ext cx="10125075" cy="4781550"/>
    <xdr:graphicFrame macro="">
      <xdr:nvGraphicFramePr>
        <xdr:cNvPr id="5" name="Chart 4" title="Chart">
          <a:extLst>
            <a:ext uri="{FF2B5EF4-FFF2-40B4-BE49-F238E27FC236}">
              <a16:creationId xmlns:a16="http://schemas.microsoft.com/office/drawing/2014/main" id="{B2465468-174F-45D1-A016-1C29FEC9E01B}"/>
            </a:ext>
            <a:ext uri="{147F2762-F138-4A5C-976F-8EAC2B608ADB}">
              <a16:predDERef xmlns:a16="http://schemas.microsoft.com/office/drawing/2014/main" pred="{1AD854FC-C3A1-45F6-A916-9F0BE6CFC6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B58:O58" headerRowCount="0">
  <tableColumns count="14">
    <tableColumn id="1" xr3:uid="{00000000-0010-0000-0000-000001000000}" name="Column1"/>
    <tableColumn id="2" xr3:uid="{00000000-0010-0000-0000-000002000000}" name="Column2"/>
    <tableColumn id="3" xr3:uid="{00000000-0010-0000-0000-000003000000}" name="Column3"/>
    <tableColumn id="4" xr3:uid="{00000000-0010-0000-0000-000004000000}" name="Column4"/>
    <tableColumn id="5" xr3:uid="{00000000-0010-0000-0000-000005000000}" name="Column5"/>
    <tableColumn id="6" xr3:uid="{00000000-0010-0000-0000-000006000000}" name="Column6"/>
    <tableColumn id="7" xr3:uid="{00000000-0010-0000-0000-000007000000}" name="Column7"/>
    <tableColumn id="8" xr3:uid="{00000000-0010-0000-0000-000008000000}" name="Column8"/>
    <tableColumn id="9" xr3:uid="{00000000-0010-0000-0000-000009000000}" name="Column9"/>
    <tableColumn id="10" xr3:uid="{00000000-0010-0000-0000-00000A000000}" name="Column10"/>
    <tableColumn id="14" xr3:uid="{4D45A69D-01AD-40DB-8812-7EE95386B502}" name="Kolom1" dataDxfId="2"/>
    <tableColumn id="11" xr3:uid="{00000000-0010-0000-0000-00000B000000}" name="Column11"/>
    <tableColumn id="12" xr3:uid="{00000000-0010-0000-0000-00000C000000}" name="Column12"/>
    <tableColumn id="13" xr3:uid="{00000000-0010-0000-0000-00000D000000}" name="Column13"/>
  </tableColumns>
  <tableStyleInfo name="Automation Monitoring-style" showFirstColumn="1" showLastColumn="1" showRowStripes="1" showColumnStripes="0"/>
  <extLst>
    <ext uri="GoogleSheetsCustomDataVersion1">
      <go:sheetsCustomData xmlns:go="http://customooxmlschemas.google.com/" headerRowCount="1"/>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C189A65-3BCE-4273-BD1D-C20BB6832039}" name="Table_14" displayName="Table_14" ref="B18:N18" headerRowCount="0">
  <tableColumns count="13">
    <tableColumn id="1" xr3:uid="{1E78AB55-90DD-4F88-9001-BFFAF6B96A9F}" name="Column1"/>
    <tableColumn id="2" xr3:uid="{F7E8D6DF-620C-46C6-A8B2-5A9986CA679C}" name="Column2"/>
    <tableColumn id="3" xr3:uid="{6A78B8B2-6690-4921-AB0B-230CEEEFBCC1}" name="Column3"/>
    <tableColumn id="4" xr3:uid="{49B8B76C-CAC2-4014-B4FB-A2F130D793E6}" name="Column4"/>
    <tableColumn id="5" xr3:uid="{D256635E-514F-44B1-96F1-96BEA84BF263}" name="Column5"/>
    <tableColumn id="6" xr3:uid="{5D87A4CE-FA80-448A-BAF4-25D100D5D953}" name="Column6"/>
    <tableColumn id="7" xr3:uid="{D7276EC8-CD1B-472E-A535-3EA02C95A636}" name="Column7">
      <calculatedColumnFormula>G19/F19</calculatedColumnFormula>
    </tableColumn>
    <tableColumn id="8" xr3:uid="{94AFC897-1E9D-429D-BA36-2277322BC909}" name="Column8"/>
    <tableColumn id="9" xr3:uid="{F53A6934-02F8-4EB3-9D4D-E64CCC43F343}" name="Column9">
      <calculatedColumnFormula>I19/F19</calculatedColumnFormula>
    </tableColumn>
    <tableColumn id="10" xr3:uid="{0A6695FF-CD5B-4779-8C1F-52EF491196EB}" name="Column10"/>
    <tableColumn id="11" xr3:uid="{0139F77A-663D-4D7E-84BC-B1362B1FA0E2}" name="Column11"/>
    <tableColumn id="12" xr3:uid="{AB12C602-381F-4EB2-B9D7-ADA03F313804}" name="Column12"/>
    <tableColumn id="13" xr3:uid="{674EB41B-FF40-4B5D-92B1-54C5DB2983D9}" name="Column13"/>
  </tableColumns>
  <tableStyleInfo name="Automation Monitoring-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1D9CA"/>
      </a:accent1>
      <a:accent2>
        <a:srgbClr val="EDF25E"/>
      </a:accent2>
      <a:accent3>
        <a:srgbClr val="BFB39B"/>
      </a:accent3>
      <a:accent4>
        <a:srgbClr val="F27405"/>
      </a:accent4>
      <a:accent5>
        <a:srgbClr val="D96941"/>
      </a:accent5>
      <a:accent6>
        <a:srgbClr val="9379F2"/>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gitlab-dc.bni.co.id/coe-duplicate/test-automation/katalon-digisales-ms-form-portal-6c.git" TargetMode="External"/><Relationship Id="rId21" Type="http://schemas.openxmlformats.org/officeDocument/2006/relationships/hyperlink" Target="https://gitlab-dc.bni.co.id/coe-duplicate/test-automation/katalon-tiplus-ufe.git" TargetMode="External"/><Relationship Id="rId42" Type="http://schemas.openxmlformats.org/officeDocument/2006/relationships/hyperlink" Target="https://bankbnitbk.sharepoint.com/:f:/s/TEST212/EsU0M1xMRx9PokMQJ0xEYqoBFapR-d2DAIfXACNcm1GImQ?e=Td26y3" TargetMode="External"/><Relationship Id="rId63" Type="http://schemas.openxmlformats.org/officeDocument/2006/relationships/hyperlink" Target="https://gitlab-dc.bni.co.id/coe-duplicate/test-automation/katalon-dms.git" TargetMode="External"/><Relationship Id="rId84" Type="http://schemas.openxmlformats.org/officeDocument/2006/relationships/hyperlink" Target="https://gitlab-dc.bni.co.id/coe-duplicate/test-automation/katalon-lms-wholesale.git" TargetMode="External"/><Relationship Id="rId138" Type="http://schemas.openxmlformats.org/officeDocument/2006/relationships/hyperlink" Target="https://bankbnitbk.sharepoint.com/:f:/s/COETeam/IgDXkylQNrYJRqEdNtwzMEmzAe9Aqqc1qNYV3A8qNRTlVBo?e=6VfNeI" TargetMode="External"/><Relationship Id="rId107" Type="http://schemas.openxmlformats.org/officeDocument/2006/relationships/hyperlink" Target="https://gitlab-dc.bni.co.id/coe-duplicate/test-automation/katalon-digisales-generalis-mobile-apk.git" TargetMode="External"/><Relationship Id="rId11" Type="http://schemas.openxmlformats.org/officeDocument/2006/relationships/hyperlink" Target="https://bankbnitbk-my.sharepoint.com/:f:/g/personal/67063_hq_bni_co_id/EmPaCuMegxFFsa-ggkUGxqcB3ihP__H4lUFyGJj9DtT8wQ?e=UtXsow" TargetMode="External"/><Relationship Id="rId32" Type="http://schemas.openxmlformats.org/officeDocument/2006/relationships/hyperlink" Target="https://bankbnitbk.sharepoint.com/:f:/s/TEST212/EkHjWT_UNQVOuyzvn_wuAsIBDRxid-37YpANPr_MFDJmDA?e=sloXmk" TargetMode="External"/><Relationship Id="rId53" Type="http://schemas.openxmlformats.org/officeDocument/2006/relationships/hyperlink" Target="https://gitlab-dc.bni.co.id/marchy.tio/mobile-agen-ios.git" TargetMode="External"/><Relationship Id="rId74" Type="http://schemas.openxmlformats.org/officeDocument/2006/relationships/hyperlink" Target="https://bankbnitbk.sharepoint.com/:f:/s/TEST212/Eup95DJS-rFLljrtCvblvq0BOzTzM9ulTTYDds9KCmcULw?e=eHpNAF" TargetMode="External"/><Relationship Id="rId128" Type="http://schemas.openxmlformats.org/officeDocument/2006/relationships/hyperlink" Target="https://bankbnitbk.sharepoint.com/:f:/s/COETeam/EvEFj3E9tBhCq_RyYCPs4ewBkMey9_B-sLYP-q1rkX5srw?e=0IKCpt" TargetMode="External"/><Relationship Id="rId149" Type="http://schemas.openxmlformats.org/officeDocument/2006/relationships/hyperlink" Target="https://bankbnitbk.sharepoint.com/sites/TEST212/Shared%20Documents/Forms/AllItems.aspx?csf=1&amp;web=1&amp;e=aydZGo&amp;CID=fffa208b%2D4f53%2D44d4%2Da03b%2D4372838d0eab&amp;FolderCTID=0x01200013C42440C0BE0446A84C2940AA0E2843&amp;id=%2Fsites%2FTEST212%2FShared%20Documents%2FGeneral%2FScripting%20Report%2FWeb%20Digisales%2FDigisales%20MVP%208b%20Phase%201" TargetMode="External"/><Relationship Id="rId5" Type="http://schemas.openxmlformats.org/officeDocument/2006/relationships/hyperlink" Target="https://bankbnitbk-my.sharepoint.com/:f:/g/personal/67063_hq_bni_co_id/EjVOeAe_2_dEsC8Zvi54WZsBpHAq_N1suUGmclnT87wPpw?e=rm3sTp" TargetMode="External"/><Relationship Id="rId95" Type="http://schemas.openxmlformats.org/officeDocument/2006/relationships/hyperlink" Target="https://gitlab-dc.bni.co.id/coe-duplicate/test-automation/katalon-bni-move.git" TargetMode="External"/><Relationship Id="rId22" Type="http://schemas.openxmlformats.org/officeDocument/2006/relationships/hyperlink" Target="https://bankbnitbk.sharepoint.com/:f:/s/TEST212/Emapha_Bb-9DkeVfXC8xJYUBRyjYGeVp-Oe6NTAG5ipn9A?e=ONdMX9" TargetMode="External"/><Relationship Id="rId27" Type="http://schemas.openxmlformats.org/officeDocument/2006/relationships/hyperlink" Target="https://gitlab-dc.bni.co.id/coe-duplicate/test-automation/katalon-tiplus-gb.git" TargetMode="External"/><Relationship Id="rId43" Type="http://schemas.openxmlformats.org/officeDocument/2006/relationships/hyperlink" Target="https://gitlab-dc.bni.co.id/coe-duplicate/test-automation/katalon-sms-menu-ios.git" TargetMode="External"/><Relationship Id="rId48" Type="http://schemas.openxmlformats.org/officeDocument/2006/relationships/hyperlink" Target="https://bankbnitbk.sharepoint.com/:f:/s/TEST212/EgbVkGyr9-pFiln6NEqUKygBcfmEacAgN3FK0RjDiivwMg?e=nPUY5s" TargetMode="External"/><Relationship Id="rId64" Type="http://schemas.openxmlformats.org/officeDocument/2006/relationships/hyperlink" Target="https://bankbnitbk.sharepoint.com/:f:/s/TEST212/EmiB9mpkX1tFldLUVOVY5SsBY1WjAqn_mc_ygxcWlPhRfg?e=442imQ" TargetMode="External"/><Relationship Id="rId69" Type="http://schemas.openxmlformats.org/officeDocument/2006/relationships/hyperlink" Target="https://gitlab-dc.bni.co.id/coe-duplicate/test-automation/katalon-digisales-portal.git" TargetMode="External"/><Relationship Id="rId113" Type="http://schemas.openxmlformats.org/officeDocument/2006/relationships/hyperlink" Target="https://gitlab-dc.bni.co.id/coe-duplicate/test-automation/katalon-digisales-sales-farmer-mobile-apk.git" TargetMode="External"/><Relationship Id="rId118" Type="http://schemas.openxmlformats.org/officeDocument/2006/relationships/hyperlink" Target="https://bankbnitbk.sharepoint.com/:f:/s/TEST212/EqKDBXnkBsNKim04CPE06vUBRk2AOSI3jMDlbnJizA-uCA?e=KdvnBn" TargetMode="External"/><Relationship Id="rId134" Type="http://schemas.openxmlformats.org/officeDocument/2006/relationships/hyperlink" Target="https://bankbnitbk.sharepoint.com/:f:/s/TEST212/EnV4iKR0IUdBt5LizOfitP4BViEz4hX03Nm3xU-2xP2FNw?e=bxnKXx" TargetMode="External"/><Relationship Id="rId139" Type="http://schemas.openxmlformats.org/officeDocument/2006/relationships/hyperlink" Target="https://gitlab-dc.bni.co.id/coe-duplicate/test-automation/katalon-digims.git" TargetMode="External"/><Relationship Id="rId80" Type="http://schemas.openxmlformats.org/officeDocument/2006/relationships/hyperlink" Target="https://bankbnitbk.sharepoint.com/:f:/s/TEST212/Egsdb85tRmRCjJTdK7ESwUcBZW6sNXh7vBtHANYVKTslLg?e=PHmO6I" TargetMode="External"/><Relationship Id="rId85" Type="http://schemas.openxmlformats.org/officeDocument/2006/relationships/hyperlink" Target="https://gitlab-dc.bni.co.id/coe-duplicate/test-automation/katalon-lms-wholesale.git" TargetMode="External"/><Relationship Id="rId150" Type="http://schemas.openxmlformats.org/officeDocument/2006/relationships/hyperlink" Target="https://bankbnitbk.sharepoint.com/sites/TEST212/Shared%20Documents/Forms/AllItems.aspx?csf=1&amp;web=1&amp;e=aydZGo&amp;CID=fffa208b%2D4f53%2D44d4%2Da03b%2D4372838d0eab&amp;FolderCTID=0x01200013C42440C0BE0446A84C2940AA0E2843&amp;id=%2Fsites%2FTEST212%2FShared%20Documents%2FGeneral%2FScripting%20Report%2FWeb%20Digisales%2FDigisales%20MVP%208b%20Phase%201" TargetMode="External"/><Relationship Id="rId12" Type="http://schemas.openxmlformats.org/officeDocument/2006/relationships/hyperlink" Target="https://gitlab-dc.bni.co.id/marchy.tio/icons.git" TargetMode="External"/><Relationship Id="rId17" Type="http://schemas.openxmlformats.org/officeDocument/2006/relationships/hyperlink" Target="https://gitlab-dc.bni.co.id/coe-duplicate/test-automation/katalon-bni-direct-lite.git" TargetMode="External"/><Relationship Id="rId33" Type="http://schemas.openxmlformats.org/officeDocument/2006/relationships/hyperlink" Target="https://gitlab-dc.bni.co.id/coe-duplicate/test-automation/katalon-ibank-fase-3.git" TargetMode="External"/><Relationship Id="rId38" Type="http://schemas.openxmlformats.org/officeDocument/2006/relationships/hyperlink" Target="https://gitlab-dc.bni.co.id/coe-duplicate/test-automation/katalon-wondr-bussiness-ios.git" TargetMode="External"/><Relationship Id="rId59" Type="http://schemas.openxmlformats.org/officeDocument/2006/relationships/hyperlink" Target="https://gitlab-dc.bni.co.id/coe-duplicate/test-automation/katalon-dms.git" TargetMode="External"/><Relationship Id="rId103" Type="http://schemas.openxmlformats.org/officeDocument/2006/relationships/hyperlink" Target="https://gitlab-dc.bni.co.id/coe-duplicate/test-automation/katalon-digisales-portal-5b-fase-1.git" TargetMode="External"/><Relationship Id="rId108" Type="http://schemas.openxmlformats.org/officeDocument/2006/relationships/hyperlink" Target="https://bankbnitbk.sharepoint.com/:f:/s/TEST212/EiH7yAM0rVtMpHzYtcLAZ2kBfdhgzLfhROjy1G-3181jQA?e=Bii74T" TargetMode="External"/><Relationship Id="rId124" Type="http://schemas.openxmlformats.org/officeDocument/2006/relationships/hyperlink" Target="https://bankbnitbk.sharepoint.com/:f:/s/TEST212/ElnsE9cKzSZNl0y4Yi22lYcB4ut0jQu60FUUFszXnRomWw?e=FBGvLa" TargetMode="External"/><Relationship Id="rId129" Type="http://schemas.openxmlformats.org/officeDocument/2006/relationships/hyperlink" Target="https://gitlab-dc.bni.co.id/coe-duplicate/test-automation/katalon-cash-management-reguler.git" TargetMode="External"/><Relationship Id="rId54" Type="http://schemas.openxmlformats.org/officeDocument/2006/relationships/hyperlink" Target="https://bankbnitbk.sharepoint.com/:f:/s/TEST212/EhxlVjo9HBdAm-H7eawQ7tABiE5bT5QZOeaXojeQgwtHig?e=cce0WK" TargetMode="External"/><Relationship Id="rId70" Type="http://schemas.openxmlformats.org/officeDocument/2006/relationships/hyperlink" Target="https://bankbnitbk.sharepoint.com/:f:/s/TEST212/ElybKHNWvkxDjZztpmaLLWUBbK7bk4AXKBTpXRbjFe-LvQ?e=zw4Rt1" TargetMode="External"/><Relationship Id="rId75" Type="http://schemas.openxmlformats.org/officeDocument/2006/relationships/hyperlink" Target="https://gitlab-dc.bni.co.id/coe-duplicate/test-automation/katalon-digisales-fte-mobile-browser.git" TargetMode="External"/><Relationship Id="rId91" Type="http://schemas.openxmlformats.org/officeDocument/2006/relationships/hyperlink" Target="https://gitlab-dc.bni.co.id/coe-duplicate/test-automation/uft-gfx.git" TargetMode="External"/><Relationship Id="rId96" Type="http://schemas.openxmlformats.org/officeDocument/2006/relationships/hyperlink" Target="https://bankbnitbk.sharepoint.com/:f:/s/TEST212/EkHylvVI_-NHkreXGOrLvDgBuEj6fKPO3ktyu_-69pu-nA?e=EVyUWF" TargetMode="External"/><Relationship Id="rId140" Type="http://schemas.openxmlformats.org/officeDocument/2006/relationships/hyperlink" Target="https://bankbnitbk.sharepoint.com/:f:/s/TEST212/EqbDzLRXSqBPjveAyS7wVEoBOXJJK6fziPRjsCLc26vn9w?e=dPKnyD" TargetMode="External"/><Relationship Id="rId145" Type="http://schemas.openxmlformats.org/officeDocument/2006/relationships/hyperlink" Target="https://bankbnitbk.sharepoint.com/sites/TEST212/Shared%20Documents/Forms/AllItems.aspx?id=%2Fsites%2FTEST212%2FShared%20Documents%2FGeneral%2FScripting%20Report%2FDigisales%20New%202026&amp;viewid=5f45ee7e%2D4c73%2D41ad%2Dab32%2Dcf02db1420df&amp;csf=1&amp;CID=8c8ced04%2D801f%2D433a%2Da151%2Da1ae2c72e4a6&amp;FolderCTID=0x01200013C42440C0BE0446A84C2940AA0E2843" TargetMode="External"/><Relationship Id="rId1" Type="http://schemas.openxmlformats.org/officeDocument/2006/relationships/hyperlink" Target="https://bankbnitbk-my.sharepoint.com/:f:/g/personal/67063_hq_bni_co_id/EioRDAk7tqJPhuKwrES1L6wBVVJh6wJLeRC7QuskMdzpLg?e=NkMAm7" TargetMode="External"/><Relationship Id="rId6" Type="http://schemas.openxmlformats.org/officeDocument/2006/relationships/hyperlink" Target="https://gitlab-dc.bni.co.id/marchy.tio/icons.git" TargetMode="External"/><Relationship Id="rId23" Type="http://schemas.openxmlformats.org/officeDocument/2006/relationships/hyperlink" Target="https://gitlab-dc.bni.co.id/coe-duplicate/test-automation/katalon-tiplus-sfe.git" TargetMode="External"/><Relationship Id="rId28" Type="http://schemas.openxmlformats.org/officeDocument/2006/relationships/hyperlink" Target="https://bankbnitbk.sharepoint.com/:f:/s/TEST212/EtmuKzkVd5RIl1KkUpVF9R4BoiHpVsBFUBQoOYHvh7oDPQ?e=kC7VLy" TargetMode="External"/><Relationship Id="rId49" Type="http://schemas.openxmlformats.org/officeDocument/2006/relationships/hyperlink" Target="https://gitlab-dc.bni.co.id/marchy.tio/keagenan46-uft.git" TargetMode="External"/><Relationship Id="rId114" Type="http://schemas.openxmlformats.org/officeDocument/2006/relationships/hyperlink" Target="https://bankbnitbk.sharepoint.com/:f:/s/TEST212/EtfHqjSV8Z9OnE7F75WlelwB3rOpoeV7wr4R181UlVuY8g?e=MXElRq" TargetMode="External"/><Relationship Id="rId119" Type="http://schemas.openxmlformats.org/officeDocument/2006/relationships/hyperlink" Target="https://gitlab-dc.bni.co.id/coe-duplicate/test-automation/katalon-digisales-portal-6d/-/tree/dev_gafi?ref_type=heads" TargetMode="External"/><Relationship Id="rId44" Type="http://schemas.openxmlformats.org/officeDocument/2006/relationships/hyperlink" Target="https://bankbnitbk.sharepoint.com/:f:/s/COETeam/EhexkvrncmhPkKrQ88RFFeQBpANxgmBvAXlLKTC6aoqqPw?e=CAjb0u" TargetMode="External"/><Relationship Id="rId60" Type="http://schemas.openxmlformats.org/officeDocument/2006/relationships/hyperlink" Target="https://bankbnitbk.sharepoint.com/:f:/s/TEST212/EpY4prIHBUtLrQN9JOy0ISEBtNP6CEy567sXf4qNOFEo7Q?e=bRxJ5j" TargetMode="External"/><Relationship Id="rId65" Type="http://schemas.openxmlformats.org/officeDocument/2006/relationships/hyperlink" Target="https://gitlab-dc.bni.co.id/coe-duplicate/test-automation/katalon-bams-tat.git" TargetMode="External"/><Relationship Id="rId81" Type="http://schemas.openxmlformats.org/officeDocument/2006/relationships/hyperlink" Target="https://gitlab-dc.bni.co.id/coe-duplicate/test-automation/katalon-cash-management-lite.git" TargetMode="External"/><Relationship Id="rId86" Type="http://schemas.openxmlformats.org/officeDocument/2006/relationships/hyperlink" Target="https://gitlab-dc.bni.co.id/coe-duplicate/test-automation/katalon-lms-wholesale.git" TargetMode="External"/><Relationship Id="rId130" Type="http://schemas.openxmlformats.org/officeDocument/2006/relationships/hyperlink" Target="https://bankbnitbk.sharepoint.com/:f:/s/COETeam/EruzHPcPZoZGuA8i1T2C9WMB0fK30ITH24iVi_OLSMsNqA?e=XUTuBI" TargetMode="External"/><Relationship Id="rId135" Type="http://schemas.openxmlformats.org/officeDocument/2006/relationships/hyperlink" Target="https://gitlab-dc.bni.co.id/coe-duplicate/test-automation/katalon-digisales-portal-7a-portal.git" TargetMode="External"/><Relationship Id="rId151" Type="http://schemas.openxmlformats.org/officeDocument/2006/relationships/drawing" Target="../drawings/drawing1.xml"/><Relationship Id="rId13" Type="http://schemas.openxmlformats.org/officeDocument/2006/relationships/hyperlink" Target="https://gitlab-dc.bni.co.id/marchy.tio/icons.git" TargetMode="External"/><Relationship Id="rId18" Type="http://schemas.openxmlformats.org/officeDocument/2006/relationships/hyperlink" Target="https://bankbnitbk.sharepoint.com/:f:/s/TEST212/EshJqUQ8NgtJrM1fA3NLjP0BPMd-vipEJVXTXkGsyi7Biw?e=EJxxfA" TargetMode="External"/><Relationship Id="rId39" Type="http://schemas.openxmlformats.org/officeDocument/2006/relationships/hyperlink" Target="https://bankbnitbk.sharepoint.com/:x:/r/sites/TEST212/Shared%20Documents/General/Sheet%20Monitoring%20Project/UFT%20Katalon%20Automation%202024%20-%202025.xlsx?d=wc03feacd37994a94b2715e297ba9a69e&amp;csf=1&amp;web=1&amp;e=aoQZQg" TargetMode="External"/><Relationship Id="rId109" Type="http://schemas.openxmlformats.org/officeDocument/2006/relationships/hyperlink" Target="https://gitlab-dc.bni.co.id/coe-duplicate/test-automation/katalon-digisales-fte-mobile-browser.git" TargetMode="External"/><Relationship Id="rId34" Type="http://schemas.openxmlformats.org/officeDocument/2006/relationships/hyperlink" Target="https://drive.google.com/drive/folders/17ELgFdGoXCIye04cj8w9d-hsfML1s-vV" TargetMode="External"/><Relationship Id="rId50" Type="http://schemas.openxmlformats.org/officeDocument/2006/relationships/hyperlink" Target="https://bankbnitbk.sharepoint.com/:f:/s/TEST212/EiEcoPf2gTxAmcZmpvA4fNgBhiFsoebZ1LZC4eefKSbWvg?e=nX1kh8" TargetMode="External"/><Relationship Id="rId55" Type="http://schemas.openxmlformats.org/officeDocument/2006/relationships/hyperlink" Target="https://gitlab-dc.bni.co.id/marchy.tio/mobile-bni-credit-card-android.git" TargetMode="External"/><Relationship Id="rId76" Type="http://schemas.openxmlformats.org/officeDocument/2006/relationships/hyperlink" Target="https://bankbnitbk.sharepoint.com/:f:/s/TEST212/EvzzQSkZgHtIo46EbcwpAKUBVU-0l60enMgmHRDjNWBkbQ?e=k341oe" TargetMode="External"/><Relationship Id="rId97" Type="http://schemas.openxmlformats.org/officeDocument/2006/relationships/hyperlink" Target="https://gitlab-dc.bni.co.id/coe-duplicate/test-automation/katalon-bni-api-gateway.git" TargetMode="External"/><Relationship Id="rId104" Type="http://schemas.openxmlformats.org/officeDocument/2006/relationships/hyperlink" Target="https://bankbnitbk.sharepoint.com/:f:/s/TEST212/EjSIIQ-UTuhOn0w35tAgE7cBCajtwbZD_5MwixPwtcGVRQ?e=cC8p34" TargetMode="External"/><Relationship Id="rId120" Type="http://schemas.openxmlformats.org/officeDocument/2006/relationships/hyperlink" Target="https://bankbnitbk.sharepoint.com/:f:/s/TEST212/EpOdAPBTKopMnQkLcmeRrysBNqyQHgTEK_twRjTs45MNvw?e=V7pLlp" TargetMode="External"/><Relationship Id="rId125" Type="http://schemas.openxmlformats.org/officeDocument/2006/relationships/hyperlink" Target="https://gitlab-dc.bni.co.id/coe-duplicate/test-automation/katalon-cash-management-lite.git" TargetMode="External"/><Relationship Id="rId141" Type="http://schemas.openxmlformats.org/officeDocument/2006/relationships/hyperlink" Target="https://bankbnitbk.sharepoint.com/:f:/s/TEST212/EpX6nYWHcbVMnDs5avPcFJ0BxI7PZPjl8Ve86Mjwl1uT5g?e=7OLKAe" TargetMode="External"/><Relationship Id="rId146" Type="http://schemas.openxmlformats.org/officeDocument/2006/relationships/hyperlink" Target="https://bankbnitbk.sharepoint.com/:x:/r/sites/COETeam/_layouts/15/doc2.aspx?sourcedoc=%7Bd174dcaa-5001-4c31-acf0-3b3d63f86bcf%7D&amp;action=edit&amp;wdinitialsession=3f27e13e-2ca5-3928-dbd5-a5c05144c407&amp;wdrldsc=3&amp;wdrldc=1&amp;wdrldr=RefreshingExpiredAccessToken&amp;wdenableroaming=1&amp;wdlcid=en-US&amp;wdorigin=Other&amp;wdredirectionreason=Force_SingleStepBoot" TargetMode="External"/><Relationship Id="rId7" Type="http://schemas.openxmlformats.org/officeDocument/2006/relationships/hyperlink" Target="https://bankbnitbk-my.sharepoint.com/:f:/g/personal/67063_hq_bni_co_id/EhCZ_7N9tNJIgATRbmpYaiQBdeT1-CRl5iGafkKuKTPiZQ?e=zLjz5h" TargetMode="External"/><Relationship Id="rId71" Type="http://schemas.openxmlformats.org/officeDocument/2006/relationships/hyperlink" Target="https://gitlab-dc.bni.co.id/coe-duplicate/test-automation/katalon-digisales-generalis-mobile-browser.git" TargetMode="External"/><Relationship Id="rId92" Type="http://schemas.openxmlformats.org/officeDocument/2006/relationships/hyperlink" Target="https://bankbnitbk.sharepoint.com/:f:/s/TEST212/En44M6Dgx1JNmHnpum_-qC4BqZNp-rDMF8sAIACMq7f6Og?e=Q5K8Xf" TargetMode="External"/><Relationship Id="rId2" Type="http://schemas.openxmlformats.org/officeDocument/2006/relationships/hyperlink" Target="https://gitlab-dc.bni.co.id/marchy.tio/icons.git" TargetMode="External"/><Relationship Id="rId29" Type="http://schemas.openxmlformats.org/officeDocument/2006/relationships/hyperlink" Target="https://gitlab-dc.bni.co.id/coe-duplicate/test-automation/katalon-ibank-remit.git" TargetMode="External"/><Relationship Id="rId24" Type="http://schemas.openxmlformats.org/officeDocument/2006/relationships/hyperlink" Target="https://bankbnitbk.sharepoint.com/:f:/s/TEST212/Ep78Qlmxo0pEht8rdfyamzoBHfhkycCopqAyr9XvvAECMQ?e=aLtBmW" TargetMode="External"/><Relationship Id="rId40" Type="http://schemas.openxmlformats.org/officeDocument/2006/relationships/hyperlink" Target="https://bankbnitbk.sharepoint.com/:f:/s/TEST212/EkBwukLUexlCvNbiS9xVLOwBec_4sO1J5vspDybADFMf8g?e=YPNGbQ" TargetMode="External"/><Relationship Id="rId45" Type="http://schemas.openxmlformats.org/officeDocument/2006/relationships/hyperlink" Target="https://gitlab-dc.bni.co.id/marchy.tio/mobile-banking-android.git" TargetMode="External"/><Relationship Id="rId66" Type="http://schemas.openxmlformats.org/officeDocument/2006/relationships/hyperlink" Target="https://bankbnitbk.sharepoint.com/:f:/s/TEST212/EmDQeI6wuE9Erk-8RtI6KBsBdR4mp5abwD8GJYpgrlXEyA?e=FOsV8R" TargetMode="External"/><Relationship Id="rId87" Type="http://schemas.openxmlformats.org/officeDocument/2006/relationships/hyperlink" Target="https://gitlab-dc.bni.co.id/coe-duplicate/test-automation/katalon-lms-wholesale.git" TargetMode="External"/><Relationship Id="rId110" Type="http://schemas.openxmlformats.org/officeDocument/2006/relationships/hyperlink" Target="https://bankbnitbk.sharepoint.com/:f:/s/TEST212/EhfCiubekcNDqws3_z6Qs88Bf2O8z6EuXbjSBvjxGpV7jg?e=c997oc" TargetMode="External"/><Relationship Id="rId115" Type="http://schemas.openxmlformats.org/officeDocument/2006/relationships/hyperlink" Target="https://gitlab-dc.bni.co.id/coe-duplicate/test-automation/katalon-digisales-sales-farmer-mobile-browser.git" TargetMode="External"/><Relationship Id="rId131" Type="http://schemas.openxmlformats.org/officeDocument/2006/relationships/hyperlink" Target="https://gitlab-dc.bni.co.id/coe-duplicate/katalon-mobile-swmp-android.git" TargetMode="External"/><Relationship Id="rId136" Type="http://schemas.openxmlformats.org/officeDocument/2006/relationships/hyperlink" Target="https://bankbnitbk.sharepoint.com/:f:/s/TEST212/Ev9QjAMCDF5PnE6lSb_cqWEBxNuZJSdHF0QPlrSLXvLIMw?e=Bsc9R0" TargetMode="External"/><Relationship Id="rId61" Type="http://schemas.openxmlformats.org/officeDocument/2006/relationships/hyperlink" Target="https://gitlab-dc.bni.co.id/coe-duplicate/test-automation/katalon-dms.git" TargetMode="External"/><Relationship Id="rId82" Type="http://schemas.openxmlformats.org/officeDocument/2006/relationships/hyperlink" Target="https://bankbnitbk.sharepoint.com/:f:/s/TEST212/EuvNp1NjryNPvVKPeNcz8cUB3NwobpvMfIWP6ChkfD4r5w?e=VvQG8q" TargetMode="External"/><Relationship Id="rId152" Type="http://schemas.openxmlformats.org/officeDocument/2006/relationships/table" Target="../tables/table1.xml"/><Relationship Id="rId19" Type="http://schemas.openxmlformats.org/officeDocument/2006/relationships/hyperlink" Target="https://gitlab-dc.bni.co.id/coe-duplicate/test-automation/katalon-cxo-onboarding.git" TargetMode="External"/><Relationship Id="rId14" Type="http://schemas.openxmlformats.org/officeDocument/2006/relationships/hyperlink" Target="https://bankbnitbk.sharepoint.com/:f:/s/TEST212/EjoE11ji--FKn_mAQAz4i8oBtXukZNAGOhwCVulYtzAAIw?e=yikl5b" TargetMode="External"/><Relationship Id="rId30" Type="http://schemas.openxmlformats.org/officeDocument/2006/relationships/hyperlink" Target="https://bankbnitbk.sharepoint.com/:f:/s/TEST212/ErrL0pVIbCJLm0b1orcWaU8BvqVAwz9-D1w3xohN5Jupmw?e=OSAFJR" TargetMode="External"/><Relationship Id="rId35" Type="http://schemas.openxmlformats.org/officeDocument/2006/relationships/hyperlink" Target="https://gitlab-dc.bni.co.id/coe-duplicate/test-automation/katalon-wondr-bussiness-android.git" TargetMode="External"/><Relationship Id="rId56" Type="http://schemas.openxmlformats.org/officeDocument/2006/relationships/hyperlink" Target="https://bankbnitbk.sharepoint.com/:f:/s/TEST212/Ei5Zf9cttb5EjDeqTlOL06QBpKaucm6Sp8TatRFM_m3syg?e=Co7C5G" TargetMode="External"/><Relationship Id="rId77" Type="http://schemas.openxmlformats.org/officeDocument/2006/relationships/hyperlink" Target="https://gitlab-dc.bni.co.id/coe-duplicate/test-automation/katalon-digisales-fte-mobile-apk.git" TargetMode="External"/><Relationship Id="rId100" Type="http://schemas.openxmlformats.org/officeDocument/2006/relationships/hyperlink" Target="https://bankbnitbk.sharepoint.com/:f:/s/TEST212/ErtDBAMjlOVEhInAqEwJMg4BS1QJKJWJ4EPzDH8BoZLRjg?e=P1LmP3" TargetMode="External"/><Relationship Id="rId105" Type="http://schemas.openxmlformats.org/officeDocument/2006/relationships/hyperlink" Target="https://gitlab-dc.bni.co.id/coe-duplicate/test-automation/katalon-digisales-generalis-mobile-browser.git" TargetMode="External"/><Relationship Id="rId126" Type="http://schemas.openxmlformats.org/officeDocument/2006/relationships/hyperlink" Target="https://bankbnitbk.sharepoint.com/sites/TEST212/Shared%20Documents/Forms/AllItems.aspx?id=%2Fsites%2FTEST212%2FShared%20Documents%2FGeneral%2FScripting%20Report%2FWeb%20Digisales%2FDigisales%20MVP%207B&amp;viewid=5f45ee7e%2D4c73%2D41ad%2Dab32%2Dcf02db1420df&amp;p=true&amp;ga=1" TargetMode="External"/><Relationship Id="rId147" Type="http://schemas.openxmlformats.org/officeDocument/2006/relationships/hyperlink" Target="https://gitlab-dc.bni.co.id/coe-duplicate/test-automation/katalon-digisales-8b-phase-1" TargetMode="External"/><Relationship Id="rId8" Type="http://schemas.openxmlformats.org/officeDocument/2006/relationships/hyperlink" Target="https://gitlab-dc.bni.co.id/marchy.tio/icons.git" TargetMode="External"/><Relationship Id="rId51" Type="http://schemas.openxmlformats.org/officeDocument/2006/relationships/hyperlink" Target="https://gitlab-dc.bni.co.id/marchy.tio/mobile-agen-android.git" TargetMode="External"/><Relationship Id="rId72" Type="http://schemas.openxmlformats.org/officeDocument/2006/relationships/hyperlink" Target="https://bankbnitbk.sharepoint.com/:f:/s/TEST212/ElM4wgKu4IpEo1aN26W6_xEBbG1DgM8lJCMGlpG4MzZ0Mg?e=ugHmtA" TargetMode="External"/><Relationship Id="rId93" Type="http://schemas.openxmlformats.org/officeDocument/2006/relationships/hyperlink" Target="https://gitlab-dc.bni.co.id/coe-duplicate/test-automation/uft-rm-tools.git" TargetMode="External"/><Relationship Id="rId98" Type="http://schemas.openxmlformats.org/officeDocument/2006/relationships/hyperlink" Target="https://bankbnitbk.sharepoint.com/:f:/s/TEST212/EpE8MORMBY9LpiVlrjrHBSEBLU5JCww1dRj2oD3BRZaxZQ?e=NNMi3A" TargetMode="External"/><Relationship Id="rId121" Type="http://schemas.openxmlformats.org/officeDocument/2006/relationships/hyperlink" Target="https://gitlab-dc.bni.co.id/coe-duplicate/test-automation/katalon-digisales-portal-7a-portal.git" TargetMode="External"/><Relationship Id="rId142" Type="http://schemas.openxmlformats.org/officeDocument/2006/relationships/hyperlink" Target="https://gitlab-dc.bni.co.id/coe-duplicate/test-automation/katalon-digisales-8a/-/tree/dev_mobile_browser_mikhael?ref_type=heads" TargetMode="External"/><Relationship Id="rId3" Type="http://schemas.openxmlformats.org/officeDocument/2006/relationships/hyperlink" Target="https://bankbnitbk-my.sharepoint.com/:f:/g/personal/67063_hq_bni_co_id/EuJYUqs4i9pFljj3tLIKD_ABTVsQGOw747c_n_zduBE5-w?e=ir28YJ" TargetMode="External"/><Relationship Id="rId25" Type="http://schemas.openxmlformats.org/officeDocument/2006/relationships/hyperlink" Target="https://gitlab-dc.bni.co.id/coe-duplicate/test-automation/katalon-tiplus-export-local.git" TargetMode="External"/><Relationship Id="rId46" Type="http://schemas.openxmlformats.org/officeDocument/2006/relationships/hyperlink" Target="https://bankbnitbk.sharepoint.com/:f:/s/COETeam/EhexkvrncmhPkKrQ88RFFeQBpANxgmBvAXlLKTC6aoqqPw?e=CAjb0u" TargetMode="External"/><Relationship Id="rId67" Type="http://schemas.openxmlformats.org/officeDocument/2006/relationships/hyperlink" Target="https://gitlab-dc.bni.co.id/coe-duplicate/test-automation/katalon-digims.git" TargetMode="External"/><Relationship Id="rId116" Type="http://schemas.openxmlformats.org/officeDocument/2006/relationships/hyperlink" Target="https://bankbnitbk.sharepoint.com/:f:/s/TEST212/EirMayUabUdEkXIAnu65NS8BqQKjYy3DaHy1YQ6MGjnUig?e=HV7due" TargetMode="External"/><Relationship Id="rId137" Type="http://schemas.openxmlformats.org/officeDocument/2006/relationships/hyperlink" Target="https://gitlab-dc.bni.co.id/coe-duplicate/test-automation/katalon-digisales-portal-7a-portal.git" TargetMode="External"/><Relationship Id="rId20" Type="http://schemas.openxmlformats.org/officeDocument/2006/relationships/hyperlink" Target="https://bankbnitbk.sharepoint.com/:f:/s/TEST212/El9fXPrW_0xEprlffGoewXkB11ZARqXcvZV5_6zbpZffWg?e=rrbDbV" TargetMode="External"/><Relationship Id="rId41" Type="http://schemas.openxmlformats.org/officeDocument/2006/relationships/hyperlink" Target="https://gitlab-dc.bni.co.id/coe-duplicate/test-automation/katalon-sms-menu-android.git" TargetMode="External"/><Relationship Id="rId62" Type="http://schemas.openxmlformats.org/officeDocument/2006/relationships/hyperlink" Target="https://bankbnitbk.sharepoint.com/:f:/s/TEST212/Erxs-oPMn19Air8-liocoq4BGeFyQJ0enNcHClbhAI4e2Q?e=zUdiKh" TargetMode="External"/><Relationship Id="rId83" Type="http://schemas.openxmlformats.org/officeDocument/2006/relationships/hyperlink" Target="https://gitlab-dc.bni.co.id/coe-duplicate/test-automation/katalon-garansi-bank-online.git" TargetMode="External"/><Relationship Id="rId88" Type="http://schemas.openxmlformats.org/officeDocument/2006/relationships/hyperlink" Target="https://bankbnitbk.sharepoint.com/:f:/s/COETeam/EugCZ5-rSd9GuUY9kaSt7pIBCLaxm3tdNVVoAsRss3_SXw?e=q9FY5x" TargetMode="External"/><Relationship Id="rId111" Type="http://schemas.openxmlformats.org/officeDocument/2006/relationships/hyperlink" Target="https://gitlab-dc.bni.co.id/coe-duplicate/test-automation/katalon-digisales-fte-mobile-apk.git" TargetMode="External"/><Relationship Id="rId132" Type="http://schemas.openxmlformats.org/officeDocument/2006/relationships/hyperlink" Target="https://bankbnitbk.sharepoint.com/:f:/s/TEST212/ErRVf1KDEGNLr4zZOhZENJEBLrzdzXGX6LjY_3KXK9aYrA?e=cKfNIX" TargetMode="External"/><Relationship Id="rId15" Type="http://schemas.openxmlformats.org/officeDocument/2006/relationships/hyperlink" Target="https://gitlab-dc.bni.co.id/coe-duplicate/test-automation/katalon-bni-direct-reguler.git" TargetMode="External"/><Relationship Id="rId36" Type="http://schemas.openxmlformats.org/officeDocument/2006/relationships/hyperlink" Target="https://bankbnitbk.sharepoint.com/:x:/r/sites/TEST212/Shared%20Documents/General/Sheet%20Monitoring%20Project/UFT%20Katalon%20Automation%202024%20-%202025.xlsx?d=wc03feacd37994a94b2715e297ba9a69e&amp;csf=1&amp;web=1&amp;e=aoQZQg" TargetMode="External"/><Relationship Id="rId57" Type="http://schemas.openxmlformats.org/officeDocument/2006/relationships/hyperlink" Target="https://gitlab-dc.bni.co.id/marchy.tio/mobile-bni-credit-card-ios.git" TargetMode="External"/><Relationship Id="rId106" Type="http://schemas.openxmlformats.org/officeDocument/2006/relationships/hyperlink" Target="https://bankbnitbk.sharepoint.com/:f:/s/TEST212/EkBmeaU1c85IiWJlJWAM5M8BLepL1R6T8-lh8zjTEzCT9w?e=lk9hZb" TargetMode="External"/><Relationship Id="rId127" Type="http://schemas.openxmlformats.org/officeDocument/2006/relationships/hyperlink" Target="https://gitlab.bni.co.id/coe-duplicate/test-automation/katalon-digisales-7b" TargetMode="External"/><Relationship Id="rId10" Type="http://schemas.openxmlformats.org/officeDocument/2006/relationships/hyperlink" Target="https://gitlab-dc.bni.co.id/marchy.tio/icons.git" TargetMode="External"/><Relationship Id="rId31" Type="http://schemas.openxmlformats.org/officeDocument/2006/relationships/hyperlink" Target="https://gitlab-dc.bni.co.id/coe-duplicate/test-automation/katalon-ibank-remit-fase-2.git" TargetMode="External"/><Relationship Id="rId52" Type="http://schemas.openxmlformats.org/officeDocument/2006/relationships/hyperlink" Target="https://bankbnitbk.sharepoint.com/:f:/s/TEST212/EgPcgA5jbJ9HrcgZ-GhhgCMB0UPYbPOvpQPH74Hk7dO4bA?e=8KbZ6f" TargetMode="External"/><Relationship Id="rId73" Type="http://schemas.openxmlformats.org/officeDocument/2006/relationships/hyperlink" Target="https://gitlab-dc.bni.co.id/coe-duplicate/test-automation/katalon-digisales-generalis-mobile-apk.git" TargetMode="External"/><Relationship Id="rId78" Type="http://schemas.openxmlformats.org/officeDocument/2006/relationships/hyperlink" Target="https://bankbnitbk.sharepoint.com/:f:/s/TEST212/EsE_n7BKP49DtZV_DeXugQcBATb7DB5RJ5f3NFGwOL9xhw?e=0F4t6H" TargetMode="External"/><Relationship Id="rId94" Type="http://schemas.openxmlformats.org/officeDocument/2006/relationships/hyperlink" Target="https://bankbnitbk.sharepoint.com/:f:/s/TEST212/EnGaOMaxvvpMt1YXvnMJUoYBwWSQ6-ASx9MtqORLnLdw-w?e=HUA9sb" TargetMode="External"/><Relationship Id="rId99" Type="http://schemas.openxmlformats.org/officeDocument/2006/relationships/hyperlink" Target="https://gitlab-dc.bni.co.id/coe-duplicate/test-automation/katalon-cx-comm/-/tree/CXCOMM_alex?ref_type=heads" TargetMode="External"/><Relationship Id="rId101" Type="http://schemas.openxmlformats.org/officeDocument/2006/relationships/hyperlink" Target="https://gitlab.bni.co.id/coe-duplicate/test-automation/katalon-lms-wholesale/-/tree/lms_mvp_2_sprint_1?ref_type=heads" TargetMode="External"/><Relationship Id="rId122" Type="http://schemas.openxmlformats.org/officeDocument/2006/relationships/hyperlink" Target="https://bankbnitbk.sharepoint.com/:f:/s/TEST212/Ev0NXfhPpW5Gkzs-mOGX16gBqNpNkJnpmDZWW9IYNXzwlw?e=F2Gqu2" TargetMode="External"/><Relationship Id="rId143" Type="http://schemas.openxmlformats.org/officeDocument/2006/relationships/hyperlink" Target="https://bankbnitbk.sharepoint.com/:f:/s/TEST212/IgAmm4yf9iSJTItUHvNqmR9yASSMOa8HHNvDCbKzKykl5nM?e=a88cgn" TargetMode="External"/><Relationship Id="rId148" Type="http://schemas.openxmlformats.org/officeDocument/2006/relationships/hyperlink" Target="https://gitlab-dc.bni.co.id/coe-duplicate/test-automation/katalon-digisales-8b-phase-1" TargetMode="External"/><Relationship Id="rId4" Type="http://schemas.openxmlformats.org/officeDocument/2006/relationships/hyperlink" Target="https://gitlab-dc.bni.co.id/marchy.tio/icons.git" TargetMode="External"/><Relationship Id="rId9" Type="http://schemas.openxmlformats.org/officeDocument/2006/relationships/hyperlink" Target="https://bankbnitbk-my.sharepoint.com/:f:/g/personal/67063_hq_bni_co_id/EsBNhr_IOGZFi183hsODeQkBtAeT1vSg7cuoGc_uC31tLA?e=lOMw0E" TargetMode="External"/><Relationship Id="rId26" Type="http://schemas.openxmlformats.org/officeDocument/2006/relationships/hyperlink" Target="https://bankbnitbk.sharepoint.com/:f:/s/TEST212/EnPhbOuIHQVBn-o711gDTwIB3eOLJ6GgqxeHav5V_212Aw?e=NPMo37" TargetMode="External"/><Relationship Id="rId47" Type="http://schemas.openxmlformats.org/officeDocument/2006/relationships/hyperlink" Target="https://gitlab-dc.bni.co.id/marchy.tio/mobile-agen-ios.git" TargetMode="External"/><Relationship Id="rId68" Type="http://schemas.openxmlformats.org/officeDocument/2006/relationships/hyperlink" Target="https://bankbnitbk.sharepoint.com/:f:/s/TEST212/EpwQ_mowTgRIsBNX-yqk1SsBydKz148dpodB8gftHbFBaw?e=24HPLd" TargetMode="External"/><Relationship Id="rId89" Type="http://schemas.openxmlformats.org/officeDocument/2006/relationships/hyperlink" Target="https://gitlab-dc.bni.co.id/coe-duplicate/test-automation/katalon-web-portal-admin.git" TargetMode="External"/><Relationship Id="rId112" Type="http://schemas.openxmlformats.org/officeDocument/2006/relationships/hyperlink" Target="https://bankbnitbk.sharepoint.com/:f:/s/TEST212/EpGn9xd6XFRFhfoQC-4eOp0BnnMmSnqdNgr0oq3Sh9ID_w?e=Tflu2X" TargetMode="External"/><Relationship Id="rId133" Type="http://schemas.openxmlformats.org/officeDocument/2006/relationships/hyperlink" Target="https://gitlab-dc.bni.co.id/coe-duplicate/test-automation/katalon-digisales-8a" TargetMode="External"/><Relationship Id="rId16" Type="http://schemas.openxmlformats.org/officeDocument/2006/relationships/hyperlink" Target="https://bankbnitbk.sharepoint.com/:f:/s/TEST212/EpfIVe6XOoxBplTCYePMJa0BkxvW5XBagBxVsZQHZwJadQ?e=M35rtn" TargetMode="External"/><Relationship Id="rId37" Type="http://schemas.openxmlformats.org/officeDocument/2006/relationships/hyperlink" Target="https://drive.google.com/drive/folders/17ELgFdGoXCIye04cj8w9d-hsfML1s-vV" TargetMode="External"/><Relationship Id="rId58" Type="http://schemas.openxmlformats.org/officeDocument/2006/relationships/hyperlink" Target="https://bankbnitbk.sharepoint.com/:f:/s/TEST212/EmHMOIlBNDhMgG0fqwfNLcMByJKReKkvJNI9KYFvfC6wag?e=8drVel" TargetMode="External"/><Relationship Id="rId79" Type="http://schemas.openxmlformats.org/officeDocument/2006/relationships/hyperlink" Target="https://gitlab.bni.co.id/coe-duplicate/test-automation/katalon-smartva-portal" TargetMode="External"/><Relationship Id="rId102" Type="http://schemas.openxmlformats.org/officeDocument/2006/relationships/hyperlink" Target="https://bankbnitbk.sharepoint.com/:f:/s/TEST212/EnO2rxJNuchFpX8AeccRGBwB6E4KL2HD-pnyq4oaIIkGkg?e=1UX2KP" TargetMode="External"/><Relationship Id="rId123" Type="http://schemas.openxmlformats.org/officeDocument/2006/relationships/hyperlink" Target="https://gitlab-dc.bni.co.id/coe-duplicate/test-automation/bni-direct-fscm.git" TargetMode="External"/><Relationship Id="rId144" Type="http://schemas.openxmlformats.org/officeDocument/2006/relationships/hyperlink" Target="https://gitlab-dc.bni.co.id/coe-duplicate/test-automation/katalon-bgn" TargetMode="External"/><Relationship Id="rId90" Type="http://schemas.openxmlformats.org/officeDocument/2006/relationships/hyperlink" Target="https://bankbnitbk.sharepoint.com/:f:/s/TEST212/EmHDDzW75hxMkZ8Ld4K2AXkB1uEh9JmBnh-_fVmmSm5Teg?e=5gVlOq"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hyperlink" Target="http://www.bni.co.id/" TargetMode="External"/></Relationships>
</file>

<file path=xl/worksheets/_rels/sheet6.xml.rels><?xml version="1.0" encoding="UTF-8" standalone="yes"?>
<Relationships xmlns="http://schemas.openxmlformats.org/package/2006/relationships"><Relationship Id="rId26" Type="http://schemas.openxmlformats.org/officeDocument/2006/relationships/hyperlink" Target="https://bankbnitbk.sharepoint.com/:f:/s/TEST212/EjSIIQ-UTuhOn0w35tAgE7cBCajtwbZD_5MwixPwtcGVRQ?e=cC8p34" TargetMode="External"/><Relationship Id="rId21" Type="http://schemas.openxmlformats.org/officeDocument/2006/relationships/hyperlink" Target="https://gitlab-dc.bni.co.id/coe-duplicate/test-automation/katalon-bni-api-gateway.git" TargetMode="External"/><Relationship Id="rId42" Type="http://schemas.openxmlformats.org/officeDocument/2006/relationships/hyperlink" Target="https://bankbnitbk.sharepoint.com/:f:/s/TEST212/EpOdAPBTKopMnQkLcmeRrysBNqyQHgTEK_twRjTs45MNvw?e=V7pLlp" TargetMode="External"/><Relationship Id="rId47" Type="http://schemas.openxmlformats.org/officeDocument/2006/relationships/hyperlink" Target="https://gitlab-dc.bni.co.id/coe-duplicate/test-automation/katalon-cash-management-lite.git" TargetMode="External"/><Relationship Id="rId63" Type="http://schemas.openxmlformats.org/officeDocument/2006/relationships/hyperlink" Target="https://bankbnitbk.sharepoint.com/:f:/s/TEST212/EpX6nYWHcbVMnDs5avPcFJ0BxI7PZPjl8Ve86Mjwl1uT5g?e=7OLKAe" TargetMode="External"/><Relationship Id="rId68" Type="http://schemas.openxmlformats.org/officeDocument/2006/relationships/hyperlink" Target="https://bankbnitbk.sharepoint.com/:x:/r/sites/COETeam/_layouts/15/doc2.aspx?sourcedoc=%7Bd174dcaa-5001-4c31-acf0-3b3d63f86bcf%7D&amp;action=edit&amp;wdinitialsession=3f27e13e-2ca5-3928-dbd5-a5c05144c407&amp;wdrldsc=3&amp;wdrldc=1&amp;wdrldr=RefreshingExpiredAccessToken&amp;wdenableroaming=1&amp;wdlcid=en-US&amp;wdorigin=Other&amp;wdredirectionreason=Force_SingleStepBoot" TargetMode="External"/><Relationship Id="rId7" Type="http://schemas.openxmlformats.org/officeDocument/2006/relationships/hyperlink" Target="https://gitlab-dc.bni.co.id/coe-duplicate/test-automation/katalon-digims.git" TargetMode="External"/><Relationship Id="rId2" Type="http://schemas.openxmlformats.org/officeDocument/2006/relationships/hyperlink" Target="https://bankbnitbk.sharepoint.com/:f:/s/TEST212/EkBwukLUexlCvNbiS9xVLOwBec_4sO1J5vspDybADFMf8g?e=YPNGbQ" TargetMode="External"/><Relationship Id="rId16" Type="http://schemas.openxmlformats.org/officeDocument/2006/relationships/hyperlink" Target="https://bankbnitbk.sharepoint.com/:f:/s/TEST212/EvzzQSkZgHtIo46EbcwpAKUBVU-0l60enMgmHRDjNWBkbQ?e=k341oe" TargetMode="External"/><Relationship Id="rId29" Type="http://schemas.openxmlformats.org/officeDocument/2006/relationships/hyperlink" Target="https://gitlab-dc.bni.co.id/coe-duplicate/test-automation/katalon-digisales-generalis-mobile-apk.git" TargetMode="External"/><Relationship Id="rId11" Type="http://schemas.openxmlformats.org/officeDocument/2006/relationships/hyperlink" Target="https://gitlab-dc.bni.co.id/coe-duplicate/test-automation/katalon-digisales-generalis-mobile-browser.git" TargetMode="External"/><Relationship Id="rId24" Type="http://schemas.openxmlformats.org/officeDocument/2006/relationships/hyperlink" Target="https://bankbnitbk.sharepoint.com/:f:/s/TEST212/EnO2rxJNuchFpX8AeccRGBwB6E4KL2HD-pnyq4oaIIkGkg?e=1UX2KP" TargetMode="External"/><Relationship Id="rId32" Type="http://schemas.openxmlformats.org/officeDocument/2006/relationships/hyperlink" Target="https://bankbnitbk.sharepoint.com/:f:/s/TEST212/EhfCiubekcNDqws3_z6Qs88Bf2O8z6EuXbjSBvjxGpV7jg?e=c997oc" TargetMode="External"/><Relationship Id="rId37" Type="http://schemas.openxmlformats.org/officeDocument/2006/relationships/hyperlink" Target="https://gitlab-dc.bni.co.id/coe-duplicate/test-automation/katalon-digisales-sales-farmer-mobile-browser.git" TargetMode="External"/><Relationship Id="rId40" Type="http://schemas.openxmlformats.org/officeDocument/2006/relationships/hyperlink" Target="https://bankbnitbk.sharepoint.com/:f:/s/TEST212/EqKDBXnkBsNKim04CPE06vUBRk2AOSI3jMDlbnJizA-uCA?e=KdvnBn" TargetMode="External"/><Relationship Id="rId45" Type="http://schemas.openxmlformats.org/officeDocument/2006/relationships/hyperlink" Target="https://gitlab-dc.bni.co.id/coe-duplicate/test-automation/bni-direct-fscm.git" TargetMode="External"/><Relationship Id="rId53" Type="http://schemas.openxmlformats.org/officeDocument/2006/relationships/hyperlink" Target="https://gitlab-dc.bni.co.id/coe-duplicate/katalon-mobile-swmp-android.git" TargetMode="External"/><Relationship Id="rId58" Type="http://schemas.openxmlformats.org/officeDocument/2006/relationships/hyperlink" Target="https://bankbnitbk.sharepoint.com/:f:/s/TEST212/Ev9QjAMCDF5PnE6lSb_cqWEBxNuZJSdHF0QPlrSLXvLIMw?e=Bsc9R0" TargetMode="External"/><Relationship Id="rId66" Type="http://schemas.openxmlformats.org/officeDocument/2006/relationships/hyperlink" Target="https://gitlab-dc.bni.co.id/coe-duplicate/test-automation/katalon-bgn" TargetMode="External"/><Relationship Id="rId5" Type="http://schemas.openxmlformats.org/officeDocument/2006/relationships/hyperlink" Target="https://gitlab-dc.bni.co.id/coe-duplicate/test-automation/katalon-sms-menu-ios.git" TargetMode="External"/><Relationship Id="rId61" Type="http://schemas.openxmlformats.org/officeDocument/2006/relationships/hyperlink" Target="https://gitlab-dc.bni.co.id/coe-duplicate/test-automation/katalon-digims.git" TargetMode="External"/><Relationship Id="rId19" Type="http://schemas.openxmlformats.org/officeDocument/2006/relationships/hyperlink" Target="https://gitlab.bni.co.id/coe-duplicate/test-automation/katalon-smartva-portal" TargetMode="External"/><Relationship Id="rId14" Type="http://schemas.openxmlformats.org/officeDocument/2006/relationships/hyperlink" Target="https://bankbnitbk.sharepoint.com/:f:/s/TEST212/Eup95DJS-rFLljrtCvblvq0BOzTzM9ulTTYDds9KCmcULw?e=eHpNAF" TargetMode="External"/><Relationship Id="rId22" Type="http://schemas.openxmlformats.org/officeDocument/2006/relationships/hyperlink" Target="https://bankbnitbk.sharepoint.com/:f:/s/TEST212/EpE8MORMBY9LpiVlrjrHBSEBLU5JCww1dRj2oD3BRZaxZQ?e=NNMi3A" TargetMode="External"/><Relationship Id="rId27" Type="http://schemas.openxmlformats.org/officeDocument/2006/relationships/hyperlink" Target="https://gitlab-dc.bni.co.id/coe-duplicate/test-automation/katalon-digisales-generalis-mobile-browser.git" TargetMode="External"/><Relationship Id="rId30" Type="http://schemas.openxmlformats.org/officeDocument/2006/relationships/hyperlink" Target="https://bankbnitbk.sharepoint.com/:f:/s/TEST212/EiH7yAM0rVtMpHzYtcLAZ2kBfdhgzLfhROjy1G-3181jQA?e=Bii74T" TargetMode="External"/><Relationship Id="rId35" Type="http://schemas.openxmlformats.org/officeDocument/2006/relationships/hyperlink" Target="https://gitlab-dc.bni.co.id/coe-duplicate/test-automation/katalon-digisales-sales-farmer-mobile-apk.git" TargetMode="External"/><Relationship Id="rId43" Type="http://schemas.openxmlformats.org/officeDocument/2006/relationships/hyperlink" Target="https://gitlab-dc.bni.co.id/coe-duplicate/test-automation/katalon-digisales-portal-7a-portal.git" TargetMode="External"/><Relationship Id="rId48" Type="http://schemas.openxmlformats.org/officeDocument/2006/relationships/hyperlink" Target="https://bankbnitbk.sharepoint.com/sites/TEST212/Shared%20Documents/Forms/AllItems.aspx?id=%2Fsites%2FTEST212%2FShared%20Documents%2FGeneral%2FScripting%20Report%2FWeb%20Digisales%2FDigisales%20MVP%207B&amp;viewid=5f45ee7e%2D4c73%2D41ad%2Dab32%2Dcf02db1420df&amp;p=true&amp;ga=1" TargetMode="External"/><Relationship Id="rId56" Type="http://schemas.openxmlformats.org/officeDocument/2006/relationships/hyperlink" Target="https://bankbnitbk.sharepoint.com/:f:/s/TEST212/EnV4iKR0IUdBt5LizOfitP4BViEz4hX03Nm3xU-2xP2FNw?e=bxnKXx" TargetMode="External"/><Relationship Id="rId64" Type="http://schemas.openxmlformats.org/officeDocument/2006/relationships/hyperlink" Target="https://gitlab-dc.bni.co.id/coe-duplicate/test-automation/katalon-digisales-8a/-/tree/dev_mobile_browser_mikhael?ref_type=heads" TargetMode="External"/><Relationship Id="rId69" Type="http://schemas.openxmlformats.org/officeDocument/2006/relationships/drawing" Target="../drawings/drawing3.xml"/><Relationship Id="rId8" Type="http://schemas.openxmlformats.org/officeDocument/2006/relationships/hyperlink" Target="https://bankbnitbk.sharepoint.com/:f:/s/TEST212/EpwQ_mowTgRIsBNX-yqk1SsBydKz148dpodB8gftHbFBaw?e=24HPLd" TargetMode="External"/><Relationship Id="rId51" Type="http://schemas.openxmlformats.org/officeDocument/2006/relationships/hyperlink" Target="https://gitlab-dc.bni.co.id/coe-duplicate/test-automation/katalon-cash-management-reguler.git" TargetMode="External"/><Relationship Id="rId3" Type="http://schemas.openxmlformats.org/officeDocument/2006/relationships/hyperlink" Target="https://gitlab-dc.bni.co.id/coe-duplicate/test-automation/katalon-sms-menu-android.git" TargetMode="External"/><Relationship Id="rId12" Type="http://schemas.openxmlformats.org/officeDocument/2006/relationships/hyperlink" Target="https://bankbnitbk.sharepoint.com/:f:/s/TEST212/ElM4wgKu4IpEo1aN26W6_xEBbG1DgM8lJCMGlpG4MzZ0Mg?e=ugHmtA" TargetMode="External"/><Relationship Id="rId17" Type="http://schemas.openxmlformats.org/officeDocument/2006/relationships/hyperlink" Target="https://gitlab-dc.bni.co.id/coe-duplicate/test-automation/katalon-digisales-fte-mobile-apk.git" TargetMode="External"/><Relationship Id="rId25" Type="http://schemas.openxmlformats.org/officeDocument/2006/relationships/hyperlink" Target="https://gitlab-dc.bni.co.id/coe-duplicate/test-automation/katalon-digisales-portal-5b-fase-1.git" TargetMode="External"/><Relationship Id="rId33" Type="http://schemas.openxmlformats.org/officeDocument/2006/relationships/hyperlink" Target="https://gitlab-dc.bni.co.id/coe-duplicate/test-automation/katalon-digisales-fte-mobile-apk.git" TargetMode="External"/><Relationship Id="rId38" Type="http://schemas.openxmlformats.org/officeDocument/2006/relationships/hyperlink" Target="https://bankbnitbk.sharepoint.com/:f:/s/TEST212/EirMayUabUdEkXIAnu65NS8BqQKjYy3DaHy1YQ6MGjnUig?e=HV7due" TargetMode="External"/><Relationship Id="rId46" Type="http://schemas.openxmlformats.org/officeDocument/2006/relationships/hyperlink" Target="https://bankbnitbk.sharepoint.com/:f:/s/TEST212/ElnsE9cKzSZNl0y4Yi22lYcB4ut0jQu60FUUFszXnRomWw?e=FBGvLa" TargetMode="External"/><Relationship Id="rId59" Type="http://schemas.openxmlformats.org/officeDocument/2006/relationships/hyperlink" Target="https://gitlab-dc.bni.co.id/coe-duplicate/test-automation/katalon-digisales-portal-7a-portal.git" TargetMode="External"/><Relationship Id="rId67" Type="http://schemas.openxmlformats.org/officeDocument/2006/relationships/hyperlink" Target="https://bankbnitbk.sharepoint.com/sites/TEST212/Shared%20Documents/Forms/AllItems.aspx?id=%2Fsites%2FTEST212%2FShared%20Documents%2FGeneral%2FScripting%20Report%2FDigisales%20New%202026&amp;viewid=5f45ee7e%2D4c73%2D41ad%2Dab32%2Dcf02db1420df&amp;csf=1&amp;CID=8c8ced04%2D801f%2D433a%2Da151%2Da1ae2c72e4a6&amp;FolderCTID=0x01200013C42440C0BE0446A84C2940AA0E2843" TargetMode="External"/><Relationship Id="rId20" Type="http://schemas.openxmlformats.org/officeDocument/2006/relationships/hyperlink" Target="https://bankbnitbk.sharepoint.com/:f:/s/TEST212/EkHylvVI_-NHkreXGOrLvDgBuEj6fKPO3ktyu_-69pu-nA?e=EVyUWF" TargetMode="External"/><Relationship Id="rId41" Type="http://schemas.openxmlformats.org/officeDocument/2006/relationships/hyperlink" Target="https://gitlab-dc.bni.co.id/coe-duplicate/test-automation/katalon-digisales-portal-6d/-/tree/dev_gafi?ref_type=heads" TargetMode="External"/><Relationship Id="rId54" Type="http://schemas.openxmlformats.org/officeDocument/2006/relationships/hyperlink" Target="https://bankbnitbk.sharepoint.com/:f:/s/TEST212/ErRVf1KDEGNLr4zZOhZENJEBLrzdzXGX6LjY_3KXK9aYrA?e=cKfNIX" TargetMode="External"/><Relationship Id="rId62" Type="http://schemas.openxmlformats.org/officeDocument/2006/relationships/hyperlink" Target="https://bankbnitbk.sharepoint.com/:f:/s/TEST212/EqbDzLRXSqBPjveAyS7wVEoBOXJJK6fziPRjsCLc26vn9w?e=dPKnyD" TargetMode="External"/><Relationship Id="rId70" Type="http://schemas.openxmlformats.org/officeDocument/2006/relationships/table" Target="../tables/table2.xml"/><Relationship Id="rId1" Type="http://schemas.openxmlformats.org/officeDocument/2006/relationships/hyperlink" Target="https://gitlab-dc.bni.co.id/marchy.tio/icons.git" TargetMode="External"/><Relationship Id="rId6" Type="http://schemas.openxmlformats.org/officeDocument/2006/relationships/hyperlink" Target="https://bankbnitbk.sharepoint.com/:f:/s/TEST212/EmDQeI6wuE9Erk-8RtI6KBsBdR4mp5abwD8GJYpgrlXEyA?e=FOsV8R" TargetMode="External"/><Relationship Id="rId15" Type="http://schemas.openxmlformats.org/officeDocument/2006/relationships/hyperlink" Target="https://gitlab-dc.bni.co.id/coe-duplicate/test-automation/katalon-digisales-fte-mobile-browser.git" TargetMode="External"/><Relationship Id="rId23" Type="http://schemas.openxmlformats.org/officeDocument/2006/relationships/hyperlink" Target="https://gitlab-dc.bni.co.id/coe-duplicate/test-automation/katalon-cx-comm/-/tree/CXCOMM_alex?ref_type=heads" TargetMode="External"/><Relationship Id="rId28" Type="http://schemas.openxmlformats.org/officeDocument/2006/relationships/hyperlink" Target="https://bankbnitbk.sharepoint.com/:f:/s/TEST212/EkBmeaU1c85IiWJlJWAM5M8BLepL1R6T8-lh8zjTEzCT9w?e=lk9hZb" TargetMode="External"/><Relationship Id="rId36" Type="http://schemas.openxmlformats.org/officeDocument/2006/relationships/hyperlink" Target="https://bankbnitbk.sharepoint.com/:f:/s/TEST212/EtfHqjSV8Z9OnE7F75WlelwB3rOpoeV7wr4R181UlVuY8g?e=MXElRq" TargetMode="External"/><Relationship Id="rId49" Type="http://schemas.openxmlformats.org/officeDocument/2006/relationships/hyperlink" Target="https://gitlab.bni.co.id/coe-duplicate/test-automation/katalon-digisales-7b" TargetMode="External"/><Relationship Id="rId57" Type="http://schemas.openxmlformats.org/officeDocument/2006/relationships/hyperlink" Target="https://gitlab-dc.bni.co.id/coe-duplicate/test-automation/katalon-digisales-portal-7a-portal.git" TargetMode="External"/><Relationship Id="rId10" Type="http://schemas.openxmlformats.org/officeDocument/2006/relationships/hyperlink" Target="https://bankbnitbk.sharepoint.com/:f:/s/TEST212/ElybKHNWvkxDjZztpmaLLWUBbK7bk4AXKBTpXRbjFe-LvQ?e=zw4Rt1" TargetMode="External"/><Relationship Id="rId31" Type="http://schemas.openxmlformats.org/officeDocument/2006/relationships/hyperlink" Target="https://gitlab-dc.bni.co.id/coe-duplicate/test-automation/katalon-digisales-fte-mobile-browser.git" TargetMode="External"/><Relationship Id="rId44" Type="http://schemas.openxmlformats.org/officeDocument/2006/relationships/hyperlink" Target="https://bankbnitbk.sharepoint.com/:f:/s/TEST212/Ev0NXfhPpW5Gkzs-mOGX16gBqNpNkJnpmDZWW9IYNXzwlw?e=F2Gqu2" TargetMode="External"/><Relationship Id="rId52" Type="http://schemas.openxmlformats.org/officeDocument/2006/relationships/hyperlink" Target="https://bankbnitbk.sharepoint.com/:f:/s/COETeam/EruzHPcPZoZGuA8i1T2C9WMB0fK30ITH24iVi_OLSMsNqA?e=XUTuBI" TargetMode="External"/><Relationship Id="rId60" Type="http://schemas.openxmlformats.org/officeDocument/2006/relationships/hyperlink" Target="https://bankbnitbk.sharepoint.com/:f:/s/COETeam/IgDXkylQNrYJRqEdNtwzMEmzAe9Aqqc1qNYV3A8qNRTlVBo?e=6VfNeI" TargetMode="External"/><Relationship Id="rId65" Type="http://schemas.openxmlformats.org/officeDocument/2006/relationships/hyperlink" Target="https://bankbnitbk.sharepoint.com/:f:/s/TEST212/IgAmm4yf9iSJTItUHvNqmR9yASSMOa8HHNvDCbKzKykl5nM?e=a88cgn" TargetMode="External"/><Relationship Id="rId4" Type="http://schemas.openxmlformats.org/officeDocument/2006/relationships/hyperlink" Target="https://bankbnitbk.sharepoint.com/:f:/s/TEST212/EsU0M1xMRx9PokMQJ0xEYqoBFapR-d2DAIfXACNcm1GImQ?e=Td26y3" TargetMode="External"/><Relationship Id="rId9" Type="http://schemas.openxmlformats.org/officeDocument/2006/relationships/hyperlink" Target="https://gitlab-dc.bni.co.id/coe-duplicate/test-automation/katalon-digisales-portal.git" TargetMode="External"/><Relationship Id="rId13" Type="http://schemas.openxmlformats.org/officeDocument/2006/relationships/hyperlink" Target="https://gitlab-dc.bni.co.id/coe-duplicate/test-automation/katalon-digisales-generalis-mobile-apk.git" TargetMode="External"/><Relationship Id="rId18" Type="http://schemas.openxmlformats.org/officeDocument/2006/relationships/hyperlink" Target="https://bankbnitbk.sharepoint.com/:f:/s/TEST212/EsE_n7BKP49DtZV_DeXugQcBATb7DB5RJ5f3NFGwOL9xhw?e=0F4t6H" TargetMode="External"/><Relationship Id="rId39" Type="http://schemas.openxmlformats.org/officeDocument/2006/relationships/hyperlink" Target="https://gitlab-dc.bni.co.id/coe-duplicate/test-automation/katalon-digisales-ms-form-portal-6c.git" TargetMode="External"/><Relationship Id="rId34" Type="http://schemas.openxmlformats.org/officeDocument/2006/relationships/hyperlink" Target="https://bankbnitbk.sharepoint.com/:f:/s/TEST212/EpGn9xd6XFRFhfoQC-4eOp0BnnMmSnqdNgr0oq3Sh9ID_w?e=Tflu2X" TargetMode="External"/><Relationship Id="rId50" Type="http://schemas.openxmlformats.org/officeDocument/2006/relationships/hyperlink" Target="https://bankbnitbk.sharepoint.com/:f:/s/COETeam/EvEFj3E9tBhCq_RyYCPs4ewBkMey9_B-sLYP-q1rkX5srw?e=0IKCpt" TargetMode="External"/><Relationship Id="rId55" Type="http://schemas.openxmlformats.org/officeDocument/2006/relationships/hyperlink" Target="https://gitlab-dc.bni.co.id/coe-duplicate/test-automation/katalon-digisales-8a" TargetMode="External"/></Relationships>
</file>

<file path=xl/worksheets/_rels/sheet11.xml.rels><?xml version="1.0" encoding="UTF-8" standalone="yes"?>
<Relationships xmlns="http://schemas.openxmlformats.org/package/2006/relationships"><Relationship Id="rId2" Type="http://schemas.openxmlformats.org/officeDocument/2006/relationships/hyperlink" Target="https://docs.google.com/document/d/1uRLUougp64tBM6EkXCorCqghATBkYB8Y/edit?usp=sharing&amp;ouid=110886663018735637046&amp;rtpof=true&amp;sd=true" TargetMode="External"/><Relationship Id="rId1" Type="http://schemas.openxmlformats.org/officeDocument/2006/relationships/hyperlink" Target="https://docs.google.com/spreadsheets/d/1THLbW3NGkXah3eIeJV7IsvR_ANbdzihgAAL01WdPXD8/edit?usp=sharing" TargetMode="External"/></Relationships>
</file>

<file path=xl/worksheets/_rels/sheet13.xml.rels><?xml version="1.0" encoding="UTF-8" standalone="yes"?>
<Relationships xmlns="http://schemas.openxmlformats.org/package/2006/relationships"><Relationship Id="rId26" Type="http://schemas.openxmlformats.org/officeDocument/2006/relationships/hyperlink" Target="http://192.168.143.61:47001/CoreService" TargetMode="External"/><Relationship Id="rId21" Type="http://schemas.openxmlformats.org/officeDocument/2006/relationships/hyperlink" Target="http://192.168.143.61:47001/CoreService" TargetMode="External"/><Relationship Id="rId42" Type="http://schemas.openxmlformats.org/officeDocument/2006/relationships/hyperlink" Target="http://192.168.143.61:47001/CoreService" TargetMode="External"/><Relationship Id="rId47" Type="http://schemas.openxmlformats.org/officeDocument/2006/relationships/hyperlink" Target="http://192.168.143.61:47001/CoreService" TargetMode="External"/><Relationship Id="rId63" Type="http://schemas.openxmlformats.org/officeDocument/2006/relationships/hyperlink" Target="http://192.168.151.220:4401/CoreService" TargetMode="External"/><Relationship Id="rId68" Type="http://schemas.openxmlformats.org/officeDocument/2006/relationships/hyperlink" Target="http://192.168.143.61:47004/ChannelService" TargetMode="External"/><Relationship Id="rId84" Type="http://schemas.openxmlformats.org/officeDocument/2006/relationships/hyperlink" Target="http://192.168.151.220:45052/p2pl/account/info" TargetMode="External"/><Relationship Id="rId89" Type="http://schemas.openxmlformats.org/officeDocument/2006/relationships/hyperlink" Target="http://192.168.151.220:45052/p2pl/account/balance" TargetMode="External"/><Relationship Id="rId16" Type="http://schemas.openxmlformats.org/officeDocument/2006/relationships/hyperlink" Target="http://192.168.143.61:47001/CoreService" TargetMode="External"/><Relationship Id="rId107" Type="http://schemas.openxmlformats.org/officeDocument/2006/relationships/hyperlink" Target="http://192.168.151.220:44020/ChannelService" TargetMode="External"/><Relationship Id="rId11" Type="http://schemas.openxmlformats.org/officeDocument/2006/relationships/hyperlink" Target="http://192.168.143.61:47001/CoreService" TargetMode="External"/><Relationship Id="rId32" Type="http://schemas.openxmlformats.org/officeDocument/2006/relationships/hyperlink" Target="http://192.168.143.61:47001/CoreService" TargetMode="External"/><Relationship Id="rId37" Type="http://schemas.openxmlformats.org/officeDocument/2006/relationships/hyperlink" Target="http://192.168.143.61:47001/CoreService" TargetMode="External"/><Relationship Id="rId53" Type="http://schemas.openxmlformats.org/officeDocument/2006/relationships/hyperlink" Target="http://192.168.151.220:44020/ChannelService" TargetMode="External"/><Relationship Id="rId58" Type="http://schemas.openxmlformats.org/officeDocument/2006/relationships/hyperlink" Target="http://192.168.250.121:8080/lpg3kgInsertLogbook" TargetMode="External"/><Relationship Id="rId74" Type="http://schemas.openxmlformats.org/officeDocument/2006/relationships/hyperlink" Target="http://192.168.151.220:44020" TargetMode="External"/><Relationship Id="rId79" Type="http://schemas.openxmlformats.org/officeDocument/2006/relationships/hyperlink" Target="http://192.168.151.220:45052/p2pl/register/investor" TargetMode="External"/><Relationship Id="rId102" Type="http://schemas.openxmlformats.org/officeDocument/2006/relationships/hyperlink" Target="http://192.168.151.220:44019" TargetMode="External"/><Relationship Id="rId5" Type="http://schemas.openxmlformats.org/officeDocument/2006/relationships/hyperlink" Target="http://192.168.143.61:47001/CoreService" TargetMode="External"/><Relationship Id="rId90" Type="http://schemas.openxmlformats.org/officeDocument/2006/relationships/hyperlink" Target="http://192.168.151.220:45052/p2pl/payment/transfer" TargetMode="External"/><Relationship Id="rId95" Type="http://schemas.openxmlformats.org/officeDocument/2006/relationships/hyperlink" Target="http://192.168.143.61:47001/CoreService" TargetMode="External"/><Relationship Id="rId22" Type="http://schemas.openxmlformats.org/officeDocument/2006/relationships/hyperlink" Target="http://192.168.143.61:47001/CoreService" TargetMode="External"/><Relationship Id="rId27" Type="http://schemas.openxmlformats.org/officeDocument/2006/relationships/hyperlink" Target="http://192.168.143.61:47001/CoreService" TargetMode="External"/><Relationship Id="rId43" Type="http://schemas.openxmlformats.org/officeDocument/2006/relationships/hyperlink" Target="http://192.168.143.61:47001/CoreService" TargetMode="External"/><Relationship Id="rId48" Type="http://schemas.openxmlformats.org/officeDocument/2006/relationships/hyperlink" Target="http://192.168.151.220:44020/ChannelService" TargetMode="External"/><Relationship Id="rId64" Type="http://schemas.openxmlformats.org/officeDocument/2006/relationships/hyperlink" Target="http://192.168.250.121:8080/lpgDownloadLaporan" TargetMode="External"/><Relationship Id="rId69" Type="http://schemas.openxmlformats.org/officeDocument/2006/relationships/hyperlink" Target="http://p2pl-payment-using-interbank-rdl-bpsoa-uat.apps.dev-bpsoa.ocp.hq.bni.co.id:80/p2pl/payment-using-interbank-rdl" TargetMode="External"/><Relationship Id="rId80" Type="http://schemas.openxmlformats.org/officeDocument/2006/relationships/hyperlink" Target="http://192.168.151.220:45052/p2pl/register/investor" TargetMode="External"/><Relationship Id="rId85" Type="http://schemas.openxmlformats.org/officeDocument/2006/relationships/hyperlink" Target="http://192.168.151.220:45052/p2pl/account/info" TargetMode="External"/><Relationship Id="rId12" Type="http://schemas.openxmlformats.org/officeDocument/2006/relationships/hyperlink" Target="http://192.168.143.61:47001/CoreService" TargetMode="External"/><Relationship Id="rId17" Type="http://schemas.openxmlformats.org/officeDocument/2006/relationships/hyperlink" Target="http://192.168.143.61:47001/CoreService" TargetMode="External"/><Relationship Id="rId33" Type="http://schemas.openxmlformats.org/officeDocument/2006/relationships/hyperlink" Target="http://192.168.143.61:47001/CoreService" TargetMode="External"/><Relationship Id="rId38" Type="http://schemas.openxmlformats.org/officeDocument/2006/relationships/hyperlink" Target="http://192.168.143.61:47001/CoreService" TargetMode="External"/><Relationship Id="rId59" Type="http://schemas.openxmlformats.org/officeDocument/2006/relationships/hyperlink" Target="http://192.168.250.121:8080/lpg3kgInquiryLogbook" TargetMode="External"/><Relationship Id="rId103" Type="http://schemas.openxmlformats.org/officeDocument/2006/relationships/hyperlink" Target="http://192.168.151.220:44018" TargetMode="External"/><Relationship Id="rId108" Type="http://schemas.openxmlformats.org/officeDocument/2006/relationships/hyperlink" Target="http://192.168.152.220:47008/H2HService" TargetMode="External"/><Relationship Id="rId54" Type="http://schemas.openxmlformats.org/officeDocument/2006/relationships/hyperlink" Target="http://192.168.250.121:8080/getTransaksi" TargetMode="External"/><Relationship Id="rId70" Type="http://schemas.openxmlformats.org/officeDocument/2006/relationships/hyperlink" Target="http://192.168.250.121:8080/auth" TargetMode="External"/><Relationship Id="rId75" Type="http://schemas.openxmlformats.org/officeDocument/2006/relationships/hyperlink" Target="http://192.168.151.220:44020/" TargetMode="External"/><Relationship Id="rId91" Type="http://schemas.openxmlformats.org/officeDocument/2006/relationships/hyperlink" Target="http://192.168.151.220:45052/p2pl/payment/transfer" TargetMode="External"/><Relationship Id="rId96" Type="http://schemas.openxmlformats.org/officeDocument/2006/relationships/hyperlink" Target="http://192.168.152.220:57007/ChannelService" TargetMode="External"/><Relationship Id="rId1" Type="http://schemas.openxmlformats.org/officeDocument/2006/relationships/hyperlink" Target="http://192.168.143.61:47001/CoreService" TargetMode="External"/><Relationship Id="rId6" Type="http://schemas.openxmlformats.org/officeDocument/2006/relationships/hyperlink" Target="http://192.168.143.61:47001/CoreService" TargetMode="External"/><Relationship Id="rId15" Type="http://schemas.openxmlformats.org/officeDocument/2006/relationships/hyperlink" Target="http://192.168.143.61:47001/CoreService" TargetMode="External"/><Relationship Id="rId23" Type="http://schemas.openxmlformats.org/officeDocument/2006/relationships/hyperlink" Target="http://192.168.143.61:47001/CoreService" TargetMode="External"/><Relationship Id="rId28" Type="http://schemas.openxmlformats.org/officeDocument/2006/relationships/hyperlink" Target="http://192.168.143.61:47001/CoreService" TargetMode="External"/><Relationship Id="rId36" Type="http://schemas.openxmlformats.org/officeDocument/2006/relationships/hyperlink" Target="http://192.168.143.61:47001/CoreService" TargetMode="External"/><Relationship Id="rId49" Type="http://schemas.openxmlformats.org/officeDocument/2006/relationships/hyperlink" Target="http://192.168.151.220:44020/ChannelService" TargetMode="External"/><Relationship Id="rId57" Type="http://schemas.openxmlformats.org/officeDocument/2006/relationships/hyperlink" Target="http://192.168.250.121:8080/getTransaksi" TargetMode="External"/><Relationship Id="rId106" Type="http://schemas.openxmlformats.org/officeDocument/2006/relationships/hyperlink" Target="http://192.168.152.220:41002/BP_BancslinkPingWeb/sca/Export" TargetMode="External"/><Relationship Id="rId10" Type="http://schemas.openxmlformats.org/officeDocument/2006/relationships/hyperlink" Target="http://192.168.143.61:47001/CoreService" TargetMode="External"/><Relationship Id="rId31" Type="http://schemas.openxmlformats.org/officeDocument/2006/relationships/hyperlink" Target="http://192.168.143.61:47001/CoreService" TargetMode="External"/><Relationship Id="rId44" Type="http://schemas.openxmlformats.org/officeDocument/2006/relationships/hyperlink" Target="http://192.168.143.61:47001/CoreService" TargetMode="External"/><Relationship Id="rId52" Type="http://schemas.openxmlformats.org/officeDocument/2006/relationships/hyperlink" Target="http://192.168.151.220:44020/ChannelService" TargetMode="External"/><Relationship Id="rId60" Type="http://schemas.openxmlformats.org/officeDocument/2006/relationships/hyperlink" Target="http://192.168.250.121:8080/lpg3kgUpdateLogbook" TargetMode="External"/><Relationship Id="rId65" Type="http://schemas.openxmlformats.org/officeDocument/2006/relationships/hyperlink" Target="http://192.168.250.121:8080/lpgDownloadLaporan" TargetMode="External"/><Relationship Id="rId73" Type="http://schemas.openxmlformats.org/officeDocument/2006/relationships/hyperlink" Target="http://192.168.143.61:57007/ChannelService" TargetMode="External"/><Relationship Id="rId78" Type="http://schemas.openxmlformats.org/officeDocument/2006/relationships/hyperlink" Target="http://192.168.151.220:44063/BP_P2PLendAdminWeb/sca/WS_P2PLAdminService" TargetMode="External"/><Relationship Id="rId81" Type="http://schemas.openxmlformats.org/officeDocument/2006/relationships/hyperlink" Target="http://192.168.151.220:45052/p2pl/register/investor" TargetMode="External"/><Relationship Id="rId86" Type="http://schemas.openxmlformats.org/officeDocument/2006/relationships/hyperlink" Target="http://192.168.151.220:45052/p2pl/account/balance" TargetMode="External"/><Relationship Id="rId94" Type="http://schemas.openxmlformats.org/officeDocument/2006/relationships/hyperlink" Target="http://192.168.151.220:44020/ChannelService" TargetMode="External"/><Relationship Id="rId99" Type="http://schemas.openxmlformats.org/officeDocument/2006/relationships/hyperlink" Target="http://192.168.151.220:44001/CoreService" TargetMode="External"/><Relationship Id="rId101" Type="http://schemas.openxmlformats.org/officeDocument/2006/relationships/hyperlink" Target="http://192.168.152.220:41002/BP_BancslinkPingWeb/sca/Export" TargetMode="External"/><Relationship Id="rId4" Type="http://schemas.openxmlformats.org/officeDocument/2006/relationships/hyperlink" Target="http://192.168.143.61:47001/CoreService" TargetMode="External"/><Relationship Id="rId9" Type="http://schemas.openxmlformats.org/officeDocument/2006/relationships/hyperlink" Target="http://192.168.143.61:47001/CoreService" TargetMode="External"/><Relationship Id="rId13" Type="http://schemas.openxmlformats.org/officeDocument/2006/relationships/hyperlink" Target="http://192.168.143.61:47001/CoreService" TargetMode="External"/><Relationship Id="rId18" Type="http://schemas.openxmlformats.org/officeDocument/2006/relationships/hyperlink" Target="http://192.168.143.61:47001/CoreService" TargetMode="External"/><Relationship Id="rId39" Type="http://schemas.openxmlformats.org/officeDocument/2006/relationships/hyperlink" Target="http://192.168.143.61:47001/CoreService" TargetMode="External"/><Relationship Id="rId109" Type="http://schemas.openxmlformats.org/officeDocument/2006/relationships/hyperlink" Target="http://192.168.151.220:44001/CoreService" TargetMode="External"/><Relationship Id="rId34" Type="http://schemas.openxmlformats.org/officeDocument/2006/relationships/hyperlink" Target="http://192.168.143.61:47001/CoreService" TargetMode="External"/><Relationship Id="rId50" Type="http://schemas.openxmlformats.org/officeDocument/2006/relationships/hyperlink" Target="http://192.168.151.220:44020/ChannelService" TargetMode="External"/><Relationship Id="rId55" Type="http://schemas.openxmlformats.org/officeDocument/2006/relationships/hyperlink" Target="http://192.168.250.121:8080/getTransaksi" TargetMode="External"/><Relationship Id="rId76" Type="http://schemas.openxmlformats.org/officeDocument/2006/relationships/hyperlink" Target="http://192.168.151.220/CoreServices" TargetMode="External"/><Relationship Id="rId97" Type="http://schemas.openxmlformats.org/officeDocument/2006/relationships/hyperlink" Target="http://192.168.143.61:45012" TargetMode="External"/><Relationship Id="rId104" Type="http://schemas.openxmlformats.org/officeDocument/2006/relationships/hyperlink" Target="http://192.168.152.220:47008/H2HService" TargetMode="External"/><Relationship Id="rId7" Type="http://schemas.openxmlformats.org/officeDocument/2006/relationships/hyperlink" Target="http://192.168.143.61:47001/CoreService" TargetMode="External"/><Relationship Id="rId71" Type="http://schemas.openxmlformats.org/officeDocument/2006/relationships/hyperlink" Target="http://192.168.151.220:44020/ChannelService" TargetMode="External"/><Relationship Id="rId92" Type="http://schemas.openxmlformats.org/officeDocument/2006/relationships/hyperlink" Target="http://192.168.151.220:45052/p2pl/payment/transfer" TargetMode="External"/><Relationship Id="rId2" Type="http://schemas.openxmlformats.org/officeDocument/2006/relationships/hyperlink" Target="http://192.168.143.61:47001/CoreService" TargetMode="External"/><Relationship Id="rId29" Type="http://schemas.openxmlformats.org/officeDocument/2006/relationships/hyperlink" Target="http://192.168.143.61:47001/CoreService" TargetMode="External"/><Relationship Id="rId24" Type="http://schemas.openxmlformats.org/officeDocument/2006/relationships/hyperlink" Target="http://192.168.143.61:47001/CoreService" TargetMode="External"/><Relationship Id="rId40" Type="http://schemas.openxmlformats.org/officeDocument/2006/relationships/hyperlink" Target="http://192.168.143.61:47001/CoreService" TargetMode="External"/><Relationship Id="rId45" Type="http://schemas.openxmlformats.org/officeDocument/2006/relationships/hyperlink" Target="http://192.168.143.61:47001/CoreService" TargetMode="External"/><Relationship Id="rId66" Type="http://schemas.openxmlformats.org/officeDocument/2006/relationships/hyperlink" Target="http://192.168.250.121:8080/lpgInquiryAgent" TargetMode="External"/><Relationship Id="rId87" Type="http://schemas.openxmlformats.org/officeDocument/2006/relationships/hyperlink" Target="http://192.168.151.220:45052/p2pl/account/balance" TargetMode="External"/><Relationship Id="rId110" Type="http://schemas.openxmlformats.org/officeDocument/2006/relationships/hyperlink" Target="http://192.168.143.61:47001/CoreService" TargetMode="External"/><Relationship Id="rId61" Type="http://schemas.openxmlformats.org/officeDocument/2006/relationships/hyperlink" Target="http://192.168.250.121:8080/lpg3kgDeleteLogbook" TargetMode="External"/><Relationship Id="rId82" Type="http://schemas.openxmlformats.org/officeDocument/2006/relationships/hyperlink" Target="http://192.168.151.220:45052/p2pl/register/investor" TargetMode="External"/><Relationship Id="rId19" Type="http://schemas.openxmlformats.org/officeDocument/2006/relationships/hyperlink" Target="http://192.168.143.61:47001/CoreService" TargetMode="External"/><Relationship Id="rId14" Type="http://schemas.openxmlformats.org/officeDocument/2006/relationships/hyperlink" Target="http://192.168.143.61:47001/CoreService" TargetMode="External"/><Relationship Id="rId30" Type="http://schemas.openxmlformats.org/officeDocument/2006/relationships/hyperlink" Target="http://192.168.143.61:47001/CoreService" TargetMode="External"/><Relationship Id="rId35" Type="http://schemas.openxmlformats.org/officeDocument/2006/relationships/hyperlink" Target="http://192.168.143.61:47001/CoreService" TargetMode="External"/><Relationship Id="rId56" Type="http://schemas.openxmlformats.org/officeDocument/2006/relationships/hyperlink" Target="http://192.168.250.121:8080/getTransaksi" TargetMode="External"/><Relationship Id="rId77" Type="http://schemas.openxmlformats.org/officeDocument/2006/relationships/hyperlink" Target="http://192.168.151.220:44019" TargetMode="External"/><Relationship Id="rId100" Type="http://schemas.openxmlformats.org/officeDocument/2006/relationships/hyperlink" Target="http://192.168.152.220:47008/H2HService" TargetMode="External"/><Relationship Id="rId105" Type="http://schemas.openxmlformats.org/officeDocument/2006/relationships/hyperlink" Target="http://192.168.152.220:44002/remittance/cashpickup/posindo" TargetMode="External"/><Relationship Id="rId8" Type="http://schemas.openxmlformats.org/officeDocument/2006/relationships/hyperlink" Target="http://192.168.143.61:47001/CoreService" TargetMode="External"/><Relationship Id="rId51" Type="http://schemas.openxmlformats.org/officeDocument/2006/relationships/hyperlink" Target="http://192.168.151.220:44020/ChannelService" TargetMode="External"/><Relationship Id="rId72" Type="http://schemas.openxmlformats.org/officeDocument/2006/relationships/hyperlink" Target="http://192.168.143.61:57007/ChannelService" TargetMode="External"/><Relationship Id="rId93" Type="http://schemas.openxmlformats.org/officeDocument/2006/relationships/hyperlink" Target="http://192.168.151.220:45052/p2pl/payment/status" TargetMode="External"/><Relationship Id="rId98" Type="http://schemas.openxmlformats.org/officeDocument/2006/relationships/hyperlink" Target="http://192.168.104.220:44020/ChannelService" TargetMode="External"/><Relationship Id="rId3" Type="http://schemas.openxmlformats.org/officeDocument/2006/relationships/hyperlink" Target="http://192.168.143.61:47001/CoreService" TargetMode="External"/><Relationship Id="rId25" Type="http://schemas.openxmlformats.org/officeDocument/2006/relationships/hyperlink" Target="http://192.168.143.61:47001/CoreService" TargetMode="External"/><Relationship Id="rId46" Type="http://schemas.openxmlformats.org/officeDocument/2006/relationships/hyperlink" Target="http://192.168.143.61:47001/CoreService" TargetMode="External"/><Relationship Id="rId67" Type="http://schemas.openxmlformats.org/officeDocument/2006/relationships/hyperlink" Target="http://192.168.151.220:44001/CoreServices" TargetMode="External"/><Relationship Id="rId20" Type="http://schemas.openxmlformats.org/officeDocument/2006/relationships/hyperlink" Target="http://192.168.143.61:47001/CoreService" TargetMode="External"/><Relationship Id="rId41" Type="http://schemas.openxmlformats.org/officeDocument/2006/relationships/hyperlink" Target="http://192.168.143.61:47001/CoreService" TargetMode="External"/><Relationship Id="rId62" Type="http://schemas.openxmlformats.org/officeDocument/2006/relationships/hyperlink" Target="http://192.168.250.121:8080/TransvisionInquiry" TargetMode="External"/><Relationship Id="rId83" Type="http://schemas.openxmlformats.org/officeDocument/2006/relationships/hyperlink" Target="http://192.168.151.220:45052/p2pl/register/investor" TargetMode="External"/><Relationship Id="rId88" Type="http://schemas.openxmlformats.org/officeDocument/2006/relationships/hyperlink" Target="http://192.168.151.220:45052/p2pl/account/history" TargetMode="External"/><Relationship Id="rId111" Type="http://schemas.openxmlformats.org/officeDocument/2006/relationships/hyperlink" Target="http://192.168.152.220:57007/ChannelService"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http://192.168.143.61:57004/%20CoreService"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https://192.168.152.220:45052/" TargetMode="External"/></Relationships>
</file>

<file path=xl/worksheets/_rels/sheet19.xml.rels><?xml version="1.0" encoding="UTF-8" standalone="yes"?>
<Relationships xmlns="http://schemas.openxmlformats.org/package/2006/relationships"><Relationship Id="rId2" Type="http://schemas.openxmlformats.org/officeDocument/2006/relationships/hyperlink" Target="https://gitlab-dc.bni.co.id/coe-duplicate/test-automation/katalon-cash-management-reguler.git" TargetMode="External"/><Relationship Id="rId1" Type="http://schemas.openxmlformats.org/officeDocument/2006/relationships/hyperlink" Target="https://bankbnitbk.sharepoint.com/:f:/s/COETeam/EvEFj3E9tBhCq_RyYCPs4ewBkMey9_B-sLYP-q1rkX5srw?e=0IKCpt" TargetMode="External"/></Relationships>
</file>

<file path=xl/worksheets/_rels/sheet21.xml.rels><?xml version="1.0" encoding="UTF-8" standalone="yes"?>
<Relationships xmlns="http://schemas.openxmlformats.org/package/2006/relationships"><Relationship Id="rId2" Type="http://schemas.openxmlformats.org/officeDocument/2006/relationships/hyperlink" Target="https://bankbnitbk.sharepoint.com/:x:/r/sites/TSADeliveryChannel/_layouts/15/Doc2.aspx?action=edit&amp;sourcedoc=%7B819d67f3-5fc9-4a26-9112-18766b20cfc3%7D&amp;wdOrigin=TEAMS-MAGLEV.teamsSdk_ns.rwc&amp;wdExp=TEAMS-TREATMENT&amp;wdhostclicktime=1767584102131&amp;web=1" TargetMode="External"/><Relationship Id="rId1" Type="http://schemas.openxmlformats.org/officeDocument/2006/relationships/hyperlink" Target="https://bankbnitbk.sharepoint.com/:x:/r/sites/TSADeliveryChannel/_layouts/15/Doc.aspx?sourcedoc=%7B782C0A08-36DC-4CE9-8454-F873920C3045%7D&amp;file=Agen46%20New%20Flutter.xlsx&amp;fromShare=true&amp;action=default&amp;mobileredirect=tru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S1010"/>
  <sheetViews>
    <sheetView showGridLines="0" tabSelected="1" workbookViewId="0">
      <pane ySplit="5" topLeftCell="D78" activePane="bottomLeft" state="frozen"/>
      <selection pane="bottomLeft" activeCell="L81" sqref="L81"/>
    </sheetView>
  </sheetViews>
  <sheetFormatPr defaultColWidth="12.5703125" defaultRowHeight="12.75"/>
  <cols>
    <col min="1" max="1" width="6.42578125" customWidth="1"/>
    <col min="2" max="3" width="15.7109375" customWidth="1"/>
    <col min="4" max="4" width="51.42578125" customWidth="1"/>
    <col min="5" max="6" width="15.7109375" customWidth="1"/>
    <col min="7" max="9" width="12.5703125" customWidth="1"/>
    <col min="13" max="15" width="37.5703125" customWidth="1"/>
    <col min="16" max="16" width="19.85546875" customWidth="1"/>
    <col min="17" max="19" width="6.42578125" customWidth="1"/>
    <col min="20" max="20" width="16.85546875" customWidth="1"/>
    <col min="21" max="21" width="6.42578125" customWidth="1"/>
    <col min="22" max="22" width="14.7109375" customWidth="1"/>
    <col min="23" max="25" width="10.140625" customWidth="1"/>
    <col min="26" max="26" width="13" customWidth="1"/>
    <col min="27" max="32" width="10.140625" customWidth="1"/>
    <col min="33" max="33" width="11.28515625" customWidth="1"/>
    <col min="39" max="39" width="20.7109375" customWidth="1"/>
    <col min="40" max="41" width="12.5703125" customWidth="1"/>
    <col min="42" max="42" width="7.5703125" customWidth="1"/>
    <col min="43" max="46" width="12.5703125" customWidth="1"/>
    <col min="47" max="47" width="15.85546875" customWidth="1"/>
    <col min="48" max="52" width="12.5703125" customWidth="1"/>
    <col min="53" max="53" width="10" customWidth="1"/>
    <col min="54" max="54" width="12.5703125" customWidth="1"/>
    <col min="55" max="55" width="15.7109375" customWidth="1"/>
    <col min="56" max="61" width="12.5703125" customWidth="1"/>
    <col min="62" max="62" width="8" customWidth="1"/>
    <col min="63" max="63" width="4.85546875" customWidth="1"/>
    <col min="64" max="64" width="12.7109375" customWidth="1"/>
    <col min="65" max="65" width="13.42578125" customWidth="1"/>
    <col min="66" max="66" width="30.7109375" customWidth="1"/>
    <col min="67" max="67" width="12.85546875" customWidth="1"/>
    <col min="68" max="68" width="8.42578125" customWidth="1"/>
    <col min="69" max="69" width="11.5703125" customWidth="1"/>
    <col min="70" max="70" width="9.42578125" customWidth="1"/>
    <col min="71" max="71" width="4.42578125" customWidth="1"/>
  </cols>
  <sheetData>
    <row r="1" spans="1:71">
      <c r="A1" s="1"/>
      <c r="B1" s="2"/>
      <c r="C1" s="2"/>
      <c r="D1" s="662" t="s">
        <v>0</v>
      </c>
      <c r="E1" s="769"/>
      <c r="F1" s="769"/>
      <c r="G1" s="769"/>
      <c r="H1" s="769"/>
      <c r="I1" s="769"/>
      <c r="J1" s="769"/>
      <c r="K1" s="769"/>
      <c r="L1" s="769"/>
      <c r="M1" s="769"/>
      <c r="N1" s="769"/>
      <c r="O1" s="769"/>
      <c r="P1" s="769"/>
      <c r="Q1" s="769"/>
      <c r="R1" s="769"/>
      <c r="S1" s="769"/>
      <c r="T1" s="769"/>
      <c r="U1" s="769"/>
      <c r="V1" s="769"/>
      <c r="W1" s="769"/>
      <c r="X1" s="769"/>
      <c r="Y1" s="769"/>
      <c r="Z1" s="769"/>
      <c r="AA1" s="769"/>
      <c r="AB1" s="3"/>
      <c r="AC1" s="3"/>
      <c r="AD1" s="3"/>
      <c r="AE1" s="3"/>
      <c r="AF1" s="3"/>
      <c r="AG1" s="3"/>
      <c r="AH1" s="4"/>
      <c r="AI1" s="4"/>
      <c r="AJ1" s="4"/>
      <c r="AK1" s="4"/>
      <c r="AL1" s="4"/>
      <c r="AM1" s="4"/>
      <c r="AN1" s="4"/>
      <c r="AO1" s="4"/>
      <c r="AP1" s="4"/>
      <c r="AQ1" s="4"/>
      <c r="AR1" s="4"/>
      <c r="AS1" s="4"/>
      <c r="AT1" s="4"/>
      <c r="AU1" s="4"/>
      <c r="AV1" s="4"/>
      <c r="AW1" s="4"/>
      <c r="AX1" s="4"/>
      <c r="AY1" s="4"/>
      <c r="AZ1" s="4"/>
      <c r="BA1" s="4"/>
      <c r="BB1" s="4"/>
      <c r="BC1" s="4"/>
      <c r="BD1" s="5"/>
      <c r="BE1" s="4"/>
      <c r="BF1" s="4"/>
      <c r="BG1" s="4"/>
      <c r="BH1" s="4"/>
      <c r="BI1" s="4"/>
      <c r="BJ1" s="4"/>
      <c r="BK1" s="4"/>
      <c r="BL1" s="4"/>
      <c r="BM1" s="4"/>
      <c r="BN1" s="4"/>
      <c r="BO1" s="4"/>
      <c r="BP1" s="4"/>
      <c r="BQ1" s="4"/>
      <c r="BR1" s="4"/>
      <c r="BS1" s="4"/>
    </row>
    <row r="2" spans="1:71">
      <c r="A2" s="3"/>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4"/>
      <c r="AI2" s="4"/>
      <c r="AJ2" s="4"/>
      <c r="AK2" s="4"/>
      <c r="AL2" s="4"/>
      <c r="AM2" s="4"/>
      <c r="AN2" s="4"/>
      <c r="AO2" s="4"/>
      <c r="AP2" s="4"/>
      <c r="AQ2" s="4"/>
      <c r="AR2" s="4"/>
      <c r="AS2" s="4"/>
      <c r="AT2" s="4"/>
      <c r="AU2" s="4"/>
      <c r="AV2" s="4"/>
      <c r="AW2" s="4"/>
      <c r="AX2" s="4"/>
      <c r="AY2" s="4"/>
      <c r="AZ2" s="4"/>
      <c r="BA2" s="4"/>
      <c r="BB2" s="4"/>
      <c r="BC2" s="4"/>
      <c r="BD2" s="5"/>
      <c r="BE2" s="4"/>
      <c r="BF2" s="4"/>
      <c r="BG2" s="4"/>
      <c r="BH2" s="4"/>
      <c r="BI2" s="4"/>
      <c r="BJ2" s="4"/>
      <c r="BK2" s="4"/>
      <c r="BL2" s="4"/>
      <c r="BM2" s="4"/>
      <c r="BN2" s="4"/>
      <c r="BO2" s="4"/>
      <c r="BP2" s="4"/>
      <c r="BQ2" s="4"/>
      <c r="BR2" s="4"/>
      <c r="BS2" s="4"/>
    </row>
    <row r="3" spans="1:71">
      <c r="A3" s="3"/>
      <c r="B3" s="3"/>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4"/>
      <c r="AI3" s="4"/>
      <c r="AJ3" s="4"/>
      <c r="AK3" s="4"/>
      <c r="AL3" s="4"/>
      <c r="AM3" s="4"/>
      <c r="AN3" s="4"/>
      <c r="AO3" s="4"/>
      <c r="AP3" s="4"/>
      <c r="AQ3" s="4"/>
      <c r="AR3" s="4"/>
      <c r="AS3" s="4"/>
      <c r="AT3" s="4"/>
      <c r="AU3" s="4"/>
      <c r="AV3" s="4"/>
      <c r="AW3" s="4"/>
      <c r="AX3" s="4"/>
      <c r="AY3" s="4"/>
      <c r="AZ3" s="4"/>
      <c r="BA3" s="4"/>
      <c r="BB3" s="4"/>
      <c r="BC3" s="4"/>
      <c r="BD3" s="5"/>
      <c r="BE3" s="4"/>
      <c r="BF3" s="4"/>
      <c r="BG3" s="4"/>
      <c r="BH3" s="4"/>
      <c r="BI3" s="4"/>
      <c r="BJ3" s="4"/>
      <c r="BK3" s="4"/>
      <c r="BL3" s="4"/>
      <c r="BM3" s="4"/>
      <c r="BN3" s="4"/>
      <c r="BO3" s="4"/>
      <c r="BP3" s="4"/>
      <c r="BQ3" s="4"/>
      <c r="BR3" s="4"/>
      <c r="BS3" s="4"/>
    </row>
    <row r="4" spans="1:71" ht="24">
      <c r="A4" s="3"/>
      <c r="B4" s="6" t="s">
        <v>1</v>
      </c>
      <c r="C4" s="7" t="s">
        <v>2</v>
      </c>
      <c r="D4" s="8" t="s">
        <v>3</v>
      </c>
      <c r="E4" s="8" t="s">
        <v>4</v>
      </c>
      <c r="F4" s="8" t="s">
        <v>5</v>
      </c>
      <c r="G4" s="656" t="s">
        <v>6</v>
      </c>
      <c r="H4" s="770"/>
      <c r="I4" s="656" t="s">
        <v>7</v>
      </c>
      <c r="J4" s="770"/>
      <c r="K4" s="663" t="s">
        <v>8</v>
      </c>
      <c r="L4" s="666" t="s">
        <v>9</v>
      </c>
      <c r="M4" s="664" t="s">
        <v>10</v>
      </c>
      <c r="N4" s="654" t="s">
        <v>11</v>
      </c>
      <c r="O4" s="654" t="s">
        <v>12</v>
      </c>
      <c r="P4" s="654" t="s">
        <v>13</v>
      </c>
      <c r="Q4" s="654" t="s">
        <v>14</v>
      </c>
      <c r="R4" s="654" t="s">
        <v>15</v>
      </c>
      <c r="S4" s="9"/>
      <c r="T4" s="654" t="s">
        <v>16</v>
      </c>
      <c r="U4" s="3"/>
      <c r="V4" s="665" t="s">
        <v>17</v>
      </c>
      <c r="W4" s="769"/>
      <c r="X4" s="769"/>
      <c r="Y4" s="769"/>
      <c r="Z4" s="769"/>
      <c r="AA4" s="769"/>
      <c r="AB4" s="769"/>
      <c r="AC4" s="769"/>
      <c r="AD4" s="769"/>
      <c r="AE4" s="769"/>
      <c r="AF4" s="769"/>
      <c r="AG4" s="10"/>
      <c r="AH4" s="4"/>
      <c r="AI4" s="4"/>
      <c r="AJ4" s="4"/>
      <c r="AK4" s="4"/>
      <c r="AL4" s="4"/>
      <c r="AM4" s="654" t="s">
        <v>3</v>
      </c>
      <c r="AN4" s="654" t="s">
        <v>4</v>
      </c>
      <c r="AO4" s="654" t="s">
        <v>5</v>
      </c>
      <c r="AP4" s="656" t="s">
        <v>6</v>
      </c>
      <c r="AQ4" s="770"/>
      <c r="AR4" s="656" t="s">
        <v>7</v>
      </c>
      <c r="AS4" s="770"/>
      <c r="AT4" s="4"/>
      <c r="AU4" s="654" t="s">
        <v>3</v>
      </c>
      <c r="AV4" s="654" t="s">
        <v>4</v>
      </c>
      <c r="AW4" s="654" t="s">
        <v>5</v>
      </c>
      <c r="AX4" s="656" t="s">
        <v>6</v>
      </c>
      <c r="AY4" s="770"/>
      <c r="AZ4" s="656" t="s">
        <v>7</v>
      </c>
      <c r="BA4" s="770"/>
      <c r="BB4" s="4"/>
      <c r="BC4" s="654" t="s">
        <v>3</v>
      </c>
      <c r="BD4" s="654" t="s">
        <v>4</v>
      </c>
      <c r="BE4" s="654" t="s">
        <v>5</v>
      </c>
      <c r="BF4" s="656" t="s">
        <v>6</v>
      </c>
      <c r="BG4" s="770"/>
      <c r="BH4" s="656" t="s">
        <v>7</v>
      </c>
      <c r="BI4" s="770"/>
      <c r="BJ4" s="4"/>
      <c r="BK4" s="4"/>
      <c r="BL4" s="4"/>
      <c r="BM4" s="4"/>
      <c r="BN4" s="4"/>
      <c r="BO4" s="4"/>
      <c r="BP4" s="4"/>
      <c r="BQ4" s="4"/>
      <c r="BR4" s="4"/>
      <c r="BS4" s="4"/>
    </row>
    <row r="5" spans="1:71" ht="24">
      <c r="A5" s="3"/>
      <c r="B5" s="6"/>
      <c r="C5" s="6"/>
      <c r="D5" s="11"/>
      <c r="E5" s="11"/>
      <c r="F5" s="11"/>
      <c r="G5" s="12" t="s">
        <v>18</v>
      </c>
      <c r="H5" s="12" t="s">
        <v>19</v>
      </c>
      <c r="I5" s="12" t="s">
        <v>18</v>
      </c>
      <c r="J5" s="12" t="s">
        <v>19</v>
      </c>
      <c r="K5" s="771"/>
      <c r="L5" s="666"/>
      <c r="M5" s="772"/>
      <c r="N5" s="773"/>
      <c r="O5" s="773"/>
      <c r="P5" s="773"/>
      <c r="Q5" s="773"/>
      <c r="R5" s="773"/>
      <c r="S5" s="11" t="s">
        <v>20</v>
      </c>
      <c r="T5" s="773"/>
      <c r="U5" s="3"/>
      <c r="V5" s="3"/>
      <c r="W5" s="10"/>
      <c r="X5" s="10"/>
      <c r="Y5" s="10"/>
      <c r="Z5" s="10"/>
      <c r="AA5" s="10"/>
      <c r="AB5" s="10"/>
      <c r="AC5" s="10"/>
      <c r="AD5" s="10"/>
      <c r="AE5" s="10"/>
      <c r="AF5" s="10"/>
      <c r="AG5" s="10"/>
      <c r="AH5" s="4"/>
      <c r="AI5" s="4"/>
      <c r="AJ5" s="4"/>
      <c r="AK5" s="4"/>
      <c r="AL5" s="4"/>
      <c r="AM5" s="773"/>
      <c r="AN5" s="773"/>
      <c r="AO5" s="773"/>
      <c r="AP5" s="12" t="s">
        <v>18</v>
      </c>
      <c r="AQ5" s="12" t="s">
        <v>19</v>
      </c>
      <c r="AR5" s="12" t="s">
        <v>18</v>
      </c>
      <c r="AS5" s="12" t="s">
        <v>19</v>
      </c>
      <c r="AT5" s="4"/>
      <c r="AU5" s="773"/>
      <c r="AV5" s="773"/>
      <c r="AW5" s="773"/>
      <c r="AX5" s="12" t="s">
        <v>18</v>
      </c>
      <c r="AY5" s="12" t="s">
        <v>19</v>
      </c>
      <c r="AZ5" s="12" t="s">
        <v>18</v>
      </c>
      <c r="BA5" s="12" t="s">
        <v>19</v>
      </c>
      <c r="BB5" s="4"/>
      <c r="BC5" s="773"/>
      <c r="BD5" s="773"/>
      <c r="BE5" s="773"/>
      <c r="BF5" s="12" t="s">
        <v>18</v>
      </c>
      <c r="BG5" s="12" t="s">
        <v>19</v>
      </c>
      <c r="BH5" s="12" t="s">
        <v>18</v>
      </c>
      <c r="BI5" s="12" t="s">
        <v>19</v>
      </c>
      <c r="BJ5" s="4"/>
      <c r="BK5" s="4"/>
      <c r="BL5" s="4"/>
      <c r="BM5" s="4"/>
      <c r="BN5" s="4"/>
      <c r="BO5" s="4"/>
      <c r="BP5" s="4"/>
      <c r="BQ5" s="4"/>
      <c r="BR5" s="4"/>
      <c r="BS5" s="4"/>
    </row>
    <row r="6" spans="1:71" ht="48">
      <c r="A6" s="13"/>
      <c r="B6" s="14" t="s">
        <v>21</v>
      </c>
      <c r="C6" s="483" t="s">
        <v>22</v>
      </c>
      <c r="D6" s="484" t="s">
        <v>23</v>
      </c>
      <c r="E6" s="15">
        <v>1079</v>
      </c>
      <c r="F6" s="15">
        <v>1079</v>
      </c>
      <c r="G6" s="15">
        <v>1079</v>
      </c>
      <c r="H6" s="16">
        <f t="shared" ref="H6:H61" si="0">G6/F6</f>
        <v>1</v>
      </c>
      <c r="I6" s="15">
        <v>1079</v>
      </c>
      <c r="J6" s="16">
        <f t="shared" ref="J6:J48" si="1">I6/F6</f>
        <v>1</v>
      </c>
      <c r="K6" s="626" t="s">
        <v>24</v>
      </c>
      <c r="L6" s="15" t="s">
        <v>25</v>
      </c>
      <c r="M6" s="638" t="s">
        <v>26</v>
      </c>
      <c r="N6" s="17" t="s">
        <v>27</v>
      </c>
      <c r="O6" s="17"/>
      <c r="P6" s="18" t="s">
        <v>28</v>
      </c>
      <c r="Q6" s="3"/>
      <c r="R6" s="19"/>
      <c r="S6" s="20" t="s">
        <v>29</v>
      </c>
      <c r="T6" s="20"/>
      <c r="U6" s="3"/>
      <c r="V6" s="3"/>
      <c r="W6" s="21"/>
      <c r="X6" s="485"/>
      <c r="Y6" s="485"/>
      <c r="Z6" s="486"/>
      <c r="AA6" s="485"/>
      <c r="AB6" s="485"/>
      <c r="AC6" s="485"/>
      <c r="AD6" s="485"/>
      <c r="AE6" s="485"/>
      <c r="AF6" s="485"/>
      <c r="AG6" s="3"/>
      <c r="AH6" s="4"/>
      <c r="AI6" s="4"/>
      <c r="AJ6" s="4"/>
      <c r="AK6" s="4"/>
      <c r="AL6" s="4"/>
      <c r="AM6" s="22" t="s">
        <v>30</v>
      </c>
      <c r="AN6" s="23">
        <v>740</v>
      </c>
      <c r="AO6" s="23">
        <v>695</v>
      </c>
      <c r="AP6" s="23">
        <v>623</v>
      </c>
      <c r="AQ6" s="24">
        <f t="shared" ref="AQ6:AQ8" si="2">AP6/AO6</f>
        <v>0.89640287769784177</v>
      </c>
      <c r="AR6" s="23">
        <v>623</v>
      </c>
      <c r="AS6" s="24">
        <f t="shared" ref="AS6:AS8" si="3">AR6/AO6</f>
        <v>0.89640287769784177</v>
      </c>
      <c r="AT6" s="4"/>
      <c r="AU6" s="25" t="s">
        <v>30</v>
      </c>
      <c r="AV6" s="23">
        <v>740</v>
      </c>
      <c r="AW6" s="23">
        <v>695</v>
      </c>
      <c r="AX6" s="23">
        <v>623</v>
      </c>
      <c r="AY6" s="24">
        <f t="shared" ref="AY6:AY8" si="4">AX6/AW6</f>
        <v>0.89640287769784177</v>
      </c>
      <c r="AZ6" s="23">
        <v>623</v>
      </c>
      <c r="BA6" s="24">
        <f t="shared" ref="BA6:BA8" si="5">AZ6/AW6</f>
        <v>0.89640287769784177</v>
      </c>
      <c r="BB6" s="4"/>
      <c r="BC6" s="25" t="s">
        <v>31</v>
      </c>
      <c r="BD6" s="26">
        <v>1079</v>
      </c>
      <c r="BE6" s="26">
        <v>1079</v>
      </c>
      <c r="BF6" s="26">
        <v>1079</v>
      </c>
      <c r="BG6" s="27">
        <f t="shared" ref="BG6:BG8" si="6">BF6/BE6</f>
        <v>1</v>
      </c>
      <c r="BH6" s="26">
        <v>1079</v>
      </c>
      <c r="BI6" s="24">
        <f t="shared" ref="BI6:BI8" si="7">BH6/BE6</f>
        <v>1</v>
      </c>
      <c r="BJ6" s="4"/>
      <c r="BK6" s="4"/>
      <c r="BL6" s="4"/>
      <c r="BM6" s="4"/>
      <c r="BN6" s="4"/>
      <c r="BO6" s="4"/>
      <c r="BP6" s="4"/>
      <c r="BQ6" s="4"/>
      <c r="BR6" s="4"/>
      <c r="BS6" s="4"/>
    </row>
    <row r="7" spans="1:71" ht="48">
      <c r="A7" s="13"/>
      <c r="B7" s="14" t="s">
        <v>21</v>
      </c>
      <c r="C7" s="483" t="s">
        <v>32</v>
      </c>
      <c r="D7" s="1" t="s">
        <v>33</v>
      </c>
      <c r="E7" s="15">
        <v>1006</v>
      </c>
      <c r="F7" s="28">
        <v>1006</v>
      </c>
      <c r="G7" s="29">
        <v>699</v>
      </c>
      <c r="H7" s="16">
        <f t="shared" si="0"/>
        <v>0.69483101391650104</v>
      </c>
      <c r="I7" s="30">
        <f>BH7</f>
        <v>694</v>
      </c>
      <c r="J7" s="16">
        <f t="shared" si="1"/>
        <v>0.68986083499005968</v>
      </c>
      <c r="K7" s="626" t="s">
        <v>34</v>
      </c>
      <c r="L7" s="15" t="s">
        <v>25</v>
      </c>
      <c r="M7" s="638" t="s">
        <v>35</v>
      </c>
      <c r="N7" s="17" t="s">
        <v>27</v>
      </c>
      <c r="O7" s="31"/>
      <c r="P7" s="18" t="s">
        <v>36</v>
      </c>
      <c r="Q7" s="3"/>
      <c r="R7" s="19"/>
      <c r="S7" s="20" t="s">
        <v>29</v>
      </c>
      <c r="T7" s="20"/>
      <c r="U7" s="3"/>
      <c r="V7" s="3"/>
      <c r="W7" s="21"/>
      <c r="X7" s="485"/>
      <c r="Y7" s="485"/>
      <c r="Z7" s="486"/>
      <c r="AA7" s="485"/>
      <c r="AB7" s="485"/>
      <c r="AC7" s="485"/>
      <c r="AD7" s="485"/>
      <c r="AE7" s="485"/>
      <c r="AF7" s="485"/>
      <c r="AG7" s="3"/>
      <c r="AH7" s="4"/>
      <c r="AI7" s="4"/>
      <c r="AJ7" s="4"/>
      <c r="AK7" s="4"/>
      <c r="AL7" s="4"/>
      <c r="AM7" s="22" t="s">
        <v>37</v>
      </c>
      <c r="AN7" s="23">
        <v>1748</v>
      </c>
      <c r="AO7" s="23">
        <v>1603</v>
      </c>
      <c r="AP7" s="23">
        <v>917</v>
      </c>
      <c r="AQ7" s="24">
        <f t="shared" si="2"/>
        <v>0.57205240174672489</v>
      </c>
      <c r="AR7" s="23">
        <v>917</v>
      </c>
      <c r="AS7" s="24">
        <f t="shared" si="3"/>
        <v>0.57205240174672489</v>
      </c>
      <c r="AT7" s="4"/>
      <c r="AU7" s="25" t="s">
        <v>38</v>
      </c>
      <c r="AV7" s="23">
        <v>443</v>
      </c>
      <c r="AW7" s="23">
        <v>397</v>
      </c>
      <c r="AX7" s="23">
        <v>397</v>
      </c>
      <c r="AY7" s="24">
        <f t="shared" si="4"/>
        <v>1</v>
      </c>
      <c r="AZ7" s="23">
        <v>397</v>
      </c>
      <c r="BA7" s="24">
        <f t="shared" si="5"/>
        <v>1</v>
      </c>
      <c r="BB7" s="4"/>
      <c r="BC7" s="25" t="s">
        <v>39</v>
      </c>
      <c r="BD7" s="32">
        <v>1006</v>
      </c>
      <c r="BE7" s="32">
        <v>1006</v>
      </c>
      <c r="BF7" s="32">
        <v>699</v>
      </c>
      <c r="BG7" s="33">
        <f t="shared" si="6"/>
        <v>0.69483101391650104</v>
      </c>
      <c r="BH7" s="32">
        <v>694</v>
      </c>
      <c r="BI7" s="24">
        <f t="shared" si="7"/>
        <v>0.68986083499005968</v>
      </c>
      <c r="BJ7" s="4"/>
      <c r="BK7" s="4"/>
      <c r="BL7" s="4"/>
      <c r="BM7" s="4"/>
      <c r="BN7" s="4"/>
      <c r="BO7" s="4"/>
      <c r="BP7" s="4"/>
      <c r="BQ7" s="4"/>
      <c r="BR7" s="4"/>
      <c r="BS7" s="4"/>
    </row>
    <row r="8" spans="1:71" ht="48">
      <c r="A8" s="13"/>
      <c r="B8" s="14" t="s">
        <v>21</v>
      </c>
      <c r="C8" s="483" t="s">
        <v>40</v>
      </c>
      <c r="D8" s="484" t="s">
        <v>41</v>
      </c>
      <c r="E8" s="15">
        <v>1013</v>
      </c>
      <c r="F8" s="15">
        <v>1013</v>
      </c>
      <c r="G8" s="15">
        <v>573</v>
      </c>
      <c r="H8" s="34">
        <f t="shared" si="0"/>
        <v>0.56564659427443242</v>
      </c>
      <c r="I8" s="15">
        <v>565</v>
      </c>
      <c r="J8" s="34">
        <f t="shared" si="1"/>
        <v>0.55774925962487665</v>
      </c>
      <c r="K8" s="628" t="s">
        <v>42</v>
      </c>
      <c r="L8" s="15" t="s">
        <v>25</v>
      </c>
      <c r="M8" s="639" t="s">
        <v>43</v>
      </c>
      <c r="N8" s="17" t="s">
        <v>27</v>
      </c>
      <c r="O8" s="31"/>
      <c r="P8" s="18" t="s">
        <v>44</v>
      </c>
      <c r="Q8" s="3"/>
      <c r="R8" s="19"/>
      <c r="S8" s="20" t="s">
        <v>29</v>
      </c>
      <c r="T8" s="20"/>
      <c r="U8" s="3"/>
      <c r="V8" s="3"/>
      <c r="W8" s="21"/>
      <c r="X8" s="486"/>
      <c r="Y8" s="485"/>
      <c r="Z8" s="485"/>
      <c r="AA8" s="485"/>
      <c r="AB8" s="486"/>
      <c r="AC8" s="485"/>
      <c r="AD8" s="485"/>
      <c r="AE8" s="485"/>
      <c r="AF8" s="485"/>
      <c r="AG8" s="3"/>
      <c r="AH8" s="4"/>
      <c r="AI8" s="4"/>
      <c r="AJ8" s="4"/>
      <c r="AK8" s="4"/>
      <c r="AL8" s="4"/>
      <c r="AM8" s="22" t="s">
        <v>38</v>
      </c>
      <c r="AN8" s="23">
        <v>443</v>
      </c>
      <c r="AO8" s="23">
        <v>397</v>
      </c>
      <c r="AP8" s="23">
        <v>397</v>
      </c>
      <c r="AQ8" s="24">
        <f t="shared" si="2"/>
        <v>1</v>
      </c>
      <c r="AR8" s="23">
        <v>397</v>
      </c>
      <c r="AS8" s="24">
        <f t="shared" si="3"/>
        <v>1</v>
      </c>
      <c r="AT8" s="4"/>
      <c r="AU8" s="25" t="s">
        <v>45</v>
      </c>
      <c r="AV8" s="23">
        <v>203</v>
      </c>
      <c r="AW8" s="23">
        <v>185</v>
      </c>
      <c r="AX8" s="23">
        <v>185</v>
      </c>
      <c r="AY8" s="24">
        <f t="shared" si="4"/>
        <v>1</v>
      </c>
      <c r="AZ8" s="23">
        <v>185</v>
      </c>
      <c r="BA8" s="24">
        <f t="shared" si="5"/>
        <v>1</v>
      </c>
      <c r="BB8" s="4"/>
      <c r="BC8" s="36" t="s">
        <v>46</v>
      </c>
      <c r="BD8" s="23">
        <v>1013</v>
      </c>
      <c r="BE8" s="23">
        <v>1013</v>
      </c>
      <c r="BF8" s="23">
        <v>573</v>
      </c>
      <c r="BG8" s="37">
        <f t="shared" si="6"/>
        <v>0.56564659427443242</v>
      </c>
      <c r="BH8" s="23">
        <v>565</v>
      </c>
      <c r="BI8" s="24">
        <f t="shared" si="7"/>
        <v>0.55774925962487665</v>
      </c>
      <c r="BJ8" s="4"/>
      <c r="BK8" s="4"/>
      <c r="BL8" s="4"/>
      <c r="BM8" s="4"/>
      <c r="BN8" s="4"/>
      <c r="BO8" s="4"/>
      <c r="BP8" s="4"/>
      <c r="BQ8" s="4"/>
      <c r="BR8" s="4"/>
      <c r="BS8" s="4"/>
    </row>
    <row r="9" spans="1:71" ht="48">
      <c r="A9" s="13"/>
      <c r="B9" s="14" t="s">
        <v>21</v>
      </c>
      <c r="C9" s="483" t="s">
        <v>47</v>
      </c>
      <c r="D9" s="1" t="s">
        <v>48</v>
      </c>
      <c r="E9" s="15">
        <v>932</v>
      </c>
      <c r="F9" s="15">
        <v>932</v>
      </c>
      <c r="G9" s="15">
        <v>406</v>
      </c>
      <c r="H9" s="34">
        <f t="shared" si="0"/>
        <v>0.4356223175965665</v>
      </c>
      <c r="I9" s="15">
        <v>406</v>
      </c>
      <c r="J9" s="34">
        <f t="shared" si="1"/>
        <v>0.4356223175965665</v>
      </c>
      <c r="K9" s="628" t="s">
        <v>49</v>
      </c>
      <c r="L9" s="15" t="s">
        <v>25</v>
      </c>
      <c r="M9" s="639" t="s">
        <v>50</v>
      </c>
      <c r="N9" s="17" t="s">
        <v>27</v>
      </c>
      <c r="O9" s="31"/>
      <c r="P9" s="18" t="s">
        <v>51</v>
      </c>
      <c r="Q9" s="3"/>
      <c r="R9" s="19"/>
      <c r="S9" s="20" t="s">
        <v>29</v>
      </c>
      <c r="T9" s="20"/>
      <c r="U9" s="3"/>
      <c r="V9" s="3"/>
      <c r="W9" s="21"/>
      <c r="X9" s="486"/>
      <c r="Y9" s="485"/>
      <c r="Z9" s="485"/>
      <c r="AA9" s="485"/>
      <c r="AB9" s="486"/>
      <c r="AC9" s="485"/>
      <c r="AD9" s="485"/>
      <c r="AE9" s="485"/>
      <c r="AF9" s="485"/>
      <c r="AG9" s="3"/>
      <c r="AH9" s="4"/>
      <c r="AI9" s="4"/>
      <c r="AJ9" s="4"/>
      <c r="AK9" s="4"/>
      <c r="AL9" s="4"/>
      <c r="AM9" s="22"/>
      <c r="AN9" s="23"/>
      <c r="AO9" s="23"/>
      <c r="AP9" s="23"/>
      <c r="AQ9" s="24"/>
      <c r="AR9" s="23"/>
      <c r="AS9" s="24"/>
      <c r="AT9" s="4"/>
      <c r="AU9" s="25"/>
      <c r="AV9" s="23"/>
      <c r="AW9" s="23"/>
      <c r="AX9" s="23"/>
      <c r="AY9" s="24"/>
      <c r="AZ9" s="23"/>
      <c r="BA9" s="24"/>
      <c r="BB9" s="4"/>
      <c r="BC9" s="36"/>
      <c r="BD9" s="23"/>
      <c r="BE9" s="23"/>
      <c r="BF9" s="23"/>
      <c r="BG9" s="37"/>
      <c r="BH9" s="23"/>
      <c r="BI9" s="24"/>
      <c r="BJ9" s="4"/>
      <c r="BK9" s="4"/>
      <c r="BL9" s="4"/>
      <c r="BM9" s="4"/>
      <c r="BN9" s="4"/>
      <c r="BO9" s="4"/>
      <c r="BP9" s="4"/>
      <c r="BQ9" s="4"/>
      <c r="BR9" s="4"/>
      <c r="BS9" s="4"/>
    </row>
    <row r="10" spans="1:71" ht="48">
      <c r="A10" s="13"/>
      <c r="B10" s="61" t="s">
        <v>21</v>
      </c>
      <c r="C10" s="483" t="s">
        <v>52</v>
      </c>
      <c r="D10" s="38" t="s">
        <v>53</v>
      </c>
      <c r="E10" s="15">
        <v>921</v>
      </c>
      <c r="F10" s="15">
        <v>921</v>
      </c>
      <c r="G10" s="487">
        <v>338</v>
      </c>
      <c r="H10" s="488">
        <f t="shared" si="0"/>
        <v>0.36699239956568946</v>
      </c>
      <c r="I10" s="487">
        <v>338</v>
      </c>
      <c r="J10" s="488">
        <f t="shared" si="1"/>
        <v>0.36699239956568946</v>
      </c>
      <c r="K10" s="629" t="s">
        <v>54</v>
      </c>
      <c r="L10" s="15" t="s">
        <v>25</v>
      </c>
      <c r="M10" s="640" t="s">
        <v>55</v>
      </c>
      <c r="N10" s="17" t="s">
        <v>27</v>
      </c>
      <c r="O10" s="31"/>
      <c r="P10" s="18" t="s">
        <v>56</v>
      </c>
      <c r="Q10" s="3"/>
      <c r="R10" s="19"/>
      <c r="S10" s="20" t="s">
        <v>29</v>
      </c>
      <c r="T10" s="20"/>
      <c r="U10" s="3"/>
      <c r="V10" s="3"/>
      <c r="W10" s="21"/>
      <c r="X10" s="486"/>
      <c r="Y10" s="485"/>
      <c r="Z10" s="485"/>
      <c r="AA10" s="485"/>
      <c r="AB10" s="486"/>
      <c r="AC10" s="485"/>
      <c r="AD10" s="485"/>
      <c r="AE10" s="485"/>
      <c r="AF10" s="485"/>
      <c r="AG10" s="3"/>
      <c r="AH10" s="4"/>
      <c r="AI10" s="4"/>
      <c r="AJ10" s="4"/>
      <c r="AK10" s="4"/>
      <c r="AL10" s="4"/>
      <c r="AM10" s="22"/>
      <c r="AN10" s="23"/>
      <c r="AO10" s="23"/>
      <c r="AP10" s="23"/>
      <c r="AQ10" s="24"/>
      <c r="AR10" s="23"/>
      <c r="AS10" s="24"/>
      <c r="AT10" s="4"/>
      <c r="AU10" s="25"/>
      <c r="AV10" s="23"/>
      <c r="AW10" s="23"/>
      <c r="AX10" s="23"/>
      <c r="AY10" s="24"/>
      <c r="AZ10" s="23"/>
      <c r="BA10" s="24"/>
      <c r="BB10" s="4"/>
      <c r="BC10" s="36"/>
      <c r="BD10" s="23"/>
      <c r="BE10" s="23"/>
      <c r="BF10" s="23"/>
      <c r="BG10" s="37"/>
      <c r="BH10" s="23"/>
      <c r="BI10" s="24"/>
      <c r="BJ10" s="4"/>
      <c r="BK10" s="4"/>
      <c r="BL10" s="4"/>
      <c r="BM10" s="4"/>
      <c r="BN10" s="4"/>
      <c r="BO10" s="4"/>
      <c r="BP10" s="4"/>
      <c r="BQ10" s="4"/>
      <c r="BR10" s="4"/>
      <c r="BS10" s="4"/>
    </row>
    <row r="11" spans="1:71" ht="60">
      <c r="A11" s="13"/>
      <c r="B11" s="14" t="s">
        <v>21</v>
      </c>
      <c r="C11" s="483" t="s">
        <v>57</v>
      </c>
      <c r="D11" s="38" t="s">
        <v>58</v>
      </c>
      <c r="E11" s="15">
        <v>918</v>
      </c>
      <c r="F11" s="15">
        <v>918</v>
      </c>
      <c r="G11" s="15">
        <v>424</v>
      </c>
      <c r="H11" s="34">
        <f t="shared" si="0"/>
        <v>0.46187363834422657</v>
      </c>
      <c r="I11" s="15">
        <v>424</v>
      </c>
      <c r="J11" s="34">
        <f t="shared" si="1"/>
        <v>0.46187363834422657</v>
      </c>
      <c r="K11" s="628" t="s">
        <v>59</v>
      </c>
      <c r="L11" s="15" t="s">
        <v>25</v>
      </c>
      <c r="M11" s="639" t="s">
        <v>60</v>
      </c>
      <c r="N11" s="17" t="s">
        <v>27</v>
      </c>
      <c r="O11" s="31"/>
      <c r="P11" s="18" t="s">
        <v>61</v>
      </c>
      <c r="Q11" s="3"/>
      <c r="R11" s="19"/>
      <c r="S11" s="20" t="s">
        <v>29</v>
      </c>
      <c r="T11" s="20"/>
      <c r="U11" s="3"/>
      <c r="V11" s="3"/>
      <c r="W11" s="21"/>
      <c r="X11" s="486"/>
      <c r="Y11" s="485"/>
      <c r="Z11" s="485"/>
      <c r="AA11" s="485"/>
      <c r="AB11" s="486"/>
      <c r="AC11" s="485"/>
      <c r="AD11" s="485"/>
      <c r="AE11" s="485"/>
      <c r="AF11" s="485"/>
      <c r="AG11" s="3"/>
      <c r="AH11" s="4"/>
      <c r="AI11" s="4"/>
      <c r="AJ11" s="4"/>
      <c r="AK11" s="4"/>
      <c r="AL11" s="4"/>
      <c r="AM11" s="22"/>
      <c r="AN11" s="23"/>
      <c r="AO11" s="23"/>
      <c r="AP11" s="23"/>
      <c r="AQ11" s="24"/>
      <c r="AR11" s="23"/>
      <c r="AS11" s="24"/>
      <c r="AT11" s="4"/>
      <c r="AU11" s="25"/>
      <c r="AV11" s="23"/>
      <c r="AW11" s="23"/>
      <c r="AX11" s="23"/>
      <c r="AY11" s="24"/>
      <c r="AZ11" s="23"/>
      <c r="BA11" s="24"/>
      <c r="BB11" s="4"/>
      <c r="BC11" s="36"/>
      <c r="BD11" s="23"/>
      <c r="BE11" s="23"/>
      <c r="BF11" s="23"/>
      <c r="BG11" s="37"/>
      <c r="BH11" s="23"/>
      <c r="BI11" s="24"/>
      <c r="BJ11" s="4"/>
      <c r="BK11" s="4"/>
      <c r="BL11" s="4"/>
      <c r="BM11" s="4"/>
      <c r="BN11" s="4"/>
      <c r="BO11" s="4"/>
      <c r="BP11" s="4"/>
      <c r="BQ11" s="4"/>
      <c r="BR11" s="4"/>
      <c r="BS11" s="4"/>
    </row>
    <row r="12" spans="1:71" ht="24">
      <c r="A12" s="13"/>
      <c r="B12" s="39" t="s">
        <v>62</v>
      </c>
      <c r="C12" s="483" t="s">
        <v>22</v>
      </c>
      <c r="D12" s="1" t="s">
        <v>63</v>
      </c>
      <c r="E12" s="15">
        <f t="shared" ref="E12:G12" si="8">BD12</f>
        <v>1567</v>
      </c>
      <c r="F12" s="15">
        <f t="shared" si="8"/>
        <v>1554</v>
      </c>
      <c r="G12" s="15">
        <f t="shared" si="8"/>
        <v>1416</v>
      </c>
      <c r="H12" s="34">
        <f t="shared" si="0"/>
        <v>0.91119691119691115</v>
      </c>
      <c r="I12" s="15">
        <f>BH12</f>
        <v>1416</v>
      </c>
      <c r="J12" s="34">
        <f t="shared" si="1"/>
        <v>0.91119691119691115</v>
      </c>
      <c r="K12" s="628" t="s">
        <v>64</v>
      </c>
      <c r="L12" s="15" t="s">
        <v>25</v>
      </c>
      <c r="M12" s="641"/>
      <c r="N12" s="17" t="s">
        <v>27</v>
      </c>
      <c r="O12" s="17"/>
      <c r="P12" s="18" t="s">
        <v>65</v>
      </c>
      <c r="Q12" s="3"/>
      <c r="R12" s="19"/>
      <c r="S12" s="20" t="s">
        <v>29</v>
      </c>
      <c r="T12" s="20"/>
      <c r="U12" s="3"/>
      <c r="V12" s="3"/>
      <c r="W12" s="21"/>
      <c r="X12" s="486"/>
      <c r="Y12" s="485"/>
      <c r="Z12" s="485"/>
      <c r="AA12" s="486"/>
      <c r="AB12" s="486"/>
      <c r="AC12" s="485"/>
      <c r="AD12" s="485"/>
      <c r="AE12" s="485"/>
      <c r="AF12" s="485"/>
      <c r="AG12" s="3"/>
      <c r="AH12" s="4"/>
      <c r="AI12" s="4"/>
      <c r="AJ12" s="4"/>
      <c r="AK12" s="4"/>
      <c r="AL12" s="4"/>
      <c r="AM12" s="22" t="s">
        <v>66</v>
      </c>
      <c r="AN12" s="23">
        <v>299</v>
      </c>
      <c r="AO12" s="23">
        <v>252</v>
      </c>
      <c r="AP12" s="23">
        <v>252</v>
      </c>
      <c r="AQ12" s="24">
        <f t="shared" ref="AQ12:AQ40" si="9">AP12/AO12</f>
        <v>1</v>
      </c>
      <c r="AR12" s="23">
        <v>252</v>
      </c>
      <c r="AS12" s="24">
        <f t="shared" ref="AS12:AS40" si="10">AR12/AO12</f>
        <v>1</v>
      </c>
      <c r="AT12" s="4"/>
      <c r="AU12" s="25" t="s">
        <v>67</v>
      </c>
      <c r="AV12" s="23">
        <v>481</v>
      </c>
      <c r="AW12" s="23">
        <v>457</v>
      </c>
      <c r="AX12" s="23">
        <v>457</v>
      </c>
      <c r="AY12" s="24">
        <f t="shared" ref="AY12:AY33" si="11">AX12/AW12</f>
        <v>1</v>
      </c>
      <c r="AZ12" s="23">
        <v>457</v>
      </c>
      <c r="BA12" s="24">
        <f t="shared" ref="BA12:BA13" si="12">AZ12/AW12</f>
        <v>1</v>
      </c>
      <c r="BB12" s="4"/>
      <c r="BC12" s="36" t="s">
        <v>68</v>
      </c>
      <c r="BD12" s="23">
        <v>1567</v>
      </c>
      <c r="BE12" s="23">
        <v>1554</v>
      </c>
      <c r="BF12" s="23">
        <v>1416</v>
      </c>
      <c r="BG12" s="37">
        <f t="shared" ref="BG12:BG15" si="13">BF12/BE12</f>
        <v>0.91119691119691115</v>
      </c>
      <c r="BH12" s="23">
        <v>1416</v>
      </c>
      <c r="BI12" s="37">
        <f t="shared" ref="BI12:BI15" si="14">BH12/BE12</f>
        <v>0.91119691119691115</v>
      </c>
      <c r="BJ12" s="4"/>
      <c r="BK12" s="4"/>
      <c r="BL12" s="4"/>
      <c r="BM12" s="4"/>
      <c r="BN12" s="4"/>
      <c r="BO12" s="4"/>
      <c r="BP12" s="4"/>
      <c r="BQ12" s="4"/>
      <c r="BR12" s="4"/>
      <c r="BS12" s="4"/>
    </row>
    <row r="13" spans="1:71" ht="48">
      <c r="A13" s="13"/>
      <c r="B13" s="41" t="s">
        <v>69</v>
      </c>
      <c r="C13" s="489" t="s">
        <v>70</v>
      </c>
      <c r="D13" s="490" t="s">
        <v>71</v>
      </c>
      <c r="E13" s="42">
        <v>763</v>
      </c>
      <c r="F13" s="42">
        <v>695</v>
      </c>
      <c r="G13" s="42">
        <v>623</v>
      </c>
      <c r="H13" s="43">
        <f t="shared" si="0"/>
        <v>0.89640287769784177</v>
      </c>
      <c r="I13" s="42">
        <v>623</v>
      </c>
      <c r="J13" s="43">
        <f t="shared" si="1"/>
        <v>0.89640287769784177</v>
      </c>
      <c r="K13" s="630" t="s">
        <v>72</v>
      </c>
      <c r="L13" s="15" t="s">
        <v>25</v>
      </c>
      <c r="M13" s="642" t="s">
        <v>73</v>
      </c>
      <c r="N13" s="491" t="s">
        <v>74</v>
      </c>
      <c r="O13" s="44"/>
      <c r="P13" s="25"/>
      <c r="Q13" s="3" t="s">
        <v>75</v>
      </c>
      <c r="R13" s="19" t="s">
        <v>76</v>
      </c>
      <c r="S13" s="45" t="s">
        <v>77</v>
      </c>
      <c r="T13" s="45"/>
      <c r="U13" s="3"/>
      <c r="V13" s="3"/>
      <c r="W13" s="21"/>
      <c r="X13" s="486"/>
      <c r="Y13" s="485"/>
      <c r="Z13" s="485"/>
      <c r="AA13" s="486"/>
      <c r="AB13" s="486"/>
      <c r="AC13" s="485"/>
      <c r="AD13" s="485"/>
      <c r="AE13" s="485"/>
      <c r="AF13" s="485"/>
      <c r="AG13" s="46"/>
      <c r="AH13" s="4"/>
      <c r="AI13" s="4"/>
      <c r="AJ13" s="4"/>
      <c r="AK13" s="4"/>
      <c r="AL13" s="4"/>
      <c r="AM13" s="22" t="s">
        <v>78</v>
      </c>
      <c r="AN13" s="23">
        <v>273</v>
      </c>
      <c r="AO13" s="23">
        <v>231</v>
      </c>
      <c r="AP13" s="23">
        <v>231</v>
      </c>
      <c r="AQ13" s="24">
        <f t="shared" si="9"/>
        <v>1</v>
      </c>
      <c r="AR13" s="23">
        <v>231</v>
      </c>
      <c r="AS13" s="24">
        <f t="shared" si="10"/>
        <v>1</v>
      </c>
      <c r="AT13" s="4"/>
      <c r="AU13" s="25" t="s">
        <v>79</v>
      </c>
      <c r="AV13" s="23">
        <v>400</v>
      </c>
      <c r="AW13" s="23">
        <v>194</v>
      </c>
      <c r="AX13" s="23">
        <v>194</v>
      </c>
      <c r="AY13" s="24">
        <f t="shared" si="11"/>
        <v>1</v>
      </c>
      <c r="AZ13" s="23">
        <v>194</v>
      </c>
      <c r="BA13" s="24">
        <f t="shared" si="12"/>
        <v>1</v>
      </c>
      <c r="BB13" s="4"/>
      <c r="BC13" s="25" t="s">
        <v>80</v>
      </c>
      <c r="BD13" s="23">
        <v>11180</v>
      </c>
      <c r="BE13" s="23">
        <v>1709</v>
      </c>
      <c r="BF13" s="23">
        <v>1709</v>
      </c>
      <c r="BG13" s="24">
        <f t="shared" si="13"/>
        <v>1</v>
      </c>
      <c r="BH13" s="23">
        <v>1709</v>
      </c>
      <c r="BI13" s="24">
        <f t="shared" si="14"/>
        <v>1</v>
      </c>
      <c r="BJ13" s="4"/>
      <c r="BK13" s="4"/>
      <c r="BL13" s="4"/>
      <c r="BM13" s="4"/>
      <c r="BN13" s="4"/>
      <c r="BO13" s="4"/>
      <c r="BP13" s="4"/>
      <c r="BQ13" s="4"/>
      <c r="BR13" s="4"/>
      <c r="BS13" s="4"/>
    </row>
    <row r="14" spans="1:71" ht="48">
      <c r="A14" s="13"/>
      <c r="B14" s="47" t="s">
        <v>69</v>
      </c>
      <c r="C14" s="492" t="s">
        <v>70</v>
      </c>
      <c r="D14" s="493" t="s">
        <v>81</v>
      </c>
      <c r="E14" s="48">
        <v>1750</v>
      </c>
      <c r="F14" s="48">
        <v>1603</v>
      </c>
      <c r="G14" s="48">
        <v>917</v>
      </c>
      <c r="H14" s="49">
        <f t="shared" si="0"/>
        <v>0.57205240174672489</v>
      </c>
      <c r="I14" s="48">
        <v>917</v>
      </c>
      <c r="J14" s="49">
        <f t="shared" si="1"/>
        <v>0.57205240174672489</v>
      </c>
      <c r="K14" s="631" t="s">
        <v>82</v>
      </c>
      <c r="L14" s="15" t="s">
        <v>25</v>
      </c>
      <c r="M14" s="643" t="s">
        <v>83</v>
      </c>
      <c r="N14" s="494" t="s">
        <v>84</v>
      </c>
      <c r="O14" s="50"/>
      <c r="P14" s="25"/>
      <c r="Q14" s="3" t="s">
        <v>85</v>
      </c>
      <c r="R14" s="19" t="s">
        <v>76</v>
      </c>
      <c r="S14" s="45" t="s">
        <v>77</v>
      </c>
      <c r="T14" s="45"/>
      <c r="U14" s="3"/>
      <c r="V14" s="3"/>
      <c r="W14" s="21"/>
      <c r="X14" s="486"/>
      <c r="Y14" s="485"/>
      <c r="Z14" s="485"/>
      <c r="AA14" s="486"/>
      <c r="AB14" s="486"/>
      <c r="AC14" s="485"/>
      <c r="AD14" s="485"/>
      <c r="AE14" s="485"/>
      <c r="AF14" s="485"/>
      <c r="AG14" s="46"/>
      <c r="AH14" s="4"/>
      <c r="AI14" s="4"/>
      <c r="AJ14" s="4"/>
      <c r="AK14" s="4"/>
      <c r="AL14" s="4"/>
      <c r="AM14" s="22" t="s">
        <v>86</v>
      </c>
      <c r="AN14" s="23">
        <v>522</v>
      </c>
      <c r="AO14" s="23">
        <v>133</v>
      </c>
      <c r="AP14" s="23">
        <v>0</v>
      </c>
      <c r="AQ14" s="24">
        <f t="shared" si="9"/>
        <v>0</v>
      </c>
      <c r="AR14" s="23">
        <v>0</v>
      </c>
      <c r="AS14" s="24">
        <f t="shared" si="10"/>
        <v>0</v>
      </c>
      <c r="AT14" s="4"/>
      <c r="AU14" s="25" t="s">
        <v>87</v>
      </c>
      <c r="AV14" s="23">
        <v>732</v>
      </c>
      <c r="AW14" s="23">
        <v>93</v>
      </c>
      <c r="AX14" s="23">
        <v>80</v>
      </c>
      <c r="AY14" s="24">
        <f t="shared" si="11"/>
        <v>0.86021505376344087</v>
      </c>
      <c r="AZ14" s="23">
        <v>80</v>
      </c>
      <c r="BA14" s="24">
        <f t="shared" ref="BA14:BA15" si="15">AZ14/AX14</f>
        <v>1</v>
      </c>
      <c r="BB14" s="4"/>
      <c r="BC14" s="25" t="s">
        <v>88</v>
      </c>
      <c r="BD14" s="23">
        <v>11180</v>
      </c>
      <c r="BE14" s="23">
        <v>1328</v>
      </c>
      <c r="BF14" s="23">
        <v>1328</v>
      </c>
      <c r="BG14" s="24">
        <f t="shared" si="13"/>
        <v>1</v>
      </c>
      <c r="BH14" s="23">
        <v>1328</v>
      </c>
      <c r="BI14" s="24">
        <f t="shared" si="14"/>
        <v>1</v>
      </c>
      <c r="BJ14" s="4"/>
      <c r="BK14" s="4"/>
      <c r="BL14" s="4"/>
      <c r="BM14" s="4"/>
      <c r="BN14" s="4"/>
      <c r="BO14" s="4"/>
      <c r="BP14" s="4"/>
      <c r="BQ14" s="4"/>
      <c r="BR14" s="4"/>
      <c r="BS14" s="4"/>
    </row>
    <row r="15" spans="1:71" ht="48">
      <c r="A15" s="13"/>
      <c r="B15" s="14" t="s">
        <v>69</v>
      </c>
      <c r="C15" s="14" t="s">
        <v>89</v>
      </c>
      <c r="D15" s="495" t="s">
        <v>90</v>
      </c>
      <c r="E15" s="15">
        <v>1158</v>
      </c>
      <c r="F15" s="15">
        <v>896</v>
      </c>
      <c r="G15" s="15">
        <v>896</v>
      </c>
      <c r="H15" s="16">
        <f t="shared" si="0"/>
        <v>1</v>
      </c>
      <c r="I15" s="15">
        <v>896</v>
      </c>
      <c r="J15" s="16">
        <f t="shared" si="1"/>
        <v>1</v>
      </c>
      <c r="K15" s="626" t="s">
        <v>91</v>
      </c>
      <c r="L15" s="15" t="s">
        <v>25</v>
      </c>
      <c r="M15" s="639" t="s">
        <v>92</v>
      </c>
      <c r="N15" s="17" t="s">
        <v>93</v>
      </c>
      <c r="O15" s="31"/>
      <c r="P15" s="25"/>
      <c r="Q15" s="3" t="s">
        <v>94</v>
      </c>
      <c r="R15" s="19" t="s">
        <v>95</v>
      </c>
      <c r="S15" s="45" t="s">
        <v>77</v>
      </c>
      <c r="T15" s="45"/>
      <c r="U15" s="3"/>
      <c r="V15" s="3"/>
      <c r="W15" s="51"/>
      <c r="X15" s="3"/>
      <c r="Y15" s="3"/>
      <c r="Z15" s="3"/>
      <c r="AA15" s="3"/>
      <c r="AB15" s="3"/>
      <c r="AC15" s="3"/>
      <c r="AD15" s="3"/>
      <c r="AE15" s="3"/>
      <c r="AF15" s="3"/>
      <c r="AG15" s="46"/>
      <c r="AH15" s="4"/>
      <c r="AI15" s="4"/>
      <c r="AJ15" s="4"/>
      <c r="AK15" s="4"/>
      <c r="AL15" s="4"/>
      <c r="AM15" s="22" t="s">
        <v>96</v>
      </c>
      <c r="AN15" s="23">
        <v>5264</v>
      </c>
      <c r="AO15" s="23">
        <v>5264</v>
      </c>
      <c r="AP15" s="23">
        <v>214</v>
      </c>
      <c r="AQ15" s="24">
        <f t="shared" si="9"/>
        <v>4.0653495440729485E-2</v>
      </c>
      <c r="AR15" s="23">
        <v>214</v>
      </c>
      <c r="AS15" s="24">
        <f t="shared" si="10"/>
        <v>4.0653495440729485E-2</v>
      </c>
      <c r="AT15" s="4"/>
      <c r="AU15" s="25" t="s">
        <v>97</v>
      </c>
      <c r="AV15" s="23">
        <v>732</v>
      </c>
      <c r="AW15" s="23">
        <v>92</v>
      </c>
      <c r="AX15" s="23">
        <v>92</v>
      </c>
      <c r="AY15" s="24">
        <f t="shared" si="11"/>
        <v>1</v>
      </c>
      <c r="AZ15" s="23">
        <v>74</v>
      </c>
      <c r="BA15" s="24">
        <f t="shared" si="15"/>
        <v>0.80434782608695654</v>
      </c>
      <c r="BB15" s="4"/>
      <c r="BC15" s="22" t="s">
        <v>98</v>
      </c>
      <c r="BD15" s="23">
        <v>555</v>
      </c>
      <c r="BE15" s="23">
        <v>420</v>
      </c>
      <c r="BF15" s="23">
        <v>0</v>
      </c>
      <c r="BG15" s="24">
        <f t="shared" si="13"/>
        <v>0</v>
      </c>
      <c r="BH15" s="23">
        <v>0</v>
      </c>
      <c r="BI15" s="24">
        <f t="shared" si="14"/>
        <v>0</v>
      </c>
      <c r="BJ15" s="4"/>
      <c r="BK15" s="4"/>
      <c r="BL15" s="4"/>
      <c r="BM15" s="4"/>
      <c r="BN15" s="4"/>
      <c r="BO15" s="4"/>
      <c r="BP15" s="4"/>
      <c r="BQ15" s="4"/>
      <c r="BR15" s="4"/>
      <c r="BS15" s="4"/>
    </row>
    <row r="16" spans="1:71" ht="48">
      <c r="A16" s="13"/>
      <c r="B16" s="52" t="s">
        <v>99</v>
      </c>
      <c r="C16" s="496" t="s">
        <v>100</v>
      </c>
      <c r="D16" s="497" t="s">
        <v>101</v>
      </c>
      <c r="E16" s="53">
        <v>395</v>
      </c>
      <c r="F16" s="53">
        <v>312</v>
      </c>
      <c r="G16" s="53">
        <v>256</v>
      </c>
      <c r="H16" s="54">
        <f t="shared" si="0"/>
        <v>0.82051282051282048</v>
      </c>
      <c r="I16" s="53">
        <v>256</v>
      </c>
      <c r="J16" s="54">
        <f t="shared" si="1"/>
        <v>0.82051282051282048</v>
      </c>
      <c r="K16" s="632" t="s">
        <v>102</v>
      </c>
      <c r="L16" s="53" t="s">
        <v>25</v>
      </c>
      <c r="M16" s="644" t="s">
        <v>103</v>
      </c>
      <c r="N16" s="498" t="s">
        <v>104</v>
      </c>
      <c r="O16" s="55"/>
      <c r="P16" s="25"/>
      <c r="Q16" s="3" t="s">
        <v>105</v>
      </c>
      <c r="R16" s="19" t="s">
        <v>76</v>
      </c>
      <c r="S16" s="45" t="s">
        <v>77</v>
      </c>
      <c r="T16" s="45"/>
      <c r="U16" s="3"/>
      <c r="V16" s="3"/>
      <c r="W16" s="51"/>
      <c r="X16" s="3"/>
      <c r="Y16" s="3"/>
      <c r="Z16" s="3"/>
      <c r="AA16" s="3"/>
      <c r="AB16" s="3"/>
      <c r="AC16" s="3"/>
      <c r="AD16" s="3"/>
      <c r="AE16" s="3"/>
      <c r="AF16" s="3"/>
      <c r="AG16" s="46"/>
      <c r="AH16" s="4"/>
      <c r="AI16" s="4"/>
      <c r="AJ16" s="4"/>
      <c r="AK16" s="4"/>
      <c r="AL16" s="4"/>
      <c r="AM16" s="22" t="s">
        <v>45</v>
      </c>
      <c r="AN16" s="23">
        <v>203</v>
      </c>
      <c r="AO16" s="23">
        <v>185</v>
      </c>
      <c r="AP16" s="23">
        <v>185</v>
      </c>
      <c r="AQ16" s="24">
        <f t="shared" si="9"/>
        <v>1</v>
      </c>
      <c r="AR16" s="23">
        <v>185</v>
      </c>
      <c r="AS16" s="24">
        <f t="shared" si="10"/>
        <v>1</v>
      </c>
      <c r="AT16" s="4"/>
      <c r="AU16" s="25" t="s">
        <v>106</v>
      </c>
      <c r="AV16" s="23">
        <v>898</v>
      </c>
      <c r="AW16" s="23">
        <v>780</v>
      </c>
      <c r="AX16" s="23">
        <v>772</v>
      </c>
      <c r="AY16" s="24">
        <f t="shared" si="11"/>
        <v>0.98974358974358978</v>
      </c>
      <c r="AZ16" s="23">
        <v>772</v>
      </c>
      <c r="BA16" s="24">
        <f t="shared" ref="BA16:BA22" si="16">AZ16/AW16</f>
        <v>0.98974358974358978</v>
      </c>
      <c r="BB16" s="4"/>
      <c r="BC16" s="3"/>
      <c r="BD16" s="56"/>
      <c r="BE16" s="56"/>
      <c r="BF16" s="56"/>
      <c r="BG16" s="57"/>
      <c r="BH16" s="56"/>
      <c r="BI16" s="57"/>
      <c r="BJ16" s="4"/>
      <c r="BK16" s="4"/>
      <c r="BL16" s="4"/>
      <c r="BM16" s="4"/>
      <c r="BN16" s="4"/>
      <c r="BO16" s="4"/>
      <c r="BP16" s="4"/>
      <c r="BQ16" s="4"/>
      <c r="BR16" s="4"/>
      <c r="BS16" s="4"/>
    </row>
    <row r="17" spans="1:71" ht="48">
      <c r="A17" s="13"/>
      <c r="B17" s="52" t="s">
        <v>99</v>
      </c>
      <c r="C17" s="496" t="s">
        <v>100</v>
      </c>
      <c r="D17" s="497" t="s">
        <v>107</v>
      </c>
      <c r="E17" s="53">
        <v>399</v>
      </c>
      <c r="F17" s="53">
        <v>318</v>
      </c>
      <c r="G17" s="53">
        <v>312</v>
      </c>
      <c r="H17" s="54">
        <f t="shared" si="0"/>
        <v>0.98113207547169812</v>
      </c>
      <c r="I17" s="53">
        <v>312</v>
      </c>
      <c r="J17" s="54">
        <f t="shared" si="1"/>
        <v>0.98113207547169812</v>
      </c>
      <c r="K17" s="632" t="s">
        <v>102</v>
      </c>
      <c r="L17" s="53" t="s">
        <v>25</v>
      </c>
      <c r="M17" s="644" t="s">
        <v>108</v>
      </c>
      <c r="N17" s="498" t="s">
        <v>109</v>
      </c>
      <c r="O17" s="498"/>
      <c r="P17" s="25"/>
      <c r="Q17" s="3" t="s">
        <v>110</v>
      </c>
      <c r="R17" s="19" t="s">
        <v>76</v>
      </c>
      <c r="S17" s="45" t="s">
        <v>77</v>
      </c>
      <c r="T17" s="45"/>
      <c r="U17" s="3"/>
      <c r="V17" s="3"/>
      <c r="W17" s="51"/>
      <c r="X17" s="3"/>
      <c r="Y17" s="3"/>
      <c r="Z17" s="3"/>
      <c r="AA17" s="3"/>
      <c r="AB17" s="3"/>
      <c r="AC17" s="3"/>
      <c r="AD17" s="3"/>
      <c r="AE17" s="3"/>
      <c r="AF17" s="3"/>
      <c r="AG17" s="46"/>
      <c r="AH17" s="4"/>
      <c r="AI17" s="4"/>
      <c r="AJ17" s="4"/>
      <c r="AK17" s="4"/>
      <c r="AL17" s="4"/>
      <c r="AM17" s="22" t="s">
        <v>67</v>
      </c>
      <c r="AN17" s="23">
        <v>481</v>
      </c>
      <c r="AO17" s="23">
        <v>457</v>
      </c>
      <c r="AP17" s="23">
        <v>457</v>
      </c>
      <c r="AQ17" s="24">
        <f t="shared" si="9"/>
        <v>1</v>
      </c>
      <c r="AR17" s="23">
        <v>457</v>
      </c>
      <c r="AS17" s="24">
        <f t="shared" si="10"/>
        <v>1</v>
      </c>
      <c r="AT17" s="4"/>
      <c r="AU17" s="25" t="s">
        <v>111</v>
      </c>
      <c r="AV17" s="23">
        <v>898</v>
      </c>
      <c r="AW17" s="23">
        <v>772</v>
      </c>
      <c r="AX17" s="23">
        <v>772</v>
      </c>
      <c r="AY17" s="24">
        <f t="shared" si="11"/>
        <v>1</v>
      </c>
      <c r="AZ17" s="23">
        <v>772</v>
      </c>
      <c r="BA17" s="24">
        <f t="shared" si="16"/>
        <v>1</v>
      </c>
      <c r="BB17" s="4"/>
      <c r="BC17" s="3"/>
      <c r="BD17" s="56"/>
      <c r="BE17" s="56"/>
      <c r="BF17" s="56"/>
      <c r="BG17" s="57"/>
      <c r="BH17" s="56"/>
      <c r="BI17" s="57"/>
      <c r="BJ17" s="4"/>
      <c r="BK17" s="4"/>
      <c r="BL17" s="4"/>
      <c r="BM17" s="4"/>
      <c r="BN17" s="4"/>
      <c r="BO17" s="4"/>
      <c r="BP17" s="4"/>
      <c r="BQ17" s="4"/>
      <c r="BR17" s="4"/>
      <c r="BS17" s="4"/>
    </row>
    <row r="18" spans="1:71" ht="48">
      <c r="A18" s="13" t="s">
        <v>112</v>
      </c>
      <c r="B18" s="52" t="s">
        <v>99</v>
      </c>
      <c r="C18" s="496" t="s">
        <v>100</v>
      </c>
      <c r="D18" s="497" t="s">
        <v>113</v>
      </c>
      <c r="E18" s="53">
        <v>522</v>
      </c>
      <c r="F18" s="53">
        <v>133</v>
      </c>
      <c r="G18" s="53">
        <v>0</v>
      </c>
      <c r="H18" s="54">
        <f t="shared" si="0"/>
        <v>0</v>
      </c>
      <c r="I18" s="53">
        <v>0</v>
      </c>
      <c r="J18" s="54">
        <f t="shared" si="1"/>
        <v>0</v>
      </c>
      <c r="K18" s="632" t="s">
        <v>114</v>
      </c>
      <c r="L18" s="53" t="s">
        <v>25</v>
      </c>
      <c r="M18" s="644" t="s">
        <v>115</v>
      </c>
      <c r="N18" s="498" t="s">
        <v>116</v>
      </c>
      <c r="O18" s="55"/>
      <c r="P18" s="25"/>
      <c r="Q18" s="3"/>
      <c r="R18" s="19"/>
      <c r="S18" s="45" t="s">
        <v>77</v>
      </c>
      <c r="T18" s="45"/>
      <c r="U18" s="3"/>
      <c r="V18" s="3"/>
      <c r="W18" s="51"/>
      <c r="X18" s="3"/>
      <c r="Y18" s="3"/>
      <c r="Z18" s="3"/>
      <c r="AA18" s="3"/>
      <c r="AB18" s="3"/>
      <c r="AC18" s="3"/>
      <c r="AD18" s="3"/>
      <c r="AE18" s="3"/>
      <c r="AF18" s="3"/>
      <c r="AG18" s="46"/>
      <c r="AH18" s="4"/>
      <c r="AI18" s="4"/>
      <c r="AJ18" s="4"/>
      <c r="AK18" s="4"/>
      <c r="AL18" s="4"/>
      <c r="AM18" s="22" t="s">
        <v>79</v>
      </c>
      <c r="AN18" s="23">
        <v>400</v>
      </c>
      <c r="AO18" s="23">
        <v>194</v>
      </c>
      <c r="AP18" s="23">
        <v>194</v>
      </c>
      <c r="AQ18" s="24">
        <f t="shared" si="9"/>
        <v>1</v>
      </c>
      <c r="AR18" s="23">
        <v>194</v>
      </c>
      <c r="AS18" s="24">
        <f t="shared" si="10"/>
        <v>1</v>
      </c>
      <c r="AT18" s="4"/>
      <c r="AU18" s="25" t="s">
        <v>80</v>
      </c>
      <c r="AV18" s="23">
        <v>11180</v>
      </c>
      <c r="AW18" s="23">
        <v>1709</v>
      </c>
      <c r="AX18" s="23">
        <v>1709</v>
      </c>
      <c r="AY18" s="24">
        <f t="shared" si="11"/>
        <v>1</v>
      </c>
      <c r="AZ18" s="23">
        <v>1709</v>
      </c>
      <c r="BA18" s="24">
        <f t="shared" si="16"/>
        <v>1</v>
      </c>
      <c r="BB18" s="4"/>
      <c r="BC18" s="3"/>
      <c r="BD18" s="56"/>
      <c r="BE18" s="56"/>
      <c r="BF18" s="56"/>
      <c r="BG18" s="57"/>
      <c r="BH18" s="56"/>
      <c r="BI18" s="57"/>
      <c r="BJ18" s="4"/>
      <c r="BK18" s="4"/>
      <c r="BL18" s="4"/>
      <c r="BM18" s="4"/>
      <c r="BN18" s="4"/>
      <c r="BO18" s="4"/>
      <c r="BP18" s="4"/>
      <c r="BQ18" s="4"/>
      <c r="BR18" s="4"/>
      <c r="BS18" s="4"/>
    </row>
    <row r="19" spans="1:71" ht="48">
      <c r="A19" s="13"/>
      <c r="B19" s="52" t="s">
        <v>99</v>
      </c>
      <c r="C19" s="52" t="s">
        <v>100</v>
      </c>
      <c r="D19" s="497" t="s">
        <v>117</v>
      </c>
      <c r="E19" s="53">
        <v>5264</v>
      </c>
      <c r="F19" s="53">
        <v>5264</v>
      </c>
      <c r="G19" s="53">
        <v>812</v>
      </c>
      <c r="H19" s="54">
        <f t="shared" si="0"/>
        <v>0.15425531914893617</v>
      </c>
      <c r="I19" s="53">
        <v>812</v>
      </c>
      <c r="J19" s="54">
        <f t="shared" si="1"/>
        <v>0.15425531914893617</v>
      </c>
      <c r="K19" s="632" t="s">
        <v>118</v>
      </c>
      <c r="L19" s="53" t="s">
        <v>25</v>
      </c>
      <c r="M19" s="644" t="s">
        <v>119</v>
      </c>
      <c r="N19" s="498" t="s">
        <v>120</v>
      </c>
      <c r="O19" s="55"/>
      <c r="P19" s="25"/>
      <c r="Q19" s="3" t="s">
        <v>121</v>
      </c>
      <c r="R19" s="19" t="s">
        <v>76</v>
      </c>
      <c r="S19" s="45" t="s">
        <v>77</v>
      </c>
      <c r="T19" s="45"/>
      <c r="U19" s="3"/>
      <c r="V19" s="3"/>
      <c r="W19" s="51"/>
      <c r="X19" s="3"/>
      <c r="Y19" s="3"/>
      <c r="Z19" s="3"/>
      <c r="AA19" s="3"/>
      <c r="AB19" s="3"/>
      <c r="AC19" s="3"/>
      <c r="AD19" s="3"/>
      <c r="AE19" s="3"/>
      <c r="AF19" s="3"/>
      <c r="AG19" s="46"/>
      <c r="AH19" s="4"/>
      <c r="AI19" s="4"/>
      <c r="AJ19" s="4"/>
      <c r="AK19" s="4"/>
      <c r="AL19" s="4"/>
      <c r="AM19" s="22" t="s">
        <v>106</v>
      </c>
      <c r="AN19" s="23">
        <v>898</v>
      </c>
      <c r="AO19" s="23">
        <v>780</v>
      </c>
      <c r="AP19" s="23">
        <v>772</v>
      </c>
      <c r="AQ19" s="24">
        <f t="shared" si="9"/>
        <v>0.98974358974358978</v>
      </c>
      <c r="AR19" s="23">
        <v>772</v>
      </c>
      <c r="AS19" s="24">
        <f t="shared" si="10"/>
        <v>0.98974358974358978</v>
      </c>
      <c r="AT19" s="4"/>
      <c r="AU19" s="25" t="s">
        <v>88</v>
      </c>
      <c r="AV19" s="23">
        <v>11180</v>
      </c>
      <c r="AW19" s="23">
        <v>1328</v>
      </c>
      <c r="AX19" s="23">
        <v>1328</v>
      </c>
      <c r="AY19" s="24">
        <f t="shared" si="11"/>
        <v>1</v>
      </c>
      <c r="AZ19" s="23">
        <v>1328</v>
      </c>
      <c r="BA19" s="24">
        <f t="shared" si="16"/>
        <v>1</v>
      </c>
      <c r="BB19" s="4"/>
      <c r="BC19" s="3"/>
      <c r="BD19" s="56"/>
      <c r="BE19" s="56"/>
      <c r="BF19" s="56"/>
      <c r="BG19" s="57"/>
      <c r="BH19" s="56"/>
      <c r="BI19" s="57"/>
      <c r="BJ19" s="4"/>
      <c r="BK19" s="4"/>
      <c r="BL19" s="4"/>
      <c r="BM19" s="4"/>
      <c r="BN19" s="4"/>
      <c r="BO19" s="4"/>
      <c r="BP19" s="4"/>
      <c r="BQ19" s="4"/>
      <c r="BR19" s="4"/>
      <c r="BS19" s="4"/>
    </row>
    <row r="20" spans="1:71" ht="48">
      <c r="A20" s="13"/>
      <c r="B20" s="14" t="s">
        <v>122</v>
      </c>
      <c r="C20" s="14" t="s">
        <v>123</v>
      </c>
      <c r="D20" s="495" t="s">
        <v>124</v>
      </c>
      <c r="E20" s="15">
        <v>203</v>
      </c>
      <c r="F20" s="15">
        <v>185</v>
      </c>
      <c r="G20" s="15">
        <v>185</v>
      </c>
      <c r="H20" s="16">
        <f t="shared" si="0"/>
        <v>1</v>
      </c>
      <c r="I20" s="15">
        <v>185</v>
      </c>
      <c r="J20" s="16">
        <f t="shared" si="1"/>
        <v>1</v>
      </c>
      <c r="K20" s="626" t="s">
        <v>125</v>
      </c>
      <c r="L20" s="15" t="s">
        <v>25</v>
      </c>
      <c r="M20" s="639" t="s">
        <v>126</v>
      </c>
      <c r="N20" s="17" t="s">
        <v>127</v>
      </c>
      <c r="O20" s="31"/>
      <c r="P20" s="25"/>
      <c r="Q20" s="3" t="s">
        <v>128</v>
      </c>
      <c r="R20" s="19" t="s">
        <v>76</v>
      </c>
      <c r="S20" s="45" t="s">
        <v>77</v>
      </c>
      <c r="T20" s="45"/>
      <c r="U20" s="3"/>
      <c r="V20" s="3"/>
      <c r="W20" s="51"/>
      <c r="X20" s="3"/>
      <c r="Y20" s="3"/>
      <c r="Z20" s="3"/>
      <c r="AA20" s="3"/>
      <c r="AB20" s="3"/>
      <c r="AC20" s="3"/>
      <c r="AD20" s="3"/>
      <c r="AE20" s="3"/>
      <c r="AF20" s="3"/>
      <c r="AG20" s="46"/>
      <c r="AH20" s="4"/>
      <c r="AI20" s="4"/>
      <c r="AJ20" s="4"/>
      <c r="AK20" s="4"/>
      <c r="AL20" s="4"/>
      <c r="AM20" s="22" t="s">
        <v>111</v>
      </c>
      <c r="AN20" s="23">
        <v>898</v>
      </c>
      <c r="AO20" s="23">
        <v>780</v>
      </c>
      <c r="AP20" s="23">
        <v>407</v>
      </c>
      <c r="AQ20" s="24">
        <f t="shared" si="9"/>
        <v>0.52179487179487183</v>
      </c>
      <c r="AR20" s="23">
        <v>407</v>
      </c>
      <c r="AS20" s="24">
        <f t="shared" si="10"/>
        <v>0.52179487179487183</v>
      </c>
      <c r="AT20" s="4"/>
      <c r="AU20" s="25" t="s">
        <v>129</v>
      </c>
      <c r="AV20" s="23">
        <v>353</v>
      </c>
      <c r="AW20" s="23">
        <v>329</v>
      </c>
      <c r="AX20" s="23">
        <v>329</v>
      </c>
      <c r="AY20" s="24">
        <f t="shared" si="11"/>
        <v>1</v>
      </c>
      <c r="AZ20" s="23">
        <v>329</v>
      </c>
      <c r="BA20" s="24">
        <f t="shared" si="16"/>
        <v>1</v>
      </c>
      <c r="BB20" s="4"/>
      <c r="BC20" s="3"/>
      <c r="BD20" s="56" t="s">
        <v>129</v>
      </c>
      <c r="BE20" s="56" t="s">
        <v>130</v>
      </c>
      <c r="BF20" s="56"/>
      <c r="BI20" s="57"/>
      <c r="BJ20" s="4"/>
      <c r="BK20" s="4"/>
      <c r="BL20" s="4"/>
      <c r="BM20" s="4"/>
      <c r="BN20" s="4"/>
      <c r="BO20" s="4"/>
      <c r="BP20" s="4"/>
      <c r="BQ20" s="4"/>
      <c r="BR20" s="4"/>
      <c r="BS20" s="4"/>
    </row>
    <row r="21" spans="1:71" ht="48">
      <c r="A21" s="13"/>
      <c r="B21" s="14" t="s">
        <v>122</v>
      </c>
      <c r="C21" s="14" t="s">
        <v>123</v>
      </c>
      <c r="D21" s="495" t="s">
        <v>131</v>
      </c>
      <c r="E21" s="15">
        <v>481</v>
      </c>
      <c r="F21" s="15">
        <v>457</v>
      </c>
      <c r="G21" s="15">
        <v>457</v>
      </c>
      <c r="H21" s="16">
        <f t="shared" si="0"/>
        <v>1</v>
      </c>
      <c r="I21" s="15">
        <v>457</v>
      </c>
      <c r="J21" s="16">
        <f t="shared" si="1"/>
        <v>1</v>
      </c>
      <c r="K21" s="626" t="s">
        <v>132</v>
      </c>
      <c r="L21" s="15" t="s">
        <v>25</v>
      </c>
      <c r="M21" s="639" t="s">
        <v>133</v>
      </c>
      <c r="N21" s="17" t="s">
        <v>134</v>
      </c>
      <c r="O21" s="31"/>
      <c r="P21" s="25"/>
      <c r="Q21" s="3" t="s">
        <v>128</v>
      </c>
      <c r="R21" s="19" t="s">
        <v>76</v>
      </c>
      <c r="S21" s="45" t="s">
        <v>77</v>
      </c>
      <c r="T21" s="45"/>
      <c r="U21" s="3"/>
      <c r="V21" s="3"/>
      <c r="W21" s="51"/>
      <c r="X21" s="3"/>
      <c r="Y21" s="3"/>
      <c r="Z21" s="3"/>
      <c r="AA21" s="3"/>
      <c r="AB21" s="3"/>
      <c r="AC21" s="3"/>
      <c r="AD21" s="3"/>
      <c r="AE21" s="3"/>
      <c r="AF21" s="3"/>
      <c r="AG21" s="3"/>
      <c r="AH21" s="4"/>
      <c r="AI21" s="4"/>
      <c r="AJ21" s="4"/>
      <c r="AK21" s="4"/>
      <c r="AL21" s="4"/>
      <c r="AM21" s="22" t="s">
        <v>80</v>
      </c>
      <c r="AN21" s="23">
        <v>11180</v>
      </c>
      <c r="AO21" s="23">
        <v>1709</v>
      </c>
      <c r="AP21" s="23">
        <v>1709</v>
      </c>
      <c r="AQ21" s="24">
        <f t="shared" si="9"/>
        <v>1</v>
      </c>
      <c r="AR21" s="23">
        <v>1709</v>
      </c>
      <c r="AS21" s="24">
        <f t="shared" si="10"/>
        <v>1</v>
      </c>
      <c r="AT21" s="4"/>
      <c r="AU21" s="25" t="s">
        <v>135</v>
      </c>
      <c r="AV21" s="23">
        <v>712</v>
      </c>
      <c r="AW21" s="23">
        <v>609</v>
      </c>
      <c r="AX21" s="23">
        <v>609</v>
      </c>
      <c r="AY21" s="24">
        <f t="shared" si="11"/>
        <v>1</v>
      </c>
      <c r="AZ21" s="23">
        <v>609</v>
      </c>
      <c r="BA21" s="24">
        <f t="shared" si="16"/>
        <v>1</v>
      </c>
      <c r="BB21" s="4"/>
      <c r="BC21" s="3"/>
      <c r="BD21" s="56" t="s">
        <v>136</v>
      </c>
      <c r="BE21" s="56" t="s">
        <v>137</v>
      </c>
      <c r="BF21" s="56"/>
      <c r="BG21" s="56"/>
      <c r="BI21" s="57"/>
      <c r="BJ21" s="4"/>
      <c r="BK21" s="4"/>
      <c r="BL21" s="4"/>
      <c r="BM21" s="4"/>
      <c r="BN21" s="4"/>
      <c r="BO21" s="4"/>
      <c r="BP21" s="4"/>
      <c r="BQ21" s="4"/>
      <c r="BR21" s="4"/>
      <c r="BS21" s="4"/>
    </row>
    <row r="22" spans="1:71" ht="48">
      <c r="A22" s="13"/>
      <c r="B22" s="14" t="s">
        <v>122</v>
      </c>
      <c r="C22" s="14" t="s">
        <v>123</v>
      </c>
      <c r="D22" s="495" t="s">
        <v>138</v>
      </c>
      <c r="E22" s="15">
        <v>400</v>
      </c>
      <c r="F22" s="15">
        <v>194</v>
      </c>
      <c r="G22" s="15">
        <v>194</v>
      </c>
      <c r="H22" s="16">
        <f t="shared" si="0"/>
        <v>1</v>
      </c>
      <c r="I22" s="15">
        <v>194</v>
      </c>
      <c r="J22" s="16">
        <f t="shared" si="1"/>
        <v>1</v>
      </c>
      <c r="K22" s="626" t="s">
        <v>139</v>
      </c>
      <c r="L22" s="15" t="s">
        <v>25</v>
      </c>
      <c r="M22" s="639" t="s">
        <v>140</v>
      </c>
      <c r="N22" s="17" t="s">
        <v>141</v>
      </c>
      <c r="O22" s="58"/>
      <c r="P22" s="25"/>
      <c r="Q22" s="3" t="s">
        <v>128</v>
      </c>
      <c r="R22" s="19" t="s">
        <v>76</v>
      </c>
      <c r="S22" s="45" t="s">
        <v>77</v>
      </c>
      <c r="T22" s="45"/>
      <c r="U22" s="3"/>
      <c r="V22" s="3"/>
      <c r="W22" s="51"/>
      <c r="X22" s="3"/>
      <c r="Y22" s="3"/>
      <c r="Z22" s="3"/>
      <c r="AA22" s="3"/>
      <c r="AB22" s="3"/>
      <c r="AC22" s="3"/>
      <c r="AD22" s="3"/>
      <c r="AE22" s="3"/>
      <c r="AF22" s="3"/>
      <c r="AG22" s="3"/>
      <c r="AH22" s="4"/>
      <c r="AI22" s="4"/>
      <c r="AJ22" s="4"/>
      <c r="AK22" s="4"/>
      <c r="AL22" s="4"/>
      <c r="AM22" s="22" t="s">
        <v>88</v>
      </c>
      <c r="AN22" s="23">
        <v>11180</v>
      </c>
      <c r="AO22" s="23">
        <v>1328</v>
      </c>
      <c r="AP22" s="23">
        <v>1328</v>
      </c>
      <c r="AQ22" s="24">
        <f t="shared" si="9"/>
        <v>1</v>
      </c>
      <c r="AR22" s="23">
        <v>1328</v>
      </c>
      <c r="AS22" s="24">
        <f t="shared" si="10"/>
        <v>1</v>
      </c>
      <c r="AT22" s="4"/>
      <c r="AU22" s="25" t="s">
        <v>142</v>
      </c>
      <c r="AV22" s="23">
        <v>712</v>
      </c>
      <c r="AW22" s="23">
        <v>306</v>
      </c>
      <c r="AX22" s="23">
        <v>306</v>
      </c>
      <c r="AY22" s="24">
        <f t="shared" si="11"/>
        <v>1</v>
      </c>
      <c r="AZ22" s="23">
        <v>306</v>
      </c>
      <c r="BA22" s="24">
        <f t="shared" si="16"/>
        <v>1</v>
      </c>
      <c r="BB22" s="4"/>
      <c r="BC22" s="3"/>
      <c r="BD22" s="56" t="s">
        <v>143</v>
      </c>
      <c r="BE22" s="56" t="s">
        <v>144</v>
      </c>
      <c r="BF22" s="56"/>
      <c r="BG22" s="56"/>
      <c r="BI22" s="57"/>
      <c r="BJ22" s="4"/>
      <c r="BK22" s="4"/>
      <c r="BL22" s="4"/>
      <c r="BM22" s="4"/>
      <c r="BN22" s="4"/>
      <c r="BO22" s="4"/>
      <c r="BP22" s="4"/>
      <c r="BQ22" s="4"/>
      <c r="BR22" s="4"/>
      <c r="BS22" s="4"/>
    </row>
    <row r="23" spans="1:71" ht="84">
      <c r="A23" s="13"/>
      <c r="B23" s="14" t="s">
        <v>145</v>
      </c>
      <c r="C23" s="483" t="s">
        <v>146</v>
      </c>
      <c r="D23" s="495" t="s">
        <v>147</v>
      </c>
      <c r="E23" s="15">
        <v>732</v>
      </c>
      <c r="F23" s="15">
        <v>80</v>
      </c>
      <c r="G23" s="15">
        <v>80</v>
      </c>
      <c r="H23" s="16">
        <f t="shared" si="0"/>
        <v>1</v>
      </c>
      <c r="I23" s="15">
        <v>80</v>
      </c>
      <c r="J23" s="16">
        <f t="shared" si="1"/>
        <v>1</v>
      </c>
      <c r="K23" s="626" t="s">
        <v>148</v>
      </c>
      <c r="L23" s="15" t="s">
        <v>149</v>
      </c>
      <c r="M23" s="639" t="s">
        <v>150</v>
      </c>
      <c r="N23" s="17" t="s">
        <v>151</v>
      </c>
      <c r="O23" s="17" t="s">
        <v>152</v>
      </c>
      <c r="P23" s="25"/>
      <c r="Q23" s="3" t="s">
        <v>153</v>
      </c>
      <c r="R23" s="19" t="s">
        <v>154</v>
      </c>
      <c r="S23" s="45" t="s">
        <v>77</v>
      </c>
      <c r="T23" s="45"/>
      <c r="U23" s="3"/>
      <c r="V23" s="3"/>
      <c r="W23" s="51"/>
      <c r="X23" s="3"/>
      <c r="Y23" s="3"/>
      <c r="Z23" s="3"/>
      <c r="AA23" s="3"/>
      <c r="AB23" s="3"/>
      <c r="AC23" s="3"/>
      <c r="AD23" s="3"/>
      <c r="AE23" s="3"/>
      <c r="AF23" s="3"/>
      <c r="AG23" s="3"/>
      <c r="AH23" s="4"/>
      <c r="AI23" s="4"/>
      <c r="AJ23" s="4"/>
      <c r="AK23" s="4"/>
      <c r="AL23" s="4"/>
      <c r="AM23" s="22" t="s">
        <v>129</v>
      </c>
      <c r="AN23" s="23">
        <v>353</v>
      </c>
      <c r="AO23" s="23">
        <v>329</v>
      </c>
      <c r="AP23" s="23">
        <v>329</v>
      </c>
      <c r="AQ23" s="24">
        <f t="shared" si="9"/>
        <v>1</v>
      </c>
      <c r="AR23" s="23">
        <v>329</v>
      </c>
      <c r="AS23" s="24">
        <f t="shared" si="10"/>
        <v>1</v>
      </c>
      <c r="AT23" s="4"/>
      <c r="AU23" s="100" t="s">
        <v>155</v>
      </c>
      <c r="AV23" s="23">
        <v>39</v>
      </c>
      <c r="AW23" s="23">
        <v>37</v>
      </c>
      <c r="AX23" s="23">
        <v>37</v>
      </c>
      <c r="AY23" s="24">
        <f t="shared" si="11"/>
        <v>1</v>
      </c>
      <c r="AZ23" s="23">
        <v>36</v>
      </c>
      <c r="BA23" s="24">
        <f>AZ23/AX23</f>
        <v>0.97297297297297303</v>
      </c>
      <c r="BB23" s="4"/>
      <c r="BC23" s="3"/>
      <c r="BD23" s="56" t="s">
        <v>156</v>
      </c>
      <c r="BE23" s="56" t="s">
        <v>155</v>
      </c>
      <c r="BF23" s="56"/>
      <c r="BG23" s="56"/>
      <c r="BI23" s="57"/>
      <c r="BJ23" s="4"/>
      <c r="BK23" s="4"/>
      <c r="BL23" s="4"/>
      <c r="BM23" s="4"/>
      <c r="BN23" s="4"/>
      <c r="BO23" s="4"/>
      <c r="BP23" s="4"/>
      <c r="BQ23" s="4"/>
      <c r="BR23" s="4"/>
      <c r="BS23" s="4"/>
    </row>
    <row r="24" spans="1:71" ht="84">
      <c r="A24" s="3"/>
      <c r="B24" s="14" t="s">
        <v>145</v>
      </c>
      <c r="C24" s="483" t="s">
        <v>146</v>
      </c>
      <c r="D24" s="495" t="s">
        <v>157</v>
      </c>
      <c r="E24" s="15">
        <v>732</v>
      </c>
      <c r="F24" s="15">
        <v>92</v>
      </c>
      <c r="G24" s="15">
        <v>92</v>
      </c>
      <c r="H24" s="16">
        <f t="shared" si="0"/>
        <v>1</v>
      </c>
      <c r="I24" s="15">
        <v>74</v>
      </c>
      <c r="J24" s="16">
        <f t="shared" si="1"/>
        <v>0.80434782608695654</v>
      </c>
      <c r="K24" s="626" t="s">
        <v>148</v>
      </c>
      <c r="L24" s="15" t="s">
        <v>149</v>
      </c>
      <c r="M24" s="499" t="s">
        <v>150</v>
      </c>
      <c r="N24" s="17" t="s">
        <v>158</v>
      </c>
      <c r="O24" s="17" t="s">
        <v>152</v>
      </c>
      <c r="P24" s="25"/>
      <c r="Q24" s="3" t="s">
        <v>159</v>
      </c>
      <c r="R24" s="19" t="s">
        <v>154</v>
      </c>
      <c r="S24" s="45" t="s">
        <v>77</v>
      </c>
      <c r="T24" s="45"/>
      <c r="U24" s="3"/>
      <c r="V24" s="3"/>
      <c r="W24" s="51"/>
      <c r="X24" s="3"/>
      <c r="Y24" s="3"/>
      <c r="Z24" s="3"/>
      <c r="AA24" s="3"/>
      <c r="AB24" s="3"/>
      <c r="AC24" s="3"/>
      <c r="AD24" s="3"/>
      <c r="AE24" s="3"/>
      <c r="AF24" s="3"/>
      <c r="AG24" s="3"/>
      <c r="AH24" s="4"/>
      <c r="AI24" s="4"/>
      <c r="AJ24" s="4"/>
      <c r="AK24" s="4"/>
      <c r="AL24" s="4"/>
      <c r="AM24" s="22" t="s">
        <v>135</v>
      </c>
      <c r="AN24" s="23">
        <v>712</v>
      </c>
      <c r="AO24" s="23">
        <v>609</v>
      </c>
      <c r="AP24" s="23">
        <v>609</v>
      </c>
      <c r="AQ24" s="24">
        <f t="shared" si="9"/>
        <v>1</v>
      </c>
      <c r="AR24" s="23">
        <v>609</v>
      </c>
      <c r="AS24" s="24">
        <f t="shared" si="10"/>
        <v>1</v>
      </c>
      <c r="AT24" s="4"/>
      <c r="AU24" s="101" t="s">
        <v>160</v>
      </c>
      <c r="AV24" s="500">
        <v>15</v>
      </c>
      <c r="AW24" s="500">
        <v>15</v>
      </c>
      <c r="AX24" s="500">
        <v>15</v>
      </c>
      <c r="AY24" s="57">
        <f t="shared" si="11"/>
        <v>1</v>
      </c>
      <c r="AZ24" s="500">
        <v>15</v>
      </c>
      <c r="BA24" s="24">
        <f t="shared" ref="BA24:BA25" si="17">AZ24/AW24</f>
        <v>1</v>
      </c>
      <c r="BB24" s="4"/>
      <c r="BC24" s="3"/>
      <c r="BD24" s="56" t="s">
        <v>78</v>
      </c>
      <c r="BE24" s="56" t="s">
        <v>161</v>
      </c>
      <c r="BF24" s="56"/>
      <c r="BG24" s="56"/>
      <c r="BI24" s="57"/>
      <c r="BJ24" s="4"/>
      <c r="BK24" s="4"/>
      <c r="BL24" s="4"/>
      <c r="BM24" s="4"/>
      <c r="BN24" s="4"/>
      <c r="BO24" s="4"/>
      <c r="BP24" s="4"/>
      <c r="BQ24" s="4"/>
      <c r="BR24" s="4"/>
      <c r="BS24" s="4"/>
    </row>
    <row r="25" spans="1:71" ht="48">
      <c r="A25" s="3"/>
      <c r="B25" s="14" t="s">
        <v>162</v>
      </c>
      <c r="C25" s="483" t="s">
        <v>163</v>
      </c>
      <c r="D25" s="495" t="s">
        <v>164</v>
      </c>
      <c r="E25" s="15">
        <v>898</v>
      </c>
      <c r="F25" s="15">
        <v>780</v>
      </c>
      <c r="G25" s="15">
        <v>772</v>
      </c>
      <c r="H25" s="16">
        <f t="shared" si="0"/>
        <v>0.98974358974358978</v>
      </c>
      <c r="I25" s="15">
        <v>772</v>
      </c>
      <c r="J25" s="16">
        <f t="shared" si="1"/>
        <v>0.98974358974358978</v>
      </c>
      <c r="K25" s="626" t="s">
        <v>165</v>
      </c>
      <c r="L25" s="15" t="s">
        <v>149</v>
      </c>
      <c r="M25" s="639" t="s">
        <v>166</v>
      </c>
      <c r="N25" s="17" t="s">
        <v>167</v>
      </c>
      <c r="O25" s="31"/>
      <c r="P25" s="25"/>
      <c r="Q25" s="3" t="s">
        <v>159</v>
      </c>
      <c r="R25" s="19" t="s">
        <v>154</v>
      </c>
      <c r="S25" s="20" t="s">
        <v>77</v>
      </c>
      <c r="T25" s="20"/>
      <c r="U25" s="3"/>
      <c r="V25" s="3"/>
      <c r="W25" s="51"/>
      <c r="X25" s="3"/>
      <c r="Y25" s="3"/>
      <c r="Z25" s="3"/>
      <c r="AA25" s="3"/>
      <c r="AB25" s="3"/>
      <c r="AC25" s="3"/>
      <c r="AD25" s="3"/>
      <c r="AE25" s="3"/>
      <c r="AF25" s="3"/>
      <c r="AG25" s="3"/>
      <c r="AH25" s="4"/>
      <c r="AI25" s="4"/>
      <c r="AJ25" s="4"/>
      <c r="AK25" s="4"/>
      <c r="AL25" s="4"/>
      <c r="AM25" s="22" t="s">
        <v>142</v>
      </c>
      <c r="AN25" s="23">
        <v>712</v>
      </c>
      <c r="AO25" s="23">
        <v>306</v>
      </c>
      <c r="AP25" s="23">
        <v>306</v>
      </c>
      <c r="AQ25" s="24">
        <f t="shared" si="9"/>
        <v>1</v>
      </c>
      <c r="AR25" s="23">
        <v>306</v>
      </c>
      <c r="AS25" s="24">
        <f t="shared" si="10"/>
        <v>1</v>
      </c>
      <c r="AT25" s="4"/>
      <c r="AU25" s="101" t="s">
        <v>168</v>
      </c>
      <c r="AV25" s="500">
        <v>16</v>
      </c>
      <c r="AW25" s="500">
        <v>16</v>
      </c>
      <c r="AX25" s="500">
        <v>16</v>
      </c>
      <c r="AY25" s="24">
        <f t="shared" si="11"/>
        <v>1</v>
      </c>
      <c r="AZ25" s="500">
        <v>16</v>
      </c>
      <c r="BA25" s="24">
        <f t="shared" si="17"/>
        <v>1</v>
      </c>
      <c r="BB25" s="4"/>
      <c r="BC25" s="3"/>
      <c r="BD25" s="56" t="s">
        <v>66</v>
      </c>
      <c r="BE25" s="56" t="s">
        <v>169</v>
      </c>
      <c r="BF25" s="56"/>
      <c r="BG25" s="56"/>
      <c r="BI25" s="57"/>
      <c r="BJ25" s="4"/>
      <c r="BK25" s="4"/>
      <c r="BL25" s="4"/>
      <c r="BM25" s="4"/>
      <c r="BN25" s="4"/>
      <c r="BO25" s="4"/>
      <c r="BP25" s="4"/>
      <c r="BQ25" s="4"/>
      <c r="BR25" s="4"/>
      <c r="BS25" s="4"/>
    </row>
    <row r="26" spans="1:71" ht="107.25">
      <c r="A26" s="3"/>
      <c r="B26" s="14" t="s">
        <v>162</v>
      </c>
      <c r="C26" s="483" t="s">
        <v>163</v>
      </c>
      <c r="D26" s="495" t="s">
        <v>170</v>
      </c>
      <c r="E26" s="15">
        <v>898</v>
      </c>
      <c r="F26" s="15">
        <v>780</v>
      </c>
      <c r="G26" s="15">
        <v>772</v>
      </c>
      <c r="H26" s="16">
        <f t="shared" si="0"/>
        <v>0.98974358974358978</v>
      </c>
      <c r="I26" s="15">
        <v>772</v>
      </c>
      <c r="J26" s="16">
        <f t="shared" si="1"/>
        <v>0.98974358974358978</v>
      </c>
      <c r="K26" s="626" t="s">
        <v>165</v>
      </c>
      <c r="L26" s="15" t="s">
        <v>149</v>
      </c>
      <c r="M26" s="499" t="s">
        <v>171</v>
      </c>
      <c r="N26" s="17" t="s">
        <v>172</v>
      </c>
      <c r="O26" s="31"/>
      <c r="P26" s="25"/>
      <c r="Q26" s="3" t="s">
        <v>159</v>
      </c>
      <c r="R26" s="19" t="s">
        <v>154</v>
      </c>
      <c r="S26" s="20" t="s">
        <v>77</v>
      </c>
      <c r="T26" s="20"/>
      <c r="U26" s="3"/>
      <c r="V26" s="59"/>
      <c r="W26" s="60" t="s">
        <v>173</v>
      </c>
      <c r="X26" s="3"/>
      <c r="Y26" s="3"/>
      <c r="Z26" s="3"/>
      <c r="AA26" s="3"/>
      <c r="AB26" s="3"/>
      <c r="AC26" s="3"/>
      <c r="AD26" s="3"/>
      <c r="AE26" s="3"/>
      <c r="AF26" s="3"/>
      <c r="AG26" s="3"/>
      <c r="AH26" s="4"/>
      <c r="AI26" s="4"/>
      <c r="AJ26" s="4"/>
      <c r="AK26" s="4"/>
      <c r="AL26" s="4"/>
      <c r="AM26" s="22" t="s">
        <v>174</v>
      </c>
      <c r="AN26" s="23">
        <v>75</v>
      </c>
      <c r="AO26" s="23">
        <v>60</v>
      </c>
      <c r="AP26" s="23">
        <v>40</v>
      </c>
      <c r="AQ26" s="24">
        <f t="shared" si="9"/>
        <v>0.66666666666666663</v>
      </c>
      <c r="AR26" s="23">
        <v>40</v>
      </c>
      <c r="AS26" s="24">
        <f t="shared" si="10"/>
        <v>0.66666666666666663</v>
      </c>
      <c r="AT26" s="4"/>
      <c r="AU26" s="101" t="s">
        <v>175</v>
      </c>
      <c r="AV26" s="500">
        <v>37</v>
      </c>
      <c r="AW26" s="500">
        <v>37</v>
      </c>
      <c r="AX26" s="500">
        <v>37</v>
      </c>
      <c r="AY26" s="24">
        <f t="shared" si="11"/>
        <v>1</v>
      </c>
      <c r="AZ26" s="500">
        <v>37</v>
      </c>
      <c r="BA26" s="24">
        <f t="shared" ref="BA26:BA27" si="18">AZ26/AX26</f>
        <v>1</v>
      </c>
      <c r="BB26" s="4"/>
      <c r="BC26" s="3"/>
      <c r="BD26" s="56" t="s">
        <v>37</v>
      </c>
      <c r="BE26" s="56" t="s">
        <v>176</v>
      </c>
      <c r="BF26" s="56"/>
      <c r="BG26" s="56"/>
      <c r="BI26" s="57"/>
      <c r="BJ26" s="4"/>
      <c r="BK26" s="4"/>
      <c r="BL26" s="4"/>
      <c r="BM26" s="4"/>
      <c r="BN26" s="4"/>
      <c r="BO26" s="4"/>
      <c r="BP26" s="4"/>
      <c r="BQ26" s="4"/>
      <c r="BR26" s="4"/>
      <c r="BS26" s="4"/>
    </row>
    <row r="27" spans="1:71" ht="48">
      <c r="A27" s="3"/>
      <c r="B27" s="14" t="s">
        <v>162</v>
      </c>
      <c r="C27" s="14" t="s">
        <v>177</v>
      </c>
      <c r="D27" s="495" t="s">
        <v>80</v>
      </c>
      <c r="E27" s="15">
        <v>11180</v>
      </c>
      <c r="F27" s="15">
        <v>5590</v>
      </c>
      <c r="G27" s="15">
        <v>5590</v>
      </c>
      <c r="H27" s="16">
        <f t="shared" si="0"/>
        <v>1</v>
      </c>
      <c r="I27" s="15">
        <v>5590</v>
      </c>
      <c r="J27" s="16">
        <f t="shared" si="1"/>
        <v>1</v>
      </c>
      <c r="K27" s="626" t="s">
        <v>178</v>
      </c>
      <c r="L27" s="15" t="s">
        <v>149</v>
      </c>
      <c r="M27" s="639" t="s">
        <v>179</v>
      </c>
      <c r="N27" s="17" t="s">
        <v>180</v>
      </c>
      <c r="O27" s="31"/>
      <c r="P27" s="25"/>
      <c r="Q27" s="3" t="s">
        <v>181</v>
      </c>
      <c r="R27" s="19" t="s">
        <v>76</v>
      </c>
      <c r="S27" s="20" t="s">
        <v>182</v>
      </c>
      <c r="T27" s="20"/>
      <c r="U27" s="3"/>
      <c r="V27" s="61"/>
      <c r="W27" s="60" t="s">
        <v>183</v>
      </c>
      <c r="X27" s="3"/>
      <c r="Y27" s="3"/>
      <c r="Z27" s="3"/>
      <c r="AA27" s="3"/>
      <c r="AB27" s="3"/>
      <c r="AC27" s="3"/>
      <c r="AD27" s="3"/>
      <c r="AE27" s="3"/>
      <c r="AF27" s="3"/>
      <c r="AG27" s="3"/>
      <c r="AH27" s="4"/>
      <c r="AI27" s="4"/>
      <c r="AJ27" s="4"/>
      <c r="AK27" s="4"/>
      <c r="AL27" s="4"/>
      <c r="AM27" s="22" t="s">
        <v>184</v>
      </c>
      <c r="AN27" s="23">
        <v>75</v>
      </c>
      <c r="AO27" s="23">
        <v>60</v>
      </c>
      <c r="AP27" s="23">
        <v>40</v>
      </c>
      <c r="AQ27" s="24">
        <f t="shared" si="9"/>
        <v>0.66666666666666663</v>
      </c>
      <c r="AR27" s="23">
        <v>40</v>
      </c>
      <c r="AS27" s="24">
        <f t="shared" si="10"/>
        <v>0.66666666666666663</v>
      </c>
      <c r="AT27" s="4"/>
      <c r="AU27" s="101" t="s">
        <v>185</v>
      </c>
      <c r="AV27" s="500">
        <v>21</v>
      </c>
      <c r="AW27" s="500">
        <v>21</v>
      </c>
      <c r="AX27" s="500">
        <v>21</v>
      </c>
      <c r="AY27" s="24">
        <f t="shared" si="11"/>
        <v>1</v>
      </c>
      <c r="AZ27" s="500">
        <v>21</v>
      </c>
      <c r="BA27" s="24">
        <f t="shared" si="18"/>
        <v>1</v>
      </c>
      <c r="BB27" s="4"/>
      <c r="BC27" s="3"/>
      <c r="BD27" s="56" t="s">
        <v>186</v>
      </c>
      <c r="BE27" s="56" t="s">
        <v>31</v>
      </c>
      <c r="BF27" s="56"/>
      <c r="BG27" s="56"/>
      <c r="BI27" s="57"/>
      <c r="BJ27" s="4"/>
      <c r="BK27" s="4"/>
      <c r="BL27" s="4"/>
      <c r="BM27" s="4"/>
      <c r="BN27" s="4"/>
      <c r="BO27" s="4"/>
      <c r="BP27" s="4"/>
      <c r="BQ27" s="4"/>
      <c r="BR27" s="4"/>
      <c r="BS27" s="4"/>
    </row>
    <row r="28" spans="1:71" ht="48">
      <c r="A28" s="3"/>
      <c r="B28" s="14" t="s">
        <v>162</v>
      </c>
      <c r="C28" s="14" t="s">
        <v>177</v>
      </c>
      <c r="D28" s="62" t="s">
        <v>88</v>
      </c>
      <c r="E28" s="15">
        <v>11180</v>
      </c>
      <c r="F28" s="15">
        <v>5590</v>
      </c>
      <c r="G28" s="15">
        <v>5590</v>
      </c>
      <c r="H28" s="16">
        <f t="shared" si="0"/>
        <v>1</v>
      </c>
      <c r="I28" s="15">
        <v>5590</v>
      </c>
      <c r="J28" s="16">
        <f t="shared" si="1"/>
        <v>1</v>
      </c>
      <c r="K28" s="626" t="s">
        <v>178</v>
      </c>
      <c r="L28" s="15" t="s">
        <v>149</v>
      </c>
      <c r="M28" s="639" t="s">
        <v>179</v>
      </c>
      <c r="N28" s="17" t="s">
        <v>187</v>
      </c>
      <c r="O28" s="31"/>
      <c r="P28" s="25"/>
      <c r="Q28" s="3" t="s">
        <v>181</v>
      </c>
      <c r="R28" s="19" t="s">
        <v>76</v>
      </c>
      <c r="S28" s="20" t="s">
        <v>182</v>
      </c>
      <c r="T28" s="20"/>
      <c r="U28" s="3"/>
      <c r="V28" s="63"/>
      <c r="W28" s="51" t="s">
        <v>188</v>
      </c>
      <c r="X28" s="3"/>
      <c r="Y28" s="3"/>
      <c r="Z28" s="3"/>
      <c r="AA28" s="3"/>
      <c r="AB28" s="3"/>
      <c r="AC28" s="3"/>
      <c r="AD28" s="3"/>
      <c r="AE28" s="3"/>
      <c r="AF28" s="3"/>
      <c r="AG28" s="3"/>
      <c r="AH28" s="4"/>
      <c r="AI28" s="4"/>
      <c r="AJ28" s="4"/>
      <c r="AK28" s="4"/>
      <c r="AL28" s="4"/>
      <c r="AM28" s="22" t="s">
        <v>189</v>
      </c>
      <c r="AN28" s="23">
        <v>134</v>
      </c>
      <c r="AO28" s="23">
        <v>97</v>
      </c>
      <c r="AP28" s="23">
        <v>97</v>
      </c>
      <c r="AQ28" s="24">
        <f t="shared" si="9"/>
        <v>1</v>
      </c>
      <c r="AR28" s="23">
        <v>97</v>
      </c>
      <c r="AS28" s="24">
        <f t="shared" si="10"/>
        <v>1</v>
      </c>
      <c r="AT28" s="4"/>
      <c r="AU28" s="22" t="s">
        <v>161</v>
      </c>
      <c r="AV28" s="23">
        <v>60</v>
      </c>
      <c r="AW28" s="23">
        <v>47</v>
      </c>
      <c r="AX28" s="23">
        <v>47</v>
      </c>
      <c r="AY28" s="24">
        <f t="shared" si="11"/>
        <v>1</v>
      </c>
      <c r="AZ28" s="23">
        <v>47</v>
      </c>
      <c r="BA28" s="24">
        <f t="shared" ref="BA28:BA33" si="19">AZ28/AW28</f>
        <v>1</v>
      </c>
      <c r="BB28" s="4"/>
      <c r="BC28" s="3"/>
      <c r="BD28" s="56" t="s">
        <v>38</v>
      </c>
      <c r="BE28" s="56" t="s">
        <v>190</v>
      </c>
      <c r="BF28" s="56"/>
      <c r="BG28" s="56"/>
      <c r="BH28" s="56"/>
      <c r="BI28" s="57"/>
      <c r="BJ28" s="4"/>
      <c r="BK28" s="4"/>
      <c r="BL28" s="4"/>
      <c r="BM28" s="4"/>
      <c r="BN28" s="4"/>
      <c r="BO28" s="4"/>
      <c r="BP28" s="4"/>
      <c r="BQ28" s="4"/>
      <c r="BR28" s="4"/>
      <c r="BS28" s="4"/>
    </row>
    <row r="29" spans="1:71" ht="48">
      <c r="A29" s="3"/>
      <c r="B29" s="14" t="s">
        <v>191</v>
      </c>
      <c r="C29" s="483" t="s">
        <v>192</v>
      </c>
      <c r="D29" s="495" t="s">
        <v>193</v>
      </c>
      <c r="E29" s="15">
        <v>353</v>
      </c>
      <c r="F29" s="15">
        <v>329</v>
      </c>
      <c r="G29" s="15">
        <v>329</v>
      </c>
      <c r="H29" s="16">
        <f t="shared" si="0"/>
        <v>1</v>
      </c>
      <c r="I29" s="15">
        <v>329</v>
      </c>
      <c r="J29" s="16">
        <f t="shared" si="1"/>
        <v>1</v>
      </c>
      <c r="K29" s="626" t="s">
        <v>178</v>
      </c>
      <c r="L29" s="15" t="s">
        <v>25</v>
      </c>
      <c r="M29" s="639" t="s">
        <v>194</v>
      </c>
      <c r="N29" s="17" t="s">
        <v>195</v>
      </c>
      <c r="O29" s="31"/>
      <c r="P29" s="18" t="s">
        <v>196</v>
      </c>
      <c r="Q29" s="3" t="s">
        <v>197</v>
      </c>
      <c r="R29" s="19" t="s">
        <v>198</v>
      </c>
      <c r="S29" s="20" t="s">
        <v>29</v>
      </c>
      <c r="T29" s="20" t="s">
        <v>199</v>
      </c>
      <c r="U29" s="3"/>
      <c r="V29" s="64"/>
      <c r="W29" s="60" t="s">
        <v>200</v>
      </c>
      <c r="X29" s="3"/>
      <c r="Y29" s="3"/>
      <c r="Z29" s="3"/>
      <c r="AA29" s="3"/>
      <c r="AB29" s="3"/>
      <c r="AC29" s="3"/>
      <c r="AD29" s="3"/>
      <c r="AE29" s="3"/>
      <c r="AF29" s="3"/>
      <c r="AG29" s="3"/>
      <c r="AH29" s="4"/>
      <c r="AI29" s="4"/>
      <c r="AJ29" s="4"/>
      <c r="AK29" s="4"/>
      <c r="AL29" s="4"/>
      <c r="AM29" s="22" t="s">
        <v>201</v>
      </c>
      <c r="AN29" s="23">
        <v>136</v>
      </c>
      <c r="AO29" s="23">
        <v>136</v>
      </c>
      <c r="AP29" s="23">
        <v>136</v>
      </c>
      <c r="AQ29" s="24">
        <f t="shared" si="9"/>
        <v>1</v>
      </c>
      <c r="AR29" s="23">
        <v>136</v>
      </c>
      <c r="AS29" s="24">
        <f t="shared" si="10"/>
        <v>1</v>
      </c>
      <c r="AT29" s="4"/>
      <c r="AU29" s="22" t="s">
        <v>202</v>
      </c>
      <c r="AV29" s="23">
        <v>49</v>
      </c>
      <c r="AW29" s="23">
        <v>47</v>
      </c>
      <c r="AX29" s="23">
        <v>47</v>
      </c>
      <c r="AY29" s="24">
        <f t="shared" si="11"/>
        <v>1</v>
      </c>
      <c r="AZ29" s="23">
        <v>47</v>
      </c>
      <c r="BA29" s="24">
        <f t="shared" si="19"/>
        <v>1</v>
      </c>
      <c r="BB29" s="4"/>
      <c r="BC29" s="3"/>
      <c r="BD29" s="56" t="s">
        <v>203</v>
      </c>
      <c r="BE29" s="56" t="s">
        <v>204</v>
      </c>
      <c r="BF29" s="56"/>
      <c r="BG29" s="56"/>
      <c r="BH29" s="56"/>
      <c r="BI29" s="57"/>
      <c r="BJ29" s="4"/>
      <c r="BK29" s="4"/>
      <c r="BL29" s="4"/>
      <c r="BM29" s="4"/>
      <c r="BN29" s="4"/>
      <c r="BO29" s="4"/>
      <c r="BP29" s="4"/>
      <c r="BQ29" s="4"/>
      <c r="BR29" s="4"/>
      <c r="BS29" s="4"/>
    </row>
    <row r="30" spans="1:71" ht="48">
      <c r="A30" s="3"/>
      <c r="B30" s="14" t="s">
        <v>191</v>
      </c>
      <c r="C30" s="483" t="s">
        <v>192</v>
      </c>
      <c r="D30" s="495" t="s">
        <v>205</v>
      </c>
      <c r="E30" s="15">
        <v>712</v>
      </c>
      <c r="F30" s="15">
        <v>609</v>
      </c>
      <c r="G30" s="15">
        <v>609</v>
      </c>
      <c r="H30" s="16">
        <f t="shared" si="0"/>
        <v>1</v>
      </c>
      <c r="I30" s="15">
        <v>609</v>
      </c>
      <c r="J30" s="16">
        <f t="shared" si="1"/>
        <v>1</v>
      </c>
      <c r="K30" s="626" t="s">
        <v>178</v>
      </c>
      <c r="L30" s="15" t="s">
        <v>149</v>
      </c>
      <c r="M30" s="640" t="s">
        <v>206</v>
      </c>
      <c r="N30" s="17" t="s">
        <v>207</v>
      </c>
      <c r="O30" s="31"/>
      <c r="P30" s="18" t="s">
        <v>208</v>
      </c>
      <c r="Q30" s="3" t="s">
        <v>209</v>
      </c>
      <c r="R30" s="19" t="s">
        <v>210</v>
      </c>
      <c r="S30" s="20" t="s">
        <v>29</v>
      </c>
      <c r="T30" s="20"/>
      <c r="U30" s="3"/>
      <c r="V30" s="3"/>
      <c r="W30" s="51"/>
      <c r="X30" s="3"/>
      <c r="Y30" s="3"/>
      <c r="Z30" s="3"/>
      <c r="AA30" s="3"/>
      <c r="AB30" s="3"/>
      <c r="AC30" s="3"/>
      <c r="AD30" s="3"/>
      <c r="AE30" s="3"/>
      <c r="AF30" s="3"/>
      <c r="AG30" s="3"/>
      <c r="AH30" s="4"/>
      <c r="AI30" s="4"/>
      <c r="AJ30" s="4"/>
      <c r="AK30" s="4"/>
      <c r="AL30" s="4"/>
      <c r="AM30" s="22" t="s">
        <v>211</v>
      </c>
      <c r="AN30" s="23">
        <v>210</v>
      </c>
      <c r="AO30" s="23">
        <v>210</v>
      </c>
      <c r="AP30" s="23">
        <v>210</v>
      </c>
      <c r="AQ30" s="24">
        <f t="shared" si="9"/>
        <v>1</v>
      </c>
      <c r="AR30" s="23">
        <v>210</v>
      </c>
      <c r="AS30" s="24">
        <f t="shared" si="10"/>
        <v>1</v>
      </c>
      <c r="AT30" s="4"/>
      <c r="AU30" s="22" t="s">
        <v>212</v>
      </c>
      <c r="AV30" s="23">
        <v>49</v>
      </c>
      <c r="AW30" s="23">
        <v>47</v>
      </c>
      <c r="AX30" s="23">
        <v>47</v>
      </c>
      <c r="AY30" s="24">
        <f t="shared" si="11"/>
        <v>1</v>
      </c>
      <c r="AZ30" s="23">
        <v>47</v>
      </c>
      <c r="BA30" s="24">
        <f t="shared" si="19"/>
        <v>1</v>
      </c>
      <c r="BB30" s="4"/>
      <c r="BC30" s="3"/>
      <c r="BD30" s="56" t="s">
        <v>213</v>
      </c>
      <c r="BE30" s="56" t="s">
        <v>39</v>
      </c>
      <c r="BF30" s="56"/>
      <c r="BG30" s="56"/>
      <c r="BH30" s="56"/>
      <c r="BI30" s="57"/>
      <c r="BJ30" s="4"/>
      <c r="BK30" s="4"/>
      <c r="BL30" s="4"/>
      <c r="BM30" s="4"/>
      <c r="BN30" s="4"/>
      <c r="BO30" s="4"/>
      <c r="BP30" s="4"/>
      <c r="BQ30" s="4"/>
      <c r="BR30" s="4"/>
      <c r="BS30" s="4"/>
    </row>
    <row r="31" spans="1:71" ht="48">
      <c r="A31" s="3"/>
      <c r="B31" s="14" t="s">
        <v>191</v>
      </c>
      <c r="C31" s="483" t="s">
        <v>192</v>
      </c>
      <c r="D31" s="495" t="s">
        <v>214</v>
      </c>
      <c r="E31" s="15">
        <v>712</v>
      </c>
      <c r="F31" s="15">
        <v>609</v>
      </c>
      <c r="G31" s="15">
        <v>609</v>
      </c>
      <c r="H31" s="16">
        <f t="shared" si="0"/>
        <v>1</v>
      </c>
      <c r="I31" s="15">
        <v>609</v>
      </c>
      <c r="J31" s="16">
        <f t="shared" si="1"/>
        <v>1</v>
      </c>
      <c r="K31" s="626" t="s">
        <v>178</v>
      </c>
      <c r="L31" s="15" t="s">
        <v>149</v>
      </c>
      <c r="M31" s="640" t="s">
        <v>215</v>
      </c>
      <c r="N31" s="17" t="s">
        <v>187</v>
      </c>
      <c r="O31" s="31"/>
      <c r="P31" s="25"/>
      <c r="Q31" s="3" t="s">
        <v>76</v>
      </c>
      <c r="R31" s="19" t="s">
        <v>76</v>
      </c>
      <c r="S31" s="20" t="s">
        <v>29</v>
      </c>
      <c r="T31" s="20" t="s">
        <v>216</v>
      </c>
      <c r="U31" s="3"/>
      <c r="V31" s="3"/>
      <c r="W31" s="51"/>
      <c r="X31" s="3"/>
      <c r="Y31" s="3"/>
      <c r="Z31" s="3"/>
      <c r="AA31" s="3"/>
      <c r="AB31" s="3"/>
      <c r="AC31" s="3"/>
      <c r="AD31" s="3"/>
      <c r="AE31" s="3"/>
      <c r="AF31" s="3"/>
      <c r="AG31" s="3"/>
      <c r="AH31" s="4"/>
      <c r="AI31" s="4"/>
      <c r="AJ31" s="4"/>
      <c r="AK31" s="4"/>
      <c r="AL31" s="4"/>
      <c r="AM31" s="22" t="s">
        <v>217</v>
      </c>
      <c r="AN31" s="23">
        <v>423</v>
      </c>
      <c r="AO31" s="23">
        <v>390</v>
      </c>
      <c r="AP31" s="23">
        <v>202</v>
      </c>
      <c r="AQ31" s="24">
        <f t="shared" si="9"/>
        <v>0.517948717948718</v>
      </c>
      <c r="AR31" s="23">
        <v>202</v>
      </c>
      <c r="AS31" s="24">
        <f t="shared" si="10"/>
        <v>0.517948717948718</v>
      </c>
      <c r="AT31" s="4"/>
      <c r="AU31" s="22" t="s">
        <v>218</v>
      </c>
      <c r="AV31" s="23">
        <v>257</v>
      </c>
      <c r="AW31" s="23">
        <v>257</v>
      </c>
      <c r="AX31" s="23">
        <v>257</v>
      </c>
      <c r="AY31" s="24">
        <f t="shared" si="11"/>
        <v>1</v>
      </c>
      <c r="AZ31" s="23">
        <v>249</v>
      </c>
      <c r="BA31" s="24">
        <f t="shared" si="19"/>
        <v>0.9688715953307393</v>
      </c>
      <c r="BB31" s="4"/>
      <c r="BC31" s="3"/>
      <c r="BD31" s="56" t="s">
        <v>219</v>
      </c>
      <c r="BE31" s="56"/>
      <c r="BF31" s="56"/>
      <c r="BG31" s="56"/>
      <c r="BH31" s="56"/>
      <c r="BI31" s="57"/>
      <c r="BJ31" s="4"/>
      <c r="BK31" s="4"/>
      <c r="BL31" s="4"/>
      <c r="BM31" s="4"/>
      <c r="BN31" s="4"/>
      <c r="BO31" s="4"/>
      <c r="BP31" s="4"/>
      <c r="BQ31" s="4"/>
      <c r="BR31" s="4"/>
      <c r="BS31" s="4"/>
    </row>
    <row r="32" spans="1:71" ht="48">
      <c r="A32" s="3"/>
      <c r="B32" s="47" t="s">
        <v>162</v>
      </c>
      <c r="C32" s="47" t="s">
        <v>220</v>
      </c>
      <c r="D32" s="493" t="s">
        <v>221</v>
      </c>
      <c r="E32" s="48">
        <v>75</v>
      </c>
      <c r="F32" s="48">
        <v>60</v>
      </c>
      <c r="G32" s="48">
        <v>40</v>
      </c>
      <c r="H32" s="49">
        <f t="shared" si="0"/>
        <v>0.66666666666666663</v>
      </c>
      <c r="I32" s="48">
        <v>40</v>
      </c>
      <c r="J32" s="49">
        <f t="shared" si="1"/>
        <v>0.66666666666666663</v>
      </c>
      <c r="K32" s="631" t="s">
        <v>222</v>
      </c>
      <c r="L32" s="48" t="s">
        <v>149</v>
      </c>
      <c r="M32" s="643" t="s">
        <v>223</v>
      </c>
      <c r="N32" s="494" t="s">
        <v>224</v>
      </c>
      <c r="O32" s="494"/>
      <c r="P32" s="25"/>
      <c r="Q32" s="3" t="s">
        <v>225</v>
      </c>
      <c r="R32" s="19" t="s">
        <v>76</v>
      </c>
      <c r="S32" s="45" t="s">
        <v>77</v>
      </c>
      <c r="T32" s="45"/>
      <c r="U32" s="3"/>
      <c r="V32" s="3"/>
      <c r="W32" s="51" t="s">
        <v>226</v>
      </c>
      <c r="X32" s="3"/>
      <c r="Y32" s="3"/>
      <c r="Z32" s="3"/>
      <c r="AA32" s="3"/>
      <c r="AB32" s="3"/>
      <c r="AC32" s="3"/>
      <c r="AD32" s="3"/>
      <c r="AE32" s="3"/>
      <c r="AF32" s="3"/>
      <c r="AG32" s="3"/>
      <c r="AH32" s="4"/>
      <c r="AI32" s="4"/>
      <c r="AJ32" s="4"/>
      <c r="AK32" s="4"/>
      <c r="AL32" s="4"/>
      <c r="AM32" s="22" t="s">
        <v>227</v>
      </c>
      <c r="AN32" s="23">
        <v>198</v>
      </c>
      <c r="AO32" s="23">
        <v>115</v>
      </c>
      <c r="AP32" s="23">
        <v>115</v>
      </c>
      <c r="AQ32" s="24">
        <f t="shared" si="9"/>
        <v>1</v>
      </c>
      <c r="AR32" s="23">
        <v>115</v>
      </c>
      <c r="AS32" s="24">
        <f t="shared" si="10"/>
        <v>1</v>
      </c>
      <c r="AT32" s="4"/>
      <c r="AU32" s="22" t="s">
        <v>228</v>
      </c>
      <c r="AV32" s="23">
        <v>257</v>
      </c>
      <c r="AW32" s="23">
        <v>257</v>
      </c>
      <c r="AX32" s="23">
        <v>257</v>
      </c>
      <c r="AY32" s="24">
        <f t="shared" si="11"/>
        <v>1</v>
      </c>
      <c r="AZ32" s="23">
        <v>254</v>
      </c>
      <c r="BA32" s="24">
        <f t="shared" si="19"/>
        <v>0.98832684824902728</v>
      </c>
      <c r="BB32" s="4"/>
      <c r="BC32" s="3"/>
      <c r="BD32" s="56"/>
      <c r="BE32" s="56"/>
      <c r="BF32" s="56"/>
      <c r="BG32" s="57"/>
      <c r="BH32" s="56"/>
      <c r="BI32" s="57"/>
      <c r="BJ32" s="4"/>
      <c r="BK32" s="4"/>
      <c r="BL32" s="4"/>
      <c r="BM32" s="4"/>
      <c r="BN32" s="4"/>
      <c r="BO32" s="4"/>
      <c r="BP32" s="4"/>
      <c r="BQ32" s="4"/>
      <c r="BR32" s="4"/>
      <c r="BS32" s="4"/>
    </row>
    <row r="33" spans="1:71" ht="48">
      <c r="A33" s="3"/>
      <c r="B33" s="47" t="s">
        <v>162</v>
      </c>
      <c r="C33" s="47" t="s">
        <v>220</v>
      </c>
      <c r="D33" s="493" t="s">
        <v>229</v>
      </c>
      <c r="E33" s="48">
        <v>75</v>
      </c>
      <c r="F33" s="48">
        <v>60</v>
      </c>
      <c r="G33" s="48">
        <v>40</v>
      </c>
      <c r="H33" s="49">
        <f t="shared" si="0"/>
        <v>0.66666666666666663</v>
      </c>
      <c r="I33" s="48">
        <v>40</v>
      </c>
      <c r="J33" s="49">
        <f t="shared" si="1"/>
        <v>0.66666666666666663</v>
      </c>
      <c r="K33" s="631" t="s">
        <v>222</v>
      </c>
      <c r="L33" s="48" t="s">
        <v>149</v>
      </c>
      <c r="M33" s="643" t="s">
        <v>230</v>
      </c>
      <c r="N33" s="494" t="s">
        <v>231</v>
      </c>
      <c r="O33" s="50"/>
      <c r="P33" s="25"/>
      <c r="Q33" s="3" t="s">
        <v>76</v>
      </c>
      <c r="R33" s="19" t="s">
        <v>76</v>
      </c>
      <c r="S33" s="45" t="s">
        <v>77</v>
      </c>
      <c r="T33" s="45"/>
      <c r="U33" s="3"/>
      <c r="V33" s="22" t="s">
        <v>232</v>
      </c>
      <c r="W33" s="65" t="s">
        <v>233</v>
      </c>
      <c r="X33" s="655" t="s">
        <v>234</v>
      </c>
      <c r="Y33" s="3"/>
      <c r="Z33" s="3"/>
      <c r="AA33" s="3"/>
      <c r="AB33" s="3"/>
      <c r="AC33" s="3"/>
      <c r="AD33" s="3"/>
      <c r="AE33" s="3"/>
      <c r="AF33" s="3"/>
      <c r="AG33" s="3"/>
      <c r="AH33" s="4"/>
      <c r="AI33" s="4"/>
      <c r="AJ33" s="4"/>
      <c r="AK33" s="4"/>
      <c r="AL33" s="4"/>
      <c r="AM33" s="22" t="s">
        <v>161</v>
      </c>
      <c r="AN33" s="23">
        <v>60</v>
      </c>
      <c r="AO33" s="23">
        <v>47</v>
      </c>
      <c r="AP33" s="23">
        <v>47</v>
      </c>
      <c r="AQ33" s="24">
        <f t="shared" si="9"/>
        <v>1</v>
      </c>
      <c r="AR33" s="23">
        <v>47</v>
      </c>
      <c r="AS33" s="24">
        <f t="shared" si="10"/>
        <v>1</v>
      </c>
      <c r="AT33" s="4"/>
      <c r="AU33" s="22" t="s">
        <v>235</v>
      </c>
      <c r="AV33" s="23">
        <v>669</v>
      </c>
      <c r="AW33" s="23">
        <v>669</v>
      </c>
      <c r="AX33" s="23">
        <v>157</v>
      </c>
      <c r="AY33" s="24">
        <f t="shared" si="11"/>
        <v>0.23467862481315396</v>
      </c>
      <c r="AZ33" s="23">
        <v>157</v>
      </c>
      <c r="BA33" s="24">
        <f t="shared" si="19"/>
        <v>0.23467862481315396</v>
      </c>
      <c r="BB33" s="4"/>
      <c r="BC33" s="3"/>
      <c r="BD33" s="56"/>
      <c r="BE33" s="56"/>
      <c r="BF33" s="56"/>
      <c r="BG33" s="57"/>
      <c r="BH33" s="56"/>
      <c r="BI33" s="57"/>
      <c r="BJ33" s="4"/>
      <c r="BK33" s="4"/>
      <c r="BL33" s="4"/>
      <c r="BM33" s="4"/>
      <c r="BN33" s="4"/>
      <c r="BO33" s="4"/>
      <c r="BP33" s="4"/>
      <c r="BQ33" s="4"/>
      <c r="BR33" s="4"/>
      <c r="BS33" s="4"/>
    </row>
    <row r="34" spans="1:71" ht="48">
      <c r="A34" s="3"/>
      <c r="B34" s="14" t="s">
        <v>236</v>
      </c>
      <c r="C34" s="14" t="s">
        <v>237</v>
      </c>
      <c r="D34" s="495" t="s">
        <v>238</v>
      </c>
      <c r="E34" s="15">
        <v>134</v>
      </c>
      <c r="F34" s="15">
        <v>97</v>
      </c>
      <c r="G34" s="15">
        <v>97</v>
      </c>
      <c r="H34" s="16">
        <f t="shared" si="0"/>
        <v>1</v>
      </c>
      <c r="I34" s="15">
        <v>97</v>
      </c>
      <c r="J34" s="16">
        <f t="shared" si="1"/>
        <v>1</v>
      </c>
      <c r="K34" s="626" t="s">
        <v>222</v>
      </c>
      <c r="L34" s="15" t="s">
        <v>25</v>
      </c>
      <c r="M34" s="639" t="s">
        <v>239</v>
      </c>
      <c r="N34" s="17" t="s">
        <v>240</v>
      </c>
      <c r="O34" s="31"/>
      <c r="P34" s="25"/>
      <c r="Q34" s="3" t="s">
        <v>225</v>
      </c>
      <c r="R34" s="19" t="s">
        <v>76</v>
      </c>
      <c r="S34" s="45" t="s">
        <v>77</v>
      </c>
      <c r="T34" s="45"/>
      <c r="U34" s="3"/>
      <c r="V34" s="22" t="s">
        <v>232</v>
      </c>
      <c r="W34" s="65" t="s">
        <v>233</v>
      </c>
      <c r="X34" s="774"/>
      <c r="Y34" s="3"/>
      <c r="Z34" s="3"/>
      <c r="AA34" s="3"/>
      <c r="AB34" s="3"/>
      <c r="AC34" s="3"/>
      <c r="AD34" s="3"/>
      <c r="AE34" s="3"/>
      <c r="AF34" s="3"/>
      <c r="AG34" s="3"/>
      <c r="AH34" s="4"/>
      <c r="AI34" s="4"/>
      <c r="AJ34" s="4"/>
      <c r="AK34" s="4"/>
      <c r="AL34" s="4"/>
      <c r="AM34" s="22" t="s">
        <v>202</v>
      </c>
      <c r="AN34" s="23">
        <v>49</v>
      </c>
      <c r="AO34" s="23">
        <v>47</v>
      </c>
      <c r="AP34" s="23">
        <v>47</v>
      </c>
      <c r="AQ34" s="24">
        <f t="shared" si="9"/>
        <v>1</v>
      </c>
      <c r="AR34" s="23">
        <v>47</v>
      </c>
      <c r="AS34" s="24">
        <f t="shared" si="10"/>
        <v>1</v>
      </c>
      <c r="AT34" s="4"/>
      <c r="AU34" s="3"/>
      <c r="AV34" s="56"/>
      <c r="AW34" s="56"/>
      <c r="AX34" s="56"/>
      <c r="AY34" s="57"/>
      <c r="AZ34" s="56"/>
      <c r="BA34" s="57"/>
      <c r="BB34" s="4"/>
      <c r="BC34" s="3"/>
      <c r="BD34" s="56"/>
      <c r="BE34" s="56"/>
      <c r="BF34" s="56"/>
      <c r="BG34" s="57"/>
      <c r="BH34" s="56"/>
      <c r="BI34" s="57"/>
      <c r="BJ34" s="4"/>
      <c r="BK34" s="4"/>
      <c r="BL34" s="4"/>
      <c r="BM34" s="4"/>
      <c r="BN34" s="4"/>
      <c r="BO34" s="4"/>
      <c r="BP34" s="4"/>
      <c r="BQ34" s="4"/>
      <c r="BR34" s="4"/>
      <c r="BS34" s="4"/>
    </row>
    <row r="35" spans="1:71" ht="48">
      <c r="A35" s="3"/>
      <c r="B35" s="14" t="s">
        <v>236</v>
      </c>
      <c r="C35" s="14" t="s">
        <v>237</v>
      </c>
      <c r="D35" s="495" t="s">
        <v>241</v>
      </c>
      <c r="E35" s="15">
        <v>136</v>
      </c>
      <c r="F35" s="15">
        <v>136</v>
      </c>
      <c r="G35" s="15">
        <v>136</v>
      </c>
      <c r="H35" s="16">
        <f t="shared" si="0"/>
        <v>1</v>
      </c>
      <c r="I35" s="15">
        <v>136</v>
      </c>
      <c r="J35" s="16">
        <f t="shared" si="1"/>
        <v>1</v>
      </c>
      <c r="K35" s="626" t="s">
        <v>165</v>
      </c>
      <c r="L35" s="15" t="s">
        <v>25</v>
      </c>
      <c r="M35" s="639" t="s">
        <v>242</v>
      </c>
      <c r="N35" s="501" t="s">
        <v>240</v>
      </c>
      <c r="O35" s="67"/>
      <c r="P35" s="25"/>
      <c r="Q35" s="3" t="s">
        <v>225</v>
      </c>
      <c r="R35" s="19" t="s">
        <v>76</v>
      </c>
      <c r="S35" s="45" t="s">
        <v>77</v>
      </c>
      <c r="T35" s="45"/>
      <c r="U35" s="3"/>
      <c r="V35" s="22" t="s">
        <v>243</v>
      </c>
      <c r="W35" s="65" t="s">
        <v>233</v>
      </c>
      <c r="X35" s="773"/>
      <c r="Y35" s="3"/>
      <c r="Z35" s="3"/>
      <c r="AA35" s="3"/>
      <c r="AB35" s="3"/>
      <c r="AC35" s="3"/>
      <c r="AD35" s="3"/>
      <c r="AE35" s="3"/>
      <c r="AF35" s="3"/>
      <c r="AG35" s="3"/>
      <c r="AH35" s="4"/>
      <c r="AI35" s="4"/>
      <c r="AJ35" s="4"/>
      <c r="AK35" s="4"/>
      <c r="AL35" s="4"/>
      <c r="AM35" s="22" t="s">
        <v>212</v>
      </c>
      <c r="AN35" s="23">
        <v>49</v>
      </c>
      <c r="AO35" s="23">
        <v>47</v>
      </c>
      <c r="AP35" s="23">
        <v>47</v>
      </c>
      <c r="AQ35" s="24">
        <f t="shared" si="9"/>
        <v>1</v>
      </c>
      <c r="AR35" s="23">
        <v>47</v>
      </c>
      <c r="AS35" s="24">
        <f t="shared" si="10"/>
        <v>1</v>
      </c>
      <c r="AT35" s="4"/>
      <c r="AU35" s="3"/>
      <c r="AV35" s="56"/>
      <c r="AW35" s="56"/>
      <c r="AX35" s="56"/>
      <c r="AY35" s="57"/>
      <c r="AZ35" s="56"/>
      <c r="BA35" s="57"/>
      <c r="BB35" s="4"/>
      <c r="BC35" s="3"/>
      <c r="BD35" s="56"/>
      <c r="BE35" s="56"/>
      <c r="BF35" s="56"/>
      <c r="BG35" s="57"/>
      <c r="BH35" s="56"/>
      <c r="BI35" s="57"/>
      <c r="BJ35" s="4"/>
      <c r="BK35" s="4"/>
      <c r="BL35" s="4"/>
      <c r="BM35" s="4"/>
      <c r="BN35" s="4"/>
      <c r="BO35" s="4"/>
      <c r="BP35" s="4"/>
      <c r="BQ35" s="4"/>
      <c r="BR35" s="4"/>
      <c r="BS35" s="4"/>
    </row>
    <row r="36" spans="1:71" ht="48">
      <c r="A36" s="3"/>
      <c r="B36" s="14" t="s">
        <v>236</v>
      </c>
      <c r="C36" s="14" t="s">
        <v>237</v>
      </c>
      <c r="D36" s="495" t="s">
        <v>244</v>
      </c>
      <c r="E36" s="15">
        <v>210</v>
      </c>
      <c r="F36" s="15">
        <v>210</v>
      </c>
      <c r="G36" s="15">
        <v>210</v>
      </c>
      <c r="H36" s="16">
        <f t="shared" si="0"/>
        <v>1</v>
      </c>
      <c r="I36" s="15">
        <v>210</v>
      </c>
      <c r="J36" s="16">
        <f t="shared" si="1"/>
        <v>1</v>
      </c>
      <c r="K36" s="626" t="s">
        <v>245</v>
      </c>
      <c r="L36" s="15" t="s">
        <v>25</v>
      </c>
      <c r="M36" s="639" t="s">
        <v>246</v>
      </c>
      <c r="N36" s="17" t="s">
        <v>240</v>
      </c>
      <c r="O36" s="31"/>
      <c r="P36" s="25"/>
      <c r="Q36" s="3" t="s">
        <v>225</v>
      </c>
      <c r="R36" s="19" t="s">
        <v>76</v>
      </c>
      <c r="S36" s="45" t="s">
        <v>77</v>
      </c>
      <c r="T36" s="45"/>
      <c r="U36" s="3"/>
      <c r="V36" s="22" t="s">
        <v>247</v>
      </c>
      <c r="W36" s="65" t="s">
        <v>233</v>
      </c>
      <c r="X36" s="3"/>
      <c r="Y36" s="3"/>
      <c r="Z36" s="3"/>
      <c r="AA36" s="3"/>
      <c r="AB36" s="3"/>
      <c r="AC36" s="3"/>
      <c r="AD36" s="3"/>
      <c r="AE36" s="3"/>
      <c r="AF36" s="3"/>
      <c r="AG36" s="3"/>
      <c r="AH36" s="4"/>
      <c r="AI36" s="4"/>
      <c r="AJ36" s="4"/>
      <c r="AK36" s="4"/>
      <c r="AL36" s="4"/>
      <c r="AM36" s="22" t="s">
        <v>218</v>
      </c>
      <c r="AN36" s="23">
        <v>257</v>
      </c>
      <c r="AO36" s="23">
        <v>257</v>
      </c>
      <c r="AP36" s="23">
        <v>257</v>
      </c>
      <c r="AQ36" s="24">
        <f t="shared" si="9"/>
        <v>1</v>
      </c>
      <c r="AR36" s="23">
        <v>249</v>
      </c>
      <c r="AS36" s="24">
        <f t="shared" si="10"/>
        <v>0.9688715953307393</v>
      </c>
      <c r="AT36" s="4"/>
      <c r="AU36" s="3"/>
      <c r="AV36" s="56"/>
      <c r="AW36" s="56"/>
      <c r="AX36" s="56"/>
      <c r="AY36" s="57"/>
      <c r="AZ36" s="56"/>
      <c r="BA36" s="57"/>
      <c r="BB36" s="4"/>
      <c r="BC36" s="3"/>
      <c r="BD36" s="56"/>
      <c r="BE36" s="56"/>
      <c r="BF36" s="56"/>
      <c r="BG36" s="57"/>
      <c r="BH36" s="56"/>
      <c r="BI36" s="57"/>
      <c r="BJ36" s="4"/>
      <c r="BK36" s="4"/>
      <c r="BL36" s="4"/>
      <c r="BM36" s="4"/>
      <c r="BN36" s="4"/>
      <c r="BO36" s="4"/>
      <c r="BP36" s="4"/>
      <c r="BQ36" s="4"/>
      <c r="BR36" s="4"/>
      <c r="BS36" s="4"/>
    </row>
    <row r="37" spans="1:71" ht="48">
      <c r="A37" s="3"/>
      <c r="B37" s="14" t="s">
        <v>248</v>
      </c>
      <c r="C37" s="14" t="s">
        <v>249</v>
      </c>
      <c r="D37" s="495" t="s">
        <v>250</v>
      </c>
      <c r="E37" s="15">
        <v>423</v>
      </c>
      <c r="F37" s="15">
        <v>390</v>
      </c>
      <c r="G37" s="15">
        <v>362</v>
      </c>
      <c r="H37" s="16">
        <f t="shared" si="0"/>
        <v>0.92820512820512824</v>
      </c>
      <c r="I37" s="15">
        <v>362</v>
      </c>
      <c r="J37" s="16">
        <f t="shared" si="1"/>
        <v>0.92820512820512824</v>
      </c>
      <c r="K37" s="626" t="s">
        <v>251</v>
      </c>
      <c r="L37" s="15" t="s">
        <v>25</v>
      </c>
      <c r="M37" s="639" t="s">
        <v>252</v>
      </c>
      <c r="N37" s="17" t="s">
        <v>253</v>
      </c>
      <c r="O37" s="31"/>
      <c r="P37" s="25"/>
      <c r="Q37" s="3" t="s">
        <v>254</v>
      </c>
      <c r="R37" s="19" t="s">
        <v>76</v>
      </c>
      <c r="S37" s="45" t="s">
        <v>77</v>
      </c>
      <c r="T37" s="45"/>
      <c r="U37" s="3"/>
      <c r="V37" s="22" t="s">
        <v>255</v>
      </c>
      <c r="W37" s="65" t="s">
        <v>233</v>
      </c>
      <c r="X37" s="3"/>
      <c r="Y37" s="3"/>
      <c r="Z37" s="3"/>
      <c r="AA37" s="3"/>
      <c r="AB37" s="3"/>
      <c r="AC37" s="3"/>
      <c r="AD37" s="3"/>
      <c r="AE37" s="3"/>
      <c r="AF37" s="3"/>
      <c r="AG37" s="3"/>
      <c r="AH37" s="4"/>
      <c r="AI37" s="4"/>
      <c r="AJ37" s="4"/>
      <c r="AK37" s="4"/>
      <c r="AL37" s="4"/>
      <c r="AM37" s="22" t="s">
        <v>228</v>
      </c>
      <c r="AN37" s="23">
        <v>257</v>
      </c>
      <c r="AO37" s="23">
        <v>257</v>
      </c>
      <c r="AP37" s="23">
        <v>257</v>
      </c>
      <c r="AQ37" s="24">
        <f t="shared" si="9"/>
        <v>1</v>
      </c>
      <c r="AR37" s="23">
        <v>254</v>
      </c>
      <c r="AS37" s="24">
        <f t="shared" si="10"/>
        <v>0.98832684824902728</v>
      </c>
      <c r="AT37" s="4"/>
      <c r="AU37" s="3"/>
      <c r="AV37" s="56"/>
      <c r="AW37" s="56"/>
      <c r="AX37" s="56"/>
      <c r="AY37" s="57"/>
      <c r="AZ37" s="56"/>
      <c r="BA37" s="57"/>
      <c r="BB37" s="4"/>
      <c r="BC37" s="3"/>
      <c r="BD37" s="56"/>
      <c r="BE37" s="56"/>
      <c r="BF37" s="56"/>
      <c r="BG37" s="57"/>
      <c r="BH37" s="56"/>
      <c r="BI37" s="57"/>
      <c r="BJ37" s="4"/>
      <c r="BK37" s="4"/>
      <c r="BL37" s="4"/>
      <c r="BM37" s="4"/>
      <c r="BN37" s="4"/>
      <c r="BO37" s="4"/>
      <c r="BP37" s="4"/>
      <c r="BQ37" s="4"/>
      <c r="BR37" s="4"/>
      <c r="BS37" s="4"/>
    </row>
    <row r="38" spans="1:71" ht="48">
      <c r="A38" s="3"/>
      <c r="B38" s="14" t="s">
        <v>256</v>
      </c>
      <c r="C38" s="14" t="s">
        <v>257</v>
      </c>
      <c r="D38" s="495" t="s">
        <v>227</v>
      </c>
      <c r="E38" s="15">
        <v>1153</v>
      </c>
      <c r="F38" s="15">
        <v>1137</v>
      </c>
      <c r="G38" s="15">
        <v>590</v>
      </c>
      <c r="H38" s="16">
        <f t="shared" si="0"/>
        <v>0.51890941072999119</v>
      </c>
      <c r="I38" s="15">
        <v>583</v>
      </c>
      <c r="J38" s="16">
        <f t="shared" si="1"/>
        <v>0.51275285839929641</v>
      </c>
      <c r="K38" s="626" t="s">
        <v>165</v>
      </c>
      <c r="L38" s="15" t="s">
        <v>25</v>
      </c>
      <c r="M38" s="639" t="s">
        <v>258</v>
      </c>
      <c r="N38" s="17" t="s">
        <v>259</v>
      </c>
      <c r="O38" s="31"/>
      <c r="P38" s="25"/>
      <c r="Q38" s="3" t="s">
        <v>260</v>
      </c>
      <c r="R38" s="19" t="s">
        <v>76</v>
      </c>
      <c r="S38" s="45" t="s">
        <v>77</v>
      </c>
      <c r="T38" s="45"/>
      <c r="U38" s="3"/>
      <c r="V38" s="22" t="s">
        <v>261</v>
      </c>
      <c r="W38" s="68" t="s">
        <v>233</v>
      </c>
      <c r="X38" s="655" t="s">
        <v>262</v>
      </c>
      <c r="Y38" s="3"/>
      <c r="Z38" s="3"/>
      <c r="AA38" s="3"/>
      <c r="AB38" s="3"/>
      <c r="AC38" s="3"/>
      <c r="AD38" s="3"/>
      <c r="AE38" s="3"/>
      <c r="AF38" s="3"/>
      <c r="AG38" s="3"/>
      <c r="AH38" s="4"/>
      <c r="AI38" s="4"/>
      <c r="AJ38" s="4"/>
      <c r="AK38" s="4"/>
      <c r="AL38" s="4"/>
      <c r="AM38" s="22" t="s">
        <v>235</v>
      </c>
      <c r="AN38" s="23">
        <v>669</v>
      </c>
      <c r="AO38" s="23">
        <v>669</v>
      </c>
      <c r="AP38" s="23">
        <v>157</v>
      </c>
      <c r="AQ38" s="24">
        <f t="shared" si="9"/>
        <v>0.23467862481315396</v>
      </c>
      <c r="AR38" s="23">
        <v>157</v>
      </c>
      <c r="AS38" s="24">
        <f t="shared" si="10"/>
        <v>0.23467862481315396</v>
      </c>
      <c r="AT38" s="4"/>
      <c r="AU38" s="3"/>
      <c r="AV38" s="56"/>
      <c r="AW38" s="56"/>
      <c r="AX38" s="56"/>
      <c r="AY38" s="57"/>
      <c r="AZ38" s="56"/>
      <c r="BA38" s="57"/>
      <c r="BB38" s="4"/>
      <c r="BC38" s="3"/>
      <c r="BD38" s="56"/>
      <c r="BE38" s="56"/>
      <c r="BF38" s="56"/>
      <c r="BG38" s="57"/>
      <c r="BH38" s="56"/>
      <c r="BI38" s="57"/>
      <c r="BJ38" s="4"/>
      <c r="BK38" s="4"/>
      <c r="BL38" s="4"/>
      <c r="BM38" s="4"/>
      <c r="BN38" s="4"/>
      <c r="BO38" s="4"/>
      <c r="BP38" s="4"/>
      <c r="BQ38" s="4"/>
      <c r="BR38" s="4"/>
      <c r="BS38" s="4"/>
    </row>
    <row r="39" spans="1:71" ht="48">
      <c r="A39" s="3"/>
      <c r="B39" s="14" t="s">
        <v>263</v>
      </c>
      <c r="C39" s="14" t="s">
        <v>264</v>
      </c>
      <c r="D39" s="495" t="s">
        <v>265</v>
      </c>
      <c r="E39" s="15">
        <v>60</v>
      </c>
      <c r="F39" s="15">
        <v>47</v>
      </c>
      <c r="G39" s="15">
        <v>47</v>
      </c>
      <c r="H39" s="16">
        <f t="shared" si="0"/>
        <v>1</v>
      </c>
      <c r="I39" s="15">
        <v>47</v>
      </c>
      <c r="J39" s="16">
        <f t="shared" si="1"/>
        <v>1</v>
      </c>
      <c r="K39" s="626" t="s">
        <v>165</v>
      </c>
      <c r="L39" s="15" t="s">
        <v>25</v>
      </c>
      <c r="M39" s="639" t="s">
        <v>266</v>
      </c>
      <c r="N39" s="17" t="s">
        <v>267</v>
      </c>
      <c r="O39" s="58"/>
      <c r="P39" s="25"/>
      <c r="Q39" s="3"/>
      <c r="R39" s="19"/>
      <c r="S39" s="45" t="s">
        <v>77</v>
      </c>
      <c r="T39" s="45"/>
      <c r="U39" s="3"/>
      <c r="V39" s="22" t="s">
        <v>261</v>
      </c>
      <c r="W39" s="68" t="s">
        <v>233</v>
      </c>
      <c r="X39" s="774"/>
      <c r="Y39" s="3"/>
      <c r="Z39" s="3"/>
      <c r="AA39" s="3"/>
      <c r="AB39" s="3"/>
      <c r="AC39" s="3"/>
      <c r="AD39" s="3"/>
      <c r="AE39" s="3"/>
      <c r="AF39" s="3"/>
      <c r="AG39" s="3"/>
      <c r="AH39" s="4"/>
      <c r="AI39" s="4"/>
      <c r="AJ39" s="4"/>
      <c r="AK39" s="4"/>
      <c r="AL39" s="4"/>
      <c r="AM39" s="22" t="s">
        <v>268</v>
      </c>
      <c r="AN39" s="23">
        <v>29603</v>
      </c>
      <c r="AO39" s="23">
        <v>29603</v>
      </c>
      <c r="AP39" s="23">
        <v>28</v>
      </c>
      <c r="AQ39" s="24">
        <f t="shared" si="9"/>
        <v>9.4585008276188223E-4</v>
      </c>
      <c r="AR39" s="23">
        <v>18</v>
      </c>
      <c r="AS39" s="24">
        <f t="shared" si="10"/>
        <v>6.0804648177549569E-4</v>
      </c>
      <c r="AT39" s="4"/>
      <c r="AU39" s="3"/>
      <c r="AV39" s="56"/>
      <c r="AW39" s="56"/>
      <c r="AX39" s="56"/>
      <c r="AY39" s="57"/>
      <c r="AZ39" s="56"/>
      <c r="BA39" s="57"/>
      <c r="BB39" s="4"/>
      <c r="BC39" s="3"/>
      <c r="BD39" s="56"/>
      <c r="BE39" s="56"/>
      <c r="BF39" s="56"/>
      <c r="BG39" s="57"/>
      <c r="BH39" s="56"/>
      <c r="BI39" s="57"/>
      <c r="BJ39" s="4"/>
      <c r="BK39" s="4"/>
      <c r="BL39" s="4"/>
      <c r="BM39" s="4"/>
      <c r="BN39" s="4"/>
      <c r="BO39" s="4"/>
      <c r="BP39" s="4"/>
      <c r="BQ39" s="4"/>
      <c r="BR39" s="4"/>
      <c r="BS39" s="4"/>
    </row>
    <row r="40" spans="1:71" ht="48">
      <c r="A40" s="3"/>
      <c r="B40" s="14" t="s">
        <v>263</v>
      </c>
      <c r="C40" s="14" t="s">
        <v>264</v>
      </c>
      <c r="D40" s="495" t="s">
        <v>269</v>
      </c>
      <c r="E40" s="15">
        <v>49</v>
      </c>
      <c r="F40" s="15">
        <v>47</v>
      </c>
      <c r="G40" s="15">
        <v>47</v>
      </c>
      <c r="H40" s="16">
        <f t="shared" si="0"/>
        <v>1</v>
      </c>
      <c r="I40" s="15">
        <v>47</v>
      </c>
      <c r="J40" s="16">
        <f t="shared" si="1"/>
        <v>1</v>
      </c>
      <c r="K40" s="626" t="s">
        <v>165</v>
      </c>
      <c r="L40" s="15" t="s">
        <v>149</v>
      </c>
      <c r="M40" s="499" t="s">
        <v>270</v>
      </c>
      <c r="N40" s="17" t="s">
        <v>271</v>
      </c>
      <c r="O40" s="31"/>
      <c r="P40" s="25"/>
      <c r="Q40" s="3"/>
      <c r="R40" s="19"/>
      <c r="S40" s="45" t="s">
        <v>77</v>
      </c>
      <c r="T40" s="45"/>
      <c r="U40" s="3"/>
      <c r="V40" s="22" t="s">
        <v>261</v>
      </c>
      <c r="W40" s="68" t="s">
        <v>233</v>
      </c>
      <c r="X40" s="774"/>
      <c r="Y40" s="3"/>
      <c r="Z40" s="3"/>
      <c r="AA40" s="3"/>
      <c r="AB40" s="3"/>
      <c r="AC40" s="3"/>
      <c r="AD40" s="3"/>
      <c r="AE40" s="3"/>
      <c r="AF40" s="3"/>
      <c r="AG40" s="3"/>
      <c r="AH40" s="4"/>
      <c r="AI40" s="4"/>
      <c r="AJ40" s="4"/>
      <c r="AK40" s="4"/>
      <c r="AL40" s="4"/>
      <c r="AM40" s="22" t="s">
        <v>98</v>
      </c>
      <c r="AN40" s="23">
        <v>555</v>
      </c>
      <c r="AO40" s="23">
        <v>420</v>
      </c>
      <c r="AP40" s="23">
        <v>0</v>
      </c>
      <c r="AQ40" s="24">
        <f t="shared" si="9"/>
        <v>0</v>
      </c>
      <c r="AR40" s="23">
        <v>0</v>
      </c>
      <c r="AS40" s="24">
        <f t="shared" si="10"/>
        <v>0</v>
      </c>
      <c r="AT40" s="4"/>
      <c r="AU40" s="3"/>
      <c r="AV40" s="56"/>
      <c r="AW40" s="56"/>
      <c r="AX40" s="56"/>
      <c r="AY40" s="57"/>
      <c r="AZ40" s="56"/>
      <c r="BA40" s="57"/>
      <c r="BB40" s="4"/>
      <c r="BC40" s="3"/>
      <c r="BD40" s="56"/>
      <c r="BE40" s="56"/>
      <c r="BF40" s="56"/>
      <c r="BG40" s="57"/>
      <c r="BH40" s="56"/>
      <c r="BI40" s="57"/>
      <c r="BJ40" s="4"/>
      <c r="BK40" s="4"/>
      <c r="BL40" s="4"/>
      <c r="BM40" s="4"/>
      <c r="BN40" s="4"/>
      <c r="BO40" s="4"/>
      <c r="BP40" s="4"/>
      <c r="BQ40" s="4"/>
      <c r="BR40" s="4"/>
      <c r="BS40" s="4"/>
    </row>
    <row r="41" spans="1:71" ht="48">
      <c r="A41" s="3"/>
      <c r="B41" s="14" t="s">
        <v>263</v>
      </c>
      <c r="C41" s="14" t="s">
        <v>264</v>
      </c>
      <c r="D41" s="495" t="s">
        <v>272</v>
      </c>
      <c r="E41" s="15">
        <v>49</v>
      </c>
      <c r="F41" s="15">
        <v>47</v>
      </c>
      <c r="G41" s="15">
        <v>47</v>
      </c>
      <c r="H41" s="16">
        <f t="shared" si="0"/>
        <v>1</v>
      </c>
      <c r="I41" s="15">
        <v>47</v>
      </c>
      <c r="J41" s="16">
        <f t="shared" si="1"/>
        <v>1</v>
      </c>
      <c r="K41" s="626" t="s">
        <v>165</v>
      </c>
      <c r="L41" s="15" t="s">
        <v>149</v>
      </c>
      <c r="M41" s="639" t="s">
        <v>273</v>
      </c>
      <c r="N41" s="17" t="s">
        <v>274</v>
      </c>
      <c r="O41" s="31"/>
      <c r="P41" s="25"/>
      <c r="Q41" s="3" t="s">
        <v>275</v>
      </c>
      <c r="R41" s="19"/>
      <c r="S41" s="45" t="s">
        <v>77</v>
      </c>
      <c r="T41" s="45"/>
      <c r="U41" s="3"/>
      <c r="V41" s="22" t="s">
        <v>276</v>
      </c>
      <c r="W41" s="68" t="s">
        <v>233</v>
      </c>
      <c r="X41" s="774"/>
      <c r="Y41" s="3"/>
      <c r="Z41" s="3"/>
      <c r="AA41" s="3"/>
      <c r="AB41" s="3"/>
      <c r="AC41" s="3"/>
      <c r="AD41" s="3"/>
      <c r="AE41" s="3"/>
      <c r="AF41" s="3"/>
      <c r="AG41" s="3"/>
      <c r="AH41" s="4"/>
      <c r="AI41" s="4"/>
      <c r="AJ41" s="4"/>
      <c r="AK41" s="4"/>
      <c r="AL41" s="4"/>
      <c r="AM41" s="69"/>
      <c r="AN41" s="70"/>
      <c r="AO41" s="70"/>
      <c r="AP41" s="70"/>
      <c r="AQ41" s="71"/>
      <c r="AR41" s="56"/>
      <c r="AS41" s="57"/>
      <c r="AT41" s="4"/>
      <c r="AU41" s="3"/>
      <c r="AV41" s="56"/>
      <c r="AW41" s="56"/>
      <c r="AX41" s="56"/>
      <c r="AY41" s="57"/>
      <c r="AZ41" s="56"/>
      <c r="BA41" s="57"/>
      <c r="BB41" s="4"/>
      <c r="BC41" s="3"/>
      <c r="BD41" s="56"/>
      <c r="BE41" s="56"/>
      <c r="BF41" s="56"/>
      <c r="BG41" s="57"/>
      <c r="BH41" s="56"/>
      <c r="BI41" s="57"/>
      <c r="BJ41" s="4"/>
      <c r="BK41" s="4"/>
      <c r="BL41" s="4"/>
      <c r="BM41" s="4"/>
      <c r="BN41" s="4"/>
      <c r="BO41" s="4"/>
      <c r="BP41" s="4"/>
      <c r="BQ41" s="4"/>
      <c r="BR41" s="4"/>
      <c r="BS41" s="4"/>
    </row>
    <row r="42" spans="1:71" ht="48">
      <c r="A42" s="3"/>
      <c r="B42" s="14" t="s">
        <v>263</v>
      </c>
      <c r="C42" s="14" t="s">
        <v>264</v>
      </c>
      <c r="D42" s="495" t="s">
        <v>277</v>
      </c>
      <c r="E42" s="15">
        <v>257</v>
      </c>
      <c r="F42" s="15">
        <v>257</v>
      </c>
      <c r="G42" s="15">
        <v>257</v>
      </c>
      <c r="H42" s="16">
        <f t="shared" si="0"/>
        <v>1</v>
      </c>
      <c r="I42" s="15">
        <v>249</v>
      </c>
      <c r="J42" s="16">
        <f t="shared" si="1"/>
        <v>0.9688715953307393</v>
      </c>
      <c r="K42" s="626" t="s">
        <v>245</v>
      </c>
      <c r="L42" s="15" t="s">
        <v>149</v>
      </c>
      <c r="M42" s="499" t="s">
        <v>278</v>
      </c>
      <c r="N42" s="17" t="s">
        <v>279</v>
      </c>
      <c r="O42" s="31"/>
      <c r="P42" s="25"/>
      <c r="Q42" s="3"/>
      <c r="R42" s="19"/>
      <c r="S42" s="45" t="s">
        <v>77</v>
      </c>
      <c r="T42" s="45"/>
      <c r="U42" s="3"/>
      <c r="V42" s="22" t="s">
        <v>276</v>
      </c>
      <c r="W42" s="68" t="s">
        <v>233</v>
      </c>
      <c r="X42" s="773"/>
      <c r="Y42" s="3"/>
      <c r="Z42" s="3"/>
      <c r="AA42" s="3"/>
      <c r="AB42" s="3"/>
      <c r="AC42" s="3"/>
      <c r="AD42" s="3"/>
      <c r="AE42" s="3"/>
      <c r="AF42" s="3"/>
      <c r="AG42" s="3"/>
      <c r="AH42" s="4"/>
      <c r="AI42" s="4"/>
      <c r="AJ42" s="4"/>
      <c r="AK42" s="4"/>
      <c r="AL42" s="4"/>
      <c r="AM42" s="69"/>
      <c r="AN42" s="70"/>
      <c r="AO42" s="70"/>
      <c r="AP42" s="70"/>
      <c r="AQ42" s="71"/>
      <c r="AR42" s="56"/>
      <c r="AS42" s="57"/>
      <c r="AT42" s="4"/>
      <c r="AU42" s="3"/>
      <c r="AV42" s="56"/>
      <c r="AW42" s="56"/>
      <c r="AX42" s="56"/>
      <c r="AY42" s="57"/>
      <c r="AZ42" s="56"/>
      <c r="BA42" s="57"/>
      <c r="BB42" s="4"/>
      <c r="BC42" s="3"/>
      <c r="BD42" s="56"/>
      <c r="BE42" s="56"/>
      <c r="BF42" s="56"/>
      <c r="BG42" s="57"/>
      <c r="BH42" s="56"/>
      <c r="BI42" s="57"/>
      <c r="BJ42" s="4"/>
      <c r="BK42" s="4"/>
      <c r="BL42" s="4"/>
      <c r="BM42" s="4"/>
      <c r="BN42" s="4"/>
      <c r="BO42" s="4"/>
      <c r="BP42" s="4"/>
      <c r="BQ42" s="4"/>
      <c r="BR42" s="4"/>
      <c r="BS42" s="4"/>
    </row>
    <row r="43" spans="1:71" ht="48">
      <c r="A43" s="3"/>
      <c r="B43" s="14" t="s">
        <v>263</v>
      </c>
      <c r="C43" s="14" t="s">
        <v>264</v>
      </c>
      <c r="D43" s="495" t="s">
        <v>280</v>
      </c>
      <c r="E43" s="15">
        <v>257</v>
      </c>
      <c r="F43" s="15">
        <v>257</v>
      </c>
      <c r="G43" s="15">
        <v>257</v>
      </c>
      <c r="H43" s="16">
        <f t="shared" si="0"/>
        <v>1</v>
      </c>
      <c r="I43" s="15">
        <v>254</v>
      </c>
      <c r="J43" s="16">
        <f t="shared" si="1"/>
        <v>0.98832684824902728</v>
      </c>
      <c r="K43" s="626" t="s">
        <v>245</v>
      </c>
      <c r="L43" s="15" t="s">
        <v>149</v>
      </c>
      <c r="M43" s="499" t="s">
        <v>281</v>
      </c>
      <c r="N43" s="17" t="s">
        <v>282</v>
      </c>
      <c r="O43" s="31"/>
      <c r="P43" s="25"/>
      <c r="Q43" s="3" t="s">
        <v>275</v>
      </c>
      <c r="R43" s="19"/>
      <c r="S43" s="45" t="s">
        <v>77</v>
      </c>
      <c r="T43" s="45"/>
      <c r="U43" s="3"/>
      <c r="V43" s="25" t="s">
        <v>283</v>
      </c>
      <c r="W43" s="65" t="s">
        <v>233</v>
      </c>
      <c r="X43" s="3"/>
      <c r="Y43" s="3" t="s">
        <v>284</v>
      </c>
      <c r="Z43" s="3" t="s">
        <v>285</v>
      </c>
      <c r="AA43" s="3" t="s">
        <v>286</v>
      </c>
      <c r="AB43" s="3"/>
      <c r="AC43" s="3"/>
      <c r="AD43" s="3"/>
      <c r="AE43" s="3"/>
      <c r="AF43" s="3"/>
      <c r="AG43" s="3"/>
      <c r="AH43" s="4"/>
      <c r="AI43" s="4"/>
      <c r="AJ43" s="4"/>
      <c r="AK43" s="4"/>
      <c r="AL43" s="4"/>
      <c r="AM43" s="69"/>
      <c r="AN43" s="70"/>
      <c r="AO43" s="70"/>
      <c r="AP43" s="70"/>
      <c r="AQ43" s="71"/>
      <c r="AR43" s="56"/>
      <c r="AS43" s="57"/>
      <c r="AT43" s="4"/>
      <c r="AU43" s="3"/>
      <c r="AV43" s="56"/>
      <c r="AW43" s="56"/>
      <c r="AX43" s="56"/>
      <c r="AY43" s="57"/>
      <c r="AZ43" s="56"/>
      <c r="BA43" s="57"/>
      <c r="BB43" s="4"/>
      <c r="BC43" s="3"/>
      <c r="BD43" s="56"/>
      <c r="BE43" s="56"/>
      <c r="BF43" s="56"/>
      <c r="BG43" s="57"/>
      <c r="BH43" s="56"/>
      <c r="BI43" s="57"/>
      <c r="BJ43" s="4"/>
      <c r="BK43" s="4"/>
      <c r="BL43" s="4"/>
      <c r="BM43" s="4"/>
      <c r="BN43" s="4"/>
      <c r="BO43" s="4"/>
      <c r="BP43" s="4"/>
      <c r="BQ43" s="4"/>
      <c r="BR43" s="4"/>
      <c r="BS43" s="4"/>
    </row>
    <row r="44" spans="1:71" ht="48">
      <c r="A44" s="3"/>
      <c r="B44" s="14" t="s">
        <v>287</v>
      </c>
      <c r="C44" s="14" t="s">
        <v>288</v>
      </c>
      <c r="D44" s="495" t="s">
        <v>289</v>
      </c>
      <c r="E44" s="15">
        <v>669</v>
      </c>
      <c r="F44" s="15">
        <v>629</v>
      </c>
      <c r="G44" s="15">
        <v>629</v>
      </c>
      <c r="H44" s="16">
        <f t="shared" si="0"/>
        <v>1</v>
      </c>
      <c r="I44" s="15">
        <v>629</v>
      </c>
      <c r="J44" s="16">
        <f t="shared" si="1"/>
        <v>1</v>
      </c>
      <c r="K44" s="626" t="s">
        <v>290</v>
      </c>
      <c r="L44" s="15" t="s">
        <v>25</v>
      </c>
      <c r="M44" s="639" t="s">
        <v>291</v>
      </c>
      <c r="N44" s="17" t="s">
        <v>292</v>
      </c>
      <c r="O44" s="31"/>
      <c r="P44" s="25"/>
      <c r="Q44" s="3" t="s">
        <v>293</v>
      </c>
      <c r="R44" s="19" t="s">
        <v>76</v>
      </c>
      <c r="S44" s="45" t="s">
        <v>77</v>
      </c>
      <c r="T44" s="45"/>
      <c r="U44" s="3"/>
      <c r="V44" s="25"/>
      <c r="W44" s="65"/>
      <c r="X44" s="3"/>
      <c r="Y44" s="3"/>
      <c r="Z44" s="3"/>
      <c r="AA44" s="3"/>
      <c r="AB44" s="3"/>
      <c r="AC44" s="3"/>
      <c r="AD44" s="3"/>
      <c r="AE44" s="3"/>
      <c r="AF44" s="3"/>
      <c r="AG44" s="3"/>
      <c r="AH44" s="4"/>
      <c r="AI44" s="4"/>
      <c r="AJ44" s="4"/>
      <c r="AK44" s="4"/>
      <c r="AL44" s="4"/>
      <c r="AM44" s="69"/>
      <c r="AN44" s="70"/>
      <c r="AO44" s="70"/>
      <c r="AP44" s="70"/>
      <c r="AQ44" s="71"/>
      <c r="AR44" s="56"/>
      <c r="AS44" s="57"/>
      <c r="AT44" s="4"/>
      <c r="AU44" s="3"/>
      <c r="AV44" s="56"/>
      <c r="AW44" s="56"/>
      <c r="AX44" s="56"/>
      <c r="AY44" s="57"/>
      <c r="AZ44" s="56"/>
      <c r="BA44" s="57"/>
      <c r="BB44" s="4"/>
      <c r="BC44" s="3"/>
      <c r="BD44" s="56"/>
      <c r="BE44" s="56"/>
      <c r="BF44" s="56"/>
      <c r="BG44" s="57"/>
      <c r="BH44" s="56"/>
      <c r="BI44" s="57"/>
      <c r="BJ44" s="4"/>
      <c r="BK44" s="4"/>
      <c r="BL44" s="4"/>
      <c r="BM44" s="4"/>
      <c r="BN44" s="4"/>
      <c r="BO44" s="4"/>
      <c r="BP44" s="4"/>
      <c r="BQ44" s="4"/>
      <c r="BR44" s="4"/>
      <c r="BS44" s="4"/>
    </row>
    <row r="45" spans="1:71" ht="48">
      <c r="A45" s="3"/>
      <c r="B45" s="52" t="s">
        <v>294</v>
      </c>
      <c r="C45" s="496" t="s">
        <v>70</v>
      </c>
      <c r="D45" s="497" t="s">
        <v>295</v>
      </c>
      <c r="E45" s="53">
        <v>32967</v>
      </c>
      <c r="F45" s="53">
        <v>32967</v>
      </c>
      <c r="G45" s="53">
        <v>4123</v>
      </c>
      <c r="H45" s="54">
        <f t="shared" si="0"/>
        <v>0.12506445839779173</v>
      </c>
      <c r="I45" s="53">
        <v>4123</v>
      </c>
      <c r="J45" s="54">
        <f t="shared" si="1"/>
        <v>0.12506445839779173</v>
      </c>
      <c r="K45" s="632" t="s">
        <v>296</v>
      </c>
      <c r="L45" s="53" t="s">
        <v>25</v>
      </c>
      <c r="M45" s="644" t="s">
        <v>297</v>
      </c>
      <c r="N45" s="498" t="s">
        <v>298</v>
      </c>
      <c r="O45" s="498"/>
      <c r="P45" s="72" t="s">
        <v>299</v>
      </c>
      <c r="Q45" s="3" t="s">
        <v>300</v>
      </c>
      <c r="R45" s="19" t="s">
        <v>76</v>
      </c>
      <c r="S45" s="45" t="s">
        <v>77</v>
      </c>
      <c r="T45" s="45"/>
      <c r="U45" s="3"/>
      <c r="V45" s="25"/>
      <c r="W45" s="65"/>
      <c r="X45" s="3"/>
      <c r="Y45" s="3"/>
      <c r="Z45" s="3"/>
      <c r="AA45" s="3"/>
      <c r="AB45" s="3"/>
      <c r="AC45" s="3"/>
      <c r="AD45" s="3"/>
      <c r="AE45" s="3"/>
      <c r="AF45" s="3"/>
      <c r="AG45" s="3"/>
      <c r="AH45" s="4"/>
      <c r="AI45" s="4"/>
      <c r="AJ45" s="4"/>
      <c r="AK45" s="4"/>
      <c r="AL45" s="4"/>
      <c r="AM45" s="69"/>
      <c r="AN45" s="70"/>
      <c r="AO45" s="70"/>
      <c r="AP45" s="70"/>
      <c r="AQ45" s="71"/>
      <c r="AR45" s="56"/>
      <c r="AS45" s="57"/>
      <c r="AT45" s="4"/>
      <c r="AU45" s="3"/>
      <c r="AV45" s="56"/>
      <c r="AW45" s="56"/>
      <c r="AX45" s="56"/>
      <c r="AY45" s="57"/>
      <c r="AZ45" s="56"/>
      <c r="BA45" s="57"/>
      <c r="BB45" s="4"/>
      <c r="BC45" s="3"/>
      <c r="BD45" s="56"/>
      <c r="BE45" s="56"/>
      <c r="BF45" s="56"/>
      <c r="BG45" s="57"/>
      <c r="BH45" s="56"/>
      <c r="BI45" s="57"/>
      <c r="BJ45" s="4"/>
      <c r="BK45" s="4"/>
      <c r="BL45" s="4"/>
      <c r="BM45" s="4"/>
      <c r="BN45" s="4"/>
      <c r="BO45" s="4"/>
      <c r="BP45" s="4"/>
      <c r="BQ45" s="4"/>
      <c r="BR45" s="4"/>
      <c r="BS45" s="4"/>
    </row>
    <row r="46" spans="1:71" ht="48">
      <c r="A46" s="3"/>
      <c r="B46" s="14" t="s">
        <v>99</v>
      </c>
      <c r="C46" s="483" t="s">
        <v>301</v>
      </c>
      <c r="D46" s="495" t="s">
        <v>302</v>
      </c>
      <c r="E46" s="15">
        <v>420</v>
      </c>
      <c r="F46" s="15">
        <v>329</v>
      </c>
      <c r="G46" s="15">
        <v>329</v>
      </c>
      <c r="H46" s="16">
        <f t="shared" si="0"/>
        <v>1</v>
      </c>
      <c r="I46" s="15">
        <v>329</v>
      </c>
      <c r="J46" s="16">
        <f t="shared" si="1"/>
        <v>1</v>
      </c>
      <c r="K46" s="626" t="s">
        <v>303</v>
      </c>
      <c r="L46" s="15" t="s">
        <v>25</v>
      </c>
      <c r="M46" s="639" t="s">
        <v>304</v>
      </c>
      <c r="N46" s="17" t="s">
        <v>305</v>
      </c>
      <c r="O46" s="17"/>
      <c r="P46" s="25"/>
      <c r="Q46" s="3" t="s">
        <v>306</v>
      </c>
      <c r="R46" s="19" t="s">
        <v>198</v>
      </c>
      <c r="S46" s="45" t="s">
        <v>77</v>
      </c>
      <c r="T46" s="45"/>
      <c r="U46" s="3"/>
      <c r="V46" s="3"/>
      <c r="W46" s="51"/>
      <c r="X46" s="3"/>
      <c r="Y46" s="3"/>
      <c r="Z46" s="3"/>
      <c r="AA46" s="3"/>
      <c r="AB46" s="3"/>
      <c r="AC46" s="3"/>
      <c r="AD46" s="3"/>
      <c r="AE46" s="3"/>
      <c r="AF46" s="3"/>
      <c r="AG46" s="3"/>
      <c r="AH46" s="4"/>
      <c r="AI46" s="4"/>
      <c r="AJ46" s="4"/>
      <c r="AK46" s="4"/>
      <c r="AL46" s="4"/>
      <c r="AM46" s="69"/>
      <c r="AN46" s="70"/>
      <c r="AO46" s="70"/>
      <c r="AP46" s="70"/>
      <c r="AQ46" s="71"/>
      <c r="AR46" s="56"/>
      <c r="AS46" s="57"/>
      <c r="AT46" s="4"/>
      <c r="AU46" s="3"/>
      <c r="AV46" s="56"/>
      <c r="AW46" s="56"/>
      <c r="AX46" s="56"/>
      <c r="AY46" s="57"/>
      <c r="AZ46" s="56"/>
      <c r="BA46" s="57"/>
      <c r="BB46" s="4"/>
      <c r="BC46" s="3"/>
      <c r="BD46" s="56"/>
      <c r="BE46" s="56"/>
      <c r="BF46" s="56"/>
      <c r="BG46" s="57"/>
      <c r="BH46" s="56"/>
      <c r="BI46" s="57"/>
      <c r="BJ46" s="4"/>
      <c r="BK46" s="4"/>
      <c r="BL46" s="4"/>
      <c r="BM46" s="4"/>
      <c r="BN46" s="4"/>
      <c r="BO46" s="4"/>
      <c r="BP46" s="4"/>
      <c r="BQ46" s="4"/>
      <c r="BR46" s="4"/>
      <c r="BS46" s="4"/>
    </row>
    <row r="47" spans="1:71" ht="35.25">
      <c r="A47" s="3"/>
      <c r="B47" s="14" t="s">
        <v>307</v>
      </c>
      <c r="C47" s="14" t="s">
        <v>308</v>
      </c>
      <c r="D47" s="495" t="s">
        <v>309</v>
      </c>
      <c r="E47" s="487">
        <v>15</v>
      </c>
      <c r="F47" s="487">
        <v>15</v>
      </c>
      <c r="G47" s="487">
        <v>15</v>
      </c>
      <c r="H47" s="502">
        <f t="shared" si="0"/>
        <v>1</v>
      </c>
      <c r="I47" s="487">
        <v>15</v>
      </c>
      <c r="J47" s="488">
        <f t="shared" si="1"/>
        <v>1</v>
      </c>
      <c r="K47" s="626" t="s">
        <v>303</v>
      </c>
      <c r="L47" s="15" t="s">
        <v>25</v>
      </c>
      <c r="M47" s="645"/>
      <c r="N47" s="17" t="s">
        <v>310</v>
      </c>
      <c r="O47" s="58"/>
      <c r="P47" s="25"/>
      <c r="Q47" s="3" t="s">
        <v>311</v>
      </c>
      <c r="R47" s="19" t="s">
        <v>312</v>
      </c>
      <c r="S47" s="45" t="s">
        <v>77</v>
      </c>
      <c r="T47" s="45"/>
      <c r="U47" s="3"/>
      <c r="V47" s="3"/>
      <c r="W47" s="51"/>
      <c r="X47" s="3"/>
      <c r="Y47" s="3"/>
      <c r="Z47" s="3"/>
      <c r="AA47" s="3"/>
      <c r="AB47" s="3"/>
      <c r="AC47" s="3"/>
      <c r="AD47" s="3"/>
      <c r="AE47" s="3"/>
      <c r="AF47" s="3"/>
      <c r="AG47" s="3"/>
      <c r="AH47" s="4"/>
      <c r="AI47" s="4"/>
      <c r="AJ47" s="4"/>
      <c r="AK47" s="4"/>
      <c r="AL47" s="4"/>
      <c r="AM47" s="69"/>
      <c r="AN47" s="70"/>
      <c r="AO47" s="70"/>
      <c r="AP47" s="70"/>
      <c r="AQ47" s="71"/>
      <c r="AR47" s="56"/>
      <c r="AS47" s="57"/>
      <c r="AT47" s="4"/>
      <c r="AU47" s="3"/>
      <c r="AV47" s="56"/>
      <c r="AW47" s="56"/>
      <c r="AX47" s="56"/>
      <c r="AY47" s="57"/>
      <c r="AZ47" s="56"/>
      <c r="BA47" s="57"/>
      <c r="BB47" s="4"/>
      <c r="BC47" s="3"/>
      <c r="BD47" s="56"/>
      <c r="BE47" s="56"/>
      <c r="BF47" s="56"/>
      <c r="BG47" s="57"/>
      <c r="BH47" s="56"/>
      <c r="BI47" s="57"/>
      <c r="BJ47" s="4"/>
      <c r="BK47" s="4"/>
      <c r="BL47" s="4"/>
      <c r="BM47" s="4"/>
      <c r="BN47" s="4"/>
      <c r="BO47" s="4"/>
      <c r="BP47" s="4"/>
      <c r="BQ47" s="4"/>
      <c r="BR47" s="4"/>
      <c r="BS47" s="4"/>
    </row>
    <row r="48" spans="1:71" ht="35.25">
      <c r="A48" s="3"/>
      <c r="B48" s="14" t="s">
        <v>307</v>
      </c>
      <c r="C48" s="14" t="s">
        <v>308</v>
      </c>
      <c r="D48" s="495" t="s">
        <v>313</v>
      </c>
      <c r="E48" s="487">
        <v>16</v>
      </c>
      <c r="F48" s="487">
        <v>16</v>
      </c>
      <c r="G48" s="487">
        <v>16</v>
      </c>
      <c r="H48" s="488">
        <f t="shared" si="0"/>
        <v>1</v>
      </c>
      <c r="I48" s="487">
        <v>16</v>
      </c>
      <c r="J48" s="488">
        <f t="shared" si="1"/>
        <v>1</v>
      </c>
      <c r="K48" s="626" t="s">
        <v>303</v>
      </c>
      <c r="L48" s="15" t="s">
        <v>25</v>
      </c>
      <c r="M48" s="645"/>
      <c r="N48" s="17" t="s">
        <v>310</v>
      </c>
      <c r="O48" s="58"/>
      <c r="P48" s="25"/>
      <c r="Q48" s="3" t="s">
        <v>311</v>
      </c>
      <c r="R48" s="19" t="s">
        <v>312</v>
      </c>
      <c r="S48" s="45" t="s">
        <v>77</v>
      </c>
      <c r="T48" s="45"/>
      <c r="U48" s="3"/>
      <c r="V48" s="3"/>
      <c r="W48" s="51"/>
      <c r="X48" s="3"/>
      <c r="Y48" s="3"/>
      <c r="Z48" s="3"/>
      <c r="AA48" s="3"/>
      <c r="AB48" s="3"/>
      <c r="AC48" s="3"/>
      <c r="AD48" s="3"/>
      <c r="AE48" s="3"/>
      <c r="AF48" s="3"/>
      <c r="AG48" s="3"/>
      <c r="AH48" s="4"/>
      <c r="AI48" s="4"/>
      <c r="AJ48" s="4"/>
      <c r="AK48" s="4"/>
      <c r="AL48" s="4"/>
      <c r="AM48" s="69"/>
      <c r="AN48" s="70"/>
      <c r="AO48" s="70"/>
      <c r="AP48" s="70"/>
      <c r="AQ48" s="71"/>
      <c r="AR48" s="56"/>
      <c r="AS48" s="57"/>
      <c r="AT48" s="4"/>
      <c r="AU48" s="3"/>
      <c r="AV48" s="56"/>
      <c r="AW48" s="56"/>
      <c r="AX48" s="56"/>
      <c r="AY48" s="57"/>
      <c r="AZ48" s="56"/>
      <c r="BA48" s="57"/>
      <c r="BB48" s="4"/>
      <c r="BC48" s="3"/>
      <c r="BD48" s="56"/>
      <c r="BE48" s="56"/>
      <c r="BF48" s="56"/>
      <c r="BG48" s="57"/>
      <c r="BH48" s="56"/>
      <c r="BI48" s="57"/>
      <c r="BJ48" s="4"/>
      <c r="BK48" s="4"/>
      <c r="BL48" s="4"/>
      <c r="BM48" s="4"/>
      <c r="BN48" s="4"/>
      <c r="BO48" s="4"/>
      <c r="BP48" s="4"/>
      <c r="BQ48" s="4"/>
      <c r="BR48" s="4"/>
      <c r="BS48" s="4"/>
    </row>
    <row r="49" spans="1:71" ht="35.25">
      <c r="A49" s="3"/>
      <c r="B49" s="14" t="s">
        <v>307</v>
      </c>
      <c r="C49" s="14" t="s">
        <v>308</v>
      </c>
      <c r="D49" s="495" t="s">
        <v>314</v>
      </c>
      <c r="E49" s="487">
        <v>37</v>
      </c>
      <c r="F49" s="487">
        <v>37</v>
      </c>
      <c r="G49" s="487">
        <v>37</v>
      </c>
      <c r="H49" s="488">
        <f t="shared" si="0"/>
        <v>1</v>
      </c>
      <c r="I49" s="487">
        <v>37</v>
      </c>
      <c r="J49" s="488">
        <f t="shared" ref="J49:J51" si="20">I49/G49</f>
        <v>1</v>
      </c>
      <c r="K49" s="626" t="s">
        <v>64</v>
      </c>
      <c r="L49" s="15" t="s">
        <v>25</v>
      </c>
      <c r="M49" s="645"/>
      <c r="N49" s="17" t="s">
        <v>310</v>
      </c>
      <c r="O49" s="58"/>
      <c r="P49" s="25"/>
      <c r="Q49" s="3" t="s">
        <v>311</v>
      </c>
      <c r="R49" s="19" t="s">
        <v>312</v>
      </c>
      <c r="S49" s="45" t="s">
        <v>77</v>
      </c>
      <c r="T49" s="45"/>
      <c r="U49" s="3"/>
      <c r="V49" s="3"/>
      <c r="W49" s="51"/>
      <c r="X49" s="3"/>
      <c r="Y49" s="3"/>
      <c r="Z49" s="3"/>
      <c r="AA49" s="3"/>
      <c r="AB49" s="3"/>
      <c r="AC49" s="3"/>
      <c r="AD49" s="3"/>
      <c r="AE49" s="3"/>
      <c r="AF49" s="3"/>
      <c r="AG49" s="3"/>
      <c r="AH49" s="4"/>
      <c r="AI49" s="4"/>
      <c r="AJ49" s="4"/>
      <c r="AK49" s="4"/>
      <c r="AL49" s="4"/>
      <c r="AM49" s="69"/>
      <c r="AN49" s="70"/>
      <c r="AO49" s="70"/>
      <c r="AP49" s="70"/>
      <c r="AQ49" s="71"/>
      <c r="AR49" s="56"/>
      <c r="AS49" s="57"/>
      <c r="AT49" s="4"/>
      <c r="AU49" s="3"/>
      <c r="AV49" s="56"/>
      <c r="AW49" s="56"/>
      <c r="AX49" s="56"/>
      <c r="AY49" s="57"/>
      <c r="AZ49" s="56"/>
      <c r="BA49" s="57"/>
      <c r="BB49" s="4"/>
      <c r="BC49" s="3"/>
      <c r="BD49" s="56"/>
      <c r="BE49" s="56"/>
      <c r="BF49" s="56"/>
      <c r="BG49" s="57"/>
      <c r="BH49" s="56"/>
      <c r="BI49" s="57"/>
      <c r="BJ49" s="4"/>
      <c r="BK49" s="4"/>
      <c r="BL49" s="4"/>
      <c r="BM49" s="4"/>
      <c r="BN49" s="4"/>
      <c r="BO49" s="4"/>
      <c r="BP49" s="4"/>
      <c r="BQ49" s="4"/>
      <c r="BR49" s="4"/>
      <c r="BS49" s="4"/>
    </row>
    <row r="50" spans="1:71" ht="35.25">
      <c r="A50" s="3"/>
      <c r="B50" s="14" t="s">
        <v>307</v>
      </c>
      <c r="C50" s="14" t="s">
        <v>308</v>
      </c>
      <c r="D50" s="495" t="s">
        <v>315</v>
      </c>
      <c r="E50" s="487">
        <v>21</v>
      </c>
      <c r="F50" s="487">
        <v>21</v>
      </c>
      <c r="G50" s="487">
        <v>21</v>
      </c>
      <c r="H50" s="488">
        <f t="shared" si="0"/>
        <v>1</v>
      </c>
      <c r="I50" s="487">
        <v>21</v>
      </c>
      <c r="J50" s="488">
        <f t="shared" si="20"/>
        <v>1</v>
      </c>
      <c r="K50" s="626" t="s">
        <v>64</v>
      </c>
      <c r="L50" s="15" t="s">
        <v>25</v>
      </c>
      <c r="M50" s="645"/>
      <c r="N50" s="17" t="s">
        <v>310</v>
      </c>
      <c r="O50" s="58"/>
      <c r="P50" s="25"/>
      <c r="Q50" s="3" t="s">
        <v>311</v>
      </c>
      <c r="R50" s="19" t="s">
        <v>312</v>
      </c>
      <c r="S50" s="45" t="s">
        <v>77</v>
      </c>
      <c r="T50" s="45"/>
      <c r="U50" s="3"/>
      <c r="V50" s="3"/>
      <c r="W50" s="51"/>
      <c r="X50" s="3"/>
      <c r="Y50" s="3"/>
      <c r="Z50" s="3"/>
      <c r="AA50" s="3"/>
      <c r="AB50" s="3"/>
      <c r="AC50" s="3"/>
      <c r="AD50" s="3"/>
      <c r="AE50" s="3"/>
      <c r="AF50" s="3"/>
      <c r="AG50" s="3"/>
      <c r="AH50" s="4"/>
      <c r="AI50" s="4"/>
      <c r="AJ50" s="4"/>
      <c r="AK50" s="4"/>
      <c r="AL50" s="4"/>
      <c r="AM50" s="69"/>
      <c r="AN50" s="70"/>
      <c r="AO50" s="70"/>
      <c r="AP50" s="70"/>
      <c r="AQ50" s="71"/>
      <c r="AR50" s="56"/>
      <c r="AS50" s="57"/>
      <c r="AT50" s="4"/>
      <c r="AU50" s="3"/>
      <c r="AV50" s="56"/>
      <c r="AW50" s="56"/>
      <c r="AX50" s="56"/>
      <c r="AY50" s="57"/>
      <c r="AZ50" s="56"/>
      <c r="BA50" s="57"/>
      <c r="BB50" s="4"/>
      <c r="BC50" s="3"/>
      <c r="BD50" s="56"/>
      <c r="BE50" s="56"/>
      <c r="BF50" s="56"/>
      <c r="BG50" s="57"/>
      <c r="BH50" s="56"/>
      <c r="BI50" s="57"/>
      <c r="BJ50" s="4"/>
      <c r="BK50" s="4"/>
      <c r="BL50" s="4"/>
      <c r="BM50" s="4"/>
      <c r="BN50" s="4"/>
      <c r="BO50" s="4"/>
      <c r="BP50" s="4"/>
      <c r="BQ50" s="4"/>
      <c r="BR50" s="4"/>
      <c r="BS50" s="4"/>
    </row>
    <row r="51" spans="1:71" ht="48">
      <c r="A51" s="3"/>
      <c r="B51" s="14" t="s">
        <v>307</v>
      </c>
      <c r="C51" s="483" t="s">
        <v>316</v>
      </c>
      <c r="D51" s="495" t="s">
        <v>317</v>
      </c>
      <c r="E51" s="15">
        <v>39</v>
      </c>
      <c r="F51" s="15">
        <v>37</v>
      </c>
      <c r="G51" s="15">
        <v>37</v>
      </c>
      <c r="H51" s="16">
        <f t="shared" si="0"/>
        <v>1</v>
      </c>
      <c r="I51" s="15">
        <v>36</v>
      </c>
      <c r="J51" s="16">
        <f t="shared" si="20"/>
        <v>0.97297297297297303</v>
      </c>
      <c r="K51" s="626" t="s">
        <v>42</v>
      </c>
      <c r="L51" s="15" t="s">
        <v>25</v>
      </c>
      <c r="M51" s="639" t="s">
        <v>318</v>
      </c>
      <c r="N51" s="17" t="s">
        <v>319</v>
      </c>
      <c r="O51" s="31"/>
      <c r="P51" s="25"/>
      <c r="Q51" s="3" t="s">
        <v>153</v>
      </c>
      <c r="R51" s="19" t="s">
        <v>154</v>
      </c>
      <c r="S51" s="45" t="s">
        <v>77</v>
      </c>
      <c r="T51" s="45"/>
      <c r="U51" s="3"/>
      <c r="V51" s="3"/>
      <c r="W51" s="51"/>
      <c r="X51" s="3"/>
      <c r="Y51" s="3"/>
      <c r="Z51" s="3"/>
      <c r="AA51" s="3"/>
      <c r="AB51" s="3"/>
      <c r="AC51" s="3"/>
      <c r="AD51" s="3"/>
      <c r="AE51" s="3"/>
      <c r="AF51" s="3"/>
      <c r="AG51" s="3"/>
      <c r="AH51" s="4"/>
      <c r="AI51" s="4"/>
      <c r="AJ51" s="4"/>
      <c r="AK51" s="4"/>
      <c r="AL51" s="4"/>
      <c r="AM51" s="69"/>
      <c r="AN51" s="70"/>
      <c r="AO51" s="70"/>
      <c r="AP51" s="70"/>
      <c r="AQ51" s="71"/>
      <c r="AR51" s="56"/>
      <c r="AS51" s="57"/>
      <c r="AT51" s="4"/>
      <c r="AU51" s="3"/>
      <c r="AV51" s="56"/>
      <c r="AW51" s="56"/>
      <c r="AX51" s="56"/>
      <c r="AY51" s="57"/>
      <c r="AZ51" s="56"/>
      <c r="BA51" s="57"/>
      <c r="BB51" s="4"/>
      <c r="BC51" s="3"/>
      <c r="BD51" s="56"/>
      <c r="BE51" s="56"/>
      <c r="BF51" s="56"/>
      <c r="BG51" s="57"/>
      <c r="BH51" s="56"/>
      <c r="BI51" s="57"/>
      <c r="BJ51" s="4"/>
      <c r="BK51" s="4"/>
      <c r="BL51" s="4"/>
      <c r="BM51" s="4"/>
      <c r="BN51" s="4"/>
      <c r="BO51" s="4"/>
      <c r="BP51" s="4"/>
      <c r="BQ51" s="4"/>
      <c r="BR51" s="4"/>
      <c r="BS51" s="4"/>
    </row>
    <row r="52" spans="1:71" ht="48">
      <c r="A52" s="3"/>
      <c r="B52" s="14" t="s">
        <v>162</v>
      </c>
      <c r="C52" s="14" t="s">
        <v>320</v>
      </c>
      <c r="D52" s="495" t="s">
        <v>321</v>
      </c>
      <c r="E52" s="15">
        <v>27</v>
      </c>
      <c r="F52" s="15">
        <v>27</v>
      </c>
      <c r="G52" s="15">
        <v>27</v>
      </c>
      <c r="H52" s="16">
        <f t="shared" si="0"/>
        <v>1</v>
      </c>
      <c r="I52" s="15">
        <v>27</v>
      </c>
      <c r="J52" s="16">
        <f t="shared" ref="J52:J65" si="21">I52/F52</f>
        <v>1</v>
      </c>
      <c r="K52" s="626" t="s">
        <v>296</v>
      </c>
      <c r="L52" s="15" t="s">
        <v>322</v>
      </c>
      <c r="M52" s="639" t="s">
        <v>323</v>
      </c>
      <c r="N52" s="17" t="s">
        <v>324</v>
      </c>
      <c r="O52" s="31"/>
      <c r="P52" s="25"/>
      <c r="Q52" s="3" t="s">
        <v>153</v>
      </c>
      <c r="R52" s="19" t="s">
        <v>154</v>
      </c>
      <c r="S52" s="20" t="s">
        <v>29</v>
      </c>
      <c r="T52" s="20"/>
      <c r="U52" s="3"/>
      <c r="V52" s="3"/>
      <c r="W52" s="51"/>
      <c r="X52" s="3"/>
      <c r="Y52" s="3"/>
      <c r="Z52" s="3"/>
      <c r="AA52" s="3"/>
      <c r="AB52" s="3"/>
      <c r="AC52" s="3"/>
      <c r="AD52" s="3"/>
      <c r="AE52" s="3"/>
      <c r="AF52" s="3"/>
      <c r="AG52" s="3"/>
      <c r="AH52" s="4"/>
      <c r="AI52" s="4"/>
      <c r="AJ52" s="4"/>
      <c r="AK52" s="4"/>
      <c r="AL52" s="4"/>
      <c r="AM52" s="69"/>
      <c r="AN52" s="70"/>
      <c r="AO52" s="70"/>
      <c r="AP52" s="70"/>
      <c r="AQ52" s="71"/>
      <c r="AR52" s="56"/>
      <c r="AS52" s="57"/>
      <c r="AT52" s="4"/>
      <c r="AU52" s="3"/>
      <c r="AV52" s="56"/>
      <c r="AW52" s="56"/>
      <c r="AX52" s="56"/>
      <c r="AY52" s="57"/>
      <c r="AZ52" s="56"/>
      <c r="BA52" s="57"/>
      <c r="BB52" s="4"/>
      <c r="BC52" s="3"/>
      <c r="BD52" s="56"/>
      <c r="BE52" s="56"/>
      <c r="BF52" s="56"/>
      <c r="BG52" s="57"/>
      <c r="BH52" s="56"/>
      <c r="BI52" s="57"/>
      <c r="BJ52" s="4"/>
      <c r="BK52" s="4"/>
      <c r="BL52" s="4"/>
      <c r="BM52" s="4"/>
      <c r="BN52" s="4"/>
      <c r="BO52" s="4"/>
      <c r="BP52" s="4"/>
      <c r="BQ52" s="4"/>
      <c r="BR52" s="4"/>
      <c r="BS52" s="4"/>
    </row>
    <row r="53" spans="1:71" ht="48">
      <c r="A53" s="3"/>
      <c r="B53" s="41" t="s">
        <v>162</v>
      </c>
      <c r="C53" s="41" t="s">
        <v>325</v>
      </c>
      <c r="D53" s="490" t="s">
        <v>326</v>
      </c>
      <c r="E53" s="42">
        <v>2900</v>
      </c>
      <c r="F53" s="42">
        <v>307</v>
      </c>
      <c r="G53" s="42">
        <v>307</v>
      </c>
      <c r="H53" s="43">
        <f t="shared" si="0"/>
        <v>1</v>
      </c>
      <c r="I53" s="42">
        <v>307</v>
      </c>
      <c r="J53" s="43">
        <f t="shared" si="21"/>
        <v>1</v>
      </c>
      <c r="K53" s="630" t="s">
        <v>327</v>
      </c>
      <c r="L53" s="42" t="s">
        <v>25</v>
      </c>
      <c r="M53" s="642" t="s">
        <v>328</v>
      </c>
      <c r="N53" s="491" t="s">
        <v>329</v>
      </c>
      <c r="O53" s="491"/>
      <c r="P53" s="72" t="s">
        <v>330</v>
      </c>
      <c r="Q53" s="3" t="s">
        <v>331</v>
      </c>
      <c r="R53" s="19" t="s">
        <v>198</v>
      </c>
      <c r="S53" s="20" t="s">
        <v>29</v>
      </c>
      <c r="T53" s="20"/>
      <c r="U53" s="3"/>
      <c r="V53" s="3"/>
      <c r="W53" s="51"/>
      <c r="X53" s="3"/>
      <c r="Y53" s="3"/>
      <c r="Z53" s="3"/>
      <c r="AA53" s="3"/>
      <c r="AB53" s="3"/>
      <c r="AC53" s="3"/>
      <c r="AD53" s="3"/>
      <c r="AE53" s="3"/>
      <c r="AF53" s="3"/>
      <c r="AG53" s="3"/>
      <c r="AH53" s="4"/>
      <c r="AI53" s="4"/>
      <c r="AJ53" s="4"/>
      <c r="AK53" s="4"/>
      <c r="AL53" s="4"/>
      <c r="AM53" s="69"/>
      <c r="AN53" s="70"/>
      <c r="AO53" s="70"/>
      <c r="AP53" s="70"/>
      <c r="AQ53" s="71"/>
      <c r="AR53" s="56"/>
      <c r="AS53" s="57"/>
      <c r="AT53" s="4"/>
      <c r="AU53" s="3"/>
      <c r="AV53" s="56"/>
      <c r="AW53" s="56"/>
      <c r="AX53" s="56"/>
      <c r="AY53" s="57"/>
      <c r="AZ53" s="56"/>
      <c r="BA53" s="57"/>
      <c r="BB53" s="4"/>
      <c r="BC53" s="3"/>
      <c r="BD53" s="56"/>
      <c r="BE53" s="56"/>
      <c r="BF53" s="56"/>
      <c r="BG53" s="57"/>
      <c r="BH53" s="56"/>
      <c r="BI53" s="57"/>
      <c r="BJ53" s="4"/>
      <c r="BK53" s="4"/>
      <c r="BL53" s="4"/>
      <c r="BM53" s="4"/>
      <c r="BN53" s="4"/>
      <c r="BO53" s="4"/>
      <c r="BP53" s="4"/>
      <c r="BQ53" s="4"/>
      <c r="BR53" s="4"/>
      <c r="BS53" s="4"/>
    </row>
    <row r="54" spans="1:71" ht="48">
      <c r="A54" s="3"/>
      <c r="B54" s="41" t="s">
        <v>307</v>
      </c>
      <c r="C54" s="41" t="s">
        <v>332</v>
      </c>
      <c r="D54" s="490" t="s">
        <v>333</v>
      </c>
      <c r="E54" s="42">
        <v>169</v>
      </c>
      <c r="F54" s="42">
        <v>169</v>
      </c>
      <c r="G54" s="42">
        <v>160</v>
      </c>
      <c r="H54" s="43">
        <f t="shared" si="0"/>
        <v>0.94674556213017746</v>
      </c>
      <c r="I54" s="42">
        <v>160</v>
      </c>
      <c r="J54" s="43">
        <f t="shared" si="21"/>
        <v>0.94674556213017746</v>
      </c>
      <c r="K54" s="630" t="s">
        <v>334</v>
      </c>
      <c r="L54" s="42" t="s">
        <v>149</v>
      </c>
      <c r="M54" s="642" t="s">
        <v>335</v>
      </c>
      <c r="N54" s="491" t="s">
        <v>336</v>
      </c>
      <c r="O54" s="44"/>
      <c r="P54" s="72" t="s">
        <v>337</v>
      </c>
      <c r="Q54" s="3" t="s">
        <v>338</v>
      </c>
      <c r="R54" s="19" t="s">
        <v>339</v>
      </c>
      <c r="S54" s="45" t="s">
        <v>77</v>
      </c>
      <c r="T54" s="45" t="s">
        <v>340</v>
      </c>
      <c r="U54" s="3"/>
      <c r="V54" s="3"/>
      <c r="W54" s="51"/>
      <c r="X54" s="3"/>
      <c r="Y54" s="3"/>
      <c r="Z54" s="3"/>
      <c r="AA54" s="3"/>
      <c r="AB54" s="3"/>
      <c r="AC54" s="3"/>
      <c r="AD54" s="3"/>
      <c r="AE54" s="3"/>
      <c r="AF54" s="3"/>
      <c r="AG54" s="3"/>
      <c r="AH54" s="4"/>
      <c r="AI54" s="4"/>
      <c r="AJ54" s="4"/>
      <c r="AK54" s="4"/>
      <c r="AL54" s="4"/>
      <c r="AM54" s="69"/>
      <c r="AN54" s="70"/>
      <c r="AO54" s="70"/>
      <c r="AP54" s="70"/>
      <c r="AQ54" s="71"/>
      <c r="AR54" s="56"/>
      <c r="AS54" s="57"/>
      <c r="AT54" s="4"/>
      <c r="AU54" s="3"/>
      <c r="AV54" s="56"/>
      <c r="AW54" s="56"/>
      <c r="AX54" s="56"/>
      <c r="AY54" s="57"/>
      <c r="AZ54" s="56"/>
      <c r="BA54" s="57"/>
      <c r="BB54" s="4"/>
      <c r="BC54" s="3"/>
      <c r="BD54" s="56"/>
      <c r="BE54" s="56"/>
      <c r="BF54" s="56"/>
      <c r="BG54" s="57"/>
      <c r="BH54" s="56"/>
      <c r="BI54" s="57"/>
      <c r="BJ54" s="4"/>
      <c r="BK54" s="4"/>
      <c r="BL54" s="4"/>
      <c r="BM54" s="4"/>
      <c r="BN54" s="4"/>
      <c r="BO54" s="4"/>
      <c r="BP54" s="4"/>
      <c r="BQ54" s="4"/>
      <c r="BR54" s="4"/>
      <c r="BS54" s="4"/>
    </row>
    <row r="55" spans="1:71" ht="48">
      <c r="A55" s="3"/>
      <c r="B55" s="14" t="s">
        <v>341</v>
      </c>
      <c r="C55" s="483" t="s">
        <v>342</v>
      </c>
      <c r="D55" s="495" t="s">
        <v>343</v>
      </c>
      <c r="E55" s="15">
        <v>660</v>
      </c>
      <c r="F55" s="15">
        <v>658</v>
      </c>
      <c r="G55" s="15">
        <v>658</v>
      </c>
      <c r="H55" s="16">
        <f t="shared" si="0"/>
        <v>1</v>
      </c>
      <c r="I55" s="15">
        <v>658</v>
      </c>
      <c r="J55" s="16">
        <f t="shared" si="21"/>
        <v>1</v>
      </c>
      <c r="K55" s="626" t="s">
        <v>344</v>
      </c>
      <c r="L55" s="15" t="s">
        <v>345</v>
      </c>
      <c r="M55" s="639" t="s">
        <v>346</v>
      </c>
      <c r="N55" s="17" t="s">
        <v>347</v>
      </c>
      <c r="O55" s="31"/>
      <c r="P55" s="25"/>
      <c r="Q55" s="3" t="s">
        <v>105</v>
      </c>
      <c r="R55" s="19" t="s">
        <v>76</v>
      </c>
      <c r="S55" s="45" t="s">
        <v>77</v>
      </c>
      <c r="T55" s="45"/>
      <c r="U55" s="3"/>
      <c r="V55" s="3"/>
      <c r="W55" s="51"/>
      <c r="X55" s="3"/>
      <c r="Y55" s="3"/>
      <c r="Z55" s="3"/>
      <c r="AA55" s="3"/>
      <c r="AB55" s="3"/>
      <c r="AC55" s="3"/>
      <c r="AD55" s="3"/>
      <c r="AE55" s="3"/>
      <c r="AF55" s="3"/>
      <c r="AG55" s="3"/>
      <c r="AH55" s="4"/>
      <c r="AI55" s="4"/>
      <c r="AJ55" s="4"/>
      <c r="AK55" s="4"/>
      <c r="AL55" s="4"/>
      <c r="AM55" s="69"/>
      <c r="AN55" s="70"/>
      <c r="AO55" s="70"/>
      <c r="AP55" s="70"/>
      <c r="AQ55" s="71"/>
      <c r="AR55" s="56"/>
      <c r="AS55" s="57"/>
      <c r="AT55" s="4"/>
      <c r="AU55" s="3"/>
      <c r="AV55" s="56"/>
      <c r="AW55" s="56"/>
      <c r="AX55" s="56"/>
      <c r="AY55" s="57"/>
      <c r="AZ55" s="56"/>
      <c r="BA55" s="57"/>
      <c r="BB55" s="4"/>
      <c r="BC55" s="3"/>
      <c r="BD55" s="56"/>
      <c r="BE55" s="56"/>
      <c r="BF55" s="56"/>
      <c r="BG55" s="57"/>
      <c r="BH55" s="56"/>
      <c r="BI55" s="57"/>
      <c r="BJ55" s="4"/>
      <c r="BK55" s="4"/>
      <c r="BL55" s="4"/>
      <c r="BM55" s="4"/>
      <c r="BN55" s="4"/>
      <c r="BO55" s="4"/>
      <c r="BP55" s="4"/>
      <c r="BQ55" s="4"/>
      <c r="BR55" s="4"/>
      <c r="BS55" s="4"/>
    </row>
    <row r="56" spans="1:71" ht="48">
      <c r="A56" s="3"/>
      <c r="B56" s="41" t="s">
        <v>348</v>
      </c>
      <c r="C56" s="41" t="s">
        <v>349</v>
      </c>
      <c r="D56" s="490" t="s">
        <v>350</v>
      </c>
      <c r="E56" s="42">
        <v>329</v>
      </c>
      <c r="F56" s="42">
        <v>329</v>
      </c>
      <c r="G56" s="42">
        <v>68</v>
      </c>
      <c r="H56" s="43">
        <f t="shared" si="0"/>
        <v>0.20668693009118541</v>
      </c>
      <c r="I56" s="42">
        <v>68</v>
      </c>
      <c r="J56" s="43">
        <f t="shared" si="21"/>
        <v>0.20668693009118541</v>
      </c>
      <c r="K56" s="630" t="s">
        <v>351</v>
      </c>
      <c r="L56" s="42" t="s">
        <v>25</v>
      </c>
      <c r="M56" s="642" t="s">
        <v>352</v>
      </c>
      <c r="N56" s="503" t="s">
        <v>353</v>
      </c>
      <c r="O56" s="504"/>
      <c r="P56" s="25"/>
      <c r="Q56" s="3"/>
      <c r="R56" s="19" t="s">
        <v>354</v>
      </c>
      <c r="S56" s="45" t="s">
        <v>77</v>
      </c>
      <c r="T56" s="45"/>
      <c r="U56" s="3"/>
      <c r="V56" s="3"/>
      <c r="W56" s="51"/>
      <c r="X56" s="3"/>
      <c r="Y56" s="3"/>
      <c r="Z56" s="3"/>
      <c r="AA56" s="3"/>
      <c r="AB56" s="3"/>
      <c r="AC56" s="3"/>
      <c r="AD56" s="3"/>
      <c r="AE56" s="3"/>
      <c r="AF56" s="3"/>
      <c r="AG56" s="3"/>
      <c r="AH56" s="4"/>
      <c r="AI56" s="4"/>
      <c r="AJ56" s="4"/>
      <c r="AK56" s="4"/>
      <c r="AL56" s="4"/>
      <c r="AM56" s="69"/>
      <c r="AN56" s="70"/>
      <c r="AO56" s="70"/>
      <c r="AP56" s="70"/>
      <c r="AQ56" s="71"/>
      <c r="AR56" s="56"/>
      <c r="AS56" s="57"/>
      <c r="AT56" s="4"/>
      <c r="AU56" s="3"/>
      <c r="AV56" s="56"/>
      <c r="AW56" s="56"/>
      <c r="AX56" s="56"/>
      <c r="AY56" s="57"/>
      <c r="AZ56" s="56"/>
      <c r="BA56" s="57"/>
      <c r="BB56" s="4"/>
      <c r="BC56" s="3"/>
      <c r="BD56" s="56"/>
      <c r="BE56" s="56"/>
      <c r="BF56" s="56"/>
      <c r="BG56" s="57"/>
      <c r="BH56" s="56"/>
      <c r="BI56" s="57"/>
      <c r="BJ56" s="4"/>
      <c r="BK56" s="4"/>
      <c r="BL56" s="4"/>
      <c r="BM56" s="4"/>
      <c r="BN56" s="4"/>
      <c r="BO56" s="4"/>
      <c r="BP56" s="4"/>
      <c r="BQ56" s="4"/>
      <c r="BR56" s="4"/>
      <c r="BS56" s="4"/>
    </row>
    <row r="57" spans="1:71" ht="48">
      <c r="A57" s="3"/>
      <c r="B57" s="73"/>
      <c r="C57" s="505" t="s">
        <v>308</v>
      </c>
      <c r="D57" s="506" t="s">
        <v>355</v>
      </c>
      <c r="E57" s="74">
        <v>704</v>
      </c>
      <c r="F57" s="74">
        <v>704</v>
      </c>
      <c r="G57" s="74">
        <v>59</v>
      </c>
      <c r="H57" s="75">
        <f t="shared" si="0"/>
        <v>8.3806818181818177E-2</v>
      </c>
      <c r="I57" s="74">
        <v>59</v>
      </c>
      <c r="J57" s="75">
        <f t="shared" si="21"/>
        <v>8.3806818181818177E-2</v>
      </c>
      <c r="K57" s="633" t="s">
        <v>351</v>
      </c>
      <c r="L57" s="74" t="s">
        <v>25</v>
      </c>
      <c r="M57" s="646" t="s">
        <v>356</v>
      </c>
      <c r="N57" s="507" t="s">
        <v>357</v>
      </c>
      <c r="O57" s="76"/>
      <c r="P57" s="25"/>
      <c r="Q57" s="3" t="s">
        <v>153</v>
      </c>
      <c r="R57" s="19" t="s">
        <v>154</v>
      </c>
      <c r="S57" s="45" t="s">
        <v>77</v>
      </c>
      <c r="T57" s="45"/>
      <c r="U57" s="3"/>
      <c r="V57" s="3"/>
      <c r="W57" s="51"/>
      <c r="X57" s="3"/>
      <c r="Y57" s="3"/>
      <c r="Z57" s="3"/>
      <c r="AA57" s="3"/>
      <c r="AB57" s="3"/>
      <c r="AC57" s="3"/>
      <c r="AD57" s="3"/>
      <c r="AE57" s="3"/>
      <c r="AF57" s="3"/>
      <c r="AG57" s="3"/>
      <c r="AH57" s="4"/>
      <c r="AI57" s="4"/>
      <c r="AJ57" s="4"/>
      <c r="AK57" s="4"/>
      <c r="AL57" s="4"/>
      <c r="AM57" s="69"/>
      <c r="AN57" s="70"/>
      <c r="AO57" s="70"/>
      <c r="AP57" s="70"/>
      <c r="AQ57" s="71"/>
      <c r="AR57" s="56"/>
      <c r="AS57" s="57"/>
      <c r="AT57" s="4"/>
      <c r="AU57" s="3"/>
      <c r="AV57" s="56"/>
      <c r="AW57" s="56"/>
      <c r="AX57" s="56"/>
      <c r="AY57" s="57"/>
      <c r="AZ57" s="56"/>
      <c r="BA57" s="57"/>
      <c r="BB57" s="4"/>
      <c r="BC57" s="3"/>
      <c r="BD57" s="56"/>
      <c r="BE57" s="56"/>
      <c r="BF57" s="56"/>
      <c r="BG57" s="57"/>
      <c r="BH57" s="56"/>
      <c r="BI57" s="57"/>
      <c r="BJ57" s="4"/>
      <c r="BK57" s="4"/>
      <c r="BL57" s="4"/>
      <c r="BM57" s="4"/>
      <c r="BN57" s="4"/>
      <c r="BO57" s="4"/>
      <c r="BP57" s="4"/>
      <c r="BQ57" s="4"/>
      <c r="BR57" s="4"/>
      <c r="BS57" s="4"/>
    </row>
    <row r="58" spans="1:71" ht="48">
      <c r="A58" s="3"/>
      <c r="B58" s="14"/>
      <c r="C58" s="14" t="s">
        <v>264</v>
      </c>
      <c r="D58" s="495" t="s">
        <v>358</v>
      </c>
      <c r="E58" s="15">
        <v>143</v>
      </c>
      <c r="F58" s="15">
        <v>137</v>
      </c>
      <c r="G58" s="15">
        <v>137</v>
      </c>
      <c r="H58" s="16">
        <f t="shared" si="0"/>
        <v>1</v>
      </c>
      <c r="I58" s="15">
        <v>137</v>
      </c>
      <c r="J58" s="16">
        <f t="shared" si="21"/>
        <v>1</v>
      </c>
      <c r="K58" s="626" t="s">
        <v>351</v>
      </c>
      <c r="L58" s="15" t="s">
        <v>25</v>
      </c>
      <c r="M58" s="639" t="s">
        <v>359</v>
      </c>
      <c r="N58" s="17" t="s">
        <v>360</v>
      </c>
      <c r="O58" s="31"/>
      <c r="P58" s="25"/>
      <c r="Q58" s="3"/>
      <c r="R58" s="19" t="s">
        <v>154</v>
      </c>
      <c r="S58" s="45" t="s">
        <v>77</v>
      </c>
      <c r="T58" s="45"/>
      <c r="U58" s="3"/>
      <c r="V58" s="3"/>
      <c r="W58" s="51"/>
      <c r="X58" s="3"/>
      <c r="Y58" s="3"/>
      <c r="Z58" s="3"/>
      <c r="AA58" s="3"/>
      <c r="AB58" s="3"/>
      <c r="AC58" s="3"/>
      <c r="AD58" s="3"/>
      <c r="AE58" s="3"/>
      <c r="AF58" s="3"/>
      <c r="AG58" s="3"/>
      <c r="AH58" s="4"/>
      <c r="AI58" s="4"/>
      <c r="AJ58" s="4"/>
      <c r="AK58" s="4"/>
      <c r="AL58" s="4"/>
      <c r="AM58" s="69"/>
      <c r="AN58" s="70"/>
      <c r="AO58" s="70"/>
      <c r="AP58" s="70"/>
      <c r="AQ58" s="71"/>
      <c r="AR58" s="56"/>
      <c r="AS58" s="57"/>
      <c r="AT58" s="4"/>
      <c r="AU58" s="3"/>
      <c r="AV58" s="56"/>
      <c r="AW58" s="56"/>
      <c r="AX58" s="56"/>
      <c r="AY58" s="57"/>
      <c r="AZ58" s="56"/>
      <c r="BA58" s="57"/>
      <c r="BB58" s="4"/>
      <c r="BC58" s="3"/>
      <c r="BD58" s="56"/>
      <c r="BE58" s="56"/>
      <c r="BF58" s="56"/>
      <c r="BG58" s="57"/>
      <c r="BH58" s="56"/>
      <c r="BI58" s="57"/>
      <c r="BJ58" s="4"/>
      <c r="BK58" s="4"/>
      <c r="BL58" s="4"/>
      <c r="BM58" s="4"/>
      <c r="BN58" s="4"/>
      <c r="BO58" s="4"/>
      <c r="BP58" s="4"/>
      <c r="BQ58" s="4"/>
      <c r="BR58" s="4"/>
      <c r="BS58" s="4"/>
    </row>
    <row r="59" spans="1:71" ht="48">
      <c r="A59" s="3"/>
      <c r="B59" s="14"/>
      <c r="C59" s="14" t="s">
        <v>264</v>
      </c>
      <c r="D59" s="495" t="s">
        <v>361</v>
      </c>
      <c r="E59" s="15">
        <v>261</v>
      </c>
      <c r="F59" s="15">
        <v>227</v>
      </c>
      <c r="G59" s="15">
        <v>227</v>
      </c>
      <c r="H59" s="16">
        <f t="shared" si="0"/>
        <v>1</v>
      </c>
      <c r="I59" s="15">
        <v>227</v>
      </c>
      <c r="J59" s="16">
        <f t="shared" si="21"/>
        <v>1</v>
      </c>
      <c r="K59" s="626" t="s">
        <v>351</v>
      </c>
      <c r="L59" s="15" t="s">
        <v>149</v>
      </c>
      <c r="M59" s="501" t="s">
        <v>362</v>
      </c>
      <c r="N59" s="17" t="s">
        <v>271</v>
      </c>
      <c r="O59" s="31"/>
      <c r="P59" s="25"/>
      <c r="Q59" s="3"/>
      <c r="R59" s="19"/>
      <c r="S59" s="45" t="s">
        <v>77</v>
      </c>
      <c r="T59" s="45"/>
      <c r="U59" s="3"/>
      <c r="V59" s="3"/>
      <c r="W59" s="51"/>
      <c r="X59" s="3"/>
      <c r="Y59" s="3"/>
      <c r="Z59" s="3"/>
      <c r="AA59" s="3"/>
      <c r="AB59" s="3"/>
      <c r="AC59" s="3"/>
      <c r="AD59" s="3"/>
      <c r="AE59" s="3"/>
      <c r="AF59" s="3"/>
      <c r="AG59" s="3"/>
      <c r="AH59" s="4"/>
      <c r="AI59" s="4"/>
      <c r="AJ59" s="4"/>
      <c r="AK59" s="4"/>
      <c r="AL59" s="4"/>
      <c r="AM59" s="69"/>
      <c r="AN59" s="70"/>
      <c r="AO59" s="70"/>
      <c r="AP59" s="70"/>
      <c r="AQ59" s="71"/>
      <c r="AR59" s="56"/>
      <c r="AS59" s="57"/>
      <c r="AT59" s="4"/>
      <c r="AU59" s="3"/>
      <c r="AV59" s="56"/>
      <c r="AW59" s="56"/>
      <c r="AX59" s="56"/>
      <c r="AY59" s="57"/>
      <c r="AZ59" s="56"/>
      <c r="BA59" s="57"/>
      <c r="BB59" s="4"/>
      <c r="BC59" s="3"/>
      <c r="BD59" s="56"/>
      <c r="BE59" s="56"/>
      <c r="BF59" s="56"/>
      <c r="BG59" s="57"/>
      <c r="BH59" s="56"/>
      <c r="BI59" s="57"/>
      <c r="BJ59" s="4"/>
      <c r="BK59" s="4"/>
      <c r="BL59" s="4"/>
      <c r="BM59" s="4"/>
      <c r="BN59" s="4"/>
      <c r="BO59" s="4"/>
      <c r="BP59" s="4"/>
      <c r="BQ59" s="4"/>
      <c r="BR59" s="4"/>
      <c r="BS59" s="4"/>
    </row>
    <row r="60" spans="1:71" ht="48">
      <c r="A60" s="3"/>
      <c r="B60" s="14"/>
      <c r="C60" s="14" t="s">
        <v>264</v>
      </c>
      <c r="D60" s="495" t="s">
        <v>363</v>
      </c>
      <c r="E60" s="15">
        <v>261</v>
      </c>
      <c r="F60" s="15">
        <v>232</v>
      </c>
      <c r="G60" s="15">
        <v>232</v>
      </c>
      <c r="H60" s="16">
        <f t="shared" si="0"/>
        <v>1</v>
      </c>
      <c r="I60" s="15">
        <v>232</v>
      </c>
      <c r="J60" s="16">
        <f t="shared" si="21"/>
        <v>1</v>
      </c>
      <c r="K60" s="626" t="s">
        <v>351</v>
      </c>
      <c r="L60" s="15" t="s">
        <v>149</v>
      </c>
      <c r="M60" s="639" t="s">
        <v>364</v>
      </c>
      <c r="N60" s="17" t="s">
        <v>274</v>
      </c>
      <c r="O60" s="31"/>
      <c r="P60" s="25"/>
      <c r="Q60" s="3"/>
      <c r="R60" s="19"/>
      <c r="S60" s="45" t="s">
        <v>77</v>
      </c>
      <c r="T60" s="45"/>
      <c r="U60" s="3"/>
      <c r="V60" s="3"/>
      <c r="W60" s="51">
        <f t="shared" ref="W60:X60" si="22">E58+E59+E60+E18</f>
        <v>1187</v>
      </c>
      <c r="X60" s="3">
        <f t="shared" si="22"/>
        <v>729</v>
      </c>
      <c r="Y60" s="3"/>
      <c r="Z60" s="3"/>
      <c r="AA60" s="3"/>
      <c r="AB60" s="3"/>
      <c r="AC60" s="3"/>
      <c r="AD60" s="3"/>
      <c r="AE60" s="3"/>
      <c r="AF60" s="3"/>
      <c r="AG60" s="3"/>
      <c r="AH60" s="4"/>
      <c r="AI60" s="4"/>
      <c r="AJ60" s="4"/>
      <c r="AK60" s="4"/>
      <c r="AL60" s="4"/>
      <c r="AM60" s="69"/>
      <c r="AN60" s="70"/>
      <c r="AO60" s="70"/>
      <c r="AP60" s="70"/>
      <c r="AQ60" s="71"/>
      <c r="AR60" s="56"/>
      <c r="AS60" s="57"/>
      <c r="AT60" s="4"/>
      <c r="AU60" s="3"/>
      <c r="AV60" s="56"/>
      <c r="AW60" s="56"/>
      <c r="AX60" s="56"/>
      <c r="AY60" s="57"/>
      <c r="AZ60" s="56"/>
      <c r="BA60" s="57"/>
      <c r="BB60" s="4"/>
      <c r="BC60" s="3"/>
      <c r="BD60" s="56"/>
      <c r="BE60" s="56"/>
      <c r="BF60" s="56"/>
      <c r="BG60" s="57"/>
      <c r="BH60" s="56"/>
      <c r="BI60" s="57"/>
      <c r="BJ60" s="4"/>
      <c r="BK60" s="4"/>
      <c r="BL60" s="4"/>
      <c r="BM60" s="4"/>
      <c r="BN60" s="4"/>
      <c r="BO60" s="4"/>
      <c r="BP60" s="4"/>
      <c r="BQ60" s="4"/>
      <c r="BR60" s="4"/>
      <c r="BS60" s="4"/>
    </row>
    <row r="61" spans="1:71" ht="48">
      <c r="A61" s="3"/>
      <c r="B61" s="14"/>
      <c r="C61" s="14" t="s">
        <v>264</v>
      </c>
      <c r="D61" s="495" t="s">
        <v>365</v>
      </c>
      <c r="E61" s="15">
        <v>311</v>
      </c>
      <c r="F61" s="15">
        <v>272</v>
      </c>
      <c r="G61" s="15">
        <v>270</v>
      </c>
      <c r="H61" s="16">
        <f t="shared" si="0"/>
        <v>0.99264705882352944</v>
      </c>
      <c r="I61" s="15">
        <v>270</v>
      </c>
      <c r="J61" s="16">
        <f t="shared" si="21"/>
        <v>0.99264705882352944</v>
      </c>
      <c r="K61" s="626" t="s">
        <v>49</v>
      </c>
      <c r="L61" s="15" t="s">
        <v>149</v>
      </c>
      <c r="M61" s="639" t="s">
        <v>366</v>
      </c>
      <c r="N61" s="17" t="s">
        <v>279</v>
      </c>
      <c r="O61" s="31"/>
      <c r="P61" s="25"/>
      <c r="Q61" s="3"/>
      <c r="R61" s="19"/>
      <c r="S61" s="45" t="s">
        <v>77</v>
      </c>
      <c r="T61" s="45"/>
      <c r="U61" s="3"/>
      <c r="V61" s="3"/>
      <c r="W61" s="51"/>
      <c r="X61" s="3"/>
      <c r="Y61" s="3"/>
      <c r="Z61" s="3"/>
      <c r="AA61" s="3"/>
      <c r="AB61" s="3"/>
      <c r="AC61" s="3"/>
      <c r="AD61" s="3"/>
      <c r="AE61" s="3"/>
      <c r="AF61" s="3"/>
      <c r="AG61" s="3"/>
      <c r="AH61" s="4"/>
      <c r="AI61" s="4"/>
      <c r="AJ61" s="4"/>
      <c r="AK61" s="4"/>
      <c r="AL61" s="4"/>
      <c r="AM61" s="69"/>
      <c r="AN61" s="70"/>
      <c r="AO61" s="70"/>
      <c r="AP61" s="70"/>
      <c r="AQ61" s="71"/>
      <c r="AR61" s="56"/>
      <c r="AS61" s="57"/>
      <c r="AT61" s="4"/>
      <c r="AU61" s="3"/>
      <c r="AV61" s="56"/>
      <c r="AW61" s="56"/>
      <c r="AX61" s="56"/>
      <c r="AY61" s="57"/>
      <c r="AZ61" s="56"/>
      <c r="BA61" s="57"/>
      <c r="BB61" s="4"/>
      <c r="BC61" s="3"/>
      <c r="BD61" s="56"/>
      <c r="BE61" s="56"/>
      <c r="BF61" s="56"/>
      <c r="BG61" s="57"/>
      <c r="BH61" s="56"/>
      <c r="BI61" s="57"/>
      <c r="BJ61" s="4"/>
      <c r="BK61" s="4"/>
      <c r="BL61" s="4"/>
      <c r="BM61" s="4"/>
      <c r="BN61" s="4"/>
      <c r="BO61" s="4"/>
      <c r="BP61" s="4"/>
      <c r="BQ61" s="4"/>
      <c r="BR61" s="4"/>
      <c r="BS61" s="4"/>
    </row>
    <row r="62" spans="1:71" ht="48">
      <c r="A62" s="3"/>
      <c r="B62" s="14"/>
      <c r="C62" s="14" t="s">
        <v>264</v>
      </c>
      <c r="D62" s="495" t="s">
        <v>367</v>
      </c>
      <c r="E62" s="15">
        <v>311</v>
      </c>
      <c r="F62" s="15">
        <v>299</v>
      </c>
      <c r="G62" s="15">
        <v>299</v>
      </c>
      <c r="H62" s="16">
        <f>G62/$F$62</f>
        <v>1</v>
      </c>
      <c r="I62" s="15">
        <v>299</v>
      </c>
      <c r="J62" s="16">
        <f t="shared" si="21"/>
        <v>1</v>
      </c>
      <c r="K62" s="626" t="s">
        <v>49</v>
      </c>
      <c r="L62" s="15" t="s">
        <v>149</v>
      </c>
      <c r="M62" s="639" t="s">
        <v>368</v>
      </c>
      <c r="N62" s="17" t="s">
        <v>282</v>
      </c>
      <c r="O62" s="31"/>
      <c r="P62" s="25"/>
      <c r="Q62" s="3"/>
      <c r="R62" s="19"/>
      <c r="S62" s="20" t="s">
        <v>77</v>
      </c>
      <c r="T62" s="20"/>
      <c r="U62" s="3"/>
      <c r="V62" s="3"/>
      <c r="W62" s="51"/>
      <c r="X62" s="3">
        <v>655</v>
      </c>
      <c r="Y62" s="3"/>
      <c r="Z62" s="3"/>
      <c r="AA62" s="3"/>
      <c r="AB62" s="3"/>
      <c r="AC62" s="3"/>
      <c r="AD62" s="3"/>
      <c r="AE62" s="3"/>
      <c r="AF62" s="3"/>
      <c r="AG62" s="3"/>
      <c r="AH62" s="4"/>
      <c r="AI62" s="4"/>
      <c r="AJ62" s="4"/>
      <c r="AK62" s="4"/>
      <c r="AL62" s="4"/>
      <c r="AM62" s="69"/>
      <c r="AN62" s="70"/>
      <c r="AO62" s="70"/>
      <c r="AP62" s="70"/>
      <c r="AQ62" s="71"/>
      <c r="AR62" s="56"/>
      <c r="AS62" s="57"/>
      <c r="AT62" s="4"/>
      <c r="AU62" s="3"/>
      <c r="AV62" s="56"/>
      <c r="AW62" s="56"/>
      <c r="AX62" s="56"/>
      <c r="AY62" s="57"/>
      <c r="AZ62" s="56"/>
      <c r="BA62" s="57"/>
      <c r="BB62" s="4"/>
      <c r="BC62" s="3"/>
      <c r="BD62" s="56"/>
      <c r="BE62" s="56"/>
      <c r="BF62" s="56"/>
      <c r="BG62" s="57"/>
      <c r="BH62" s="56"/>
      <c r="BI62" s="57"/>
      <c r="BJ62" s="4"/>
      <c r="BK62" s="4"/>
      <c r="BL62" s="4"/>
      <c r="BM62" s="4"/>
      <c r="BN62" s="4"/>
      <c r="BO62" s="4"/>
      <c r="BP62" s="4"/>
      <c r="BQ62" s="4"/>
      <c r="BR62" s="4"/>
      <c r="BS62" s="4"/>
    </row>
    <row r="63" spans="1:71" ht="48">
      <c r="A63" s="3"/>
      <c r="B63" s="14"/>
      <c r="C63" s="14" t="s">
        <v>264</v>
      </c>
      <c r="D63" s="495" t="s">
        <v>369</v>
      </c>
      <c r="E63" s="15">
        <v>259</v>
      </c>
      <c r="F63" s="15">
        <v>259</v>
      </c>
      <c r="G63" s="15">
        <v>259</v>
      </c>
      <c r="H63" s="16">
        <f>G63/$F$63</f>
        <v>1</v>
      </c>
      <c r="I63" s="15">
        <v>259</v>
      </c>
      <c r="J63" s="16">
        <f t="shared" si="21"/>
        <v>1</v>
      </c>
      <c r="K63" s="626" t="s">
        <v>49</v>
      </c>
      <c r="L63" s="15" t="s">
        <v>149</v>
      </c>
      <c r="M63" s="639" t="s">
        <v>370</v>
      </c>
      <c r="N63" s="17" t="s">
        <v>371</v>
      </c>
      <c r="O63" s="31"/>
      <c r="P63" s="25"/>
      <c r="Q63" s="3"/>
      <c r="R63" s="19"/>
      <c r="S63" s="20" t="s">
        <v>77</v>
      </c>
      <c r="T63" s="20"/>
      <c r="U63" s="3"/>
      <c r="V63" s="3"/>
      <c r="W63" s="51"/>
      <c r="X63" s="3">
        <v>1952</v>
      </c>
      <c r="Y63" s="3"/>
      <c r="Z63" s="3">
        <f>SUM(X62:X68)</f>
        <v>4336</v>
      </c>
      <c r="AA63" s="3"/>
      <c r="AB63" s="3"/>
      <c r="AC63" s="3"/>
      <c r="AD63" s="3"/>
      <c r="AE63" s="3"/>
      <c r="AF63" s="3"/>
      <c r="AG63" s="3"/>
      <c r="AH63" s="4"/>
      <c r="AI63" s="4"/>
      <c r="AJ63" s="4"/>
      <c r="AK63" s="4"/>
      <c r="AL63" s="4"/>
      <c r="AM63" s="69"/>
      <c r="AN63" s="70"/>
      <c r="AO63" s="70"/>
      <c r="AP63" s="70"/>
      <c r="AQ63" s="71"/>
      <c r="AR63" s="56"/>
      <c r="AS63" s="57"/>
      <c r="AT63" s="4"/>
      <c r="AU63" s="3"/>
      <c r="AV63" s="56"/>
      <c r="AW63" s="56"/>
      <c r="AX63" s="56"/>
      <c r="AY63" s="57"/>
      <c r="AZ63" s="56"/>
      <c r="BA63" s="57"/>
      <c r="BB63" s="4"/>
      <c r="BC63" s="3"/>
      <c r="BD63" s="56"/>
      <c r="BE63" s="56"/>
      <c r="BF63" s="56"/>
      <c r="BG63" s="57"/>
      <c r="BH63" s="56"/>
      <c r="BI63" s="57"/>
      <c r="BJ63" s="4"/>
      <c r="BK63" s="4"/>
      <c r="BL63" s="4"/>
      <c r="BM63" s="4"/>
      <c r="BN63" s="4"/>
      <c r="BO63" s="4"/>
      <c r="BP63" s="4"/>
      <c r="BQ63" s="4"/>
      <c r="BR63" s="4"/>
      <c r="BS63" s="4"/>
    </row>
    <row r="64" spans="1:71" ht="48">
      <c r="A64" s="3"/>
      <c r="B64" s="14"/>
      <c r="C64" s="14" t="s">
        <v>264</v>
      </c>
      <c r="D64" s="495" t="s">
        <v>372</v>
      </c>
      <c r="E64" s="15">
        <v>259</v>
      </c>
      <c r="F64" s="15">
        <v>259</v>
      </c>
      <c r="G64" s="15">
        <v>259</v>
      </c>
      <c r="H64" s="16">
        <f>G64/$F$64</f>
        <v>1</v>
      </c>
      <c r="I64" s="15">
        <v>259</v>
      </c>
      <c r="J64" s="16">
        <f t="shared" si="21"/>
        <v>1</v>
      </c>
      <c r="K64" s="626" t="s">
        <v>49</v>
      </c>
      <c r="L64" s="15" t="s">
        <v>149</v>
      </c>
      <c r="M64" s="639" t="s">
        <v>373</v>
      </c>
      <c r="N64" s="17" t="s">
        <v>374</v>
      </c>
      <c r="O64" s="31"/>
      <c r="P64" s="25"/>
      <c r="Q64" s="3"/>
      <c r="R64" s="19"/>
      <c r="S64" s="20" t="s">
        <v>77</v>
      </c>
      <c r="T64" s="20"/>
      <c r="U64" s="3"/>
      <c r="V64" s="3"/>
      <c r="W64" s="51"/>
      <c r="X64" s="3">
        <v>134</v>
      </c>
      <c r="Y64" s="3"/>
      <c r="Z64" s="3"/>
      <c r="AA64" s="3"/>
      <c r="AB64" s="3"/>
      <c r="AC64" s="3"/>
      <c r="AD64" s="3"/>
      <c r="AE64" s="3"/>
      <c r="AF64" s="3"/>
      <c r="AG64" s="3"/>
      <c r="AH64" s="4"/>
      <c r="AI64" s="4"/>
      <c r="AJ64" s="4"/>
      <c r="AK64" s="4"/>
      <c r="AL64" s="4"/>
      <c r="AM64" s="69"/>
      <c r="AN64" s="70"/>
      <c r="AO64" s="70"/>
      <c r="AP64" s="70"/>
      <c r="AQ64" s="71"/>
      <c r="AR64" s="56"/>
      <c r="AS64" s="57"/>
      <c r="AT64" s="4"/>
      <c r="AU64" s="3"/>
      <c r="AV64" s="56"/>
      <c r="AW64" s="56"/>
      <c r="AX64" s="56"/>
      <c r="AY64" s="57"/>
      <c r="AZ64" s="56"/>
      <c r="BA64" s="57"/>
      <c r="BB64" s="4"/>
      <c r="BC64" s="3"/>
      <c r="BD64" s="56"/>
      <c r="BE64" s="56"/>
      <c r="BF64" s="56"/>
      <c r="BG64" s="57"/>
      <c r="BH64" s="56"/>
      <c r="BI64" s="57"/>
      <c r="BJ64" s="4"/>
      <c r="BK64" s="4"/>
      <c r="BL64" s="4"/>
      <c r="BM64" s="4"/>
      <c r="BN64" s="4"/>
      <c r="BO64" s="4"/>
      <c r="BP64" s="4"/>
      <c r="BQ64" s="4"/>
      <c r="BR64" s="4"/>
      <c r="BS64" s="4"/>
    </row>
    <row r="65" spans="1:71" ht="48">
      <c r="A65" s="3"/>
      <c r="B65" s="14"/>
      <c r="C65" s="483" t="s">
        <v>264</v>
      </c>
      <c r="D65" s="495" t="s">
        <v>375</v>
      </c>
      <c r="E65" s="15">
        <v>145</v>
      </c>
      <c r="F65" s="15">
        <v>134</v>
      </c>
      <c r="G65" s="15">
        <v>134</v>
      </c>
      <c r="H65" s="16">
        <f>G65/$F$65</f>
        <v>1</v>
      </c>
      <c r="I65" s="15">
        <v>134</v>
      </c>
      <c r="J65" s="16">
        <f t="shared" si="21"/>
        <v>1</v>
      </c>
      <c r="K65" s="626" t="s">
        <v>376</v>
      </c>
      <c r="L65" s="15" t="s">
        <v>25</v>
      </c>
      <c r="M65" s="639" t="s">
        <v>377</v>
      </c>
      <c r="N65" s="17" t="s">
        <v>378</v>
      </c>
      <c r="O65" s="31"/>
      <c r="P65" s="25"/>
      <c r="Q65" s="3"/>
      <c r="R65" s="19"/>
      <c r="S65" s="20" t="s">
        <v>77</v>
      </c>
      <c r="T65" s="20"/>
      <c r="U65" s="3"/>
      <c r="V65" s="3"/>
      <c r="W65" s="51"/>
      <c r="X65" s="3">
        <v>98</v>
      </c>
      <c r="Y65" s="3"/>
      <c r="Z65" s="3"/>
      <c r="AA65" s="3"/>
      <c r="AB65" s="3"/>
      <c r="AC65" s="3"/>
      <c r="AD65" s="3"/>
      <c r="AE65" s="3"/>
      <c r="AF65" s="3"/>
      <c r="AG65" s="3"/>
      <c r="AH65" s="4"/>
      <c r="AI65" s="4"/>
      <c r="AJ65" s="4"/>
      <c r="AK65" s="4"/>
      <c r="AL65" s="4"/>
      <c r="AM65" s="69"/>
      <c r="AN65" s="70"/>
      <c r="AO65" s="70"/>
      <c r="AP65" s="70"/>
      <c r="AQ65" s="71"/>
      <c r="AR65" s="56"/>
      <c r="AS65" s="57"/>
      <c r="AT65" s="4"/>
      <c r="AU65" s="3"/>
      <c r="AV65" s="56"/>
      <c r="AW65" s="56"/>
      <c r="AX65" s="56"/>
      <c r="AY65" s="57"/>
      <c r="AZ65" s="56"/>
      <c r="BA65" s="57"/>
      <c r="BB65" s="4"/>
      <c r="BC65" s="3"/>
      <c r="BD65" s="56"/>
      <c r="BE65" s="56"/>
      <c r="BF65" s="56"/>
      <c r="BG65" s="57"/>
      <c r="BH65" s="56"/>
      <c r="BI65" s="57"/>
      <c r="BJ65" s="4"/>
      <c r="BK65" s="4"/>
      <c r="BL65" s="4"/>
      <c r="BM65" s="4"/>
      <c r="BN65" s="4"/>
      <c r="BO65" s="4"/>
      <c r="BP65" s="4"/>
      <c r="BQ65" s="4"/>
      <c r="BR65" s="4"/>
      <c r="BS65" s="4"/>
    </row>
    <row r="66" spans="1:71" ht="48">
      <c r="A66" s="3"/>
      <c r="B66" s="14"/>
      <c r="C66" s="14" t="s">
        <v>264</v>
      </c>
      <c r="D66" s="62" t="s">
        <v>379</v>
      </c>
      <c r="E66" s="15">
        <v>98</v>
      </c>
      <c r="F66" s="15">
        <v>98</v>
      </c>
      <c r="G66" s="15">
        <v>98</v>
      </c>
      <c r="H66" s="16">
        <f>G66/$F$66</f>
        <v>1</v>
      </c>
      <c r="I66" s="15">
        <v>98</v>
      </c>
      <c r="J66" s="16">
        <f>G66/$F$66</f>
        <v>1</v>
      </c>
      <c r="K66" s="626" t="s">
        <v>376</v>
      </c>
      <c r="L66" s="15" t="s">
        <v>25</v>
      </c>
      <c r="M66" s="639" t="s">
        <v>380</v>
      </c>
      <c r="N66" s="17" t="s">
        <v>381</v>
      </c>
      <c r="O66" s="31"/>
      <c r="P66" s="25"/>
      <c r="Q66" s="3"/>
      <c r="R66" s="19"/>
      <c r="S66" s="20" t="s">
        <v>77</v>
      </c>
      <c r="T66" s="20"/>
      <c r="U66" s="3"/>
      <c r="V66" s="3"/>
      <c r="W66" s="51"/>
      <c r="X66" s="3">
        <v>962</v>
      </c>
      <c r="Y66" s="3"/>
      <c r="Z66" s="3"/>
      <c r="AA66" s="3"/>
      <c r="AB66" s="3"/>
      <c r="AC66" s="3"/>
      <c r="AD66" s="3"/>
      <c r="AE66" s="3"/>
      <c r="AF66" s="3"/>
      <c r="AG66" s="3"/>
      <c r="AH66" s="4"/>
      <c r="AI66" s="4"/>
      <c r="AJ66" s="4"/>
      <c r="AK66" s="4"/>
      <c r="AL66" s="4"/>
      <c r="AM66" s="69"/>
      <c r="AN66" s="70"/>
      <c r="AO66" s="70"/>
      <c r="AP66" s="70"/>
      <c r="AQ66" s="71"/>
      <c r="AR66" s="56"/>
      <c r="AS66" s="57"/>
      <c r="AT66" s="4"/>
      <c r="AU66" s="3"/>
      <c r="AV66" s="56"/>
      <c r="AW66" s="56"/>
      <c r="AX66" s="56"/>
      <c r="AY66" s="57"/>
      <c r="AZ66" s="56"/>
      <c r="BA66" s="57"/>
      <c r="BB66" s="4"/>
      <c r="BC66" s="3"/>
      <c r="BD66" s="56"/>
      <c r="BE66" s="56"/>
      <c r="BF66" s="56"/>
      <c r="BG66" s="57"/>
      <c r="BH66" s="56"/>
      <c r="BI66" s="57"/>
      <c r="BJ66" s="4"/>
      <c r="BK66" s="4"/>
      <c r="BL66" s="4"/>
      <c r="BM66" s="4"/>
      <c r="BN66" s="4"/>
      <c r="BO66" s="4"/>
      <c r="BP66" s="4"/>
      <c r="BQ66" s="4"/>
      <c r="BR66" s="4"/>
      <c r="BS66" s="4"/>
    </row>
    <row r="67" spans="1:71" ht="48">
      <c r="A67" s="3"/>
      <c r="B67" s="14"/>
      <c r="C67" s="14" t="s">
        <v>264</v>
      </c>
      <c r="D67" s="62" t="s">
        <v>382</v>
      </c>
      <c r="E67" s="15">
        <v>55</v>
      </c>
      <c r="F67" s="15">
        <v>37</v>
      </c>
      <c r="G67" s="15">
        <v>37</v>
      </c>
      <c r="H67" s="16">
        <f>G67/$F$67</f>
        <v>1</v>
      </c>
      <c r="I67" s="15">
        <v>37</v>
      </c>
      <c r="J67" s="16">
        <f>G67/$F$67</f>
        <v>1</v>
      </c>
      <c r="K67" s="626" t="s">
        <v>376</v>
      </c>
      <c r="L67" s="15" t="s">
        <v>25</v>
      </c>
      <c r="M67" s="639" t="s">
        <v>383</v>
      </c>
      <c r="N67" s="17" t="s">
        <v>384</v>
      </c>
      <c r="O67" s="31"/>
      <c r="P67" s="25"/>
      <c r="Q67" s="3"/>
      <c r="R67" s="19"/>
      <c r="S67" s="20" t="s">
        <v>77</v>
      </c>
      <c r="T67" s="20"/>
      <c r="U67" s="3"/>
      <c r="V67" s="3"/>
      <c r="W67" s="51"/>
      <c r="X67" s="3">
        <v>227</v>
      </c>
      <c r="Y67" s="3"/>
      <c r="Z67" s="3"/>
      <c r="AA67" s="3"/>
      <c r="AB67" s="3"/>
      <c r="AC67" s="3"/>
      <c r="AD67" s="3"/>
      <c r="AE67" s="3"/>
      <c r="AF67" s="3"/>
      <c r="AG67" s="3"/>
      <c r="AH67" s="4"/>
      <c r="AI67" s="4"/>
      <c r="AJ67" s="4"/>
      <c r="AK67" s="4"/>
      <c r="AL67" s="4"/>
      <c r="AM67" s="69"/>
      <c r="AN67" s="70"/>
      <c r="AO67" s="70"/>
      <c r="AP67" s="70"/>
      <c r="AQ67" s="71"/>
      <c r="AR67" s="56"/>
      <c r="AS67" s="57"/>
      <c r="AT67" s="4"/>
      <c r="AU67" s="3"/>
      <c r="AV67" s="56"/>
      <c r="AW67" s="56"/>
      <c r="AX67" s="56"/>
      <c r="AY67" s="57"/>
      <c r="AZ67" s="56"/>
      <c r="BA67" s="57"/>
      <c r="BB67" s="4"/>
      <c r="BC67" s="3"/>
      <c r="BD67" s="56"/>
      <c r="BE67" s="56"/>
      <c r="BF67" s="56"/>
      <c r="BG67" s="57"/>
      <c r="BH67" s="56"/>
      <c r="BI67" s="57"/>
      <c r="BJ67" s="4"/>
      <c r="BK67" s="4"/>
      <c r="BL67" s="4"/>
      <c r="BM67" s="4"/>
      <c r="BN67" s="4"/>
      <c r="BO67" s="4"/>
      <c r="BP67" s="4"/>
      <c r="BQ67" s="4"/>
      <c r="BR67" s="4"/>
      <c r="BS67" s="4"/>
    </row>
    <row r="68" spans="1:71" ht="48">
      <c r="A68" s="3"/>
      <c r="B68" s="14" t="s">
        <v>69</v>
      </c>
      <c r="C68" s="14" t="s">
        <v>385</v>
      </c>
      <c r="D68" s="62" t="s">
        <v>386</v>
      </c>
      <c r="E68" s="15">
        <v>125</v>
      </c>
      <c r="F68" s="15">
        <v>125</v>
      </c>
      <c r="G68" s="15">
        <v>40</v>
      </c>
      <c r="H68" s="16">
        <f>G68/$F$68</f>
        <v>0.32</v>
      </c>
      <c r="I68" s="15">
        <v>40</v>
      </c>
      <c r="J68" s="16">
        <f>G68/$F$68</f>
        <v>0.32</v>
      </c>
      <c r="K68" s="626" t="s">
        <v>387</v>
      </c>
      <c r="L68" s="15" t="s">
        <v>25</v>
      </c>
      <c r="M68" s="639" t="s">
        <v>388</v>
      </c>
      <c r="N68" s="17" t="s">
        <v>389</v>
      </c>
      <c r="O68" s="31"/>
      <c r="P68" s="25"/>
      <c r="Q68" s="3"/>
      <c r="R68" s="19"/>
      <c r="S68" s="20" t="s">
        <v>77</v>
      </c>
      <c r="T68" s="20"/>
      <c r="U68" s="3"/>
      <c r="V68" s="3"/>
      <c r="W68" s="51"/>
      <c r="X68" s="3">
        <v>308</v>
      </c>
      <c r="Y68" s="3"/>
      <c r="Z68" s="3"/>
      <c r="AA68" s="3"/>
      <c r="AB68" s="3"/>
      <c r="AC68" s="3"/>
      <c r="AD68" s="3"/>
      <c r="AE68" s="3"/>
      <c r="AF68" s="3"/>
      <c r="AG68" s="3"/>
      <c r="AH68" s="4"/>
      <c r="AI68" s="4"/>
      <c r="AJ68" s="4"/>
      <c r="AK68" s="4"/>
      <c r="AL68" s="4"/>
      <c r="AM68" s="69"/>
      <c r="AN68" s="70"/>
      <c r="AO68" s="70"/>
      <c r="AP68" s="70"/>
      <c r="AQ68" s="71"/>
      <c r="AR68" s="56"/>
      <c r="AS68" s="57"/>
      <c r="AT68" s="4"/>
      <c r="AU68" s="3"/>
      <c r="AV68" s="56"/>
      <c r="AW68" s="56"/>
      <c r="AX68" s="56"/>
      <c r="AY68" s="57"/>
      <c r="AZ68" s="56"/>
      <c r="BA68" s="57"/>
      <c r="BB68" s="4"/>
      <c r="BC68" s="3"/>
      <c r="BD68" s="56"/>
      <c r="BE68" s="56"/>
      <c r="BF68" s="56"/>
      <c r="BG68" s="57"/>
      <c r="BH68" s="56"/>
      <c r="BI68" s="57"/>
      <c r="BJ68" s="4"/>
      <c r="BK68" s="4"/>
      <c r="BL68" s="4"/>
      <c r="BM68" s="4"/>
      <c r="BN68" s="4"/>
      <c r="BO68" s="4"/>
      <c r="BP68" s="4"/>
      <c r="BQ68" s="4"/>
      <c r="BR68" s="4"/>
      <c r="BS68" s="4"/>
    </row>
    <row r="69" spans="1:71" ht="48">
      <c r="A69" s="3"/>
      <c r="B69" s="52" t="s">
        <v>69</v>
      </c>
      <c r="C69" s="52" t="s">
        <v>70</v>
      </c>
      <c r="D69" s="77" t="s">
        <v>390</v>
      </c>
      <c r="E69" s="53">
        <f>1672+515</f>
        <v>2187</v>
      </c>
      <c r="F69" s="53">
        <f>1653+515</f>
        <v>2168</v>
      </c>
      <c r="G69" s="53">
        <f>1002+644+308+60</f>
        <v>2014</v>
      </c>
      <c r="H69" s="54">
        <f>$G69/$F69</f>
        <v>0.9289667896678967</v>
      </c>
      <c r="I69" s="53">
        <f>1002+644+308+60</f>
        <v>2014</v>
      </c>
      <c r="J69" s="54">
        <f>$I69/$F69</f>
        <v>0.9289667896678967</v>
      </c>
      <c r="K69" s="632" t="s">
        <v>391</v>
      </c>
      <c r="L69" s="53" t="s">
        <v>25</v>
      </c>
      <c r="M69" s="644" t="s">
        <v>392</v>
      </c>
      <c r="N69" s="498" t="s">
        <v>298</v>
      </c>
      <c r="O69" s="55"/>
      <c r="P69" s="25" t="s">
        <v>299</v>
      </c>
      <c r="Q69" s="3"/>
      <c r="R69" s="19"/>
      <c r="S69" s="20" t="s">
        <v>77</v>
      </c>
      <c r="T69" s="20"/>
      <c r="U69" s="3"/>
      <c r="V69" s="3"/>
      <c r="W69" s="51"/>
      <c r="X69" s="3"/>
      <c r="Y69" s="3"/>
      <c r="Z69" s="3"/>
      <c r="AA69" s="3"/>
      <c r="AB69" s="3"/>
      <c r="AC69" s="3"/>
      <c r="AD69" s="3"/>
      <c r="AE69" s="3"/>
      <c r="AF69" s="3"/>
      <c r="AG69" s="3"/>
      <c r="AH69" s="4"/>
      <c r="AI69" s="4"/>
      <c r="AJ69" s="4"/>
      <c r="AK69" s="4"/>
      <c r="AL69" s="4"/>
      <c r="AM69" s="69"/>
      <c r="AN69" s="70"/>
      <c r="AO69" s="70"/>
      <c r="AP69" s="70"/>
      <c r="AQ69" s="71"/>
      <c r="AR69" s="56"/>
      <c r="AS69" s="57"/>
      <c r="AT69" s="4"/>
      <c r="AU69" s="3"/>
      <c r="AV69" s="56"/>
      <c r="AW69" s="56"/>
      <c r="AX69" s="56"/>
      <c r="AY69" s="57"/>
      <c r="AZ69" s="56"/>
      <c r="BA69" s="57"/>
      <c r="BB69" s="4"/>
      <c r="BC69" s="3"/>
      <c r="BD69" s="56"/>
      <c r="BE69" s="56"/>
      <c r="BF69" s="56"/>
      <c r="BG69" s="57"/>
      <c r="BH69" s="56"/>
      <c r="BI69" s="57"/>
      <c r="BJ69" s="4"/>
      <c r="BK69" s="4"/>
      <c r="BL69" s="4"/>
      <c r="BM69" s="4"/>
      <c r="BN69" s="4"/>
      <c r="BO69" s="4"/>
      <c r="BP69" s="4"/>
      <c r="BQ69" s="4"/>
      <c r="BR69" s="4"/>
      <c r="BS69" s="4"/>
    </row>
    <row r="70" spans="1:71" ht="107.25">
      <c r="A70" s="3"/>
      <c r="B70" s="14"/>
      <c r="C70" s="14" t="s">
        <v>264</v>
      </c>
      <c r="D70" s="62" t="s">
        <v>393</v>
      </c>
      <c r="E70" s="15">
        <v>297</v>
      </c>
      <c r="F70" s="15">
        <v>228</v>
      </c>
      <c r="G70" s="15">
        <v>227</v>
      </c>
      <c r="H70" s="16">
        <f>G70/$F$70</f>
        <v>0.99561403508771928</v>
      </c>
      <c r="I70" s="15">
        <v>227</v>
      </c>
      <c r="J70" s="16">
        <f>G70/$F$70</f>
        <v>0.99561403508771928</v>
      </c>
      <c r="K70" s="626" t="s">
        <v>394</v>
      </c>
      <c r="L70" s="15" t="s">
        <v>25</v>
      </c>
      <c r="M70" s="639" t="s">
        <v>395</v>
      </c>
      <c r="N70" s="17" t="s">
        <v>396</v>
      </c>
      <c r="O70" s="31"/>
      <c r="P70" s="25"/>
      <c r="Q70" s="3"/>
      <c r="R70" s="19"/>
      <c r="S70" s="20" t="s">
        <v>77</v>
      </c>
      <c r="T70" s="20"/>
      <c r="U70" s="3"/>
      <c r="V70" s="3"/>
      <c r="W70" s="51"/>
      <c r="X70" s="3"/>
      <c r="Y70" s="3"/>
      <c r="Z70" s="3"/>
      <c r="AA70" s="3"/>
      <c r="AB70" s="3"/>
      <c r="AC70" s="3"/>
      <c r="AD70" s="3"/>
      <c r="AE70" s="3"/>
      <c r="AF70" s="3"/>
      <c r="AG70" s="3"/>
      <c r="AH70" s="4"/>
      <c r="AI70" s="4"/>
      <c r="AJ70" s="4"/>
      <c r="AK70" s="4"/>
      <c r="AL70" s="4"/>
      <c r="AM70" s="69"/>
      <c r="AN70" s="70"/>
      <c r="AO70" s="70"/>
      <c r="AP70" s="70"/>
      <c r="AQ70" s="71"/>
      <c r="AR70" s="56"/>
      <c r="AS70" s="57"/>
      <c r="AT70" s="4"/>
      <c r="AU70" s="3"/>
      <c r="AV70" s="56"/>
      <c r="AW70" s="56"/>
      <c r="AX70" s="56"/>
      <c r="AY70" s="57"/>
      <c r="AZ70" s="56"/>
      <c r="BA70" s="57"/>
      <c r="BB70" s="4"/>
      <c r="BC70" s="3"/>
      <c r="BD70" s="56"/>
      <c r="BE70" s="56"/>
      <c r="BF70" s="56"/>
      <c r="BG70" s="57"/>
      <c r="BH70" s="56"/>
      <c r="BI70" s="57"/>
      <c r="BJ70" s="4"/>
      <c r="BK70" s="4"/>
      <c r="BL70" s="4"/>
      <c r="BM70" s="4"/>
      <c r="BN70" s="4"/>
      <c r="BO70" s="4"/>
      <c r="BP70" s="4"/>
      <c r="BQ70" s="4"/>
      <c r="BR70" s="4"/>
      <c r="BS70" s="4"/>
    </row>
    <row r="71" spans="1:71" ht="48">
      <c r="A71" s="3"/>
      <c r="B71" s="14" t="s">
        <v>69</v>
      </c>
      <c r="C71" s="14" t="s">
        <v>70</v>
      </c>
      <c r="D71" s="62" t="s">
        <v>397</v>
      </c>
      <c r="E71" s="15">
        <f>'Modul BNI Direct 20260626'!C14</f>
        <v>12167</v>
      </c>
      <c r="F71" s="15">
        <f>'Modul BNI Direct 20260626'!D14</f>
        <v>7852</v>
      </c>
      <c r="G71" s="15">
        <f>'Modul BNI Direct 20260626'!E14</f>
        <v>5083</v>
      </c>
      <c r="H71" s="16">
        <f t="shared" ref="H71:H72" si="23">$G71/$F71</f>
        <v>0.64735099337748347</v>
      </c>
      <c r="I71" s="15">
        <f>'Modul BNI Direct 20260626'!E14</f>
        <v>5083</v>
      </c>
      <c r="J71" s="16">
        <f>$I71/$F71</f>
        <v>0.64735099337748347</v>
      </c>
      <c r="K71" s="626" t="s">
        <v>398</v>
      </c>
      <c r="L71" s="15" t="s">
        <v>25</v>
      </c>
      <c r="M71" s="639" t="s">
        <v>399</v>
      </c>
      <c r="N71" s="17" t="s">
        <v>400</v>
      </c>
      <c r="O71" s="31"/>
      <c r="P71" s="25"/>
      <c r="Q71" s="3"/>
      <c r="R71" s="19"/>
      <c r="S71" s="19"/>
      <c r="T71" s="3"/>
      <c r="U71" s="3"/>
      <c r="V71" s="3"/>
      <c r="W71" s="51"/>
      <c r="X71" s="3"/>
      <c r="Y71" s="3"/>
      <c r="Z71" s="3"/>
      <c r="AA71" s="3"/>
      <c r="AB71" s="3"/>
      <c r="AC71" s="3"/>
      <c r="AD71" s="3"/>
      <c r="AE71" s="3"/>
      <c r="AF71" s="3"/>
      <c r="AG71" s="3"/>
      <c r="AH71" s="4"/>
      <c r="AI71" s="4"/>
      <c r="AJ71" s="4"/>
      <c r="AK71" s="4"/>
      <c r="AL71" s="4"/>
      <c r="AM71" s="69"/>
      <c r="AN71" s="70"/>
      <c r="AO71" s="70"/>
      <c r="AP71" s="70"/>
      <c r="AQ71" s="71"/>
      <c r="AR71" s="56"/>
      <c r="AS71" s="57"/>
      <c r="AT71" s="4"/>
      <c r="AU71" s="3"/>
      <c r="AV71" s="56"/>
      <c r="AW71" s="56"/>
      <c r="AX71" s="56"/>
      <c r="AY71" s="57"/>
      <c r="AZ71" s="56"/>
      <c r="BA71" s="57"/>
      <c r="BB71" s="4"/>
      <c r="BC71" s="3"/>
      <c r="BD71" s="56"/>
      <c r="BE71" s="56"/>
      <c r="BF71" s="56"/>
      <c r="BG71" s="57"/>
      <c r="BH71" s="56"/>
      <c r="BI71" s="57"/>
      <c r="BJ71" s="4"/>
      <c r="BK71" s="4"/>
      <c r="BL71" s="4"/>
      <c r="BM71" s="4"/>
      <c r="BN71" s="4"/>
      <c r="BO71" s="4"/>
      <c r="BP71" s="4"/>
      <c r="BQ71" s="4"/>
      <c r="BR71" s="4"/>
      <c r="BS71" s="4"/>
    </row>
    <row r="72" spans="1:71" ht="48">
      <c r="A72" s="3"/>
      <c r="B72" s="14"/>
      <c r="C72" s="14" t="s">
        <v>70</v>
      </c>
      <c r="D72" s="62" t="s">
        <v>401</v>
      </c>
      <c r="E72" s="15">
        <v>102</v>
      </c>
      <c r="F72" s="15">
        <v>102</v>
      </c>
      <c r="G72" s="15">
        <v>102</v>
      </c>
      <c r="H72" s="16">
        <f t="shared" si="23"/>
        <v>1</v>
      </c>
      <c r="I72" s="15">
        <v>102</v>
      </c>
      <c r="J72" s="16">
        <f>$G72/$F72</f>
        <v>1</v>
      </c>
      <c r="K72" s="626" t="s">
        <v>394</v>
      </c>
      <c r="L72" s="15" t="s">
        <v>149</v>
      </c>
      <c r="M72" s="639" t="s">
        <v>402</v>
      </c>
      <c r="N72" s="17" t="s">
        <v>403</v>
      </c>
      <c r="O72" s="31"/>
      <c r="P72" s="25"/>
      <c r="Q72" s="3"/>
      <c r="R72" s="19"/>
      <c r="S72" s="19"/>
      <c r="T72" s="3"/>
      <c r="U72" s="3"/>
      <c r="V72" s="3"/>
      <c r="W72" s="51"/>
      <c r="X72" s="3"/>
      <c r="Y72" s="3"/>
      <c r="Z72" s="3"/>
      <c r="AA72" s="3"/>
      <c r="AB72" s="3"/>
      <c r="AC72" s="3"/>
      <c r="AD72" s="3"/>
      <c r="AE72" s="3"/>
      <c r="AF72" s="3"/>
      <c r="AG72" s="3"/>
      <c r="AH72" s="4"/>
      <c r="AI72" s="4"/>
      <c r="AJ72" s="4"/>
      <c r="AK72" s="4"/>
      <c r="AL72" s="4"/>
      <c r="AM72" s="69"/>
      <c r="AN72" s="70"/>
      <c r="AO72" s="70"/>
      <c r="AP72" s="70"/>
      <c r="AQ72" s="71"/>
      <c r="AR72" s="56"/>
      <c r="AS72" s="57"/>
      <c r="AT72" s="4"/>
      <c r="AU72" s="3"/>
      <c r="AV72" s="56"/>
      <c r="AW72" s="56"/>
      <c r="AX72" s="56"/>
      <c r="AY72" s="57"/>
      <c r="AZ72" s="56"/>
      <c r="BA72" s="57"/>
      <c r="BB72" s="4"/>
      <c r="BC72" s="3"/>
      <c r="BD72" s="56"/>
      <c r="BE72" s="56"/>
      <c r="BF72" s="56"/>
      <c r="BG72" s="57"/>
      <c r="BH72" s="56"/>
      <c r="BI72" s="57"/>
      <c r="BJ72" s="4"/>
      <c r="BK72" s="4"/>
      <c r="BL72" s="4"/>
      <c r="BM72" s="4"/>
      <c r="BN72" s="4"/>
      <c r="BO72" s="4"/>
      <c r="BP72" s="4"/>
      <c r="BQ72" s="4"/>
      <c r="BR72" s="4"/>
      <c r="BS72" s="4"/>
    </row>
    <row r="73" spans="1:71" ht="48">
      <c r="A73" s="3"/>
      <c r="B73" s="14"/>
      <c r="C73" s="14" t="s">
        <v>264</v>
      </c>
      <c r="D73" s="62" t="s">
        <v>404</v>
      </c>
      <c r="E73" s="15">
        <v>754</v>
      </c>
      <c r="F73" s="15">
        <v>751</v>
      </c>
      <c r="G73" s="15">
        <v>751</v>
      </c>
      <c r="H73" s="16">
        <f t="shared" ref="H73:H81" si="24">G73/F73</f>
        <v>1</v>
      </c>
      <c r="I73" s="15">
        <v>751</v>
      </c>
      <c r="J73" s="16">
        <f>G73/$F73</f>
        <v>1</v>
      </c>
      <c r="K73" s="626" t="s">
        <v>405</v>
      </c>
      <c r="L73" s="15" t="s">
        <v>25</v>
      </c>
      <c r="M73" s="639" t="s">
        <v>406</v>
      </c>
      <c r="N73" s="17" t="s">
        <v>407</v>
      </c>
      <c r="O73" s="31"/>
      <c r="P73" s="25" t="s">
        <v>408</v>
      </c>
      <c r="Q73" s="3"/>
      <c r="R73" s="19"/>
      <c r="S73" s="20" t="s">
        <v>77</v>
      </c>
      <c r="T73" s="20"/>
      <c r="U73" s="3"/>
      <c r="V73" s="3"/>
      <c r="W73" s="51"/>
      <c r="X73" s="3"/>
      <c r="Y73" s="3"/>
      <c r="Z73" s="3"/>
      <c r="AA73" s="3"/>
      <c r="AB73" s="3"/>
      <c r="AC73" s="3"/>
      <c r="AD73" s="3"/>
      <c r="AE73" s="3"/>
      <c r="AF73" s="3"/>
      <c r="AG73" s="3"/>
      <c r="AH73" s="4"/>
      <c r="AI73" s="4"/>
      <c r="AJ73" s="4"/>
      <c r="AK73" s="4"/>
      <c r="AL73" s="4"/>
      <c r="AM73" s="69"/>
      <c r="AN73" s="70"/>
      <c r="AO73" s="70"/>
      <c r="AP73" s="70"/>
      <c r="AQ73" s="71"/>
      <c r="AR73" s="56"/>
      <c r="AS73" s="57"/>
      <c r="AT73" s="4"/>
      <c r="AU73" s="3"/>
      <c r="AV73" s="56"/>
      <c r="AW73" s="56"/>
      <c r="AX73" s="56"/>
      <c r="AY73" s="57"/>
      <c r="AZ73" s="56"/>
      <c r="BA73" s="57"/>
      <c r="BB73" s="4"/>
      <c r="BC73" s="3"/>
      <c r="BD73" s="56"/>
      <c r="BE73" s="56"/>
      <c r="BF73" s="56"/>
      <c r="BG73" s="57"/>
      <c r="BH73" s="56"/>
      <c r="BI73" s="57"/>
      <c r="BJ73" s="4"/>
      <c r="BK73" s="4"/>
      <c r="BL73" s="4"/>
      <c r="BM73" s="4"/>
      <c r="BN73" s="4"/>
      <c r="BO73" s="4"/>
      <c r="BP73" s="4"/>
      <c r="BQ73" s="4"/>
      <c r="BR73" s="4"/>
      <c r="BS73" s="4"/>
    </row>
    <row r="74" spans="1:71" ht="48">
      <c r="A74" s="3"/>
      <c r="B74" s="14"/>
      <c r="C74" s="14" t="s">
        <v>264</v>
      </c>
      <c r="D74" s="62" t="s">
        <v>409</v>
      </c>
      <c r="E74" s="15">
        <v>499</v>
      </c>
      <c r="F74" s="15">
        <v>467</v>
      </c>
      <c r="G74" s="15">
        <v>457</v>
      </c>
      <c r="H74" s="16">
        <f t="shared" si="24"/>
        <v>0.97858672376873657</v>
      </c>
      <c r="I74" s="15">
        <v>457</v>
      </c>
      <c r="J74" s="16">
        <f t="shared" ref="J74:J76" si="25">G74/F74</f>
        <v>0.97858672376873657</v>
      </c>
      <c r="K74" s="626" t="s">
        <v>405</v>
      </c>
      <c r="L74" s="15" t="s">
        <v>149</v>
      </c>
      <c r="M74" s="639" t="s">
        <v>410</v>
      </c>
      <c r="N74" s="17" t="s">
        <v>384</v>
      </c>
      <c r="O74" s="31"/>
      <c r="P74" s="25" t="s">
        <v>411</v>
      </c>
      <c r="Q74" s="3"/>
      <c r="R74" s="19"/>
      <c r="S74" s="20" t="s">
        <v>77</v>
      </c>
      <c r="T74" s="20"/>
      <c r="U74" s="3"/>
      <c r="V74" s="3"/>
      <c r="W74" s="51"/>
      <c r="X74" s="3"/>
      <c r="Y74" s="3"/>
      <c r="Z74" s="3"/>
      <c r="AA74" s="3"/>
      <c r="AB74" s="3"/>
      <c r="AC74" s="3"/>
      <c r="AD74" s="3"/>
      <c r="AE74" s="3"/>
      <c r="AF74" s="3"/>
      <c r="AG74" s="3"/>
      <c r="AH74" s="4"/>
      <c r="AI74" s="4"/>
      <c r="AJ74" s="4"/>
      <c r="AK74" s="4"/>
      <c r="AL74" s="4"/>
      <c r="AM74" s="69"/>
      <c r="AN74" s="70"/>
      <c r="AO74" s="70"/>
      <c r="AP74" s="70"/>
      <c r="AQ74" s="71"/>
      <c r="AR74" s="56"/>
      <c r="AS74" s="57"/>
      <c r="AT74" s="4"/>
      <c r="AU74" s="3"/>
      <c r="AV74" s="56"/>
      <c r="AW74" s="56"/>
      <c r="AX74" s="56"/>
      <c r="AY74" s="57"/>
      <c r="AZ74" s="56"/>
      <c r="BA74" s="57"/>
      <c r="BB74" s="4"/>
      <c r="BC74" s="3"/>
      <c r="BD74" s="56"/>
      <c r="BE74" s="56"/>
      <c r="BF74" s="56"/>
      <c r="BG74" s="57"/>
      <c r="BH74" s="56"/>
      <c r="BI74" s="57"/>
      <c r="BJ74" s="4"/>
      <c r="BK74" s="4"/>
      <c r="BL74" s="4"/>
      <c r="BM74" s="4"/>
      <c r="BN74" s="4"/>
      <c r="BO74" s="4"/>
      <c r="BP74" s="4"/>
      <c r="BQ74" s="4"/>
      <c r="BR74" s="4"/>
      <c r="BS74" s="4"/>
    </row>
    <row r="75" spans="1:71" ht="48">
      <c r="A75" s="3"/>
      <c r="B75" s="14"/>
      <c r="C75" s="14" t="s">
        <v>264</v>
      </c>
      <c r="D75" s="62" t="s">
        <v>412</v>
      </c>
      <c r="E75" s="15">
        <v>514</v>
      </c>
      <c r="F75" s="15">
        <v>468</v>
      </c>
      <c r="G75" s="15">
        <v>468</v>
      </c>
      <c r="H75" s="16">
        <f t="shared" si="24"/>
        <v>1</v>
      </c>
      <c r="I75" s="15">
        <v>468</v>
      </c>
      <c r="J75" s="16">
        <f t="shared" si="25"/>
        <v>1</v>
      </c>
      <c r="K75" s="626" t="s">
        <v>376</v>
      </c>
      <c r="L75" s="15" t="s">
        <v>149</v>
      </c>
      <c r="M75" s="639" t="s">
        <v>413</v>
      </c>
      <c r="N75" s="17" t="s">
        <v>384</v>
      </c>
      <c r="O75" s="31"/>
      <c r="P75" s="25" t="s">
        <v>414</v>
      </c>
      <c r="Q75" s="3"/>
      <c r="R75" s="19"/>
      <c r="S75" s="20" t="s">
        <v>77</v>
      </c>
      <c r="T75" s="20"/>
      <c r="U75" s="3"/>
      <c r="V75" s="3"/>
      <c r="W75" s="51"/>
      <c r="X75" s="3"/>
      <c r="Y75" s="3"/>
      <c r="Z75" s="3"/>
      <c r="AA75" s="3"/>
      <c r="AB75" s="3"/>
      <c r="AC75" s="3"/>
      <c r="AD75" s="3"/>
      <c r="AE75" s="3"/>
      <c r="AF75" s="3"/>
      <c r="AG75" s="3"/>
      <c r="AH75" s="4"/>
      <c r="AI75" s="4"/>
      <c r="AJ75" s="4"/>
      <c r="AK75" s="4"/>
      <c r="AL75" s="4"/>
      <c r="AM75" s="69"/>
      <c r="AN75" s="70"/>
      <c r="AO75" s="70"/>
      <c r="AP75" s="70"/>
      <c r="AQ75" s="71"/>
      <c r="AR75" s="56"/>
      <c r="AS75" s="57"/>
      <c r="AT75" s="4"/>
      <c r="AU75" s="3"/>
      <c r="AV75" s="56"/>
      <c r="AW75" s="56"/>
      <c r="AX75" s="56"/>
      <c r="AY75" s="57"/>
      <c r="AZ75" s="56"/>
      <c r="BA75" s="57"/>
      <c r="BB75" s="4"/>
      <c r="BC75" s="3"/>
      <c r="BD75" s="56"/>
      <c r="BE75" s="56"/>
      <c r="BF75" s="56"/>
      <c r="BG75" s="57"/>
      <c r="BH75" s="56"/>
      <c r="BI75" s="57"/>
      <c r="BJ75" s="4"/>
      <c r="BK75" s="4"/>
      <c r="BL75" s="4"/>
      <c r="BM75" s="4"/>
      <c r="BN75" s="4"/>
      <c r="BO75" s="4"/>
      <c r="BP75" s="4"/>
      <c r="BQ75" s="4"/>
      <c r="BR75" s="4"/>
      <c r="BS75" s="4"/>
    </row>
    <row r="76" spans="1:71" ht="48">
      <c r="A76" s="3"/>
      <c r="B76" s="14"/>
      <c r="C76" s="14" t="s">
        <v>257</v>
      </c>
      <c r="D76" s="62" t="s">
        <v>415</v>
      </c>
      <c r="E76" s="15">
        <v>1151</v>
      </c>
      <c r="F76" s="15">
        <v>1125</v>
      </c>
      <c r="G76" s="15">
        <v>864</v>
      </c>
      <c r="H76" s="16">
        <f t="shared" si="24"/>
        <v>0.76800000000000002</v>
      </c>
      <c r="I76" s="15">
        <v>864</v>
      </c>
      <c r="J76" s="16">
        <f t="shared" si="25"/>
        <v>0.76800000000000002</v>
      </c>
      <c r="K76" s="634" t="s">
        <v>416</v>
      </c>
      <c r="L76" s="582" t="s">
        <v>25</v>
      </c>
      <c r="M76" s="639" t="s">
        <v>417</v>
      </c>
      <c r="N76" s="17" t="s">
        <v>418</v>
      </c>
      <c r="O76" s="31"/>
      <c r="P76" s="25" t="s">
        <v>419</v>
      </c>
      <c r="Q76" s="3"/>
      <c r="R76" s="19"/>
      <c r="S76" s="19"/>
      <c r="T76" s="3"/>
      <c r="U76" s="3"/>
      <c r="V76" s="3"/>
      <c r="W76" s="51"/>
      <c r="X76" s="3"/>
      <c r="Y76" s="3"/>
      <c r="Z76" s="3"/>
      <c r="AA76" s="3"/>
      <c r="AB76" s="3"/>
      <c r="AC76" s="3"/>
      <c r="AD76" s="3"/>
      <c r="AE76" s="3"/>
      <c r="AF76" s="3"/>
      <c r="AG76" s="3"/>
      <c r="AH76" s="4"/>
      <c r="AI76" s="4"/>
      <c r="AJ76" s="4"/>
      <c r="AK76" s="4"/>
      <c r="AL76" s="4"/>
      <c r="AM76" s="69"/>
      <c r="AN76" s="70"/>
      <c r="AO76" s="70"/>
      <c r="AP76" s="70"/>
      <c r="AQ76" s="71"/>
      <c r="AR76" s="56"/>
      <c r="AS76" s="57"/>
      <c r="AT76" s="4"/>
      <c r="AU76" s="3"/>
      <c r="AV76" s="56"/>
      <c r="AW76" s="56"/>
      <c r="AX76" s="56"/>
      <c r="AY76" s="57"/>
      <c r="AZ76" s="56"/>
      <c r="BA76" s="57"/>
      <c r="BB76" s="4"/>
      <c r="BC76" s="3"/>
      <c r="BD76" s="56"/>
      <c r="BE76" s="56"/>
      <c r="BF76" s="56"/>
      <c r="BG76" s="57"/>
      <c r="BH76" s="56"/>
      <c r="BI76" s="57"/>
      <c r="BJ76" s="4"/>
      <c r="BK76" s="4"/>
      <c r="BL76" s="4"/>
      <c r="BM76" s="4"/>
      <c r="BN76" s="4"/>
      <c r="BO76" s="4"/>
      <c r="BP76" s="4"/>
      <c r="BQ76" s="4"/>
      <c r="BR76" s="4"/>
      <c r="BS76" s="4"/>
    </row>
    <row r="77" spans="1:71" ht="48">
      <c r="A77" s="3"/>
      <c r="B77" s="14"/>
      <c r="C77" s="14" t="s">
        <v>264</v>
      </c>
      <c r="D77" s="62" t="s">
        <v>420</v>
      </c>
      <c r="E77" s="15">
        <v>38</v>
      </c>
      <c r="F77" s="15">
        <v>38</v>
      </c>
      <c r="G77" s="15">
        <v>38</v>
      </c>
      <c r="H77" s="16">
        <f t="shared" si="24"/>
        <v>1</v>
      </c>
      <c r="I77" s="15">
        <v>38</v>
      </c>
      <c r="J77" s="16">
        <f t="shared" ref="J77:J80" si="26">G77/$F77</f>
        <v>1</v>
      </c>
      <c r="K77" s="626" t="s">
        <v>405</v>
      </c>
      <c r="L77" s="15" t="s">
        <v>149</v>
      </c>
      <c r="M77" s="647" t="s">
        <v>421</v>
      </c>
      <c r="N77" s="31"/>
      <c r="O77" s="31"/>
      <c r="P77" s="25"/>
      <c r="Q77" s="3"/>
      <c r="R77" s="19"/>
      <c r="S77" s="19"/>
      <c r="T77" s="3"/>
      <c r="U77" s="3"/>
      <c r="V77" s="3"/>
      <c r="W77" s="51"/>
      <c r="X77" s="3"/>
      <c r="Y77" s="3"/>
      <c r="Z77" s="3"/>
      <c r="AA77" s="3"/>
      <c r="AB77" s="3"/>
      <c r="AC77" s="3"/>
      <c r="AD77" s="3"/>
      <c r="AE77" s="3"/>
      <c r="AF77" s="3"/>
      <c r="AG77" s="3"/>
      <c r="AH77" s="4"/>
      <c r="AI77" s="4"/>
      <c r="AJ77" s="4"/>
      <c r="AK77" s="4"/>
      <c r="AL77" s="4"/>
      <c r="AM77" s="69"/>
      <c r="AN77" s="70"/>
      <c r="AO77" s="70"/>
      <c r="AP77" s="70"/>
      <c r="AQ77" s="71"/>
      <c r="AR77" s="56"/>
      <c r="AS77" s="57"/>
      <c r="AT77" s="4"/>
      <c r="AU77" s="3"/>
      <c r="AV77" s="56"/>
      <c r="AW77" s="56"/>
      <c r="AX77" s="56"/>
      <c r="AY77" s="57"/>
      <c r="AZ77" s="56"/>
      <c r="BA77" s="57"/>
      <c r="BB77" s="4"/>
      <c r="BC77" s="3"/>
      <c r="BD77" s="56"/>
      <c r="BE77" s="56"/>
      <c r="BF77" s="56"/>
      <c r="BG77" s="57"/>
      <c r="BH77" s="56"/>
      <c r="BI77" s="57"/>
      <c r="BJ77" s="4"/>
      <c r="BK77" s="4"/>
      <c r="BL77" s="4"/>
      <c r="BM77" s="4"/>
      <c r="BN77" s="4"/>
      <c r="BO77" s="4"/>
      <c r="BP77" s="4"/>
      <c r="BQ77" s="4"/>
      <c r="BR77" s="4"/>
      <c r="BS77" s="4"/>
    </row>
    <row r="78" spans="1:71" ht="48">
      <c r="A78" s="3"/>
      <c r="B78" s="14"/>
      <c r="C78" s="14" t="s">
        <v>264</v>
      </c>
      <c r="D78" s="62" t="s">
        <v>422</v>
      </c>
      <c r="E78" s="15">
        <v>38</v>
      </c>
      <c r="F78" s="15">
        <v>38</v>
      </c>
      <c r="G78" s="15">
        <v>38</v>
      </c>
      <c r="H78" s="16">
        <f t="shared" si="24"/>
        <v>1</v>
      </c>
      <c r="I78" s="15">
        <v>38</v>
      </c>
      <c r="J78" s="16">
        <f t="shared" si="26"/>
        <v>1</v>
      </c>
      <c r="K78" s="626" t="s">
        <v>405</v>
      </c>
      <c r="L78" s="15" t="s">
        <v>149</v>
      </c>
      <c r="M78" s="639" t="s">
        <v>423</v>
      </c>
      <c r="N78" s="17" t="s">
        <v>424</v>
      </c>
      <c r="O78" s="31"/>
      <c r="P78" s="25"/>
      <c r="Q78" s="3"/>
      <c r="R78" s="19"/>
      <c r="S78" s="19"/>
      <c r="T78" s="3"/>
      <c r="U78" s="3"/>
      <c r="V78" s="3"/>
      <c r="W78" s="51"/>
      <c r="X78" s="3"/>
      <c r="Y78" s="3"/>
      <c r="Z78" s="3"/>
      <c r="AA78" s="3"/>
      <c r="AB78" s="3"/>
      <c r="AC78" s="3"/>
      <c r="AD78" s="3"/>
      <c r="AE78" s="3"/>
      <c r="AF78" s="3"/>
      <c r="AG78" s="3"/>
      <c r="AH78" s="4"/>
      <c r="AI78" s="4"/>
      <c r="AJ78" s="4"/>
      <c r="AK78" s="4"/>
      <c r="AL78" s="4"/>
      <c r="AM78" s="69"/>
      <c r="AN78" s="70"/>
      <c r="AO78" s="70"/>
      <c r="AP78" s="70"/>
      <c r="AQ78" s="71"/>
      <c r="AR78" s="56"/>
      <c r="AS78" s="57"/>
      <c r="AT78" s="4"/>
      <c r="AU78" s="3"/>
      <c r="AV78" s="56"/>
      <c r="AW78" s="56"/>
      <c r="AX78" s="56"/>
      <c r="AY78" s="57"/>
      <c r="AZ78" s="56"/>
      <c r="BA78" s="57"/>
      <c r="BB78" s="4"/>
      <c r="BC78" s="3"/>
      <c r="BD78" s="56"/>
      <c r="BE78" s="56"/>
      <c r="BF78" s="56"/>
      <c r="BG78" s="57"/>
      <c r="BH78" s="56"/>
      <c r="BI78" s="57"/>
      <c r="BJ78" s="4"/>
      <c r="BK78" s="4"/>
      <c r="BL78" s="4"/>
      <c r="BM78" s="4"/>
      <c r="BN78" s="4"/>
      <c r="BO78" s="4"/>
      <c r="BP78" s="4"/>
      <c r="BQ78" s="4"/>
      <c r="BR78" s="4"/>
      <c r="BS78" s="4"/>
    </row>
    <row r="79" spans="1:71" ht="142.5">
      <c r="A79" s="3"/>
      <c r="B79" s="14"/>
      <c r="C79" s="14" t="s">
        <v>264</v>
      </c>
      <c r="D79" s="62" t="s">
        <v>425</v>
      </c>
      <c r="E79" s="15">
        <v>1169</v>
      </c>
      <c r="F79" s="15">
        <v>1074</v>
      </c>
      <c r="G79" s="15">
        <v>997</v>
      </c>
      <c r="H79" s="16">
        <f t="shared" si="24"/>
        <v>0.92830540037243947</v>
      </c>
      <c r="I79" s="15">
        <v>997</v>
      </c>
      <c r="J79" s="16">
        <f t="shared" si="26"/>
        <v>0.92830540037243947</v>
      </c>
      <c r="K79" s="626" t="s">
        <v>64</v>
      </c>
      <c r="L79" s="15" t="s">
        <v>149</v>
      </c>
      <c r="M79" s="648" t="s">
        <v>426</v>
      </c>
      <c r="N79" s="651" t="s">
        <v>427</v>
      </c>
      <c r="O79" s="78"/>
      <c r="P79" s="3"/>
      <c r="Q79" s="3"/>
      <c r="R79" s="19"/>
      <c r="S79" s="19"/>
      <c r="T79" s="3"/>
      <c r="U79" s="3"/>
      <c r="V79" s="3"/>
      <c r="W79" s="51"/>
      <c r="X79" s="3"/>
      <c r="Y79" s="3"/>
      <c r="Z79" s="3"/>
      <c r="AA79" s="3"/>
      <c r="AB79" s="3"/>
      <c r="AC79" s="3"/>
      <c r="AD79" s="3"/>
      <c r="AE79" s="3"/>
      <c r="AF79" s="3"/>
      <c r="AG79" s="3"/>
      <c r="AH79" s="4"/>
      <c r="AI79" s="4"/>
      <c r="AJ79" s="4"/>
      <c r="AK79" s="4"/>
      <c r="AL79" s="4"/>
      <c r="AM79" s="69"/>
      <c r="AN79" s="70"/>
      <c r="AO79" s="70"/>
      <c r="AP79" s="70"/>
      <c r="AQ79" s="71"/>
      <c r="AR79" s="56"/>
      <c r="AS79" s="57"/>
      <c r="AT79" s="4"/>
      <c r="AU79" s="3"/>
      <c r="AV79" s="56"/>
      <c r="AW79" s="56"/>
      <c r="AX79" s="56"/>
      <c r="AY79" s="57"/>
      <c r="AZ79" s="56"/>
      <c r="BA79" s="57"/>
      <c r="BB79" s="4"/>
      <c r="BC79" s="3"/>
      <c r="BD79" s="56"/>
      <c r="BE79" s="56"/>
      <c r="BF79" s="56"/>
      <c r="BG79" s="57"/>
      <c r="BH79" s="56"/>
      <c r="BI79" s="57"/>
      <c r="BJ79" s="4"/>
      <c r="BK79" s="4"/>
      <c r="BL79" s="4"/>
      <c r="BM79" s="4"/>
      <c r="BN79" s="4"/>
      <c r="BO79" s="4"/>
      <c r="BP79" s="4"/>
      <c r="BQ79" s="4"/>
      <c r="BR79" s="4"/>
      <c r="BS79" s="4"/>
    </row>
    <row r="80" spans="1:71" ht="142.5">
      <c r="A80" s="3"/>
      <c r="B80" s="14"/>
      <c r="C80" s="14" t="s">
        <v>264</v>
      </c>
      <c r="D80" s="62" t="s">
        <v>428</v>
      </c>
      <c r="E80" s="15">
        <v>1410</v>
      </c>
      <c r="F80" s="15">
        <v>1410</v>
      </c>
      <c r="G80" s="15">
        <v>217</v>
      </c>
      <c r="H80" s="16">
        <f t="shared" si="24"/>
        <v>0.15390070921985816</v>
      </c>
      <c r="I80" s="15">
        <v>217</v>
      </c>
      <c r="J80" s="16">
        <f t="shared" si="26"/>
        <v>0.15390070921985816</v>
      </c>
      <c r="K80" s="626" t="s">
        <v>64</v>
      </c>
      <c r="L80" s="15" t="s">
        <v>25</v>
      </c>
      <c r="M80" s="648" t="s">
        <v>426</v>
      </c>
      <c r="N80" s="651" t="s">
        <v>427</v>
      </c>
      <c r="O80" s="78"/>
      <c r="P80" s="3"/>
      <c r="Q80" s="3"/>
      <c r="R80" s="19"/>
      <c r="S80" s="19"/>
      <c r="T80" s="3"/>
      <c r="U80" s="3"/>
      <c r="V80" s="3"/>
      <c r="W80" s="51"/>
      <c r="X80" s="3"/>
      <c r="Y80" s="3"/>
      <c r="Z80" s="3"/>
      <c r="AA80" s="3"/>
      <c r="AB80" s="3"/>
      <c r="AC80" s="3"/>
      <c r="AD80" s="3"/>
      <c r="AE80" s="3"/>
      <c r="AF80" s="3"/>
      <c r="AG80" s="3"/>
      <c r="AH80" s="4"/>
      <c r="AI80" s="4"/>
      <c r="AJ80" s="4"/>
      <c r="AK80" s="4"/>
      <c r="AL80" s="4"/>
      <c r="AM80" s="69"/>
      <c r="AN80" s="70"/>
      <c r="AO80" s="70"/>
      <c r="AP80" s="70"/>
      <c r="AQ80" s="71"/>
      <c r="AR80" s="56"/>
      <c r="AS80" s="57"/>
      <c r="AT80" s="4"/>
      <c r="AU80" s="3"/>
      <c r="AV80" s="56"/>
      <c r="AW80" s="56"/>
      <c r="AX80" s="56"/>
      <c r="AY80" s="57"/>
      <c r="AZ80" s="56"/>
      <c r="BA80" s="57"/>
      <c r="BB80" s="4"/>
      <c r="BC80" s="3"/>
      <c r="BD80" s="56"/>
      <c r="BE80" s="56"/>
      <c r="BF80" s="56"/>
      <c r="BG80" s="57"/>
      <c r="BH80" s="56"/>
      <c r="BI80" s="57"/>
      <c r="BJ80" s="4"/>
      <c r="BK80" s="4"/>
      <c r="BL80" s="4"/>
      <c r="BM80" s="4"/>
      <c r="BN80" s="4"/>
      <c r="BO80" s="4"/>
      <c r="BP80" s="4"/>
      <c r="BQ80" s="4"/>
      <c r="BR80" s="4"/>
      <c r="BS80" s="4"/>
    </row>
    <row r="81" spans="1:71" ht="48">
      <c r="A81" s="3"/>
      <c r="B81" s="14"/>
      <c r="C81" s="14"/>
      <c r="D81" s="62" t="s">
        <v>429</v>
      </c>
      <c r="E81" s="15">
        <v>448</v>
      </c>
      <c r="F81" s="15">
        <v>362</v>
      </c>
      <c r="G81" s="580">
        <v>362</v>
      </c>
      <c r="H81" s="587">
        <f>G81/F81</f>
        <v>1</v>
      </c>
      <c r="I81" s="580">
        <v>362</v>
      </c>
      <c r="J81" s="587">
        <f>I81/F81</f>
        <v>1</v>
      </c>
      <c r="K81" s="635">
        <v>46113</v>
      </c>
      <c r="L81" s="582" t="s">
        <v>25</v>
      </c>
      <c r="M81" s="639" t="s">
        <v>430</v>
      </c>
      <c r="N81" s="17" t="s">
        <v>431</v>
      </c>
      <c r="O81" s="78"/>
      <c r="P81" s="3" t="s">
        <v>432</v>
      </c>
      <c r="Q81" s="3"/>
      <c r="R81" s="19"/>
      <c r="S81" s="19"/>
      <c r="T81" s="3"/>
      <c r="U81" s="3"/>
      <c r="V81" s="3"/>
      <c r="W81" s="51"/>
      <c r="X81" s="3"/>
      <c r="Y81" s="3"/>
      <c r="Z81" s="3"/>
      <c r="AA81" s="3"/>
      <c r="AB81" s="3"/>
      <c r="AC81" s="3"/>
      <c r="AD81" s="3"/>
      <c r="AE81" s="3"/>
      <c r="AF81" s="3"/>
      <c r="AG81" s="3"/>
      <c r="AH81" s="4"/>
      <c r="AI81" s="4"/>
      <c r="AJ81" s="4"/>
      <c r="AK81" s="4"/>
      <c r="AL81" s="4"/>
      <c r="AM81" s="69"/>
      <c r="AN81" s="70"/>
      <c r="AO81" s="70"/>
      <c r="AP81" s="70"/>
      <c r="AQ81" s="71"/>
      <c r="AR81" s="56"/>
      <c r="AS81" s="57"/>
      <c r="AT81" s="4"/>
      <c r="AU81" s="3"/>
      <c r="AV81" s="56"/>
      <c r="AW81" s="56"/>
      <c r="AX81" s="56"/>
      <c r="AY81" s="57"/>
      <c r="AZ81" s="56"/>
      <c r="BA81" s="57"/>
      <c r="BB81" s="4"/>
      <c r="BC81" s="3"/>
      <c r="BD81" s="56"/>
      <c r="BE81" s="56"/>
      <c r="BF81" s="56"/>
      <c r="BG81" s="57"/>
      <c r="BH81" s="56"/>
      <c r="BI81" s="57"/>
      <c r="BJ81" s="4"/>
      <c r="BK81" s="4"/>
      <c r="BL81" s="4"/>
      <c r="BM81" s="4"/>
      <c r="BN81" s="4"/>
      <c r="BO81" s="4"/>
      <c r="BP81" s="4"/>
      <c r="BQ81" s="4"/>
      <c r="BR81" s="4"/>
      <c r="BS81" s="4"/>
    </row>
    <row r="82" spans="1:71" ht="77.25" customHeight="1">
      <c r="A82" s="3"/>
      <c r="B82" s="14"/>
      <c r="C82" s="14"/>
      <c r="D82" s="579" t="s">
        <v>433</v>
      </c>
      <c r="E82" s="580">
        <v>1123</v>
      </c>
      <c r="F82" s="585">
        <v>1000</v>
      </c>
      <c r="G82" s="15">
        <v>135</v>
      </c>
      <c r="H82" s="16">
        <f>G82/F82</f>
        <v>0.13500000000000001</v>
      </c>
      <c r="I82" s="15">
        <v>135</v>
      </c>
      <c r="J82" s="16">
        <f>I82/F82</f>
        <v>0.13500000000000001</v>
      </c>
      <c r="K82" s="636">
        <v>46174</v>
      </c>
      <c r="L82" s="581" t="s">
        <v>149</v>
      </c>
      <c r="M82" s="648" t="s">
        <v>434</v>
      </c>
      <c r="N82" s="17"/>
      <c r="O82" s="588" t="s">
        <v>435</v>
      </c>
      <c r="P82" s="3"/>
      <c r="Q82" s="3"/>
      <c r="R82" s="19"/>
      <c r="S82" s="19"/>
      <c r="T82" s="3"/>
      <c r="U82" s="3"/>
      <c r="V82" s="3"/>
      <c r="W82" s="51"/>
      <c r="X82" s="3"/>
      <c r="Y82" s="3"/>
      <c r="Z82" s="3"/>
      <c r="AA82" s="3"/>
      <c r="AB82" s="3"/>
      <c r="AC82" s="3"/>
      <c r="AD82" s="3"/>
      <c r="AE82" s="3"/>
      <c r="AF82" s="3"/>
      <c r="AG82" s="3"/>
      <c r="AH82" s="4"/>
      <c r="AI82" s="4"/>
      <c r="AJ82" s="4"/>
      <c r="AK82" s="4"/>
      <c r="AL82" s="4"/>
      <c r="AM82" s="69"/>
      <c r="AN82" s="70"/>
      <c r="AO82" s="70"/>
      <c r="AP82" s="70"/>
      <c r="AQ82" s="71"/>
      <c r="AR82" s="56"/>
      <c r="AS82" s="57"/>
      <c r="AT82" s="4"/>
      <c r="AU82" s="3"/>
      <c r="AV82" s="56"/>
      <c r="AW82" s="56"/>
      <c r="AX82" s="56"/>
      <c r="AY82" s="57"/>
      <c r="AZ82" s="56"/>
      <c r="BA82" s="57"/>
      <c r="BB82" s="4"/>
      <c r="BC82" s="3"/>
      <c r="BD82" s="56"/>
      <c r="BE82" s="56"/>
      <c r="BF82" s="56"/>
      <c r="BG82" s="57"/>
      <c r="BH82" s="56"/>
      <c r="BI82" s="57"/>
      <c r="BJ82" s="4"/>
      <c r="BK82" s="4"/>
      <c r="BL82" s="4"/>
      <c r="BM82" s="4"/>
      <c r="BN82" s="4"/>
      <c r="BO82" s="4"/>
      <c r="BP82" s="4"/>
      <c r="BQ82" s="4"/>
      <c r="BR82" s="4"/>
      <c r="BS82" s="4"/>
    </row>
    <row r="83" spans="1:71" ht="14.25">
      <c r="A83" s="3"/>
      <c r="B83" s="6"/>
      <c r="C83" s="6"/>
      <c r="D83" s="654" t="s">
        <v>436</v>
      </c>
      <c r="E83" s="654">
        <f t="shared" ref="E83:G83" si="27">SUM(E6:E62)</f>
        <v>89306</v>
      </c>
      <c r="F83" s="654">
        <f t="shared" si="27"/>
        <v>72096</v>
      </c>
      <c r="G83" s="657">
        <f t="shared" si="27"/>
        <v>33811</v>
      </c>
      <c r="H83" s="772"/>
      <c r="I83" s="657">
        <f>SUM(I6:I62)</f>
        <v>33761</v>
      </c>
      <c r="J83" s="772"/>
      <c r="K83" s="637"/>
      <c r="L83" s="79"/>
      <c r="M83" s="649"/>
      <c r="N83" s="79"/>
      <c r="O83" s="2"/>
      <c r="P83" s="3"/>
      <c r="Q83" s="3"/>
      <c r="R83" s="3"/>
      <c r="S83" s="3"/>
      <c r="T83" s="3"/>
      <c r="U83" s="3"/>
      <c r="V83" s="3"/>
      <c r="W83" s="51"/>
      <c r="X83" s="3"/>
      <c r="Y83" s="3"/>
      <c r="Z83" s="3"/>
      <c r="AA83" s="3"/>
      <c r="AB83" s="3"/>
      <c r="AC83" s="3"/>
      <c r="AD83" s="3"/>
      <c r="AE83" s="3"/>
      <c r="AF83" s="3"/>
      <c r="AG83" s="3"/>
      <c r="AH83" s="4"/>
      <c r="AI83" s="4"/>
      <c r="AJ83" s="4"/>
      <c r="AK83" s="4"/>
      <c r="AL83" s="4"/>
      <c r="AM83" s="69"/>
      <c r="AN83" s="70"/>
      <c r="AO83" s="70"/>
      <c r="AP83" s="70"/>
      <c r="AQ83" s="80"/>
      <c r="AR83" s="4"/>
      <c r="AS83" s="4"/>
      <c r="AT83" s="4"/>
      <c r="AU83" s="4"/>
      <c r="AV83" s="4"/>
      <c r="AW83" s="4"/>
      <c r="AX83" s="4"/>
      <c r="AY83" s="4"/>
      <c r="AZ83" s="4"/>
      <c r="BA83" s="4"/>
      <c r="BB83" s="4"/>
      <c r="BC83" s="4"/>
      <c r="BD83" s="5"/>
      <c r="BE83" s="4"/>
      <c r="BF83" s="4"/>
      <c r="BG83" s="4"/>
      <c r="BH83" s="4"/>
      <c r="BI83" s="4"/>
      <c r="BJ83" s="4"/>
      <c r="BK83" s="4"/>
      <c r="BL83" s="4"/>
      <c r="BM83" s="4"/>
      <c r="BN83" s="4"/>
      <c r="BO83" s="4"/>
      <c r="BP83" s="4"/>
      <c r="BQ83" s="4"/>
      <c r="BR83" s="4"/>
      <c r="BS83" s="4"/>
    </row>
    <row r="84" spans="1:71" ht="14.25">
      <c r="A84" s="3"/>
      <c r="B84" s="6"/>
      <c r="C84" s="6"/>
      <c r="D84" s="773"/>
      <c r="E84" s="773"/>
      <c r="F84" s="773"/>
      <c r="G84" s="661">
        <f>G83/F83</f>
        <v>0.46897192632046159</v>
      </c>
      <c r="H84" s="770"/>
      <c r="I84" s="661">
        <f>I83/F83</f>
        <v>0.46827840656901909</v>
      </c>
      <c r="J84" s="770"/>
      <c r="K84" s="627"/>
      <c r="L84" s="81"/>
      <c r="M84" s="650"/>
      <c r="N84" s="81"/>
      <c r="O84" s="82"/>
      <c r="P84" s="3"/>
      <c r="Q84" s="3"/>
      <c r="R84" s="3"/>
      <c r="S84" s="3"/>
      <c r="T84" s="3"/>
      <c r="U84" s="3"/>
      <c r="V84" s="3"/>
      <c r="W84" s="51"/>
      <c r="X84" s="3"/>
      <c r="Y84" s="3"/>
      <c r="Z84" s="3"/>
      <c r="AA84" s="3"/>
      <c r="AB84" s="3"/>
      <c r="AC84" s="3"/>
      <c r="AD84" s="3"/>
      <c r="AE84" s="3"/>
      <c r="AF84" s="3"/>
      <c r="AG84" s="3"/>
      <c r="AH84" s="4"/>
      <c r="AI84" s="4"/>
      <c r="AJ84" s="4"/>
      <c r="AK84" s="4"/>
      <c r="AL84" s="4"/>
      <c r="AM84" s="69"/>
      <c r="AN84" s="70"/>
      <c r="AO84" s="70"/>
      <c r="AP84" s="70"/>
      <c r="AQ84" s="80"/>
      <c r="AR84" s="4"/>
      <c r="AS84" s="4"/>
      <c r="AT84" s="4"/>
      <c r="AU84" s="4"/>
      <c r="AV84" s="4"/>
      <c r="AW84" s="4"/>
      <c r="AX84" s="4"/>
      <c r="AY84" s="4"/>
      <c r="AZ84" s="4"/>
      <c r="BA84" s="4"/>
      <c r="BB84" s="4"/>
      <c r="BC84" s="4"/>
      <c r="BD84" s="5"/>
      <c r="BE84" s="4"/>
      <c r="BF84" s="4"/>
      <c r="BG84" s="4"/>
      <c r="BH84" s="4"/>
      <c r="BI84" s="4"/>
      <c r="BJ84" s="4"/>
      <c r="BK84" s="4"/>
      <c r="BL84" s="4"/>
      <c r="BM84" s="4"/>
      <c r="BN84" s="4"/>
      <c r="BO84" s="4"/>
      <c r="BP84" s="4"/>
      <c r="BQ84" s="4"/>
      <c r="BR84" s="4"/>
      <c r="BS84" s="4"/>
    </row>
    <row r="85" spans="1:71" ht="14.25">
      <c r="A85" s="3"/>
      <c r="B85" s="3"/>
      <c r="C85" s="3"/>
      <c r="D85" s="3"/>
      <c r="E85" s="3"/>
      <c r="F85" s="3"/>
      <c r="G85" s="3"/>
      <c r="H85" s="3"/>
      <c r="I85" s="3"/>
      <c r="J85" s="3"/>
      <c r="K85" s="3"/>
      <c r="L85" s="3"/>
      <c r="M85" s="3"/>
      <c r="N85" s="3"/>
      <c r="O85" s="3"/>
      <c r="P85" s="3"/>
      <c r="Q85" s="3"/>
      <c r="R85" s="3"/>
      <c r="S85" s="3"/>
      <c r="T85" s="3"/>
      <c r="U85" s="3"/>
      <c r="V85" s="3"/>
      <c r="W85" s="51"/>
      <c r="X85" s="3"/>
      <c r="Y85" s="3"/>
      <c r="Z85" s="3"/>
      <c r="AA85" s="3"/>
      <c r="AB85" s="3"/>
      <c r="AC85" s="3"/>
      <c r="AD85" s="3"/>
      <c r="AE85" s="3"/>
      <c r="AF85" s="3"/>
      <c r="AG85" s="3"/>
      <c r="AH85" s="4"/>
      <c r="AI85" s="4"/>
      <c r="AJ85" s="4"/>
      <c r="AK85" s="4"/>
      <c r="AL85" s="4"/>
      <c r="AM85" s="69"/>
      <c r="AN85" s="70"/>
      <c r="AO85" s="70"/>
      <c r="AP85" s="70"/>
      <c r="AQ85" s="71"/>
      <c r="AR85" s="4"/>
      <c r="AS85" s="4"/>
      <c r="AT85" s="4"/>
      <c r="AU85" s="4"/>
      <c r="AV85" s="4"/>
      <c r="AW85" s="4"/>
      <c r="AX85" s="4"/>
      <c r="AY85" s="4"/>
      <c r="AZ85" s="4"/>
      <c r="BA85" s="4"/>
      <c r="BB85" s="4"/>
      <c r="BC85" s="4"/>
      <c r="BD85" s="5"/>
      <c r="BE85" s="4"/>
      <c r="BF85" s="4"/>
      <c r="BG85" s="4"/>
      <c r="BH85" s="4"/>
      <c r="BI85" s="4"/>
      <c r="BJ85" s="4"/>
      <c r="BK85" s="4"/>
      <c r="BL85" s="4"/>
      <c r="BM85" s="4"/>
      <c r="BN85" s="4"/>
      <c r="BO85" s="4"/>
      <c r="BP85" s="4"/>
      <c r="BQ85" s="4"/>
      <c r="BR85" s="4"/>
      <c r="BS85" s="4"/>
    </row>
    <row r="86" spans="1:71" ht="14.25">
      <c r="A86" s="3"/>
      <c r="B86" s="3"/>
      <c r="C86" s="3"/>
      <c r="D86" s="3" t="s">
        <v>437</v>
      </c>
      <c r="E86" s="3">
        <f>E83-W60</f>
        <v>88119</v>
      </c>
      <c r="F86" s="3">
        <f>F83-X60</f>
        <v>71367</v>
      </c>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4"/>
      <c r="AI86" s="4"/>
      <c r="AJ86" s="4"/>
      <c r="AK86" s="4"/>
      <c r="AL86" s="4"/>
      <c r="AM86" s="69"/>
      <c r="AN86" s="70"/>
      <c r="AO86" s="70"/>
      <c r="AP86" s="70"/>
      <c r="AQ86" s="80"/>
      <c r="AR86" s="4"/>
      <c r="AS86" s="4"/>
      <c r="AT86" s="4"/>
      <c r="AU86" s="4"/>
      <c r="AV86" s="4"/>
      <c r="AW86" s="4"/>
      <c r="AX86" s="4"/>
      <c r="AY86" s="4"/>
      <c r="AZ86" s="4"/>
      <c r="BA86" s="4"/>
      <c r="BB86" s="4"/>
      <c r="BC86" s="4"/>
      <c r="BD86" s="5"/>
      <c r="BE86" s="4"/>
      <c r="BF86" s="4"/>
      <c r="BG86" s="4"/>
      <c r="BH86" s="4"/>
      <c r="BI86" s="4"/>
      <c r="BJ86" s="4"/>
      <c r="BK86" s="4"/>
      <c r="BL86" s="4"/>
      <c r="BM86" s="4"/>
      <c r="BN86" s="4"/>
      <c r="BO86" s="4"/>
      <c r="BP86" s="4"/>
      <c r="BQ86" s="4"/>
      <c r="BR86" s="4"/>
      <c r="BS86" s="4"/>
    </row>
    <row r="87" spans="1:71" ht="14.25">
      <c r="A87" s="3"/>
      <c r="B87" s="83"/>
      <c r="C87" s="83"/>
      <c r="D87" s="83"/>
      <c r="E87" s="83"/>
      <c r="F87" s="83"/>
      <c r="G87" s="83"/>
      <c r="H87" s="83"/>
      <c r="I87" s="83"/>
      <c r="J87" s="83"/>
      <c r="K87" s="83"/>
      <c r="L87" s="83"/>
      <c r="M87" s="83"/>
      <c r="N87" s="83"/>
      <c r="O87" s="83"/>
      <c r="P87" s="3"/>
      <c r="Q87" s="3"/>
      <c r="R87" s="3"/>
      <c r="S87" s="3"/>
      <c r="T87" s="3"/>
      <c r="U87" s="3"/>
      <c r="V87" s="3"/>
      <c r="W87" s="3"/>
      <c r="X87" s="3"/>
      <c r="Y87" s="3"/>
      <c r="Z87" s="3"/>
      <c r="AA87" s="3"/>
      <c r="AB87" s="3"/>
      <c r="AC87" s="3"/>
      <c r="AD87" s="3"/>
      <c r="AE87" s="3"/>
      <c r="AF87" s="3"/>
      <c r="AG87" s="3"/>
      <c r="AH87" s="4"/>
      <c r="AI87" s="4"/>
      <c r="AJ87" s="4"/>
      <c r="AK87" s="4"/>
      <c r="AL87" s="4"/>
      <c r="AM87" s="69"/>
      <c r="AN87" s="70"/>
      <c r="AO87" s="70"/>
      <c r="AP87" s="70"/>
      <c r="AQ87" s="80"/>
      <c r="AR87" s="4"/>
      <c r="AS87" s="4"/>
      <c r="AT87" s="4"/>
      <c r="AU87" s="4"/>
      <c r="AV87" s="4"/>
      <c r="AW87" s="4"/>
      <c r="AX87" s="4"/>
      <c r="AY87" s="4"/>
      <c r="AZ87" s="4"/>
      <c r="BA87" s="4"/>
      <c r="BB87" s="4"/>
      <c r="BC87" s="4"/>
      <c r="BD87" s="5"/>
      <c r="BE87" s="4"/>
      <c r="BF87" s="4"/>
      <c r="BG87" s="4"/>
      <c r="BH87" s="4"/>
      <c r="BI87" s="4"/>
      <c r="BJ87" s="4"/>
      <c r="BK87" s="4"/>
      <c r="BL87" s="4"/>
      <c r="BM87" s="4"/>
      <c r="BN87" s="4"/>
      <c r="BO87" s="4"/>
      <c r="BP87" s="4"/>
      <c r="BQ87" s="4"/>
      <c r="BR87" s="4"/>
      <c r="BS87" s="4"/>
    </row>
    <row r="88" spans="1:71" ht="14.25">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4"/>
      <c r="AI88" s="4"/>
      <c r="AJ88" s="4"/>
      <c r="AK88" s="4"/>
      <c r="AL88" s="4"/>
      <c r="AM88" s="69"/>
      <c r="AN88" s="70"/>
      <c r="AO88" s="70"/>
      <c r="AP88" s="70"/>
      <c r="AQ88" s="80"/>
      <c r="AR88" s="4"/>
      <c r="AS88" s="4"/>
      <c r="AT88" s="4"/>
      <c r="AU88" s="4"/>
      <c r="AV88" s="4"/>
      <c r="AW88" s="4"/>
      <c r="AX88" s="4"/>
      <c r="AY88" s="4"/>
      <c r="AZ88" s="4"/>
      <c r="BA88" s="4"/>
      <c r="BB88" s="4"/>
      <c r="BC88" s="4"/>
      <c r="BD88" s="5"/>
      <c r="BE88" s="4"/>
      <c r="BF88" s="4"/>
      <c r="BG88" s="4"/>
      <c r="BH88" s="4"/>
      <c r="BI88" s="4"/>
      <c r="BJ88" s="4"/>
      <c r="BK88" s="4"/>
      <c r="BL88" s="4"/>
      <c r="BM88" s="4"/>
      <c r="BN88" s="4"/>
      <c r="BO88" s="4"/>
      <c r="BP88" s="4"/>
      <c r="BQ88" s="4"/>
      <c r="BR88" s="4"/>
      <c r="BS88" s="4"/>
    </row>
    <row r="89" spans="1:71" ht="14.25">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4"/>
      <c r="AI89" s="4"/>
      <c r="AJ89" s="4"/>
      <c r="AK89" s="4"/>
      <c r="AL89" s="4"/>
      <c r="AM89" s="69"/>
      <c r="AN89" s="70"/>
      <c r="AO89" s="70"/>
      <c r="AP89" s="70"/>
      <c r="AQ89" s="80"/>
      <c r="AR89" s="4"/>
      <c r="AS89" s="4"/>
      <c r="AT89" s="4"/>
      <c r="AU89" s="4"/>
      <c r="AV89" s="4"/>
      <c r="AW89" s="4"/>
      <c r="AX89" s="4"/>
      <c r="AY89" s="4"/>
      <c r="AZ89" s="4"/>
      <c r="BA89" s="4"/>
      <c r="BB89" s="4"/>
      <c r="BC89" s="4"/>
      <c r="BD89" s="5"/>
      <c r="BE89" s="4"/>
      <c r="BF89" s="4"/>
      <c r="BG89" s="4"/>
      <c r="BH89" s="4"/>
      <c r="BI89" s="4"/>
      <c r="BJ89" s="4"/>
      <c r="BK89" s="4"/>
      <c r="BL89" s="4"/>
      <c r="BM89" s="4"/>
      <c r="BN89" s="4"/>
      <c r="BO89" s="4"/>
      <c r="BP89" s="4"/>
      <c r="BQ89" s="4"/>
      <c r="BR89" s="4"/>
      <c r="BS89" s="4"/>
    </row>
    <row r="90" spans="1:71" ht="14.25">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4"/>
      <c r="AI90" s="4"/>
      <c r="AJ90" s="4"/>
      <c r="AK90" s="4"/>
      <c r="AL90" s="4"/>
      <c r="AM90" s="69"/>
      <c r="AN90" s="70"/>
      <c r="AO90" s="70"/>
      <c r="AP90" s="70"/>
      <c r="AQ90" s="80"/>
      <c r="AR90" s="4"/>
      <c r="AS90" s="4"/>
      <c r="AT90" s="4"/>
      <c r="AU90" s="4"/>
      <c r="AV90" s="4"/>
      <c r="AW90" s="4"/>
      <c r="AX90" s="4"/>
      <c r="AY90" s="4"/>
      <c r="AZ90" s="4"/>
      <c r="BA90" s="4"/>
      <c r="BB90" s="4"/>
      <c r="BC90" s="4"/>
      <c r="BD90" s="5"/>
      <c r="BE90" s="4"/>
      <c r="BF90" s="4"/>
      <c r="BG90" s="4"/>
      <c r="BH90" s="4"/>
      <c r="BI90" s="4"/>
      <c r="BJ90" s="4"/>
      <c r="BK90" s="4"/>
      <c r="BL90" s="4"/>
      <c r="BM90" s="4"/>
      <c r="BN90" s="4"/>
      <c r="BO90" s="4"/>
      <c r="BP90" s="4"/>
      <c r="BQ90" s="4"/>
      <c r="BR90" s="4"/>
      <c r="BS90" s="4"/>
    </row>
    <row r="91" spans="1:71" ht="14.25">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4"/>
      <c r="AI91" s="4"/>
      <c r="AJ91" s="4"/>
      <c r="AK91" s="4"/>
      <c r="AL91" s="4"/>
      <c r="AM91" s="69"/>
      <c r="AN91" s="70"/>
      <c r="AO91" s="70"/>
      <c r="AP91" s="70"/>
      <c r="AQ91" s="80"/>
      <c r="AR91" s="4"/>
      <c r="AS91" s="4"/>
      <c r="AT91" s="4"/>
      <c r="AU91" s="4"/>
      <c r="AV91" s="4"/>
      <c r="AW91" s="4"/>
      <c r="AX91" s="4"/>
      <c r="AY91" s="4"/>
      <c r="AZ91" s="4"/>
      <c r="BA91" s="4"/>
      <c r="BB91" s="4"/>
      <c r="BC91" s="4"/>
      <c r="BD91" s="5"/>
      <c r="BE91" s="4"/>
      <c r="BF91" s="4"/>
      <c r="BG91" s="4"/>
      <c r="BH91" s="4"/>
      <c r="BI91" s="4"/>
      <c r="BJ91" s="4"/>
      <c r="BK91" s="4"/>
      <c r="BL91" s="4"/>
      <c r="BM91" s="4"/>
      <c r="BN91" s="4"/>
      <c r="BO91" s="4"/>
      <c r="BP91" s="4"/>
      <c r="BQ91" s="4"/>
      <c r="BR91" s="4"/>
      <c r="BS91" s="4"/>
    </row>
    <row r="92" spans="1:71" ht="14.25">
      <c r="A92" s="3"/>
      <c r="B92" s="84"/>
      <c r="C92" s="84"/>
      <c r="D92" s="652" t="s">
        <v>438</v>
      </c>
      <c r="E92" s="769"/>
      <c r="F92" s="769"/>
      <c r="G92" s="769"/>
      <c r="H92" s="769"/>
      <c r="I92" s="769"/>
      <c r="J92" s="769"/>
      <c r="K92" s="769"/>
      <c r="L92" s="769"/>
      <c r="M92" s="769"/>
      <c r="N92" s="769"/>
      <c r="O92" s="769"/>
      <c r="P92" s="769"/>
      <c r="Q92" s="769"/>
      <c r="R92" s="769"/>
      <c r="S92" s="769"/>
      <c r="T92" s="769"/>
      <c r="U92" s="769"/>
      <c r="V92" s="83"/>
      <c r="W92" s="652" t="s">
        <v>439</v>
      </c>
      <c r="X92" s="769"/>
      <c r="Y92" s="769"/>
      <c r="Z92" s="769"/>
      <c r="AA92" s="769"/>
      <c r="AB92" s="769"/>
      <c r="AC92" s="769"/>
      <c r="AD92" s="769"/>
      <c r="AE92" s="769"/>
      <c r="AF92" s="769"/>
      <c r="AG92" s="769"/>
      <c r="AH92" s="4"/>
      <c r="AI92" s="653" t="s">
        <v>440</v>
      </c>
      <c r="AJ92" s="769"/>
      <c r="AK92" s="769"/>
      <c r="AL92" s="769"/>
      <c r="AM92" s="769"/>
      <c r="AN92" s="769"/>
      <c r="AO92" s="769"/>
      <c r="AP92" s="769"/>
      <c r="AQ92" s="80"/>
      <c r="AR92" s="4"/>
      <c r="AS92" s="4"/>
      <c r="AT92" s="4"/>
      <c r="AU92" s="4"/>
      <c r="AV92" s="4"/>
      <c r="AW92" s="4"/>
      <c r="AX92" s="4"/>
      <c r="AY92" s="4"/>
      <c r="AZ92" s="4"/>
      <c r="BA92" s="4"/>
      <c r="BB92" s="4"/>
      <c r="BC92" s="4"/>
      <c r="BD92" s="85"/>
      <c r="BE92" s="4"/>
      <c r="BF92" s="4"/>
      <c r="BG92" s="4"/>
      <c r="BH92" s="4"/>
      <c r="BI92" s="4"/>
      <c r="BJ92" s="4"/>
      <c r="BK92" s="4"/>
      <c r="BL92" s="4"/>
      <c r="BM92" s="4"/>
      <c r="BN92" s="4"/>
      <c r="BO92" s="4"/>
      <c r="BP92" s="86"/>
      <c r="BQ92" s="86"/>
      <c r="BR92" s="86"/>
      <c r="BS92" s="86"/>
    </row>
    <row r="93" spans="1:71" ht="14.25">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4"/>
      <c r="AI93" s="4"/>
      <c r="AJ93" s="4"/>
      <c r="AK93" s="4"/>
      <c r="AL93" s="4"/>
      <c r="AM93" s="69"/>
      <c r="AN93" s="70"/>
      <c r="AO93" s="70"/>
      <c r="AP93" s="70"/>
      <c r="AQ93" s="80"/>
      <c r="AR93" s="4"/>
      <c r="AS93" s="4"/>
      <c r="AT93" s="4"/>
      <c r="AU93" s="4"/>
      <c r="AV93" s="4"/>
      <c r="AW93" s="4"/>
      <c r="AX93" s="4"/>
      <c r="AY93" s="4"/>
      <c r="AZ93" s="4"/>
      <c r="BA93" s="4"/>
      <c r="BB93" s="4"/>
      <c r="BC93" s="4"/>
      <c r="BD93" s="85"/>
      <c r="BE93" s="4"/>
      <c r="BF93" s="4"/>
      <c r="BG93" s="4"/>
      <c r="BH93" s="4"/>
      <c r="BI93" s="4"/>
      <c r="BJ93" s="4"/>
      <c r="BK93" s="4"/>
      <c r="BL93" s="4"/>
      <c r="BM93" s="4"/>
      <c r="BN93" s="4"/>
      <c r="BO93" s="4"/>
      <c r="BP93" s="86"/>
      <c r="BQ93" s="86"/>
      <c r="BR93" s="86"/>
      <c r="BS93" s="86"/>
    </row>
    <row r="94" spans="1:71" ht="14.25">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4"/>
      <c r="AI94" s="4"/>
      <c r="AJ94" s="4"/>
      <c r="AK94" s="4"/>
      <c r="AL94" s="4"/>
      <c r="AM94" s="69"/>
      <c r="AN94" s="70"/>
      <c r="AO94" s="70"/>
      <c r="AP94" s="70"/>
      <c r="AQ94" s="80"/>
      <c r="AR94" s="4"/>
      <c r="AS94" s="4"/>
      <c r="AT94" s="4"/>
      <c r="AU94" s="4"/>
      <c r="AV94" s="4"/>
      <c r="AW94" s="4"/>
      <c r="AX94" s="4"/>
      <c r="AY94" s="4"/>
      <c r="AZ94" s="4"/>
      <c r="BA94" s="4"/>
      <c r="BB94" s="4"/>
      <c r="BC94" s="4"/>
      <c r="BD94" s="5"/>
      <c r="BE94" s="4"/>
      <c r="BF94" s="4"/>
      <c r="BG94" s="4"/>
      <c r="BH94" s="4"/>
      <c r="BI94" s="4"/>
      <c r="BJ94" s="4"/>
      <c r="BK94" s="4"/>
      <c r="BL94" s="4"/>
      <c r="BM94" s="4"/>
      <c r="BN94" s="4"/>
      <c r="BO94" s="4"/>
      <c r="BP94" s="4"/>
      <c r="BQ94" s="4"/>
      <c r="BR94" s="4"/>
      <c r="BS94" s="4"/>
    </row>
    <row r="95" spans="1:71" ht="14.25">
      <c r="A95" s="3"/>
      <c r="B95" s="87"/>
      <c r="C95" s="87"/>
      <c r="D95" s="87"/>
      <c r="E95" s="658"/>
      <c r="F95" s="769"/>
      <c r="G95" s="769"/>
      <c r="H95" s="13"/>
      <c r="I95" s="13"/>
      <c r="J95" s="13"/>
      <c r="K95" s="13"/>
      <c r="L95" s="13"/>
      <c r="M95" s="13"/>
      <c r="N95" s="13"/>
      <c r="O95" s="13"/>
      <c r="P95" s="13"/>
      <c r="Q95" s="13"/>
      <c r="R95" s="13"/>
      <c r="S95" s="13"/>
      <c r="T95" s="13"/>
      <c r="U95" s="13"/>
      <c r="V95" s="13"/>
      <c r="W95" s="13"/>
      <c r="X95" s="13"/>
      <c r="Y95" s="13"/>
      <c r="Z95" s="13"/>
      <c r="AA95" s="13"/>
      <c r="AB95" s="13"/>
      <c r="AC95" s="13"/>
      <c r="AD95" s="3"/>
      <c r="AE95" s="3"/>
      <c r="AF95" s="3"/>
      <c r="AG95" s="3"/>
      <c r="AH95" s="4"/>
      <c r="AI95" s="4"/>
      <c r="AJ95" s="4"/>
      <c r="AK95" s="4"/>
      <c r="AL95" s="4"/>
      <c r="AM95" s="69"/>
      <c r="AN95" s="70"/>
      <c r="AO95" s="70"/>
      <c r="AP95" s="70"/>
      <c r="AQ95" s="80"/>
      <c r="AR95" s="4"/>
      <c r="AS95" s="4"/>
      <c r="AT95" s="4"/>
      <c r="AU95" s="4"/>
      <c r="AV95" s="4"/>
      <c r="AW95" s="4"/>
      <c r="AX95" s="4"/>
      <c r="AY95" s="4"/>
      <c r="AZ95" s="4"/>
      <c r="BA95" s="4"/>
      <c r="BB95" s="4"/>
      <c r="BC95" s="4"/>
      <c r="BD95" s="5"/>
      <c r="BE95" s="4"/>
      <c r="BF95" s="4"/>
      <c r="BG95" s="4"/>
      <c r="BH95" s="4"/>
      <c r="BI95" s="4"/>
      <c r="BJ95" s="4"/>
      <c r="BK95" s="4"/>
      <c r="BL95" s="4"/>
      <c r="BM95" s="4"/>
      <c r="BN95" s="4"/>
      <c r="BO95" s="4"/>
      <c r="BP95" s="4"/>
      <c r="BQ95" s="4"/>
      <c r="BR95" s="4"/>
      <c r="BS95" s="4"/>
    </row>
    <row r="96" spans="1:71" ht="14.25">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83"/>
      <c r="AC96" s="83"/>
      <c r="AD96" s="83"/>
      <c r="AE96" s="83"/>
      <c r="AF96" s="3"/>
      <c r="AG96" s="3"/>
      <c r="AH96" s="4"/>
      <c r="AI96" s="4"/>
      <c r="AJ96" s="4"/>
      <c r="AK96" s="4"/>
      <c r="AL96" s="4"/>
      <c r="AM96" s="69"/>
      <c r="AN96" s="70"/>
      <c r="AO96" s="70"/>
      <c r="AP96" s="70"/>
      <c r="AQ96" s="80"/>
      <c r="AR96" s="4"/>
      <c r="AS96" s="4"/>
      <c r="AT96" s="4"/>
      <c r="AU96" s="4"/>
      <c r="AV96" s="4"/>
      <c r="AW96" s="4"/>
      <c r="AX96" s="4"/>
      <c r="AY96" s="4"/>
      <c r="AZ96" s="4"/>
      <c r="BA96" s="4"/>
      <c r="BB96" s="4"/>
      <c r="BC96" s="4"/>
      <c r="BD96" s="5"/>
      <c r="BE96" s="4"/>
      <c r="BF96" s="4"/>
      <c r="BG96" s="4"/>
      <c r="BH96" s="88"/>
      <c r="BI96" s="88"/>
      <c r="BJ96" s="88"/>
      <c r="BK96" s="88"/>
      <c r="BL96" s="88"/>
      <c r="BM96" s="88"/>
      <c r="BN96" s="88"/>
      <c r="BO96" s="88"/>
      <c r="BP96" s="86"/>
      <c r="BQ96" s="4"/>
      <c r="BR96" s="4"/>
      <c r="BS96" s="4"/>
    </row>
    <row r="97" spans="1:71" ht="14.25">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4"/>
      <c r="AI97" s="4"/>
      <c r="AJ97" s="4"/>
      <c r="AK97" s="4"/>
      <c r="AL97" s="4"/>
      <c r="AM97" s="69"/>
      <c r="AN97" s="70"/>
      <c r="AO97" s="70"/>
      <c r="AP97" s="70"/>
      <c r="AQ97" s="80"/>
      <c r="AR97" s="4"/>
      <c r="AS97" s="4"/>
      <c r="AT97" s="4"/>
      <c r="AU97" s="4"/>
      <c r="AV97" s="4"/>
      <c r="AW97" s="4"/>
      <c r="AX97" s="4"/>
      <c r="AY97" s="4"/>
      <c r="AZ97" s="4"/>
      <c r="BA97" s="4"/>
      <c r="BB97" s="4"/>
      <c r="BC97" s="4"/>
      <c r="BD97" s="4"/>
      <c r="BE97" s="4"/>
      <c r="BF97" s="4"/>
      <c r="BG97" s="4"/>
      <c r="BH97" s="89"/>
      <c r="BI97" s="4"/>
      <c r="BJ97" s="4"/>
      <c r="BK97" s="4"/>
      <c r="BL97" s="4"/>
      <c r="BM97" s="4"/>
      <c r="BN97" s="4"/>
      <c r="BO97" s="4"/>
      <c r="BP97" s="90"/>
      <c r="BQ97" s="4"/>
      <c r="BR97" s="4"/>
      <c r="BS97" s="4"/>
    </row>
    <row r="98" spans="1:71" ht="14.25">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4"/>
      <c r="AI98" s="4"/>
      <c r="AJ98" s="4"/>
      <c r="AK98" s="4"/>
      <c r="AL98" s="4"/>
      <c r="AM98" s="69"/>
      <c r="AN98" s="70"/>
      <c r="AO98" s="70"/>
      <c r="AP98" s="70"/>
      <c r="AQ98" s="80"/>
      <c r="AR98" s="4"/>
      <c r="AS98" s="4"/>
      <c r="AT98" s="4"/>
      <c r="AU98" s="4"/>
      <c r="AV98" s="4"/>
      <c r="AW98" s="4"/>
      <c r="AX98" s="4"/>
      <c r="AY98" s="4"/>
      <c r="AZ98" s="4"/>
      <c r="BA98" s="4"/>
      <c r="BB98" s="4"/>
      <c r="BC98" s="4"/>
      <c r="BD98" s="4"/>
      <c r="BE98" s="4"/>
      <c r="BF98" s="4"/>
      <c r="BG98" s="4"/>
      <c r="BH98" s="86"/>
      <c r="BI98" s="4"/>
      <c r="BJ98" s="4"/>
      <c r="BK98" s="4"/>
      <c r="BL98" s="4"/>
      <c r="BM98" s="4"/>
      <c r="BN98" s="4"/>
      <c r="BO98" s="4"/>
      <c r="BP98" s="4"/>
      <c r="BQ98" s="91"/>
      <c r="BR98" s="91"/>
      <c r="BS98" s="91"/>
    </row>
    <row r="99" spans="1:71" ht="14.25">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4"/>
      <c r="AI99" s="4"/>
      <c r="AJ99" s="4"/>
      <c r="AK99" s="4"/>
      <c r="AL99" s="4"/>
      <c r="AM99" s="69"/>
      <c r="AN99" s="70"/>
      <c r="AO99" s="70"/>
      <c r="AP99" s="70"/>
      <c r="AQ99" s="80"/>
      <c r="AR99" s="4"/>
      <c r="AS99" s="4"/>
      <c r="AT99" s="4"/>
      <c r="AU99" s="4"/>
      <c r="AV99" s="4"/>
      <c r="AW99" s="4"/>
      <c r="AX99" s="4"/>
      <c r="AY99" s="4"/>
      <c r="AZ99" s="4"/>
      <c r="BA99" s="4"/>
      <c r="BB99" s="4"/>
      <c r="BC99" s="4"/>
      <c r="BD99" s="4"/>
      <c r="BE99" s="4"/>
      <c r="BF99" s="4"/>
      <c r="BG99" s="4"/>
      <c r="BH99" s="86"/>
      <c r="BI99" s="4"/>
      <c r="BJ99" s="4"/>
      <c r="BK99" s="4"/>
      <c r="BL99" s="4"/>
      <c r="BM99" s="4"/>
      <c r="BN99" s="4"/>
      <c r="BO99" s="4"/>
      <c r="BP99" s="4"/>
      <c r="BQ99" s="86"/>
      <c r="BR99" s="86"/>
      <c r="BS99" s="86"/>
    </row>
    <row r="100" spans="1:71" ht="14.25">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4"/>
      <c r="AI100" s="4"/>
      <c r="AJ100" s="4"/>
      <c r="AK100" s="4"/>
      <c r="AL100" s="4"/>
      <c r="AM100" s="69"/>
      <c r="AN100" s="70"/>
      <c r="AO100" s="70"/>
      <c r="AP100" s="70"/>
      <c r="AQ100" s="80"/>
      <c r="AR100" s="4"/>
      <c r="AS100" s="4"/>
      <c r="AT100" s="4"/>
      <c r="AU100" s="4"/>
      <c r="AV100" s="4"/>
      <c r="AW100" s="4"/>
      <c r="AX100" s="4"/>
      <c r="AY100" s="4"/>
      <c r="AZ100" s="4"/>
      <c r="BA100" s="4"/>
      <c r="BB100" s="4"/>
      <c r="BC100" s="4"/>
      <c r="BD100" s="4"/>
      <c r="BE100" s="4"/>
      <c r="BF100" s="4"/>
      <c r="BG100" s="4"/>
      <c r="BH100" s="86"/>
      <c r="BI100" s="4"/>
      <c r="BJ100" s="4"/>
      <c r="BK100" s="4"/>
      <c r="BL100" s="4"/>
      <c r="BM100" s="4"/>
      <c r="BN100" s="4"/>
      <c r="BO100" s="4"/>
      <c r="BP100" s="4"/>
      <c r="BQ100" s="86"/>
      <c r="BR100" s="86"/>
      <c r="BS100" s="86"/>
    </row>
    <row r="101" spans="1:71" ht="14.25">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4"/>
      <c r="AI101" s="4"/>
      <c r="AJ101" s="4"/>
      <c r="AK101" s="4"/>
      <c r="AL101" s="4"/>
      <c r="AM101" s="69"/>
      <c r="AN101" s="70"/>
      <c r="AO101" s="70"/>
      <c r="AP101" s="70"/>
      <c r="AQ101" s="80"/>
      <c r="AR101" s="4"/>
      <c r="AS101" s="4"/>
      <c r="AT101" s="4"/>
      <c r="AU101" s="4"/>
      <c r="AV101" s="4"/>
      <c r="AW101" s="4"/>
      <c r="AX101" s="4"/>
      <c r="AY101" s="4"/>
      <c r="AZ101" s="4"/>
      <c r="BA101" s="4"/>
      <c r="BB101" s="4"/>
      <c r="BC101" s="4"/>
      <c r="BD101" s="4"/>
      <c r="BE101" s="4"/>
      <c r="BF101" s="4"/>
      <c r="BG101" s="4"/>
      <c r="BH101" s="86"/>
      <c r="BI101" s="4"/>
      <c r="BJ101" s="4"/>
      <c r="BK101" s="4"/>
      <c r="BL101" s="4"/>
      <c r="BM101" s="4"/>
      <c r="BN101" s="4"/>
      <c r="BO101" s="4"/>
      <c r="BP101" s="4"/>
      <c r="BQ101" s="86"/>
      <c r="BR101" s="86"/>
      <c r="BS101" s="86"/>
    </row>
    <row r="102" spans="1:71" ht="14.25">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4"/>
      <c r="AI102" s="4"/>
      <c r="AJ102" s="4"/>
      <c r="AK102" s="4"/>
      <c r="AL102" s="4"/>
      <c r="AM102" s="69"/>
      <c r="AN102" s="70"/>
      <c r="AO102" s="70"/>
      <c r="AP102" s="70"/>
      <c r="AQ102" s="80"/>
      <c r="AR102" s="4"/>
      <c r="AS102" s="4"/>
      <c r="AT102" s="4"/>
      <c r="AU102" s="4"/>
      <c r="AV102" s="4"/>
      <c r="AW102" s="4"/>
      <c r="AX102" s="4"/>
      <c r="AY102" s="4"/>
      <c r="AZ102" s="4"/>
      <c r="BA102" s="4"/>
      <c r="BB102" s="4"/>
      <c r="BC102" s="4"/>
      <c r="BD102" s="4"/>
      <c r="BE102" s="4"/>
      <c r="BF102" s="4"/>
      <c r="BG102" s="4"/>
      <c r="BH102" s="86"/>
      <c r="BI102" s="4"/>
      <c r="BJ102" s="4"/>
      <c r="BK102" s="4"/>
      <c r="BL102" s="4"/>
      <c r="BM102" s="4"/>
      <c r="BN102" s="4"/>
      <c r="BO102" s="4"/>
      <c r="BP102" s="4"/>
      <c r="BQ102" s="86"/>
      <c r="BR102" s="86"/>
      <c r="BS102" s="86"/>
    </row>
    <row r="103" spans="1:71" ht="14.25">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4"/>
      <c r="AI103" s="4"/>
      <c r="AJ103" s="4"/>
      <c r="AK103" s="4"/>
      <c r="AL103" s="4"/>
      <c r="AM103" s="69"/>
      <c r="AN103" s="70"/>
      <c r="AO103" s="70"/>
      <c r="AP103" s="70"/>
      <c r="AQ103" s="80"/>
      <c r="AR103" s="4"/>
      <c r="AS103" s="4"/>
      <c r="AT103" s="4"/>
      <c r="AU103" s="4"/>
      <c r="AV103" s="4"/>
      <c r="AW103" s="4"/>
      <c r="AX103" s="4"/>
      <c r="AY103" s="4"/>
      <c r="AZ103" s="4"/>
      <c r="BA103" s="4"/>
      <c r="BB103" s="4"/>
      <c r="BC103" s="4"/>
      <c r="BD103" s="4"/>
      <c r="BE103" s="4"/>
      <c r="BF103" s="4"/>
      <c r="BG103" s="4"/>
      <c r="BH103" s="86"/>
      <c r="BI103" s="4"/>
      <c r="BJ103" s="4"/>
      <c r="BK103" s="4"/>
      <c r="BL103" s="4"/>
      <c r="BM103" s="4"/>
      <c r="BN103" s="4"/>
      <c r="BO103" s="4"/>
      <c r="BP103" s="4"/>
      <c r="BQ103" s="86"/>
      <c r="BR103" s="86"/>
      <c r="BS103" s="86"/>
    </row>
    <row r="104" spans="1:71" ht="14.25">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4"/>
      <c r="AI104" s="4"/>
      <c r="AJ104" s="4"/>
      <c r="AK104" s="4"/>
      <c r="AL104" s="4"/>
      <c r="AM104" s="69"/>
      <c r="AN104" s="70"/>
      <c r="AO104" s="70"/>
      <c r="AP104" s="70"/>
      <c r="AQ104" s="71"/>
      <c r="AR104" s="4"/>
      <c r="AS104" s="4"/>
      <c r="AT104" s="4"/>
      <c r="AU104" s="4"/>
      <c r="AV104" s="4"/>
      <c r="AW104" s="4"/>
      <c r="AX104" s="4"/>
      <c r="AY104" s="4"/>
      <c r="AZ104" s="4"/>
      <c r="BA104" s="4"/>
      <c r="BB104" s="4"/>
      <c r="BC104" s="4"/>
      <c r="BD104" s="4"/>
      <c r="BE104" s="4"/>
      <c r="BF104" s="4"/>
      <c r="BG104" s="4"/>
      <c r="BH104" s="86"/>
      <c r="BI104" s="4"/>
      <c r="BJ104" s="4"/>
      <c r="BK104" s="4"/>
      <c r="BL104" s="4"/>
      <c r="BM104" s="4"/>
      <c r="BN104" s="4"/>
      <c r="BO104" s="4"/>
      <c r="BP104" s="4"/>
      <c r="BQ104" s="86"/>
      <c r="BR104" s="86"/>
      <c r="BS104" s="86"/>
    </row>
    <row r="105" spans="1:71" ht="14.2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4"/>
      <c r="AI105" s="4"/>
      <c r="AJ105" s="4"/>
      <c r="AK105" s="4"/>
      <c r="AL105" s="4"/>
      <c r="AM105" s="69"/>
      <c r="AN105" s="70"/>
      <c r="AO105" s="70"/>
      <c r="AP105" s="70"/>
      <c r="AQ105" s="80"/>
      <c r="AR105" s="4"/>
      <c r="AS105" s="4"/>
      <c r="AT105" s="4"/>
      <c r="AU105" s="4"/>
      <c r="AV105" s="4"/>
      <c r="AW105" s="4"/>
      <c r="AX105" s="4"/>
      <c r="AY105" s="4"/>
      <c r="AZ105" s="4"/>
      <c r="BA105" s="4"/>
      <c r="BB105" s="4"/>
      <c r="BC105" s="4"/>
      <c r="BD105" s="4"/>
      <c r="BE105" s="4"/>
      <c r="BF105" s="4"/>
      <c r="BG105" s="4"/>
      <c r="BH105" s="86"/>
      <c r="BI105" s="4"/>
      <c r="BJ105" s="4"/>
      <c r="BK105" s="4"/>
      <c r="BL105" s="4"/>
      <c r="BM105" s="4"/>
      <c r="BN105" s="4"/>
      <c r="BO105" s="4"/>
      <c r="BP105" s="4"/>
      <c r="BQ105" s="86"/>
      <c r="BR105" s="86"/>
      <c r="BS105" s="86"/>
    </row>
    <row r="106" spans="1:71" ht="14.25">
      <c r="A106" s="3"/>
      <c r="B106" s="85"/>
      <c r="C106" s="85"/>
      <c r="D106" s="85"/>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4"/>
      <c r="AI106" s="4"/>
      <c r="AJ106" s="4"/>
      <c r="AK106" s="4"/>
      <c r="AL106" s="4"/>
      <c r="AM106" s="69"/>
      <c r="AN106" s="70"/>
      <c r="AO106" s="70"/>
      <c r="AP106" s="70"/>
      <c r="AQ106" s="70"/>
      <c r="AR106" s="4"/>
      <c r="AS106" s="4"/>
      <c r="AT106" s="4"/>
      <c r="AU106" s="4"/>
      <c r="AV106" s="4"/>
      <c r="AW106" s="4"/>
      <c r="AX106" s="4"/>
      <c r="AY106" s="4"/>
      <c r="AZ106" s="4"/>
      <c r="BA106" s="4"/>
      <c r="BB106" s="4"/>
      <c r="BC106" s="4"/>
      <c r="BD106" s="4"/>
      <c r="BE106" s="4"/>
      <c r="BF106" s="4"/>
      <c r="BG106" s="4"/>
      <c r="BH106" s="86"/>
      <c r="BI106" s="4"/>
      <c r="BJ106" s="4"/>
      <c r="BK106" s="4"/>
      <c r="BL106" s="4"/>
      <c r="BM106" s="4"/>
      <c r="BN106" s="4"/>
      <c r="BO106" s="4"/>
      <c r="BP106" s="4"/>
      <c r="BQ106" s="4"/>
      <c r="BR106" s="4"/>
      <c r="BS106" s="4"/>
    </row>
    <row r="107" spans="1:71">
      <c r="A107" s="3"/>
      <c r="B107" s="85"/>
      <c r="C107" s="85"/>
      <c r="D107" s="85"/>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86"/>
      <c r="BI107" s="4"/>
      <c r="BJ107" s="4"/>
      <c r="BK107" s="4"/>
      <c r="BL107" s="4"/>
      <c r="BM107" s="4"/>
      <c r="BN107" s="4"/>
      <c r="BO107" s="4"/>
      <c r="BP107" s="4"/>
      <c r="BQ107" s="4"/>
      <c r="BR107" s="4"/>
      <c r="BS107" s="4"/>
    </row>
    <row r="108" spans="1:71">
      <c r="A108" s="3"/>
      <c r="B108" s="85"/>
      <c r="C108" s="85"/>
      <c r="D108" s="85"/>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86"/>
      <c r="BI108" s="4"/>
      <c r="BJ108" s="4"/>
      <c r="BK108" s="4"/>
      <c r="BL108" s="4"/>
      <c r="BM108" s="4"/>
      <c r="BN108" s="4"/>
      <c r="BO108" s="4"/>
      <c r="BP108" s="4"/>
      <c r="BQ108" s="4"/>
      <c r="BR108" s="4"/>
      <c r="BS108" s="4"/>
    </row>
    <row r="109" spans="1:71">
      <c r="A109" s="3"/>
      <c r="B109" s="85"/>
      <c r="C109" s="85"/>
      <c r="D109" s="85"/>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86"/>
      <c r="BI109" s="4"/>
      <c r="BJ109" s="4"/>
      <c r="BK109" s="4"/>
      <c r="BL109" s="4"/>
      <c r="BM109" s="4"/>
      <c r="BN109" s="4"/>
      <c r="BO109" s="4"/>
      <c r="BP109" s="4"/>
      <c r="BQ109" s="4"/>
      <c r="BR109" s="4"/>
      <c r="BS109" s="4"/>
    </row>
    <row r="110" spans="1:7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86"/>
      <c r="BI110" s="4"/>
      <c r="BJ110" s="4"/>
      <c r="BK110" s="4"/>
      <c r="BL110" s="4"/>
      <c r="BM110" s="4"/>
      <c r="BN110" s="4"/>
      <c r="BO110" s="4"/>
      <c r="BP110" s="4"/>
      <c r="BQ110" s="4"/>
      <c r="BR110" s="4"/>
      <c r="BS110" s="4"/>
    </row>
    <row r="111" spans="1:7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86"/>
      <c r="BI111" s="4"/>
      <c r="BJ111" s="4"/>
      <c r="BK111" s="4"/>
      <c r="BL111" s="4"/>
      <c r="BM111" s="4"/>
      <c r="BN111" s="4"/>
      <c r="BO111" s="4"/>
      <c r="BP111" s="4"/>
      <c r="BQ111" s="4"/>
      <c r="BR111" s="4"/>
      <c r="BS111" s="4"/>
    </row>
    <row r="112" spans="1:7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86"/>
      <c r="AI112" s="86"/>
      <c r="AJ112" s="86"/>
      <c r="AK112" s="86"/>
      <c r="AL112" s="86"/>
      <c r="AM112" s="86"/>
      <c r="AN112" s="86"/>
      <c r="AO112" s="86"/>
      <c r="AP112" s="86"/>
      <c r="AQ112" s="86"/>
      <c r="AR112" s="86"/>
      <c r="AS112" s="86"/>
      <c r="AT112" s="86"/>
      <c r="AU112" s="86"/>
      <c r="AV112" s="86"/>
      <c r="AW112" s="86"/>
      <c r="AX112" s="86"/>
      <c r="AY112" s="86"/>
      <c r="AZ112" s="86"/>
      <c r="BA112" s="86"/>
      <c r="BB112" s="86"/>
      <c r="BC112" s="86"/>
      <c r="BD112" s="4"/>
      <c r="BE112" s="4"/>
      <c r="BF112" s="4"/>
      <c r="BG112" s="4"/>
      <c r="BH112" s="86"/>
      <c r="BI112" s="4"/>
      <c r="BJ112" s="4"/>
      <c r="BK112" s="4"/>
      <c r="BL112" s="4"/>
      <c r="BM112" s="4"/>
      <c r="BN112" s="4"/>
      <c r="BO112" s="4"/>
      <c r="BP112" s="4"/>
      <c r="BQ112" s="86"/>
      <c r="BR112" s="86"/>
      <c r="BS112" s="86"/>
    </row>
    <row r="113" spans="1:7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90"/>
      <c r="AI113" s="90"/>
      <c r="AJ113" s="90"/>
      <c r="AK113" s="90"/>
      <c r="AL113" s="90"/>
      <c r="AM113" s="90"/>
      <c r="AN113" s="90"/>
      <c r="AO113" s="90"/>
      <c r="AP113" s="90"/>
      <c r="AQ113" s="90"/>
      <c r="AR113" s="90"/>
      <c r="AS113" s="90"/>
      <c r="AT113" s="90"/>
      <c r="AU113" s="90"/>
      <c r="AV113" s="90"/>
      <c r="AW113" s="90"/>
      <c r="AX113" s="90"/>
      <c r="AY113" s="90"/>
      <c r="AZ113" s="90"/>
      <c r="BA113" s="90"/>
      <c r="BB113" s="90"/>
      <c r="BC113" s="90"/>
      <c r="BD113" s="92"/>
      <c r="BE113" s="90"/>
      <c r="BF113" s="90"/>
      <c r="BG113" s="90"/>
      <c r="BH113" s="93"/>
      <c r="BI113" s="4"/>
      <c r="BJ113" s="4"/>
      <c r="BK113" s="4"/>
      <c r="BL113" s="4"/>
      <c r="BM113" s="4"/>
      <c r="BN113" s="4"/>
      <c r="BO113" s="4"/>
      <c r="BP113" s="4"/>
      <c r="BQ113" s="90"/>
      <c r="BR113" s="90"/>
      <c r="BS113" s="90"/>
    </row>
    <row r="114" spans="1:7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4"/>
      <c r="AI114" s="4"/>
      <c r="AJ114" s="4"/>
      <c r="AK114" s="4"/>
      <c r="AL114" s="4"/>
      <c r="AM114" s="4"/>
      <c r="AN114" s="4"/>
      <c r="AO114" s="4"/>
      <c r="AP114" s="4"/>
      <c r="AQ114" s="4"/>
      <c r="AR114" s="4"/>
      <c r="AS114" s="4"/>
      <c r="AT114" s="4"/>
      <c r="AU114" s="4"/>
      <c r="AV114" s="4"/>
      <c r="AW114" s="4"/>
      <c r="AX114" s="4"/>
      <c r="AY114" s="4"/>
      <c r="AZ114" s="4"/>
      <c r="BA114" s="4"/>
      <c r="BB114" s="4"/>
      <c r="BC114" s="4"/>
      <c r="BD114" s="5"/>
      <c r="BE114" s="4"/>
      <c r="BF114" s="4"/>
      <c r="BG114" s="4"/>
      <c r="BH114" s="93"/>
      <c r="BI114" s="4"/>
      <c r="BJ114" s="4"/>
      <c r="BK114" s="4"/>
      <c r="BL114" s="4"/>
      <c r="BM114" s="4"/>
      <c r="BN114" s="4"/>
      <c r="BO114" s="4"/>
      <c r="BP114" s="4"/>
      <c r="BQ114" s="4"/>
      <c r="BR114" s="4"/>
      <c r="BS114" s="4"/>
    </row>
    <row r="115" spans="1:7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4"/>
      <c r="AI115" s="4"/>
      <c r="AJ115" s="4"/>
      <c r="AK115" s="4"/>
      <c r="AL115" s="4"/>
      <c r="AM115" s="4"/>
      <c r="AN115" s="4"/>
      <c r="AO115" s="4"/>
      <c r="AP115" s="4"/>
      <c r="AQ115" s="4"/>
      <c r="AR115" s="4"/>
      <c r="AS115" s="4"/>
      <c r="AT115" s="4"/>
      <c r="AU115" s="4"/>
      <c r="AV115" s="4"/>
      <c r="AW115" s="4"/>
      <c r="AX115" s="4"/>
      <c r="AY115" s="4"/>
      <c r="AZ115" s="4"/>
      <c r="BA115" s="4"/>
      <c r="BB115" s="4"/>
      <c r="BC115" s="4"/>
      <c r="BD115" s="5"/>
      <c r="BE115" s="4"/>
      <c r="BF115" s="4"/>
      <c r="BG115" s="4"/>
      <c r="BH115" s="4"/>
      <c r="BI115" s="4"/>
      <c r="BJ115" s="4"/>
      <c r="BK115" s="4"/>
      <c r="BL115" s="4"/>
      <c r="BM115" s="4"/>
      <c r="BN115" s="4"/>
      <c r="BO115" s="4"/>
      <c r="BP115" s="4"/>
      <c r="BQ115" s="4"/>
      <c r="BR115" s="4"/>
      <c r="BS115" s="4"/>
    </row>
    <row r="116" spans="1:7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4"/>
      <c r="AI116" s="4"/>
      <c r="AJ116" s="4"/>
      <c r="AK116" s="4"/>
      <c r="AL116" s="4"/>
      <c r="AM116" s="4"/>
      <c r="AN116" s="4"/>
      <c r="AO116" s="4"/>
      <c r="AP116" s="4"/>
      <c r="AQ116" s="4"/>
      <c r="AR116" s="4"/>
      <c r="AS116" s="4"/>
      <c r="AT116" s="4"/>
      <c r="AU116" s="4"/>
      <c r="AV116" s="4"/>
      <c r="AW116" s="4"/>
      <c r="AX116" s="4"/>
      <c r="AY116" s="4"/>
      <c r="AZ116" s="4"/>
      <c r="BA116" s="4"/>
      <c r="BB116" s="4"/>
      <c r="BC116" s="4"/>
      <c r="BD116" s="5"/>
      <c r="BE116" s="4"/>
      <c r="BF116" s="4"/>
      <c r="BG116" s="4"/>
      <c r="BH116" s="4"/>
      <c r="BI116" s="4"/>
      <c r="BJ116" s="4"/>
      <c r="BK116" s="4"/>
      <c r="BL116" s="4"/>
      <c r="BM116" s="4"/>
      <c r="BN116" s="4"/>
      <c r="BO116" s="4"/>
      <c r="BP116" s="4"/>
      <c r="BQ116" s="4"/>
      <c r="BR116" s="4"/>
      <c r="BS116" s="4"/>
    </row>
    <row r="117" spans="1:71">
      <c r="A117" s="3"/>
      <c r="B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4"/>
      <c r="AI117" s="4"/>
      <c r="AJ117" s="4"/>
      <c r="AK117" s="4"/>
      <c r="AL117" s="4"/>
      <c r="AM117" s="4"/>
      <c r="AN117" s="4"/>
      <c r="AO117" s="4"/>
      <c r="AP117" s="4"/>
      <c r="AQ117" s="4"/>
      <c r="AR117" s="4"/>
      <c r="AS117" s="4"/>
      <c r="AT117" s="4"/>
      <c r="AU117" s="4"/>
      <c r="AV117" s="4"/>
      <c r="AW117" s="4"/>
      <c r="AX117" s="4"/>
      <c r="AY117" s="4"/>
      <c r="AZ117" s="4"/>
      <c r="BA117" s="4"/>
      <c r="BB117" s="4"/>
      <c r="BC117" s="4"/>
      <c r="BD117" s="5"/>
      <c r="BE117" s="4"/>
      <c r="BF117" s="4"/>
      <c r="BG117" s="4"/>
      <c r="BH117" s="4"/>
      <c r="BI117" s="4"/>
      <c r="BJ117" s="4"/>
      <c r="BK117" s="4"/>
      <c r="BL117" s="4"/>
      <c r="BM117" s="4"/>
      <c r="BN117" s="4"/>
      <c r="BO117" s="4"/>
      <c r="BP117" s="4"/>
      <c r="BQ117" s="4"/>
      <c r="BR117" s="4"/>
      <c r="BS117" s="4"/>
    </row>
    <row r="118" spans="1:71">
      <c r="A118" s="3"/>
      <c r="B118" s="659" t="s">
        <v>397</v>
      </c>
      <c r="C118" s="775"/>
      <c r="D118" s="770"/>
      <c r="F118" s="83"/>
      <c r="G118" s="83"/>
      <c r="H118" s="83"/>
      <c r="I118" s="83"/>
      <c r="J118" s="83"/>
      <c r="K118" s="83"/>
      <c r="L118" s="83"/>
      <c r="M118" s="83"/>
      <c r="N118" s="83"/>
      <c r="O118" s="83"/>
      <c r="P118" s="83"/>
      <c r="Q118" s="83"/>
      <c r="R118" s="83"/>
      <c r="S118" s="83"/>
      <c r="T118" s="83"/>
      <c r="U118" s="83"/>
      <c r="V118" s="3"/>
      <c r="W118" s="83"/>
      <c r="X118" s="83"/>
      <c r="Y118" s="83"/>
      <c r="Z118" s="83"/>
      <c r="AA118" s="83"/>
      <c r="AB118" s="83"/>
      <c r="AC118" s="3"/>
      <c r="AD118" s="3"/>
      <c r="AE118" s="3"/>
      <c r="AF118" s="3"/>
      <c r="AG118" s="3"/>
      <c r="AH118" s="4"/>
      <c r="AI118" s="4"/>
      <c r="AJ118" s="4"/>
      <c r="AK118" s="4"/>
      <c r="AL118" s="4"/>
      <c r="AM118" s="4"/>
      <c r="AN118" s="4"/>
      <c r="AO118" s="4"/>
      <c r="AP118" s="4"/>
      <c r="AQ118" s="4"/>
      <c r="AR118" s="4"/>
      <c r="AS118" s="4"/>
      <c r="AT118" s="4"/>
      <c r="AU118" s="4"/>
      <c r="AV118" s="4"/>
      <c r="AW118" s="4"/>
      <c r="AX118" s="4"/>
      <c r="AY118" s="4"/>
      <c r="AZ118" s="4"/>
      <c r="BA118" s="4"/>
      <c r="BB118" s="4"/>
      <c r="BC118" s="4"/>
      <c r="BD118" s="5"/>
      <c r="BE118" s="4"/>
      <c r="BF118" s="4"/>
      <c r="BG118" s="4"/>
      <c r="BH118" s="4"/>
      <c r="BI118" s="4"/>
      <c r="BJ118" s="4"/>
      <c r="BK118" s="4"/>
      <c r="BL118" s="4"/>
      <c r="BM118" s="4"/>
      <c r="BN118" s="4"/>
      <c r="BO118" s="4"/>
      <c r="BP118" s="4"/>
      <c r="BQ118" s="4"/>
      <c r="BR118" s="4"/>
      <c r="BS118" s="4"/>
    </row>
    <row r="119" spans="1:71">
      <c r="A119" s="3"/>
      <c r="B119" s="94"/>
      <c r="C119" s="94" t="s">
        <v>441</v>
      </c>
      <c r="D119" s="94" t="s">
        <v>442</v>
      </c>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4"/>
      <c r="AI119" s="4"/>
      <c r="AJ119" s="4"/>
      <c r="AK119" s="4"/>
      <c r="AL119" s="4"/>
      <c r="AM119" s="4"/>
      <c r="AN119" s="4"/>
      <c r="AO119" s="4"/>
      <c r="AP119" s="4"/>
      <c r="AQ119" s="4"/>
      <c r="AR119" s="4"/>
      <c r="AS119" s="4"/>
      <c r="AT119" s="4"/>
      <c r="AU119" s="4"/>
      <c r="AV119" s="4"/>
      <c r="AW119" s="4"/>
      <c r="AX119" s="4"/>
      <c r="AY119" s="4"/>
      <c r="AZ119" s="4"/>
      <c r="BA119" s="4"/>
      <c r="BB119" s="4"/>
      <c r="BC119" s="4"/>
      <c r="BD119" s="5"/>
      <c r="BE119" s="4"/>
      <c r="BF119" s="4"/>
      <c r="BG119" s="4"/>
      <c r="BH119" s="4"/>
      <c r="BI119" s="4"/>
      <c r="BJ119" s="4"/>
      <c r="BK119" s="4"/>
      <c r="BL119" s="4"/>
      <c r="BM119" s="4"/>
      <c r="BN119" s="4"/>
      <c r="BO119" s="4"/>
      <c r="BP119" s="4"/>
      <c r="BQ119" s="4"/>
      <c r="BR119" s="4"/>
      <c r="BS119" s="4"/>
    </row>
    <row r="120" spans="1:71">
      <c r="A120" s="3"/>
      <c r="B120" s="25" t="s">
        <v>443</v>
      </c>
      <c r="C120" s="25">
        <v>2773</v>
      </c>
      <c r="D120" s="25">
        <v>751</v>
      </c>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4"/>
      <c r="AI120" s="4"/>
      <c r="AJ120" s="4"/>
      <c r="AK120" s="4"/>
      <c r="AL120" s="4"/>
      <c r="AM120" s="4"/>
      <c r="AN120" s="4"/>
      <c r="AO120" s="4"/>
      <c r="AP120" s="4"/>
      <c r="AQ120" s="4"/>
      <c r="AR120" s="4"/>
      <c r="AS120" s="4"/>
      <c r="AT120" s="4"/>
      <c r="AU120" s="4"/>
      <c r="AV120" s="4"/>
      <c r="AW120" s="4"/>
      <c r="AX120" s="4"/>
      <c r="AY120" s="4"/>
      <c r="AZ120" s="4"/>
      <c r="BA120" s="4"/>
      <c r="BB120" s="4"/>
      <c r="BC120" s="4"/>
      <c r="BD120" s="5"/>
      <c r="BE120" s="4"/>
      <c r="BF120" s="4"/>
      <c r="BG120" s="4"/>
      <c r="BH120" s="4"/>
      <c r="BI120" s="4"/>
      <c r="BJ120" s="4"/>
      <c r="BK120" s="4"/>
      <c r="BL120" s="4"/>
      <c r="BM120" s="4"/>
      <c r="BN120" s="4"/>
      <c r="BO120" s="4"/>
      <c r="BP120" s="4"/>
      <c r="BQ120" s="4"/>
      <c r="BR120" s="4"/>
      <c r="BS120" s="4"/>
    </row>
    <row r="121" spans="1:71">
      <c r="A121" s="3"/>
      <c r="B121" s="25" t="s">
        <v>444</v>
      </c>
      <c r="C121" s="25">
        <v>2152</v>
      </c>
      <c r="D121" s="25">
        <v>577</v>
      </c>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4"/>
      <c r="AI121" s="4"/>
      <c r="AJ121" s="4"/>
      <c r="AK121" s="4"/>
      <c r="AL121" s="4"/>
      <c r="AM121" s="4"/>
      <c r="AN121" s="4"/>
      <c r="AO121" s="4"/>
      <c r="AP121" s="4"/>
      <c r="AQ121" s="4"/>
      <c r="AR121" s="4"/>
      <c r="AS121" s="4"/>
      <c r="AT121" s="4"/>
      <c r="AU121" s="4"/>
      <c r="AV121" s="4"/>
      <c r="AW121" s="4"/>
      <c r="AX121" s="4"/>
      <c r="AY121" s="4"/>
      <c r="AZ121" s="4"/>
      <c r="BA121" s="4"/>
      <c r="BB121" s="4"/>
      <c r="BC121" s="4"/>
      <c r="BD121" s="5"/>
      <c r="BE121" s="4"/>
      <c r="BF121" s="4"/>
      <c r="BG121" s="4"/>
      <c r="BH121" s="4"/>
      <c r="BI121" s="4"/>
      <c r="BJ121" s="4"/>
      <c r="BK121" s="4"/>
      <c r="BL121" s="4"/>
      <c r="BM121" s="4"/>
      <c r="BN121" s="4"/>
      <c r="BO121" s="4"/>
      <c r="BP121" s="4"/>
      <c r="BQ121" s="4"/>
      <c r="BR121" s="4"/>
      <c r="BS121" s="4"/>
    </row>
    <row r="122" spans="1:71" ht="24">
      <c r="A122" s="3"/>
      <c r="B122" s="25" t="s">
        <v>445</v>
      </c>
      <c r="C122" s="25">
        <v>3122</v>
      </c>
      <c r="D122" s="25">
        <v>180</v>
      </c>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4"/>
      <c r="AI122" s="4"/>
      <c r="AJ122" s="4"/>
      <c r="AK122" s="4"/>
      <c r="AL122" s="4"/>
      <c r="AM122" s="4"/>
      <c r="AN122" s="4"/>
      <c r="AO122" s="4"/>
      <c r="AP122" s="4"/>
      <c r="AQ122" s="4"/>
      <c r="AR122" s="4"/>
      <c r="AS122" s="4"/>
      <c r="AT122" s="4"/>
      <c r="AU122" s="4"/>
      <c r="AV122" s="4"/>
      <c r="AW122" s="4"/>
      <c r="AX122" s="4"/>
      <c r="AY122" s="4"/>
      <c r="AZ122" s="4"/>
      <c r="BA122" s="4"/>
      <c r="BB122" s="4"/>
      <c r="BC122" s="4"/>
      <c r="BD122" s="5"/>
      <c r="BE122" s="4"/>
      <c r="BF122" s="4"/>
      <c r="BG122" s="4"/>
      <c r="BH122" s="4"/>
      <c r="BI122" s="4"/>
      <c r="BJ122" s="4"/>
      <c r="BK122" s="4"/>
      <c r="BL122" s="4"/>
      <c r="BM122" s="4"/>
      <c r="BN122" s="4"/>
      <c r="BO122" s="4"/>
      <c r="BP122" s="4"/>
      <c r="BQ122" s="4"/>
      <c r="BR122" s="4"/>
      <c r="BS122" s="4"/>
    </row>
    <row r="123" spans="1:71">
      <c r="A123" s="3"/>
      <c r="B123" s="25" t="s">
        <v>446</v>
      </c>
      <c r="C123" s="25">
        <v>753</v>
      </c>
      <c r="D123" s="25">
        <v>502</v>
      </c>
      <c r="F123" s="83"/>
      <c r="G123" s="83"/>
      <c r="H123" s="8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4"/>
      <c r="AI123" s="4"/>
      <c r="AJ123" s="4"/>
      <c r="AK123" s="4"/>
      <c r="AL123" s="4"/>
      <c r="AM123" s="4"/>
      <c r="AN123" s="4"/>
      <c r="AO123" s="4"/>
      <c r="AP123" s="4"/>
      <c r="AQ123" s="4"/>
      <c r="AR123" s="4"/>
      <c r="AS123" s="4"/>
      <c r="AT123" s="4"/>
      <c r="AU123" s="4"/>
      <c r="AV123" s="4"/>
      <c r="AW123" s="4"/>
      <c r="AX123" s="4"/>
      <c r="AY123" s="4"/>
      <c r="AZ123" s="4"/>
      <c r="BA123" s="4"/>
      <c r="BB123" s="4"/>
      <c r="BC123" s="4"/>
      <c r="BD123" s="5"/>
      <c r="BE123" s="4"/>
      <c r="BF123" s="4"/>
      <c r="BG123" s="4"/>
      <c r="BH123" s="4"/>
      <c r="BI123" s="4"/>
      <c r="BJ123" s="4"/>
      <c r="BK123" s="4"/>
      <c r="BL123" s="4"/>
      <c r="BM123" s="4"/>
      <c r="BN123" s="4"/>
      <c r="BO123" s="4"/>
      <c r="BP123" s="4"/>
      <c r="BQ123" s="4"/>
      <c r="BR123" s="4"/>
      <c r="BS123" s="4"/>
    </row>
    <row r="124" spans="1:71">
      <c r="A124" s="3"/>
      <c r="B124" s="94" t="s">
        <v>447</v>
      </c>
      <c r="C124" s="94">
        <v>979</v>
      </c>
      <c r="D124" s="94">
        <v>44</v>
      </c>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4"/>
      <c r="AI124" s="4"/>
      <c r="AJ124" s="4"/>
      <c r="AK124" s="4"/>
      <c r="AL124" s="4"/>
      <c r="AM124" s="4"/>
      <c r="AN124" s="4"/>
      <c r="AO124" s="4"/>
      <c r="AP124" s="4"/>
      <c r="AQ124" s="4"/>
      <c r="AR124" s="4"/>
      <c r="AS124" s="4"/>
      <c r="AT124" s="4"/>
      <c r="AU124" s="4"/>
      <c r="AV124" s="4"/>
      <c r="AW124" s="4"/>
      <c r="AX124" s="4"/>
      <c r="AY124" s="4"/>
      <c r="AZ124" s="4"/>
      <c r="BA124" s="4"/>
      <c r="BB124" s="4"/>
      <c r="BC124" s="4"/>
      <c r="BD124" s="5"/>
      <c r="BE124" s="4"/>
      <c r="BF124" s="4"/>
      <c r="BG124" s="4"/>
      <c r="BH124" s="4"/>
      <c r="BI124" s="4"/>
      <c r="BJ124" s="4"/>
      <c r="BK124" s="4"/>
      <c r="BL124" s="4"/>
      <c r="BM124" s="4"/>
      <c r="BN124" s="4"/>
      <c r="BO124" s="4"/>
      <c r="BP124" s="4"/>
      <c r="BQ124" s="4"/>
      <c r="BR124" s="4"/>
      <c r="BS124" s="4"/>
    </row>
    <row r="125" spans="1:71">
      <c r="A125" s="3"/>
      <c r="B125" s="3" t="s">
        <v>436</v>
      </c>
      <c r="C125" s="3">
        <f t="shared" ref="C125:D125" si="28">SUM(C120:C124)</f>
        <v>9779</v>
      </c>
      <c r="D125" s="3">
        <f t="shared" si="28"/>
        <v>2054</v>
      </c>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4"/>
      <c r="AI125" s="4"/>
      <c r="AJ125" s="4"/>
      <c r="AK125" s="4"/>
      <c r="AL125" s="4"/>
      <c r="AM125" s="4"/>
      <c r="AN125" s="4"/>
      <c r="AO125" s="4"/>
      <c r="AP125" s="4"/>
      <c r="AQ125" s="4"/>
      <c r="AR125" s="4"/>
      <c r="AS125" s="4"/>
      <c r="AT125" s="4"/>
      <c r="AU125" s="4"/>
      <c r="AV125" s="4"/>
      <c r="AW125" s="4"/>
      <c r="AX125" s="4"/>
      <c r="AY125" s="4"/>
      <c r="AZ125" s="4"/>
      <c r="BA125" s="4"/>
      <c r="BB125" s="4"/>
      <c r="BC125" s="4"/>
      <c r="BD125" s="5"/>
      <c r="BE125" s="4"/>
      <c r="BF125" s="4"/>
      <c r="BG125" s="4"/>
      <c r="BH125" s="4"/>
      <c r="BI125" s="4"/>
      <c r="BJ125" s="4"/>
      <c r="BK125" s="4"/>
      <c r="BL125" s="4"/>
      <c r="BM125" s="4"/>
      <c r="BN125" s="4"/>
      <c r="BO125" s="4"/>
      <c r="BP125" s="4"/>
      <c r="BQ125" s="4"/>
      <c r="BR125" s="4"/>
      <c r="BS125" s="4"/>
    </row>
    <row r="126" spans="1:71">
      <c r="A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4"/>
      <c r="AI126" s="4"/>
      <c r="AJ126" s="4"/>
      <c r="AK126" s="4"/>
      <c r="AL126" s="4"/>
      <c r="AM126" s="4"/>
      <c r="AN126" s="4"/>
      <c r="AO126" s="4"/>
      <c r="AP126" s="4"/>
      <c r="AQ126" s="4"/>
      <c r="AR126" s="4"/>
      <c r="AS126" s="4"/>
      <c r="AT126" s="4"/>
      <c r="AU126" s="4"/>
      <c r="AV126" s="4"/>
      <c r="AW126" s="4"/>
      <c r="AX126" s="4"/>
      <c r="AY126" s="4"/>
      <c r="AZ126" s="4"/>
      <c r="BA126" s="4"/>
      <c r="BB126" s="4"/>
      <c r="BC126" s="4"/>
      <c r="BD126" s="5"/>
      <c r="BE126" s="4"/>
      <c r="BF126" s="4"/>
      <c r="BG126" s="4"/>
      <c r="BH126" s="4"/>
      <c r="BI126" s="4"/>
      <c r="BJ126" s="4"/>
      <c r="BK126" s="4"/>
      <c r="BL126" s="4"/>
      <c r="BM126" s="4"/>
      <c r="BN126" s="4"/>
      <c r="BO126" s="4"/>
      <c r="BP126" s="4"/>
      <c r="BQ126" s="4"/>
      <c r="BR126" s="4"/>
      <c r="BS126" s="4"/>
    </row>
    <row r="127" spans="1:71">
      <c r="A127" s="3"/>
      <c r="B127" s="660" t="s">
        <v>448</v>
      </c>
      <c r="C127" s="775"/>
      <c r="D127" s="770"/>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4"/>
      <c r="AI127" s="4"/>
      <c r="AJ127" s="4"/>
      <c r="AK127" s="4"/>
      <c r="AL127" s="4"/>
      <c r="AM127" s="4"/>
      <c r="AN127" s="4"/>
      <c r="AO127" s="4"/>
      <c r="AP127" s="4"/>
      <c r="AQ127" s="4"/>
      <c r="AR127" s="4"/>
      <c r="AS127" s="4"/>
      <c r="AT127" s="4"/>
      <c r="AU127" s="4"/>
      <c r="AV127" s="4"/>
      <c r="AW127" s="4"/>
      <c r="AX127" s="4"/>
      <c r="AY127" s="4"/>
      <c r="AZ127" s="4"/>
      <c r="BA127" s="4"/>
      <c r="BB127" s="4"/>
      <c r="BC127" s="4"/>
      <c r="BD127" s="5"/>
      <c r="BE127" s="4"/>
      <c r="BF127" s="4"/>
      <c r="BG127" s="4"/>
      <c r="BH127" s="4"/>
      <c r="BI127" s="4"/>
      <c r="BJ127" s="4"/>
      <c r="BK127" s="4"/>
      <c r="BL127" s="4"/>
      <c r="BM127" s="4"/>
      <c r="BN127" s="4"/>
      <c r="BO127" s="4"/>
      <c r="BP127" s="4"/>
      <c r="BQ127" s="4"/>
      <c r="BR127" s="4"/>
      <c r="BS127" s="4"/>
    </row>
    <row r="128" spans="1:71" ht="14.25">
      <c r="A128" s="3"/>
      <c r="B128" s="95"/>
      <c r="C128" s="95" t="s">
        <v>449</v>
      </c>
      <c r="D128" s="95" t="s">
        <v>450</v>
      </c>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4"/>
      <c r="AI128" s="4"/>
      <c r="AJ128" s="4"/>
      <c r="AK128" s="4"/>
      <c r="AL128" s="4"/>
      <c r="AM128" s="4"/>
      <c r="AN128" s="4"/>
      <c r="AO128" s="4"/>
      <c r="AP128" s="4"/>
      <c r="AQ128" s="4"/>
      <c r="AR128" s="4"/>
      <c r="AS128" s="4"/>
      <c r="AT128" s="4"/>
      <c r="AU128" s="4"/>
      <c r="AV128" s="4"/>
      <c r="AW128" s="4"/>
      <c r="AX128" s="4"/>
      <c r="AY128" s="4"/>
      <c r="AZ128" s="4"/>
      <c r="BA128" s="4"/>
      <c r="BB128" s="4"/>
      <c r="BC128" s="4"/>
      <c r="BD128" s="5"/>
      <c r="BE128" s="4"/>
      <c r="BF128" s="4"/>
      <c r="BG128" s="4"/>
      <c r="BH128" s="4"/>
      <c r="BI128" s="4"/>
      <c r="BJ128" s="4"/>
      <c r="BK128" s="4"/>
      <c r="BL128" s="4"/>
      <c r="BM128" s="4"/>
      <c r="BN128" s="4"/>
      <c r="BO128" s="4"/>
      <c r="BP128" s="4"/>
      <c r="BQ128" s="4"/>
      <c r="BR128" s="4"/>
      <c r="BS128" s="4"/>
    </row>
    <row r="129" spans="1:71" ht="14.25">
      <c r="A129" s="3"/>
      <c r="B129" s="95" t="s">
        <v>451</v>
      </c>
      <c r="C129" s="96">
        <v>51</v>
      </c>
      <c r="D129" s="96">
        <v>46</v>
      </c>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4"/>
      <c r="AI129" s="4"/>
      <c r="AJ129" s="4"/>
      <c r="AK129" s="4"/>
      <c r="AL129" s="4"/>
      <c r="AM129" s="4"/>
      <c r="AN129" s="4"/>
      <c r="AO129" s="4"/>
      <c r="AP129" s="4"/>
      <c r="AQ129" s="4"/>
      <c r="AR129" s="4"/>
      <c r="AS129" s="4"/>
      <c r="AT129" s="4"/>
      <c r="AU129" s="4"/>
      <c r="AV129" s="4"/>
      <c r="AW129" s="4"/>
      <c r="AX129" s="4"/>
      <c r="AY129" s="4"/>
      <c r="AZ129" s="4"/>
      <c r="BA129" s="4"/>
      <c r="BB129" s="4"/>
      <c r="BC129" s="4"/>
      <c r="BD129" s="5"/>
      <c r="BE129" s="4"/>
      <c r="BF129" s="4"/>
      <c r="BG129" s="4"/>
      <c r="BH129" s="4"/>
      <c r="BI129" s="4"/>
      <c r="BJ129" s="4"/>
      <c r="BK129" s="4"/>
      <c r="BL129" s="4"/>
      <c r="BM129" s="4"/>
      <c r="BN129" s="4"/>
      <c r="BO129" s="4"/>
      <c r="BP129" s="4"/>
      <c r="BQ129" s="4"/>
      <c r="BR129" s="4"/>
      <c r="BS129" s="4"/>
    </row>
    <row r="130" spans="1:71" ht="14.25">
      <c r="A130" s="3"/>
      <c r="B130" s="95" t="s">
        <v>452</v>
      </c>
      <c r="C130" s="96">
        <v>8</v>
      </c>
      <c r="D130" s="96">
        <v>8</v>
      </c>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4"/>
      <c r="AI130" s="4"/>
      <c r="AJ130" s="4"/>
      <c r="AK130" s="4"/>
      <c r="AL130" s="4"/>
      <c r="AM130" s="4"/>
      <c r="AN130" s="4"/>
      <c r="AO130" s="4"/>
      <c r="AP130" s="4"/>
      <c r="AQ130" s="4"/>
      <c r="AR130" s="4"/>
      <c r="AS130" s="4"/>
      <c r="AT130" s="4"/>
      <c r="AU130" s="4"/>
      <c r="AV130" s="4"/>
      <c r="AW130" s="4"/>
      <c r="AX130" s="4"/>
      <c r="AY130" s="4"/>
      <c r="AZ130" s="4"/>
      <c r="BA130" s="4"/>
      <c r="BB130" s="4"/>
      <c r="BC130" s="4"/>
      <c r="BD130" s="5"/>
      <c r="BE130" s="4"/>
      <c r="BF130" s="4"/>
      <c r="BG130" s="4"/>
      <c r="BH130" s="4"/>
      <c r="BI130" s="4"/>
      <c r="BJ130" s="4"/>
      <c r="BK130" s="4"/>
      <c r="BL130" s="4"/>
      <c r="BM130" s="4"/>
      <c r="BN130" s="4"/>
      <c r="BO130" s="4"/>
      <c r="BP130" s="4"/>
      <c r="BQ130" s="4"/>
      <c r="BR130" s="4"/>
      <c r="BS130" s="4"/>
    </row>
    <row r="131" spans="1:71" ht="14.25">
      <c r="A131" s="3"/>
      <c r="B131" s="95" t="s">
        <v>453</v>
      </c>
      <c r="C131" s="96">
        <v>37</v>
      </c>
      <c r="D131" s="96">
        <v>32</v>
      </c>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4"/>
      <c r="AI131" s="4"/>
      <c r="AJ131" s="4"/>
      <c r="AK131" s="4"/>
      <c r="AL131" s="4"/>
      <c r="AM131" s="4"/>
      <c r="AN131" s="4"/>
      <c r="AO131" s="4"/>
      <c r="AP131" s="4"/>
      <c r="AQ131" s="4"/>
      <c r="AR131" s="4"/>
      <c r="AS131" s="4"/>
      <c r="AT131" s="4"/>
      <c r="AU131" s="4"/>
      <c r="AV131" s="4"/>
      <c r="AW131" s="4"/>
      <c r="AX131" s="4"/>
      <c r="AY131" s="4"/>
      <c r="AZ131" s="4"/>
      <c r="BA131" s="4"/>
      <c r="BB131" s="4"/>
      <c r="BC131" s="4"/>
      <c r="BD131" s="5"/>
      <c r="BE131" s="4"/>
      <c r="BF131" s="4"/>
      <c r="BG131" s="4"/>
      <c r="BH131" s="4"/>
      <c r="BI131" s="4"/>
      <c r="BJ131" s="4"/>
      <c r="BK131" s="4"/>
      <c r="BL131" s="4"/>
      <c r="BM131" s="4"/>
      <c r="BN131" s="4"/>
      <c r="BO131" s="4"/>
      <c r="BP131" s="4"/>
      <c r="BQ131" s="4"/>
      <c r="BR131" s="4"/>
      <c r="BS131" s="4"/>
    </row>
    <row r="132" spans="1:71" ht="14.25">
      <c r="A132" s="3"/>
      <c r="B132" s="95" t="s">
        <v>454</v>
      </c>
      <c r="C132" s="96">
        <v>52</v>
      </c>
      <c r="D132" s="96">
        <v>47</v>
      </c>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4"/>
      <c r="AI132" s="4"/>
      <c r="AJ132" s="4"/>
      <c r="AK132" s="4"/>
      <c r="AL132" s="4"/>
      <c r="AM132" s="4"/>
      <c r="AN132" s="4"/>
      <c r="AO132" s="4"/>
      <c r="AP132" s="4"/>
      <c r="AQ132" s="4"/>
      <c r="AR132" s="4"/>
      <c r="AS132" s="4"/>
      <c r="AT132" s="4"/>
      <c r="AU132" s="4"/>
      <c r="AV132" s="4"/>
      <c r="AW132" s="4"/>
      <c r="AX132" s="4"/>
      <c r="AY132" s="4"/>
      <c r="AZ132" s="4"/>
      <c r="BA132" s="4"/>
      <c r="BB132" s="4"/>
      <c r="BC132" s="4"/>
      <c r="BD132" s="5"/>
      <c r="BE132" s="4"/>
      <c r="BF132" s="4"/>
      <c r="BG132" s="4"/>
      <c r="BH132" s="4"/>
      <c r="BI132" s="4"/>
      <c r="BJ132" s="4"/>
      <c r="BK132" s="4"/>
      <c r="BL132" s="4"/>
      <c r="BM132" s="4"/>
      <c r="BN132" s="4"/>
      <c r="BO132" s="4"/>
      <c r="BP132" s="4"/>
      <c r="BQ132" s="4"/>
      <c r="BR132" s="4"/>
      <c r="BS132" s="4"/>
    </row>
    <row r="133" spans="1:71" ht="14.25">
      <c r="A133" s="3"/>
      <c r="B133" s="95" t="s">
        <v>455</v>
      </c>
      <c r="C133" s="96">
        <v>76</v>
      </c>
      <c r="D133" s="96">
        <v>68</v>
      </c>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4"/>
      <c r="AI133" s="4"/>
      <c r="AJ133" s="4"/>
      <c r="AK133" s="4"/>
      <c r="AL133" s="4"/>
      <c r="AM133" s="4"/>
      <c r="AN133" s="4"/>
      <c r="AO133" s="4"/>
      <c r="AP133" s="4"/>
      <c r="AQ133" s="4"/>
      <c r="AR133" s="4"/>
      <c r="AS133" s="4"/>
      <c r="AT133" s="4"/>
      <c r="AU133" s="4"/>
      <c r="AV133" s="4"/>
      <c r="AW133" s="4"/>
      <c r="AX133" s="4"/>
      <c r="AY133" s="4"/>
      <c r="AZ133" s="4"/>
      <c r="BA133" s="4"/>
      <c r="BB133" s="4"/>
      <c r="BC133" s="4"/>
      <c r="BD133" s="5"/>
      <c r="BE133" s="4"/>
      <c r="BF133" s="4"/>
      <c r="BG133" s="4"/>
      <c r="BH133" s="4"/>
      <c r="BI133" s="4"/>
      <c r="BJ133" s="4"/>
      <c r="BK133" s="4"/>
      <c r="BL133" s="4"/>
      <c r="BM133" s="4"/>
      <c r="BN133" s="4"/>
      <c r="BO133" s="4"/>
      <c r="BP133" s="4"/>
      <c r="BQ133" s="4"/>
      <c r="BR133" s="4"/>
      <c r="BS133" s="4"/>
    </row>
    <row r="134" spans="1:71" ht="14.25">
      <c r="A134" s="3"/>
      <c r="B134" s="95" t="s">
        <v>456</v>
      </c>
      <c r="C134" s="96">
        <v>25</v>
      </c>
      <c r="D134" s="96">
        <v>21</v>
      </c>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4"/>
      <c r="AI134" s="4"/>
      <c r="AJ134" s="4"/>
      <c r="AK134" s="4"/>
      <c r="AL134" s="4"/>
      <c r="AM134" s="4"/>
      <c r="AN134" s="4"/>
      <c r="AO134" s="4"/>
      <c r="AP134" s="4"/>
      <c r="AQ134" s="4"/>
      <c r="AR134" s="4"/>
      <c r="AS134" s="4"/>
      <c r="AT134" s="4"/>
      <c r="AU134" s="4"/>
      <c r="AV134" s="4"/>
      <c r="AW134" s="4"/>
      <c r="AX134" s="4"/>
      <c r="AY134" s="4"/>
      <c r="AZ134" s="4"/>
      <c r="BA134" s="4"/>
      <c r="BB134" s="4"/>
      <c r="BC134" s="4"/>
      <c r="BD134" s="5"/>
      <c r="BE134" s="4"/>
      <c r="BF134" s="4"/>
      <c r="BG134" s="4"/>
      <c r="BH134" s="4"/>
      <c r="BI134" s="4"/>
      <c r="BJ134" s="4"/>
      <c r="BK134" s="4"/>
      <c r="BL134" s="4"/>
      <c r="BM134" s="4"/>
      <c r="BN134" s="4"/>
      <c r="BO134" s="4"/>
      <c r="BP134" s="4"/>
      <c r="BQ134" s="4"/>
      <c r="BR134" s="4"/>
      <c r="BS134" s="4"/>
    </row>
    <row r="135" spans="1:71" ht="14.25">
      <c r="A135" s="3"/>
      <c r="B135" s="95" t="s">
        <v>457</v>
      </c>
      <c r="C135" s="96">
        <v>205</v>
      </c>
      <c r="D135" s="96">
        <v>205</v>
      </c>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4"/>
      <c r="AI135" s="4"/>
      <c r="AJ135" s="4"/>
      <c r="AK135" s="4"/>
      <c r="AL135" s="4"/>
      <c r="AM135" s="4"/>
      <c r="AN135" s="4"/>
      <c r="AO135" s="4"/>
      <c r="AP135" s="4"/>
      <c r="AQ135" s="4"/>
      <c r="AR135" s="4"/>
      <c r="AS135" s="4"/>
      <c r="AT135" s="4"/>
      <c r="AU135" s="4"/>
      <c r="AV135" s="4"/>
      <c r="AW135" s="4"/>
      <c r="AX135" s="4"/>
      <c r="AY135" s="4"/>
      <c r="AZ135" s="4"/>
      <c r="BA135" s="4"/>
      <c r="BB135" s="4"/>
      <c r="BC135" s="4"/>
      <c r="BD135" s="5"/>
      <c r="BE135" s="4"/>
      <c r="BF135" s="4"/>
      <c r="BG135" s="4"/>
      <c r="BH135" s="4"/>
      <c r="BI135" s="4"/>
      <c r="BJ135" s="4"/>
      <c r="BK135" s="4"/>
      <c r="BL135" s="4"/>
      <c r="BM135" s="4"/>
      <c r="BN135" s="4"/>
      <c r="BO135" s="4"/>
      <c r="BP135" s="4"/>
      <c r="BQ135" s="4"/>
      <c r="BR135" s="4"/>
      <c r="BS135" s="4"/>
    </row>
    <row r="136" spans="1:71" ht="14.25">
      <c r="A136" s="3"/>
      <c r="B136" s="95" t="s">
        <v>458</v>
      </c>
      <c r="C136" s="96">
        <v>17</v>
      </c>
      <c r="D136" s="96">
        <v>17</v>
      </c>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4"/>
      <c r="AI136" s="4"/>
      <c r="AJ136" s="4"/>
      <c r="AK136" s="4"/>
      <c r="AL136" s="4"/>
      <c r="AM136" s="4"/>
      <c r="AN136" s="4"/>
      <c r="AO136" s="4"/>
      <c r="AP136" s="4"/>
      <c r="AQ136" s="4"/>
      <c r="AR136" s="4"/>
      <c r="AS136" s="4"/>
      <c r="AT136" s="4"/>
      <c r="AU136" s="4"/>
      <c r="AV136" s="4"/>
      <c r="AW136" s="4"/>
      <c r="AX136" s="4"/>
      <c r="AY136" s="4"/>
      <c r="AZ136" s="4"/>
      <c r="BA136" s="4"/>
      <c r="BB136" s="4"/>
      <c r="BC136" s="4"/>
      <c r="BD136" s="5"/>
      <c r="BE136" s="4"/>
      <c r="BF136" s="4"/>
      <c r="BG136" s="4"/>
      <c r="BH136" s="4"/>
      <c r="BI136" s="4"/>
      <c r="BJ136" s="4"/>
      <c r="BK136" s="4"/>
      <c r="BL136" s="4"/>
      <c r="BM136" s="4"/>
      <c r="BN136" s="4"/>
      <c r="BO136" s="4"/>
      <c r="BP136" s="4"/>
      <c r="BQ136" s="4"/>
      <c r="BR136" s="4"/>
      <c r="BS136" s="4"/>
    </row>
    <row r="137" spans="1:71" ht="14.25">
      <c r="A137" s="3"/>
      <c r="B137" s="95" t="s">
        <v>459</v>
      </c>
      <c r="C137" s="96">
        <v>39</v>
      </c>
      <c r="D137" s="96">
        <v>23</v>
      </c>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4"/>
      <c r="AI137" s="4"/>
      <c r="AJ137" s="4"/>
      <c r="AK137" s="4"/>
      <c r="AL137" s="4"/>
      <c r="AM137" s="4"/>
      <c r="AN137" s="4"/>
      <c r="AO137" s="4"/>
      <c r="AP137" s="4"/>
      <c r="AQ137" s="4"/>
      <c r="AR137" s="4"/>
      <c r="AS137" s="4"/>
      <c r="AT137" s="4"/>
      <c r="AU137" s="4"/>
      <c r="AV137" s="4"/>
      <c r="AW137" s="4"/>
      <c r="AX137" s="4"/>
      <c r="AY137" s="4"/>
      <c r="AZ137" s="4"/>
      <c r="BA137" s="4"/>
      <c r="BB137" s="4"/>
      <c r="BC137" s="4"/>
      <c r="BD137" s="5"/>
      <c r="BE137" s="4"/>
      <c r="BF137" s="4"/>
      <c r="BG137" s="4"/>
      <c r="BH137" s="4"/>
      <c r="BI137" s="4"/>
      <c r="BJ137" s="4"/>
      <c r="BK137" s="4"/>
      <c r="BL137" s="4"/>
      <c r="BM137" s="4"/>
      <c r="BN137" s="4"/>
      <c r="BO137" s="4"/>
      <c r="BP137" s="4"/>
      <c r="BQ137" s="4"/>
      <c r="BR137" s="4"/>
      <c r="BS137" s="4"/>
    </row>
    <row r="138" spans="1:71" ht="14.25">
      <c r="A138" s="3"/>
      <c r="B138" s="95" t="s">
        <v>460</v>
      </c>
      <c r="C138" s="96">
        <v>150</v>
      </c>
      <c r="D138" s="96">
        <v>98</v>
      </c>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4"/>
      <c r="AI138" s="4"/>
      <c r="AJ138" s="4"/>
      <c r="AK138" s="4"/>
      <c r="AL138" s="4"/>
      <c r="AM138" s="4"/>
      <c r="AN138" s="4"/>
      <c r="AO138" s="4"/>
      <c r="AP138" s="4"/>
      <c r="AQ138" s="4"/>
      <c r="AR138" s="4"/>
      <c r="AS138" s="4"/>
      <c r="AT138" s="4"/>
      <c r="AU138" s="4"/>
      <c r="AV138" s="4"/>
      <c r="AW138" s="4"/>
      <c r="AX138" s="4"/>
      <c r="AY138" s="4"/>
      <c r="AZ138" s="4"/>
      <c r="BA138" s="4"/>
      <c r="BB138" s="4"/>
      <c r="BC138" s="4"/>
      <c r="BD138" s="5"/>
      <c r="BE138" s="4"/>
      <c r="BF138" s="4"/>
      <c r="BG138" s="4"/>
      <c r="BH138" s="4"/>
      <c r="BI138" s="4"/>
      <c r="BJ138" s="4"/>
      <c r="BK138" s="4"/>
      <c r="BL138" s="4"/>
      <c r="BM138" s="4"/>
      <c r="BN138" s="4"/>
      <c r="BO138" s="4"/>
      <c r="BP138" s="4"/>
      <c r="BQ138" s="4"/>
      <c r="BR138" s="4"/>
      <c r="BS138" s="4"/>
    </row>
    <row r="139" spans="1:71" ht="14.25">
      <c r="A139" s="3"/>
      <c r="B139" s="97" t="s">
        <v>436</v>
      </c>
      <c r="C139" s="70">
        <v>660</v>
      </c>
      <c r="D139" s="70">
        <v>565</v>
      </c>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4"/>
      <c r="AI139" s="4"/>
      <c r="AJ139" s="4"/>
      <c r="AK139" s="4"/>
      <c r="AL139" s="4"/>
      <c r="AM139" s="4"/>
      <c r="AN139" s="4"/>
      <c r="AO139" s="4"/>
      <c r="AP139" s="4"/>
      <c r="AQ139" s="4"/>
      <c r="AR139" s="4"/>
      <c r="AS139" s="4"/>
      <c r="AT139" s="4"/>
      <c r="AU139" s="4"/>
      <c r="AV139" s="4"/>
      <c r="AW139" s="4"/>
      <c r="AX139" s="4"/>
      <c r="AY139" s="4"/>
      <c r="AZ139" s="4"/>
      <c r="BA139" s="4"/>
      <c r="BB139" s="4"/>
      <c r="BC139" s="4"/>
      <c r="BD139" s="5"/>
      <c r="BE139" s="4"/>
      <c r="BF139" s="4"/>
      <c r="BG139" s="4"/>
      <c r="BH139" s="4"/>
      <c r="BI139" s="4"/>
      <c r="BJ139" s="4"/>
      <c r="BK139" s="4"/>
      <c r="BL139" s="4"/>
      <c r="BM139" s="4"/>
      <c r="BN139" s="4"/>
      <c r="BO139" s="4"/>
      <c r="BP139" s="4"/>
      <c r="BQ139" s="4"/>
      <c r="BR139" s="4"/>
      <c r="BS139" s="4"/>
    </row>
    <row r="140" spans="1:7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4"/>
      <c r="AI140" s="4"/>
      <c r="AJ140" s="4"/>
      <c r="AK140" s="4"/>
      <c r="AL140" s="4"/>
      <c r="AM140" s="4"/>
      <c r="AN140" s="4"/>
      <c r="AO140" s="4"/>
      <c r="AP140" s="4"/>
      <c r="AQ140" s="4"/>
      <c r="AR140" s="4"/>
      <c r="AS140" s="4"/>
      <c r="AT140" s="4"/>
      <c r="AU140" s="4"/>
      <c r="AV140" s="4"/>
      <c r="AW140" s="4"/>
      <c r="AX140" s="4"/>
      <c r="AY140" s="4"/>
      <c r="AZ140" s="4"/>
      <c r="BA140" s="4"/>
      <c r="BB140" s="4"/>
      <c r="BC140" s="4"/>
      <c r="BD140" s="5"/>
      <c r="BE140" s="4"/>
      <c r="BF140" s="4"/>
      <c r="BG140" s="4"/>
      <c r="BH140" s="4"/>
      <c r="BI140" s="4"/>
      <c r="BJ140" s="4"/>
      <c r="BK140" s="4"/>
      <c r="BL140" s="4"/>
      <c r="BM140" s="4"/>
      <c r="BN140" s="4"/>
      <c r="BO140" s="4"/>
      <c r="BP140" s="4"/>
      <c r="BQ140" s="4"/>
      <c r="BR140" s="4"/>
      <c r="BS140" s="4"/>
    </row>
    <row r="141" spans="1:7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4"/>
      <c r="AI141" s="4"/>
      <c r="AJ141" s="4"/>
      <c r="AK141" s="4"/>
      <c r="AL141" s="4"/>
      <c r="AM141" s="4"/>
      <c r="AN141" s="4"/>
      <c r="AO141" s="4"/>
      <c r="AP141" s="4"/>
      <c r="AQ141" s="4"/>
      <c r="AR141" s="4"/>
      <c r="AS141" s="4"/>
      <c r="AT141" s="4"/>
      <c r="AU141" s="4"/>
      <c r="AV141" s="4"/>
      <c r="AW141" s="4"/>
      <c r="AX141" s="4"/>
      <c r="AY141" s="4"/>
      <c r="AZ141" s="4"/>
      <c r="BA141" s="4"/>
      <c r="BB141" s="4"/>
      <c r="BC141" s="4"/>
      <c r="BD141" s="5"/>
      <c r="BE141" s="4"/>
      <c r="BF141" s="4"/>
      <c r="BG141" s="4"/>
      <c r="BH141" s="4"/>
      <c r="BI141" s="4"/>
      <c r="BJ141" s="4"/>
      <c r="BK141" s="4"/>
      <c r="BL141" s="4"/>
      <c r="BM141" s="4"/>
      <c r="BN141" s="4"/>
      <c r="BO141" s="4"/>
      <c r="BP141" s="4"/>
      <c r="BQ141" s="4"/>
      <c r="BR141" s="4"/>
      <c r="BS141" s="4"/>
    </row>
    <row r="142" spans="1:7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4"/>
      <c r="AI142" s="4"/>
      <c r="AJ142" s="4"/>
      <c r="AK142" s="4"/>
      <c r="AL142" s="4"/>
      <c r="AM142" s="4"/>
      <c r="AN142" s="4"/>
      <c r="AO142" s="4"/>
      <c r="AP142" s="4"/>
      <c r="AQ142" s="4"/>
      <c r="AR142" s="4"/>
      <c r="AS142" s="4"/>
      <c r="AT142" s="4"/>
      <c r="AU142" s="4"/>
      <c r="AV142" s="4"/>
      <c r="AW142" s="4"/>
      <c r="AX142" s="4"/>
      <c r="AY142" s="4"/>
      <c r="AZ142" s="4"/>
      <c r="BA142" s="4"/>
      <c r="BB142" s="4"/>
      <c r="BC142" s="4"/>
      <c r="BD142" s="5"/>
      <c r="BE142" s="4"/>
      <c r="BF142" s="4"/>
      <c r="BG142" s="4"/>
      <c r="BH142" s="4"/>
      <c r="BI142" s="4"/>
      <c r="BJ142" s="4"/>
      <c r="BK142" s="4"/>
      <c r="BL142" s="4"/>
      <c r="BM142" s="4"/>
      <c r="BN142" s="4"/>
      <c r="BO142" s="4"/>
      <c r="BP142" s="4"/>
      <c r="BQ142" s="4"/>
      <c r="BR142" s="4"/>
      <c r="BS142" s="4"/>
    </row>
    <row r="143" spans="1:7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4"/>
      <c r="AI143" s="4"/>
      <c r="AJ143" s="4"/>
      <c r="AK143" s="4"/>
      <c r="AL143" s="4"/>
      <c r="AM143" s="4"/>
      <c r="AN143" s="4"/>
      <c r="AO143" s="4"/>
      <c r="AP143" s="4"/>
      <c r="AQ143" s="4"/>
      <c r="AR143" s="4"/>
      <c r="AS143" s="4"/>
      <c r="AT143" s="4"/>
      <c r="AU143" s="4"/>
      <c r="AV143" s="4"/>
      <c r="AW143" s="4"/>
      <c r="AX143" s="4"/>
      <c r="AY143" s="4"/>
      <c r="AZ143" s="4"/>
      <c r="BA143" s="4"/>
      <c r="BB143" s="4"/>
      <c r="BC143" s="4"/>
      <c r="BD143" s="5"/>
      <c r="BE143" s="4"/>
      <c r="BF143" s="4"/>
      <c r="BG143" s="4"/>
      <c r="BH143" s="4"/>
      <c r="BI143" s="4"/>
      <c r="BJ143" s="4"/>
      <c r="BK143" s="4"/>
      <c r="BL143" s="4"/>
      <c r="BM143" s="4"/>
      <c r="BN143" s="4"/>
      <c r="BO143" s="4"/>
      <c r="BP143" s="4"/>
      <c r="BQ143" s="4"/>
      <c r="BR143" s="4"/>
      <c r="BS143" s="4"/>
    </row>
    <row r="144" spans="1:7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4"/>
      <c r="AI144" s="4"/>
      <c r="AJ144" s="4"/>
      <c r="AK144" s="4"/>
      <c r="AL144" s="4"/>
      <c r="AM144" s="4"/>
      <c r="AN144" s="4"/>
      <c r="AO144" s="4"/>
      <c r="AP144" s="4"/>
      <c r="AQ144" s="4"/>
      <c r="AR144" s="4"/>
      <c r="AS144" s="4"/>
      <c r="AT144" s="4"/>
      <c r="AU144" s="4"/>
      <c r="AV144" s="4"/>
      <c r="AW144" s="4"/>
      <c r="AX144" s="4"/>
      <c r="AY144" s="4"/>
      <c r="AZ144" s="4"/>
      <c r="BA144" s="4"/>
      <c r="BB144" s="4"/>
      <c r="BC144" s="4"/>
      <c r="BD144" s="5"/>
      <c r="BE144" s="4"/>
      <c r="BF144" s="4"/>
      <c r="BG144" s="4"/>
      <c r="BH144" s="4"/>
      <c r="BI144" s="4"/>
      <c r="BJ144" s="4"/>
      <c r="BK144" s="4"/>
      <c r="BL144" s="4"/>
      <c r="BM144" s="4"/>
      <c r="BN144" s="4"/>
      <c r="BO144" s="4"/>
      <c r="BP144" s="4"/>
      <c r="BQ144" s="4"/>
      <c r="BR144" s="4"/>
      <c r="BS144" s="4"/>
    </row>
    <row r="145" spans="1:7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4"/>
      <c r="AI145" s="4"/>
      <c r="AJ145" s="4"/>
      <c r="AK145" s="4"/>
      <c r="AL145" s="4"/>
      <c r="AM145" s="4"/>
      <c r="AN145" s="4"/>
      <c r="AO145" s="4"/>
      <c r="AP145" s="4"/>
      <c r="AQ145" s="4"/>
      <c r="AR145" s="4"/>
      <c r="AS145" s="4"/>
      <c r="AT145" s="4"/>
      <c r="AU145" s="4"/>
      <c r="AV145" s="4"/>
      <c r="AW145" s="4"/>
      <c r="AX145" s="4"/>
      <c r="AY145" s="4"/>
      <c r="AZ145" s="4"/>
      <c r="BA145" s="4"/>
      <c r="BB145" s="4"/>
      <c r="BC145" s="4"/>
      <c r="BD145" s="5"/>
      <c r="BE145" s="4"/>
      <c r="BF145" s="4"/>
      <c r="BG145" s="4"/>
      <c r="BH145" s="4"/>
      <c r="BI145" s="4"/>
      <c r="BJ145" s="4"/>
      <c r="BK145" s="4"/>
      <c r="BL145" s="4"/>
      <c r="BM145" s="4"/>
      <c r="BN145" s="4"/>
      <c r="BO145" s="4"/>
      <c r="BP145" s="4"/>
      <c r="BQ145" s="4"/>
      <c r="BR145" s="4"/>
      <c r="BS145" s="4"/>
    </row>
    <row r="146" spans="1:7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4"/>
      <c r="AI146" s="4"/>
      <c r="AJ146" s="4"/>
      <c r="AK146" s="4"/>
      <c r="AL146" s="4"/>
      <c r="AM146" s="4"/>
      <c r="AN146" s="4"/>
      <c r="AO146" s="4"/>
      <c r="AP146" s="4"/>
      <c r="AQ146" s="4"/>
      <c r="AR146" s="4"/>
      <c r="AS146" s="4"/>
      <c r="AT146" s="4"/>
      <c r="AU146" s="4"/>
      <c r="AV146" s="4"/>
      <c r="AW146" s="4"/>
      <c r="AX146" s="4"/>
      <c r="AY146" s="4"/>
      <c r="AZ146" s="4"/>
      <c r="BA146" s="4"/>
      <c r="BB146" s="4"/>
      <c r="BC146" s="4"/>
      <c r="BD146" s="5"/>
      <c r="BE146" s="4"/>
      <c r="BF146" s="4"/>
      <c r="BG146" s="4"/>
      <c r="BH146" s="4"/>
      <c r="BI146" s="4"/>
      <c r="BJ146" s="4"/>
      <c r="BK146" s="4"/>
      <c r="BL146" s="4"/>
      <c r="BM146" s="4"/>
      <c r="BN146" s="4"/>
      <c r="BO146" s="4"/>
      <c r="BP146" s="4"/>
      <c r="BQ146" s="4"/>
      <c r="BR146" s="4"/>
      <c r="BS146" s="4"/>
    </row>
    <row r="147" spans="1:7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4"/>
      <c r="AI147" s="4"/>
      <c r="AJ147" s="4"/>
      <c r="AK147" s="4"/>
      <c r="AL147" s="4"/>
      <c r="AM147" s="4"/>
      <c r="AN147" s="4"/>
      <c r="AO147" s="4"/>
      <c r="AP147" s="4"/>
      <c r="AQ147" s="4"/>
      <c r="AR147" s="4"/>
      <c r="AS147" s="4"/>
      <c r="AT147" s="4"/>
      <c r="AU147" s="4"/>
      <c r="AV147" s="4"/>
      <c r="AW147" s="4"/>
      <c r="AX147" s="4"/>
      <c r="AY147" s="4"/>
      <c r="AZ147" s="4"/>
      <c r="BA147" s="4"/>
      <c r="BB147" s="4"/>
      <c r="BC147" s="4"/>
      <c r="BD147" s="5"/>
      <c r="BE147" s="4"/>
      <c r="BF147" s="4"/>
      <c r="BG147" s="4"/>
      <c r="BH147" s="4"/>
      <c r="BI147" s="4"/>
      <c r="BJ147" s="4"/>
      <c r="BK147" s="4"/>
      <c r="BL147" s="4"/>
      <c r="BM147" s="4"/>
      <c r="BN147" s="4"/>
      <c r="BO147" s="4"/>
      <c r="BP147" s="4"/>
      <c r="BQ147" s="4"/>
      <c r="BR147" s="4"/>
      <c r="BS147" s="4"/>
    </row>
    <row r="148" spans="1:7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4"/>
      <c r="AI148" s="4"/>
      <c r="AJ148" s="4"/>
      <c r="AK148" s="4"/>
      <c r="AL148" s="4"/>
      <c r="AM148" s="4"/>
      <c r="AN148" s="4"/>
      <c r="AO148" s="4"/>
      <c r="AP148" s="4"/>
      <c r="AQ148" s="4"/>
      <c r="AR148" s="4"/>
      <c r="AS148" s="4"/>
      <c r="AT148" s="4"/>
      <c r="AU148" s="4"/>
      <c r="AV148" s="4"/>
      <c r="AW148" s="4"/>
      <c r="AX148" s="4"/>
      <c r="AY148" s="4"/>
      <c r="AZ148" s="4"/>
      <c r="BA148" s="4"/>
      <c r="BB148" s="4"/>
      <c r="BC148" s="4"/>
      <c r="BD148" s="5"/>
      <c r="BE148" s="4"/>
      <c r="BF148" s="4"/>
      <c r="BG148" s="4"/>
      <c r="BH148" s="4"/>
      <c r="BI148" s="4"/>
      <c r="BJ148" s="4"/>
      <c r="BK148" s="4"/>
      <c r="BL148" s="4"/>
      <c r="BM148" s="4"/>
      <c r="BN148" s="4"/>
      <c r="BO148" s="4"/>
      <c r="BP148" s="4"/>
      <c r="BQ148" s="4"/>
      <c r="BR148" s="4"/>
      <c r="BS148" s="4"/>
    </row>
    <row r="149" spans="1:7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4"/>
      <c r="AI149" s="4"/>
      <c r="AJ149" s="4"/>
      <c r="AK149" s="4"/>
      <c r="AL149" s="4"/>
      <c r="AM149" s="4"/>
      <c r="AN149" s="4"/>
      <c r="AO149" s="4"/>
      <c r="AP149" s="4"/>
      <c r="AQ149" s="4"/>
      <c r="AR149" s="4"/>
      <c r="AS149" s="4"/>
      <c r="AT149" s="4"/>
      <c r="AU149" s="4"/>
      <c r="AV149" s="4"/>
      <c r="AW149" s="4"/>
      <c r="AX149" s="4"/>
      <c r="AY149" s="4"/>
      <c r="AZ149" s="4"/>
      <c r="BA149" s="4"/>
      <c r="BB149" s="4"/>
      <c r="BC149" s="4"/>
      <c r="BD149" s="5"/>
      <c r="BE149" s="4"/>
      <c r="BF149" s="4"/>
      <c r="BG149" s="4"/>
      <c r="BH149" s="4"/>
      <c r="BI149" s="4"/>
      <c r="BJ149" s="4"/>
      <c r="BK149" s="4"/>
      <c r="BL149" s="4"/>
      <c r="BM149" s="4"/>
      <c r="BN149" s="4"/>
      <c r="BO149" s="4"/>
      <c r="BP149" s="4"/>
      <c r="BQ149" s="4"/>
      <c r="BR149" s="4"/>
      <c r="BS149" s="4"/>
    </row>
    <row r="150" spans="1:7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4"/>
      <c r="AI150" s="4"/>
      <c r="AJ150" s="4"/>
      <c r="AK150" s="4"/>
      <c r="AL150" s="4"/>
      <c r="AM150" s="4"/>
      <c r="AN150" s="4"/>
      <c r="AO150" s="4"/>
      <c r="AP150" s="4"/>
      <c r="AQ150" s="4"/>
      <c r="AR150" s="4"/>
      <c r="AS150" s="4"/>
      <c r="AT150" s="4"/>
      <c r="AU150" s="4"/>
      <c r="AV150" s="4"/>
      <c r="AW150" s="4"/>
      <c r="AX150" s="4"/>
      <c r="AY150" s="4"/>
      <c r="AZ150" s="4"/>
      <c r="BA150" s="4"/>
      <c r="BB150" s="4"/>
      <c r="BC150" s="4"/>
      <c r="BD150" s="5"/>
      <c r="BE150" s="4"/>
      <c r="BF150" s="4"/>
      <c r="BG150" s="4"/>
      <c r="BH150" s="4"/>
      <c r="BI150" s="4"/>
      <c r="BJ150" s="4"/>
      <c r="BK150" s="4"/>
      <c r="BL150" s="4"/>
      <c r="BM150" s="4"/>
      <c r="BN150" s="4"/>
      <c r="BO150" s="4"/>
      <c r="BP150" s="4"/>
      <c r="BQ150" s="4"/>
      <c r="BR150" s="4"/>
      <c r="BS150" s="4"/>
    </row>
    <row r="151" spans="1:7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4"/>
      <c r="AI151" s="4"/>
      <c r="AJ151" s="4"/>
      <c r="AK151" s="4"/>
      <c r="AL151" s="4"/>
      <c r="AM151" s="4"/>
      <c r="AN151" s="4"/>
      <c r="AO151" s="4"/>
      <c r="AP151" s="4"/>
      <c r="AQ151" s="4"/>
      <c r="AR151" s="4"/>
      <c r="AS151" s="4"/>
      <c r="AT151" s="4"/>
      <c r="AU151" s="4"/>
      <c r="AV151" s="4"/>
      <c r="AW151" s="4"/>
      <c r="AX151" s="4"/>
      <c r="AY151" s="4"/>
      <c r="AZ151" s="4"/>
      <c r="BA151" s="4"/>
      <c r="BB151" s="4"/>
      <c r="BC151" s="4"/>
      <c r="BD151" s="5"/>
      <c r="BE151" s="4"/>
      <c r="BF151" s="4"/>
      <c r="BG151" s="4"/>
      <c r="BH151" s="4"/>
      <c r="BI151" s="4"/>
      <c r="BJ151" s="4"/>
      <c r="BK151" s="4"/>
      <c r="BL151" s="4"/>
      <c r="BM151" s="4"/>
      <c r="BN151" s="4"/>
      <c r="BO151" s="4"/>
      <c r="BP151" s="4"/>
      <c r="BQ151" s="4"/>
      <c r="BR151" s="4"/>
      <c r="BS151" s="4"/>
    </row>
    <row r="152" spans="1:7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4"/>
      <c r="AI152" s="4"/>
      <c r="AJ152" s="4"/>
      <c r="AK152" s="4"/>
      <c r="AL152" s="4"/>
      <c r="AM152" s="4"/>
      <c r="AN152" s="4"/>
      <c r="AO152" s="4"/>
      <c r="AP152" s="4"/>
      <c r="AQ152" s="4"/>
      <c r="AR152" s="4"/>
      <c r="AS152" s="4"/>
      <c r="AT152" s="4"/>
      <c r="AU152" s="4"/>
      <c r="AV152" s="4"/>
      <c r="AW152" s="4"/>
      <c r="AX152" s="4"/>
      <c r="AY152" s="4"/>
      <c r="AZ152" s="4"/>
      <c r="BA152" s="4"/>
      <c r="BB152" s="4"/>
      <c r="BC152" s="4"/>
      <c r="BD152" s="5"/>
      <c r="BE152" s="4"/>
      <c r="BF152" s="4"/>
      <c r="BG152" s="4"/>
      <c r="BH152" s="4"/>
      <c r="BI152" s="4"/>
      <c r="BJ152" s="4"/>
      <c r="BK152" s="4"/>
      <c r="BL152" s="4"/>
      <c r="BM152" s="4"/>
      <c r="BN152" s="4"/>
      <c r="BO152" s="4"/>
      <c r="BP152" s="4"/>
      <c r="BQ152" s="4"/>
      <c r="BR152" s="4"/>
      <c r="BS152" s="4"/>
    </row>
    <row r="153" spans="1:7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4"/>
      <c r="AI153" s="4"/>
      <c r="AJ153" s="4"/>
      <c r="AK153" s="4"/>
      <c r="AL153" s="4"/>
      <c r="AM153" s="4"/>
      <c r="AN153" s="4"/>
      <c r="AO153" s="4"/>
      <c r="AP153" s="4"/>
      <c r="AQ153" s="4"/>
      <c r="AR153" s="4"/>
      <c r="AS153" s="4"/>
      <c r="AT153" s="4"/>
      <c r="AU153" s="4"/>
      <c r="AV153" s="4"/>
      <c r="AW153" s="4"/>
      <c r="AX153" s="4"/>
      <c r="AY153" s="4"/>
      <c r="AZ153" s="4"/>
      <c r="BA153" s="4"/>
      <c r="BB153" s="4"/>
      <c r="BC153" s="4"/>
      <c r="BD153" s="5"/>
      <c r="BE153" s="4"/>
      <c r="BF153" s="4"/>
      <c r="BG153" s="4"/>
      <c r="BH153" s="4"/>
      <c r="BI153" s="4"/>
      <c r="BJ153" s="4"/>
      <c r="BK153" s="4"/>
      <c r="BL153" s="4"/>
      <c r="BM153" s="4"/>
      <c r="BN153" s="4"/>
      <c r="BO153" s="4"/>
      <c r="BP153" s="4"/>
      <c r="BQ153" s="4"/>
      <c r="BR153" s="4"/>
      <c r="BS153" s="4"/>
    </row>
    <row r="154" spans="1:7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4"/>
      <c r="AI154" s="4"/>
      <c r="AJ154" s="4"/>
      <c r="AK154" s="4"/>
      <c r="AL154" s="4"/>
      <c r="AM154" s="4"/>
      <c r="AN154" s="4"/>
      <c r="AO154" s="4"/>
      <c r="AP154" s="4"/>
      <c r="AQ154" s="4"/>
      <c r="AR154" s="4"/>
      <c r="AS154" s="4"/>
      <c r="AT154" s="4"/>
      <c r="AU154" s="4"/>
      <c r="AV154" s="4"/>
      <c r="AW154" s="4"/>
      <c r="AX154" s="4"/>
      <c r="AY154" s="4"/>
      <c r="AZ154" s="4"/>
      <c r="BA154" s="4"/>
      <c r="BB154" s="4"/>
      <c r="BC154" s="4"/>
      <c r="BD154" s="5"/>
      <c r="BE154" s="4"/>
      <c r="BF154" s="4"/>
      <c r="BG154" s="4"/>
      <c r="BH154" s="4"/>
      <c r="BI154" s="4"/>
      <c r="BJ154" s="4"/>
      <c r="BK154" s="4"/>
      <c r="BL154" s="4"/>
      <c r="BM154" s="4"/>
      <c r="BN154" s="4"/>
      <c r="BO154" s="4"/>
      <c r="BP154" s="4"/>
      <c r="BQ154" s="4"/>
      <c r="BR154" s="4"/>
      <c r="BS154" s="4"/>
    </row>
    <row r="155" spans="1:7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4"/>
      <c r="AI155" s="4"/>
      <c r="AJ155" s="4"/>
      <c r="AK155" s="4"/>
      <c r="AL155" s="4"/>
      <c r="AM155" s="4"/>
      <c r="AN155" s="4"/>
      <c r="AO155" s="4"/>
      <c r="AP155" s="4"/>
      <c r="AQ155" s="4"/>
      <c r="AR155" s="4"/>
      <c r="AS155" s="4"/>
      <c r="AT155" s="4"/>
      <c r="AU155" s="4"/>
      <c r="AV155" s="4"/>
      <c r="AW155" s="4"/>
      <c r="AX155" s="4"/>
      <c r="AY155" s="4"/>
      <c r="AZ155" s="4"/>
      <c r="BA155" s="4"/>
      <c r="BB155" s="4"/>
      <c r="BC155" s="4"/>
      <c r="BD155" s="5"/>
      <c r="BE155" s="4"/>
      <c r="BF155" s="4"/>
      <c r="BG155" s="4"/>
      <c r="BH155" s="4"/>
      <c r="BI155" s="4"/>
      <c r="BJ155" s="4"/>
      <c r="BK155" s="4"/>
      <c r="BL155" s="4"/>
      <c r="BM155" s="4"/>
      <c r="BN155" s="4"/>
      <c r="BO155" s="4"/>
      <c r="BP155" s="4"/>
      <c r="BQ155" s="4"/>
      <c r="BR155" s="4"/>
      <c r="BS155" s="4"/>
    </row>
    <row r="156" spans="1:7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4"/>
      <c r="AI156" s="4"/>
      <c r="AJ156" s="4"/>
      <c r="AK156" s="4"/>
      <c r="AL156" s="4"/>
      <c r="AM156" s="4"/>
      <c r="AN156" s="4"/>
      <c r="AO156" s="4"/>
      <c r="AP156" s="4"/>
      <c r="AQ156" s="4"/>
      <c r="AR156" s="4"/>
      <c r="AS156" s="4"/>
      <c r="AT156" s="4"/>
      <c r="AU156" s="4"/>
      <c r="AV156" s="4"/>
      <c r="AW156" s="4"/>
      <c r="AX156" s="4"/>
      <c r="AY156" s="4"/>
      <c r="AZ156" s="4"/>
      <c r="BA156" s="4"/>
      <c r="BB156" s="4"/>
      <c r="BC156" s="4"/>
      <c r="BD156" s="5"/>
      <c r="BE156" s="4"/>
      <c r="BF156" s="4"/>
      <c r="BG156" s="4"/>
      <c r="BH156" s="4"/>
      <c r="BI156" s="4"/>
      <c r="BJ156" s="4"/>
      <c r="BK156" s="4"/>
      <c r="BL156" s="4"/>
      <c r="BM156" s="4"/>
      <c r="BN156" s="4"/>
      <c r="BO156" s="4"/>
      <c r="BP156" s="4"/>
      <c r="BQ156" s="4"/>
      <c r="BR156" s="4"/>
      <c r="BS156" s="4"/>
    </row>
    <row r="157" spans="1:7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4"/>
      <c r="AI157" s="4"/>
      <c r="AJ157" s="4"/>
      <c r="AK157" s="4"/>
      <c r="AL157" s="4"/>
      <c r="AM157" s="4"/>
      <c r="AN157" s="4"/>
      <c r="AO157" s="4"/>
      <c r="AP157" s="4"/>
      <c r="AQ157" s="4"/>
      <c r="AR157" s="4"/>
      <c r="AS157" s="4"/>
      <c r="AT157" s="4"/>
      <c r="AU157" s="4"/>
      <c r="AV157" s="4"/>
      <c r="AW157" s="4"/>
      <c r="AX157" s="4"/>
      <c r="AY157" s="4"/>
      <c r="AZ157" s="4"/>
      <c r="BA157" s="4"/>
      <c r="BB157" s="4"/>
      <c r="BC157" s="4"/>
      <c r="BD157" s="5"/>
      <c r="BE157" s="4"/>
      <c r="BF157" s="4"/>
      <c r="BG157" s="4"/>
      <c r="BH157" s="4"/>
      <c r="BI157" s="4"/>
      <c r="BJ157" s="4"/>
      <c r="BK157" s="4"/>
      <c r="BL157" s="4"/>
      <c r="BM157" s="4"/>
      <c r="BN157" s="4"/>
      <c r="BO157" s="4"/>
      <c r="BP157" s="4"/>
      <c r="BQ157" s="4"/>
      <c r="BR157" s="4"/>
      <c r="BS157" s="4"/>
    </row>
    <row r="158" spans="1:7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4"/>
      <c r="AI158" s="4"/>
      <c r="AJ158" s="4"/>
      <c r="AK158" s="4"/>
      <c r="AL158" s="4"/>
      <c r="AM158" s="4"/>
      <c r="AN158" s="4"/>
      <c r="AO158" s="4"/>
      <c r="AP158" s="4"/>
      <c r="AQ158" s="4"/>
      <c r="AR158" s="4"/>
      <c r="AS158" s="4"/>
      <c r="AT158" s="4"/>
      <c r="AU158" s="4"/>
      <c r="AV158" s="4"/>
      <c r="AW158" s="4"/>
      <c r="AX158" s="4"/>
      <c r="AY158" s="4"/>
      <c r="AZ158" s="4"/>
      <c r="BA158" s="4"/>
      <c r="BB158" s="4"/>
      <c r="BC158" s="4"/>
      <c r="BD158" s="5"/>
      <c r="BE158" s="4"/>
      <c r="BF158" s="4"/>
      <c r="BG158" s="4"/>
      <c r="BH158" s="4"/>
      <c r="BI158" s="4"/>
      <c r="BJ158" s="4"/>
      <c r="BK158" s="4"/>
      <c r="BL158" s="4"/>
      <c r="BM158" s="4"/>
      <c r="BN158" s="4"/>
      <c r="BO158" s="4"/>
      <c r="BP158" s="4"/>
      <c r="BQ158" s="4"/>
      <c r="BR158" s="4"/>
      <c r="BS158" s="4"/>
    </row>
    <row r="159" spans="1:7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4"/>
      <c r="AI159" s="4"/>
      <c r="AJ159" s="4"/>
      <c r="AK159" s="4"/>
      <c r="AL159" s="4"/>
      <c r="AM159" s="4"/>
      <c r="AN159" s="4"/>
      <c r="AO159" s="4"/>
      <c r="AP159" s="4"/>
      <c r="AQ159" s="4"/>
      <c r="AR159" s="4"/>
      <c r="AS159" s="4"/>
      <c r="AT159" s="4"/>
      <c r="AU159" s="4"/>
      <c r="AV159" s="4"/>
      <c r="AW159" s="4"/>
      <c r="AX159" s="4"/>
      <c r="AY159" s="4"/>
      <c r="AZ159" s="4"/>
      <c r="BA159" s="4"/>
      <c r="BB159" s="4"/>
      <c r="BC159" s="4"/>
      <c r="BD159" s="5"/>
      <c r="BE159" s="4"/>
      <c r="BF159" s="4"/>
      <c r="BG159" s="4"/>
      <c r="BH159" s="4"/>
      <c r="BI159" s="4"/>
      <c r="BJ159" s="4"/>
      <c r="BK159" s="4"/>
      <c r="BL159" s="4"/>
      <c r="BM159" s="4"/>
      <c r="BN159" s="4"/>
      <c r="BO159" s="4"/>
      <c r="BP159" s="4"/>
      <c r="BQ159" s="4"/>
      <c r="BR159" s="4"/>
      <c r="BS159" s="4"/>
    </row>
    <row r="160" spans="1:7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4"/>
      <c r="AI160" s="4"/>
      <c r="AJ160" s="4"/>
      <c r="AK160" s="4"/>
      <c r="AL160" s="4"/>
      <c r="AM160" s="4"/>
      <c r="AN160" s="4"/>
      <c r="AO160" s="4"/>
      <c r="AP160" s="4"/>
      <c r="AQ160" s="4"/>
      <c r="AR160" s="4"/>
      <c r="AS160" s="4"/>
      <c r="AT160" s="4"/>
      <c r="AU160" s="4"/>
      <c r="AV160" s="4"/>
      <c r="AW160" s="4"/>
      <c r="AX160" s="4"/>
      <c r="AY160" s="4"/>
      <c r="AZ160" s="4"/>
      <c r="BA160" s="4"/>
      <c r="BB160" s="4"/>
      <c r="BC160" s="4"/>
      <c r="BD160" s="5"/>
      <c r="BE160" s="4"/>
      <c r="BF160" s="4"/>
      <c r="BG160" s="4"/>
      <c r="BH160" s="4"/>
      <c r="BI160" s="4"/>
      <c r="BJ160" s="4"/>
      <c r="BK160" s="4"/>
      <c r="BL160" s="4"/>
      <c r="BM160" s="4"/>
      <c r="BN160" s="4"/>
      <c r="BO160" s="4"/>
      <c r="BP160" s="4"/>
      <c r="BQ160" s="4"/>
      <c r="BR160" s="4"/>
      <c r="BS160" s="4"/>
    </row>
    <row r="161" spans="1:7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4"/>
      <c r="AI161" s="4"/>
      <c r="AJ161" s="4"/>
      <c r="AK161" s="4"/>
      <c r="AL161" s="4"/>
      <c r="AM161" s="4"/>
      <c r="AN161" s="4"/>
      <c r="AO161" s="4"/>
      <c r="AP161" s="4"/>
      <c r="AQ161" s="4"/>
      <c r="AR161" s="4"/>
      <c r="AS161" s="4"/>
      <c r="AT161" s="4"/>
      <c r="AU161" s="4"/>
      <c r="AV161" s="4"/>
      <c r="AW161" s="4"/>
      <c r="AX161" s="4"/>
      <c r="AY161" s="4"/>
      <c r="AZ161" s="4"/>
      <c r="BA161" s="4"/>
      <c r="BB161" s="4"/>
      <c r="BC161" s="4"/>
      <c r="BD161" s="5"/>
      <c r="BE161" s="4"/>
      <c r="BF161" s="4"/>
      <c r="BG161" s="4"/>
      <c r="BH161" s="4"/>
      <c r="BI161" s="4"/>
      <c r="BJ161" s="4"/>
      <c r="BK161" s="4"/>
      <c r="BL161" s="4"/>
      <c r="BM161" s="4"/>
      <c r="BN161" s="4"/>
      <c r="BO161" s="4"/>
      <c r="BP161" s="4"/>
      <c r="BQ161" s="4"/>
      <c r="BR161" s="4"/>
      <c r="BS161" s="4"/>
    </row>
    <row r="162" spans="1:7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4"/>
      <c r="AI162" s="4"/>
      <c r="AJ162" s="4"/>
      <c r="AK162" s="4"/>
      <c r="AL162" s="4"/>
      <c r="AM162" s="4"/>
      <c r="AN162" s="4"/>
      <c r="AO162" s="4"/>
      <c r="AP162" s="4"/>
      <c r="AQ162" s="4"/>
      <c r="AR162" s="4"/>
      <c r="AS162" s="4"/>
      <c r="AT162" s="4"/>
      <c r="AU162" s="4"/>
      <c r="AV162" s="4"/>
      <c r="AW162" s="4"/>
      <c r="AX162" s="4"/>
      <c r="AY162" s="4"/>
      <c r="AZ162" s="4"/>
      <c r="BA162" s="4"/>
      <c r="BB162" s="4"/>
      <c r="BC162" s="4"/>
      <c r="BD162" s="5"/>
      <c r="BE162" s="4"/>
      <c r="BF162" s="4"/>
      <c r="BG162" s="4"/>
      <c r="BH162" s="4"/>
      <c r="BI162" s="4"/>
      <c r="BJ162" s="4"/>
      <c r="BK162" s="4"/>
      <c r="BL162" s="4"/>
      <c r="BM162" s="4"/>
      <c r="BN162" s="4"/>
      <c r="BO162" s="4"/>
      <c r="BP162" s="4"/>
      <c r="BQ162" s="4"/>
      <c r="BR162" s="4"/>
      <c r="BS162" s="4"/>
    </row>
    <row r="163" spans="1:7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4"/>
      <c r="AI163" s="4"/>
      <c r="AJ163" s="4"/>
      <c r="AK163" s="4"/>
      <c r="AL163" s="4"/>
      <c r="AM163" s="4"/>
      <c r="AN163" s="4"/>
      <c r="AO163" s="4"/>
      <c r="AP163" s="4"/>
      <c r="AQ163" s="4"/>
      <c r="AR163" s="4"/>
      <c r="AS163" s="4"/>
      <c r="AT163" s="4"/>
      <c r="AU163" s="4"/>
      <c r="AV163" s="4"/>
      <c r="AW163" s="4"/>
      <c r="AX163" s="4"/>
      <c r="AY163" s="4"/>
      <c r="AZ163" s="4"/>
      <c r="BA163" s="4"/>
      <c r="BB163" s="4"/>
      <c r="BC163" s="4"/>
      <c r="BD163" s="5"/>
      <c r="BE163" s="4"/>
      <c r="BF163" s="4"/>
      <c r="BG163" s="4"/>
      <c r="BH163" s="4"/>
      <c r="BI163" s="4"/>
      <c r="BJ163" s="4"/>
      <c r="BK163" s="4"/>
      <c r="BL163" s="4"/>
      <c r="BM163" s="4"/>
      <c r="BN163" s="4"/>
      <c r="BO163" s="4"/>
      <c r="BP163" s="4"/>
      <c r="BQ163" s="4"/>
      <c r="BR163" s="4"/>
      <c r="BS163" s="4"/>
    </row>
    <row r="164" spans="1:7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4"/>
      <c r="AI164" s="4"/>
      <c r="AJ164" s="4"/>
      <c r="AK164" s="4"/>
      <c r="AL164" s="4"/>
      <c r="AM164" s="4"/>
      <c r="AN164" s="4"/>
      <c r="AO164" s="4"/>
      <c r="AP164" s="4"/>
      <c r="AQ164" s="4"/>
      <c r="AR164" s="4"/>
      <c r="AS164" s="4"/>
      <c r="AT164" s="4"/>
      <c r="AU164" s="4"/>
      <c r="AV164" s="4"/>
      <c r="AW164" s="4"/>
      <c r="AX164" s="4"/>
      <c r="AY164" s="4"/>
      <c r="AZ164" s="4"/>
      <c r="BA164" s="4"/>
      <c r="BB164" s="4"/>
      <c r="BC164" s="4"/>
      <c r="BD164" s="5"/>
      <c r="BE164" s="4"/>
      <c r="BF164" s="4"/>
      <c r="BG164" s="4"/>
      <c r="BH164" s="4"/>
      <c r="BI164" s="4"/>
      <c r="BJ164" s="4"/>
      <c r="BK164" s="4"/>
      <c r="BL164" s="4"/>
      <c r="BM164" s="4"/>
      <c r="BN164" s="4"/>
      <c r="BO164" s="4"/>
      <c r="BP164" s="4"/>
      <c r="BQ164" s="4"/>
      <c r="BR164" s="4"/>
      <c r="BS164" s="4"/>
    </row>
    <row r="165" spans="1:7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4"/>
      <c r="AI165" s="4"/>
      <c r="AJ165" s="4"/>
      <c r="AK165" s="4"/>
      <c r="AL165" s="4"/>
      <c r="AM165" s="4"/>
      <c r="AN165" s="4"/>
      <c r="AO165" s="4"/>
      <c r="AP165" s="4"/>
      <c r="AQ165" s="4"/>
      <c r="AR165" s="4"/>
      <c r="AS165" s="4"/>
      <c r="AT165" s="4"/>
      <c r="AU165" s="4"/>
      <c r="AV165" s="4"/>
      <c r="AW165" s="4"/>
      <c r="AX165" s="4"/>
      <c r="AY165" s="4"/>
      <c r="AZ165" s="4"/>
      <c r="BA165" s="4"/>
      <c r="BB165" s="4"/>
      <c r="BC165" s="4"/>
      <c r="BD165" s="5"/>
      <c r="BE165" s="4"/>
      <c r="BF165" s="4"/>
      <c r="BG165" s="4"/>
      <c r="BH165" s="4"/>
      <c r="BI165" s="4"/>
      <c r="BJ165" s="4"/>
      <c r="BK165" s="4"/>
      <c r="BL165" s="4"/>
      <c r="BM165" s="4"/>
      <c r="BN165" s="4"/>
      <c r="BO165" s="4"/>
      <c r="BP165" s="4"/>
      <c r="BQ165" s="4"/>
      <c r="BR165" s="4"/>
      <c r="BS165" s="4"/>
    </row>
    <row r="166" spans="1:7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4"/>
      <c r="AI166" s="4"/>
      <c r="AJ166" s="4"/>
      <c r="AK166" s="4"/>
      <c r="AL166" s="4"/>
      <c r="AM166" s="4"/>
      <c r="AN166" s="4"/>
      <c r="AO166" s="4"/>
      <c r="AP166" s="4"/>
      <c r="AQ166" s="4"/>
      <c r="AR166" s="4"/>
      <c r="AS166" s="4"/>
      <c r="AT166" s="4"/>
      <c r="AU166" s="4"/>
      <c r="AV166" s="4"/>
      <c r="AW166" s="4"/>
      <c r="AX166" s="4"/>
      <c r="AY166" s="4"/>
      <c r="AZ166" s="4"/>
      <c r="BA166" s="4"/>
      <c r="BB166" s="4"/>
      <c r="BC166" s="4"/>
      <c r="BD166" s="5"/>
      <c r="BE166" s="4"/>
      <c r="BF166" s="4"/>
      <c r="BG166" s="4"/>
      <c r="BH166" s="4"/>
      <c r="BI166" s="4"/>
      <c r="BJ166" s="4"/>
      <c r="BK166" s="4"/>
      <c r="BL166" s="4"/>
      <c r="BM166" s="4"/>
      <c r="BN166" s="4"/>
      <c r="BO166" s="4"/>
      <c r="BP166" s="4"/>
      <c r="BQ166" s="4"/>
      <c r="BR166" s="4"/>
      <c r="BS166" s="4"/>
    </row>
    <row r="167" spans="1:7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4"/>
      <c r="AI167" s="4"/>
      <c r="AJ167" s="4"/>
      <c r="AK167" s="4"/>
      <c r="AL167" s="4"/>
      <c r="AM167" s="4"/>
      <c r="AN167" s="4"/>
      <c r="AO167" s="4"/>
      <c r="AP167" s="4"/>
      <c r="AQ167" s="4"/>
      <c r="AR167" s="4"/>
      <c r="AS167" s="4"/>
      <c r="AT167" s="4"/>
      <c r="AU167" s="4"/>
      <c r="AV167" s="4"/>
      <c r="AW167" s="4"/>
      <c r="AX167" s="4"/>
      <c r="AY167" s="4"/>
      <c r="AZ167" s="4"/>
      <c r="BA167" s="4"/>
      <c r="BB167" s="4"/>
      <c r="BC167" s="4"/>
      <c r="BD167" s="5"/>
      <c r="BE167" s="4"/>
      <c r="BF167" s="4"/>
      <c r="BG167" s="4"/>
      <c r="BH167" s="4"/>
      <c r="BI167" s="4"/>
      <c r="BJ167" s="4"/>
      <c r="BK167" s="4"/>
      <c r="BL167" s="4"/>
      <c r="BM167" s="4"/>
      <c r="BN167" s="4"/>
      <c r="BO167" s="4"/>
      <c r="BP167" s="4"/>
      <c r="BQ167" s="4"/>
      <c r="BR167" s="4"/>
      <c r="BS167" s="4"/>
    </row>
    <row r="168" spans="1:7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4"/>
      <c r="AI168" s="4"/>
      <c r="AJ168" s="4"/>
      <c r="AK168" s="4"/>
      <c r="AL168" s="4"/>
      <c r="AM168" s="4"/>
      <c r="AN168" s="4"/>
      <c r="AO168" s="4"/>
      <c r="AP168" s="4"/>
      <c r="AQ168" s="4"/>
      <c r="AR168" s="4"/>
      <c r="AS168" s="4"/>
      <c r="AT168" s="4"/>
      <c r="AU168" s="4"/>
      <c r="AV168" s="4"/>
      <c r="AW168" s="4"/>
      <c r="AX168" s="4"/>
      <c r="AY168" s="4"/>
      <c r="AZ168" s="4"/>
      <c r="BA168" s="4"/>
      <c r="BB168" s="4"/>
      <c r="BC168" s="4"/>
      <c r="BD168" s="5"/>
      <c r="BE168" s="4"/>
      <c r="BF168" s="4"/>
      <c r="BG168" s="4"/>
      <c r="BH168" s="4"/>
      <c r="BI168" s="4"/>
      <c r="BJ168" s="4"/>
      <c r="BK168" s="4"/>
      <c r="BL168" s="4"/>
      <c r="BM168" s="4"/>
      <c r="BN168" s="4"/>
      <c r="BO168" s="4"/>
      <c r="BP168" s="4"/>
      <c r="BQ168" s="4"/>
      <c r="BR168" s="4"/>
      <c r="BS168" s="4"/>
    </row>
    <row r="169" spans="1:7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4"/>
      <c r="AI169" s="4"/>
      <c r="AJ169" s="4"/>
      <c r="AK169" s="4"/>
      <c r="AL169" s="4"/>
      <c r="AM169" s="4"/>
      <c r="AN169" s="4"/>
      <c r="AO169" s="4"/>
      <c r="AP169" s="4"/>
      <c r="AQ169" s="4"/>
      <c r="AR169" s="4"/>
      <c r="AS169" s="4"/>
      <c r="AT169" s="4"/>
      <c r="AU169" s="4"/>
      <c r="AV169" s="4"/>
      <c r="AW169" s="4"/>
      <c r="AX169" s="4"/>
      <c r="AY169" s="4"/>
      <c r="AZ169" s="4"/>
      <c r="BA169" s="4"/>
      <c r="BB169" s="4"/>
      <c r="BC169" s="4"/>
      <c r="BD169" s="5"/>
      <c r="BE169" s="4"/>
      <c r="BF169" s="4"/>
      <c r="BG169" s="4"/>
      <c r="BH169" s="4"/>
      <c r="BI169" s="4"/>
      <c r="BJ169" s="4"/>
      <c r="BK169" s="4"/>
      <c r="BL169" s="4"/>
      <c r="BM169" s="4"/>
      <c r="BN169" s="4"/>
      <c r="BO169" s="4"/>
      <c r="BP169" s="4"/>
      <c r="BQ169" s="4"/>
      <c r="BR169" s="4"/>
      <c r="BS169" s="4"/>
    </row>
    <row r="170" spans="1:7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4"/>
      <c r="AI170" s="4"/>
      <c r="AJ170" s="4"/>
      <c r="AK170" s="4"/>
      <c r="AL170" s="4"/>
      <c r="AM170" s="4"/>
      <c r="AN170" s="4"/>
      <c r="AO170" s="4"/>
      <c r="AP170" s="4"/>
      <c r="AQ170" s="4"/>
      <c r="AR170" s="4"/>
      <c r="AS170" s="4"/>
      <c r="AT170" s="4"/>
      <c r="AU170" s="4"/>
      <c r="AV170" s="4"/>
      <c r="AW170" s="4"/>
      <c r="AX170" s="4"/>
      <c r="AY170" s="4"/>
      <c r="AZ170" s="4"/>
      <c r="BA170" s="4"/>
      <c r="BB170" s="4"/>
      <c r="BC170" s="4"/>
      <c r="BD170" s="5"/>
      <c r="BE170" s="4"/>
      <c r="BF170" s="4"/>
      <c r="BG170" s="4"/>
      <c r="BH170" s="4"/>
      <c r="BI170" s="4"/>
      <c r="BJ170" s="4"/>
      <c r="BK170" s="4"/>
      <c r="BL170" s="4"/>
      <c r="BM170" s="4"/>
      <c r="BN170" s="4"/>
      <c r="BO170" s="4"/>
      <c r="BP170" s="4"/>
      <c r="BQ170" s="4"/>
      <c r="BR170" s="4"/>
      <c r="BS170" s="4"/>
    </row>
    <row r="171" spans="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4"/>
      <c r="AI171" s="4"/>
      <c r="AJ171" s="4"/>
      <c r="AK171" s="4"/>
      <c r="AL171" s="4"/>
      <c r="AM171" s="4"/>
      <c r="AN171" s="4"/>
      <c r="AO171" s="4"/>
      <c r="AP171" s="4"/>
      <c r="AQ171" s="4"/>
      <c r="AR171" s="4"/>
      <c r="AS171" s="4"/>
      <c r="AT171" s="4"/>
      <c r="AU171" s="4"/>
      <c r="AV171" s="4"/>
      <c r="AW171" s="4"/>
      <c r="AX171" s="4"/>
      <c r="AY171" s="4"/>
      <c r="AZ171" s="4"/>
      <c r="BA171" s="4"/>
      <c r="BB171" s="4"/>
      <c r="BC171" s="4"/>
      <c r="BD171" s="5"/>
      <c r="BE171" s="4"/>
      <c r="BF171" s="4"/>
      <c r="BG171" s="4"/>
      <c r="BH171" s="4"/>
      <c r="BI171" s="4"/>
      <c r="BJ171" s="4"/>
      <c r="BK171" s="4"/>
      <c r="BL171" s="4"/>
      <c r="BM171" s="4"/>
      <c r="BN171" s="4"/>
      <c r="BO171" s="4"/>
      <c r="BP171" s="4"/>
      <c r="BQ171" s="4"/>
      <c r="BR171" s="4"/>
      <c r="BS171" s="4"/>
    </row>
    <row r="172" spans="1:7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4"/>
      <c r="AI172" s="4"/>
      <c r="AJ172" s="4"/>
      <c r="AK172" s="4"/>
      <c r="AL172" s="4"/>
      <c r="AM172" s="4"/>
      <c r="AN172" s="4"/>
      <c r="AO172" s="4"/>
      <c r="AP172" s="4"/>
      <c r="AQ172" s="4"/>
      <c r="AR172" s="4"/>
      <c r="AS172" s="4"/>
      <c r="AT172" s="4"/>
      <c r="AU172" s="4"/>
      <c r="AV172" s="4"/>
      <c r="AW172" s="4"/>
      <c r="AX172" s="4"/>
      <c r="AY172" s="4"/>
      <c r="AZ172" s="4"/>
      <c r="BA172" s="4"/>
      <c r="BB172" s="4"/>
      <c r="BC172" s="4"/>
      <c r="BD172" s="5"/>
      <c r="BE172" s="4"/>
      <c r="BF172" s="4"/>
      <c r="BG172" s="4"/>
      <c r="BH172" s="4"/>
      <c r="BI172" s="4"/>
      <c r="BJ172" s="4"/>
      <c r="BK172" s="4"/>
      <c r="BL172" s="4"/>
      <c r="BM172" s="4"/>
      <c r="BN172" s="4"/>
      <c r="BO172" s="4"/>
      <c r="BP172" s="4"/>
      <c r="BQ172" s="4"/>
      <c r="BR172" s="4"/>
      <c r="BS172" s="4"/>
    </row>
    <row r="173" spans="1:7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4"/>
      <c r="AI173" s="4"/>
      <c r="AJ173" s="4"/>
      <c r="AK173" s="4"/>
      <c r="AL173" s="4"/>
      <c r="AM173" s="4"/>
      <c r="AN173" s="4"/>
      <c r="AO173" s="4"/>
      <c r="AP173" s="4"/>
      <c r="AQ173" s="4"/>
      <c r="AR173" s="4"/>
      <c r="AS173" s="4"/>
      <c r="AT173" s="4"/>
      <c r="AU173" s="4"/>
      <c r="AV173" s="4"/>
      <c r="AW173" s="4"/>
      <c r="AX173" s="4"/>
      <c r="AY173" s="4"/>
      <c r="AZ173" s="4"/>
      <c r="BA173" s="4"/>
      <c r="BB173" s="4"/>
      <c r="BC173" s="4"/>
      <c r="BD173" s="5"/>
      <c r="BE173" s="4"/>
      <c r="BF173" s="4"/>
      <c r="BG173" s="4"/>
      <c r="BH173" s="4"/>
      <c r="BI173" s="4"/>
      <c r="BJ173" s="4"/>
      <c r="BK173" s="4"/>
      <c r="BL173" s="4"/>
      <c r="BM173" s="4"/>
      <c r="BN173" s="4"/>
      <c r="BO173" s="4"/>
      <c r="BP173" s="4"/>
      <c r="BQ173" s="4"/>
      <c r="BR173" s="4"/>
      <c r="BS173" s="4"/>
    </row>
    <row r="174" spans="1:7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4"/>
      <c r="AI174" s="4"/>
      <c r="AJ174" s="4"/>
      <c r="AK174" s="4"/>
      <c r="AL174" s="4"/>
      <c r="AM174" s="4"/>
      <c r="AN174" s="4"/>
      <c r="AO174" s="4"/>
      <c r="AP174" s="4"/>
      <c r="AQ174" s="4"/>
      <c r="AR174" s="4"/>
      <c r="AS174" s="4"/>
      <c r="AT174" s="4"/>
      <c r="AU174" s="4"/>
      <c r="AV174" s="4"/>
      <c r="AW174" s="4"/>
      <c r="AX174" s="4"/>
      <c r="AY174" s="4"/>
      <c r="AZ174" s="4"/>
      <c r="BA174" s="4"/>
      <c r="BB174" s="4"/>
      <c r="BC174" s="4"/>
      <c r="BD174" s="5"/>
      <c r="BE174" s="4"/>
      <c r="BF174" s="4"/>
      <c r="BG174" s="4"/>
      <c r="BH174" s="4"/>
      <c r="BI174" s="4"/>
      <c r="BJ174" s="4"/>
      <c r="BK174" s="4"/>
      <c r="BL174" s="4"/>
      <c r="BM174" s="4"/>
      <c r="BN174" s="4"/>
      <c r="BO174" s="4"/>
      <c r="BP174" s="4"/>
      <c r="BQ174" s="4"/>
      <c r="BR174" s="4"/>
      <c r="BS174" s="4"/>
    </row>
    <row r="175" spans="1:7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4"/>
      <c r="AI175" s="4"/>
      <c r="AJ175" s="4"/>
      <c r="AK175" s="4"/>
      <c r="AL175" s="4"/>
      <c r="AM175" s="4"/>
      <c r="AN175" s="4"/>
      <c r="AO175" s="4"/>
      <c r="AP175" s="4"/>
      <c r="AQ175" s="4"/>
      <c r="AR175" s="4"/>
      <c r="AS175" s="4"/>
      <c r="AT175" s="4"/>
      <c r="AU175" s="4"/>
      <c r="AV175" s="4"/>
      <c r="AW175" s="4"/>
      <c r="AX175" s="4"/>
      <c r="AY175" s="4"/>
      <c r="AZ175" s="4"/>
      <c r="BA175" s="4"/>
      <c r="BB175" s="4"/>
      <c r="BC175" s="4"/>
      <c r="BD175" s="5"/>
      <c r="BE175" s="4"/>
      <c r="BF175" s="4"/>
      <c r="BG175" s="4"/>
      <c r="BH175" s="4"/>
      <c r="BI175" s="4"/>
      <c r="BJ175" s="4"/>
      <c r="BK175" s="4"/>
      <c r="BL175" s="4"/>
      <c r="BM175" s="4"/>
      <c r="BN175" s="4"/>
      <c r="BO175" s="4"/>
      <c r="BP175" s="4"/>
      <c r="BQ175" s="4"/>
      <c r="BR175" s="4"/>
      <c r="BS175" s="4"/>
    </row>
    <row r="176" spans="1:7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4"/>
      <c r="AI176" s="4"/>
      <c r="AJ176" s="4"/>
      <c r="AK176" s="4"/>
      <c r="AL176" s="4"/>
      <c r="AM176" s="4"/>
      <c r="AN176" s="4"/>
      <c r="AO176" s="4"/>
      <c r="AP176" s="4"/>
      <c r="AQ176" s="4"/>
      <c r="AR176" s="4"/>
      <c r="AS176" s="4"/>
      <c r="AT176" s="4"/>
      <c r="AU176" s="4"/>
      <c r="AV176" s="4"/>
      <c r="AW176" s="4"/>
      <c r="AX176" s="4"/>
      <c r="AY176" s="4"/>
      <c r="AZ176" s="4"/>
      <c r="BA176" s="4"/>
      <c r="BB176" s="4"/>
      <c r="BC176" s="4"/>
      <c r="BD176" s="5"/>
      <c r="BE176" s="4"/>
      <c r="BF176" s="4"/>
      <c r="BG176" s="4"/>
      <c r="BH176" s="4"/>
      <c r="BI176" s="4"/>
      <c r="BJ176" s="4"/>
      <c r="BK176" s="4"/>
      <c r="BL176" s="4"/>
      <c r="BM176" s="4"/>
      <c r="BN176" s="4"/>
      <c r="BO176" s="4"/>
      <c r="BP176" s="4"/>
      <c r="BQ176" s="4"/>
      <c r="BR176" s="4"/>
      <c r="BS176" s="4"/>
    </row>
    <row r="177" spans="1:7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4"/>
      <c r="AI177" s="4"/>
      <c r="AJ177" s="4"/>
      <c r="AK177" s="4"/>
      <c r="AL177" s="4"/>
      <c r="AM177" s="4"/>
      <c r="AN177" s="4"/>
      <c r="AO177" s="4"/>
      <c r="AP177" s="4"/>
      <c r="AQ177" s="4"/>
      <c r="AR177" s="4"/>
      <c r="AS177" s="4"/>
      <c r="AT177" s="4"/>
      <c r="AU177" s="4"/>
      <c r="AV177" s="4"/>
      <c r="AW177" s="4"/>
      <c r="AX177" s="4"/>
      <c r="AY177" s="4"/>
      <c r="AZ177" s="4"/>
      <c r="BA177" s="4"/>
      <c r="BB177" s="4"/>
      <c r="BC177" s="4"/>
      <c r="BD177" s="5"/>
      <c r="BE177" s="4"/>
      <c r="BF177" s="4"/>
      <c r="BG177" s="4"/>
      <c r="BH177" s="4"/>
      <c r="BI177" s="4"/>
      <c r="BJ177" s="4"/>
      <c r="BK177" s="4"/>
      <c r="BL177" s="4"/>
      <c r="BM177" s="4"/>
      <c r="BN177" s="4"/>
      <c r="BO177" s="4"/>
      <c r="BP177" s="4"/>
      <c r="BQ177" s="4"/>
      <c r="BR177" s="4"/>
      <c r="BS177" s="4"/>
    </row>
    <row r="178" spans="1:7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4"/>
      <c r="AI178" s="4"/>
      <c r="AJ178" s="4"/>
      <c r="AK178" s="4"/>
      <c r="AL178" s="4"/>
      <c r="AM178" s="4"/>
      <c r="AN178" s="4"/>
      <c r="AO178" s="4"/>
      <c r="AP178" s="4"/>
      <c r="AQ178" s="4"/>
      <c r="AR178" s="4"/>
      <c r="AS178" s="4"/>
      <c r="AT178" s="4"/>
      <c r="AU178" s="4"/>
      <c r="AV178" s="4"/>
      <c r="AW178" s="4"/>
      <c r="AX178" s="4"/>
      <c r="AY178" s="4"/>
      <c r="AZ178" s="4"/>
      <c r="BA178" s="4"/>
      <c r="BB178" s="4"/>
      <c r="BC178" s="4"/>
      <c r="BD178" s="5"/>
      <c r="BE178" s="4"/>
      <c r="BF178" s="4"/>
      <c r="BG178" s="4"/>
      <c r="BH178" s="4"/>
      <c r="BI178" s="4"/>
      <c r="BJ178" s="4"/>
      <c r="BK178" s="4"/>
      <c r="BL178" s="4"/>
      <c r="BM178" s="4"/>
      <c r="BN178" s="4"/>
      <c r="BO178" s="4"/>
      <c r="BP178" s="4"/>
      <c r="BQ178" s="4"/>
      <c r="BR178" s="4"/>
      <c r="BS178" s="4"/>
    </row>
    <row r="179" spans="1:7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4"/>
      <c r="AI179" s="4"/>
      <c r="AJ179" s="4"/>
      <c r="AK179" s="4"/>
      <c r="AL179" s="4"/>
      <c r="AM179" s="4"/>
      <c r="AN179" s="4"/>
      <c r="AO179" s="4"/>
      <c r="AP179" s="4"/>
      <c r="AQ179" s="4"/>
      <c r="AR179" s="4"/>
      <c r="AS179" s="4"/>
      <c r="AT179" s="4"/>
      <c r="AU179" s="4"/>
      <c r="AV179" s="4"/>
      <c r="AW179" s="4"/>
      <c r="AX179" s="4"/>
      <c r="AY179" s="4"/>
      <c r="AZ179" s="4"/>
      <c r="BA179" s="4"/>
      <c r="BB179" s="4"/>
      <c r="BC179" s="4"/>
      <c r="BD179" s="5"/>
      <c r="BE179" s="4"/>
      <c r="BF179" s="4"/>
      <c r="BG179" s="4"/>
      <c r="BH179" s="4"/>
      <c r="BI179" s="4"/>
      <c r="BJ179" s="4"/>
      <c r="BK179" s="4"/>
      <c r="BL179" s="4"/>
      <c r="BM179" s="4"/>
      <c r="BN179" s="4"/>
      <c r="BO179" s="4"/>
      <c r="BP179" s="4"/>
      <c r="BQ179" s="4"/>
      <c r="BR179" s="4"/>
      <c r="BS179" s="4"/>
    </row>
    <row r="180" spans="1:7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4"/>
      <c r="AI180" s="4"/>
      <c r="AJ180" s="4"/>
      <c r="AK180" s="4"/>
      <c r="AL180" s="4"/>
      <c r="AM180" s="4"/>
      <c r="AN180" s="4"/>
      <c r="AO180" s="4"/>
      <c r="AP180" s="4"/>
      <c r="AQ180" s="4"/>
      <c r="AR180" s="4"/>
      <c r="AS180" s="4"/>
      <c r="AT180" s="4"/>
      <c r="AU180" s="4"/>
      <c r="AV180" s="4"/>
      <c r="AW180" s="4"/>
      <c r="AX180" s="4"/>
      <c r="AY180" s="4"/>
      <c r="AZ180" s="4"/>
      <c r="BA180" s="4"/>
      <c r="BB180" s="4"/>
      <c r="BC180" s="4"/>
      <c r="BD180" s="5"/>
      <c r="BE180" s="4"/>
      <c r="BF180" s="4"/>
      <c r="BG180" s="4"/>
      <c r="BH180" s="4"/>
      <c r="BI180" s="4"/>
      <c r="BJ180" s="4"/>
      <c r="BK180" s="4"/>
      <c r="BL180" s="4"/>
      <c r="BM180" s="4"/>
      <c r="BN180" s="4"/>
      <c r="BO180" s="4"/>
      <c r="BP180" s="4"/>
      <c r="BQ180" s="4"/>
      <c r="BR180" s="4"/>
      <c r="BS180" s="4"/>
    </row>
    <row r="181" spans="1:7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4"/>
      <c r="AI181" s="4"/>
      <c r="AJ181" s="4"/>
      <c r="AK181" s="4"/>
      <c r="AL181" s="4"/>
      <c r="AM181" s="4"/>
      <c r="AN181" s="4"/>
      <c r="AO181" s="4"/>
      <c r="AP181" s="4"/>
      <c r="AQ181" s="4"/>
      <c r="AR181" s="4"/>
      <c r="AS181" s="4"/>
      <c r="AT181" s="4"/>
      <c r="AU181" s="4"/>
      <c r="AV181" s="4"/>
      <c r="AW181" s="4"/>
      <c r="AX181" s="4"/>
      <c r="AY181" s="4"/>
      <c r="AZ181" s="4"/>
      <c r="BA181" s="4"/>
      <c r="BB181" s="4"/>
      <c r="BC181" s="4"/>
      <c r="BD181" s="5"/>
      <c r="BE181" s="4"/>
      <c r="BF181" s="4"/>
      <c r="BG181" s="4"/>
      <c r="BH181" s="4"/>
      <c r="BI181" s="4"/>
      <c r="BJ181" s="4"/>
      <c r="BK181" s="4"/>
      <c r="BL181" s="4"/>
      <c r="BM181" s="4"/>
      <c r="BN181" s="4"/>
      <c r="BO181" s="4"/>
      <c r="BP181" s="4"/>
      <c r="BQ181" s="4"/>
      <c r="BR181" s="4"/>
      <c r="BS181" s="4"/>
    </row>
    <row r="182" spans="1:7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4"/>
      <c r="AI182" s="4"/>
      <c r="AJ182" s="4"/>
      <c r="AK182" s="4"/>
      <c r="AL182" s="4"/>
      <c r="AM182" s="4"/>
      <c r="AN182" s="4"/>
      <c r="AO182" s="4"/>
      <c r="AP182" s="4"/>
      <c r="AQ182" s="4"/>
      <c r="AR182" s="4"/>
      <c r="AS182" s="4"/>
      <c r="AT182" s="4"/>
      <c r="AU182" s="4"/>
      <c r="AV182" s="4"/>
      <c r="AW182" s="4"/>
      <c r="AX182" s="4"/>
      <c r="AY182" s="4"/>
      <c r="AZ182" s="4"/>
      <c r="BA182" s="4"/>
      <c r="BB182" s="4"/>
      <c r="BC182" s="4"/>
      <c r="BD182" s="5"/>
      <c r="BE182" s="4"/>
      <c r="BF182" s="4"/>
      <c r="BG182" s="4"/>
      <c r="BH182" s="4"/>
      <c r="BI182" s="4"/>
      <c r="BJ182" s="4"/>
      <c r="BK182" s="4"/>
      <c r="BL182" s="4"/>
      <c r="BM182" s="4"/>
      <c r="BN182" s="4"/>
      <c r="BO182" s="4"/>
      <c r="BP182" s="4"/>
      <c r="BQ182" s="4"/>
      <c r="BR182" s="4"/>
      <c r="BS182" s="4"/>
    </row>
    <row r="183" spans="1:7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4"/>
      <c r="AI183" s="4"/>
      <c r="AJ183" s="4"/>
      <c r="AK183" s="4"/>
      <c r="AL183" s="4"/>
      <c r="AM183" s="4"/>
      <c r="AN183" s="4"/>
      <c r="AO183" s="4"/>
      <c r="AP183" s="4"/>
      <c r="AQ183" s="4"/>
      <c r="AR183" s="4"/>
      <c r="AS183" s="4"/>
      <c r="AT183" s="4"/>
      <c r="AU183" s="4"/>
      <c r="AV183" s="4"/>
      <c r="AW183" s="4"/>
      <c r="AX183" s="4"/>
      <c r="AY183" s="4"/>
      <c r="AZ183" s="4"/>
      <c r="BA183" s="4"/>
      <c r="BB183" s="4"/>
      <c r="BC183" s="4"/>
      <c r="BD183" s="5"/>
      <c r="BE183" s="4"/>
      <c r="BF183" s="4"/>
      <c r="BG183" s="4"/>
      <c r="BH183" s="4"/>
      <c r="BI183" s="4"/>
      <c r="BJ183" s="4"/>
      <c r="BK183" s="4"/>
      <c r="BL183" s="4"/>
      <c r="BM183" s="4"/>
      <c r="BN183" s="4"/>
      <c r="BO183" s="4"/>
      <c r="BP183" s="4"/>
      <c r="BQ183" s="4"/>
      <c r="BR183" s="4"/>
      <c r="BS183" s="4"/>
    </row>
    <row r="184" spans="1:7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4"/>
      <c r="AI184" s="4"/>
      <c r="AJ184" s="4"/>
      <c r="AK184" s="4"/>
      <c r="AL184" s="4"/>
      <c r="AM184" s="4"/>
      <c r="AN184" s="4"/>
      <c r="AO184" s="4"/>
      <c r="AP184" s="4"/>
      <c r="AQ184" s="4"/>
      <c r="AR184" s="4"/>
      <c r="AS184" s="4"/>
      <c r="AT184" s="4"/>
      <c r="AU184" s="4"/>
      <c r="AV184" s="4"/>
      <c r="AW184" s="4"/>
      <c r="AX184" s="4"/>
      <c r="AY184" s="4"/>
      <c r="AZ184" s="4"/>
      <c r="BA184" s="4"/>
      <c r="BB184" s="4"/>
      <c r="BC184" s="4"/>
      <c r="BD184" s="5"/>
      <c r="BE184" s="4"/>
      <c r="BF184" s="4"/>
      <c r="BG184" s="4"/>
      <c r="BH184" s="4"/>
      <c r="BI184" s="4"/>
      <c r="BJ184" s="4"/>
      <c r="BK184" s="4"/>
      <c r="BL184" s="4"/>
      <c r="BM184" s="4"/>
      <c r="BN184" s="4"/>
      <c r="BO184" s="4"/>
      <c r="BP184" s="4"/>
      <c r="BQ184" s="4"/>
      <c r="BR184" s="4"/>
      <c r="BS184" s="4"/>
    </row>
    <row r="185" spans="1:7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4"/>
      <c r="AI185" s="4"/>
      <c r="AJ185" s="4"/>
      <c r="AK185" s="4"/>
      <c r="AL185" s="4"/>
      <c r="AM185" s="4"/>
      <c r="AN185" s="4"/>
      <c r="AO185" s="4"/>
      <c r="AP185" s="4"/>
      <c r="AQ185" s="4"/>
      <c r="AR185" s="4"/>
      <c r="AS185" s="4"/>
      <c r="AT185" s="4"/>
      <c r="AU185" s="4"/>
      <c r="AV185" s="4"/>
      <c r="AW185" s="4"/>
      <c r="AX185" s="4"/>
      <c r="AY185" s="4"/>
      <c r="AZ185" s="4"/>
      <c r="BA185" s="4"/>
      <c r="BB185" s="4"/>
      <c r="BC185" s="4"/>
      <c r="BD185" s="5"/>
      <c r="BE185" s="4"/>
      <c r="BF185" s="4"/>
      <c r="BG185" s="4"/>
      <c r="BH185" s="4"/>
      <c r="BI185" s="4"/>
      <c r="BJ185" s="4"/>
      <c r="BK185" s="4"/>
      <c r="BL185" s="4"/>
      <c r="BM185" s="4"/>
      <c r="BN185" s="4"/>
      <c r="BO185" s="4"/>
      <c r="BP185" s="4"/>
      <c r="BQ185" s="4"/>
      <c r="BR185" s="4"/>
      <c r="BS185" s="4"/>
    </row>
    <row r="186" spans="1:7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4"/>
      <c r="AI186" s="4"/>
      <c r="AJ186" s="4"/>
      <c r="AK186" s="4"/>
      <c r="AL186" s="4"/>
      <c r="AM186" s="4"/>
      <c r="AN186" s="4"/>
      <c r="AO186" s="4"/>
      <c r="AP186" s="4"/>
      <c r="AQ186" s="4"/>
      <c r="AR186" s="4"/>
      <c r="AS186" s="4"/>
      <c r="AT186" s="4"/>
      <c r="AU186" s="4"/>
      <c r="AV186" s="4"/>
      <c r="AW186" s="4"/>
      <c r="AX186" s="4"/>
      <c r="AY186" s="4"/>
      <c r="AZ186" s="4"/>
      <c r="BA186" s="4"/>
      <c r="BB186" s="4"/>
      <c r="BC186" s="4"/>
      <c r="BD186" s="5"/>
      <c r="BE186" s="4"/>
      <c r="BF186" s="4"/>
      <c r="BG186" s="4"/>
      <c r="BH186" s="4"/>
      <c r="BI186" s="4"/>
      <c r="BJ186" s="4"/>
      <c r="BK186" s="4"/>
      <c r="BL186" s="4"/>
      <c r="BM186" s="4"/>
      <c r="BN186" s="4"/>
      <c r="BO186" s="4"/>
      <c r="BP186" s="4"/>
      <c r="BQ186" s="4"/>
      <c r="BR186" s="4"/>
      <c r="BS186" s="4"/>
    </row>
    <row r="187" spans="1:7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4"/>
      <c r="AI187" s="4"/>
      <c r="AJ187" s="4"/>
      <c r="AK187" s="4"/>
      <c r="AL187" s="4"/>
      <c r="AM187" s="4"/>
      <c r="AN187" s="4"/>
      <c r="AO187" s="4"/>
      <c r="AP187" s="4"/>
      <c r="AQ187" s="4"/>
      <c r="AR187" s="4"/>
      <c r="AS187" s="4"/>
      <c r="AT187" s="4"/>
      <c r="AU187" s="4"/>
      <c r="AV187" s="4"/>
      <c r="AW187" s="4"/>
      <c r="AX187" s="4"/>
      <c r="AY187" s="4"/>
      <c r="AZ187" s="4"/>
      <c r="BA187" s="4"/>
      <c r="BB187" s="4"/>
      <c r="BC187" s="4"/>
      <c r="BD187" s="5"/>
      <c r="BE187" s="4"/>
      <c r="BF187" s="4"/>
      <c r="BG187" s="4"/>
      <c r="BH187" s="4"/>
      <c r="BI187" s="4"/>
      <c r="BJ187" s="4"/>
      <c r="BK187" s="4"/>
      <c r="BL187" s="4"/>
      <c r="BM187" s="4"/>
      <c r="BN187" s="4"/>
      <c r="BO187" s="4"/>
      <c r="BP187" s="4"/>
      <c r="BQ187" s="4"/>
      <c r="BR187" s="4"/>
      <c r="BS187" s="4"/>
    </row>
    <row r="188" spans="1:7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4"/>
      <c r="AI188" s="4"/>
      <c r="AJ188" s="4"/>
      <c r="AK188" s="4"/>
      <c r="AL188" s="4"/>
      <c r="AM188" s="4"/>
      <c r="AN188" s="4"/>
      <c r="AO188" s="4"/>
      <c r="AP188" s="4"/>
      <c r="AQ188" s="4"/>
      <c r="AR188" s="4"/>
      <c r="AS188" s="4"/>
      <c r="AT188" s="4"/>
      <c r="AU188" s="4"/>
      <c r="AV188" s="4"/>
      <c r="AW188" s="4"/>
      <c r="AX188" s="4"/>
      <c r="AY188" s="4"/>
      <c r="AZ188" s="4"/>
      <c r="BA188" s="4"/>
      <c r="BB188" s="4"/>
      <c r="BC188" s="4"/>
      <c r="BD188" s="5"/>
      <c r="BE188" s="4"/>
      <c r="BF188" s="4"/>
      <c r="BG188" s="4"/>
      <c r="BH188" s="4"/>
      <c r="BI188" s="4"/>
      <c r="BJ188" s="4"/>
      <c r="BK188" s="4"/>
      <c r="BL188" s="4"/>
      <c r="BM188" s="4"/>
      <c r="BN188" s="4"/>
      <c r="BO188" s="4"/>
      <c r="BP188" s="4"/>
      <c r="BQ188" s="4"/>
      <c r="BR188" s="4"/>
      <c r="BS188" s="4"/>
    </row>
    <row r="189" spans="1:7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4"/>
      <c r="AI189" s="4"/>
      <c r="AJ189" s="4"/>
      <c r="AK189" s="4"/>
      <c r="AL189" s="4"/>
      <c r="AM189" s="4"/>
      <c r="AN189" s="4"/>
      <c r="AO189" s="4"/>
      <c r="AP189" s="4"/>
      <c r="AQ189" s="4"/>
      <c r="AR189" s="4"/>
      <c r="AS189" s="4"/>
      <c r="AT189" s="4"/>
      <c r="AU189" s="4"/>
      <c r="AV189" s="4"/>
      <c r="AW189" s="4"/>
      <c r="AX189" s="4"/>
      <c r="AY189" s="4"/>
      <c r="AZ189" s="4"/>
      <c r="BA189" s="4"/>
      <c r="BB189" s="4"/>
      <c r="BC189" s="4"/>
      <c r="BD189" s="5"/>
      <c r="BE189" s="4"/>
      <c r="BF189" s="4"/>
      <c r="BG189" s="4"/>
      <c r="BH189" s="4"/>
      <c r="BI189" s="4"/>
      <c r="BJ189" s="4"/>
      <c r="BK189" s="4"/>
      <c r="BL189" s="4"/>
      <c r="BM189" s="4"/>
      <c r="BN189" s="4"/>
      <c r="BO189" s="4"/>
      <c r="BP189" s="4"/>
      <c r="BQ189" s="4"/>
      <c r="BR189" s="4"/>
      <c r="BS189" s="4"/>
    </row>
    <row r="190" spans="1:7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4"/>
      <c r="AI190" s="4"/>
      <c r="AJ190" s="4"/>
      <c r="AK190" s="4"/>
      <c r="AL190" s="4"/>
      <c r="AM190" s="4"/>
      <c r="AN190" s="4"/>
      <c r="AO190" s="4"/>
      <c r="AP190" s="4"/>
      <c r="AQ190" s="4"/>
      <c r="AR190" s="4"/>
      <c r="AS190" s="4"/>
      <c r="AT190" s="4"/>
      <c r="AU190" s="4"/>
      <c r="AV190" s="4"/>
      <c r="AW190" s="4"/>
      <c r="AX190" s="4"/>
      <c r="AY190" s="4"/>
      <c r="AZ190" s="4"/>
      <c r="BA190" s="4"/>
      <c r="BB190" s="4"/>
      <c r="BC190" s="4"/>
      <c r="BD190" s="5"/>
      <c r="BE190" s="4"/>
      <c r="BF190" s="4"/>
      <c r="BG190" s="4"/>
      <c r="BH190" s="4"/>
      <c r="BI190" s="4"/>
      <c r="BJ190" s="4"/>
      <c r="BK190" s="4"/>
      <c r="BL190" s="4"/>
      <c r="BM190" s="4"/>
      <c r="BN190" s="4"/>
      <c r="BO190" s="4"/>
      <c r="BP190" s="4"/>
      <c r="BQ190" s="4"/>
      <c r="BR190" s="4"/>
      <c r="BS190" s="4"/>
    </row>
    <row r="191" spans="1:7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4"/>
      <c r="AI191" s="4"/>
      <c r="AJ191" s="4"/>
      <c r="AK191" s="4"/>
      <c r="AL191" s="4"/>
      <c r="AM191" s="4"/>
      <c r="AN191" s="4"/>
      <c r="AO191" s="4"/>
      <c r="AP191" s="4"/>
      <c r="AQ191" s="4"/>
      <c r="AR191" s="4"/>
      <c r="AS191" s="4"/>
      <c r="AT191" s="4"/>
      <c r="AU191" s="4"/>
      <c r="AV191" s="4"/>
      <c r="AW191" s="4"/>
      <c r="AX191" s="4"/>
      <c r="AY191" s="4"/>
      <c r="AZ191" s="4"/>
      <c r="BA191" s="4"/>
      <c r="BB191" s="4"/>
      <c r="BC191" s="4"/>
      <c r="BD191" s="5"/>
      <c r="BE191" s="4"/>
      <c r="BF191" s="4"/>
      <c r="BG191" s="4"/>
      <c r="BH191" s="4"/>
      <c r="BI191" s="4"/>
      <c r="BJ191" s="4"/>
      <c r="BK191" s="4"/>
      <c r="BL191" s="4"/>
      <c r="BM191" s="4"/>
      <c r="BN191" s="4"/>
      <c r="BO191" s="4"/>
      <c r="BP191" s="4"/>
      <c r="BQ191" s="4"/>
      <c r="BR191" s="4"/>
      <c r="BS191" s="4"/>
    </row>
    <row r="192" spans="1:7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4"/>
      <c r="AI192" s="4"/>
      <c r="AJ192" s="4"/>
      <c r="AK192" s="4"/>
      <c r="AL192" s="4"/>
      <c r="AM192" s="4"/>
      <c r="AN192" s="4"/>
      <c r="AO192" s="4"/>
      <c r="AP192" s="4"/>
      <c r="AQ192" s="4"/>
      <c r="AR192" s="4"/>
      <c r="AS192" s="4"/>
      <c r="AT192" s="4"/>
      <c r="AU192" s="4"/>
      <c r="AV192" s="4"/>
      <c r="AW192" s="4"/>
      <c r="AX192" s="4"/>
      <c r="AY192" s="4"/>
      <c r="AZ192" s="4"/>
      <c r="BA192" s="4"/>
      <c r="BB192" s="4"/>
      <c r="BC192" s="4"/>
      <c r="BD192" s="5"/>
      <c r="BE192" s="4"/>
      <c r="BF192" s="4"/>
      <c r="BG192" s="4"/>
      <c r="BH192" s="4"/>
      <c r="BI192" s="4"/>
      <c r="BJ192" s="4"/>
      <c r="BK192" s="4"/>
      <c r="BL192" s="4"/>
      <c r="BM192" s="4"/>
      <c r="BN192" s="4"/>
      <c r="BO192" s="4"/>
      <c r="BP192" s="4"/>
      <c r="BQ192" s="4"/>
      <c r="BR192" s="4"/>
      <c r="BS192" s="4"/>
    </row>
    <row r="193" spans="1:7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4"/>
      <c r="AI193" s="4"/>
      <c r="AJ193" s="4"/>
      <c r="AK193" s="4"/>
      <c r="AL193" s="4"/>
      <c r="AM193" s="4"/>
      <c r="AN193" s="4"/>
      <c r="AO193" s="4"/>
      <c r="AP193" s="4"/>
      <c r="AQ193" s="4"/>
      <c r="AR193" s="4"/>
      <c r="AS193" s="4"/>
      <c r="AT193" s="4"/>
      <c r="AU193" s="4"/>
      <c r="AV193" s="4"/>
      <c r="AW193" s="4"/>
      <c r="AX193" s="4"/>
      <c r="AY193" s="4"/>
      <c r="AZ193" s="4"/>
      <c r="BA193" s="4"/>
      <c r="BB193" s="4"/>
      <c r="BC193" s="4"/>
      <c r="BD193" s="5"/>
      <c r="BE193" s="4"/>
      <c r="BF193" s="4"/>
      <c r="BG193" s="4"/>
      <c r="BH193" s="4"/>
      <c r="BI193" s="4"/>
      <c r="BJ193" s="4"/>
      <c r="BK193" s="4"/>
      <c r="BL193" s="4"/>
      <c r="BM193" s="4"/>
      <c r="BN193" s="4"/>
      <c r="BO193" s="4"/>
      <c r="BP193" s="4"/>
      <c r="BQ193" s="4"/>
      <c r="BR193" s="4"/>
      <c r="BS193" s="4"/>
    </row>
    <row r="194" spans="1:7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4"/>
      <c r="AI194" s="4"/>
      <c r="AJ194" s="4"/>
      <c r="AK194" s="4"/>
      <c r="AL194" s="4"/>
      <c r="AM194" s="4"/>
      <c r="AN194" s="4"/>
      <c r="AO194" s="4"/>
      <c r="AP194" s="4"/>
      <c r="AQ194" s="4"/>
      <c r="AR194" s="4"/>
      <c r="AS194" s="4"/>
      <c r="AT194" s="4"/>
      <c r="AU194" s="4"/>
      <c r="AV194" s="4"/>
      <c r="AW194" s="4"/>
      <c r="AX194" s="4"/>
      <c r="AY194" s="4"/>
      <c r="AZ194" s="4"/>
      <c r="BA194" s="4"/>
      <c r="BB194" s="4"/>
      <c r="BC194" s="4"/>
      <c r="BD194" s="5"/>
      <c r="BE194" s="4"/>
      <c r="BF194" s="4"/>
      <c r="BG194" s="4"/>
      <c r="BH194" s="4"/>
      <c r="BI194" s="4"/>
      <c r="BJ194" s="4"/>
      <c r="BK194" s="4"/>
      <c r="BL194" s="4"/>
      <c r="BM194" s="4"/>
      <c r="BN194" s="4"/>
      <c r="BO194" s="4"/>
      <c r="BP194" s="4"/>
      <c r="BQ194" s="4"/>
      <c r="BR194" s="4"/>
      <c r="BS194" s="4"/>
    </row>
    <row r="195" spans="1:7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4"/>
      <c r="AI195" s="4"/>
      <c r="AJ195" s="4"/>
      <c r="AK195" s="4"/>
      <c r="AL195" s="4"/>
      <c r="AM195" s="4"/>
      <c r="AN195" s="4"/>
      <c r="AO195" s="4"/>
      <c r="AP195" s="4"/>
      <c r="AQ195" s="4"/>
      <c r="AR195" s="4"/>
      <c r="AS195" s="4"/>
      <c r="AT195" s="4"/>
      <c r="AU195" s="4"/>
      <c r="AV195" s="4"/>
      <c r="AW195" s="4"/>
      <c r="AX195" s="4"/>
      <c r="AY195" s="4"/>
      <c r="AZ195" s="4"/>
      <c r="BA195" s="4"/>
      <c r="BB195" s="4"/>
      <c r="BC195" s="4"/>
      <c r="BD195" s="5"/>
      <c r="BE195" s="4"/>
      <c r="BF195" s="4"/>
      <c r="BG195" s="4"/>
      <c r="BH195" s="4"/>
      <c r="BI195" s="4"/>
      <c r="BJ195" s="4"/>
      <c r="BK195" s="4"/>
      <c r="BL195" s="4"/>
      <c r="BM195" s="4"/>
      <c r="BN195" s="4"/>
      <c r="BO195" s="4"/>
      <c r="BP195" s="4"/>
      <c r="BQ195" s="4"/>
      <c r="BR195" s="4"/>
      <c r="BS195" s="4"/>
    </row>
    <row r="196" spans="1:7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4"/>
      <c r="AI196" s="4"/>
      <c r="AJ196" s="4"/>
      <c r="AK196" s="4"/>
      <c r="AL196" s="4"/>
      <c r="AM196" s="4"/>
      <c r="AN196" s="4"/>
      <c r="AO196" s="4"/>
      <c r="AP196" s="4"/>
      <c r="AQ196" s="4"/>
      <c r="AR196" s="4"/>
      <c r="AS196" s="4"/>
      <c r="AT196" s="4"/>
      <c r="AU196" s="4"/>
      <c r="AV196" s="4"/>
      <c r="AW196" s="4"/>
      <c r="AX196" s="4"/>
      <c r="AY196" s="4"/>
      <c r="AZ196" s="4"/>
      <c r="BA196" s="4"/>
      <c r="BB196" s="4"/>
      <c r="BC196" s="4"/>
      <c r="BD196" s="5"/>
      <c r="BE196" s="4"/>
      <c r="BF196" s="4"/>
      <c r="BG196" s="4"/>
      <c r="BH196" s="4"/>
      <c r="BI196" s="4"/>
      <c r="BJ196" s="4"/>
      <c r="BK196" s="4"/>
      <c r="BL196" s="4"/>
      <c r="BM196" s="4"/>
      <c r="BN196" s="4"/>
      <c r="BO196" s="4"/>
      <c r="BP196" s="4"/>
      <c r="BQ196" s="4"/>
      <c r="BR196" s="4"/>
      <c r="BS196" s="4"/>
    </row>
    <row r="197" spans="1:7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4"/>
      <c r="AI197" s="4"/>
      <c r="AJ197" s="4"/>
      <c r="AK197" s="4"/>
      <c r="AL197" s="4"/>
      <c r="AM197" s="4"/>
      <c r="AN197" s="4"/>
      <c r="AO197" s="4"/>
      <c r="AP197" s="4"/>
      <c r="AQ197" s="4"/>
      <c r="AR197" s="4"/>
      <c r="AS197" s="4"/>
      <c r="AT197" s="4"/>
      <c r="AU197" s="4"/>
      <c r="AV197" s="4"/>
      <c r="AW197" s="4"/>
      <c r="AX197" s="4"/>
      <c r="AY197" s="4"/>
      <c r="AZ197" s="4"/>
      <c r="BA197" s="4"/>
      <c r="BB197" s="4"/>
      <c r="BC197" s="4"/>
      <c r="BD197" s="5"/>
      <c r="BE197" s="4"/>
      <c r="BF197" s="4"/>
      <c r="BG197" s="4"/>
      <c r="BH197" s="4"/>
      <c r="BI197" s="4"/>
      <c r="BJ197" s="4"/>
      <c r="BK197" s="4"/>
      <c r="BL197" s="4"/>
      <c r="BM197" s="4"/>
      <c r="BN197" s="4"/>
      <c r="BO197" s="4"/>
      <c r="BP197" s="4"/>
      <c r="BQ197" s="4"/>
      <c r="BR197" s="4"/>
      <c r="BS197" s="4"/>
    </row>
    <row r="198" spans="1:7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4"/>
      <c r="AI198" s="4"/>
      <c r="AJ198" s="4"/>
      <c r="AK198" s="4"/>
      <c r="AL198" s="4"/>
      <c r="AM198" s="4"/>
      <c r="AN198" s="4"/>
      <c r="AO198" s="4"/>
      <c r="AP198" s="4"/>
      <c r="AQ198" s="4"/>
      <c r="AR198" s="4"/>
      <c r="AS198" s="4"/>
      <c r="AT198" s="4"/>
      <c r="AU198" s="4"/>
      <c r="AV198" s="4"/>
      <c r="AW198" s="4"/>
      <c r="AX198" s="4"/>
      <c r="AY198" s="4"/>
      <c r="AZ198" s="4"/>
      <c r="BA198" s="4"/>
      <c r="BB198" s="4"/>
      <c r="BC198" s="4"/>
      <c r="BD198" s="5"/>
      <c r="BE198" s="4"/>
      <c r="BF198" s="4"/>
      <c r="BG198" s="4"/>
      <c r="BH198" s="4"/>
      <c r="BI198" s="4"/>
      <c r="BJ198" s="4"/>
      <c r="BK198" s="4"/>
      <c r="BL198" s="4"/>
      <c r="BM198" s="4"/>
      <c r="BN198" s="4"/>
      <c r="BO198" s="4"/>
      <c r="BP198" s="4"/>
      <c r="BQ198" s="4"/>
      <c r="BR198" s="4"/>
      <c r="BS198" s="4"/>
    </row>
    <row r="199" spans="1:7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4"/>
      <c r="AI199" s="4"/>
      <c r="AJ199" s="4"/>
      <c r="AK199" s="4"/>
      <c r="AL199" s="4"/>
      <c r="AM199" s="4"/>
      <c r="AN199" s="4"/>
      <c r="AO199" s="4"/>
      <c r="AP199" s="4"/>
      <c r="AQ199" s="4"/>
      <c r="AR199" s="4"/>
      <c r="AS199" s="4"/>
      <c r="AT199" s="4"/>
      <c r="AU199" s="4"/>
      <c r="AV199" s="4"/>
      <c r="AW199" s="4"/>
      <c r="AX199" s="4"/>
      <c r="AY199" s="4"/>
      <c r="AZ199" s="4"/>
      <c r="BA199" s="4"/>
      <c r="BB199" s="4"/>
      <c r="BC199" s="4"/>
      <c r="BD199" s="5"/>
      <c r="BE199" s="4"/>
      <c r="BF199" s="4"/>
      <c r="BG199" s="4"/>
      <c r="BH199" s="4"/>
      <c r="BI199" s="4"/>
      <c r="BJ199" s="4"/>
      <c r="BK199" s="4"/>
      <c r="BL199" s="4"/>
      <c r="BM199" s="4"/>
      <c r="BN199" s="4"/>
      <c r="BO199" s="4"/>
      <c r="BP199" s="4"/>
      <c r="BQ199" s="4"/>
      <c r="BR199" s="4"/>
      <c r="BS199" s="4"/>
    </row>
    <row r="200" spans="1:7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4"/>
      <c r="AI200" s="4"/>
      <c r="AJ200" s="4"/>
      <c r="AK200" s="4"/>
      <c r="AL200" s="4"/>
      <c r="AM200" s="4"/>
      <c r="AN200" s="4"/>
      <c r="AO200" s="4"/>
      <c r="AP200" s="4"/>
      <c r="AQ200" s="4"/>
      <c r="AR200" s="4"/>
      <c r="AS200" s="4"/>
      <c r="AT200" s="4"/>
      <c r="AU200" s="4"/>
      <c r="AV200" s="4"/>
      <c r="AW200" s="4"/>
      <c r="AX200" s="4"/>
      <c r="AY200" s="4"/>
      <c r="AZ200" s="4"/>
      <c r="BA200" s="4"/>
      <c r="BB200" s="4"/>
      <c r="BC200" s="4"/>
      <c r="BD200" s="5"/>
      <c r="BE200" s="4"/>
      <c r="BF200" s="4"/>
      <c r="BG200" s="4"/>
      <c r="BH200" s="4"/>
      <c r="BI200" s="4"/>
      <c r="BJ200" s="4"/>
      <c r="BK200" s="4"/>
      <c r="BL200" s="4"/>
      <c r="BM200" s="4"/>
      <c r="BN200" s="4"/>
      <c r="BO200" s="4"/>
      <c r="BP200" s="4"/>
      <c r="BQ200" s="4"/>
      <c r="BR200" s="4"/>
      <c r="BS200" s="4"/>
    </row>
    <row r="201" spans="1:7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4"/>
      <c r="AI201" s="4"/>
      <c r="AJ201" s="4"/>
      <c r="AK201" s="4"/>
      <c r="AL201" s="4"/>
      <c r="AM201" s="4"/>
      <c r="AN201" s="4"/>
      <c r="AO201" s="4"/>
      <c r="AP201" s="4"/>
      <c r="AQ201" s="4"/>
      <c r="AR201" s="4"/>
      <c r="AS201" s="4"/>
      <c r="AT201" s="4"/>
      <c r="AU201" s="4"/>
      <c r="AV201" s="4"/>
      <c r="AW201" s="4"/>
      <c r="AX201" s="4"/>
      <c r="AY201" s="4"/>
      <c r="AZ201" s="4"/>
      <c r="BA201" s="4"/>
      <c r="BB201" s="4"/>
      <c r="BC201" s="4"/>
      <c r="BD201" s="5"/>
      <c r="BE201" s="4"/>
      <c r="BF201" s="4"/>
      <c r="BG201" s="4"/>
      <c r="BH201" s="4"/>
      <c r="BI201" s="4"/>
      <c r="BJ201" s="4"/>
      <c r="BK201" s="4"/>
      <c r="BL201" s="4"/>
      <c r="BM201" s="4"/>
      <c r="BN201" s="4"/>
      <c r="BO201" s="4"/>
      <c r="BP201" s="4"/>
      <c r="BQ201" s="4"/>
      <c r="BR201" s="4"/>
      <c r="BS201" s="4"/>
    </row>
    <row r="202" spans="1:7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4"/>
      <c r="AI202" s="4"/>
      <c r="AJ202" s="4"/>
      <c r="AK202" s="4"/>
      <c r="AL202" s="4"/>
      <c r="AM202" s="4"/>
      <c r="AN202" s="4"/>
      <c r="AO202" s="4"/>
      <c r="AP202" s="4"/>
      <c r="AQ202" s="4"/>
      <c r="AR202" s="4"/>
      <c r="AS202" s="4"/>
      <c r="AT202" s="4"/>
      <c r="AU202" s="4"/>
      <c r="AV202" s="4"/>
      <c r="AW202" s="4"/>
      <c r="AX202" s="4"/>
      <c r="AY202" s="4"/>
      <c r="AZ202" s="4"/>
      <c r="BA202" s="4"/>
      <c r="BB202" s="4"/>
      <c r="BC202" s="4"/>
      <c r="BD202" s="5"/>
      <c r="BE202" s="4"/>
      <c r="BF202" s="4"/>
      <c r="BG202" s="4"/>
      <c r="BH202" s="4"/>
      <c r="BI202" s="4"/>
      <c r="BJ202" s="4"/>
      <c r="BK202" s="4"/>
      <c r="BL202" s="4"/>
      <c r="BM202" s="4"/>
      <c r="BN202" s="4"/>
      <c r="BO202" s="4"/>
      <c r="BP202" s="4"/>
      <c r="BQ202" s="4"/>
      <c r="BR202" s="4"/>
      <c r="BS202" s="4"/>
    </row>
    <row r="203" spans="1:7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4"/>
      <c r="AI203" s="4"/>
      <c r="AJ203" s="4"/>
      <c r="AK203" s="4"/>
      <c r="AL203" s="4"/>
      <c r="AM203" s="4"/>
      <c r="AN203" s="4"/>
      <c r="AO203" s="4"/>
      <c r="AP203" s="4"/>
      <c r="AQ203" s="4"/>
      <c r="AR203" s="4"/>
      <c r="AS203" s="4"/>
      <c r="AT203" s="4"/>
      <c r="AU203" s="4"/>
      <c r="AV203" s="4"/>
      <c r="AW203" s="4"/>
      <c r="AX203" s="4"/>
      <c r="AY203" s="4"/>
      <c r="AZ203" s="4"/>
      <c r="BA203" s="4"/>
      <c r="BB203" s="4"/>
      <c r="BC203" s="4"/>
      <c r="BD203" s="5"/>
      <c r="BE203" s="4"/>
      <c r="BF203" s="4"/>
      <c r="BG203" s="4"/>
      <c r="BH203" s="4"/>
      <c r="BI203" s="4"/>
      <c r="BJ203" s="4"/>
      <c r="BK203" s="4"/>
      <c r="BL203" s="4"/>
      <c r="BM203" s="4"/>
      <c r="BN203" s="4"/>
      <c r="BO203" s="4"/>
      <c r="BP203" s="4"/>
      <c r="BQ203" s="4"/>
      <c r="BR203" s="4"/>
      <c r="BS203" s="4"/>
    </row>
    <row r="204" spans="1:7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4"/>
      <c r="AI204" s="4"/>
      <c r="AJ204" s="4"/>
      <c r="AK204" s="4"/>
      <c r="AL204" s="4"/>
      <c r="AM204" s="4"/>
      <c r="AN204" s="4"/>
      <c r="AO204" s="4"/>
      <c r="AP204" s="4"/>
      <c r="AQ204" s="4"/>
      <c r="AR204" s="4"/>
      <c r="AS204" s="4"/>
      <c r="AT204" s="4"/>
      <c r="AU204" s="4"/>
      <c r="AV204" s="4"/>
      <c r="AW204" s="4"/>
      <c r="AX204" s="4"/>
      <c r="AY204" s="4"/>
      <c r="AZ204" s="4"/>
      <c r="BA204" s="4"/>
      <c r="BB204" s="4"/>
      <c r="BC204" s="4"/>
      <c r="BD204" s="5"/>
      <c r="BE204" s="4"/>
      <c r="BF204" s="4"/>
      <c r="BG204" s="4"/>
      <c r="BH204" s="4"/>
      <c r="BI204" s="4"/>
      <c r="BJ204" s="4"/>
      <c r="BK204" s="4"/>
      <c r="BL204" s="4"/>
      <c r="BM204" s="4"/>
      <c r="BN204" s="4"/>
      <c r="BO204" s="4"/>
      <c r="BP204" s="4"/>
      <c r="BQ204" s="4"/>
      <c r="BR204" s="4"/>
      <c r="BS204" s="4"/>
    </row>
    <row r="205" spans="1:7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4"/>
      <c r="AI205" s="4"/>
      <c r="AJ205" s="4"/>
      <c r="AK205" s="4"/>
      <c r="AL205" s="4"/>
      <c r="AM205" s="4"/>
      <c r="AN205" s="4"/>
      <c r="AO205" s="4"/>
      <c r="AP205" s="4"/>
      <c r="AQ205" s="4"/>
      <c r="AR205" s="4"/>
      <c r="AS205" s="4"/>
      <c r="AT205" s="4"/>
      <c r="AU205" s="4"/>
      <c r="AV205" s="4"/>
      <c r="AW205" s="4"/>
      <c r="AX205" s="4"/>
      <c r="AY205" s="4"/>
      <c r="AZ205" s="4"/>
      <c r="BA205" s="4"/>
      <c r="BB205" s="4"/>
      <c r="BC205" s="4"/>
      <c r="BD205" s="5"/>
      <c r="BE205" s="4"/>
      <c r="BF205" s="4"/>
      <c r="BG205" s="4"/>
      <c r="BH205" s="4"/>
      <c r="BI205" s="4"/>
      <c r="BJ205" s="4"/>
      <c r="BK205" s="4"/>
      <c r="BL205" s="4"/>
      <c r="BM205" s="4"/>
      <c r="BN205" s="4"/>
      <c r="BO205" s="4"/>
      <c r="BP205" s="4"/>
      <c r="BQ205" s="4"/>
      <c r="BR205" s="4"/>
      <c r="BS205" s="4"/>
    </row>
    <row r="206" spans="1:7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4"/>
      <c r="AI206" s="4"/>
      <c r="AJ206" s="4"/>
      <c r="AK206" s="4"/>
      <c r="AL206" s="4"/>
      <c r="AM206" s="4"/>
      <c r="AN206" s="4"/>
      <c r="AO206" s="4"/>
      <c r="AP206" s="4"/>
      <c r="AQ206" s="4"/>
      <c r="AR206" s="4"/>
      <c r="AS206" s="4"/>
      <c r="AT206" s="4"/>
      <c r="AU206" s="4"/>
      <c r="AV206" s="4"/>
      <c r="AW206" s="4"/>
      <c r="AX206" s="4"/>
      <c r="AY206" s="4"/>
      <c r="AZ206" s="4"/>
      <c r="BA206" s="4"/>
      <c r="BB206" s="4"/>
      <c r="BC206" s="4"/>
      <c r="BD206" s="5"/>
      <c r="BE206" s="4"/>
      <c r="BF206" s="4"/>
      <c r="BG206" s="4"/>
      <c r="BH206" s="4"/>
      <c r="BI206" s="4"/>
      <c r="BJ206" s="4"/>
      <c r="BK206" s="4"/>
      <c r="BL206" s="4"/>
      <c r="BM206" s="4"/>
      <c r="BN206" s="4"/>
      <c r="BO206" s="4"/>
      <c r="BP206" s="4"/>
      <c r="BQ206" s="4"/>
      <c r="BR206" s="4"/>
      <c r="BS206" s="4"/>
    </row>
    <row r="207" spans="1:7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4"/>
      <c r="AI207" s="4"/>
      <c r="AJ207" s="4"/>
      <c r="AK207" s="4"/>
      <c r="AL207" s="4"/>
      <c r="AM207" s="4"/>
      <c r="AN207" s="4"/>
      <c r="AO207" s="4"/>
      <c r="AP207" s="4"/>
      <c r="AQ207" s="4"/>
      <c r="AR207" s="4"/>
      <c r="AS207" s="4"/>
      <c r="AT207" s="4"/>
      <c r="AU207" s="4"/>
      <c r="AV207" s="4"/>
      <c r="AW207" s="4"/>
      <c r="AX207" s="4"/>
      <c r="AY207" s="4"/>
      <c r="AZ207" s="4"/>
      <c r="BA207" s="4"/>
      <c r="BB207" s="4"/>
      <c r="BC207" s="4"/>
      <c r="BD207" s="5"/>
      <c r="BE207" s="4"/>
      <c r="BF207" s="4"/>
      <c r="BG207" s="4"/>
      <c r="BH207" s="4"/>
      <c r="BI207" s="4"/>
      <c r="BJ207" s="4"/>
      <c r="BK207" s="4"/>
      <c r="BL207" s="4"/>
      <c r="BM207" s="4"/>
      <c r="BN207" s="4"/>
      <c r="BO207" s="4"/>
      <c r="BP207" s="4"/>
      <c r="BQ207" s="4"/>
      <c r="BR207" s="4"/>
      <c r="BS207" s="4"/>
    </row>
    <row r="208" spans="1:7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4"/>
      <c r="AI208" s="4"/>
      <c r="AJ208" s="4"/>
      <c r="AK208" s="4"/>
      <c r="AL208" s="4"/>
      <c r="AM208" s="4"/>
      <c r="AN208" s="4"/>
      <c r="AO208" s="4"/>
      <c r="AP208" s="4"/>
      <c r="AQ208" s="4"/>
      <c r="AR208" s="4"/>
      <c r="AS208" s="4"/>
      <c r="AT208" s="4"/>
      <c r="AU208" s="4"/>
      <c r="AV208" s="4"/>
      <c r="AW208" s="4"/>
      <c r="AX208" s="4"/>
      <c r="AY208" s="4"/>
      <c r="AZ208" s="4"/>
      <c r="BA208" s="4"/>
      <c r="BB208" s="4"/>
      <c r="BC208" s="4"/>
      <c r="BD208" s="5"/>
      <c r="BE208" s="4"/>
      <c r="BF208" s="4"/>
      <c r="BG208" s="4"/>
      <c r="BH208" s="4"/>
      <c r="BI208" s="4"/>
      <c r="BJ208" s="4"/>
      <c r="BK208" s="4"/>
      <c r="BL208" s="4"/>
      <c r="BM208" s="4"/>
      <c r="BN208" s="4"/>
      <c r="BO208" s="4"/>
      <c r="BP208" s="4"/>
      <c r="BQ208" s="4"/>
      <c r="BR208" s="4"/>
      <c r="BS208" s="4"/>
    </row>
    <row r="209" spans="1:7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4"/>
      <c r="AI209" s="4"/>
      <c r="AJ209" s="4"/>
      <c r="AK209" s="4"/>
      <c r="AL209" s="4"/>
      <c r="AM209" s="4"/>
      <c r="AN209" s="4"/>
      <c r="AO209" s="4"/>
      <c r="AP209" s="4"/>
      <c r="AQ209" s="4"/>
      <c r="AR209" s="4"/>
      <c r="AS209" s="4"/>
      <c r="AT209" s="4"/>
      <c r="AU209" s="4"/>
      <c r="AV209" s="4"/>
      <c r="AW209" s="4"/>
      <c r="AX209" s="4"/>
      <c r="AY209" s="4"/>
      <c r="AZ209" s="4"/>
      <c r="BA209" s="4"/>
      <c r="BB209" s="4"/>
      <c r="BC209" s="4"/>
      <c r="BD209" s="5"/>
      <c r="BE209" s="4"/>
      <c r="BF209" s="4"/>
      <c r="BG209" s="4"/>
      <c r="BH209" s="4"/>
      <c r="BI209" s="4"/>
      <c r="BJ209" s="4"/>
      <c r="BK209" s="4"/>
      <c r="BL209" s="4"/>
      <c r="BM209" s="4"/>
      <c r="BN209" s="4"/>
      <c r="BO209" s="4"/>
      <c r="BP209" s="4"/>
      <c r="BQ209" s="4"/>
      <c r="BR209" s="4"/>
      <c r="BS209" s="4"/>
    </row>
    <row r="210" spans="1:7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4"/>
      <c r="AI210" s="4"/>
      <c r="AJ210" s="4"/>
      <c r="AK210" s="4"/>
      <c r="AL210" s="4"/>
      <c r="AM210" s="4"/>
      <c r="AN210" s="4"/>
      <c r="AO210" s="4"/>
      <c r="AP210" s="4"/>
      <c r="AQ210" s="4"/>
      <c r="AR210" s="4"/>
      <c r="AS210" s="4"/>
      <c r="AT210" s="4"/>
      <c r="AU210" s="4"/>
      <c r="AV210" s="4"/>
      <c r="AW210" s="4"/>
      <c r="AX210" s="4"/>
      <c r="AY210" s="4"/>
      <c r="AZ210" s="4"/>
      <c r="BA210" s="4"/>
      <c r="BB210" s="4"/>
      <c r="BC210" s="4"/>
      <c r="BD210" s="5"/>
      <c r="BE210" s="4"/>
      <c r="BF210" s="4"/>
      <c r="BG210" s="4"/>
      <c r="BH210" s="4"/>
      <c r="BI210" s="4"/>
      <c r="BJ210" s="4"/>
      <c r="BK210" s="4"/>
      <c r="BL210" s="4"/>
      <c r="BM210" s="4"/>
      <c r="BN210" s="4"/>
      <c r="BO210" s="4"/>
      <c r="BP210" s="4"/>
      <c r="BQ210" s="4"/>
      <c r="BR210" s="4"/>
      <c r="BS210" s="4"/>
    </row>
    <row r="211" spans="1:7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4"/>
      <c r="AI211" s="4"/>
      <c r="AJ211" s="4"/>
      <c r="AK211" s="4"/>
      <c r="AL211" s="4"/>
      <c r="AM211" s="4"/>
      <c r="AN211" s="4"/>
      <c r="AO211" s="4"/>
      <c r="AP211" s="4"/>
      <c r="AQ211" s="4"/>
      <c r="AR211" s="4"/>
      <c r="AS211" s="4"/>
      <c r="AT211" s="4"/>
      <c r="AU211" s="4"/>
      <c r="AV211" s="4"/>
      <c r="AW211" s="4"/>
      <c r="AX211" s="4"/>
      <c r="AY211" s="4"/>
      <c r="AZ211" s="4"/>
      <c r="BA211" s="4"/>
      <c r="BB211" s="4"/>
      <c r="BC211" s="4"/>
      <c r="BD211" s="5"/>
      <c r="BE211" s="4"/>
      <c r="BF211" s="4"/>
      <c r="BG211" s="4"/>
      <c r="BH211" s="4"/>
      <c r="BI211" s="4"/>
      <c r="BJ211" s="4"/>
      <c r="BK211" s="4"/>
      <c r="BL211" s="4"/>
      <c r="BM211" s="4"/>
      <c r="BN211" s="4"/>
      <c r="BO211" s="4"/>
      <c r="BP211" s="4"/>
      <c r="BQ211" s="4"/>
      <c r="BR211" s="4"/>
      <c r="BS211" s="4"/>
    </row>
    <row r="212" spans="1:7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4"/>
      <c r="AI212" s="4"/>
      <c r="AJ212" s="4"/>
      <c r="AK212" s="4"/>
      <c r="AL212" s="4"/>
      <c r="AM212" s="4"/>
      <c r="AN212" s="4"/>
      <c r="AO212" s="4"/>
      <c r="AP212" s="4"/>
      <c r="AQ212" s="4"/>
      <c r="AR212" s="4"/>
      <c r="AS212" s="4"/>
      <c r="AT212" s="4"/>
      <c r="AU212" s="4"/>
      <c r="AV212" s="4"/>
      <c r="AW212" s="4"/>
      <c r="AX212" s="4"/>
      <c r="AY212" s="4"/>
      <c r="AZ212" s="4"/>
      <c r="BA212" s="4"/>
      <c r="BB212" s="4"/>
      <c r="BC212" s="4"/>
      <c r="BD212" s="5"/>
      <c r="BE212" s="4"/>
      <c r="BF212" s="4"/>
      <c r="BG212" s="4"/>
      <c r="BH212" s="4"/>
      <c r="BI212" s="4"/>
      <c r="BJ212" s="4"/>
      <c r="BK212" s="4"/>
      <c r="BL212" s="4"/>
      <c r="BM212" s="4"/>
      <c r="BN212" s="4"/>
      <c r="BO212" s="4"/>
      <c r="BP212" s="4"/>
      <c r="BQ212" s="4"/>
      <c r="BR212" s="4"/>
      <c r="BS212" s="4"/>
    </row>
    <row r="213" spans="1:7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4"/>
      <c r="AI213" s="4"/>
      <c r="AJ213" s="4"/>
      <c r="AK213" s="4"/>
      <c r="AL213" s="4"/>
      <c r="AM213" s="4"/>
      <c r="AN213" s="4"/>
      <c r="AO213" s="4"/>
      <c r="AP213" s="4"/>
      <c r="AQ213" s="4"/>
      <c r="AR213" s="4"/>
      <c r="AS213" s="4"/>
      <c r="AT213" s="4"/>
      <c r="AU213" s="4"/>
      <c r="AV213" s="4"/>
      <c r="AW213" s="4"/>
      <c r="AX213" s="4"/>
      <c r="AY213" s="4"/>
      <c r="AZ213" s="4"/>
      <c r="BA213" s="4"/>
      <c r="BB213" s="4"/>
      <c r="BC213" s="4"/>
      <c r="BD213" s="5"/>
      <c r="BE213" s="4"/>
      <c r="BF213" s="4"/>
      <c r="BG213" s="4"/>
      <c r="BH213" s="4"/>
      <c r="BI213" s="4"/>
      <c r="BJ213" s="4"/>
      <c r="BK213" s="4"/>
      <c r="BL213" s="4"/>
      <c r="BM213" s="4"/>
      <c r="BN213" s="4"/>
      <c r="BO213" s="4"/>
      <c r="BP213" s="4"/>
      <c r="BQ213" s="4"/>
      <c r="BR213" s="4"/>
      <c r="BS213" s="4"/>
    </row>
    <row r="214" spans="1:7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4"/>
      <c r="AI214" s="4"/>
      <c r="AJ214" s="4"/>
      <c r="AK214" s="4"/>
      <c r="AL214" s="4"/>
      <c r="AM214" s="4"/>
      <c r="AN214" s="4"/>
      <c r="AO214" s="4"/>
      <c r="AP214" s="4"/>
      <c r="AQ214" s="4"/>
      <c r="AR214" s="4"/>
      <c r="AS214" s="4"/>
      <c r="AT214" s="4"/>
      <c r="AU214" s="4"/>
      <c r="AV214" s="4"/>
      <c r="AW214" s="4"/>
      <c r="AX214" s="4"/>
      <c r="AY214" s="4"/>
      <c r="AZ214" s="4"/>
      <c r="BA214" s="4"/>
      <c r="BB214" s="4"/>
      <c r="BC214" s="4"/>
      <c r="BD214" s="5"/>
      <c r="BE214" s="4"/>
      <c r="BF214" s="4"/>
      <c r="BG214" s="4"/>
      <c r="BH214" s="4"/>
      <c r="BI214" s="4"/>
      <c r="BJ214" s="4"/>
      <c r="BK214" s="4"/>
      <c r="BL214" s="4"/>
      <c r="BM214" s="4"/>
      <c r="BN214" s="4"/>
      <c r="BO214" s="4"/>
      <c r="BP214" s="4"/>
      <c r="BQ214" s="4"/>
      <c r="BR214" s="4"/>
      <c r="BS214" s="4"/>
    </row>
    <row r="215" spans="1:7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4"/>
      <c r="AI215" s="4"/>
      <c r="AJ215" s="4"/>
      <c r="AK215" s="4"/>
      <c r="AL215" s="4"/>
      <c r="AM215" s="4"/>
      <c r="AN215" s="4"/>
      <c r="AO215" s="4"/>
      <c r="AP215" s="4"/>
      <c r="AQ215" s="4"/>
      <c r="AR215" s="4"/>
      <c r="AS215" s="4"/>
      <c r="AT215" s="4"/>
      <c r="AU215" s="4"/>
      <c r="AV215" s="4"/>
      <c r="AW215" s="4"/>
      <c r="AX215" s="4"/>
      <c r="AY215" s="4"/>
      <c r="AZ215" s="4"/>
      <c r="BA215" s="4"/>
      <c r="BB215" s="4"/>
      <c r="BC215" s="4"/>
      <c r="BD215" s="5"/>
      <c r="BE215" s="4"/>
      <c r="BF215" s="4"/>
      <c r="BG215" s="4"/>
      <c r="BH215" s="4"/>
      <c r="BI215" s="4"/>
      <c r="BJ215" s="4"/>
      <c r="BK215" s="4"/>
      <c r="BL215" s="4"/>
      <c r="BM215" s="4"/>
      <c r="BN215" s="4"/>
      <c r="BO215" s="4"/>
      <c r="BP215" s="4"/>
      <c r="BQ215" s="4"/>
      <c r="BR215" s="4"/>
      <c r="BS215" s="4"/>
    </row>
    <row r="216" spans="1:7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4"/>
      <c r="AI216" s="4"/>
      <c r="AJ216" s="4"/>
      <c r="AK216" s="4"/>
      <c r="AL216" s="4"/>
      <c r="AM216" s="4"/>
      <c r="AN216" s="4"/>
      <c r="AO216" s="4"/>
      <c r="AP216" s="4"/>
      <c r="AQ216" s="4"/>
      <c r="AR216" s="4"/>
      <c r="AS216" s="4"/>
      <c r="AT216" s="4"/>
      <c r="AU216" s="4"/>
      <c r="AV216" s="4"/>
      <c r="AW216" s="4"/>
      <c r="AX216" s="4"/>
      <c r="AY216" s="4"/>
      <c r="AZ216" s="4"/>
      <c r="BA216" s="4"/>
      <c r="BB216" s="4"/>
      <c r="BC216" s="4"/>
      <c r="BD216" s="5"/>
      <c r="BE216" s="4"/>
      <c r="BF216" s="4"/>
      <c r="BG216" s="4"/>
      <c r="BH216" s="4"/>
      <c r="BI216" s="4"/>
      <c r="BJ216" s="4"/>
      <c r="BK216" s="4"/>
      <c r="BL216" s="4"/>
      <c r="BM216" s="4"/>
      <c r="BN216" s="4"/>
      <c r="BO216" s="4"/>
      <c r="BP216" s="4"/>
      <c r="BQ216" s="4"/>
      <c r="BR216" s="4"/>
      <c r="BS216" s="4"/>
    </row>
    <row r="217" spans="1:7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4"/>
      <c r="AI217" s="4"/>
      <c r="AJ217" s="4"/>
      <c r="AK217" s="4"/>
      <c r="AL217" s="4"/>
      <c r="AM217" s="4"/>
      <c r="AN217" s="4"/>
      <c r="AO217" s="4"/>
      <c r="AP217" s="4"/>
      <c r="AQ217" s="4"/>
      <c r="AR217" s="4"/>
      <c r="AS217" s="4"/>
      <c r="AT217" s="4"/>
      <c r="AU217" s="4"/>
      <c r="AV217" s="4"/>
      <c r="AW217" s="4"/>
      <c r="AX217" s="4"/>
      <c r="AY217" s="4"/>
      <c r="AZ217" s="4"/>
      <c r="BA217" s="4"/>
      <c r="BB217" s="4"/>
      <c r="BC217" s="4"/>
      <c r="BD217" s="5"/>
      <c r="BE217" s="4"/>
      <c r="BF217" s="4"/>
      <c r="BG217" s="4"/>
      <c r="BH217" s="4"/>
      <c r="BI217" s="4"/>
      <c r="BJ217" s="4"/>
      <c r="BK217" s="4"/>
      <c r="BL217" s="4"/>
      <c r="BM217" s="4"/>
      <c r="BN217" s="4"/>
      <c r="BO217" s="4"/>
      <c r="BP217" s="4"/>
      <c r="BQ217" s="4"/>
      <c r="BR217" s="4"/>
      <c r="BS217" s="4"/>
    </row>
    <row r="218" spans="1:7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4"/>
      <c r="AI218" s="4"/>
      <c r="AJ218" s="4"/>
      <c r="AK218" s="4"/>
      <c r="AL218" s="4"/>
      <c r="AM218" s="4"/>
      <c r="AN218" s="4"/>
      <c r="AO218" s="4"/>
      <c r="AP218" s="4"/>
      <c r="AQ218" s="4"/>
      <c r="AR218" s="4"/>
      <c r="AS218" s="4"/>
      <c r="AT218" s="4"/>
      <c r="AU218" s="4"/>
      <c r="AV218" s="4"/>
      <c r="AW218" s="4"/>
      <c r="AX218" s="4"/>
      <c r="AY218" s="4"/>
      <c r="AZ218" s="4"/>
      <c r="BA218" s="4"/>
      <c r="BB218" s="4"/>
      <c r="BC218" s="4"/>
      <c r="BD218" s="5"/>
      <c r="BE218" s="4"/>
      <c r="BF218" s="4"/>
      <c r="BG218" s="4"/>
      <c r="BH218" s="4"/>
      <c r="BI218" s="4"/>
      <c r="BJ218" s="4"/>
      <c r="BK218" s="4"/>
      <c r="BL218" s="4"/>
      <c r="BM218" s="4"/>
      <c r="BN218" s="4"/>
      <c r="BO218" s="4"/>
      <c r="BP218" s="4"/>
      <c r="BQ218" s="4"/>
      <c r="BR218" s="4"/>
      <c r="BS218" s="4"/>
    </row>
    <row r="219" spans="1:7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4"/>
      <c r="AI219" s="4"/>
      <c r="AJ219" s="4"/>
      <c r="AK219" s="4"/>
      <c r="AL219" s="4"/>
      <c r="AM219" s="4"/>
      <c r="AN219" s="4"/>
      <c r="AO219" s="4"/>
      <c r="AP219" s="4"/>
      <c r="AQ219" s="4"/>
      <c r="AR219" s="4"/>
      <c r="AS219" s="4"/>
      <c r="AT219" s="4"/>
      <c r="AU219" s="4"/>
      <c r="AV219" s="4"/>
      <c r="AW219" s="4"/>
      <c r="AX219" s="4"/>
      <c r="AY219" s="4"/>
      <c r="AZ219" s="4"/>
      <c r="BA219" s="4"/>
      <c r="BB219" s="4"/>
      <c r="BC219" s="4"/>
      <c r="BD219" s="5"/>
      <c r="BE219" s="4"/>
      <c r="BF219" s="4"/>
      <c r="BG219" s="4"/>
      <c r="BH219" s="4"/>
      <c r="BI219" s="4"/>
      <c r="BJ219" s="4"/>
      <c r="BK219" s="4"/>
      <c r="BL219" s="4"/>
      <c r="BM219" s="4"/>
      <c r="BN219" s="4"/>
      <c r="BO219" s="4"/>
      <c r="BP219" s="4"/>
      <c r="BQ219" s="4"/>
      <c r="BR219" s="4"/>
      <c r="BS219" s="4"/>
    </row>
    <row r="220" spans="1:7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4"/>
      <c r="AI220" s="4"/>
      <c r="AJ220" s="4"/>
      <c r="AK220" s="4"/>
      <c r="AL220" s="4"/>
      <c r="AM220" s="4"/>
      <c r="AN220" s="4"/>
      <c r="AO220" s="4"/>
      <c r="AP220" s="4"/>
      <c r="AQ220" s="4"/>
      <c r="AR220" s="4"/>
      <c r="AS220" s="4"/>
      <c r="AT220" s="4"/>
      <c r="AU220" s="4"/>
      <c r="AV220" s="4"/>
      <c r="AW220" s="4"/>
      <c r="AX220" s="4"/>
      <c r="AY220" s="4"/>
      <c r="AZ220" s="4"/>
      <c r="BA220" s="4"/>
      <c r="BB220" s="4"/>
      <c r="BC220" s="4"/>
      <c r="BD220" s="5"/>
      <c r="BE220" s="4"/>
      <c r="BF220" s="4"/>
      <c r="BG220" s="4"/>
      <c r="BH220" s="4"/>
      <c r="BI220" s="4"/>
      <c r="BJ220" s="4"/>
      <c r="BK220" s="4"/>
      <c r="BL220" s="4"/>
      <c r="BM220" s="4"/>
      <c r="BN220" s="4"/>
      <c r="BO220" s="4"/>
      <c r="BP220" s="4"/>
      <c r="BQ220" s="4"/>
      <c r="BR220" s="4"/>
      <c r="BS220" s="4"/>
    </row>
    <row r="221" spans="1:7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4"/>
      <c r="AI221" s="4"/>
      <c r="AJ221" s="4"/>
      <c r="AK221" s="4"/>
      <c r="AL221" s="4"/>
      <c r="AM221" s="4"/>
      <c r="AN221" s="4"/>
      <c r="AO221" s="4"/>
      <c r="AP221" s="4"/>
      <c r="AQ221" s="4"/>
      <c r="AR221" s="4"/>
      <c r="AS221" s="4"/>
      <c r="AT221" s="4"/>
      <c r="AU221" s="4"/>
      <c r="AV221" s="4"/>
      <c r="AW221" s="4"/>
      <c r="AX221" s="4"/>
      <c r="AY221" s="4"/>
      <c r="AZ221" s="4"/>
      <c r="BA221" s="4"/>
      <c r="BB221" s="4"/>
      <c r="BC221" s="4"/>
      <c r="BD221" s="5"/>
      <c r="BE221" s="4"/>
      <c r="BF221" s="4"/>
      <c r="BG221" s="4"/>
      <c r="BH221" s="4"/>
      <c r="BI221" s="4"/>
      <c r="BJ221" s="4"/>
      <c r="BK221" s="4"/>
      <c r="BL221" s="4"/>
      <c r="BM221" s="4"/>
      <c r="BN221" s="4"/>
      <c r="BO221" s="4"/>
      <c r="BP221" s="4"/>
      <c r="BQ221" s="4"/>
      <c r="BR221" s="4"/>
      <c r="BS221" s="4"/>
    </row>
    <row r="222" spans="1:7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4"/>
      <c r="AI222" s="4"/>
      <c r="AJ222" s="4"/>
      <c r="AK222" s="4"/>
      <c r="AL222" s="4"/>
      <c r="AM222" s="4"/>
      <c r="AN222" s="4"/>
      <c r="AO222" s="4"/>
      <c r="AP222" s="4"/>
      <c r="AQ222" s="4"/>
      <c r="AR222" s="4"/>
      <c r="AS222" s="4"/>
      <c r="AT222" s="4"/>
      <c r="AU222" s="4"/>
      <c r="AV222" s="4"/>
      <c r="AW222" s="4"/>
      <c r="AX222" s="4"/>
      <c r="AY222" s="4"/>
      <c r="AZ222" s="4"/>
      <c r="BA222" s="4"/>
      <c r="BB222" s="4"/>
      <c r="BC222" s="4"/>
      <c r="BD222" s="5"/>
      <c r="BE222" s="4"/>
      <c r="BF222" s="4"/>
      <c r="BG222" s="4"/>
      <c r="BH222" s="4"/>
      <c r="BI222" s="4"/>
      <c r="BJ222" s="4"/>
      <c r="BK222" s="4"/>
      <c r="BL222" s="4"/>
      <c r="BM222" s="4"/>
      <c r="BN222" s="4"/>
      <c r="BO222" s="4"/>
      <c r="BP222" s="4"/>
      <c r="BQ222" s="4"/>
      <c r="BR222" s="4"/>
      <c r="BS222" s="4"/>
    </row>
    <row r="223" spans="1:7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4"/>
      <c r="AI223" s="4"/>
      <c r="AJ223" s="4"/>
      <c r="AK223" s="4"/>
      <c r="AL223" s="4"/>
      <c r="AM223" s="4"/>
      <c r="AN223" s="4"/>
      <c r="AO223" s="4"/>
      <c r="AP223" s="4"/>
      <c r="AQ223" s="4"/>
      <c r="AR223" s="4"/>
      <c r="AS223" s="4"/>
      <c r="AT223" s="4"/>
      <c r="AU223" s="4"/>
      <c r="AV223" s="4"/>
      <c r="AW223" s="4"/>
      <c r="AX223" s="4"/>
      <c r="AY223" s="4"/>
      <c r="AZ223" s="4"/>
      <c r="BA223" s="4"/>
      <c r="BB223" s="4"/>
      <c r="BC223" s="4"/>
      <c r="BD223" s="5"/>
      <c r="BE223" s="4"/>
      <c r="BF223" s="4"/>
      <c r="BG223" s="4"/>
      <c r="BH223" s="4"/>
      <c r="BI223" s="4"/>
      <c r="BJ223" s="4"/>
      <c r="BK223" s="4"/>
      <c r="BL223" s="4"/>
      <c r="BM223" s="4"/>
      <c r="BN223" s="4"/>
      <c r="BO223" s="4"/>
      <c r="BP223" s="4"/>
      <c r="BQ223" s="4"/>
      <c r="BR223" s="4"/>
      <c r="BS223" s="4"/>
    </row>
    <row r="224" spans="1:7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4"/>
      <c r="AI224" s="4"/>
      <c r="AJ224" s="4"/>
      <c r="AK224" s="4"/>
      <c r="AL224" s="4"/>
      <c r="AM224" s="4"/>
      <c r="AN224" s="4"/>
      <c r="AO224" s="4"/>
      <c r="AP224" s="4"/>
      <c r="AQ224" s="4"/>
      <c r="AR224" s="4"/>
      <c r="AS224" s="4"/>
      <c r="AT224" s="4"/>
      <c r="AU224" s="4"/>
      <c r="AV224" s="4"/>
      <c r="AW224" s="4"/>
      <c r="AX224" s="4"/>
      <c r="AY224" s="4"/>
      <c r="AZ224" s="4"/>
      <c r="BA224" s="4"/>
      <c r="BB224" s="4"/>
      <c r="BC224" s="4"/>
      <c r="BD224" s="5"/>
      <c r="BE224" s="4"/>
      <c r="BF224" s="4"/>
      <c r="BG224" s="4"/>
      <c r="BH224" s="4"/>
      <c r="BI224" s="4"/>
      <c r="BJ224" s="4"/>
      <c r="BK224" s="4"/>
      <c r="BL224" s="4"/>
      <c r="BM224" s="4"/>
      <c r="BN224" s="4"/>
      <c r="BO224" s="4"/>
      <c r="BP224" s="4"/>
      <c r="BQ224" s="4"/>
      <c r="BR224" s="4"/>
      <c r="BS224" s="4"/>
    </row>
    <row r="225" spans="1:7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4"/>
      <c r="AI225" s="4"/>
      <c r="AJ225" s="4"/>
      <c r="AK225" s="4"/>
      <c r="AL225" s="4"/>
      <c r="AM225" s="4"/>
      <c r="AN225" s="4"/>
      <c r="AO225" s="4"/>
      <c r="AP225" s="4"/>
      <c r="AQ225" s="4"/>
      <c r="AR225" s="4"/>
      <c r="AS225" s="4"/>
      <c r="AT225" s="4"/>
      <c r="AU225" s="4"/>
      <c r="AV225" s="4"/>
      <c r="AW225" s="4"/>
      <c r="AX225" s="4"/>
      <c r="AY225" s="4"/>
      <c r="AZ225" s="4"/>
      <c r="BA225" s="4"/>
      <c r="BB225" s="4"/>
      <c r="BC225" s="4"/>
      <c r="BD225" s="5"/>
      <c r="BE225" s="4"/>
      <c r="BF225" s="4"/>
      <c r="BG225" s="4"/>
      <c r="BH225" s="4"/>
      <c r="BI225" s="4"/>
      <c r="BJ225" s="4"/>
      <c r="BK225" s="4"/>
      <c r="BL225" s="4"/>
      <c r="BM225" s="4"/>
      <c r="BN225" s="4"/>
      <c r="BO225" s="4"/>
      <c r="BP225" s="4"/>
      <c r="BQ225" s="4"/>
      <c r="BR225" s="4"/>
      <c r="BS225" s="4"/>
    </row>
    <row r="226" spans="1:7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4"/>
      <c r="AI226" s="4"/>
      <c r="AJ226" s="4"/>
      <c r="AK226" s="4"/>
      <c r="AL226" s="4"/>
      <c r="AM226" s="4"/>
      <c r="AN226" s="4"/>
      <c r="AO226" s="4"/>
      <c r="AP226" s="4"/>
      <c r="AQ226" s="4"/>
      <c r="AR226" s="4"/>
      <c r="AS226" s="4"/>
      <c r="AT226" s="4"/>
      <c r="AU226" s="4"/>
      <c r="AV226" s="4"/>
      <c r="AW226" s="4"/>
      <c r="AX226" s="4"/>
      <c r="AY226" s="4"/>
      <c r="AZ226" s="4"/>
      <c r="BA226" s="4"/>
      <c r="BB226" s="4"/>
      <c r="BC226" s="4"/>
      <c r="BD226" s="5"/>
      <c r="BE226" s="4"/>
      <c r="BF226" s="4"/>
      <c r="BG226" s="4"/>
      <c r="BH226" s="4"/>
      <c r="BI226" s="4"/>
      <c r="BJ226" s="4"/>
      <c r="BK226" s="4"/>
      <c r="BL226" s="4"/>
      <c r="BM226" s="4"/>
      <c r="BN226" s="4"/>
      <c r="BO226" s="4"/>
      <c r="BP226" s="4"/>
      <c r="BQ226" s="4"/>
      <c r="BR226" s="4"/>
      <c r="BS226" s="4"/>
    </row>
    <row r="227" spans="1:7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4"/>
      <c r="AI227" s="4"/>
      <c r="AJ227" s="4"/>
      <c r="AK227" s="4"/>
      <c r="AL227" s="4"/>
      <c r="AM227" s="4"/>
      <c r="AN227" s="4"/>
      <c r="AO227" s="4"/>
      <c r="AP227" s="4"/>
      <c r="AQ227" s="4"/>
      <c r="AR227" s="4"/>
      <c r="AS227" s="4"/>
      <c r="AT227" s="4"/>
      <c r="AU227" s="4"/>
      <c r="AV227" s="4"/>
      <c r="AW227" s="4"/>
      <c r="AX227" s="4"/>
      <c r="AY227" s="4"/>
      <c r="AZ227" s="4"/>
      <c r="BA227" s="4"/>
      <c r="BB227" s="4"/>
      <c r="BC227" s="4"/>
      <c r="BD227" s="5"/>
      <c r="BE227" s="4"/>
      <c r="BF227" s="4"/>
      <c r="BG227" s="4"/>
      <c r="BH227" s="4"/>
      <c r="BI227" s="4"/>
      <c r="BJ227" s="4"/>
      <c r="BK227" s="4"/>
      <c r="BL227" s="4"/>
      <c r="BM227" s="4"/>
      <c r="BN227" s="4"/>
      <c r="BO227" s="4"/>
      <c r="BP227" s="4"/>
      <c r="BQ227" s="4"/>
      <c r="BR227" s="4"/>
      <c r="BS227" s="4"/>
    </row>
    <row r="228" spans="1:7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4"/>
      <c r="AI228" s="4"/>
      <c r="AJ228" s="4"/>
      <c r="AK228" s="4"/>
      <c r="AL228" s="4"/>
      <c r="AM228" s="4"/>
      <c r="AN228" s="4"/>
      <c r="AO228" s="4"/>
      <c r="AP228" s="4"/>
      <c r="AQ228" s="4"/>
      <c r="AR228" s="4"/>
      <c r="AS228" s="4"/>
      <c r="AT228" s="4"/>
      <c r="AU228" s="4"/>
      <c r="AV228" s="4"/>
      <c r="AW228" s="4"/>
      <c r="AX228" s="4"/>
      <c r="AY228" s="4"/>
      <c r="AZ228" s="4"/>
      <c r="BA228" s="4"/>
      <c r="BB228" s="4"/>
      <c r="BC228" s="4"/>
      <c r="BD228" s="5"/>
      <c r="BE228" s="4"/>
      <c r="BF228" s="4"/>
      <c r="BG228" s="4"/>
      <c r="BH228" s="4"/>
      <c r="BI228" s="4"/>
      <c r="BJ228" s="4"/>
      <c r="BK228" s="4"/>
      <c r="BL228" s="4"/>
      <c r="BM228" s="4"/>
      <c r="BN228" s="4"/>
      <c r="BO228" s="4"/>
      <c r="BP228" s="4"/>
      <c r="BQ228" s="4"/>
      <c r="BR228" s="4"/>
      <c r="BS228" s="4"/>
    </row>
    <row r="229" spans="1:7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4"/>
      <c r="AI229" s="4"/>
      <c r="AJ229" s="4"/>
      <c r="AK229" s="4"/>
      <c r="AL229" s="4"/>
      <c r="AM229" s="4"/>
      <c r="AN229" s="4"/>
      <c r="AO229" s="4"/>
      <c r="AP229" s="4"/>
      <c r="AQ229" s="4"/>
      <c r="AR229" s="4"/>
      <c r="AS229" s="4"/>
      <c r="AT229" s="4"/>
      <c r="AU229" s="4"/>
      <c r="AV229" s="4"/>
      <c r="AW229" s="4"/>
      <c r="AX229" s="4"/>
      <c r="AY229" s="4"/>
      <c r="AZ229" s="4"/>
      <c r="BA229" s="4"/>
      <c r="BB229" s="4"/>
      <c r="BC229" s="4"/>
      <c r="BD229" s="5"/>
      <c r="BE229" s="4"/>
      <c r="BF229" s="4"/>
      <c r="BG229" s="4"/>
      <c r="BH229" s="4"/>
      <c r="BI229" s="4"/>
      <c r="BJ229" s="4"/>
      <c r="BK229" s="4"/>
      <c r="BL229" s="4"/>
      <c r="BM229" s="4"/>
      <c r="BN229" s="4"/>
      <c r="BO229" s="4"/>
      <c r="BP229" s="4"/>
      <c r="BQ229" s="4"/>
      <c r="BR229" s="4"/>
      <c r="BS229" s="4"/>
    </row>
    <row r="230" spans="1:7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4"/>
      <c r="AI230" s="4"/>
      <c r="AJ230" s="4"/>
      <c r="AK230" s="4"/>
      <c r="AL230" s="4"/>
      <c r="AM230" s="4"/>
      <c r="AN230" s="4"/>
      <c r="AO230" s="4"/>
      <c r="AP230" s="4"/>
      <c r="AQ230" s="4"/>
      <c r="AR230" s="4"/>
      <c r="AS230" s="4"/>
      <c r="AT230" s="4"/>
      <c r="AU230" s="4"/>
      <c r="AV230" s="4"/>
      <c r="AW230" s="4"/>
      <c r="AX230" s="4"/>
      <c r="AY230" s="4"/>
      <c r="AZ230" s="4"/>
      <c r="BA230" s="4"/>
      <c r="BB230" s="4"/>
      <c r="BC230" s="4"/>
      <c r="BD230" s="5"/>
      <c r="BE230" s="4"/>
      <c r="BF230" s="4"/>
      <c r="BG230" s="4"/>
      <c r="BH230" s="4"/>
      <c r="BI230" s="4"/>
      <c r="BJ230" s="4"/>
      <c r="BK230" s="4"/>
      <c r="BL230" s="4"/>
      <c r="BM230" s="4"/>
      <c r="BN230" s="4"/>
      <c r="BO230" s="4"/>
      <c r="BP230" s="4"/>
      <c r="BQ230" s="4"/>
      <c r="BR230" s="4"/>
      <c r="BS230" s="4"/>
    </row>
    <row r="231" spans="1:7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4"/>
      <c r="AI231" s="4"/>
      <c r="AJ231" s="4"/>
      <c r="AK231" s="4"/>
      <c r="AL231" s="4"/>
      <c r="AM231" s="4"/>
      <c r="AN231" s="4"/>
      <c r="AO231" s="4"/>
      <c r="AP231" s="4"/>
      <c r="AQ231" s="4"/>
      <c r="AR231" s="4"/>
      <c r="AS231" s="4"/>
      <c r="AT231" s="4"/>
      <c r="AU231" s="4"/>
      <c r="AV231" s="4"/>
      <c r="AW231" s="4"/>
      <c r="AX231" s="4"/>
      <c r="AY231" s="4"/>
      <c r="AZ231" s="4"/>
      <c r="BA231" s="4"/>
      <c r="BB231" s="4"/>
      <c r="BC231" s="4"/>
      <c r="BD231" s="5"/>
      <c r="BE231" s="4"/>
      <c r="BF231" s="4"/>
      <c r="BG231" s="4"/>
      <c r="BH231" s="4"/>
      <c r="BI231" s="4"/>
      <c r="BJ231" s="4"/>
      <c r="BK231" s="4"/>
      <c r="BL231" s="4"/>
      <c r="BM231" s="4"/>
      <c r="BN231" s="4"/>
      <c r="BO231" s="4"/>
      <c r="BP231" s="4"/>
      <c r="BQ231" s="4"/>
      <c r="BR231" s="4"/>
      <c r="BS231" s="4"/>
    </row>
    <row r="232" spans="1:7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4"/>
      <c r="AI232" s="4"/>
      <c r="AJ232" s="4"/>
      <c r="AK232" s="4"/>
      <c r="AL232" s="4"/>
      <c r="AM232" s="4"/>
      <c r="AN232" s="4"/>
      <c r="AO232" s="4"/>
      <c r="AP232" s="4"/>
      <c r="AQ232" s="4"/>
      <c r="AR232" s="4"/>
      <c r="AS232" s="4"/>
      <c r="AT232" s="4"/>
      <c r="AU232" s="4"/>
      <c r="AV232" s="4"/>
      <c r="AW232" s="4"/>
      <c r="AX232" s="4"/>
      <c r="AY232" s="4"/>
      <c r="AZ232" s="4"/>
      <c r="BA232" s="4"/>
      <c r="BB232" s="4"/>
      <c r="BC232" s="4"/>
      <c r="BD232" s="5"/>
      <c r="BE232" s="4"/>
      <c r="BF232" s="4"/>
      <c r="BG232" s="4"/>
      <c r="BH232" s="4"/>
      <c r="BI232" s="4"/>
      <c r="BJ232" s="4"/>
      <c r="BK232" s="4"/>
      <c r="BL232" s="4"/>
      <c r="BM232" s="4"/>
      <c r="BN232" s="4"/>
      <c r="BO232" s="4"/>
      <c r="BP232" s="4"/>
      <c r="BQ232" s="4"/>
      <c r="BR232" s="4"/>
      <c r="BS232" s="4"/>
    </row>
    <row r="233" spans="1:7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4"/>
      <c r="AI233" s="4"/>
      <c r="AJ233" s="4"/>
      <c r="AK233" s="4"/>
      <c r="AL233" s="4"/>
      <c r="AM233" s="4"/>
      <c r="AN233" s="4"/>
      <c r="AO233" s="4"/>
      <c r="AP233" s="4"/>
      <c r="AQ233" s="4"/>
      <c r="AR233" s="4"/>
      <c r="AS233" s="4"/>
      <c r="AT233" s="4"/>
      <c r="AU233" s="4"/>
      <c r="AV233" s="4"/>
      <c r="AW233" s="4"/>
      <c r="AX233" s="4"/>
      <c r="AY233" s="4"/>
      <c r="AZ233" s="4"/>
      <c r="BA233" s="4"/>
      <c r="BB233" s="4"/>
      <c r="BC233" s="4"/>
      <c r="BD233" s="5"/>
      <c r="BE233" s="4"/>
      <c r="BF233" s="4"/>
      <c r="BG233" s="4"/>
      <c r="BH233" s="4"/>
      <c r="BI233" s="4"/>
      <c r="BJ233" s="4"/>
      <c r="BK233" s="4"/>
      <c r="BL233" s="4"/>
      <c r="BM233" s="4"/>
      <c r="BN233" s="4"/>
      <c r="BO233" s="4"/>
      <c r="BP233" s="4"/>
      <c r="BQ233" s="4"/>
      <c r="BR233" s="4"/>
      <c r="BS233" s="4"/>
    </row>
    <row r="234" spans="1:7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4"/>
      <c r="AI234" s="4"/>
      <c r="AJ234" s="4"/>
      <c r="AK234" s="4"/>
      <c r="AL234" s="4"/>
      <c r="AM234" s="4"/>
      <c r="AN234" s="4"/>
      <c r="AO234" s="4"/>
      <c r="AP234" s="4"/>
      <c r="AQ234" s="4"/>
      <c r="AR234" s="4"/>
      <c r="AS234" s="4"/>
      <c r="AT234" s="4"/>
      <c r="AU234" s="4"/>
      <c r="AV234" s="4"/>
      <c r="AW234" s="4"/>
      <c r="AX234" s="4"/>
      <c r="AY234" s="4"/>
      <c r="AZ234" s="4"/>
      <c r="BA234" s="4"/>
      <c r="BB234" s="4"/>
      <c r="BC234" s="4"/>
      <c r="BD234" s="5"/>
      <c r="BE234" s="4"/>
      <c r="BF234" s="4"/>
      <c r="BG234" s="4"/>
      <c r="BH234" s="4"/>
      <c r="BI234" s="4"/>
      <c r="BJ234" s="4"/>
      <c r="BK234" s="4"/>
      <c r="BL234" s="4"/>
      <c r="BM234" s="4"/>
      <c r="BN234" s="4"/>
      <c r="BO234" s="4"/>
      <c r="BP234" s="4"/>
      <c r="BQ234" s="4"/>
      <c r="BR234" s="4"/>
      <c r="BS234" s="4"/>
    </row>
    <row r="235" spans="1:7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4"/>
      <c r="AI235" s="4"/>
      <c r="AJ235" s="4"/>
      <c r="AK235" s="4"/>
      <c r="AL235" s="4"/>
      <c r="AM235" s="4"/>
      <c r="AN235" s="4"/>
      <c r="AO235" s="4"/>
      <c r="AP235" s="4"/>
      <c r="AQ235" s="4"/>
      <c r="AR235" s="4"/>
      <c r="AS235" s="4"/>
      <c r="AT235" s="4"/>
      <c r="AU235" s="4"/>
      <c r="AV235" s="4"/>
      <c r="AW235" s="4"/>
      <c r="AX235" s="4"/>
      <c r="AY235" s="4"/>
      <c r="AZ235" s="4"/>
      <c r="BA235" s="4"/>
      <c r="BB235" s="4"/>
      <c r="BC235" s="4"/>
      <c r="BD235" s="5"/>
      <c r="BE235" s="4"/>
      <c r="BF235" s="4"/>
      <c r="BG235" s="4"/>
      <c r="BH235" s="4"/>
      <c r="BI235" s="4"/>
      <c r="BJ235" s="4"/>
      <c r="BK235" s="4"/>
      <c r="BL235" s="4"/>
      <c r="BM235" s="4"/>
      <c r="BN235" s="4"/>
      <c r="BO235" s="4"/>
      <c r="BP235" s="4"/>
      <c r="BQ235" s="4"/>
      <c r="BR235" s="4"/>
      <c r="BS235" s="4"/>
    </row>
    <row r="236" spans="1:7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4"/>
      <c r="AI236" s="4"/>
      <c r="AJ236" s="4"/>
      <c r="AK236" s="4"/>
      <c r="AL236" s="4"/>
      <c r="AM236" s="4"/>
      <c r="AN236" s="4"/>
      <c r="AO236" s="4"/>
      <c r="AP236" s="4"/>
      <c r="AQ236" s="4"/>
      <c r="AR236" s="4"/>
      <c r="AS236" s="4"/>
      <c r="AT236" s="4"/>
      <c r="AU236" s="4"/>
      <c r="AV236" s="4"/>
      <c r="AW236" s="4"/>
      <c r="AX236" s="4"/>
      <c r="AY236" s="4"/>
      <c r="AZ236" s="4"/>
      <c r="BA236" s="4"/>
      <c r="BB236" s="4"/>
      <c r="BC236" s="4"/>
      <c r="BD236" s="5"/>
      <c r="BE236" s="4"/>
      <c r="BF236" s="4"/>
      <c r="BG236" s="4"/>
      <c r="BH236" s="4"/>
      <c r="BI236" s="4"/>
      <c r="BJ236" s="4"/>
      <c r="BK236" s="4"/>
      <c r="BL236" s="4"/>
      <c r="BM236" s="4"/>
      <c r="BN236" s="4"/>
      <c r="BO236" s="4"/>
      <c r="BP236" s="4"/>
      <c r="BQ236" s="4"/>
      <c r="BR236" s="4"/>
      <c r="BS236" s="4"/>
    </row>
    <row r="237" spans="1:7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4"/>
      <c r="AI237" s="4"/>
      <c r="AJ237" s="4"/>
      <c r="AK237" s="4"/>
      <c r="AL237" s="4"/>
      <c r="AM237" s="4"/>
      <c r="AN237" s="4"/>
      <c r="AO237" s="4"/>
      <c r="AP237" s="4"/>
      <c r="AQ237" s="4"/>
      <c r="AR237" s="4"/>
      <c r="AS237" s="4"/>
      <c r="AT237" s="4"/>
      <c r="AU237" s="4"/>
      <c r="AV237" s="4"/>
      <c r="AW237" s="4"/>
      <c r="AX237" s="4"/>
      <c r="AY237" s="4"/>
      <c r="AZ237" s="4"/>
      <c r="BA237" s="4"/>
      <c r="BB237" s="4"/>
      <c r="BC237" s="4"/>
      <c r="BD237" s="5"/>
      <c r="BE237" s="4"/>
      <c r="BF237" s="4"/>
      <c r="BG237" s="4"/>
      <c r="BH237" s="4"/>
      <c r="BI237" s="4"/>
      <c r="BJ237" s="4"/>
      <c r="BK237" s="4"/>
      <c r="BL237" s="4"/>
      <c r="BM237" s="4"/>
      <c r="BN237" s="4"/>
      <c r="BO237" s="4"/>
      <c r="BP237" s="4"/>
      <c r="BQ237" s="4"/>
      <c r="BR237" s="4"/>
      <c r="BS237" s="4"/>
    </row>
    <row r="238" spans="1:7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4"/>
      <c r="AI238" s="4"/>
      <c r="AJ238" s="4"/>
      <c r="AK238" s="4"/>
      <c r="AL238" s="4"/>
      <c r="AM238" s="4"/>
      <c r="AN238" s="4"/>
      <c r="AO238" s="4"/>
      <c r="AP238" s="4"/>
      <c r="AQ238" s="4"/>
      <c r="AR238" s="4"/>
      <c r="AS238" s="4"/>
      <c r="AT238" s="4"/>
      <c r="AU238" s="4"/>
      <c r="AV238" s="4"/>
      <c r="AW238" s="4"/>
      <c r="AX238" s="4"/>
      <c r="AY238" s="4"/>
      <c r="AZ238" s="4"/>
      <c r="BA238" s="4"/>
      <c r="BB238" s="4"/>
      <c r="BC238" s="4"/>
      <c r="BD238" s="5"/>
      <c r="BE238" s="4"/>
      <c r="BF238" s="4"/>
      <c r="BG238" s="4"/>
      <c r="BH238" s="4"/>
      <c r="BI238" s="4"/>
      <c r="BJ238" s="4"/>
      <c r="BK238" s="4"/>
      <c r="BL238" s="4"/>
      <c r="BM238" s="4"/>
      <c r="BN238" s="4"/>
      <c r="BO238" s="4"/>
      <c r="BP238" s="4"/>
      <c r="BQ238" s="4"/>
      <c r="BR238" s="4"/>
      <c r="BS238" s="4"/>
    </row>
    <row r="239" spans="1:7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4"/>
      <c r="AI239" s="4"/>
      <c r="AJ239" s="4"/>
      <c r="AK239" s="4"/>
      <c r="AL239" s="4"/>
      <c r="AM239" s="4"/>
      <c r="AN239" s="4"/>
      <c r="AO239" s="4"/>
      <c r="AP239" s="4"/>
      <c r="AQ239" s="4"/>
      <c r="AR239" s="4"/>
      <c r="AS239" s="4"/>
      <c r="AT239" s="4"/>
      <c r="AU239" s="4"/>
      <c r="AV239" s="4"/>
      <c r="AW239" s="4"/>
      <c r="AX239" s="4"/>
      <c r="AY239" s="4"/>
      <c r="AZ239" s="4"/>
      <c r="BA239" s="4"/>
      <c r="BB239" s="4"/>
      <c r="BC239" s="4"/>
      <c r="BD239" s="5"/>
      <c r="BE239" s="4"/>
      <c r="BF239" s="4"/>
      <c r="BG239" s="4"/>
      <c r="BH239" s="4"/>
      <c r="BI239" s="4"/>
      <c r="BJ239" s="4"/>
      <c r="BK239" s="4"/>
      <c r="BL239" s="4"/>
      <c r="BM239" s="4"/>
      <c r="BN239" s="4"/>
      <c r="BO239" s="4"/>
      <c r="BP239" s="4"/>
      <c r="BQ239" s="4"/>
      <c r="BR239" s="4"/>
      <c r="BS239" s="4"/>
    </row>
    <row r="240" spans="1:7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4"/>
      <c r="AI240" s="4"/>
      <c r="AJ240" s="4"/>
      <c r="AK240" s="4"/>
      <c r="AL240" s="4"/>
      <c r="AM240" s="4"/>
      <c r="AN240" s="4"/>
      <c r="AO240" s="4"/>
      <c r="AP240" s="4"/>
      <c r="AQ240" s="4"/>
      <c r="AR240" s="4"/>
      <c r="AS240" s="4"/>
      <c r="AT240" s="4"/>
      <c r="AU240" s="4"/>
      <c r="AV240" s="4"/>
      <c r="AW240" s="4"/>
      <c r="AX240" s="4"/>
      <c r="AY240" s="4"/>
      <c r="AZ240" s="4"/>
      <c r="BA240" s="4"/>
      <c r="BB240" s="4"/>
      <c r="BC240" s="4"/>
      <c r="BD240" s="5"/>
      <c r="BE240" s="4"/>
      <c r="BF240" s="4"/>
      <c r="BG240" s="4"/>
      <c r="BH240" s="4"/>
      <c r="BI240" s="4"/>
      <c r="BJ240" s="4"/>
      <c r="BK240" s="4"/>
      <c r="BL240" s="4"/>
      <c r="BM240" s="4"/>
      <c r="BN240" s="4"/>
      <c r="BO240" s="4"/>
      <c r="BP240" s="4"/>
      <c r="BQ240" s="4"/>
      <c r="BR240" s="4"/>
      <c r="BS240" s="4"/>
    </row>
    <row r="241" spans="1:7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4"/>
      <c r="AI241" s="4"/>
      <c r="AJ241" s="4"/>
      <c r="AK241" s="4"/>
      <c r="AL241" s="4"/>
      <c r="AM241" s="4"/>
      <c r="AN241" s="4"/>
      <c r="AO241" s="4"/>
      <c r="AP241" s="4"/>
      <c r="AQ241" s="4"/>
      <c r="AR241" s="4"/>
      <c r="AS241" s="4"/>
      <c r="AT241" s="4"/>
      <c r="AU241" s="4"/>
      <c r="AV241" s="4"/>
      <c r="AW241" s="4"/>
      <c r="AX241" s="4"/>
      <c r="AY241" s="4"/>
      <c r="AZ241" s="4"/>
      <c r="BA241" s="4"/>
      <c r="BB241" s="4"/>
      <c r="BC241" s="4"/>
      <c r="BD241" s="5"/>
      <c r="BE241" s="4"/>
      <c r="BF241" s="4"/>
      <c r="BG241" s="4"/>
      <c r="BH241" s="4"/>
      <c r="BI241" s="4"/>
      <c r="BJ241" s="4"/>
      <c r="BK241" s="4"/>
      <c r="BL241" s="4"/>
      <c r="BM241" s="4"/>
      <c r="BN241" s="4"/>
      <c r="BO241" s="4"/>
      <c r="BP241" s="4"/>
      <c r="BQ241" s="4"/>
      <c r="BR241" s="4"/>
      <c r="BS241" s="4"/>
    </row>
    <row r="242" spans="1:7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4"/>
      <c r="AI242" s="4"/>
      <c r="AJ242" s="4"/>
      <c r="AK242" s="4"/>
      <c r="AL242" s="4"/>
      <c r="AM242" s="4"/>
      <c r="AN242" s="4"/>
      <c r="AO242" s="4"/>
      <c r="AP242" s="4"/>
      <c r="AQ242" s="4"/>
      <c r="AR242" s="4"/>
      <c r="AS242" s="4"/>
      <c r="AT242" s="4"/>
      <c r="AU242" s="4"/>
      <c r="AV242" s="4"/>
      <c r="AW242" s="4"/>
      <c r="AX242" s="4"/>
      <c r="AY242" s="4"/>
      <c r="AZ242" s="4"/>
      <c r="BA242" s="4"/>
      <c r="BB242" s="4"/>
      <c r="BC242" s="4"/>
      <c r="BD242" s="5"/>
      <c r="BE242" s="4"/>
      <c r="BF242" s="4"/>
      <c r="BG242" s="4"/>
      <c r="BH242" s="4"/>
      <c r="BI242" s="4"/>
      <c r="BJ242" s="4"/>
      <c r="BK242" s="4"/>
      <c r="BL242" s="4"/>
      <c r="BM242" s="4"/>
      <c r="BN242" s="4"/>
      <c r="BO242" s="4"/>
      <c r="BP242" s="4"/>
      <c r="BQ242" s="4"/>
      <c r="BR242" s="4"/>
      <c r="BS242" s="4"/>
    </row>
    <row r="243" spans="1:7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4"/>
      <c r="AI243" s="4"/>
      <c r="AJ243" s="4"/>
      <c r="AK243" s="4"/>
      <c r="AL243" s="4"/>
      <c r="AM243" s="4"/>
      <c r="AN243" s="4"/>
      <c r="AO243" s="4"/>
      <c r="AP243" s="4"/>
      <c r="AQ243" s="4"/>
      <c r="AR243" s="4"/>
      <c r="AS243" s="4"/>
      <c r="AT243" s="4"/>
      <c r="AU243" s="4"/>
      <c r="AV243" s="4"/>
      <c r="AW243" s="4"/>
      <c r="AX243" s="4"/>
      <c r="AY243" s="4"/>
      <c r="AZ243" s="4"/>
      <c r="BA243" s="4"/>
      <c r="BB243" s="4"/>
      <c r="BC243" s="4"/>
      <c r="BD243" s="5"/>
      <c r="BE243" s="4"/>
      <c r="BF243" s="4"/>
      <c r="BG243" s="4"/>
      <c r="BH243" s="4"/>
      <c r="BI243" s="4"/>
      <c r="BJ243" s="4"/>
      <c r="BK243" s="4"/>
      <c r="BL243" s="4"/>
      <c r="BM243" s="4"/>
      <c r="BN243" s="4"/>
      <c r="BO243" s="4"/>
      <c r="BP243" s="4"/>
      <c r="BQ243" s="4"/>
      <c r="BR243" s="4"/>
      <c r="BS243" s="4"/>
    </row>
    <row r="244" spans="1:7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4"/>
      <c r="AI244" s="4"/>
      <c r="AJ244" s="4"/>
      <c r="AK244" s="4"/>
      <c r="AL244" s="4"/>
      <c r="AM244" s="4"/>
      <c r="AN244" s="4"/>
      <c r="AO244" s="4"/>
      <c r="AP244" s="4"/>
      <c r="AQ244" s="4"/>
      <c r="AR244" s="4"/>
      <c r="AS244" s="4"/>
      <c r="AT244" s="4"/>
      <c r="AU244" s="4"/>
      <c r="AV244" s="4"/>
      <c r="AW244" s="4"/>
      <c r="AX244" s="4"/>
      <c r="AY244" s="4"/>
      <c r="AZ244" s="4"/>
      <c r="BA244" s="4"/>
      <c r="BB244" s="4"/>
      <c r="BC244" s="4"/>
      <c r="BD244" s="5"/>
      <c r="BE244" s="4"/>
      <c r="BF244" s="4"/>
      <c r="BG244" s="4"/>
      <c r="BH244" s="4"/>
      <c r="BI244" s="4"/>
      <c r="BJ244" s="4"/>
      <c r="BK244" s="4"/>
      <c r="BL244" s="4"/>
      <c r="BM244" s="4"/>
      <c r="BN244" s="4"/>
      <c r="BO244" s="4"/>
      <c r="BP244" s="4"/>
      <c r="BQ244" s="4"/>
      <c r="BR244" s="4"/>
      <c r="BS244" s="4"/>
    </row>
    <row r="245" spans="1:7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4"/>
      <c r="AI245" s="4"/>
      <c r="AJ245" s="4"/>
      <c r="AK245" s="4"/>
      <c r="AL245" s="4"/>
      <c r="AM245" s="4"/>
      <c r="AN245" s="4"/>
      <c r="AO245" s="4"/>
      <c r="AP245" s="4"/>
      <c r="AQ245" s="4"/>
      <c r="AR245" s="4"/>
      <c r="AS245" s="4"/>
      <c r="AT245" s="4"/>
      <c r="AU245" s="4"/>
      <c r="AV245" s="4"/>
      <c r="AW245" s="4"/>
      <c r="AX245" s="4"/>
      <c r="AY245" s="4"/>
      <c r="AZ245" s="4"/>
      <c r="BA245" s="4"/>
      <c r="BB245" s="4"/>
      <c r="BC245" s="4"/>
      <c r="BD245" s="5"/>
      <c r="BE245" s="4"/>
      <c r="BF245" s="4"/>
      <c r="BG245" s="4"/>
      <c r="BH245" s="4"/>
      <c r="BI245" s="4"/>
      <c r="BJ245" s="4"/>
      <c r="BK245" s="4"/>
      <c r="BL245" s="4"/>
      <c r="BM245" s="4"/>
      <c r="BN245" s="4"/>
      <c r="BO245" s="4"/>
      <c r="BP245" s="4"/>
      <c r="BQ245" s="4"/>
      <c r="BR245" s="4"/>
      <c r="BS245" s="4"/>
    </row>
    <row r="246" spans="1:7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4"/>
      <c r="AI246" s="4"/>
      <c r="AJ246" s="4"/>
      <c r="AK246" s="4"/>
      <c r="AL246" s="4"/>
      <c r="AM246" s="4"/>
      <c r="AN246" s="4"/>
      <c r="AO246" s="4"/>
      <c r="AP246" s="4"/>
      <c r="AQ246" s="4"/>
      <c r="AR246" s="4"/>
      <c r="AS246" s="4"/>
      <c r="AT246" s="4"/>
      <c r="AU246" s="4"/>
      <c r="AV246" s="4"/>
      <c r="AW246" s="4"/>
      <c r="AX246" s="4"/>
      <c r="AY246" s="4"/>
      <c r="AZ246" s="4"/>
      <c r="BA246" s="4"/>
      <c r="BB246" s="4"/>
      <c r="BC246" s="4"/>
      <c r="BD246" s="5"/>
      <c r="BE246" s="4"/>
      <c r="BF246" s="4"/>
      <c r="BG246" s="4"/>
      <c r="BH246" s="4"/>
      <c r="BI246" s="4"/>
      <c r="BJ246" s="4"/>
      <c r="BK246" s="4"/>
      <c r="BL246" s="4"/>
      <c r="BM246" s="4"/>
      <c r="BN246" s="4"/>
      <c r="BO246" s="4"/>
      <c r="BP246" s="4"/>
      <c r="BQ246" s="4"/>
      <c r="BR246" s="4"/>
      <c r="BS246" s="4"/>
    </row>
    <row r="247" spans="1:7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4"/>
      <c r="AI247" s="4"/>
      <c r="AJ247" s="4"/>
      <c r="AK247" s="4"/>
      <c r="AL247" s="4"/>
      <c r="AM247" s="4"/>
      <c r="AN247" s="4"/>
      <c r="AO247" s="4"/>
      <c r="AP247" s="4"/>
      <c r="AQ247" s="4"/>
      <c r="AR247" s="4"/>
      <c r="AS247" s="4"/>
      <c r="AT247" s="4"/>
      <c r="AU247" s="4"/>
      <c r="AV247" s="4"/>
      <c r="AW247" s="4"/>
      <c r="AX247" s="4"/>
      <c r="AY247" s="4"/>
      <c r="AZ247" s="4"/>
      <c r="BA247" s="4"/>
      <c r="BB247" s="4"/>
      <c r="BC247" s="4"/>
      <c r="BD247" s="5"/>
      <c r="BE247" s="4"/>
      <c r="BF247" s="4"/>
      <c r="BG247" s="4"/>
      <c r="BH247" s="4"/>
      <c r="BI247" s="4"/>
      <c r="BJ247" s="4"/>
      <c r="BK247" s="4"/>
      <c r="BL247" s="4"/>
      <c r="BM247" s="4"/>
      <c r="BN247" s="4"/>
      <c r="BO247" s="4"/>
      <c r="BP247" s="4"/>
      <c r="BQ247" s="4"/>
      <c r="BR247" s="4"/>
      <c r="BS247" s="4"/>
    </row>
    <row r="248" spans="1:7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4"/>
      <c r="AI248" s="4"/>
      <c r="AJ248" s="4"/>
      <c r="AK248" s="4"/>
      <c r="AL248" s="4"/>
      <c r="AM248" s="4"/>
      <c r="AN248" s="4"/>
      <c r="AO248" s="4"/>
      <c r="AP248" s="4"/>
      <c r="AQ248" s="4"/>
      <c r="AR248" s="4"/>
      <c r="AS248" s="4"/>
      <c r="AT248" s="4"/>
      <c r="AU248" s="4"/>
      <c r="AV248" s="4"/>
      <c r="AW248" s="4"/>
      <c r="AX248" s="4"/>
      <c r="AY248" s="4"/>
      <c r="AZ248" s="4"/>
      <c r="BA248" s="4"/>
      <c r="BB248" s="4"/>
      <c r="BC248" s="4"/>
      <c r="BD248" s="5"/>
      <c r="BE248" s="4"/>
      <c r="BF248" s="4"/>
      <c r="BG248" s="4"/>
      <c r="BH248" s="4"/>
      <c r="BI248" s="4"/>
      <c r="BJ248" s="4"/>
      <c r="BK248" s="4"/>
      <c r="BL248" s="4"/>
      <c r="BM248" s="4"/>
      <c r="BN248" s="4"/>
      <c r="BO248" s="4"/>
      <c r="BP248" s="4"/>
      <c r="BQ248" s="4"/>
      <c r="BR248" s="4"/>
      <c r="BS248" s="4"/>
    </row>
    <row r="249" spans="1:7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4"/>
      <c r="AI249" s="4"/>
      <c r="AJ249" s="4"/>
      <c r="AK249" s="4"/>
      <c r="AL249" s="4"/>
      <c r="AM249" s="4"/>
      <c r="AN249" s="4"/>
      <c r="AO249" s="4"/>
      <c r="AP249" s="4"/>
      <c r="AQ249" s="4"/>
      <c r="AR249" s="4"/>
      <c r="AS249" s="4"/>
      <c r="AT249" s="4"/>
      <c r="AU249" s="4"/>
      <c r="AV249" s="4"/>
      <c r="AW249" s="4"/>
      <c r="AX249" s="4"/>
      <c r="AY249" s="4"/>
      <c r="AZ249" s="4"/>
      <c r="BA249" s="4"/>
      <c r="BB249" s="4"/>
      <c r="BC249" s="4"/>
      <c r="BD249" s="5"/>
      <c r="BE249" s="4"/>
      <c r="BF249" s="4"/>
      <c r="BG249" s="4"/>
      <c r="BH249" s="4"/>
      <c r="BI249" s="4"/>
      <c r="BJ249" s="4"/>
      <c r="BK249" s="4"/>
      <c r="BL249" s="4"/>
      <c r="BM249" s="4"/>
      <c r="BN249" s="4"/>
      <c r="BO249" s="4"/>
      <c r="BP249" s="4"/>
      <c r="BQ249" s="4"/>
      <c r="BR249" s="4"/>
      <c r="BS249" s="4"/>
    </row>
    <row r="250" spans="1:7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c r="AH250" s="4"/>
      <c r="AI250" s="4"/>
      <c r="AJ250" s="4"/>
      <c r="AK250" s="4"/>
      <c r="AL250" s="4"/>
      <c r="AM250" s="4"/>
      <c r="AN250" s="4"/>
      <c r="AO250" s="4"/>
      <c r="AP250" s="4"/>
      <c r="AQ250" s="4"/>
      <c r="AR250" s="4"/>
      <c r="AS250" s="4"/>
      <c r="AT250" s="4"/>
      <c r="AU250" s="4"/>
      <c r="AV250" s="4"/>
      <c r="AW250" s="4"/>
      <c r="AX250" s="4"/>
      <c r="AY250" s="4"/>
      <c r="AZ250" s="4"/>
      <c r="BA250" s="4"/>
      <c r="BB250" s="4"/>
      <c r="BC250" s="4"/>
      <c r="BD250" s="5"/>
      <c r="BE250" s="4"/>
      <c r="BF250" s="4"/>
      <c r="BG250" s="4"/>
      <c r="BH250" s="4"/>
      <c r="BI250" s="4"/>
      <c r="BJ250" s="4"/>
      <c r="BK250" s="4"/>
      <c r="BL250" s="4"/>
      <c r="BM250" s="4"/>
      <c r="BN250" s="4"/>
      <c r="BO250" s="4"/>
      <c r="BP250" s="4"/>
      <c r="BQ250" s="4"/>
      <c r="BR250" s="4"/>
      <c r="BS250" s="4"/>
    </row>
    <row r="251" spans="1:7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c r="AH251" s="4"/>
      <c r="AI251" s="4"/>
      <c r="AJ251" s="4"/>
      <c r="AK251" s="4"/>
      <c r="AL251" s="4"/>
      <c r="AM251" s="4"/>
      <c r="AN251" s="4"/>
      <c r="AO251" s="4"/>
      <c r="AP251" s="4"/>
      <c r="AQ251" s="4"/>
      <c r="AR251" s="4"/>
      <c r="AS251" s="4"/>
      <c r="AT251" s="4"/>
      <c r="AU251" s="4"/>
      <c r="AV251" s="4"/>
      <c r="AW251" s="4"/>
      <c r="AX251" s="4"/>
      <c r="AY251" s="4"/>
      <c r="AZ251" s="4"/>
      <c r="BA251" s="4"/>
      <c r="BB251" s="4"/>
      <c r="BC251" s="4"/>
      <c r="BD251" s="5"/>
      <c r="BE251" s="4"/>
      <c r="BF251" s="4"/>
      <c r="BG251" s="4"/>
      <c r="BH251" s="4"/>
      <c r="BI251" s="4"/>
      <c r="BJ251" s="4"/>
      <c r="BK251" s="4"/>
      <c r="BL251" s="4"/>
      <c r="BM251" s="4"/>
      <c r="BN251" s="4"/>
      <c r="BO251" s="4"/>
      <c r="BP251" s="4"/>
      <c r="BQ251" s="4"/>
      <c r="BR251" s="4"/>
      <c r="BS251" s="4"/>
    </row>
    <row r="252" spans="1:7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4"/>
      <c r="AI252" s="4"/>
      <c r="AJ252" s="4"/>
      <c r="AK252" s="4"/>
      <c r="AL252" s="4"/>
      <c r="AM252" s="4"/>
      <c r="AN252" s="4"/>
      <c r="AO252" s="4"/>
      <c r="AP252" s="4"/>
      <c r="AQ252" s="4"/>
      <c r="AR252" s="4"/>
      <c r="AS252" s="4"/>
      <c r="AT252" s="4"/>
      <c r="AU252" s="4"/>
      <c r="AV252" s="4"/>
      <c r="AW252" s="4"/>
      <c r="AX252" s="4"/>
      <c r="AY252" s="4"/>
      <c r="AZ252" s="4"/>
      <c r="BA252" s="4"/>
      <c r="BB252" s="4"/>
      <c r="BC252" s="4"/>
      <c r="BD252" s="5"/>
      <c r="BE252" s="4"/>
      <c r="BF252" s="4"/>
      <c r="BG252" s="4"/>
      <c r="BH252" s="4"/>
      <c r="BI252" s="4"/>
      <c r="BJ252" s="4"/>
      <c r="BK252" s="4"/>
      <c r="BL252" s="4"/>
      <c r="BM252" s="4"/>
      <c r="BN252" s="4"/>
      <c r="BO252" s="4"/>
      <c r="BP252" s="4"/>
      <c r="BQ252" s="4"/>
      <c r="BR252" s="4"/>
      <c r="BS252" s="4"/>
    </row>
    <row r="253" spans="1:7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4"/>
      <c r="AI253" s="4"/>
      <c r="AJ253" s="4"/>
      <c r="AK253" s="4"/>
      <c r="AL253" s="4"/>
      <c r="AM253" s="4"/>
      <c r="AN253" s="4"/>
      <c r="AO253" s="4"/>
      <c r="AP253" s="4"/>
      <c r="AQ253" s="4"/>
      <c r="AR253" s="4"/>
      <c r="AS253" s="4"/>
      <c r="AT253" s="4"/>
      <c r="AU253" s="4"/>
      <c r="AV253" s="4"/>
      <c r="AW253" s="4"/>
      <c r="AX253" s="4"/>
      <c r="AY253" s="4"/>
      <c r="AZ253" s="4"/>
      <c r="BA253" s="4"/>
      <c r="BB253" s="4"/>
      <c r="BC253" s="4"/>
      <c r="BD253" s="5"/>
      <c r="BE253" s="4"/>
      <c r="BF253" s="4"/>
      <c r="BG253" s="4"/>
      <c r="BH253" s="4"/>
      <c r="BI253" s="4"/>
      <c r="BJ253" s="4"/>
      <c r="BK253" s="4"/>
      <c r="BL253" s="4"/>
      <c r="BM253" s="4"/>
      <c r="BN253" s="4"/>
      <c r="BO253" s="4"/>
      <c r="BP253" s="4"/>
      <c r="BQ253" s="4"/>
      <c r="BR253" s="4"/>
      <c r="BS253" s="4"/>
    </row>
    <row r="254" spans="1:7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c r="AH254" s="4"/>
      <c r="AI254" s="4"/>
      <c r="AJ254" s="4"/>
      <c r="AK254" s="4"/>
      <c r="AL254" s="4"/>
      <c r="AM254" s="4"/>
      <c r="AN254" s="4"/>
      <c r="AO254" s="4"/>
      <c r="AP254" s="4"/>
      <c r="AQ254" s="4"/>
      <c r="AR254" s="4"/>
      <c r="AS254" s="4"/>
      <c r="AT254" s="4"/>
      <c r="AU254" s="4"/>
      <c r="AV254" s="4"/>
      <c r="AW254" s="4"/>
      <c r="AX254" s="4"/>
      <c r="AY254" s="4"/>
      <c r="AZ254" s="4"/>
      <c r="BA254" s="4"/>
      <c r="BB254" s="4"/>
      <c r="BC254" s="4"/>
      <c r="BD254" s="5"/>
      <c r="BE254" s="4"/>
      <c r="BF254" s="4"/>
      <c r="BG254" s="4"/>
      <c r="BH254" s="4"/>
      <c r="BI254" s="4"/>
      <c r="BJ254" s="4"/>
      <c r="BK254" s="4"/>
      <c r="BL254" s="4"/>
      <c r="BM254" s="4"/>
      <c r="BN254" s="4"/>
      <c r="BO254" s="4"/>
      <c r="BP254" s="4"/>
      <c r="BQ254" s="4"/>
      <c r="BR254" s="4"/>
      <c r="BS254" s="4"/>
    </row>
    <row r="255" spans="1:7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4"/>
      <c r="AI255" s="4"/>
      <c r="AJ255" s="4"/>
      <c r="AK255" s="4"/>
      <c r="AL255" s="4"/>
      <c r="AM255" s="4"/>
      <c r="AN255" s="4"/>
      <c r="AO255" s="4"/>
      <c r="AP255" s="4"/>
      <c r="AQ255" s="4"/>
      <c r="AR255" s="4"/>
      <c r="AS255" s="4"/>
      <c r="AT255" s="4"/>
      <c r="AU255" s="4"/>
      <c r="AV255" s="4"/>
      <c r="AW255" s="4"/>
      <c r="AX255" s="4"/>
      <c r="AY255" s="4"/>
      <c r="AZ255" s="4"/>
      <c r="BA255" s="4"/>
      <c r="BB255" s="4"/>
      <c r="BC255" s="4"/>
      <c r="BD255" s="5"/>
      <c r="BE255" s="4"/>
      <c r="BF255" s="4"/>
      <c r="BG255" s="4"/>
      <c r="BH255" s="4"/>
      <c r="BI255" s="4"/>
      <c r="BJ255" s="4"/>
      <c r="BK255" s="4"/>
      <c r="BL255" s="4"/>
      <c r="BM255" s="4"/>
      <c r="BN255" s="4"/>
      <c r="BO255" s="4"/>
      <c r="BP255" s="4"/>
      <c r="BQ255" s="4"/>
      <c r="BR255" s="4"/>
      <c r="BS255" s="4"/>
    </row>
    <row r="256" spans="1:7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c r="AG256" s="3"/>
      <c r="AH256" s="4"/>
      <c r="AI256" s="4"/>
      <c r="AJ256" s="4"/>
      <c r="AK256" s="4"/>
      <c r="AL256" s="4"/>
      <c r="AM256" s="4"/>
      <c r="AN256" s="4"/>
      <c r="AO256" s="4"/>
      <c r="AP256" s="4"/>
      <c r="AQ256" s="4"/>
      <c r="AR256" s="4"/>
      <c r="AS256" s="4"/>
      <c r="AT256" s="4"/>
      <c r="AU256" s="4"/>
      <c r="AV256" s="4"/>
      <c r="AW256" s="4"/>
      <c r="AX256" s="4"/>
      <c r="AY256" s="4"/>
      <c r="AZ256" s="4"/>
      <c r="BA256" s="4"/>
      <c r="BB256" s="4"/>
      <c r="BC256" s="4"/>
      <c r="BD256" s="5"/>
      <c r="BE256" s="4"/>
      <c r="BF256" s="4"/>
      <c r="BG256" s="4"/>
      <c r="BH256" s="4"/>
      <c r="BI256" s="4"/>
      <c r="BJ256" s="4"/>
      <c r="BK256" s="4"/>
      <c r="BL256" s="4"/>
      <c r="BM256" s="4"/>
      <c r="BN256" s="4"/>
      <c r="BO256" s="4"/>
      <c r="BP256" s="4"/>
      <c r="BQ256" s="4"/>
      <c r="BR256" s="4"/>
      <c r="BS256" s="4"/>
    </row>
    <row r="257" spans="1:7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c r="AH257" s="4"/>
      <c r="AI257" s="4"/>
      <c r="AJ257" s="4"/>
      <c r="AK257" s="4"/>
      <c r="AL257" s="4"/>
      <c r="AM257" s="4"/>
      <c r="AN257" s="4"/>
      <c r="AO257" s="4"/>
      <c r="AP257" s="4"/>
      <c r="AQ257" s="4"/>
      <c r="AR257" s="4"/>
      <c r="AS257" s="4"/>
      <c r="AT257" s="4"/>
      <c r="AU257" s="4"/>
      <c r="AV257" s="4"/>
      <c r="AW257" s="4"/>
      <c r="AX257" s="4"/>
      <c r="AY257" s="4"/>
      <c r="AZ257" s="4"/>
      <c r="BA257" s="4"/>
      <c r="BB257" s="4"/>
      <c r="BC257" s="4"/>
      <c r="BD257" s="5"/>
      <c r="BE257" s="4"/>
      <c r="BF257" s="4"/>
      <c r="BG257" s="4"/>
      <c r="BH257" s="4"/>
      <c r="BI257" s="4"/>
      <c r="BJ257" s="4"/>
      <c r="BK257" s="4"/>
      <c r="BL257" s="4"/>
      <c r="BM257" s="4"/>
      <c r="BN257" s="4"/>
      <c r="BO257" s="4"/>
      <c r="BP257" s="4"/>
      <c r="BQ257" s="4"/>
      <c r="BR257" s="4"/>
      <c r="BS257" s="4"/>
    </row>
    <row r="258" spans="1:7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4"/>
      <c r="AI258" s="4"/>
      <c r="AJ258" s="4"/>
      <c r="AK258" s="4"/>
      <c r="AL258" s="4"/>
      <c r="AM258" s="4"/>
      <c r="AN258" s="4"/>
      <c r="AO258" s="4"/>
      <c r="AP258" s="4"/>
      <c r="AQ258" s="4"/>
      <c r="AR258" s="4"/>
      <c r="AS258" s="4"/>
      <c r="AT258" s="4"/>
      <c r="AU258" s="4"/>
      <c r="AV258" s="4"/>
      <c r="AW258" s="4"/>
      <c r="AX258" s="4"/>
      <c r="AY258" s="4"/>
      <c r="AZ258" s="4"/>
      <c r="BA258" s="4"/>
      <c r="BB258" s="4"/>
      <c r="BC258" s="4"/>
      <c r="BD258" s="5"/>
      <c r="BE258" s="4"/>
      <c r="BF258" s="4"/>
      <c r="BG258" s="4"/>
      <c r="BH258" s="4"/>
      <c r="BI258" s="4"/>
      <c r="BJ258" s="4"/>
      <c r="BK258" s="4"/>
      <c r="BL258" s="4"/>
      <c r="BM258" s="4"/>
      <c r="BN258" s="4"/>
      <c r="BO258" s="4"/>
      <c r="BP258" s="4"/>
      <c r="BQ258" s="4"/>
      <c r="BR258" s="4"/>
      <c r="BS258" s="4"/>
    </row>
    <row r="259" spans="1:7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4"/>
      <c r="AI259" s="4"/>
      <c r="AJ259" s="4"/>
      <c r="AK259" s="4"/>
      <c r="AL259" s="4"/>
      <c r="AM259" s="4"/>
      <c r="AN259" s="4"/>
      <c r="AO259" s="4"/>
      <c r="AP259" s="4"/>
      <c r="AQ259" s="4"/>
      <c r="AR259" s="4"/>
      <c r="AS259" s="4"/>
      <c r="AT259" s="4"/>
      <c r="AU259" s="4"/>
      <c r="AV259" s="4"/>
      <c r="AW259" s="4"/>
      <c r="AX259" s="4"/>
      <c r="AY259" s="4"/>
      <c r="AZ259" s="4"/>
      <c r="BA259" s="4"/>
      <c r="BB259" s="4"/>
      <c r="BC259" s="4"/>
      <c r="BD259" s="5"/>
      <c r="BE259" s="4"/>
      <c r="BF259" s="4"/>
      <c r="BG259" s="4"/>
      <c r="BH259" s="4"/>
      <c r="BI259" s="4"/>
      <c r="BJ259" s="4"/>
      <c r="BK259" s="4"/>
      <c r="BL259" s="4"/>
      <c r="BM259" s="4"/>
      <c r="BN259" s="4"/>
      <c r="BO259" s="4"/>
      <c r="BP259" s="4"/>
      <c r="BQ259" s="4"/>
      <c r="BR259" s="4"/>
      <c r="BS259" s="4"/>
    </row>
    <row r="260" spans="1:7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c r="AH260" s="4"/>
      <c r="AI260" s="4"/>
      <c r="AJ260" s="4"/>
      <c r="AK260" s="4"/>
      <c r="AL260" s="4"/>
      <c r="AM260" s="4"/>
      <c r="AN260" s="4"/>
      <c r="AO260" s="4"/>
      <c r="AP260" s="4"/>
      <c r="AQ260" s="4"/>
      <c r="AR260" s="4"/>
      <c r="AS260" s="4"/>
      <c r="AT260" s="4"/>
      <c r="AU260" s="4"/>
      <c r="AV260" s="4"/>
      <c r="AW260" s="4"/>
      <c r="AX260" s="4"/>
      <c r="AY260" s="4"/>
      <c r="AZ260" s="4"/>
      <c r="BA260" s="4"/>
      <c r="BB260" s="4"/>
      <c r="BC260" s="4"/>
      <c r="BD260" s="5"/>
      <c r="BE260" s="4"/>
      <c r="BF260" s="4"/>
      <c r="BG260" s="4"/>
      <c r="BH260" s="4"/>
      <c r="BI260" s="4"/>
      <c r="BJ260" s="4"/>
      <c r="BK260" s="4"/>
      <c r="BL260" s="4"/>
      <c r="BM260" s="4"/>
      <c r="BN260" s="4"/>
      <c r="BO260" s="4"/>
      <c r="BP260" s="4"/>
      <c r="BQ260" s="4"/>
      <c r="BR260" s="4"/>
      <c r="BS260" s="4"/>
    </row>
    <row r="261" spans="1:7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4"/>
      <c r="AI261" s="4"/>
      <c r="AJ261" s="4"/>
      <c r="AK261" s="4"/>
      <c r="AL261" s="4"/>
      <c r="AM261" s="4"/>
      <c r="AN261" s="4"/>
      <c r="AO261" s="4"/>
      <c r="AP261" s="4"/>
      <c r="AQ261" s="4"/>
      <c r="AR261" s="4"/>
      <c r="AS261" s="4"/>
      <c r="AT261" s="4"/>
      <c r="AU261" s="4"/>
      <c r="AV261" s="4"/>
      <c r="AW261" s="4"/>
      <c r="AX261" s="4"/>
      <c r="AY261" s="4"/>
      <c r="AZ261" s="4"/>
      <c r="BA261" s="4"/>
      <c r="BB261" s="4"/>
      <c r="BC261" s="4"/>
      <c r="BD261" s="5"/>
      <c r="BE261" s="4"/>
      <c r="BF261" s="4"/>
      <c r="BG261" s="4"/>
      <c r="BH261" s="4"/>
      <c r="BI261" s="4"/>
      <c r="BJ261" s="4"/>
      <c r="BK261" s="4"/>
      <c r="BL261" s="4"/>
      <c r="BM261" s="4"/>
      <c r="BN261" s="4"/>
      <c r="BO261" s="4"/>
      <c r="BP261" s="4"/>
      <c r="BQ261" s="4"/>
      <c r="BR261" s="4"/>
      <c r="BS261" s="4"/>
    </row>
    <row r="262" spans="1:7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4"/>
      <c r="AI262" s="4"/>
      <c r="AJ262" s="4"/>
      <c r="AK262" s="4"/>
      <c r="AL262" s="4"/>
      <c r="AM262" s="4"/>
      <c r="AN262" s="4"/>
      <c r="AO262" s="4"/>
      <c r="AP262" s="4"/>
      <c r="AQ262" s="4"/>
      <c r="AR262" s="4"/>
      <c r="AS262" s="4"/>
      <c r="AT262" s="4"/>
      <c r="AU262" s="4"/>
      <c r="AV262" s="4"/>
      <c r="AW262" s="4"/>
      <c r="AX262" s="4"/>
      <c r="AY262" s="4"/>
      <c r="AZ262" s="4"/>
      <c r="BA262" s="4"/>
      <c r="BB262" s="4"/>
      <c r="BC262" s="4"/>
      <c r="BD262" s="5"/>
      <c r="BE262" s="4"/>
      <c r="BF262" s="4"/>
      <c r="BG262" s="4"/>
      <c r="BH262" s="4"/>
      <c r="BI262" s="4"/>
      <c r="BJ262" s="4"/>
      <c r="BK262" s="4"/>
      <c r="BL262" s="4"/>
      <c r="BM262" s="4"/>
      <c r="BN262" s="4"/>
      <c r="BO262" s="4"/>
      <c r="BP262" s="4"/>
      <c r="BQ262" s="4"/>
      <c r="BR262" s="4"/>
      <c r="BS262" s="4"/>
    </row>
    <row r="263" spans="1:7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c r="AG263" s="3"/>
      <c r="AH263" s="4"/>
      <c r="AI263" s="4"/>
      <c r="AJ263" s="4"/>
      <c r="AK263" s="4"/>
      <c r="AL263" s="4"/>
      <c r="AM263" s="4"/>
      <c r="AN263" s="4"/>
      <c r="AO263" s="4"/>
      <c r="AP263" s="4"/>
      <c r="AQ263" s="4"/>
      <c r="AR263" s="4"/>
      <c r="AS263" s="4"/>
      <c r="AT263" s="4"/>
      <c r="AU263" s="4"/>
      <c r="AV263" s="4"/>
      <c r="AW263" s="4"/>
      <c r="AX263" s="4"/>
      <c r="AY263" s="4"/>
      <c r="AZ263" s="4"/>
      <c r="BA263" s="4"/>
      <c r="BB263" s="4"/>
      <c r="BC263" s="4"/>
      <c r="BD263" s="5"/>
      <c r="BE263" s="4"/>
      <c r="BF263" s="4"/>
      <c r="BG263" s="4"/>
      <c r="BH263" s="4"/>
      <c r="BI263" s="4"/>
      <c r="BJ263" s="4"/>
      <c r="BK263" s="4"/>
      <c r="BL263" s="4"/>
      <c r="BM263" s="4"/>
      <c r="BN263" s="4"/>
      <c r="BO263" s="4"/>
      <c r="BP263" s="4"/>
      <c r="BQ263" s="4"/>
      <c r="BR263" s="4"/>
      <c r="BS263" s="4"/>
    </row>
    <row r="264" spans="1:7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3"/>
      <c r="AH264" s="4"/>
      <c r="AI264" s="4"/>
      <c r="AJ264" s="4"/>
      <c r="AK264" s="4"/>
      <c r="AL264" s="4"/>
      <c r="AM264" s="4"/>
      <c r="AN264" s="4"/>
      <c r="AO264" s="4"/>
      <c r="AP264" s="4"/>
      <c r="AQ264" s="4"/>
      <c r="AR264" s="4"/>
      <c r="AS264" s="4"/>
      <c r="AT264" s="4"/>
      <c r="AU264" s="4"/>
      <c r="AV264" s="4"/>
      <c r="AW264" s="4"/>
      <c r="AX264" s="4"/>
      <c r="AY264" s="4"/>
      <c r="AZ264" s="4"/>
      <c r="BA264" s="4"/>
      <c r="BB264" s="4"/>
      <c r="BC264" s="4"/>
      <c r="BD264" s="5"/>
      <c r="BE264" s="4"/>
      <c r="BF264" s="4"/>
      <c r="BG264" s="4"/>
      <c r="BH264" s="4"/>
      <c r="BI264" s="4"/>
      <c r="BJ264" s="4"/>
      <c r="BK264" s="4"/>
      <c r="BL264" s="4"/>
      <c r="BM264" s="4"/>
      <c r="BN264" s="4"/>
      <c r="BO264" s="4"/>
      <c r="BP264" s="4"/>
      <c r="BQ264" s="4"/>
      <c r="BR264" s="4"/>
      <c r="BS264" s="4"/>
    </row>
    <row r="265" spans="1:7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c r="AH265" s="4"/>
      <c r="AI265" s="4"/>
      <c r="AJ265" s="4"/>
      <c r="AK265" s="4"/>
      <c r="AL265" s="4"/>
      <c r="AM265" s="4"/>
      <c r="AN265" s="4"/>
      <c r="AO265" s="4"/>
      <c r="AP265" s="4"/>
      <c r="AQ265" s="4"/>
      <c r="AR265" s="4"/>
      <c r="AS265" s="4"/>
      <c r="AT265" s="4"/>
      <c r="AU265" s="4"/>
      <c r="AV265" s="4"/>
      <c r="AW265" s="4"/>
      <c r="AX265" s="4"/>
      <c r="AY265" s="4"/>
      <c r="AZ265" s="4"/>
      <c r="BA265" s="4"/>
      <c r="BB265" s="4"/>
      <c r="BC265" s="4"/>
      <c r="BD265" s="5"/>
      <c r="BE265" s="4"/>
      <c r="BF265" s="4"/>
      <c r="BG265" s="4"/>
      <c r="BH265" s="4"/>
      <c r="BI265" s="4"/>
      <c r="BJ265" s="4"/>
      <c r="BK265" s="4"/>
      <c r="BL265" s="4"/>
      <c r="BM265" s="4"/>
      <c r="BN265" s="4"/>
      <c r="BO265" s="4"/>
      <c r="BP265" s="4"/>
      <c r="BQ265" s="4"/>
      <c r="BR265" s="4"/>
      <c r="BS265" s="4"/>
    </row>
    <row r="266" spans="1:7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4"/>
      <c r="AI266" s="4"/>
      <c r="AJ266" s="4"/>
      <c r="AK266" s="4"/>
      <c r="AL266" s="4"/>
      <c r="AM266" s="4"/>
      <c r="AN266" s="4"/>
      <c r="AO266" s="4"/>
      <c r="AP266" s="4"/>
      <c r="AQ266" s="4"/>
      <c r="AR266" s="4"/>
      <c r="AS266" s="4"/>
      <c r="AT266" s="4"/>
      <c r="AU266" s="4"/>
      <c r="AV266" s="4"/>
      <c r="AW266" s="4"/>
      <c r="AX266" s="4"/>
      <c r="AY266" s="4"/>
      <c r="AZ266" s="4"/>
      <c r="BA266" s="4"/>
      <c r="BB266" s="4"/>
      <c r="BC266" s="4"/>
      <c r="BD266" s="5"/>
      <c r="BE266" s="4"/>
      <c r="BF266" s="4"/>
      <c r="BG266" s="4"/>
      <c r="BH266" s="4"/>
      <c r="BI266" s="4"/>
      <c r="BJ266" s="4"/>
      <c r="BK266" s="4"/>
      <c r="BL266" s="4"/>
      <c r="BM266" s="4"/>
      <c r="BN266" s="4"/>
      <c r="BO266" s="4"/>
      <c r="BP266" s="4"/>
      <c r="BQ266" s="4"/>
      <c r="BR266" s="4"/>
      <c r="BS266" s="4"/>
    </row>
    <row r="267" spans="1:7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c r="AH267" s="4"/>
      <c r="AI267" s="4"/>
      <c r="AJ267" s="4"/>
      <c r="AK267" s="4"/>
      <c r="AL267" s="4"/>
      <c r="AM267" s="4"/>
      <c r="AN267" s="4"/>
      <c r="AO267" s="4"/>
      <c r="AP267" s="4"/>
      <c r="AQ267" s="4"/>
      <c r="AR267" s="4"/>
      <c r="AS267" s="4"/>
      <c r="AT267" s="4"/>
      <c r="AU267" s="4"/>
      <c r="AV267" s="4"/>
      <c r="AW267" s="4"/>
      <c r="AX267" s="4"/>
      <c r="AY267" s="4"/>
      <c r="AZ267" s="4"/>
      <c r="BA267" s="4"/>
      <c r="BB267" s="4"/>
      <c r="BC267" s="4"/>
      <c r="BD267" s="5"/>
      <c r="BE267" s="4"/>
      <c r="BF267" s="4"/>
      <c r="BG267" s="4"/>
      <c r="BH267" s="4"/>
      <c r="BI267" s="4"/>
      <c r="BJ267" s="4"/>
      <c r="BK267" s="4"/>
      <c r="BL267" s="4"/>
      <c r="BM267" s="4"/>
      <c r="BN267" s="4"/>
      <c r="BO267" s="4"/>
      <c r="BP267" s="4"/>
      <c r="BQ267" s="4"/>
      <c r="BR267" s="4"/>
      <c r="BS267" s="4"/>
    </row>
    <row r="268" spans="1:7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3"/>
      <c r="AH268" s="4"/>
      <c r="AI268" s="4"/>
      <c r="AJ268" s="4"/>
      <c r="AK268" s="4"/>
      <c r="AL268" s="4"/>
      <c r="AM268" s="4"/>
      <c r="AN268" s="4"/>
      <c r="AO268" s="4"/>
      <c r="AP268" s="4"/>
      <c r="AQ268" s="4"/>
      <c r="AR268" s="4"/>
      <c r="AS268" s="4"/>
      <c r="AT268" s="4"/>
      <c r="AU268" s="4"/>
      <c r="AV268" s="4"/>
      <c r="AW268" s="4"/>
      <c r="AX268" s="4"/>
      <c r="AY268" s="4"/>
      <c r="AZ268" s="4"/>
      <c r="BA268" s="4"/>
      <c r="BB268" s="4"/>
      <c r="BC268" s="4"/>
      <c r="BD268" s="5"/>
      <c r="BE268" s="4"/>
      <c r="BF268" s="4"/>
      <c r="BG268" s="4"/>
      <c r="BH268" s="4"/>
      <c r="BI268" s="4"/>
      <c r="BJ268" s="4"/>
      <c r="BK268" s="4"/>
      <c r="BL268" s="4"/>
      <c r="BM268" s="4"/>
      <c r="BN268" s="4"/>
      <c r="BO268" s="4"/>
      <c r="BP268" s="4"/>
      <c r="BQ268" s="4"/>
      <c r="BR268" s="4"/>
      <c r="BS268" s="4"/>
    </row>
    <row r="269" spans="1:7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4"/>
      <c r="AI269" s="4"/>
      <c r="AJ269" s="4"/>
      <c r="AK269" s="4"/>
      <c r="AL269" s="4"/>
      <c r="AM269" s="4"/>
      <c r="AN269" s="4"/>
      <c r="AO269" s="4"/>
      <c r="AP269" s="4"/>
      <c r="AQ269" s="4"/>
      <c r="AR269" s="4"/>
      <c r="AS269" s="4"/>
      <c r="AT269" s="4"/>
      <c r="AU269" s="4"/>
      <c r="AV269" s="4"/>
      <c r="AW269" s="4"/>
      <c r="AX269" s="4"/>
      <c r="AY269" s="4"/>
      <c r="AZ269" s="4"/>
      <c r="BA269" s="4"/>
      <c r="BB269" s="4"/>
      <c r="BC269" s="4"/>
      <c r="BD269" s="5"/>
      <c r="BE269" s="4"/>
      <c r="BF269" s="4"/>
      <c r="BG269" s="4"/>
      <c r="BH269" s="4"/>
      <c r="BI269" s="4"/>
      <c r="BJ269" s="4"/>
      <c r="BK269" s="4"/>
      <c r="BL269" s="4"/>
      <c r="BM269" s="4"/>
      <c r="BN269" s="4"/>
      <c r="BO269" s="4"/>
      <c r="BP269" s="4"/>
      <c r="BQ269" s="4"/>
      <c r="BR269" s="4"/>
      <c r="BS269" s="4"/>
    </row>
    <row r="270" spans="1:7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4"/>
      <c r="AI270" s="4"/>
      <c r="AJ270" s="4"/>
      <c r="AK270" s="4"/>
      <c r="AL270" s="4"/>
      <c r="AM270" s="4"/>
      <c r="AN270" s="4"/>
      <c r="AO270" s="4"/>
      <c r="AP270" s="4"/>
      <c r="AQ270" s="4"/>
      <c r="AR270" s="4"/>
      <c r="AS270" s="4"/>
      <c r="AT270" s="4"/>
      <c r="AU270" s="4"/>
      <c r="AV270" s="4"/>
      <c r="AW270" s="4"/>
      <c r="AX270" s="4"/>
      <c r="AY270" s="4"/>
      <c r="AZ270" s="4"/>
      <c r="BA270" s="4"/>
      <c r="BB270" s="4"/>
      <c r="BC270" s="4"/>
      <c r="BD270" s="5"/>
      <c r="BE270" s="4"/>
      <c r="BF270" s="4"/>
      <c r="BG270" s="4"/>
      <c r="BH270" s="4"/>
      <c r="BI270" s="4"/>
      <c r="BJ270" s="4"/>
      <c r="BK270" s="4"/>
      <c r="BL270" s="4"/>
      <c r="BM270" s="4"/>
      <c r="BN270" s="4"/>
      <c r="BO270" s="4"/>
      <c r="BP270" s="4"/>
      <c r="BQ270" s="4"/>
      <c r="BR270" s="4"/>
      <c r="BS270" s="4"/>
    </row>
    <row r="271" spans="1: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c r="AG271" s="3"/>
      <c r="AH271" s="4"/>
      <c r="AI271" s="4"/>
      <c r="AJ271" s="4"/>
      <c r="AK271" s="4"/>
      <c r="AL271" s="4"/>
      <c r="AM271" s="4"/>
      <c r="AN271" s="4"/>
      <c r="AO271" s="4"/>
      <c r="AP271" s="4"/>
      <c r="AQ271" s="4"/>
      <c r="AR271" s="4"/>
      <c r="AS271" s="4"/>
      <c r="AT271" s="4"/>
      <c r="AU271" s="4"/>
      <c r="AV271" s="4"/>
      <c r="AW271" s="4"/>
      <c r="AX271" s="4"/>
      <c r="AY271" s="4"/>
      <c r="AZ271" s="4"/>
      <c r="BA271" s="4"/>
      <c r="BB271" s="4"/>
      <c r="BC271" s="4"/>
      <c r="BD271" s="5"/>
      <c r="BE271" s="4"/>
      <c r="BF271" s="4"/>
      <c r="BG271" s="4"/>
      <c r="BH271" s="4"/>
      <c r="BI271" s="4"/>
      <c r="BJ271" s="4"/>
      <c r="BK271" s="4"/>
      <c r="BL271" s="4"/>
      <c r="BM271" s="4"/>
      <c r="BN271" s="4"/>
      <c r="BO271" s="4"/>
      <c r="BP271" s="4"/>
      <c r="BQ271" s="4"/>
      <c r="BR271" s="4"/>
      <c r="BS271" s="4"/>
    </row>
    <row r="272" spans="1:7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c r="AG272" s="3"/>
      <c r="AH272" s="4"/>
      <c r="AI272" s="4"/>
      <c r="AJ272" s="4"/>
      <c r="AK272" s="4"/>
      <c r="AL272" s="4"/>
      <c r="AM272" s="4"/>
      <c r="AN272" s="4"/>
      <c r="AO272" s="4"/>
      <c r="AP272" s="4"/>
      <c r="AQ272" s="4"/>
      <c r="AR272" s="4"/>
      <c r="AS272" s="4"/>
      <c r="AT272" s="4"/>
      <c r="AU272" s="4"/>
      <c r="AV272" s="4"/>
      <c r="AW272" s="4"/>
      <c r="AX272" s="4"/>
      <c r="AY272" s="4"/>
      <c r="AZ272" s="4"/>
      <c r="BA272" s="4"/>
      <c r="BB272" s="4"/>
      <c r="BC272" s="4"/>
      <c r="BD272" s="5"/>
      <c r="BE272" s="4"/>
      <c r="BF272" s="4"/>
      <c r="BG272" s="4"/>
      <c r="BH272" s="4"/>
      <c r="BI272" s="4"/>
      <c r="BJ272" s="4"/>
      <c r="BK272" s="4"/>
      <c r="BL272" s="4"/>
      <c r="BM272" s="4"/>
      <c r="BN272" s="4"/>
      <c r="BO272" s="4"/>
      <c r="BP272" s="4"/>
      <c r="BQ272" s="4"/>
      <c r="BR272" s="4"/>
      <c r="BS272" s="4"/>
    </row>
    <row r="273" spans="1:7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c r="AG273" s="3"/>
      <c r="AH273" s="4"/>
      <c r="AI273" s="4"/>
      <c r="AJ273" s="4"/>
      <c r="AK273" s="4"/>
      <c r="AL273" s="4"/>
      <c r="AM273" s="4"/>
      <c r="AN273" s="4"/>
      <c r="AO273" s="4"/>
      <c r="AP273" s="4"/>
      <c r="AQ273" s="4"/>
      <c r="AR273" s="4"/>
      <c r="AS273" s="4"/>
      <c r="AT273" s="4"/>
      <c r="AU273" s="4"/>
      <c r="AV273" s="4"/>
      <c r="AW273" s="4"/>
      <c r="AX273" s="4"/>
      <c r="AY273" s="4"/>
      <c r="AZ273" s="4"/>
      <c r="BA273" s="4"/>
      <c r="BB273" s="4"/>
      <c r="BC273" s="4"/>
      <c r="BD273" s="5"/>
      <c r="BE273" s="4"/>
      <c r="BF273" s="4"/>
      <c r="BG273" s="4"/>
      <c r="BH273" s="4"/>
      <c r="BI273" s="4"/>
      <c r="BJ273" s="4"/>
      <c r="BK273" s="4"/>
      <c r="BL273" s="4"/>
      <c r="BM273" s="4"/>
      <c r="BN273" s="4"/>
      <c r="BO273" s="4"/>
      <c r="BP273" s="4"/>
      <c r="BQ273" s="4"/>
      <c r="BR273" s="4"/>
      <c r="BS273" s="4"/>
    </row>
    <row r="274" spans="1:7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c r="AG274" s="3"/>
      <c r="AH274" s="4"/>
      <c r="AI274" s="4"/>
      <c r="AJ274" s="4"/>
      <c r="AK274" s="4"/>
      <c r="AL274" s="4"/>
      <c r="AM274" s="4"/>
      <c r="AN274" s="4"/>
      <c r="AO274" s="4"/>
      <c r="AP274" s="4"/>
      <c r="AQ274" s="4"/>
      <c r="AR274" s="4"/>
      <c r="AS274" s="4"/>
      <c r="AT274" s="4"/>
      <c r="AU274" s="4"/>
      <c r="AV274" s="4"/>
      <c r="AW274" s="4"/>
      <c r="AX274" s="4"/>
      <c r="AY274" s="4"/>
      <c r="AZ274" s="4"/>
      <c r="BA274" s="4"/>
      <c r="BB274" s="4"/>
      <c r="BC274" s="4"/>
      <c r="BD274" s="5"/>
      <c r="BE274" s="4"/>
      <c r="BF274" s="4"/>
      <c r="BG274" s="4"/>
      <c r="BH274" s="4"/>
      <c r="BI274" s="4"/>
      <c r="BJ274" s="4"/>
      <c r="BK274" s="4"/>
      <c r="BL274" s="4"/>
      <c r="BM274" s="4"/>
      <c r="BN274" s="4"/>
      <c r="BO274" s="4"/>
      <c r="BP274" s="4"/>
      <c r="BQ274" s="4"/>
      <c r="BR274" s="4"/>
      <c r="BS274" s="4"/>
    </row>
    <row r="275" spans="1:7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3"/>
      <c r="AH275" s="4"/>
      <c r="AI275" s="4"/>
      <c r="AJ275" s="4"/>
      <c r="AK275" s="4"/>
      <c r="AL275" s="4"/>
      <c r="AM275" s="4"/>
      <c r="AN275" s="4"/>
      <c r="AO275" s="4"/>
      <c r="AP275" s="4"/>
      <c r="AQ275" s="4"/>
      <c r="AR275" s="4"/>
      <c r="AS275" s="4"/>
      <c r="AT275" s="4"/>
      <c r="AU275" s="4"/>
      <c r="AV275" s="4"/>
      <c r="AW275" s="4"/>
      <c r="AX275" s="4"/>
      <c r="AY275" s="4"/>
      <c r="AZ275" s="4"/>
      <c r="BA275" s="4"/>
      <c r="BB275" s="4"/>
      <c r="BC275" s="4"/>
      <c r="BD275" s="5"/>
      <c r="BE275" s="4"/>
      <c r="BF275" s="4"/>
      <c r="BG275" s="4"/>
      <c r="BH275" s="4"/>
      <c r="BI275" s="4"/>
      <c r="BJ275" s="4"/>
      <c r="BK275" s="4"/>
      <c r="BL275" s="4"/>
      <c r="BM275" s="4"/>
      <c r="BN275" s="4"/>
      <c r="BO275" s="4"/>
      <c r="BP275" s="4"/>
      <c r="BQ275" s="4"/>
      <c r="BR275" s="4"/>
      <c r="BS275" s="4"/>
    </row>
    <row r="276" spans="1:7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c r="AG276" s="3"/>
      <c r="AH276" s="4"/>
      <c r="AI276" s="4"/>
      <c r="AJ276" s="4"/>
      <c r="AK276" s="4"/>
      <c r="AL276" s="4"/>
      <c r="AM276" s="4"/>
      <c r="AN276" s="4"/>
      <c r="AO276" s="4"/>
      <c r="AP276" s="4"/>
      <c r="AQ276" s="4"/>
      <c r="AR276" s="4"/>
      <c r="AS276" s="4"/>
      <c r="AT276" s="4"/>
      <c r="AU276" s="4"/>
      <c r="AV276" s="4"/>
      <c r="AW276" s="4"/>
      <c r="AX276" s="4"/>
      <c r="AY276" s="4"/>
      <c r="AZ276" s="4"/>
      <c r="BA276" s="4"/>
      <c r="BB276" s="4"/>
      <c r="BC276" s="4"/>
      <c r="BD276" s="5"/>
      <c r="BE276" s="4"/>
      <c r="BF276" s="4"/>
      <c r="BG276" s="4"/>
      <c r="BH276" s="4"/>
      <c r="BI276" s="4"/>
      <c r="BJ276" s="4"/>
      <c r="BK276" s="4"/>
      <c r="BL276" s="4"/>
      <c r="BM276" s="4"/>
      <c r="BN276" s="4"/>
      <c r="BO276" s="4"/>
      <c r="BP276" s="4"/>
      <c r="BQ276" s="4"/>
      <c r="BR276" s="4"/>
      <c r="BS276" s="4"/>
    </row>
    <row r="277" spans="1:7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c r="AG277" s="3"/>
      <c r="AH277" s="4"/>
      <c r="AI277" s="4"/>
      <c r="AJ277" s="4"/>
      <c r="AK277" s="4"/>
      <c r="AL277" s="4"/>
      <c r="AM277" s="4"/>
      <c r="AN277" s="4"/>
      <c r="AO277" s="4"/>
      <c r="AP277" s="4"/>
      <c r="AQ277" s="4"/>
      <c r="AR277" s="4"/>
      <c r="AS277" s="4"/>
      <c r="AT277" s="4"/>
      <c r="AU277" s="4"/>
      <c r="AV277" s="4"/>
      <c r="AW277" s="4"/>
      <c r="AX277" s="4"/>
      <c r="AY277" s="4"/>
      <c r="AZ277" s="4"/>
      <c r="BA277" s="4"/>
      <c r="BB277" s="4"/>
      <c r="BC277" s="4"/>
      <c r="BD277" s="5"/>
      <c r="BE277" s="4"/>
      <c r="BF277" s="4"/>
      <c r="BG277" s="4"/>
      <c r="BH277" s="4"/>
      <c r="BI277" s="4"/>
      <c r="BJ277" s="4"/>
      <c r="BK277" s="4"/>
      <c r="BL277" s="4"/>
      <c r="BM277" s="4"/>
      <c r="BN277" s="4"/>
      <c r="BO277" s="4"/>
      <c r="BP277" s="4"/>
      <c r="BQ277" s="4"/>
      <c r="BR277" s="4"/>
      <c r="BS277" s="4"/>
    </row>
    <row r="278" spans="1:7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4"/>
      <c r="AI278" s="4"/>
      <c r="AJ278" s="4"/>
      <c r="AK278" s="4"/>
      <c r="AL278" s="4"/>
      <c r="AM278" s="4"/>
      <c r="AN278" s="4"/>
      <c r="AO278" s="4"/>
      <c r="AP278" s="4"/>
      <c r="AQ278" s="4"/>
      <c r="AR278" s="4"/>
      <c r="AS278" s="4"/>
      <c r="AT278" s="4"/>
      <c r="AU278" s="4"/>
      <c r="AV278" s="4"/>
      <c r="AW278" s="4"/>
      <c r="AX278" s="4"/>
      <c r="AY278" s="4"/>
      <c r="AZ278" s="4"/>
      <c r="BA278" s="4"/>
      <c r="BB278" s="4"/>
      <c r="BC278" s="4"/>
      <c r="BD278" s="5"/>
      <c r="BE278" s="4"/>
      <c r="BF278" s="4"/>
      <c r="BG278" s="4"/>
      <c r="BH278" s="4"/>
      <c r="BI278" s="4"/>
      <c r="BJ278" s="4"/>
      <c r="BK278" s="4"/>
      <c r="BL278" s="4"/>
      <c r="BM278" s="4"/>
      <c r="BN278" s="4"/>
      <c r="BO278" s="4"/>
      <c r="BP278" s="4"/>
      <c r="BQ278" s="4"/>
      <c r="BR278" s="4"/>
      <c r="BS278" s="4"/>
    </row>
    <row r="279" spans="1:7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c r="AG279" s="3"/>
      <c r="AH279" s="4"/>
      <c r="AI279" s="4"/>
      <c r="AJ279" s="4"/>
      <c r="AK279" s="4"/>
      <c r="AL279" s="4"/>
      <c r="AM279" s="4"/>
      <c r="AN279" s="4"/>
      <c r="AO279" s="4"/>
      <c r="AP279" s="4"/>
      <c r="AQ279" s="4"/>
      <c r="AR279" s="4"/>
      <c r="AS279" s="4"/>
      <c r="AT279" s="4"/>
      <c r="AU279" s="4"/>
      <c r="AV279" s="4"/>
      <c r="AW279" s="4"/>
      <c r="AX279" s="4"/>
      <c r="AY279" s="4"/>
      <c r="AZ279" s="4"/>
      <c r="BA279" s="4"/>
      <c r="BB279" s="4"/>
      <c r="BC279" s="4"/>
      <c r="BD279" s="5"/>
      <c r="BE279" s="4"/>
      <c r="BF279" s="4"/>
      <c r="BG279" s="4"/>
      <c r="BH279" s="4"/>
      <c r="BI279" s="4"/>
      <c r="BJ279" s="4"/>
      <c r="BK279" s="4"/>
      <c r="BL279" s="4"/>
      <c r="BM279" s="4"/>
      <c r="BN279" s="4"/>
      <c r="BO279" s="4"/>
      <c r="BP279" s="4"/>
      <c r="BQ279" s="4"/>
      <c r="BR279" s="4"/>
      <c r="BS279" s="4"/>
    </row>
    <row r="280" spans="1:7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c r="AG280" s="3"/>
      <c r="AH280" s="4"/>
      <c r="AI280" s="4"/>
      <c r="AJ280" s="4"/>
      <c r="AK280" s="4"/>
      <c r="AL280" s="4"/>
      <c r="AM280" s="4"/>
      <c r="AN280" s="4"/>
      <c r="AO280" s="4"/>
      <c r="AP280" s="4"/>
      <c r="AQ280" s="4"/>
      <c r="AR280" s="4"/>
      <c r="AS280" s="4"/>
      <c r="AT280" s="4"/>
      <c r="AU280" s="4"/>
      <c r="AV280" s="4"/>
      <c r="AW280" s="4"/>
      <c r="AX280" s="4"/>
      <c r="AY280" s="4"/>
      <c r="AZ280" s="4"/>
      <c r="BA280" s="4"/>
      <c r="BB280" s="4"/>
      <c r="BC280" s="4"/>
      <c r="BD280" s="5"/>
      <c r="BE280" s="4"/>
      <c r="BF280" s="4"/>
      <c r="BG280" s="4"/>
      <c r="BH280" s="4"/>
      <c r="BI280" s="4"/>
      <c r="BJ280" s="4"/>
      <c r="BK280" s="4"/>
      <c r="BL280" s="4"/>
      <c r="BM280" s="4"/>
      <c r="BN280" s="4"/>
      <c r="BO280" s="4"/>
      <c r="BP280" s="4"/>
      <c r="BQ280" s="4"/>
      <c r="BR280" s="4"/>
      <c r="BS280" s="4"/>
    </row>
    <row r="281" spans="1:7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c r="AG281" s="3"/>
      <c r="AH281" s="4"/>
      <c r="AI281" s="4"/>
      <c r="AJ281" s="4"/>
      <c r="AK281" s="4"/>
      <c r="AL281" s="4"/>
      <c r="AM281" s="4"/>
      <c r="AN281" s="4"/>
      <c r="AO281" s="4"/>
      <c r="AP281" s="4"/>
      <c r="AQ281" s="4"/>
      <c r="AR281" s="4"/>
      <c r="AS281" s="4"/>
      <c r="AT281" s="4"/>
      <c r="AU281" s="4"/>
      <c r="AV281" s="4"/>
      <c r="AW281" s="4"/>
      <c r="AX281" s="4"/>
      <c r="AY281" s="4"/>
      <c r="AZ281" s="4"/>
      <c r="BA281" s="4"/>
      <c r="BB281" s="4"/>
      <c r="BC281" s="4"/>
      <c r="BD281" s="5"/>
      <c r="BE281" s="4"/>
      <c r="BF281" s="4"/>
      <c r="BG281" s="4"/>
      <c r="BH281" s="4"/>
      <c r="BI281" s="4"/>
      <c r="BJ281" s="4"/>
      <c r="BK281" s="4"/>
      <c r="BL281" s="4"/>
      <c r="BM281" s="4"/>
      <c r="BN281" s="4"/>
      <c r="BO281" s="4"/>
      <c r="BP281" s="4"/>
      <c r="BQ281" s="4"/>
      <c r="BR281" s="4"/>
      <c r="BS281" s="4"/>
    </row>
    <row r="282" spans="1:7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c r="AG282" s="3"/>
      <c r="AH282" s="4"/>
      <c r="AI282" s="4"/>
      <c r="AJ282" s="4"/>
      <c r="AK282" s="4"/>
      <c r="AL282" s="4"/>
      <c r="AM282" s="4"/>
      <c r="AN282" s="4"/>
      <c r="AO282" s="4"/>
      <c r="AP282" s="4"/>
      <c r="AQ282" s="4"/>
      <c r="AR282" s="4"/>
      <c r="AS282" s="4"/>
      <c r="AT282" s="4"/>
      <c r="AU282" s="4"/>
      <c r="AV282" s="4"/>
      <c r="AW282" s="4"/>
      <c r="AX282" s="4"/>
      <c r="AY282" s="4"/>
      <c r="AZ282" s="4"/>
      <c r="BA282" s="4"/>
      <c r="BB282" s="4"/>
      <c r="BC282" s="4"/>
      <c r="BD282" s="5"/>
      <c r="BE282" s="4"/>
      <c r="BF282" s="4"/>
      <c r="BG282" s="4"/>
      <c r="BH282" s="4"/>
      <c r="BI282" s="4"/>
      <c r="BJ282" s="4"/>
      <c r="BK282" s="4"/>
      <c r="BL282" s="4"/>
      <c r="BM282" s="4"/>
      <c r="BN282" s="4"/>
      <c r="BO282" s="4"/>
      <c r="BP282" s="4"/>
      <c r="BQ282" s="4"/>
      <c r="BR282" s="4"/>
      <c r="BS282" s="4"/>
    </row>
    <row r="283" spans="1:7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c r="AG283" s="3"/>
      <c r="AH283" s="4"/>
      <c r="AI283" s="4"/>
      <c r="AJ283" s="4"/>
      <c r="AK283" s="4"/>
      <c r="AL283" s="4"/>
      <c r="AM283" s="4"/>
      <c r="AN283" s="4"/>
      <c r="AO283" s="4"/>
      <c r="AP283" s="4"/>
      <c r="AQ283" s="4"/>
      <c r="AR283" s="4"/>
      <c r="AS283" s="4"/>
      <c r="AT283" s="4"/>
      <c r="AU283" s="4"/>
      <c r="AV283" s="4"/>
      <c r="AW283" s="4"/>
      <c r="AX283" s="4"/>
      <c r="AY283" s="4"/>
      <c r="AZ283" s="4"/>
      <c r="BA283" s="4"/>
      <c r="BB283" s="4"/>
      <c r="BC283" s="4"/>
      <c r="BD283" s="5"/>
      <c r="BE283" s="4"/>
      <c r="BF283" s="4"/>
      <c r="BG283" s="4"/>
      <c r="BH283" s="4"/>
      <c r="BI283" s="4"/>
      <c r="BJ283" s="4"/>
      <c r="BK283" s="4"/>
      <c r="BL283" s="4"/>
      <c r="BM283" s="4"/>
      <c r="BN283" s="4"/>
      <c r="BO283" s="4"/>
      <c r="BP283" s="4"/>
      <c r="BQ283" s="4"/>
      <c r="BR283" s="4"/>
      <c r="BS283" s="4"/>
    </row>
    <row r="284" spans="1:7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c r="AG284" s="3"/>
      <c r="AH284" s="4"/>
      <c r="AI284" s="4"/>
      <c r="AJ284" s="4"/>
      <c r="AK284" s="4"/>
      <c r="AL284" s="4"/>
      <c r="AM284" s="4"/>
      <c r="AN284" s="4"/>
      <c r="AO284" s="4"/>
      <c r="AP284" s="4"/>
      <c r="AQ284" s="4"/>
      <c r="AR284" s="4"/>
      <c r="AS284" s="4"/>
      <c r="AT284" s="4"/>
      <c r="AU284" s="4"/>
      <c r="AV284" s="4"/>
      <c r="AW284" s="4"/>
      <c r="AX284" s="4"/>
      <c r="AY284" s="4"/>
      <c r="AZ284" s="4"/>
      <c r="BA284" s="4"/>
      <c r="BB284" s="4"/>
      <c r="BC284" s="4"/>
      <c r="BD284" s="5"/>
      <c r="BE284" s="4"/>
      <c r="BF284" s="4"/>
      <c r="BG284" s="4"/>
      <c r="BH284" s="4"/>
      <c r="BI284" s="4"/>
      <c r="BJ284" s="4"/>
      <c r="BK284" s="4"/>
      <c r="BL284" s="4"/>
      <c r="BM284" s="4"/>
      <c r="BN284" s="4"/>
      <c r="BO284" s="4"/>
      <c r="BP284" s="4"/>
      <c r="BQ284" s="4"/>
      <c r="BR284" s="4"/>
      <c r="BS284" s="4"/>
    </row>
    <row r="285" spans="1:7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c r="AG285" s="3"/>
      <c r="AH285" s="4"/>
      <c r="AI285" s="4"/>
      <c r="AJ285" s="4"/>
      <c r="AK285" s="4"/>
      <c r="AL285" s="4"/>
      <c r="AM285" s="4"/>
      <c r="AN285" s="4"/>
      <c r="AO285" s="4"/>
      <c r="AP285" s="4"/>
      <c r="AQ285" s="4"/>
      <c r="AR285" s="4"/>
      <c r="AS285" s="4"/>
      <c r="AT285" s="4"/>
      <c r="AU285" s="4"/>
      <c r="AV285" s="4"/>
      <c r="AW285" s="4"/>
      <c r="AX285" s="4"/>
      <c r="AY285" s="4"/>
      <c r="AZ285" s="4"/>
      <c r="BA285" s="4"/>
      <c r="BB285" s="4"/>
      <c r="BC285" s="4"/>
      <c r="BD285" s="5"/>
      <c r="BE285" s="4"/>
      <c r="BF285" s="4"/>
      <c r="BG285" s="4"/>
      <c r="BH285" s="4"/>
      <c r="BI285" s="4"/>
      <c r="BJ285" s="4"/>
      <c r="BK285" s="4"/>
      <c r="BL285" s="4"/>
      <c r="BM285" s="4"/>
      <c r="BN285" s="4"/>
      <c r="BO285" s="4"/>
      <c r="BP285" s="4"/>
      <c r="BQ285" s="4"/>
      <c r="BR285" s="4"/>
      <c r="BS285" s="4"/>
    </row>
    <row r="286" spans="1:7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c r="AG286" s="3"/>
      <c r="AH286" s="4"/>
      <c r="AI286" s="4"/>
      <c r="AJ286" s="4"/>
      <c r="AK286" s="4"/>
      <c r="AL286" s="4"/>
      <c r="AM286" s="4"/>
      <c r="AN286" s="4"/>
      <c r="AO286" s="4"/>
      <c r="AP286" s="4"/>
      <c r="AQ286" s="4"/>
      <c r="AR286" s="4"/>
      <c r="AS286" s="4"/>
      <c r="AT286" s="4"/>
      <c r="AU286" s="4"/>
      <c r="AV286" s="4"/>
      <c r="AW286" s="4"/>
      <c r="AX286" s="4"/>
      <c r="AY286" s="4"/>
      <c r="AZ286" s="4"/>
      <c r="BA286" s="4"/>
      <c r="BB286" s="4"/>
      <c r="BC286" s="4"/>
      <c r="BD286" s="5"/>
      <c r="BE286" s="4"/>
      <c r="BF286" s="4"/>
      <c r="BG286" s="4"/>
      <c r="BH286" s="4"/>
      <c r="BI286" s="4"/>
      <c r="BJ286" s="4"/>
      <c r="BK286" s="4"/>
      <c r="BL286" s="4"/>
      <c r="BM286" s="4"/>
      <c r="BN286" s="4"/>
      <c r="BO286" s="4"/>
      <c r="BP286" s="4"/>
      <c r="BQ286" s="4"/>
      <c r="BR286" s="4"/>
      <c r="BS286" s="4"/>
    </row>
    <row r="287" spans="1:7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c r="AG287" s="3"/>
      <c r="AH287" s="4"/>
      <c r="AI287" s="4"/>
      <c r="AJ287" s="4"/>
      <c r="AK287" s="4"/>
      <c r="AL287" s="4"/>
      <c r="AM287" s="4"/>
      <c r="AN287" s="4"/>
      <c r="AO287" s="4"/>
      <c r="AP287" s="4"/>
      <c r="AQ287" s="4"/>
      <c r="AR287" s="4"/>
      <c r="AS287" s="4"/>
      <c r="AT287" s="4"/>
      <c r="AU287" s="4"/>
      <c r="AV287" s="4"/>
      <c r="AW287" s="4"/>
      <c r="AX287" s="4"/>
      <c r="AY287" s="4"/>
      <c r="AZ287" s="4"/>
      <c r="BA287" s="4"/>
      <c r="BB287" s="4"/>
      <c r="BC287" s="4"/>
      <c r="BD287" s="5"/>
      <c r="BE287" s="4"/>
      <c r="BF287" s="4"/>
      <c r="BG287" s="4"/>
      <c r="BH287" s="4"/>
      <c r="BI287" s="4"/>
      <c r="BJ287" s="4"/>
      <c r="BK287" s="4"/>
      <c r="BL287" s="4"/>
      <c r="BM287" s="4"/>
      <c r="BN287" s="4"/>
      <c r="BO287" s="4"/>
      <c r="BP287" s="4"/>
      <c r="BQ287" s="4"/>
      <c r="BR287" s="4"/>
      <c r="BS287" s="4"/>
    </row>
    <row r="288" spans="1:7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c r="AG288" s="3"/>
      <c r="AH288" s="4"/>
      <c r="AI288" s="4"/>
      <c r="AJ288" s="4"/>
      <c r="AK288" s="4"/>
      <c r="AL288" s="4"/>
      <c r="AM288" s="4"/>
      <c r="AN288" s="4"/>
      <c r="AO288" s="4"/>
      <c r="AP288" s="4"/>
      <c r="AQ288" s="4"/>
      <c r="AR288" s="4"/>
      <c r="AS288" s="4"/>
      <c r="AT288" s="4"/>
      <c r="AU288" s="4"/>
      <c r="AV288" s="4"/>
      <c r="AW288" s="4"/>
      <c r="AX288" s="4"/>
      <c r="AY288" s="4"/>
      <c r="AZ288" s="4"/>
      <c r="BA288" s="4"/>
      <c r="BB288" s="4"/>
      <c r="BC288" s="4"/>
      <c r="BD288" s="5"/>
      <c r="BE288" s="4"/>
      <c r="BF288" s="4"/>
      <c r="BG288" s="4"/>
      <c r="BH288" s="4"/>
      <c r="BI288" s="4"/>
      <c r="BJ288" s="4"/>
      <c r="BK288" s="4"/>
      <c r="BL288" s="4"/>
      <c r="BM288" s="4"/>
      <c r="BN288" s="4"/>
      <c r="BO288" s="4"/>
      <c r="BP288" s="4"/>
      <c r="BQ288" s="4"/>
      <c r="BR288" s="4"/>
      <c r="BS288" s="4"/>
    </row>
    <row r="289" spans="1:7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c r="AG289" s="3"/>
      <c r="AH289" s="4"/>
      <c r="AI289" s="4"/>
      <c r="AJ289" s="4"/>
      <c r="AK289" s="4"/>
      <c r="AL289" s="4"/>
      <c r="AM289" s="4"/>
      <c r="AN289" s="4"/>
      <c r="AO289" s="4"/>
      <c r="AP289" s="4"/>
      <c r="AQ289" s="4"/>
      <c r="AR289" s="4"/>
      <c r="AS289" s="4"/>
      <c r="AT289" s="4"/>
      <c r="AU289" s="4"/>
      <c r="AV289" s="4"/>
      <c r="AW289" s="4"/>
      <c r="AX289" s="4"/>
      <c r="AY289" s="4"/>
      <c r="AZ289" s="4"/>
      <c r="BA289" s="4"/>
      <c r="BB289" s="4"/>
      <c r="BC289" s="4"/>
      <c r="BD289" s="5"/>
      <c r="BE289" s="4"/>
      <c r="BF289" s="4"/>
      <c r="BG289" s="4"/>
      <c r="BH289" s="4"/>
      <c r="BI289" s="4"/>
      <c r="BJ289" s="4"/>
      <c r="BK289" s="4"/>
      <c r="BL289" s="4"/>
      <c r="BM289" s="4"/>
      <c r="BN289" s="4"/>
      <c r="BO289" s="4"/>
      <c r="BP289" s="4"/>
      <c r="BQ289" s="4"/>
      <c r="BR289" s="4"/>
      <c r="BS289" s="4"/>
    </row>
    <row r="290" spans="1:7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c r="AG290" s="3"/>
      <c r="AH290" s="4"/>
      <c r="AI290" s="4"/>
      <c r="AJ290" s="4"/>
      <c r="AK290" s="4"/>
      <c r="AL290" s="4"/>
      <c r="AM290" s="4"/>
      <c r="AN290" s="4"/>
      <c r="AO290" s="4"/>
      <c r="AP290" s="4"/>
      <c r="AQ290" s="4"/>
      <c r="AR290" s="4"/>
      <c r="AS290" s="4"/>
      <c r="AT290" s="4"/>
      <c r="AU290" s="4"/>
      <c r="AV290" s="4"/>
      <c r="AW290" s="4"/>
      <c r="AX290" s="4"/>
      <c r="AY290" s="4"/>
      <c r="AZ290" s="4"/>
      <c r="BA290" s="4"/>
      <c r="BB290" s="4"/>
      <c r="BC290" s="4"/>
      <c r="BD290" s="5"/>
      <c r="BE290" s="4"/>
      <c r="BF290" s="4"/>
      <c r="BG290" s="4"/>
      <c r="BH290" s="4"/>
      <c r="BI290" s="4"/>
      <c r="BJ290" s="4"/>
      <c r="BK290" s="4"/>
      <c r="BL290" s="4"/>
      <c r="BM290" s="4"/>
      <c r="BN290" s="4"/>
      <c r="BO290" s="4"/>
      <c r="BP290" s="4"/>
      <c r="BQ290" s="4"/>
      <c r="BR290" s="4"/>
      <c r="BS290" s="4"/>
    </row>
    <row r="291" spans="1:7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c r="AG291" s="3"/>
      <c r="AH291" s="4"/>
      <c r="AI291" s="4"/>
      <c r="AJ291" s="4"/>
      <c r="AK291" s="4"/>
      <c r="AL291" s="4"/>
      <c r="AM291" s="4"/>
      <c r="AN291" s="4"/>
      <c r="AO291" s="4"/>
      <c r="AP291" s="4"/>
      <c r="AQ291" s="4"/>
      <c r="AR291" s="4"/>
      <c r="AS291" s="4"/>
      <c r="AT291" s="4"/>
      <c r="AU291" s="4"/>
      <c r="AV291" s="4"/>
      <c r="AW291" s="4"/>
      <c r="AX291" s="4"/>
      <c r="AY291" s="4"/>
      <c r="AZ291" s="4"/>
      <c r="BA291" s="4"/>
      <c r="BB291" s="4"/>
      <c r="BC291" s="4"/>
      <c r="BD291" s="5"/>
      <c r="BE291" s="4"/>
      <c r="BF291" s="4"/>
      <c r="BG291" s="4"/>
      <c r="BH291" s="4"/>
      <c r="BI291" s="4"/>
      <c r="BJ291" s="4"/>
      <c r="BK291" s="4"/>
      <c r="BL291" s="4"/>
      <c r="BM291" s="4"/>
      <c r="BN291" s="4"/>
      <c r="BO291" s="4"/>
      <c r="BP291" s="4"/>
      <c r="BQ291" s="4"/>
      <c r="BR291" s="4"/>
      <c r="BS291" s="4"/>
    </row>
    <row r="292" spans="1:7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c r="AG292" s="3"/>
      <c r="AH292" s="4"/>
      <c r="AI292" s="4"/>
      <c r="AJ292" s="4"/>
      <c r="AK292" s="4"/>
      <c r="AL292" s="4"/>
      <c r="AM292" s="4"/>
      <c r="AN292" s="4"/>
      <c r="AO292" s="4"/>
      <c r="AP292" s="4"/>
      <c r="AQ292" s="4"/>
      <c r="AR292" s="4"/>
      <c r="AS292" s="4"/>
      <c r="AT292" s="4"/>
      <c r="AU292" s="4"/>
      <c r="AV292" s="4"/>
      <c r="AW292" s="4"/>
      <c r="AX292" s="4"/>
      <c r="AY292" s="4"/>
      <c r="AZ292" s="4"/>
      <c r="BA292" s="4"/>
      <c r="BB292" s="4"/>
      <c r="BC292" s="4"/>
      <c r="BD292" s="5"/>
      <c r="BE292" s="4"/>
      <c r="BF292" s="4"/>
      <c r="BG292" s="4"/>
      <c r="BH292" s="4"/>
      <c r="BI292" s="4"/>
      <c r="BJ292" s="4"/>
      <c r="BK292" s="4"/>
      <c r="BL292" s="4"/>
      <c r="BM292" s="4"/>
      <c r="BN292" s="4"/>
      <c r="BO292" s="4"/>
      <c r="BP292" s="4"/>
      <c r="BQ292" s="4"/>
      <c r="BR292" s="4"/>
      <c r="BS292" s="4"/>
    </row>
    <row r="293" spans="1:7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3"/>
      <c r="AH293" s="4"/>
      <c r="AI293" s="4"/>
      <c r="AJ293" s="4"/>
      <c r="AK293" s="4"/>
      <c r="AL293" s="4"/>
      <c r="AM293" s="4"/>
      <c r="AN293" s="4"/>
      <c r="AO293" s="4"/>
      <c r="AP293" s="4"/>
      <c r="AQ293" s="4"/>
      <c r="AR293" s="4"/>
      <c r="AS293" s="4"/>
      <c r="AT293" s="4"/>
      <c r="AU293" s="4"/>
      <c r="AV293" s="4"/>
      <c r="AW293" s="4"/>
      <c r="AX293" s="4"/>
      <c r="AY293" s="4"/>
      <c r="AZ293" s="4"/>
      <c r="BA293" s="4"/>
      <c r="BB293" s="4"/>
      <c r="BC293" s="4"/>
      <c r="BD293" s="5"/>
      <c r="BE293" s="4"/>
      <c r="BF293" s="4"/>
      <c r="BG293" s="4"/>
      <c r="BH293" s="4"/>
      <c r="BI293" s="4"/>
      <c r="BJ293" s="4"/>
      <c r="BK293" s="4"/>
      <c r="BL293" s="4"/>
      <c r="BM293" s="4"/>
      <c r="BN293" s="4"/>
      <c r="BO293" s="4"/>
      <c r="BP293" s="4"/>
      <c r="BQ293" s="4"/>
      <c r="BR293" s="4"/>
      <c r="BS293" s="4"/>
    </row>
    <row r="294" spans="1:7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c r="AG294" s="3"/>
      <c r="AH294" s="4"/>
      <c r="AI294" s="4"/>
      <c r="AJ294" s="4"/>
      <c r="AK294" s="4"/>
      <c r="AL294" s="4"/>
      <c r="AM294" s="4"/>
      <c r="AN294" s="4"/>
      <c r="AO294" s="4"/>
      <c r="AP294" s="4"/>
      <c r="AQ294" s="4"/>
      <c r="AR294" s="4"/>
      <c r="AS294" s="4"/>
      <c r="AT294" s="4"/>
      <c r="AU294" s="4"/>
      <c r="AV294" s="4"/>
      <c r="AW294" s="4"/>
      <c r="AX294" s="4"/>
      <c r="AY294" s="4"/>
      <c r="AZ294" s="4"/>
      <c r="BA294" s="4"/>
      <c r="BB294" s="4"/>
      <c r="BC294" s="4"/>
      <c r="BD294" s="5"/>
      <c r="BE294" s="4"/>
      <c r="BF294" s="4"/>
      <c r="BG294" s="4"/>
      <c r="BH294" s="4"/>
      <c r="BI294" s="4"/>
      <c r="BJ294" s="4"/>
      <c r="BK294" s="4"/>
      <c r="BL294" s="4"/>
      <c r="BM294" s="4"/>
      <c r="BN294" s="4"/>
      <c r="BO294" s="4"/>
      <c r="BP294" s="4"/>
      <c r="BQ294" s="4"/>
      <c r="BR294" s="4"/>
      <c r="BS294" s="4"/>
    </row>
    <row r="295" spans="1:7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c r="AG295" s="3"/>
      <c r="AH295" s="4"/>
      <c r="AI295" s="4"/>
      <c r="AJ295" s="4"/>
      <c r="AK295" s="4"/>
      <c r="AL295" s="4"/>
      <c r="AM295" s="4"/>
      <c r="AN295" s="4"/>
      <c r="AO295" s="4"/>
      <c r="AP295" s="4"/>
      <c r="AQ295" s="4"/>
      <c r="AR295" s="4"/>
      <c r="AS295" s="4"/>
      <c r="AT295" s="4"/>
      <c r="AU295" s="4"/>
      <c r="AV295" s="4"/>
      <c r="AW295" s="4"/>
      <c r="AX295" s="4"/>
      <c r="AY295" s="4"/>
      <c r="AZ295" s="4"/>
      <c r="BA295" s="4"/>
      <c r="BB295" s="4"/>
      <c r="BC295" s="4"/>
      <c r="BD295" s="5"/>
      <c r="BE295" s="4"/>
      <c r="BF295" s="4"/>
      <c r="BG295" s="4"/>
      <c r="BH295" s="4"/>
      <c r="BI295" s="4"/>
      <c r="BJ295" s="4"/>
      <c r="BK295" s="4"/>
      <c r="BL295" s="4"/>
      <c r="BM295" s="4"/>
      <c r="BN295" s="4"/>
      <c r="BO295" s="4"/>
      <c r="BP295" s="4"/>
      <c r="BQ295" s="4"/>
      <c r="BR295" s="4"/>
      <c r="BS295" s="4"/>
    </row>
    <row r="296" spans="1:7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c r="AG296" s="3"/>
      <c r="AH296" s="4"/>
      <c r="AI296" s="4"/>
      <c r="AJ296" s="4"/>
      <c r="AK296" s="4"/>
      <c r="AL296" s="4"/>
      <c r="AM296" s="4"/>
      <c r="AN296" s="4"/>
      <c r="AO296" s="4"/>
      <c r="AP296" s="4"/>
      <c r="AQ296" s="4"/>
      <c r="AR296" s="4"/>
      <c r="AS296" s="4"/>
      <c r="AT296" s="4"/>
      <c r="AU296" s="4"/>
      <c r="AV296" s="4"/>
      <c r="AW296" s="4"/>
      <c r="AX296" s="4"/>
      <c r="AY296" s="4"/>
      <c r="AZ296" s="4"/>
      <c r="BA296" s="4"/>
      <c r="BB296" s="4"/>
      <c r="BC296" s="4"/>
      <c r="BD296" s="5"/>
      <c r="BE296" s="4"/>
      <c r="BF296" s="4"/>
      <c r="BG296" s="4"/>
      <c r="BH296" s="4"/>
      <c r="BI296" s="4"/>
      <c r="BJ296" s="4"/>
      <c r="BK296" s="4"/>
      <c r="BL296" s="4"/>
      <c r="BM296" s="4"/>
      <c r="BN296" s="4"/>
      <c r="BO296" s="4"/>
      <c r="BP296" s="4"/>
      <c r="BQ296" s="4"/>
      <c r="BR296" s="4"/>
      <c r="BS296" s="4"/>
    </row>
    <row r="297" spans="1:7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c r="AG297" s="3"/>
      <c r="AH297" s="4"/>
      <c r="AI297" s="4"/>
      <c r="AJ297" s="4"/>
      <c r="AK297" s="4"/>
      <c r="AL297" s="4"/>
      <c r="AM297" s="4"/>
      <c r="AN297" s="4"/>
      <c r="AO297" s="4"/>
      <c r="AP297" s="4"/>
      <c r="AQ297" s="4"/>
      <c r="AR297" s="4"/>
      <c r="AS297" s="4"/>
      <c r="AT297" s="4"/>
      <c r="AU297" s="4"/>
      <c r="AV297" s="4"/>
      <c r="AW297" s="4"/>
      <c r="AX297" s="4"/>
      <c r="AY297" s="4"/>
      <c r="AZ297" s="4"/>
      <c r="BA297" s="4"/>
      <c r="BB297" s="4"/>
      <c r="BC297" s="4"/>
      <c r="BD297" s="5"/>
      <c r="BE297" s="4"/>
      <c r="BF297" s="4"/>
      <c r="BG297" s="4"/>
      <c r="BH297" s="4"/>
      <c r="BI297" s="4"/>
      <c r="BJ297" s="4"/>
      <c r="BK297" s="4"/>
      <c r="BL297" s="4"/>
      <c r="BM297" s="4"/>
      <c r="BN297" s="4"/>
      <c r="BO297" s="4"/>
      <c r="BP297" s="4"/>
      <c r="BQ297" s="4"/>
      <c r="BR297" s="4"/>
      <c r="BS297" s="4"/>
    </row>
    <row r="298" spans="1:7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c r="AG298" s="3"/>
      <c r="AH298" s="4"/>
      <c r="AI298" s="4"/>
      <c r="AJ298" s="4"/>
      <c r="AK298" s="4"/>
      <c r="AL298" s="4"/>
      <c r="AM298" s="4"/>
      <c r="AN298" s="4"/>
      <c r="AO298" s="4"/>
      <c r="AP298" s="4"/>
      <c r="AQ298" s="4"/>
      <c r="AR298" s="4"/>
      <c r="AS298" s="4"/>
      <c r="AT298" s="4"/>
      <c r="AU298" s="4"/>
      <c r="AV298" s="4"/>
      <c r="AW298" s="4"/>
      <c r="AX298" s="4"/>
      <c r="AY298" s="4"/>
      <c r="AZ298" s="4"/>
      <c r="BA298" s="4"/>
      <c r="BB298" s="4"/>
      <c r="BC298" s="4"/>
      <c r="BD298" s="5"/>
      <c r="BE298" s="4"/>
      <c r="BF298" s="4"/>
      <c r="BG298" s="4"/>
      <c r="BH298" s="4"/>
      <c r="BI298" s="4"/>
      <c r="BJ298" s="4"/>
      <c r="BK298" s="4"/>
      <c r="BL298" s="4"/>
      <c r="BM298" s="4"/>
      <c r="BN298" s="4"/>
      <c r="BO298" s="4"/>
      <c r="BP298" s="4"/>
      <c r="BQ298" s="4"/>
      <c r="BR298" s="4"/>
      <c r="BS298" s="4"/>
    </row>
    <row r="299" spans="1:7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c r="AG299" s="3"/>
      <c r="AH299" s="4"/>
      <c r="AI299" s="4"/>
      <c r="AJ299" s="4"/>
      <c r="AK299" s="4"/>
      <c r="AL299" s="4"/>
      <c r="AM299" s="4"/>
      <c r="AN299" s="4"/>
      <c r="AO299" s="4"/>
      <c r="AP299" s="4"/>
      <c r="AQ299" s="4"/>
      <c r="AR299" s="4"/>
      <c r="AS299" s="4"/>
      <c r="AT299" s="4"/>
      <c r="AU299" s="4"/>
      <c r="AV299" s="4"/>
      <c r="AW299" s="4"/>
      <c r="AX299" s="4"/>
      <c r="AY299" s="4"/>
      <c r="AZ299" s="4"/>
      <c r="BA299" s="4"/>
      <c r="BB299" s="4"/>
      <c r="BC299" s="4"/>
      <c r="BD299" s="5"/>
      <c r="BE299" s="4"/>
      <c r="BF299" s="4"/>
      <c r="BG299" s="4"/>
      <c r="BH299" s="4"/>
      <c r="BI299" s="4"/>
      <c r="BJ299" s="4"/>
      <c r="BK299" s="4"/>
      <c r="BL299" s="4"/>
      <c r="BM299" s="4"/>
      <c r="BN299" s="4"/>
      <c r="BO299" s="4"/>
      <c r="BP299" s="4"/>
      <c r="BQ299" s="4"/>
      <c r="BR299" s="4"/>
      <c r="BS299" s="4"/>
    </row>
    <row r="300" spans="1:7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c r="AG300" s="3"/>
      <c r="AH300" s="4"/>
      <c r="AI300" s="4"/>
      <c r="AJ300" s="4"/>
      <c r="AK300" s="4"/>
      <c r="AL300" s="4"/>
      <c r="AM300" s="4"/>
      <c r="AN300" s="4"/>
      <c r="AO300" s="4"/>
      <c r="AP300" s="4"/>
      <c r="AQ300" s="4"/>
      <c r="AR300" s="4"/>
      <c r="AS300" s="4"/>
      <c r="AT300" s="4"/>
      <c r="AU300" s="4"/>
      <c r="AV300" s="4"/>
      <c r="AW300" s="4"/>
      <c r="AX300" s="4"/>
      <c r="AY300" s="4"/>
      <c r="AZ300" s="4"/>
      <c r="BA300" s="4"/>
      <c r="BB300" s="4"/>
      <c r="BC300" s="4"/>
      <c r="BD300" s="5"/>
      <c r="BE300" s="4"/>
      <c r="BF300" s="4"/>
      <c r="BG300" s="4"/>
      <c r="BH300" s="4"/>
      <c r="BI300" s="4"/>
      <c r="BJ300" s="4"/>
      <c r="BK300" s="4"/>
      <c r="BL300" s="4"/>
      <c r="BM300" s="4"/>
      <c r="BN300" s="4"/>
      <c r="BO300" s="4"/>
      <c r="BP300" s="4"/>
      <c r="BQ300" s="4"/>
      <c r="BR300" s="4"/>
      <c r="BS300" s="4"/>
    </row>
    <row r="301" spans="1:7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c r="AG301" s="3"/>
      <c r="AH301" s="4"/>
      <c r="AI301" s="4"/>
      <c r="AJ301" s="4"/>
      <c r="AK301" s="4"/>
      <c r="AL301" s="4"/>
      <c r="AM301" s="4"/>
      <c r="AN301" s="4"/>
      <c r="AO301" s="4"/>
      <c r="AP301" s="4"/>
      <c r="AQ301" s="4"/>
      <c r="AR301" s="4"/>
      <c r="AS301" s="4"/>
      <c r="AT301" s="4"/>
      <c r="AU301" s="4"/>
      <c r="AV301" s="4"/>
      <c r="AW301" s="4"/>
      <c r="AX301" s="4"/>
      <c r="AY301" s="4"/>
      <c r="AZ301" s="4"/>
      <c r="BA301" s="4"/>
      <c r="BB301" s="4"/>
      <c r="BC301" s="4"/>
      <c r="BD301" s="5"/>
      <c r="BE301" s="4"/>
      <c r="BF301" s="4"/>
      <c r="BG301" s="4"/>
      <c r="BH301" s="4"/>
      <c r="BI301" s="4"/>
      <c r="BJ301" s="4"/>
      <c r="BK301" s="4"/>
      <c r="BL301" s="4"/>
      <c r="BM301" s="4"/>
      <c r="BN301" s="4"/>
      <c r="BO301" s="4"/>
      <c r="BP301" s="4"/>
      <c r="BQ301" s="4"/>
      <c r="BR301" s="4"/>
      <c r="BS301" s="4"/>
    </row>
    <row r="302" spans="1:7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c r="AG302" s="3"/>
      <c r="AH302" s="4"/>
      <c r="AI302" s="4"/>
      <c r="AJ302" s="4"/>
      <c r="AK302" s="4"/>
      <c r="AL302" s="4"/>
      <c r="AM302" s="4"/>
      <c r="AN302" s="4"/>
      <c r="AO302" s="4"/>
      <c r="AP302" s="4"/>
      <c r="AQ302" s="4"/>
      <c r="AR302" s="4"/>
      <c r="AS302" s="4"/>
      <c r="AT302" s="4"/>
      <c r="AU302" s="4"/>
      <c r="AV302" s="4"/>
      <c r="AW302" s="4"/>
      <c r="AX302" s="4"/>
      <c r="AY302" s="4"/>
      <c r="AZ302" s="4"/>
      <c r="BA302" s="4"/>
      <c r="BB302" s="4"/>
      <c r="BC302" s="4"/>
      <c r="BD302" s="5"/>
      <c r="BE302" s="4"/>
      <c r="BF302" s="4"/>
      <c r="BG302" s="4"/>
      <c r="BH302" s="4"/>
      <c r="BI302" s="4"/>
      <c r="BJ302" s="4"/>
      <c r="BK302" s="4"/>
      <c r="BL302" s="4"/>
      <c r="BM302" s="4"/>
      <c r="BN302" s="4"/>
      <c r="BO302" s="4"/>
      <c r="BP302" s="4"/>
      <c r="BQ302" s="4"/>
      <c r="BR302" s="4"/>
      <c r="BS302" s="4"/>
    </row>
    <row r="303" spans="1:7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c r="AG303" s="3"/>
      <c r="AH303" s="4"/>
      <c r="AI303" s="4"/>
      <c r="AJ303" s="4"/>
      <c r="AK303" s="4"/>
      <c r="AL303" s="4"/>
      <c r="AM303" s="4"/>
      <c r="AN303" s="4"/>
      <c r="AO303" s="4"/>
      <c r="AP303" s="4"/>
      <c r="AQ303" s="4"/>
      <c r="AR303" s="4"/>
      <c r="AS303" s="4"/>
      <c r="AT303" s="4"/>
      <c r="AU303" s="4"/>
      <c r="AV303" s="4"/>
      <c r="AW303" s="4"/>
      <c r="AX303" s="4"/>
      <c r="AY303" s="4"/>
      <c r="AZ303" s="4"/>
      <c r="BA303" s="4"/>
      <c r="BB303" s="4"/>
      <c r="BC303" s="4"/>
      <c r="BD303" s="5"/>
      <c r="BE303" s="4"/>
      <c r="BF303" s="4"/>
      <c r="BG303" s="4"/>
      <c r="BH303" s="4"/>
      <c r="BI303" s="4"/>
      <c r="BJ303" s="4"/>
      <c r="BK303" s="4"/>
      <c r="BL303" s="4"/>
      <c r="BM303" s="4"/>
      <c r="BN303" s="4"/>
      <c r="BO303" s="4"/>
      <c r="BP303" s="4"/>
      <c r="BQ303" s="4"/>
      <c r="BR303" s="4"/>
      <c r="BS303" s="4"/>
    </row>
    <row r="304" spans="1:7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4"/>
      <c r="AI304" s="4"/>
      <c r="AJ304" s="4"/>
      <c r="AK304" s="4"/>
      <c r="AL304" s="4"/>
      <c r="AM304" s="4"/>
      <c r="AN304" s="4"/>
      <c r="AO304" s="4"/>
      <c r="AP304" s="4"/>
      <c r="AQ304" s="4"/>
      <c r="AR304" s="4"/>
      <c r="AS304" s="4"/>
      <c r="AT304" s="4"/>
      <c r="AU304" s="4"/>
      <c r="AV304" s="4"/>
      <c r="AW304" s="4"/>
      <c r="AX304" s="4"/>
      <c r="AY304" s="4"/>
      <c r="AZ304" s="4"/>
      <c r="BA304" s="4"/>
      <c r="BB304" s="4"/>
      <c r="BC304" s="4"/>
      <c r="BD304" s="5"/>
      <c r="BE304" s="4"/>
      <c r="BF304" s="4"/>
      <c r="BG304" s="4"/>
      <c r="BH304" s="4"/>
      <c r="BI304" s="4"/>
      <c r="BJ304" s="4"/>
      <c r="BK304" s="4"/>
      <c r="BL304" s="4"/>
      <c r="BM304" s="4"/>
      <c r="BN304" s="4"/>
      <c r="BO304" s="4"/>
      <c r="BP304" s="4"/>
      <c r="BQ304" s="4"/>
      <c r="BR304" s="4"/>
      <c r="BS304" s="4"/>
    </row>
    <row r="305" spans="1:7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c r="AG305" s="3"/>
      <c r="AH305" s="4"/>
      <c r="AI305" s="4"/>
      <c r="AJ305" s="4"/>
      <c r="AK305" s="4"/>
      <c r="AL305" s="4"/>
      <c r="AM305" s="4"/>
      <c r="AN305" s="4"/>
      <c r="AO305" s="4"/>
      <c r="AP305" s="4"/>
      <c r="AQ305" s="4"/>
      <c r="AR305" s="4"/>
      <c r="AS305" s="4"/>
      <c r="AT305" s="4"/>
      <c r="AU305" s="4"/>
      <c r="AV305" s="4"/>
      <c r="AW305" s="4"/>
      <c r="AX305" s="4"/>
      <c r="AY305" s="4"/>
      <c r="AZ305" s="4"/>
      <c r="BA305" s="4"/>
      <c r="BB305" s="4"/>
      <c r="BC305" s="4"/>
      <c r="BD305" s="5"/>
      <c r="BE305" s="4"/>
      <c r="BF305" s="4"/>
      <c r="BG305" s="4"/>
      <c r="BH305" s="4"/>
      <c r="BI305" s="4"/>
      <c r="BJ305" s="4"/>
      <c r="BK305" s="4"/>
      <c r="BL305" s="4"/>
      <c r="BM305" s="4"/>
      <c r="BN305" s="4"/>
      <c r="BO305" s="4"/>
      <c r="BP305" s="4"/>
      <c r="BQ305" s="4"/>
      <c r="BR305" s="4"/>
      <c r="BS305" s="4"/>
    </row>
    <row r="306" spans="1:7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4"/>
      <c r="AI306" s="4"/>
      <c r="AJ306" s="4"/>
      <c r="AK306" s="4"/>
      <c r="AL306" s="4"/>
      <c r="AM306" s="4"/>
      <c r="AN306" s="4"/>
      <c r="AO306" s="4"/>
      <c r="AP306" s="4"/>
      <c r="AQ306" s="4"/>
      <c r="AR306" s="4"/>
      <c r="AS306" s="4"/>
      <c r="AT306" s="4"/>
      <c r="AU306" s="4"/>
      <c r="AV306" s="4"/>
      <c r="AW306" s="4"/>
      <c r="AX306" s="4"/>
      <c r="AY306" s="4"/>
      <c r="AZ306" s="4"/>
      <c r="BA306" s="4"/>
      <c r="BB306" s="4"/>
      <c r="BC306" s="4"/>
      <c r="BD306" s="5"/>
      <c r="BE306" s="4"/>
      <c r="BF306" s="4"/>
      <c r="BG306" s="4"/>
      <c r="BH306" s="4"/>
      <c r="BI306" s="4"/>
      <c r="BJ306" s="4"/>
      <c r="BK306" s="4"/>
      <c r="BL306" s="4"/>
      <c r="BM306" s="4"/>
      <c r="BN306" s="4"/>
      <c r="BO306" s="4"/>
      <c r="BP306" s="4"/>
      <c r="BQ306" s="4"/>
      <c r="BR306" s="4"/>
      <c r="BS306" s="4"/>
    </row>
    <row r="307" spans="1:7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c r="AG307" s="3"/>
      <c r="AH307" s="4"/>
      <c r="AI307" s="4"/>
      <c r="AJ307" s="4"/>
      <c r="AK307" s="4"/>
      <c r="AL307" s="4"/>
      <c r="AM307" s="4"/>
      <c r="AN307" s="4"/>
      <c r="AO307" s="4"/>
      <c r="AP307" s="4"/>
      <c r="AQ307" s="4"/>
      <c r="AR307" s="4"/>
      <c r="AS307" s="4"/>
      <c r="AT307" s="4"/>
      <c r="AU307" s="4"/>
      <c r="AV307" s="4"/>
      <c r="AW307" s="4"/>
      <c r="AX307" s="4"/>
      <c r="AY307" s="4"/>
      <c r="AZ307" s="4"/>
      <c r="BA307" s="4"/>
      <c r="BB307" s="4"/>
      <c r="BC307" s="4"/>
      <c r="BD307" s="5"/>
      <c r="BE307" s="4"/>
      <c r="BF307" s="4"/>
      <c r="BG307" s="4"/>
      <c r="BH307" s="4"/>
      <c r="BI307" s="4"/>
      <c r="BJ307" s="4"/>
      <c r="BK307" s="4"/>
      <c r="BL307" s="4"/>
      <c r="BM307" s="4"/>
      <c r="BN307" s="4"/>
      <c r="BO307" s="4"/>
      <c r="BP307" s="4"/>
      <c r="BQ307" s="4"/>
      <c r="BR307" s="4"/>
      <c r="BS307" s="4"/>
    </row>
    <row r="308" spans="1:7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c r="AG308" s="3"/>
      <c r="AH308" s="4"/>
      <c r="AI308" s="4"/>
      <c r="AJ308" s="4"/>
      <c r="AK308" s="4"/>
      <c r="AL308" s="4"/>
      <c r="AM308" s="4"/>
      <c r="AN308" s="4"/>
      <c r="AO308" s="4"/>
      <c r="AP308" s="4"/>
      <c r="AQ308" s="4"/>
      <c r="AR308" s="4"/>
      <c r="AS308" s="4"/>
      <c r="AT308" s="4"/>
      <c r="AU308" s="4"/>
      <c r="AV308" s="4"/>
      <c r="AW308" s="4"/>
      <c r="AX308" s="4"/>
      <c r="AY308" s="4"/>
      <c r="AZ308" s="4"/>
      <c r="BA308" s="4"/>
      <c r="BB308" s="4"/>
      <c r="BC308" s="4"/>
      <c r="BD308" s="5"/>
      <c r="BE308" s="4"/>
      <c r="BF308" s="4"/>
      <c r="BG308" s="4"/>
      <c r="BH308" s="4"/>
      <c r="BI308" s="4"/>
      <c r="BJ308" s="4"/>
      <c r="BK308" s="4"/>
      <c r="BL308" s="4"/>
      <c r="BM308" s="4"/>
      <c r="BN308" s="4"/>
      <c r="BO308" s="4"/>
      <c r="BP308" s="4"/>
      <c r="BQ308" s="4"/>
      <c r="BR308" s="4"/>
      <c r="BS308" s="4"/>
    </row>
    <row r="309" spans="1:7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c r="AG309" s="3"/>
      <c r="AH309" s="4"/>
      <c r="AI309" s="4"/>
      <c r="AJ309" s="4"/>
      <c r="AK309" s="4"/>
      <c r="AL309" s="4"/>
      <c r="AM309" s="4"/>
      <c r="AN309" s="4"/>
      <c r="AO309" s="4"/>
      <c r="AP309" s="4"/>
      <c r="AQ309" s="4"/>
      <c r="AR309" s="4"/>
      <c r="AS309" s="4"/>
      <c r="AT309" s="4"/>
      <c r="AU309" s="4"/>
      <c r="AV309" s="4"/>
      <c r="AW309" s="4"/>
      <c r="AX309" s="4"/>
      <c r="AY309" s="4"/>
      <c r="AZ309" s="4"/>
      <c r="BA309" s="4"/>
      <c r="BB309" s="4"/>
      <c r="BC309" s="4"/>
      <c r="BD309" s="5"/>
      <c r="BE309" s="4"/>
      <c r="BF309" s="4"/>
      <c r="BG309" s="4"/>
      <c r="BH309" s="4"/>
      <c r="BI309" s="4"/>
      <c r="BJ309" s="4"/>
      <c r="BK309" s="4"/>
      <c r="BL309" s="4"/>
      <c r="BM309" s="4"/>
      <c r="BN309" s="4"/>
      <c r="BO309" s="4"/>
      <c r="BP309" s="4"/>
      <c r="BQ309" s="4"/>
      <c r="BR309" s="4"/>
      <c r="BS309" s="4"/>
    </row>
    <row r="310" spans="1:7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c r="AH310" s="4"/>
      <c r="AI310" s="4"/>
      <c r="AJ310" s="4"/>
      <c r="AK310" s="4"/>
      <c r="AL310" s="4"/>
      <c r="AM310" s="4"/>
      <c r="AN310" s="4"/>
      <c r="AO310" s="4"/>
      <c r="AP310" s="4"/>
      <c r="AQ310" s="4"/>
      <c r="AR310" s="4"/>
      <c r="AS310" s="4"/>
      <c r="AT310" s="4"/>
      <c r="AU310" s="4"/>
      <c r="AV310" s="4"/>
      <c r="AW310" s="4"/>
      <c r="AX310" s="4"/>
      <c r="AY310" s="4"/>
      <c r="AZ310" s="4"/>
      <c r="BA310" s="4"/>
      <c r="BB310" s="4"/>
      <c r="BC310" s="4"/>
      <c r="BD310" s="5"/>
      <c r="BE310" s="4"/>
      <c r="BF310" s="4"/>
      <c r="BG310" s="4"/>
      <c r="BH310" s="4"/>
      <c r="BI310" s="4"/>
      <c r="BJ310" s="4"/>
      <c r="BK310" s="4"/>
      <c r="BL310" s="4"/>
      <c r="BM310" s="4"/>
      <c r="BN310" s="4"/>
      <c r="BO310" s="4"/>
      <c r="BP310" s="4"/>
      <c r="BQ310" s="4"/>
      <c r="BR310" s="4"/>
      <c r="BS310" s="4"/>
    </row>
    <row r="311" spans="1:7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c r="AG311" s="3"/>
      <c r="AH311" s="4"/>
      <c r="AI311" s="4"/>
      <c r="AJ311" s="4"/>
      <c r="AK311" s="4"/>
      <c r="AL311" s="4"/>
      <c r="AM311" s="4"/>
      <c r="AN311" s="4"/>
      <c r="AO311" s="4"/>
      <c r="AP311" s="4"/>
      <c r="AQ311" s="4"/>
      <c r="AR311" s="4"/>
      <c r="AS311" s="4"/>
      <c r="AT311" s="4"/>
      <c r="AU311" s="4"/>
      <c r="AV311" s="4"/>
      <c r="AW311" s="4"/>
      <c r="AX311" s="4"/>
      <c r="AY311" s="4"/>
      <c r="AZ311" s="4"/>
      <c r="BA311" s="4"/>
      <c r="BB311" s="4"/>
      <c r="BC311" s="4"/>
      <c r="BD311" s="5"/>
      <c r="BE311" s="4"/>
      <c r="BF311" s="4"/>
      <c r="BG311" s="4"/>
      <c r="BH311" s="4"/>
      <c r="BI311" s="4"/>
      <c r="BJ311" s="4"/>
      <c r="BK311" s="4"/>
      <c r="BL311" s="4"/>
      <c r="BM311" s="4"/>
      <c r="BN311" s="4"/>
      <c r="BO311" s="4"/>
      <c r="BP311" s="4"/>
      <c r="BQ311" s="4"/>
      <c r="BR311" s="4"/>
      <c r="BS311" s="4"/>
    </row>
    <row r="312" spans="1:7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c r="AH312" s="4"/>
      <c r="AI312" s="4"/>
      <c r="AJ312" s="4"/>
      <c r="AK312" s="4"/>
      <c r="AL312" s="4"/>
      <c r="AM312" s="4"/>
      <c r="AN312" s="4"/>
      <c r="AO312" s="4"/>
      <c r="AP312" s="4"/>
      <c r="AQ312" s="4"/>
      <c r="AR312" s="4"/>
      <c r="AS312" s="4"/>
      <c r="AT312" s="4"/>
      <c r="AU312" s="4"/>
      <c r="AV312" s="4"/>
      <c r="AW312" s="4"/>
      <c r="AX312" s="4"/>
      <c r="AY312" s="4"/>
      <c r="AZ312" s="4"/>
      <c r="BA312" s="4"/>
      <c r="BB312" s="4"/>
      <c r="BC312" s="4"/>
      <c r="BD312" s="5"/>
      <c r="BE312" s="4"/>
      <c r="BF312" s="4"/>
      <c r="BG312" s="4"/>
      <c r="BH312" s="4"/>
      <c r="BI312" s="4"/>
      <c r="BJ312" s="4"/>
      <c r="BK312" s="4"/>
      <c r="BL312" s="4"/>
      <c r="BM312" s="4"/>
      <c r="BN312" s="4"/>
      <c r="BO312" s="4"/>
      <c r="BP312" s="4"/>
      <c r="BQ312" s="4"/>
      <c r="BR312" s="4"/>
      <c r="BS312" s="4"/>
    </row>
    <row r="313" spans="1:7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c r="AG313" s="3"/>
      <c r="AH313" s="4"/>
      <c r="AI313" s="4"/>
      <c r="AJ313" s="4"/>
      <c r="AK313" s="4"/>
      <c r="AL313" s="4"/>
      <c r="AM313" s="4"/>
      <c r="AN313" s="4"/>
      <c r="AO313" s="4"/>
      <c r="AP313" s="4"/>
      <c r="AQ313" s="4"/>
      <c r="AR313" s="4"/>
      <c r="AS313" s="4"/>
      <c r="AT313" s="4"/>
      <c r="AU313" s="4"/>
      <c r="AV313" s="4"/>
      <c r="AW313" s="4"/>
      <c r="AX313" s="4"/>
      <c r="AY313" s="4"/>
      <c r="AZ313" s="4"/>
      <c r="BA313" s="4"/>
      <c r="BB313" s="4"/>
      <c r="BC313" s="4"/>
      <c r="BD313" s="5"/>
      <c r="BE313" s="4"/>
      <c r="BF313" s="4"/>
      <c r="BG313" s="4"/>
      <c r="BH313" s="4"/>
      <c r="BI313" s="4"/>
      <c r="BJ313" s="4"/>
      <c r="BK313" s="4"/>
      <c r="BL313" s="4"/>
      <c r="BM313" s="4"/>
      <c r="BN313" s="4"/>
      <c r="BO313" s="4"/>
      <c r="BP313" s="4"/>
      <c r="BQ313" s="4"/>
      <c r="BR313" s="4"/>
      <c r="BS313" s="4"/>
    </row>
    <row r="314" spans="1:7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c r="AG314" s="3"/>
      <c r="AH314" s="4"/>
      <c r="AI314" s="4"/>
      <c r="AJ314" s="4"/>
      <c r="AK314" s="4"/>
      <c r="AL314" s="4"/>
      <c r="AM314" s="4"/>
      <c r="AN314" s="4"/>
      <c r="AO314" s="4"/>
      <c r="AP314" s="4"/>
      <c r="AQ314" s="4"/>
      <c r="AR314" s="4"/>
      <c r="AS314" s="4"/>
      <c r="AT314" s="4"/>
      <c r="AU314" s="4"/>
      <c r="AV314" s="4"/>
      <c r="AW314" s="4"/>
      <c r="AX314" s="4"/>
      <c r="AY314" s="4"/>
      <c r="AZ314" s="4"/>
      <c r="BA314" s="4"/>
      <c r="BB314" s="4"/>
      <c r="BC314" s="4"/>
      <c r="BD314" s="5"/>
      <c r="BE314" s="4"/>
      <c r="BF314" s="4"/>
      <c r="BG314" s="4"/>
      <c r="BH314" s="4"/>
      <c r="BI314" s="4"/>
      <c r="BJ314" s="4"/>
      <c r="BK314" s="4"/>
      <c r="BL314" s="4"/>
      <c r="BM314" s="4"/>
      <c r="BN314" s="4"/>
      <c r="BO314" s="4"/>
      <c r="BP314" s="4"/>
      <c r="BQ314" s="4"/>
      <c r="BR314" s="4"/>
      <c r="BS314" s="4"/>
    </row>
    <row r="315" spans="1:7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c r="AG315" s="3"/>
      <c r="AH315" s="4"/>
      <c r="AI315" s="4"/>
      <c r="AJ315" s="4"/>
      <c r="AK315" s="4"/>
      <c r="AL315" s="4"/>
      <c r="AM315" s="4"/>
      <c r="AN315" s="4"/>
      <c r="AO315" s="4"/>
      <c r="AP315" s="4"/>
      <c r="AQ315" s="4"/>
      <c r="AR315" s="4"/>
      <c r="AS315" s="4"/>
      <c r="AT315" s="4"/>
      <c r="AU315" s="4"/>
      <c r="AV315" s="4"/>
      <c r="AW315" s="4"/>
      <c r="AX315" s="4"/>
      <c r="AY315" s="4"/>
      <c r="AZ315" s="4"/>
      <c r="BA315" s="4"/>
      <c r="BB315" s="4"/>
      <c r="BC315" s="4"/>
      <c r="BD315" s="5"/>
      <c r="BE315" s="4"/>
      <c r="BF315" s="4"/>
      <c r="BG315" s="4"/>
      <c r="BH315" s="4"/>
      <c r="BI315" s="4"/>
      <c r="BJ315" s="4"/>
      <c r="BK315" s="4"/>
      <c r="BL315" s="4"/>
      <c r="BM315" s="4"/>
      <c r="BN315" s="4"/>
      <c r="BO315" s="4"/>
      <c r="BP315" s="4"/>
      <c r="BQ315" s="4"/>
      <c r="BR315" s="4"/>
      <c r="BS315" s="4"/>
    </row>
    <row r="316" spans="1:7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c r="AG316" s="3"/>
      <c r="AH316" s="4"/>
      <c r="AI316" s="4"/>
      <c r="AJ316" s="4"/>
      <c r="AK316" s="4"/>
      <c r="AL316" s="4"/>
      <c r="AM316" s="4"/>
      <c r="AN316" s="4"/>
      <c r="AO316" s="4"/>
      <c r="AP316" s="4"/>
      <c r="AQ316" s="4"/>
      <c r="AR316" s="4"/>
      <c r="AS316" s="4"/>
      <c r="AT316" s="4"/>
      <c r="AU316" s="4"/>
      <c r="AV316" s="4"/>
      <c r="AW316" s="4"/>
      <c r="AX316" s="4"/>
      <c r="AY316" s="4"/>
      <c r="AZ316" s="4"/>
      <c r="BA316" s="4"/>
      <c r="BB316" s="4"/>
      <c r="BC316" s="4"/>
      <c r="BD316" s="5"/>
      <c r="BE316" s="4"/>
      <c r="BF316" s="4"/>
      <c r="BG316" s="4"/>
      <c r="BH316" s="4"/>
      <c r="BI316" s="4"/>
      <c r="BJ316" s="4"/>
      <c r="BK316" s="4"/>
      <c r="BL316" s="4"/>
      <c r="BM316" s="4"/>
      <c r="BN316" s="4"/>
      <c r="BO316" s="4"/>
      <c r="BP316" s="4"/>
      <c r="BQ316" s="4"/>
      <c r="BR316" s="4"/>
      <c r="BS316" s="4"/>
    </row>
    <row r="317" spans="1:7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c r="AG317" s="3"/>
      <c r="AH317" s="4"/>
      <c r="AI317" s="4"/>
      <c r="AJ317" s="4"/>
      <c r="AK317" s="4"/>
      <c r="AL317" s="4"/>
      <c r="AM317" s="4"/>
      <c r="AN317" s="4"/>
      <c r="AO317" s="4"/>
      <c r="AP317" s="4"/>
      <c r="AQ317" s="4"/>
      <c r="AR317" s="4"/>
      <c r="AS317" s="4"/>
      <c r="AT317" s="4"/>
      <c r="AU317" s="4"/>
      <c r="AV317" s="4"/>
      <c r="AW317" s="4"/>
      <c r="AX317" s="4"/>
      <c r="AY317" s="4"/>
      <c r="AZ317" s="4"/>
      <c r="BA317" s="4"/>
      <c r="BB317" s="4"/>
      <c r="BC317" s="4"/>
      <c r="BD317" s="5"/>
      <c r="BE317" s="4"/>
      <c r="BF317" s="4"/>
      <c r="BG317" s="4"/>
      <c r="BH317" s="4"/>
      <c r="BI317" s="4"/>
      <c r="BJ317" s="4"/>
      <c r="BK317" s="4"/>
      <c r="BL317" s="4"/>
      <c r="BM317" s="4"/>
      <c r="BN317" s="4"/>
      <c r="BO317" s="4"/>
      <c r="BP317" s="4"/>
      <c r="BQ317" s="4"/>
      <c r="BR317" s="4"/>
      <c r="BS317" s="4"/>
    </row>
    <row r="318" spans="1:7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c r="AG318" s="3"/>
      <c r="AH318" s="4"/>
      <c r="AI318" s="4"/>
      <c r="AJ318" s="4"/>
      <c r="AK318" s="4"/>
      <c r="AL318" s="4"/>
      <c r="AM318" s="4"/>
      <c r="AN318" s="4"/>
      <c r="AO318" s="4"/>
      <c r="AP318" s="4"/>
      <c r="AQ318" s="4"/>
      <c r="AR318" s="4"/>
      <c r="AS318" s="4"/>
      <c r="AT318" s="4"/>
      <c r="AU318" s="4"/>
      <c r="AV318" s="4"/>
      <c r="AW318" s="4"/>
      <c r="AX318" s="4"/>
      <c r="AY318" s="4"/>
      <c r="AZ318" s="4"/>
      <c r="BA318" s="4"/>
      <c r="BB318" s="4"/>
      <c r="BC318" s="4"/>
      <c r="BD318" s="5"/>
      <c r="BE318" s="4"/>
      <c r="BF318" s="4"/>
      <c r="BG318" s="4"/>
      <c r="BH318" s="4"/>
      <c r="BI318" s="4"/>
      <c r="BJ318" s="4"/>
      <c r="BK318" s="4"/>
      <c r="BL318" s="4"/>
      <c r="BM318" s="4"/>
      <c r="BN318" s="4"/>
      <c r="BO318" s="4"/>
      <c r="BP318" s="4"/>
      <c r="BQ318" s="4"/>
      <c r="BR318" s="4"/>
      <c r="BS318" s="4"/>
    </row>
    <row r="319" spans="1:7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c r="AG319" s="3"/>
      <c r="AH319" s="4"/>
      <c r="AI319" s="4"/>
      <c r="AJ319" s="4"/>
      <c r="AK319" s="4"/>
      <c r="AL319" s="4"/>
      <c r="AM319" s="4"/>
      <c r="AN319" s="4"/>
      <c r="AO319" s="4"/>
      <c r="AP319" s="4"/>
      <c r="AQ319" s="4"/>
      <c r="AR319" s="4"/>
      <c r="AS319" s="4"/>
      <c r="AT319" s="4"/>
      <c r="AU319" s="4"/>
      <c r="AV319" s="4"/>
      <c r="AW319" s="4"/>
      <c r="AX319" s="4"/>
      <c r="AY319" s="4"/>
      <c r="AZ319" s="4"/>
      <c r="BA319" s="4"/>
      <c r="BB319" s="4"/>
      <c r="BC319" s="4"/>
      <c r="BD319" s="5"/>
      <c r="BE319" s="4"/>
      <c r="BF319" s="4"/>
      <c r="BG319" s="4"/>
      <c r="BH319" s="4"/>
      <c r="BI319" s="4"/>
      <c r="BJ319" s="4"/>
      <c r="BK319" s="4"/>
      <c r="BL319" s="4"/>
      <c r="BM319" s="4"/>
      <c r="BN319" s="4"/>
      <c r="BO319" s="4"/>
      <c r="BP319" s="4"/>
      <c r="BQ319" s="4"/>
      <c r="BR319" s="4"/>
      <c r="BS319" s="4"/>
    </row>
    <row r="320" spans="1:7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c r="AG320" s="3"/>
      <c r="AH320" s="4"/>
      <c r="AI320" s="4"/>
      <c r="AJ320" s="4"/>
      <c r="AK320" s="4"/>
      <c r="AL320" s="4"/>
      <c r="AM320" s="4"/>
      <c r="AN320" s="4"/>
      <c r="AO320" s="4"/>
      <c r="AP320" s="4"/>
      <c r="AQ320" s="4"/>
      <c r="AR320" s="4"/>
      <c r="AS320" s="4"/>
      <c r="AT320" s="4"/>
      <c r="AU320" s="4"/>
      <c r="AV320" s="4"/>
      <c r="AW320" s="4"/>
      <c r="AX320" s="4"/>
      <c r="AY320" s="4"/>
      <c r="AZ320" s="4"/>
      <c r="BA320" s="4"/>
      <c r="BB320" s="4"/>
      <c r="BC320" s="4"/>
      <c r="BD320" s="5"/>
      <c r="BE320" s="4"/>
      <c r="BF320" s="4"/>
      <c r="BG320" s="4"/>
      <c r="BH320" s="4"/>
      <c r="BI320" s="4"/>
      <c r="BJ320" s="4"/>
      <c r="BK320" s="4"/>
      <c r="BL320" s="4"/>
      <c r="BM320" s="4"/>
      <c r="BN320" s="4"/>
      <c r="BO320" s="4"/>
      <c r="BP320" s="4"/>
      <c r="BQ320" s="4"/>
      <c r="BR320" s="4"/>
      <c r="BS320" s="4"/>
    </row>
    <row r="321" spans="1:7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c r="AG321" s="3"/>
      <c r="AH321" s="4"/>
      <c r="AI321" s="4"/>
      <c r="AJ321" s="4"/>
      <c r="AK321" s="4"/>
      <c r="AL321" s="4"/>
      <c r="AM321" s="4"/>
      <c r="AN321" s="4"/>
      <c r="AO321" s="4"/>
      <c r="AP321" s="4"/>
      <c r="AQ321" s="4"/>
      <c r="AR321" s="4"/>
      <c r="AS321" s="4"/>
      <c r="AT321" s="4"/>
      <c r="AU321" s="4"/>
      <c r="AV321" s="4"/>
      <c r="AW321" s="4"/>
      <c r="AX321" s="4"/>
      <c r="AY321" s="4"/>
      <c r="AZ321" s="4"/>
      <c r="BA321" s="4"/>
      <c r="BB321" s="4"/>
      <c r="BC321" s="4"/>
      <c r="BD321" s="5"/>
      <c r="BE321" s="4"/>
      <c r="BF321" s="4"/>
      <c r="BG321" s="4"/>
      <c r="BH321" s="4"/>
      <c r="BI321" s="4"/>
      <c r="BJ321" s="4"/>
      <c r="BK321" s="4"/>
      <c r="BL321" s="4"/>
      <c r="BM321" s="4"/>
      <c r="BN321" s="4"/>
      <c r="BO321" s="4"/>
      <c r="BP321" s="4"/>
      <c r="BQ321" s="4"/>
      <c r="BR321" s="4"/>
      <c r="BS321" s="4"/>
    </row>
    <row r="322" spans="1:7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c r="AG322" s="3"/>
      <c r="AH322" s="4"/>
      <c r="AI322" s="4"/>
      <c r="AJ322" s="4"/>
      <c r="AK322" s="4"/>
      <c r="AL322" s="4"/>
      <c r="AM322" s="4"/>
      <c r="AN322" s="4"/>
      <c r="AO322" s="4"/>
      <c r="AP322" s="4"/>
      <c r="AQ322" s="4"/>
      <c r="AR322" s="4"/>
      <c r="AS322" s="4"/>
      <c r="AT322" s="4"/>
      <c r="AU322" s="4"/>
      <c r="AV322" s="4"/>
      <c r="AW322" s="4"/>
      <c r="AX322" s="4"/>
      <c r="AY322" s="4"/>
      <c r="AZ322" s="4"/>
      <c r="BA322" s="4"/>
      <c r="BB322" s="4"/>
      <c r="BC322" s="4"/>
      <c r="BD322" s="5"/>
      <c r="BE322" s="4"/>
      <c r="BF322" s="4"/>
      <c r="BG322" s="4"/>
      <c r="BH322" s="4"/>
      <c r="BI322" s="4"/>
      <c r="BJ322" s="4"/>
      <c r="BK322" s="4"/>
      <c r="BL322" s="4"/>
      <c r="BM322" s="4"/>
      <c r="BN322" s="4"/>
      <c r="BO322" s="4"/>
      <c r="BP322" s="4"/>
      <c r="BQ322" s="4"/>
      <c r="BR322" s="4"/>
      <c r="BS322" s="4"/>
    </row>
    <row r="323" spans="1:7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c r="AG323" s="3"/>
      <c r="AH323" s="4"/>
      <c r="AI323" s="4"/>
      <c r="AJ323" s="4"/>
      <c r="AK323" s="4"/>
      <c r="AL323" s="4"/>
      <c r="AM323" s="4"/>
      <c r="AN323" s="4"/>
      <c r="AO323" s="4"/>
      <c r="AP323" s="4"/>
      <c r="AQ323" s="4"/>
      <c r="AR323" s="4"/>
      <c r="AS323" s="4"/>
      <c r="AT323" s="4"/>
      <c r="AU323" s="4"/>
      <c r="AV323" s="4"/>
      <c r="AW323" s="4"/>
      <c r="AX323" s="4"/>
      <c r="AY323" s="4"/>
      <c r="AZ323" s="4"/>
      <c r="BA323" s="4"/>
      <c r="BB323" s="4"/>
      <c r="BC323" s="4"/>
      <c r="BD323" s="5"/>
      <c r="BE323" s="4"/>
      <c r="BF323" s="4"/>
      <c r="BG323" s="4"/>
      <c r="BH323" s="4"/>
      <c r="BI323" s="4"/>
      <c r="BJ323" s="4"/>
      <c r="BK323" s="4"/>
      <c r="BL323" s="4"/>
      <c r="BM323" s="4"/>
      <c r="BN323" s="4"/>
      <c r="BO323" s="4"/>
      <c r="BP323" s="4"/>
      <c r="BQ323" s="4"/>
      <c r="BR323" s="4"/>
      <c r="BS323" s="4"/>
    </row>
    <row r="324" spans="1:7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c r="AG324" s="3"/>
      <c r="AH324" s="4"/>
      <c r="AI324" s="4"/>
      <c r="AJ324" s="4"/>
      <c r="AK324" s="4"/>
      <c r="AL324" s="4"/>
      <c r="AM324" s="4"/>
      <c r="AN324" s="4"/>
      <c r="AO324" s="4"/>
      <c r="AP324" s="4"/>
      <c r="AQ324" s="4"/>
      <c r="AR324" s="4"/>
      <c r="AS324" s="4"/>
      <c r="AT324" s="4"/>
      <c r="AU324" s="4"/>
      <c r="AV324" s="4"/>
      <c r="AW324" s="4"/>
      <c r="AX324" s="4"/>
      <c r="AY324" s="4"/>
      <c r="AZ324" s="4"/>
      <c r="BA324" s="4"/>
      <c r="BB324" s="4"/>
      <c r="BC324" s="4"/>
      <c r="BD324" s="5"/>
      <c r="BE324" s="4"/>
      <c r="BF324" s="4"/>
      <c r="BG324" s="4"/>
      <c r="BH324" s="4"/>
      <c r="BI324" s="4"/>
      <c r="BJ324" s="4"/>
      <c r="BK324" s="4"/>
      <c r="BL324" s="4"/>
      <c r="BM324" s="4"/>
      <c r="BN324" s="4"/>
      <c r="BO324" s="4"/>
      <c r="BP324" s="4"/>
      <c r="BQ324" s="4"/>
      <c r="BR324" s="4"/>
      <c r="BS324" s="4"/>
    </row>
    <row r="325" spans="1:7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c r="AG325" s="3"/>
      <c r="AH325" s="4"/>
      <c r="AI325" s="4"/>
      <c r="AJ325" s="4"/>
      <c r="AK325" s="4"/>
      <c r="AL325" s="4"/>
      <c r="AM325" s="4"/>
      <c r="AN325" s="4"/>
      <c r="AO325" s="4"/>
      <c r="AP325" s="4"/>
      <c r="AQ325" s="4"/>
      <c r="AR325" s="4"/>
      <c r="AS325" s="4"/>
      <c r="AT325" s="4"/>
      <c r="AU325" s="4"/>
      <c r="AV325" s="4"/>
      <c r="AW325" s="4"/>
      <c r="AX325" s="4"/>
      <c r="AY325" s="4"/>
      <c r="AZ325" s="4"/>
      <c r="BA325" s="4"/>
      <c r="BB325" s="4"/>
      <c r="BC325" s="4"/>
      <c r="BD325" s="5"/>
      <c r="BE325" s="4"/>
      <c r="BF325" s="4"/>
      <c r="BG325" s="4"/>
      <c r="BH325" s="4"/>
      <c r="BI325" s="4"/>
      <c r="BJ325" s="4"/>
      <c r="BK325" s="4"/>
      <c r="BL325" s="4"/>
      <c r="BM325" s="4"/>
      <c r="BN325" s="4"/>
      <c r="BO325" s="4"/>
      <c r="BP325" s="4"/>
      <c r="BQ325" s="4"/>
      <c r="BR325" s="4"/>
      <c r="BS325" s="4"/>
    </row>
    <row r="326" spans="1:7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c r="AG326" s="3"/>
      <c r="AH326" s="4"/>
      <c r="AI326" s="4"/>
      <c r="AJ326" s="4"/>
      <c r="AK326" s="4"/>
      <c r="AL326" s="4"/>
      <c r="AM326" s="4"/>
      <c r="AN326" s="4"/>
      <c r="AO326" s="4"/>
      <c r="AP326" s="4"/>
      <c r="AQ326" s="4"/>
      <c r="AR326" s="4"/>
      <c r="AS326" s="4"/>
      <c r="AT326" s="4"/>
      <c r="AU326" s="4"/>
      <c r="AV326" s="4"/>
      <c r="AW326" s="4"/>
      <c r="AX326" s="4"/>
      <c r="AY326" s="4"/>
      <c r="AZ326" s="4"/>
      <c r="BA326" s="4"/>
      <c r="BB326" s="4"/>
      <c r="BC326" s="4"/>
      <c r="BD326" s="5"/>
      <c r="BE326" s="4"/>
      <c r="BF326" s="4"/>
      <c r="BG326" s="4"/>
      <c r="BH326" s="4"/>
      <c r="BI326" s="4"/>
      <c r="BJ326" s="4"/>
      <c r="BK326" s="4"/>
      <c r="BL326" s="4"/>
      <c r="BM326" s="4"/>
      <c r="BN326" s="4"/>
      <c r="BO326" s="4"/>
      <c r="BP326" s="4"/>
      <c r="BQ326" s="4"/>
      <c r="BR326" s="4"/>
      <c r="BS326" s="4"/>
    </row>
    <row r="327" spans="1:7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c r="AG327" s="3"/>
      <c r="AH327" s="4"/>
      <c r="AI327" s="4"/>
      <c r="AJ327" s="4"/>
      <c r="AK327" s="4"/>
      <c r="AL327" s="4"/>
      <c r="AM327" s="4"/>
      <c r="AN327" s="4"/>
      <c r="AO327" s="4"/>
      <c r="AP327" s="4"/>
      <c r="AQ327" s="4"/>
      <c r="AR327" s="4"/>
      <c r="AS327" s="4"/>
      <c r="AT327" s="4"/>
      <c r="AU327" s="4"/>
      <c r="AV327" s="4"/>
      <c r="AW327" s="4"/>
      <c r="AX327" s="4"/>
      <c r="AY327" s="4"/>
      <c r="AZ327" s="4"/>
      <c r="BA327" s="4"/>
      <c r="BB327" s="4"/>
      <c r="BC327" s="4"/>
      <c r="BD327" s="5"/>
      <c r="BE327" s="4"/>
      <c r="BF327" s="4"/>
      <c r="BG327" s="4"/>
      <c r="BH327" s="4"/>
      <c r="BI327" s="4"/>
      <c r="BJ327" s="4"/>
      <c r="BK327" s="4"/>
      <c r="BL327" s="4"/>
      <c r="BM327" s="4"/>
      <c r="BN327" s="4"/>
      <c r="BO327" s="4"/>
      <c r="BP327" s="4"/>
      <c r="BQ327" s="4"/>
      <c r="BR327" s="4"/>
      <c r="BS327" s="4"/>
    </row>
    <row r="328" spans="1:7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c r="AG328" s="3"/>
      <c r="AH328" s="4"/>
      <c r="AI328" s="4"/>
      <c r="AJ328" s="4"/>
      <c r="AK328" s="4"/>
      <c r="AL328" s="4"/>
      <c r="AM328" s="4"/>
      <c r="AN328" s="4"/>
      <c r="AO328" s="4"/>
      <c r="AP328" s="4"/>
      <c r="AQ328" s="4"/>
      <c r="AR328" s="4"/>
      <c r="AS328" s="4"/>
      <c r="AT328" s="4"/>
      <c r="AU328" s="4"/>
      <c r="AV328" s="4"/>
      <c r="AW328" s="4"/>
      <c r="AX328" s="4"/>
      <c r="AY328" s="4"/>
      <c r="AZ328" s="4"/>
      <c r="BA328" s="4"/>
      <c r="BB328" s="4"/>
      <c r="BC328" s="4"/>
      <c r="BD328" s="5"/>
      <c r="BE328" s="4"/>
      <c r="BF328" s="4"/>
      <c r="BG328" s="4"/>
      <c r="BH328" s="4"/>
      <c r="BI328" s="4"/>
      <c r="BJ328" s="4"/>
      <c r="BK328" s="4"/>
      <c r="BL328" s="4"/>
      <c r="BM328" s="4"/>
      <c r="BN328" s="4"/>
      <c r="BO328" s="4"/>
      <c r="BP328" s="4"/>
      <c r="BQ328" s="4"/>
      <c r="BR328" s="4"/>
      <c r="BS328" s="4"/>
    </row>
    <row r="329" spans="1:7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c r="AG329" s="3"/>
      <c r="AH329" s="4"/>
      <c r="AI329" s="4"/>
      <c r="AJ329" s="4"/>
      <c r="AK329" s="4"/>
      <c r="AL329" s="4"/>
      <c r="AM329" s="4"/>
      <c r="AN329" s="4"/>
      <c r="AO329" s="4"/>
      <c r="AP329" s="4"/>
      <c r="AQ329" s="4"/>
      <c r="AR329" s="4"/>
      <c r="AS329" s="4"/>
      <c r="AT329" s="4"/>
      <c r="AU329" s="4"/>
      <c r="AV329" s="4"/>
      <c r="AW329" s="4"/>
      <c r="AX329" s="4"/>
      <c r="AY329" s="4"/>
      <c r="AZ329" s="4"/>
      <c r="BA329" s="4"/>
      <c r="BB329" s="4"/>
      <c r="BC329" s="4"/>
      <c r="BD329" s="5"/>
      <c r="BE329" s="4"/>
      <c r="BF329" s="4"/>
      <c r="BG329" s="4"/>
      <c r="BH329" s="4"/>
      <c r="BI329" s="4"/>
      <c r="BJ329" s="4"/>
      <c r="BK329" s="4"/>
      <c r="BL329" s="4"/>
      <c r="BM329" s="4"/>
      <c r="BN329" s="4"/>
      <c r="BO329" s="4"/>
      <c r="BP329" s="4"/>
      <c r="BQ329" s="4"/>
      <c r="BR329" s="4"/>
      <c r="BS329" s="4"/>
    </row>
    <row r="330" spans="1:7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c r="AG330" s="3"/>
      <c r="AH330" s="4"/>
      <c r="AI330" s="4"/>
      <c r="AJ330" s="4"/>
      <c r="AK330" s="4"/>
      <c r="AL330" s="4"/>
      <c r="AM330" s="4"/>
      <c r="AN330" s="4"/>
      <c r="AO330" s="4"/>
      <c r="AP330" s="4"/>
      <c r="AQ330" s="4"/>
      <c r="AR330" s="4"/>
      <c r="AS330" s="4"/>
      <c r="AT330" s="4"/>
      <c r="AU330" s="4"/>
      <c r="AV330" s="4"/>
      <c r="AW330" s="4"/>
      <c r="AX330" s="4"/>
      <c r="AY330" s="4"/>
      <c r="AZ330" s="4"/>
      <c r="BA330" s="4"/>
      <c r="BB330" s="4"/>
      <c r="BC330" s="4"/>
      <c r="BD330" s="5"/>
      <c r="BE330" s="4"/>
      <c r="BF330" s="4"/>
      <c r="BG330" s="4"/>
      <c r="BH330" s="4"/>
      <c r="BI330" s="4"/>
      <c r="BJ330" s="4"/>
      <c r="BK330" s="4"/>
      <c r="BL330" s="4"/>
      <c r="BM330" s="4"/>
      <c r="BN330" s="4"/>
      <c r="BO330" s="4"/>
      <c r="BP330" s="4"/>
      <c r="BQ330" s="4"/>
      <c r="BR330" s="4"/>
      <c r="BS330" s="4"/>
    </row>
    <row r="331" spans="1:7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c r="AG331" s="3"/>
      <c r="AH331" s="4"/>
      <c r="AI331" s="4"/>
      <c r="AJ331" s="4"/>
      <c r="AK331" s="4"/>
      <c r="AL331" s="4"/>
      <c r="AM331" s="4"/>
      <c r="AN331" s="4"/>
      <c r="AO331" s="4"/>
      <c r="AP331" s="4"/>
      <c r="AQ331" s="4"/>
      <c r="AR331" s="4"/>
      <c r="AS331" s="4"/>
      <c r="AT331" s="4"/>
      <c r="AU331" s="4"/>
      <c r="AV331" s="4"/>
      <c r="AW331" s="4"/>
      <c r="AX331" s="4"/>
      <c r="AY331" s="4"/>
      <c r="AZ331" s="4"/>
      <c r="BA331" s="4"/>
      <c r="BB331" s="4"/>
      <c r="BC331" s="4"/>
      <c r="BD331" s="5"/>
      <c r="BE331" s="4"/>
      <c r="BF331" s="4"/>
      <c r="BG331" s="4"/>
      <c r="BH331" s="4"/>
      <c r="BI331" s="4"/>
      <c r="BJ331" s="4"/>
      <c r="BK331" s="4"/>
      <c r="BL331" s="4"/>
      <c r="BM331" s="4"/>
      <c r="BN331" s="4"/>
      <c r="BO331" s="4"/>
      <c r="BP331" s="4"/>
      <c r="BQ331" s="4"/>
      <c r="BR331" s="4"/>
      <c r="BS331" s="4"/>
    </row>
    <row r="332" spans="1:7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c r="AG332" s="3"/>
      <c r="AH332" s="4"/>
      <c r="AI332" s="4"/>
      <c r="AJ332" s="4"/>
      <c r="AK332" s="4"/>
      <c r="AL332" s="4"/>
      <c r="AM332" s="4"/>
      <c r="AN332" s="4"/>
      <c r="AO332" s="4"/>
      <c r="AP332" s="4"/>
      <c r="AQ332" s="4"/>
      <c r="AR332" s="4"/>
      <c r="AS332" s="4"/>
      <c r="AT332" s="4"/>
      <c r="AU332" s="4"/>
      <c r="AV332" s="4"/>
      <c r="AW332" s="4"/>
      <c r="AX332" s="4"/>
      <c r="AY332" s="4"/>
      <c r="AZ332" s="4"/>
      <c r="BA332" s="4"/>
      <c r="BB332" s="4"/>
      <c r="BC332" s="4"/>
      <c r="BD332" s="5"/>
      <c r="BE332" s="4"/>
      <c r="BF332" s="4"/>
      <c r="BG332" s="4"/>
      <c r="BH332" s="4"/>
      <c r="BI332" s="4"/>
      <c r="BJ332" s="4"/>
      <c r="BK332" s="4"/>
      <c r="BL332" s="4"/>
      <c r="BM332" s="4"/>
      <c r="BN332" s="4"/>
      <c r="BO332" s="4"/>
      <c r="BP332" s="4"/>
      <c r="BQ332" s="4"/>
      <c r="BR332" s="4"/>
      <c r="BS332" s="4"/>
    </row>
    <row r="333" spans="1:7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c r="AG333" s="3"/>
      <c r="AH333" s="4"/>
      <c r="AI333" s="4"/>
      <c r="AJ333" s="4"/>
      <c r="AK333" s="4"/>
      <c r="AL333" s="4"/>
      <c r="AM333" s="4"/>
      <c r="AN333" s="4"/>
      <c r="AO333" s="4"/>
      <c r="AP333" s="4"/>
      <c r="AQ333" s="4"/>
      <c r="AR333" s="4"/>
      <c r="AS333" s="4"/>
      <c r="AT333" s="4"/>
      <c r="AU333" s="4"/>
      <c r="AV333" s="4"/>
      <c r="AW333" s="4"/>
      <c r="AX333" s="4"/>
      <c r="AY333" s="4"/>
      <c r="AZ333" s="4"/>
      <c r="BA333" s="4"/>
      <c r="BB333" s="4"/>
      <c r="BC333" s="4"/>
      <c r="BD333" s="5"/>
      <c r="BE333" s="4"/>
      <c r="BF333" s="4"/>
      <c r="BG333" s="4"/>
      <c r="BH333" s="4"/>
      <c r="BI333" s="4"/>
      <c r="BJ333" s="4"/>
      <c r="BK333" s="4"/>
      <c r="BL333" s="4"/>
      <c r="BM333" s="4"/>
      <c r="BN333" s="4"/>
      <c r="BO333" s="4"/>
      <c r="BP333" s="4"/>
      <c r="BQ333" s="4"/>
      <c r="BR333" s="4"/>
      <c r="BS333" s="4"/>
    </row>
    <row r="334" spans="1:7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c r="AG334" s="3"/>
      <c r="AH334" s="4"/>
      <c r="AI334" s="4"/>
      <c r="AJ334" s="4"/>
      <c r="AK334" s="4"/>
      <c r="AL334" s="4"/>
      <c r="AM334" s="4"/>
      <c r="AN334" s="4"/>
      <c r="AO334" s="4"/>
      <c r="AP334" s="4"/>
      <c r="AQ334" s="4"/>
      <c r="AR334" s="4"/>
      <c r="AS334" s="4"/>
      <c r="AT334" s="4"/>
      <c r="AU334" s="4"/>
      <c r="AV334" s="4"/>
      <c r="AW334" s="4"/>
      <c r="AX334" s="4"/>
      <c r="AY334" s="4"/>
      <c r="AZ334" s="4"/>
      <c r="BA334" s="4"/>
      <c r="BB334" s="4"/>
      <c r="BC334" s="4"/>
      <c r="BD334" s="5"/>
      <c r="BE334" s="4"/>
      <c r="BF334" s="4"/>
      <c r="BG334" s="4"/>
      <c r="BH334" s="4"/>
      <c r="BI334" s="4"/>
      <c r="BJ334" s="4"/>
      <c r="BK334" s="4"/>
      <c r="BL334" s="4"/>
      <c r="BM334" s="4"/>
      <c r="BN334" s="4"/>
      <c r="BO334" s="4"/>
      <c r="BP334" s="4"/>
      <c r="BQ334" s="4"/>
      <c r="BR334" s="4"/>
      <c r="BS334" s="4"/>
    </row>
    <row r="335" spans="1:7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c r="AG335" s="3"/>
      <c r="AH335" s="4"/>
      <c r="AI335" s="4"/>
      <c r="AJ335" s="4"/>
      <c r="AK335" s="4"/>
      <c r="AL335" s="4"/>
      <c r="AM335" s="4"/>
      <c r="AN335" s="4"/>
      <c r="AO335" s="4"/>
      <c r="AP335" s="4"/>
      <c r="AQ335" s="4"/>
      <c r="AR335" s="4"/>
      <c r="AS335" s="4"/>
      <c r="AT335" s="4"/>
      <c r="AU335" s="4"/>
      <c r="AV335" s="4"/>
      <c r="AW335" s="4"/>
      <c r="AX335" s="4"/>
      <c r="AY335" s="4"/>
      <c r="AZ335" s="4"/>
      <c r="BA335" s="4"/>
      <c r="BB335" s="4"/>
      <c r="BC335" s="4"/>
      <c r="BD335" s="5"/>
      <c r="BE335" s="4"/>
      <c r="BF335" s="4"/>
      <c r="BG335" s="4"/>
      <c r="BH335" s="4"/>
      <c r="BI335" s="4"/>
      <c r="BJ335" s="4"/>
      <c r="BK335" s="4"/>
      <c r="BL335" s="4"/>
      <c r="BM335" s="4"/>
      <c r="BN335" s="4"/>
      <c r="BO335" s="4"/>
      <c r="BP335" s="4"/>
      <c r="BQ335" s="4"/>
      <c r="BR335" s="4"/>
      <c r="BS335" s="4"/>
    </row>
    <row r="336" spans="1:7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c r="AG336" s="3"/>
      <c r="AH336" s="4"/>
      <c r="AI336" s="4"/>
      <c r="AJ336" s="4"/>
      <c r="AK336" s="4"/>
      <c r="AL336" s="4"/>
      <c r="AM336" s="4"/>
      <c r="AN336" s="4"/>
      <c r="AO336" s="4"/>
      <c r="AP336" s="4"/>
      <c r="AQ336" s="4"/>
      <c r="AR336" s="4"/>
      <c r="AS336" s="4"/>
      <c r="AT336" s="4"/>
      <c r="AU336" s="4"/>
      <c r="AV336" s="4"/>
      <c r="AW336" s="4"/>
      <c r="AX336" s="4"/>
      <c r="AY336" s="4"/>
      <c r="AZ336" s="4"/>
      <c r="BA336" s="4"/>
      <c r="BB336" s="4"/>
      <c r="BC336" s="4"/>
      <c r="BD336" s="5"/>
      <c r="BE336" s="4"/>
      <c r="BF336" s="4"/>
      <c r="BG336" s="4"/>
      <c r="BH336" s="4"/>
      <c r="BI336" s="4"/>
      <c r="BJ336" s="4"/>
      <c r="BK336" s="4"/>
      <c r="BL336" s="4"/>
      <c r="BM336" s="4"/>
      <c r="BN336" s="4"/>
      <c r="BO336" s="4"/>
      <c r="BP336" s="4"/>
      <c r="BQ336" s="4"/>
      <c r="BR336" s="4"/>
      <c r="BS336" s="4"/>
    </row>
    <row r="337" spans="1:7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c r="AG337" s="3"/>
      <c r="AH337" s="4"/>
      <c r="AI337" s="4"/>
      <c r="AJ337" s="4"/>
      <c r="AK337" s="4"/>
      <c r="AL337" s="4"/>
      <c r="AM337" s="4"/>
      <c r="AN337" s="4"/>
      <c r="AO337" s="4"/>
      <c r="AP337" s="4"/>
      <c r="AQ337" s="4"/>
      <c r="AR337" s="4"/>
      <c r="AS337" s="4"/>
      <c r="AT337" s="4"/>
      <c r="AU337" s="4"/>
      <c r="AV337" s="4"/>
      <c r="AW337" s="4"/>
      <c r="AX337" s="4"/>
      <c r="AY337" s="4"/>
      <c r="AZ337" s="4"/>
      <c r="BA337" s="4"/>
      <c r="BB337" s="4"/>
      <c r="BC337" s="4"/>
      <c r="BD337" s="5"/>
      <c r="BE337" s="4"/>
      <c r="BF337" s="4"/>
      <c r="BG337" s="4"/>
      <c r="BH337" s="4"/>
      <c r="BI337" s="4"/>
      <c r="BJ337" s="4"/>
      <c r="BK337" s="4"/>
      <c r="BL337" s="4"/>
      <c r="BM337" s="4"/>
      <c r="BN337" s="4"/>
      <c r="BO337" s="4"/>
      <c r="BP337" s="4"/>
      <c r="BQ337" s="4"/>
      <c r="BR337" s="4"/>
      <c r="BS337" s="4"/>
    </row>
    <row r="338" spans="1:7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c r="AG338" s="3"/>
      <c r="AH338" s="4"/>
      <c r="AI338" s="4"/>
      <c r="AJ338" s="4"/>
      <c r="AK338" s="4"/>
      <c r="AL338" s="4"/>
      <c r="AM338" s="4"/>
      <c r="AN338" s="4"/>
      <c r="AO338" s="4"/>
      <c r="AP338" s="4"/>
      <c r="AQ338" s="4"/>
      <c r="AR338" s="4"/>
      <c r="AS338" s="4"/>
      <c r="AT338" s="4"/>
      <c r="AU338" s="4"/>
      <c r="AV338" s="4"/>
      <c r="AW338" s="4"/>
      <c r="AX338" s="4"/>
      <c r="AY338" s="4"/>
      <c r="AZ338" s="4"/>
      <c r="BA338" s="4"/>
      <c r="BB338" s="4"/>
      <c r="BC338" s="4"/>
      <c r="BD338" s="5"/>
      <c r="BE338" s="4"/>
      <c r="BF338" s="4"/>
      <c r="BG338" s="4"/>
      <c r="BH338" s="4"/>
      <c r="BI338" s="4"/>
      <c r="BJ338" s="4"/>
      <c r="BK338" s="4"/>
      <c r="BL338" s="4"/>
      <c r="BM338" s="4"/>
      <c r="BN338" s="4"/>
      <c r="BO338" s="4"/>
      <c r="BP338" s="4"/>
      <c r="BQ338" s="4"/>
      <c r="BR338" s="4"/>
      <c r="BS338" s="4"/>
    </row>
    <row r="339" spans="1:7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c r="AG339" s="3"/>
      <c r="AH339" s="4"/>
      <c r="AI339" s="4"/>
      <c r="AJ339" s="4"/>
      <c r="AK339" s="4"/>
      <c r="AL339" s="4"/>
      <c r="AM339" s="4"/>
      <c r="AN339" s="4"/>
      <c r="AO339" s="4"/>
      <c r="AP339" s="4"/>
      <c r="AQ339" s="4"/>
      <c r="AR339" s="4"/>
      <c r="AS339" s="4"/>
      <c r="AT339" s="4"/>
      <c r="AU339" s="4"/>
      <c r="AV339" s="4"/>
      <c r="AW339" s="4"/>
      <c r="AX339" s="4"/>
      <c r="AY339" s="4"/>
      <c r="AZ339" s="4"/>
      <c r="BA339" s="4"/>
      <c r="BB339" s="4"/>
      <c r="BC339" s="4"/>
      <c r="BD339" s="5"/>
      <c r="BE339" s="4"/>
      <c r="BF339" s="4"/>
      <c r="BG339" s="4"/>
      <c r="BH339" s="4"/>
      <c r="BI339" s="4"/>
      <c r="BJ339" s="4"/>
      <c r="BK339" s="4"/>
      <c r="BL339" s="4"/>
      <c r="BM339" s="4"/>
      <c r="BN339" s="4"/>
      <c r="BO339" s="4"/>
      <c r="BP339" s="4"/>
      <c r="BQ339" s="4"/>
      <c r="BR339" s="4"/>
      <c r="BS339" s="4"/>
    </row>
    <row r="340" spans="1:7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c r="AG340" s="3"/>
      <c r="AH340" s="4"/>
      <c r="AI340" s="4"/>
      <c r="AJ340" s="4"/>
      <c r="AK340" s="4"/>
      <c r="AL340" s="4"/>
      <c r="AM340" s="4"/>
      <c r="AN340" s="4"/>
      <c r="AO340" s="4"/>
      <c r="AP340" s="4"/>
      <c r="AQ340" s="4"/>
      <c r="AR340" s="4"/>
      <c r="AS340" s="4"/>
      <c r="AT340" s="4"/>
      <c r="AU340" s="4"/>
      <c r="AV340" s="4"/>
      <c r="AW340" s="4"/>
      <c r="AX340" s="4"/>
      <c r="AY340" s="4"/>
      <c r="AZ340" s="4"/>
      <c r="BA340" s="4"/>
      <c r="BB340" s="4"/>
      <c r="BC340" s="4"/>
      <c r="BD340" s="5"/>
      <c r="BE340" s="4"/>
      <c r="BF340" s="4"/>
      <c r="BG340" s="4"/>
      <c r="BH340" s="4"/>
      <c r="BI340" s="4"/>
      <c r="BJ340" s="4"/>
      <c r="BK340" s="4"/>
      <c r="BL340" s="4"/>
      <c r="BM340" s="4"/>
      <c r="BN340" s="4"/>
      <c r="BO340" s="4"/>
      <c r="BP340" s="4"/>
      <c r="BQ340" s="4"/>
      <c r="BR340" s="4"/>
      <c r="BS340" s="4"/>
    </row>
    <row r="341" spans="1:7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c r="AG341" s="3"/>
      <c r="AH341" s="4"/>
      <c r="AI341" s="4"/>
      <c r="AJ341" s="4"/>
      <c r="AK341" s="4"/>
      <c r="AL341" s="4"/>
      <c r="AM341" s="4"/>
      <c r="AN341" s="4"/>
      <c r="AO341" s="4"/>
      <c r="AP341" s="4"/>
      <c r="AQ341" s="4"/>
      <c r="AR341" s="4"/>
      <c r="AS341" s="4"/>
      <c r="AT341" s="4"/>
      <c r="AU341" s="4"/>
      <c r="AV341" s="4"/>
      <c r="AW341" s="4"/>
      <c r="AX341" s="4"/>
      <c r="AY341" s="4"/>
      <c r="AZ341" s="4"/>
      <c r="BA341" s="4"/>
      <c r="BB341" s="4"/>
      <c r="BC341" s="4"/>
      <c r="BD341" s="5"/>
      <c r="BE341" s="4"/>
      <c r="BF341" s="4"/>
      <c r="BG341" s="4"/>
      <c r="BH341" s="4"/>
      <c r="BI341" s="4"/>
      <c r="BJ341" s="4"/>
      <c r="BK341" s="4"/>
      <c r="BL341" s="4"/>
      <c r="BM341" s="4"/>
      <c r="BN341" s="4"/>
      <c r="BO341" s="4"/>
      <c r="BP341" s="4"/>
      <c r="BQ341" s="4"/>
      <c r="BR341" s="4"/>
      <c r="BS341" s="4"/>
    </row>
    <row r="342" spans="1:7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c r="AG342" s="3"/>
      <c r="AH342" s="4"/>
      <c r="AI342" s="4"/>
      <c r="AJ342" s="4"/>
      <c r="AK342" s="4"/>
      <c r="AL342" s="4"/>
      <c r="AM342" s="4"/>
      <c r="AN342" s="4"/>
      <c r="AO342" s="4"/>
      <c r="AP342" s="4"/>
      <c r="AQ342" s="4"/>
      <c r="AR342" s="4"/>
      <c r="AS342" s="4"/>
      <c r="AT342" s="4"/>
      <c r="AU342" s="4"/>
      <c r="AV342" s="4"/>
      <c r="AW342" s="4"/>
      <c r="AX342" s="4"/>
      <c r="AY342" s="4"/>
      <c r="AZ342" s="4"/>
      <c r="BA342" s="4"/>
      <c r="BB342" s="4"/>
      <c r="BC342" s="4"/>
      <c r="BD342" s="5"/>
      <c r="BE342" s="4"/>
      <c r="BF342" s="4"/>
      <c r="BG342" s="4"/>
      <c r="BH342" s="4"/>
      <c r="BI342" s="4"/>
      <c r="BJ342" s="4"/>
      <c r="BK342" s="4"/>
      <c r="BL342" s="4"/>
      <c r="BM342" s="4"/>
      <c r="BN342" s="4"/>
      <c r="BO342" s="4"/>
      <c r="BP342" s="4"/>
      <c r="BQ342" s="4"/>
      <c r="BR342" s="4"/>
      <c r="BS342" s="4"/>
    </row>
    <row r="343" spans="1:7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c r="AG343" s="3"/>
      <c r="AH343" s="4"/>
      <c r="AI343" s="4"/>
      <c r="AJ343" s="4"/>
      <c r="AK343" s="4"/>
      <c r="AL343" s="4"/>
      <c r="AM343" s="4"/>
      <c r="AN343" s="4"/>
      <c r="AO343" s="4"/>
      <c r="AP343" s="4"/>
      <c r="AQ343" s="4"/>
      <c r="AR343" s="4"/>
      <c r="AS343" s="4"/>
      <c r="AT343" s="4"/>
      <c r="AU343" s="4"/>
      <c r="AV343" s="4"/>
      <c r="AW343" s="4"/>
      <c r="AX343" s="4"/>
      <c r="AY343" s="4"/>
      <c r="AZ343" s="4"/>
      <c r="BA343" s="4"/>
      <c r="BB343" s="4"/>
      <c r="BC343" s="4"/>
      <c r="BD343" s="5"/>
      <c r="BE343" s="4"/>
      <c r="BF343" s="4"/>
      <c r="BG343" s="4"/>
      <c r="BH343" s="4"/>
      <c r="BI343" s="4"/>
      <c r="BJ343" s="4"/>
      <c r="BK343" s="4"/>
      <c r="BL343" s="4"/>
      <c r="BM343" s="4"/>
      <c r="BN343" s="4"/>
      <c r="BO343" s="4"/>
      <c r="BP343" s="4"/>
      <c r="BQ343" s="4"/>
      <c r="BR343" s="4"/>
      <c r="BS343" s="4"/>
    </row>
    <row r="344" spans="1:7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c r="AG344" s="3"/>
      <c r="AH344" s="4"/>
      <c r="AI344" s="4"/>
      <c r="AJ344" s="4"/>
      <c r="AK344" s="4"/>
      <c r="AL344" s="4"/>
      <c r="AM344" s="4"/>
      <c r="AN344" s="4"/>
      <c r="AO344" s="4"/>
      <c r="AP344" s="4"/>
      <c r="AQ344" s="4"/>
      <c r="AR344" s="4"/>
      <c r="AS344" s="4"/>
      <c r="AT344" s="4"/>
      <c r="AU344" s="4"/>
      <c r="AV344" s="4"/>
      <c r="AW344" s="4"/>
      <c r="AX344" s="4"/>
      <c r="AY344" s="4"/>
      <c r="AZ344" s="4"/>
      <c r="BA344" s="4"/>
      <c r="BB344" s="4"/>
      <c r="BC344" s="4"/>
      <c r="BD344" s="5"/>
      <c r="BE344" s="4"/>
      <c r="BF344" s="4"/>
      <c r="BG344" s="4"/>
      <c r="BH344" s="4"/>
      <c r="BI344" s="4"/>
      <c r="BJ344" s="4"/>
      <c r="BK344" s="4"/>
      <c r="BL344" s="4"/>
      <c r="BM344" s="4"/>
      <c r="BN344" s="4"/>
      <c r="BO344" s="4"/>
      <c r="BP344" s="4"/>
      <c r="BQ344" s="4"/>
      <c r="BR344" s="4"/>
      <c r="BS344" s="4"/>
    </row>
    <row r="345" spans="1:7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c r="AG345" s="3"/>
      <c r="AH345" s="4"/>
      <c r="AI345" s="4"/>
      <c r="AJ345" s="4"/>
      <c r="AK345" s="4"/>
      <c r="AL345" s="4"/>
      <c r="AM345" s="4"/>
      <c r="AN345" s="4"/>
      <c r="AO345" s="4"/>
      <c r="AP345" s="4"/>
      <c r="AQ345" s="4"/>
      <c r="AR345" s="4"/>
      <c r="AS345" s="4"/>
      <c r="AT345" s="4"/>
      <c r="AU345" s="4"/>
      <c r="AV345" s="4"/>
      <c r="AW345" s="4"/>
      <c r="AX345" s="4"/>
      <c r="AY345" s="4"/>
      <c r="AZ345" s="4"/>
      <c r="BA345" s="4"/>
      <c r="BB345" s="4"/>
      <c r="BC345" s="4"/>
      <c r="BD345" s="5"/>
      <c r="BE345" s="4"/>
      <c r="BF345" s="4"/>
      <c r="BG345" s="4"/>
      <c r="BH345" s="4"/>
      <c r="BI345" s="4"/>
      <c r="BJ345" s="4"/>
      <c r="BK345" s="4"/>
      <c r="BL345" s="4"/>
      <c r="BM345" s="4"/>
      <c r="BN345" s="4"/>
      <c r="BO345" s="4"/>
      <c r="BP345" s="4"/>
      <c r="BQ345" s="4"/>
      <c r="BR345" s="4"/>
      <c r="BS345" s="4"/>
    </row>
    <row r="346" spans="1:7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c r="AG346" s="3"/>
      <c r="AH346" s="4"/>
      <c r="AI346" s="4"/>
      <c r="AJ346" s="4"/>
      <c r="AK346" s="4"/>
      <c r="AL346" s="4"/>
      <c r="AM346" s="4"/>
      <c r="AN346" s="4"/>
      <c r="AO346" s="4"/>
      <c r="AP346" s="4"/>
      <c r="AQ346" s="4"/>
      <c r="AR346" s="4"/>
      <c r="AS346" s="4"/>
      <c r="AT346" s="4"/>
      <c r="AU346" s="4"/>
      <c r="AV346" s="4"/>
      <c r="AW346" s="4"/>
      <c r="AX346" s="4"/>
      <c r="AY346" s="4"/>
      <c r="AZ346" s="4"/>
      <c r="BA346" s="4"/>
      <c r="BB346" s="4"/>
      <c r="BC346" s="4"/>
      <c r="BD346" s="5"/>
      <c r="BE346" s="4"/>
      <c r="BF346" s="4"/>
      <c r="BG346" s="4"/>
      <c r="BH346" s="4"/>
      <c r="BI346" s="4"/>
      <c r="BJ346" s="4"/>
      <c r="BK346" s="4"/>
      <c r="BL346" s="4"/>
      <c r="BM346" s="4"/>
      <c r="BN346" s="4"/>
      <c r="BO346" s="4"/>
      <c r="BP346" s="4"/>
      <c r="BQ346" s="4"/>
      <c r="BR346" s="4"/>
      <c r="BS346" s="4"/>
    </row>
    <row r="347" spans="1:7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c r="AG347" s="3"/>
      <c r="AH347" s="4"/>
      <c r="AI347" s="4"/>
      <c r="AJ347" s="4"/>
      <c r="AK347" s="4"/>
      <c r="AL347" s="4"/>
      <c r="AM347" s="4"/>
      <c r="AN347" s="4"/>
      <c r="AO347" s="4"/>
      <c r="AP347" s="4"/>
      <c r="AQ347" s="4"/>
      <c r="AR347" s="4"/>
      <c r="AS347" s="4"/>
      <c r="AT347" s="4"/>
      <c r="AU347" s="4"/>
      <c r="AV347" s="4"/>
      <c r="AW347" s="4"/>
      <c r="AX347" s="4"/>
      <c r="AY347" s="4"/>
      <c r="AZ347" s="4"/>
      <c r="BA347" s="4"/>
      <c r="BB347" s="4"/>
      <c r="BC347" s="4"/>
      <c r="BD347" s="5"/>
      <c r="BE347" s="4"/>
      <c r="BF347" s="4"/>
      <c r="BG347" s="4"/>
      <c r="BH347" s="4"/>
      <c r="BI347" s="4"/>
      <c r="BJ347" s="4"/>
      <c r="BK347" s="4"/>
      <c r="BL347" s="4"/>
      <c r="BM347" s="4"/>
      <c r="BN347" s="4"/>
      <c r="BO347" s="4"/>
      <c r="BP347" s="4"/>
      <c r="BQ347" s="4"/>
      <c r="BR347" s="4"/>
      <c r="BS347" s="4"/>
    </row>
    <row r="348" spans="1:7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c r="AG348" s="3"/>
      <c r="AH348" s="4"/>
      <c r="AI348" s="4"/>
      <c r="AJ348" s="4"/>
      <c r="AK348" s="4"/>
      <c r="AL348" s="4"/>
      <c r="AM348" s="4"/>
      <c r="AN348" s="4"/>
      <c r="AO348" s="4"/>
      <c r="AP348" s="4"/>
      <c r="AQ348" s="4"/>
      <c r="AR348" s="4"/>
      <c r="AS348" s="4"/>
      <c r="AT348" s="4"/>
      <c r="AU348" s="4"/>
      <c r="AV348" s="4"/>
      <c r="AW348" s="4"/>
      <c r="AX348" s="4"/>
      <c r="AY348" s="4"/>
      <c r="AZ348" s="4"/>
      <c r="BA348" s="4"/>
      <c r="BB348" s="4"/>
      <c r="BC348" s="4"/>
      <c r="BD348" s="5"/>
      <c r="BE348" s="4"/>
      <c r="BF348" s="4"/>
      <c r="BG348" s="4"/>
      <c r="BH348" s="4"/>
      <c r="BI348" s="4"/>
      <c r="BJ348" s="4"/>
      <c r="BK348" s="4"/>
      <c r="BL348" s="4"/>
      <c r="BM348" s="4"/>
      <c r="BN348" s="4"/>
      <c r="BO348" s="4"/>
      <c r="BP348" s="4"/>
      <c r="BQ348" s="4"/>
      <c r="BR348" s="4"/>
      <c r="BS348" s="4"/>
    </row>
    <row r="349" spans="1:7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c r="AG349" s="3"/>
      <c r="AH349" s="4"/>
      <c r="AI349" s="4"/>
      <c r="AJ349" s="4"/>
      <c r="AK349" s="4"/>
      <c r="AL349" s="4"/>
      <c r="AM349" s="4"/>
      <c r="AN349" s="4"/>
      <c r="AO349" s="4"/>
      <c r="AP349" s="4"/>
      <c r="AQ349" s="4"/>
      <c r="AR349" s="4"/>
      <c r="AS349" s="4"/>
      <c r="AT349" s="4"/>
      <c r="AU349" s="4"/>
      <c r="AV349" s="4"/>
      <c r="AW349" s="4"/>
      <c r="AX349" s="4"/>
      <c r="AY349" s="4"/>
      <c r="AZ349" s="4"/>
      <c r="BA349" s="4"/>
      <c r="BB349" s="4"/>
      <c r="BC349" s="4"/>
      <c r="BD349" s="5"/>
      <c r="BE349" s="4"/>
      <c r="BF349" s="4"/>
      <c r="BG349" s="4"/>
      <c r="BH349" s="4"/>
      <c r="BI349" s="4"/>
      <c r="BJ349" s="4"/>
      <c r="BK349" s="4"/>
      <c r="BL349" s="4"/>
      <c r="BM349" s="4"/>
      <c r="BN349" s="4"/>
      <c r="BO349" s="4"/>
      <c r="BP349" s="4"/>
      <c r="BQ349" s="4"/>
      <c r="BR349" s="4"/>
      <c r="BS349" s="4"/>
    </row>
    <row r="350" spans="1:7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c r="AG350" s="3"/>
      <c r="AH350" s="4"/>
      <c r="AI350" s="4"/>
      <c r="AJ350" s="4"/>
      <c r="AK350" s="4"/>
      <c r="AL350" s="4"/>
      <c r="AM350" s="4"/>
      <c r="AN350" s="4"/>
      <c r="AO350" s="4"/>
      <c r="AP350" s="4"/>
      <c r="AQ350" s="4"/>
      <c r="AR350" s="4"/>
      <c r="AS350" s="4"/>
      <c r="AT350" s="4"/>
      <c r="AU350" s="4"/>
      <c r="AV350" s="4"/>
      <c r="AW350" s="4"/>
      <c r="AX350" s="4"/>
      <c r="AY350" s="4"/>
      <c r="AZ350" s="4"/>
      <c r="BA350" s="4"/>
      <c r="BB350" s="4"/>
      <c r="BC350" s="4"/>
      <c r="BD350" s="5"/>
      <c r="BE350" s="4"/>
      <c r="BF350" s="4"/>
      <c r="BG350" s="4"/>
      <c r="BH350" s="4"/>
      <c r="BI350" s="4"/>
      <c r="BJ350" s="4"/>
      <c r="BK350" s="4"/>
      <c r="BL350" s="4"/>
      <c r="BM350" s="4"/>
      <c r="BN350" s="4"/>
      <c r="BO350" s="4"/>
      <c r="BP350" s="4"/>
      <c r="BQ350" s="4"/>
      <c r="BR350" s="4"/>
      <c r="BS350" s="4"/>
    </row>
    <row r="351" spans="1:7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c r="AG351" s="3"/>
      <c r="AH351" s="4"/>
      <c r="AI351" s="4"/>
      <c r="AJ351" s="4"/>
      <c r="AK351" s="4"/>
      <c r="AL351" s="4"/>
      <c r="AM351" s="4"/>
      <c r="AN351" s="4"/>
      <c r="AO351" s="4"/>
      <c r="AP351" s="4"/>
      <c r="AQ351" s="4"/>
      <c r="AR351" s="4"/>
      <c r="AS351" s="4"/>
      <c r="AT351" s="4"/>
      <c r="AU351" s="4"/>
      <c r="AV351" s="4"/>
      <c r="AW351" s="4"/>
      <c r="AX351" s="4"/>
      <c r="AY351" s="4"/>
      <c r="AZ351" s="4"/>
      <c r="BA351" s="4"/>
      <c r="BB351" s="4"/>
      <c r="BC351" s="4"/>
      <c r="BD351" s="5"/>
      <c r="BE351" s="4"/>
      <c r="BF351" s="4"/>
      <c r="BG351" s="4"/>
      <c r="BH351" s="4"/>
      <c r="BI351" s="4"/>
      <c r="BJ351" s="4"/>
      <c r="BK351" s="4"/>
      <c r="BL351" s="4"/>
      <c r="BM351" s="4"/>
      <c r="BN351" s="4"/>
      <c r="BO351" s="4"/>
      <c r="BP351" s="4"/>
      <c r="BQ351" s="4"/>
      <c r="BR351" s="4"/>
      <c r="BS351" s="4"/>
    </row>
    <row r="352" spans="1:7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c r="AG352" s="3"/>
      <c r="AH352" s="4"/>
      <c r="AI352" s="4"/>
      <c r="AJ352" s="4"/>
      <c r="AK352" s="4"/>
      <c r="AL352" s="4"/>
      <c r="AM352" s="4"/>
      <c r="AN352" s="4"/>
      <c r="AO352" s="4"/>
      <c r="AP352" s="4"/>
      <c r="AQ352" s="4"/>
      <c r="AR352" s="4"/>
      <c r="AS352" s="4"/>
      <c r="AT352" s="4"/>
      <c r="AU352" s="4"/>
      <c r="AV352" s="4"/>
      <c r="AW352" s="4"/>
      <c r="AX352" s="4"/>
      <c r="AY352" s="4"/>
      <c r="AZ352" s="4"/>
      <c r="BA352" s="4"/>
      <c r="BB352" s="4"/>
      <c r="BC352" s="4"/>
      <c r="BD352" s="5"/>
      <c r="BE352" s="4"/>
      <c r="BF352" s="4"/>
      <c r="BG352" s="4"/>
      <c r="BH352" s="4"/>
      <c r="BI352" s="4"/>
      <c r="BJ352" s="4"/>
      <c r="BK352" s="4"/>
      <c r="BL352" s="4"/>
      <c r="BM352" s="4"/>
      <c r="BN352" s="4"/>
      <c r="BO352" s="4"/>
      <c r="BP352" s="4"/>
      <c r="BQ352" s="4"/>
      <c r="BR352" s="4"/>
      <c r="BS352" s="4"/>
    </row>
    <row r="353" spans="1:7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c r="AG353" s="3"/>
      <c r="AH353" s="4"/>
      <c r="AI353" s="4"/>
      <c r="AJ353" s="4"/>
      <c r="AK353" s="4"/>
      <c r="AL353" s="4"/>
      <c r="AM353" s="4"/>
      <c r="AN353" s="4"/>
      <c r="AO353" s="4"/>
      <c r="AP353" s="4"/>
      <c r="AQ353" s="4"/>
      <c r="AR353" s="4"/>
      <c r="AS353" s="4"/>
      <c r="AT353" s="4"/>
      <c r="AU353" s="4"/>
      <c r="AV353" s="4"/>
      <c r="AW353" s="4"/>
      <c r="AX353" s="4"/>
      <c r="AY353" s="4"/>
      <c r="AZ353" s="4"/>
      <c r="BA353" s="4"/>
      <c r="BB353" s="4"/>
      <c r="BC353" s="4"/>
      <c r="BD353" s="5"/>
      <c r="BE353" s="4"/>
      <c r="BF353" s="4"/>
      <c r="BG353" s="4"/>
      <c r="BH353" s="4"/>
      <c r="BI353" s="4"/>
      <c r="BJ353" s="4"/>
      <c r="BK353" s="4"/>
      <c r="BL353" s="4"/>
      <c r="BM353" s="4"/>
      <c r="BN353" s="4"/>
      <c r="BO353" s="4"/>
      <c r="BP353" s="4"/>
      <c r="BQ353" s="4"/>
      <c r="BR353" s="4"/>
      <c r="BS353" s="4"/>
    </row>
    <row r="354" spans="1:7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c r="AG354" s="3"/>
      <c r="AH354" s="4"/>
      <c r="AI354" s="4"/>
      <c r="AJ354" s="4"/>
      <c r="AK354" s="4"/>
      <c r="AL354" s="4"/>
      <c r="AM354" s="4"/>
      <c r="AN354" s="4"/>
      <c r="AO354" s="4"/>
      <c r="AP354" s="4"/>
      <c r="AQ354" s="4"/>
      <c r="AR354" s="4"/>
      <c r="AS354" s="4"/>
      <c r="AT354" s="4"/>
      <c r="AU354" s="4"/>
      <c r="AV354" s="4"/>
      <c r="AW354" s="4"/>
      <c r="AX354" s="4"/>
      <c r="AY354" s="4"/>
      <c r="AZ354" s="4"/>
      <c r="BA354" s="4"/>
      <c r="BB354" s="4"/>
      <c r="BC354" s="4"/>
      <c r="BD354" s="5"/>
      <c r="BE354" s="4"/>
      <c r="BF354" s="4"/>
      <c r="BG354" s="4"/>
      <c r="BH354" s="4"/>
      <c r="BI354" s="4"/>
      <c r="BJ354" s="4"/>
      <c r="BK354" s="4"/>
      <c r="BL354" s="4"/>
      <c r="BM354" s="4"/>
      <c r="BN354" s="4"/>
      <c r="BO354" s="4"/>
      <c r="BP354" s="4"/>
      <c r="BQ354" s="4"/>
      <c r="BR354" s="4"/>
      <c r="BS354" s="4"/>
    </row>
    <row r="355" spans="1:7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c r="AG355" s="3"/>
      <c r="AH355" s="4"/>
      <c r="AI355" s="4"/>
      <c r="AJ355" s="4"/>
      <c r="AK355" s="4"/>
      <c r="AL355" s="4"/>
      <c r="AM355" s="4"/>
      <c r="AN355" s="4"/>
      <c r="AO355" s="4"/>
      <c r="AP355" s="4"/>
      <c r="AQ355" s="4"/>
      <c r="AR355" s="4"/>
      <c r="AS355" s="4"/>
      <c r="AT355" s="4"/>
      <c r="AU355" s="4"/>
      <c r="AV355" s="4"/>
      <c r="AW355" s="4"/>
      <c r="AX355" s="4"/>
      <c r="AY355" s="4"/>
      <c r="AZ355" s="4"/>
      <c r="BA355" s="4"/>
      <c r="BB355" s="4"/>
      <c r="BC355" s="4"/>
      <c r="BD355" s="5"/>
      <c r="BE355" s="4"/>
      <c r="BF355" s="4"/>
      <c r="BG355" s="4"/>
      <c r="BH355" s="4"/>
      <c r="BI355" s="4"/>
      <c r="BJ355" s="4"/>
      <c r="BK355" s="4"/>
      <c r="BL355" s="4"/>
      <c r="BM355" s="4"/>
      <c r="BN355" s="4"/>
      <c r="BO355" s="4"/>
      <c r="BP355" s="4"/>
      <c r="BQ355" s="4"/>
      <c r="BR355" s="4"/>
      <c r="BS355" s="4"/>
    </row>
    <row r="356" spans="1:7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c r="AG356" s="3"/>
      <c r="AH356" s="4"/>
      <c r="AI356" s="4"/>
      <c r="AJ356" s="4"/>
      <c r="AK356" s="4"/>
      <c r="AL356" s="4"/>
      <c r="AM356" s="4"/>
      <c r="AN356" s="4"/>
      <c r="AO356" s="4"/>
      <c r="AP356" s="4"/>
      <c r="AQ356" s="4"/>
      <c r="AR356" s="4"/>
      <c r="AS356" s="4"/>
      <c r="AT356" s="4"/>
      <c r="AU356" s="4"/>
      <c r="AV356" s="4"/>
      <c r="AW356" s="4"/>
      <c r="AX356" s="4"/>
      <c r="AY356" s="4"/>
      <c r="AZ356" s="4"/>
      <c r="BA356" s="4"/>
      <c r="BB356" s="4"/>
      <c r="BC356" s="4"/>
      <c r="BD356" s="5"/>
      <c r="BE356" s="4"/>
      <c r="BF356" s="4"/>
      <c r="BG356" s="4"/>
      <c r="BH356" s="4"/>
      <c r="BI356" s="4"/>
      <c r="BJ356" s="4"/>
      <c r="BK356" s="4"/>
      <c r="BL356" s="4"/>
      <c r="BM356" s="4"/>
      <c r="BN356" s="4"/>
      <c r="BO356" s="4"/>
      <c r="BP356" s="4"/>
      <c r="BQ356" s="4"/>
      <c r="BR356" s="4"/>
      <c r="BS356" s="4"/>
    </row>
    <row r="357" spans="1:7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c r="AG357" s="3"/>
      <c r="AH357" s="4"/>
      <c r="AI357" s="4"/>
      <c r="AJ357" s="4"/>
      <c r="AK357" s="4"/>
      <c r="AL357" s="4"/>
      <c r="AM357" s="4"/>
      <c r="AN357" s="4"/>
      <c r="AO357" s="4"/>
      <c r="AP357" s="4"/>
      <c r="AQ357" s="4"/>
      <c r="AR357" s="4"/>
      <c r="AS357" s="4"/>
      <c r="AT357" s="4"/>
      <c r="AU357" s="4"/>
      <c r="AV357" s="4"/>
      <c r="AW357" s="4"/>
      <c r="AX357" s="4"/>
      <c r="AY357" s="4"/>
      <c r="AZ357" s="4"/>
      <c r="BA357" s="4"/>
      <c r="BB357" s="4"/>
      <c r="BC357" s="4"/>
      <c r="BD357" s="5"/>
      <c r="BE357" s="4"/>
      <c r="BF357" s="4"/>
      <c r="BG357" s="4"/>
      <c r="BH357" s="4"/>
      <c r="BI357" s="4"/>
      <c r="BJ357" s="4"/>
      <c r="BK357" s="4"/>
      <c r="BL357" s="4"/>
      <c r="BM357" s="4"/>
      <c r="BN357" s="4"/>
      <c r="BO357" s="4"/>
      <c r="BP357" s="4"/>
      <c r="BQ357" s="4"/>
      <c r="BR357" s="4"/>
      <c r="BS357" s="4"/>
    </row>
    <row r="358" spans="1:7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c r="AG358" s="3"/>
      <c r="AH358" s="4"/>
      <c r="AI358" s="4"/>
      <c r="AJ358" s="4"/>
      <c r="AK358" s="4"/>
      <c r="AL358" s="4"/>
      <c r="AM358" s="4"/>
      <c r="AN358" s="4"/>
      <c r="AO358" s="4"/>
      <c r="AP358" s="4"/>
      <c r="AQ358" s="4"/>
      <c r="AR358" s="4"/>
      <c r="AS358" s="4"/>
      <c r="AT358" s="4"/>
      <c r="AU358" s="4"/>
      <c r="AV358" s="4"/>
      <c r="AW358" s="4"/>
      <c r="AX358" s="4"/>
      <c r="AY358" s="4"/>
      <c r="AZ358" s="4"/>
      <c r="BA358" s="4"/>
      <c r="BB358" s="4"/>
      <c r="BC358" s="4"/>
      <c r="BD358" s="5"/>
      <c r="BE358" s="4"/>
      <c r="BF358" s="4"/>
      <c r="BG358" s="4"/>
      <c r="BH358" s="4"/>
      <c r="BI358" s="4"/>
      <c r="BJ358" s="4"/>
      <c r="BK358" s="4"/>
      <c r="BL358" s="4"/>
      <c r="BM358" s="4"/>
      <c r="BN358" s="4"/>
      <c r="BO358" s="4"/>
      <c r="BP358" s="4"/>
      <c r="BQ358" s="4"/>
      <c r="BR358" s="4"/>
      <c r="BS358" s="4"/>
    </row>
    <row r="359" spans="1:7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c r="AG359" s="3"/>
      <c r="AH359" s="4"/>
      <c r="AI359" s="4"/>
      <c r="AJ359" s="4"/>
      <c r="AK359" s="4"/>
      <c r="AL359" s="4"/>
      <c r="AM359" s="4"/>
      <c r="AN359" s="4"/>
      <c r="AO359" s="4"/>
      <c r="AP359" s="4"/>
      <c r="AQ359" s="4"/>
      <c r="AR359" s="4"/>
      <c r="AS359" s="4"/>
      <c r="AT359" s="4"/>
      <c r="AU359" s="4"/>
      <c r="AV359" s="4"/>
      <c r="AW359" s="4"/>
      <c r="AX359" s="4"/>
      <c r="AY359" s="4"/>
      <c r="AZ359" s="4"/>
      <c r="BA359" s="4"/>
      <c r="BB359" s="4"/>
      <c r="BC359" s="4"/>
      <c r="BD359" s="5"/>
      <c r="BE359" s="4"/>
      <c r="BF359" s="4"/>
      <c r="BG359" s="4"/>
      <c r="BH359" s="4"/>
      <c r="BI359" s="4"/>
      <c r="BJ359" s="4"/>
      <c r="BK359" s="4"/>
      <c r="BL359" s="4"/>
      <c r="BM359" s="4"/>
      <c r="BN359" s="4"/>
      <c r="BO359" s="4"/>
      <c r="BP359" s="4"/>
      <c r="BQ359" s="4"/>
      <c r="BR359" s="4"/>
      <c r="BS359" s="4"/>
    </row>
    <row r="360" spans="1:7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c r="AG360" s="3"/>
      <c r="AH360" s="4"/>
      <c r="AI360" s="4"/>
      <c r="AJ360" s="4"/>
      <c r="AK360" s="4"/>
      <c r="AL360" s="4"/>
      <c r="AM360" s="4"/>
      <c r="AN360" s="4"/>
      <c r="AO360" s="4"/>
      <c r="AP360" s="4"/>
      <c r="AQ360" s="4"/>
      <c r="AR360" s="4"/>
      <c r="AS360" s="4"/>
      <c r="AT360" s="4"/>
      <c r="AU360" s="4"/>
      <c r="AV360" s="4"/>
      <c r="AW360" s="4"/>
      <c r="AX360" s="4"/>
      <c r="AY360" s="4"/>
      <c r="AZ360" s="4"/>
      <c r="BA360" s="4"/>
      <c r="BB360" s="4"/>
      <c r="BC360" s="4"/>
      <c r="BD360" s="5"/>
      <c r="BE360" s="4"/>
      <c r="BF360" s="4"/>
      <c r="BG360" s="4"/>
      <c r="BH360" s="4"/>
      <c r="BI360" s="4"/>
      <c r="BJ360" s="4"/>
      <c r="BK360" s="4"/>
      <c r="BL360" s="4"/>
      <c r="BM360" s="4"/>
      <c r="BN360" s="4"/>
      <c r="BO360" s="4"/>
      <c r="BP360" s="4"/>
      <c r="BQ360" s="4"/>
      <c r="BR360" s="4"/>
      <c r="BS360" s="4"/>
    </row>
    <row r="361" spans="1:7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c r="AG361" s="3"/>
      <c r="AH361" s="4"/>
      <c r="AI361" s="4"/>
      <c r="AJ361" s="4"/>
      <c r="AK361" s="4"/>
      <c r="AL361" s="4"/>
      <c r="AM361" s="4"/>
      <c r="AN361" s="4"/>
      <c r="AO361" s="4"/>
      <c r="AP361" s="4"/>
      <c r="AQ361" s="4"/>
      <c r="AR361" s="4"/>
      <c r="AS361" s="4"/>
      <c r="AT361" s="4"/>
      <c r="AU361" s="4"/>
      <c r="AV361" s="4"/>
      <c r="AW361" s="4"/>
      <c r="AX361" s="4"/>
      <c r="AY361" s="4"/>
      <c r="AZ361" s="4"/>
      <c r="BA361" s="4"/>
      <c r="BB361" s="4"/>
      <c r="BC361" s="4"/>
      <c r="BD361" s="5"/>
      <c r="BE361" s="4"/>
      <c r="BF361" s="4"/>
      <c r="BG361" s="4"/>
      <c r="BH361" s="4"/>
      <c r="BI361" s="4"/>
      <c r="BJ361" s="4"/>
      <c r="BK361" s="4"/>
      <c r="BL361" s="4"/>
      <c r="BM361" s="4"/>
      <c r="BN361" s="4"/>
      <c r="BO361" s="4"/>
      <c r="BP361" s="4"/>
      <c r="BQ361" s="4"/>
      <c r="BR361" s="4"/>
      <c r="BS361" s="4"/>
    </row>
    <row r="362" spans="1:7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c r="AG362" s="3"/>
      <c r="AH362" s="4"/>
      <c r="AI362" s="4"/>
      <c r="AJ362" s="4"/>
      <c r="AK362" s="4"/>
      <c r="AL362" s="4"/>
      <c r="AM362" s="4"/>
      <c r="AN362" s="4"/>
      <c r="AO362" s="4"/>
      <c r="AP362" s="4"/>
      <c r="AQ362" s="4"/>
      <c r="AR362" s="4"/>
      <c r="AS362" s="4"/>
      <c r="AT362" s="4"/>
      <c r="AU362" s="4"/>
      <c r="AV362" s="4"/>
      <c r="AW362" s="4"/>
      <c r="AX362" s="4"/>
      <c r="AY362" s="4"/>
      <c r="AZ362" s="4"/>
      <c r="BA362" s="4"/>
      <c r="BB362" s="4"/>
      <c r="BC362" s="4"/>
      <c r="BD362" s="5"/>
      <c r="BE362" s="4"/>
      <c r="BF362" s="4"/>
      <c r="BG362" s="4"/>
      <c r="BH362" s="4"/>
      <c r="BI362" s="4"/>
      <c r="BJ362" s="4"/>
      <c r="BK362" s="4"/>
      <c r="BL362" s="4"/>
      <c r="BM362" s="4"/>
      <c r="BN362" s="4"/>
      <c r="BO362" s="4"/>
      <c r="BP362" s="4"/>
      <c r="BQ362" s="4"/>
      <c r="BR362" s="4"/>
      <c r="BS362" s="4"/>
    </row>
    <row r="363" spans="1:7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c r="AG363" s="3"/>
      <c r="AH363" s="4"/>
      <c r="AI363" s="4"/>
      <c r="AJ363" s="4"/>
      <c r="AK363" s="4"/>
      <c r="AL363" s="4"/>
      <c r="AM363" s="4"/>
      <c r="AN363" s="4"/>
      <c r="AO363" s="4"/>
      <c r="AP363" s="4"/>
      <c r="AQ363" s="4"/>
      <c r="AR363" s="4"/>
      <c r="AS363" s="4"/>
      <c r="AT363" s="4"/>
      <c r="AU363" s="4"/>
      <c r="AV363" s="4"/>
      <c r="AW363" s="4"/>
      <c r="AX363" s="4"/>
      <c r="AY363" s="4"/>
      <c r="AZ363" s="4"/>
      <c r="BA363" s="4"/>
      <c r="BB363" s="4"/>
      <c r="BC363" s="4"/>
      <c r="BD363" s="5"/>
      <c r="BE363" s="4"/>
      <c r="BF363" s="4"/>
      <c r="BG363" s="4"/>
      <c r="BH363" s="4"/>
      <c r="BI363" s="4"/>
      <c r="BJ363" s="4"/>
      <c r="BK363" s="4"/>
      <c r="BL363" s="4"/>
      <c r="BM363" s="4"/>
      <c r="BN363" s="4"/>
      <c r="BO363" s="4"/>
      <c r="BP363" s="4"/>
      <c r="BQ363" s="4"/>
      <c r="BR363" s="4"/>
      <c r="BS363" s="4"/>
    </row>
    <row r="364" spans="1:7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c r="AG364" s="3"/>
      <c r="AH364" s="4"/>
      <c r="AI364" s="4"/>
      <c r="AJ364" s="4"/>
      <c r="AK364" s="4"/>
      <c r="AL364" s="4"/>
      <c r="AM364" s="4"/>
      <c r="AN364" s="4"/>
      <c r="AO364" s="4"/>
      <c r="AP364" s="4"/>
      <c r="AQ364" s="4"/>
      <c r="AR364" s="4"/>
      <c r="AS364" s="4"/>
      <c r="AT364" s="4"/>
      <c r="AU364" s="4"/>
      <c r="AV364" s="4"/>
      <c r="AW364" s="4"/>
      <c r="AX364" s="4"/>
      <c r="AY364" s="4"/>
      <c r="AZ364" s="4"/>
      <c r="BA364" s="4"/>
      <c r="BB364" s="4"/>
      <c r="BC364" s="4"/>
      <c r="BD364" s="5"/>
      <c r="BE364" s="4"/>
      <c r="BF364" s="4"/>
      <c r="BG364" s="4"/>
      <c r="BH364" s="4"/>
      <c r="BI364" s="4"/>
      <c r="BJ364" s="4"/>
      <c r="BK364" s="4"/>
      <c r="BL364" s="4"/>
      <c r="BM364" s="4"/>
      <c r="BN364" s="4"/>
      <c r="BO364" s="4"/>
      <c r="BP364" s="4"/>
      <c r="BQ364" s="4"/>
      <c r="BR364" s="4"/>
      <c r="BS364" s="4"/>
    </row>
    <row r="365" spans="1:7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c r="AG365" s="3"/>
      <c r="AH365" s="4"/>
      <c r="AI365" s="4"/>
      <c r="AJ365" s="4"/>
      <c r="AK365" s="4"/>
      <c r="AL365" s="4"/>
      <c r="AM365" s="4"/>
      <c r="AN365" s="4"/>
      <c r="AO365" s="4"/>
      <c r="AP365" s="4"/>
      <c r="AQ365" s="4"/>
      <c r="AR365" s="4"/>
      <c r="AS365" s="4"/>
      <c r="AT365" s="4"/>
      <c r="AU365" s="4"/>
      <c r="AV365" s="4"/>
      <c r="AW365" s="4"/>
      <c r="AX365" s="4"/>
      <c r="AY365" s="4"/>
      <c r="AZ365" s="4"/>
      <c r="BA365" s="4"/>
      <c r="BB365" s="4"/>
      <c r="BC365" s="4"/>
      <c r="BD365" s="5"/>
      <c r="BE365" s="4"/>
      <c r="BF365" s="4"/>
      <c r="BG365" s="4"/>
      <c r="BH365" s="4"/>
      <c r="BI365" s="4"/>
      <c r="BJ365" s="4"/>
      <c r="BK365" s="4"/>
      <c r="BL365" s="4"/>
      <c r="BM365" s="4"/>
      <c r="BN365" s="4"/>
      <c r="BO365" s="4"/>
      <c r="BP365" s="4"/>
      <c r="BQ365" s="4"/>
      <c r="BR365" s="4"/>
      <c r="BS365" s="4"/>
    </row>
    <row r="366" spans="1:7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c r="AG366" s="3"/>
      <c r="AH366" s="4"/>
      <c r="AI366" s="4"/>
      <c r="AJ366" s="4"/>
      <c r="AK366" s="4"/>
      <c r="AL366" s="4"/>
      <c r="AM366" s="4"/>
      <c r="AN366" s="4"/>
      <c r="AO366" s="4"/>
      <c r="AP366" s="4"/>
      <c r="AQ366" s="4"/>
      <c r="AR366" s="4"/>
      <c r="AS366" s="4"/>
      <c r="AT366" s="4"/>
      <c r="AU366" s="4"/>
      <c r="AV366" s="4"/>
      <c r="AW366" s="4"/>
      <c r="AX366" s="4"/>
      <c r="AY366" s="4"/>
      <c r="AZ366" s="4"/>
      <c r="BA366" s="4"/>
      <c r="BB366" s="4"/>
      <c r="BC366" s="4"/>
      <c r="BD366" s="5"/>
      <c r="BE366" s="4"/>
      <c r="BF366" s="4"/>
      <c r="BG366" s="4"/>
      <c r="BH366" s="4"/>
      <c r="BI366" s="4"/>
      <c r="BJ366" s="4"/>
      <c r="BK366" s="4"/>
      <c r="BL366" s="4"/>
      <c r="BM366" s="4"/>
      <c r="BN366" s="4"/>
      <c r="BO366" s="4"/>
      <c r="BP366" s="4"/>
      <c r="BQ366" s="4"/>
      <c r="BR366" s="4"/>
      <c r="BS366" s="4"/>
    </row>
    <row r="367" spans="1:7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c r="AG367" s="3"/>
      <c r="AH367" s="4"/>
      <c r="AI367" s="4"/>
      <c r="AJ367" s="4"/>
      <c r="AK367" s="4"/>
      <c r="AL367" s="4"/>
      <c r="AM367" s="4"/>
      <c r="AN367" s="4"/>
      <c r="AO367" s="4"/>
      <c r="AP367" s="4"/>
      <c r="AQ367" s="4"/>
      <c r="AR367" s="4"/>
      <c r="AS367" s="4"/>
      <c r="AT367" s="4"/>
      <c r="AU367" s="4"/>
      <c r="AV367" s="4"/>
      <c r="AW367" s="4"/>
      <c r="AX367" s="4"/>
      <c r="AY367" s="4"/>
      <c r="AZ367" s="4"/>
      <c r="BA367" s="4"/>
      <c r="BB367" s="4"/>
      <c r="BC367" s="4"/>
      <c r="BD367" s="5"/>
      <c r="BE367" s="4"/>
      <c r="BF367" s="4"/>
      <c r="BG367" s="4"/>
      <c r="BH367" s="4"/>
      <c r="BI367" s="4"/>
      <c r="BJ367" s="4"/>
      <c r="BK367" s="4"/>
      <c r="BL367" s="4"/>
      <c r="BM367" s="4"/>
      <c r="BN367" s="4"/>
      <c r="BO367" s="4"/>
      <c r="BP367" s="4"/>
      <c r="BQ367" s="4"/>
      <c r="BR367" s="4"/>
      <c r="BS367" s="4"/>
    </row>
    <row r="368" spans="1:7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c r="AG368" s="3"/>
      <c r="AH368" s="4"/>
      <c r="AI368" s="4"/>
      <c r="AJ368" s="4"/>
      <c r="AK368" s="4"/>
      <c r="AL368" s="4"/>
      <c r="AM368" s="4"/>
      <c r="AN368" s="4"/>
      <c r="AO368" s="4"/>
      <c r="AP368" s="4"/>
      <c r="AQ368" s="4"/>
      <c r="AR368" s="4"/>
      <c r="AS368" s="4"/>
      <c r="AT368" s="4"/>
      <c r="AU368" s="4"/>
      <c r="AV368" s="4"/>
      <c r="AW368" s="4"/>
      <c r="AX368" s="4"/>
      <c r="AY368" s="4"/>
      <c r="AZ368" s="4"/>
      <c r="BA368" s="4"/>
      <c r="BB368" s="4"/>
      <c r="BC368" s="4"/>
      <c r="BD368" s="5"/>
      <c r="BE368" s="4"/>
      <c r="BF368" s="4"/>
      <c r="BG368" s="4"/>
      <c r="BH368" s="4"/>
      <c r="BI368" s="4"/>
      <c r="BJ368" s="4"/>
      <c r="BK368" s="4"/>
      <c r="BL368" s="4"/>
      <c r="BM368" s="4"/>
      <c r="BN368" s="4"/>
      <c r="BO368" s="4"/>
      <c r="BP368" s="4"/>
      <c r="BQ368" s="4"/>
      <c r="BR368" s="4"/>
      <c r="BS368" s="4"/>
    </row>
    <row r="369" spans="1:7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c r="AG369" s="3"/>
      <c r="AH369" s="4"/>
      <c r="AI369" s="4"/>
      <c r="AJ369" s="4"/>
      <c r="AK369" s="4"/>
      <c r="AL369" s="4"/>
      <c r="AM369" s="4"/>
      <c r="AN369" s="4"/>
      <c r="AO369" s="4"/>
      <c r="AP369" s="4"/>
      <c r="AQ369" s="4"/>
      <c r="AR369" s="4"/>
      <c r="AS369" s="4"/>
      <c r="AT369" s="4"/>
      <c r="AU369" s="4"/>
      <c r="AV369" s="4"/>
      <c r="AW369" s="4"/>
      <c r="AX369" s="4"/>
      <c r="AY369" s="4"/>
      <c r="AZ369" s="4"/>
      <c r="BA369" s="4"/>
      <c r="BB369" s="4"/>
      <c r="BC369" s="4"/>
      <c r="BD369" s="5"/>
      <c r="BE369" s="4"/>
      <c r="BF369" s="4"/>
      <c r="BG369" s="4"/>
      <c r="BH369" s="4"/>
      <c r="BI369" s="4"/>
      <c r="BJ369" s="4"/>
      <c r="BK369" s="4"/>
      <c r="BL369" s="4"/>
      <c r="BM369" s="4"/>
      <c r="BN369" s="4"/>
      <c r="BO369" s="4"/>
      <c r="BP369" s="4"/>
      <c r="BQ369" s="4"/>
      <c r="BR369" s="4"/>
      <c r="BS369" s="4"/>
    </row>
    <row r="370" spans="1:7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c r="AG370" s="3"/>
      <c r="AH370" s="4"/>
      <c r="AI370" s="4"/>
      <c r="AJ370" s="4"/>
      <c r="AK370" s="4"/>
      <c r="AL370" s="4"/>
      <c r="AM370" s="4"/>
      <c r="AN370" s="4"/>
      <c r="AO370" s="4"/>
      <c r="AP370" s="4"/>
      <c r="AQ370" s="4"/>
      <c r="AR370" s="4"/>
      <c r="AS370" s="4"/>
      <c r="AT370" s="4"/>
      <c r="AU370" s="4"/>
      <c r="AV370" s="4"/>
      <c r="AW370" s="4"/>
      <c r="AX370" s="4"/>
      <c r="AY370" s="4"/>
      <c r="AZ370" s="4"/>
      <c r="BA370" s="4"/>
      <c r="BB370" s="4"/>
      <c r="BC370" s="4"/>
      <c r="BD370" s="5"/>
      <c r="BE370" s="4"/>
      <c r="BF370" s="4"/>
      <c r="BG370" s="4"/>
      <c r="BH370" s="4"/>
      <c r="BI370" s="4"/>
      <c r="BJ370" s="4"/>
      <c r="BK370" s="4"/>
      <c r="BL370" s="4"/>
      <c r="BM370" s="4"/>
      <c r="BN370" s="4"/>
      <c r="BO370" s="4"/>
      <c r="BP370" s="4"/>
      <c r="BQ370" s="4"/>
      <c r="BR370" s="4"/>
      <c r="BS370" s="4"/>
    </row>
    <row r="371" spans="1: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c r="AG371" s="3"/>
      <c r="AH371" s="4"/>
      <c r="AI371" s="4"/>
      <c r="AJ371" s="4"/>
      <c r="AK371" s="4"/>
      <c r="AL371" s="4"/>
      <c r="AM371" s="4"/>
      <c r="AN371" s="4"/>
      <c r="AO371" s="4"/>
      <c r="AP371" s="4"/>
      <c r="AQ371" s="4"/>
      <c r="AR371" s="4"/>
      <c r="AS371" s="4"/>
      <c r="AT371" s="4"/>
      <c r="AU371" s="4"/>
      <c r="AV371" s="4"/>
      <c r="AW371" s="4"/>
      <c r="AX371" s="4"/>
      <c r="AY371" s="4"/>
      <c r="AZ371" s="4"/>
      <c r="BA371" s="4"/>
      <c r="BB371" s="4"/>
      <c r="BC371" s="4"/>
      <c r="BD371" s="5"/>
      <c r="BE371" s="4"/>
      <c r="BF371" s="4"/>
      <c r="BG371" s="4"/>
      <c r="BH371" s="4"/>
      <c r="BI371" s="4"/>
      <c r="BJ371" s="4"/>
      <c r="BK371" s="4"/>
      <c r="BL371" s="4"/>
      <c r="BM371" s="4"/>
      <c r="BN371" s="4"/>
      <c r="BO371" s="4"/>
      <c r="BP371" s="4"/>
      <c r="BQ371" s="4"/>
      <c r="BR371" s="4"/>
      <c r="BS371" s="4"/>
    </row>
    <row r="372" spans="1:7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c r="AG372" s="3"/>
      <c r="AH372" s="4"/>
      <c r="AI372" s="4"/>
      <c r="AJ372" s="4"/>
      <c r="AK372" s="4"/>
      <c r="AL372" s="4"/>
      <c r="AM372" s="4"/>
      <c r="AN372" s="4"/>
      <c r="AO372" s="4"/>
      <c r="AP372" s="4"/>
      <c r="AQ372" s="4"/>
      <c r="AR372" s="4"/>
      <c r="AS372" s="4"/>
      <c r="AT372" s="4"/>
      <c r="AU372" s="4"/>
      <c r="AV372" s="4"/>
      <c r="AW372" s="4"/>
      <c r="AX372" s="4"/>
      <c r="AY372" s="4"/>
      <c r="AZ372" s="4"/>
      <c r="BA372" s="4"/>
      <c r="BB372" s="4"/>
      <c r="BC372" s="4"/>
      <c r="BD372" s="5"/>
      <c r="BE372" s="4"/>
      <c r="BF372" s="4"/>
      <c r="BG372" s="4"/>
      <c r="BH372" s="4"/>
      <c r="BI372" s="4"/>
      <c r="BJ372" s="4"/>
      <c r="BK372" s="4"/>
      <c r="BL372" s="4"/>
      <c r="BM372" s="4"/>
      <c r="BN372" s="4"/>
      <c r="BO372" s="4"/>
      <c r="BP372" s="4"/>
      <c r="BQ372" s="4"/>
      <c r="BR372" s="4"/>
      <c r="BS372" s="4"/>
    </row>
    <row r="373" spans="1:7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c r="AG373" s="3"/>
      <c r="AH373" s="4"/>
      <c r="AI373" s="4"/>
      <c r="AJ373" s="4"/>
      <c r="AK373" s="4"/>
      <c r="AL373" s="4"/>
      <c r="AM373" s="4"/>
      <c r="AN373" s="4"/>
      <c r="AO373" s="4"/>
      <c r="AP373" s="4"/>
      <c r="AQ373" s="4"/>
      <c r="AR373" s="4"/>
      <c r="AS373" s="4"/>
      <c r="AT373" s="4"/>
      <c r="AU373" s="4"/>
      <c r="AV373" s="4"/>
      <c r="AW373" s="4"/>
      <c r="AX373" s="4"/>
      <c r="AY373" s="4"/>
      <c r="AZ373" s="4"/>
      <c r="BA373" s="4"/>
      <c r="BB373" s="4"/>
      <c r="BC373" s="4"/>
      <c r="BD373" s="5"/>
      <c r="BE373" s="4"/>
      <c r="BF373" s="4"/>
      <c r="BG373" s="4"/>
      <c r="BH373" s="4"/>
      <c r="BI373" s="4"/>
      <c r="BJ373" s="4"/>
      <c r="BK373" s="4"/>
      <c r="BL373" s="4"/>
      <c r="BM373" s="4"/>
      <c r="BN373" s="4"/>
      <c r="BO373" s="4"/>
      <c r="BP373" s="4"/>
      <c r="BQ373" s="4"/>
      <c r="BR373" s="4"/>
      <c r="BS373" s="4"/>
    </row>
    <row r="374" spans="1:7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c r="AG374" s="3"/>
      <c r="AH374" s="4"/>
      <c r="AI374" s="4"/>
      <c r="AJ374" s="4"/>
      <c r="AK374" s="4"/>
      <c r="AL374" s="4"/>
      <c r="AM374" s="4"/>
      <c r="AN374" s="4"/>
      <c r="AO374" s="4"/>
      <c r="AP374" s="4"/>
      <c r="AQ374" s="4"/>
      <c r="AR374" s="4"/>
      <c r="AS374" s="4"/>
      <c r="AT374" s="4"/>
      <c r="AU374" s="4"/>
      <c r="AV374" s="4"/>
      <c r="AW374" s="4"/>
      <c r="AX374" s="4"/>
      <c r="AY374" s="4"/>
      <c r="AZ374" s="4"/>
      <c r="BA374" s="4"/>
      <c r="BB374" s="4"/>
      <c r="BC374" s="4"/>
      <c r="BD374" s="5"/>
      <c r="BE374" s="4"/>
      <c r="BF374" s="4"/>
      <c r="BG374" s="4"/>
      <c r="BH374" s="4"/>
      <c r="BI374" s="4"/>
      <c r="BJ374" s="4"/>
      <c r="BK374" s="4"/>
      <c r="BL374" s="4"/>
      <c r="BM374" s="4"/>
      <c r="BN374" s="4"/>
      <c r="BO374" s="4"/>
      <c r="BP374" s="4"/>
      <c r="BQ374" s="4"/>
      <c r="BR374" s="4"/>
      <c r="BS374" s="4"/>
    </row>
    <row r="375" spans="1:7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c r="AG375" s="3"/>
      <c r="AH375" s="4"/>
      <c r="AI375" s="4"/>
      <c r="AJ375" s="4"/>
      <c r="AK375" s="4"/>
      <c r="AL375" s="4"/>
      <c r="AM375" s="4"/>
      <c r="AN375" s="4"/>
      <c r="AO375" s="4"/>
      <c r="AP375" s="4"/>
      <c r="AQ375" s="4"/>
      <c r="AR375" s="4"/>
      <c r="AS375" s="4"/>
      <c r="AT375" s="4"/>
      <c r="AU375" s="4"/>
      <c r="AV375" s="4"/>
      <c r="AW375" s="4"/>
      <c r="AX375" s="4"/>
      <c r="AY375" s="4"/>
      <c r="AZ375" s="4"/>
      <c r="BA375" s="4"/>
      <c r="BB375" s="4"/>
      <c r="BC375" s="4"/>
      <c r="BD375" s="5"/>
      <c r="BE375" s="4"/>
      <c r="BF375" s="4"/>
      <c r="BG375" s="4"/>
      <c r="BH375" s="4"/>
      <c r="BI375" s="4"/>
      <c r="BJ375" s="4"/>
      <c r="BK375" s="4"/>
      <c r="BL375" s="4"/>
      <c r="BM375" s="4"/>
      <c r="BN375" s="4"/>
      <c r="BO375" s="4"/>
      <c r="BP375" s="4"/>
      <c r="BQ375" s="4"/>
      <c r="BR375" s="4"/>
      <c r="BS375" s="4"/>
    </row>
    <row r="376" spans="1:7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c r="AG376" s="3"/>
      <c r="AH376" s="4"/>
      <c r="AI376" s="4"/>
      <c r="AJ376" s="4"/>
      <c r="AK376" s="4"/>
      <c r="AL376" s="4"/>
      <c r="AM376" s="4"/>
      <c r="AN376" s="4"/>
      <c r="AO376" s="4"/>
      <c r="AP376" s="4"/>
      <c r="AQ376" s="4"/>
      <c r="AR376" s="4"/>
      <c r="AS376" s="4"/>
      <c r="AT376" s="4"/>
      <c r="AU376" s="4"/>
      <c r="AV376" s="4"/>
      <c r="AW376" s="4"/>
      <c r="AX376" s="4"/>
      <c r="AY376" s="4"/>
      <c r="AZ376" s="4"/>
      <c r="BA376" s="4"/>
      <c r="BB376" s="4"/>
      <c r="BC376" s="4"/>
      <c r="BD376" s="5"/>
      <c r="BE376" s="4"/>
      <c r="BF376" s="4"/>
      <c r="BG376" s="4"/>
      <c r="BH376" s="4"/>
      <c r="BI376" s="4"/>
      <c r="BJ376" s="4"/>
      <c r="BK376" s="4"/>
      <c r="BL376" s="4"/>
      <c r="BM376" s="4"/>
      <c r="BN376" s="4"/>
      <c r="BO376" s="4"/>
      <c r="BP376" s="4"/>
      <c r="BQ376" s="4"/>
      <c r="BR376" s="4"/>
      <c r="BS376" s="4"/>
    </row>
    <row r="377" spans="1:7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c r="AG377" s="3"/>
      <c r="AH377" s="4"/>
      <c r="AI377" s="4"/>
      <c r="AJ377" s="4"/>
      <c r="AK377" s="4"/>
      <c r="AL377" s="4"/>
      <c r="AM377" s="4"/>
      <c r="AN377" s="4"/>
      <c r="AO377" s="4"/>
      <c r="AP377" s="4"/>
      <c r="AQ377" s="4"/>
      <c r="AR377" s="4"/>
      <c r="AS377" s="4"/>
      <c r="AT377" s="4"/>
      <c r="AU377" s="4"/>
      <c r="AV377" s="4"/>
      <c r="AW377" s="4"/>
      <c r="AX377" s="4"/>
      <c r="AY377" s="4"/>
      <c r="AZ377" s="4"/>
      <c r="BA377" s="4"/>
      <c r="BB377" s="4"/>
      <c r="BC377" s="4"/>
      <c r="BD377" s="5"/>
      <c r="BE377" s="4"/>
      <c r="BF377" s="4"/>
      <c r="BG377" s="4"/>
      <c r="BH377" s="4"/>
      <c r="BI377" s="4"/>
      <c r="BJ377" s="4"/>
      <c r="BK377" s="4"/>
      <c r="BL377" s="4"/>
      <c r="BM377" s="4"/>
      <c r="BN377" s="4"/>
      <c r="BO377" s="4"/>
      <c r="BP377" s="4"/>
      <c r="BQ377" s="4"/>
      <c r="BR377" s="4"/>
      <c r="BS377" s="4"/>
    </row>
    <row r="378" spans="1:7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c r="AH378" s="4"/>
      <c r="AI378" s="4"/>
      <c r="AJ378" s="4"/>
      <c r="AK378" s="4"/>
      <c r="AL378" s="4"/>
      <c r="AM378" s="4"/>
      <c r="AN378" s="4"/>
      <c r="AO378" s="4"/>
      <c r="AP378" s="4"/>
      <c r="AQ378" s="4"/>
      <c r="AR378" s="4"/>
      <c r="AS378" s="4"/>
      <c r="AT378" s="4"/>
      <c r="AU378" s="4"/>
      <c r="AV378" s="4"/>
      <c r="AW378" s="4"/>
      <c r="AX378" s="4"/>
      <c r="AY378" s="4"/>
      <c r="AZ378" s="4"/>
      <c r="BA378" s="4"/>
      <c r="BB378" s="4"/>
      <c r="BC378" s="4"/>
      <c r="BD378" s="5"/>
      <c r="BE378" s="4"/>
      <c r="BF378" s="4"/>
      <c r="BG378" s="4"/>
      <c r="BH378" s="4"/>
      <c r="BI378" s="4"/>
      <c r="BJ378" s="4"/>
      <c r="BK378" s="4"/>
      <c r="BL378" s="4"/>
      <c r="BM378" s="4"/>
      <c r="BN378" s="4"/>
      <c r="BO378" s="4"/>
      <c r="BP378" s="4"/>
      <c r="BQ378" s="4"/>
      <c r="BR378" s="4"/>
      <c r="BS378" s="4"/>
    </row>
    <row r="379" spans="1:7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c r="AG379" s="3"/>
      <c r="AH379" s="4"/>
      <c r="AI379" s="4"/>
      <c r="AJ379" s="4"/>
      <c r="AK379" s="4"/>
      <c r="AL379" s="4"/>
      <c r="AM379" s="4"/>
      <c r="AN379" s="4"/>
      <c r="AO379" s="4"/>
      <c r="AP379" s="4"/>
      <c r="AQ379" s="4"/>
      <c r="AR379" s="4"/>
      <c r="AS379" s="4"/>
      <c r="AT379" s="4"/>
      <c r="AU379" s="4"/>
      <c r="AV379" s="4"/>
      <c r="AW379" s="4"/>
      <c r="AX379" s="4"/>
      <c r="AY379" s="4"/>
      <c r="AZ379" s="4"/>
      <c r="BA379" s="4"/>
      <c r="BB379" s="4"/>
      <c r="BC379" s="4"/>
      <c r="BD379" s="5"/>
      <c r="BE379" s="4"/>
      <c r="BF379" s="4"/>
      <c r="BG379" s="4"/>
      <c r="BH379" s="4"/>
      <c r="BI379" s="4"/>
      <c r="BJ379" s="4"/>
      <c r="BK379" s="4"/>
      <c r="BL379" s="4"/>
      <c r="BM379" s="4"/>
      <c r="BN379" s="4"/>
      <c r="BO379" s="4"/>
      <c r="BP379" s="4"/>
      <c r="BQ379" s="4"/>
      <c r="BR379" s="4"/>
      <c r="BS379" s="4"/>
    </row>
    <row r="380" spans="1:7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c r="AG380" s="3"/>
      <c r="AH380" s="4"/>
      <c r="AI380" s="4"/>
      <c r="AJ380" s="4"/>
      <c r="AK380" s="4"/>
      <c r="AL380" s="4"/>
      <c r="AM380" s="4"/>
      <c r="AN380" s="4"/>
      <c r="AO380" s="4"/>
      <c r="AP380" s="4"/>
      <c r="AQ380" s="4"/>
      <c r="AR380" s="4"/>
      <c r="AS380" s="4"/>
      <c r="AT380" s="4"/>
      <c r="AU380" s="4"/>
      <c r="AV380" s="4"/>
      <c r="AW380" s="4"/>
      <c r="AX380" s="4"/>
      <c r="AY380" s="4"/>
      <c r="AZ380" s="4"/>
      <c r="BA380" s="4"/>
      <c r="BB380" s="4"/>
      <c r="BC380" s="4"/>
      <c r="BD380" s="5"/>
      <c r="BE380" s="4"/>
      <c r="BF380" s="4"/>
      <c r="BG380" s="4"/>
      <c r="BH380" s="4"/>
      <c r="BI380" s="4"/>
      <c r="BJ380" s="4"/>
      <c r="BK380" s="4"/>
      <c r="BL380" s="4"/>
      <c r="BM380" s="4"/>
      <c r="BN380" s="4"/>
      <c r="BO380" s="4"/>
      <c r="BP380" s="4"/>
      <c r="BQ380" s="4"/>
      <c r="BR380" s="4"/>
      <c r="BS380" s="4"/>
    </row>
    <row r="381" spans="1:7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c r="AG381" s="3"/>
      <c r="AH381" s="4"/>
      <c r="AI381" s="4"/>
      <c r="AJ381" s="4"/>
      <c r="AK381" s="4"/>
      <c r="AL381" s="4"/>
      <c r="AM381" s="4"/>
      <c r="AN381" s="4"/>
      <c r="AO381" s="4"/>
      <c r="AP381" s="4"/>
      <c r="AQ381" s="4"/>
      <c r="AR381" s="4"/>
      <c r="AS381" s="4"/>
      <c r="AT381" s="4"/>
      <c r="AU381" s="4"/>
      <c r="AV381" s="4"/>
      <c r="AW381" s="4"/>
      <c r="AX381" s="4"/>
      <c r="AY381" s="4"/>
      <c r="AZ381" s="4"/>
      <c r="BA381" s="4"/>
      <c r="BB381" s="4"/>
      <c r="BC381" s="4"/>
      <c r="BD381" s="5"/>
      <c r="BE381" s="4"/>
      <c r="BF381" s="4"/>
      <c r="BG381" s="4"/>
      <c r="BH381" s="4"/>
      <c r="BI381" s="4"/>
      <c r="BJ381" s="4"/>
      <c r="BK381" s="4"/>
      <c r="BL381" s="4"/>
      <c r="BM381" s="4"/>
      <c r="BN381" s="4"/>
      <c r="BO381" s="4"/>
      <c r="BP381" s="4"/>
      <c r="BQ381" s="4"/>
      <c r="BR381" s="4"/>
      <c r="BS381" s="4"/>
    </row>
    <row r="382" spans="1:7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c r="AG382" s="3"/>
      <c r="AH382" s="4"/>
      <c r="AI382" s="4"/>
      <c r="AJ382" s="4"/>
      <c r="AK382" s="4"/>
      <c r="AL382" s="4"/>
      <c r="AM382" s="4"/>
      <c r="AN382" s="4"/>
      <c r="AO382" s="4"/>
      <c r="AP382" s="4"/>
      <c r="AQ382" s="4"/>
      <c r="AR382" s="4"/>
      <c r="AS382" s="4"/>
      <c r="AT382" s="4"/>
      <c r="AU382" s="4"/>
      <c r="AV382" s="4"/>
      <c r="AW382" s="4"/>
      <c r="AX382" s="4"/>
      <c r="AY382" s="4"/>
      <c r="AZ382" s="4"/>
      <c r="BA382" s="4"/>
      <c r="BB382" s="4"/>
      <c r="BC382" s="4"/>
      <c r="BD382" s="5"/>
      <c r="BE382" s="4"/>
      <c r="BF382" s="4"/>
      <c r="BG382" s="4"/>
      <c r="BH382" s="4"/>
      <c r="BI382" s="4"/>
      <c r="BJ382" s="4"/>
      <c r="BK382" s="4"/>
      <c r="BL382" s="4"/>
      <c r="BM382" s="4"/>
      <c r="BN382" s="4"/>
      <c r="BO382" s="4"/>
      <c r="BP382" s="4"/>
      <c r="BQ382" s="4"/>
      <c r="BR382" s="4"/>
      <c r="BS382" s="4"/>
    </row>
    <row r="383" spans="1:7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c r="AG383" s="3"/>
      <c r="AH383" s="4"/>
      <c r="AI383" s="4"/>
      <c r="AJ383" s="4"/>
      <c r="AK383" s="4"/>
      <c r="AL383" s="4"/>
      <c r="AM383" s="4"/>
      <c r="AN383" s="4"/>
      <c r="AO383" s="4"/>
      <c r="AP383" s="4"/>
      <c r="AQ383" s="4"/>
      <c r="AR383" s="4"/>
      <c r="AS383" s="4"/>
      <c r="AT383" s="4"/>
      <c r="AU383" s="4"/>
      <c r="AV383" s="4"/>
      <c r="AW383" s="4"/>
      <c r="AX383" s="4"/>
      <c r="AY383" s="4"/>
      <c r="AZ383" s="4"/>
      <c r="BA383" s="4"/>
      <c r="BB383" s="4"/>
      <c r="BC383" s="4"/>
      <c r="BD383" s="5"/>
      <c r="BE383" s="4"/>
      <c r="BF383" s="4"/>
      <c r="BG383" s="4"/>
      <c r="BH383" s="4"/>
      <c r="BI383" s="4"/>
      <c r="BJ383" s="4"/>
      <c r="BK383" s="4"/>
      <c r="BL383" s="4"/>
      <c r="BM383" s="4"/>
      <c r="BN383" s="4"/>
      <c r="BO383" s="4"/>
      <c r="BP383" s="4"/>
      <c r="BQ383" s="4"/>
      <c r="BR383" s="4"/>
      <c r="BS383" s="4"/>
    </row>
    <row r="384" spans="1:7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c r="AG384" s="3"/>
      <c r="AH384" s="4"/>
      <c r="AI384" s="4"/>
      <c r="AJ384" s="4"/>
      <c r="AK384" s="4"/>
      <c r="AL384" s="4"/>
      <c r="AM384" s="4"/>
      <c r="AN384" s="4"/>
      <c r="AO384" s="4"/>
      <c r="AP384" s="4"/>
      <c r="AQ384" s="4"/>
      <c r="AR384" s="4"/>
      <c r="AS384" s="4"/>
      <c r="AT384" s="4"/>
      <c r="AU384" s="4"/>
      <c r="AV384" s="4"/>
      <c r="AW384" s="4"/>
      <c r="AX384" s="4"/>
      <c r="AY384" s="4"/>
      <c r="AZ384" s="4"/>
      <c r="BA384" s="4"/>
      <c r="BB384" s="4"/>
      <c r="BC384" s="4"/>
      <c r="BD384" s="5"/>
      <c r="BE384" s="4"/>
      <c r="BF384" s="4"/>
      <c r="BG384" s="4"/>
      <c r="BH384" s="4"/>
      <c r="BI384" s="4"/>
      <c r="BJ384" s="4"/>
      <c r="BK384" s="4"/>
      <c r="BL384" s="4"/>
      <c r="BM384" s="4"/>
      <c r="BN384" s="4"/>
      <c r="BO384" s="4"/>
      <c r="BP384" s="4"/>
      <c r="BQ384" s="4"/>
      <c r="BR384" s="4"/>
      <c r="BS384" s="4"/>
    </row>
    <row r="385" spans="1:7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c r="AG385" s="3"/>
      <c r="AH385" s="4"/>
      <c r="AI385" s="4"/>
      <c r="AJ385" s="4"/>
      <c r="AK385" s="4"/>
      <c r="AL385" s="4"/>
      <c r="AM385" s="4"/>
      <c r="AN385" s="4"/>
      <c r="AO385" s="4"/>
      <c r="AP385" s="4"/>
      <c r="AQ385" s="4"/>
      <c r="AR385" s="4"/>
      <c r="AS385" s="4"/>
      <c r="AT385" s="4"/>
      <c r="AU385" s="4"/>
      <c r="AV385" s="4"/>
      <c r="AW385" s="4"/>
      <c r="AX385" s="4"/>
      <c r="AY385" s="4"/>
      <c r="AZ385" s="4"/>
      <c r="BA385" s="4"/>
      <c r="BB385" s="4"/>
      <c r="BC385" s="4"/>
      <c r="BD385" s="5"/>
      <c r="BE385" s="4"/>
      <c r="BF385" s="4"/>
      <c r="BG385" s="4"/>
      <c r="BH385" s="4"/>
      <c r="BI385" s="4"/>
      <c r="BJ385" s="4"/>
      <c r="BK385" s="4"/>
      <c r="BL385" s="4"/>
      <c r="BM385" s="4"/>
      <c r="BN385" s="4"/>
      <c r="BO385" s="4"/>
      <c r="BP385" s="4"/>
      <c r="BQ385" s="4"/>
      <c r="BR385" s="4"/>
      <c r="BS385" s="4"/>
    </row>
    <row r="386" spans="1:7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c r="AG386" s="3"/>
      <c r="AH386" s="4"/>
      <c r="AI386" s="4"/>
      <c r="AJ386" s="4"/>
      <c r="AK386" s="4"/>
      <c r="AL386" s="4"/>
      <c r="AM386" s="4"/>
      <c r="AN386" s="4"/>
      <c r="AO386" s="4"/>
      <c r="AP386" s="4"/>
      <c r="AQ386" s="4"/>
      <c r="AR386" s="4"/>
      <c r="AS386" s="4"/>
      <c r="AT386" s="4"/>
      <c r="AU386" s="4"/>
      <c r="AV386" s="4"/>
      <c r="AW386" s="4"/>
      <c r="AX386" s="4"/>
      <c r="AY386" s="4"/>
      <c r="AZ386" s="4"/>
      <c r="BA386" s="4"/>
      <c r="BB386" s="4"/>
      <c r="BC386" s="4"/>
      <c r="BD386" s="5"/>
      <c r="BE386" s="4"/>
      <c r="BF386" s="4"/>
      <c r="BG386" s="4"/>
      <c r="BH386" s="4"/>
      <c r="BI386" s="4"/>
      <c r="BJ386" s="4"/>
      <c r="BK386" s="4"/>
      <c r="BL386" s="4"/>
      <c r="BM386" s="4"/>
      <c r="BN386" s="4"/>
      <c r="BO386" s="4"/>
      <c r="BP386" s="4"/>
      <c r="BQ386" s="4"/>
      <c r="BR386" s="4"/>
      <c r="BS386" s="4"/>
    </row>
    <row r="387" spans="1:7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c r="AG387" s="3"/>
      <c r="AH387" s="4"/>
      <c r="AI387" s="4"/>
      <c r="AJ387" s="4"/>
      <c r="AK387" s="4"/>
      <c r="AL387" s="4"/>
      <c r="AM387" s="4"/>
      <c r="AN387" s="4"/>
      <c r="AO387" s="4"/>
      <c r="AP387" s="4"/>
      <c r="AQ387" s="4"/>
      <c r="AR387" s="4"/>
      <c r="AS387" s="4"/>
      <c r="AT387" s="4"/>
      <c r="AU387" s="4"/>
      <c r="AV387" s="4"/>
      <c r="AW387" s="4"/>
      <c r="AX387" s="4"/>
      <c r="AY387" s="4"/>
      <c r="AZ387" s="4"/>
      <c r="BA387" s="4"/>
      <c r="BB387" s="4"/>
      <c r="BC387" s="4"/>
      <c r="BD387" s="5"/>
      <c r="BE387" s="4"/>
      <c r="BF387" s="4"/>
      <c r="BG387" s="4"/>
      <c r="BH387" s="4"/>
      <c r="BI387" s="4"/>
      <c r="BJ387" s="4"/>
      <c r="BK387" s="4"/>
      <c r="BL387" s="4"/>
      <c r="BM387" s="4"/>
      <c r="BN387" s="4"/>
      <c r="BO387" s="4"/>
      <c r="BP387" s="4"/>
      <c r="BQ387" s="4"/>
      <c r="BR387" s="4"/>
      <c r="BS387" s="4"/>
    </row>
    <row r="388" spans="1:7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c r="AG388" s="3"/>
      <c r="AH388" s="4"/>
      <c r="AI388" s="4"/>
      <c r="AJ388" s="4"/>
      <c r="AK388" s="4"/>
      <c r="AL388" s="4"/>
      <c r="AM388" s="4"/>
      <c r="AN388" s="4"/>
      <c r="AO388" s="4"/>
      <c r="AP388" s="4"/>
      <c r="AQ388" s="4"/>
      <c r="AR388" s="4"/>
      <c r="AS388" s="4"/>
      <c r="AT388" s="4"/>
      <c r="AU388" s="4"/>
      <c r="AV388" s="4"/>
      <c r="AW388" s="4"/>
      <c r="AX388" s="4"/>
      <c r="AY388" s="4"/>
      <c r="AZ388" s="4"/>
      <c r="BA388" s="4"/>
      <c r="BB388" s="4"/>
      <c r="BC388" s="4"/>
      <c r="BD388" s="5"/>
      <c r="BE388" s="4"/>
      <c r="BF388" s="4"/>
      <c r="BG388" s="4"/>
      <c r="BH388" s="4"/>
      <c r="BI388" s="4"/>
      <c r="BJ388" s="4"/>
      <c r="BK388" s="4"/>
      <c r="BL388" s="4"/>
      <c r="BM388" s="4"/>
      <c r="BN388" s="4"/>
      <c r="BO388" s="4"/>
      <c r="BP388" s="4"/>
      <c r="BQ388" s="4"/>
      <c r="BR388" s="4"/>
      <c r="BS388" s="4"/>
    </row>
    <row r="389" spans="1:7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c r="AG389" s="3"/>
      <c r="AH389" s="4"/>
      <c r="AI389" s="4"/>
      <c r="AJ389" s="4"/>
      <c r="AK389" s="4"/>
      <c r="AL389" s="4"/>
      <c r="AM389" s="4"/>
      <c r="AN389" s="4"/>
      <c r="AO389" s="4"/>
      <c r="AP389" s="4"/>
      <c r="AQ389" s="4"/>
      <c r="AR389" s="4"/>
      <c r="AS389" s="4"/>
      <c r="AT389" s="4"/>
      <c r="AU389" s="4"/>
      <c r="AV389" s="4"/>
      <c r="AW389" s="4"/>
      <c r="AX389" s="4"/>
      <c r="AY389" s="4"/>
      <c r="AZ389" s="4"/>
      <c r="BA389" s="4"/>
      <c r="BB389" s="4"/>
      <c r="BC389" s="4"/>
      <c r="BD389" s="5"/>
      <c r="BE389" s="4"/>
      <c r="BF389" s="4"/>
      <c r="BG389" s="4"/>
      <c r="BH389" s="4"/>
      <c r="BI389" s="4"/>
      <c r="BJ389" s="4"/>
      <c r="BK389" s="4"/>
      <c r="BL389" s="4"/>
      <c r="BM389" s="4"/>
      <c r="BN389" s="4"/>
      <c r="BO389" s="4"/>
      <c r="BP389" s="4"/>
      <c r="BQ389" s="4"/>
      <c r="BR389" s="4"/>
      <c r="BS389" s="4"/>
    </row>
    <row r="390" spans="1:7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c r="AG390" s="3"/>
      <c r="AH390" s="4"/>
      <c r="AI390" s="4"/>
      <c r="AJ390" s="4"/>
      <c r="AK390" s="4"/>
      <c r="AL390" s="4"/>
      <c r="AM390" s="4"/>
      <c r="AN390" s="4"/>
      <c r="AO390" s="4"/>
      <c r="AP390" s="4"/>
      <c r="AQ390" s="4"/>
      <c r="AR390" s="4"/>
      <c r="AS390" s="4"/>
      <c r="AT390" s="4"/>
      <c r="AU390" s="4"/>
      <c r="AV390" s="4"/>
      <c r="AW390" s="4"/>
      <c r="AX390" s="4"/>
      <c r="AY390" s="4"/>
      <c r="AZ390" s="4"/>
      <c r="BA390" s="4"/>
      <c r="BB390" s="4"/>
      <c r="BC390" s="4"/>
      <c r="BD390" s="5"/>
      <c r="BE390" s="4"/>
      <c r="BF390" s="4"/>
      <c r="BG390" s="4"/>
      <c r="BH390" s="4"/>
      <c r="BI390" s="4"/>
      <c r="BJ390" s="4"/>
      <c r="BK390" s="4"/>
      <c r="BL390" s="4"/>
      <c r="BM390" s="4"/>
      <c r="BN390" s="4"/>
      <c r="BO390" s="4"/>
      <c r="BP390" s="4"/>
      <c r="BQ390" s="4"/>
      <c r="BR390" s="4"/>
      <c r="BS390" s="4"/>
    </row>
    <row r="391" spans="1:7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c r="AG391" s="3"/>
      <c r="AH391" s="4"/>
      <c r="AI391" s="4"/>
      <c r="AJ391" s="4"/>
      <c r="AK391" s="4"/>
      <c r="AL391" s="4"/>
      <c r="AM391" s="4"/>
      <c r="AN391" s="4"/>
      <c r="AO391" s="4"/>
      <c r="AP391" s="4"/>
      <c r="AQ391" s="4"/>
      <c r="AR391" s="4"/>
      <c r="AS391" s="4"/>
      <c r="AT391" s="4"/>
      <c r="AU391" s="4"/>
      <c r="AV391" s="4"/>
      <c r="AW391" s="4"/>
      <c r="AX391" s="4"/>
      <c r="AY391" s="4"/>
      <c r="AZ391" s="4"/>
      <c r="BA391" s="4"/>
      <c r="BB391" s="4"/>
      <c r="BC391" s="4"/>
      <c r="BD391" s="5"/>
      <c r="BE391" s="4"/>
      <c r="BF391" s="4"/>
      <c r="BG391" s="4"/>
      <c r="BH391" s="4"/>
      <c r="BI391" s="4"/>
      <c r="BJ391" s="4"/>
      <c r="BK391" s="4"/>
      <c r="BL391" s="4"/>
      <c r="BM391" s="4"/>
      <c r="BN391" s="4"/>
      <c r="BO391" s="4"/>
      <c r="BP391" s="4"/>
      <c r="BQ391" s="4"/>
      <c r="BR391" s="4"/>
      <c r="BS391" s="4"/>
    </row>
    <row r="392" spans="1:7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c r="AG392" s="3"/>
      <c r="AH392" s="4"/>
      <c r="AI392" s="4"/>
      <c r="AJ392" s="4"/>
      <c r="AK392" s="4"/>
      <c r="AL392" s="4"/>
      <c r="AM392" s="4"/>
      <c r="AN392" s="4"/>
      <c r="AO392" s="4"/>
      <c r="AP392" s="4"/>
      <c r="AQ392" s="4"/>
      <c r="AR392" s="4"/>
      <c r="AS392" s="4"/>
      <c r="AT392" s="4"/>
      <c r="AU392" s="4"/>
      <c r="AV392" s="4"/>
      <c r="AW392" s="4"/>
      <c r="AX392" s="4"/>
      <c r="AY392" s="4"/>
      <c r="AZ392" s="4"/>
      <c r="BA392" s="4"/>
      <c r="BB392" s="4"/>
      <c r="BC392" s="4"/>
      <c r="BD392" s="5"/>
      <c r="BE392" s="4"/>
      <c r="BF392" s="4"/>
      <c r="BG392" s="4"/>
      <c r="BH392" s="4"/>
      <c r="BI392" s="4"/>
      <c r="BJ392" s="4"/>
      <c r="BK392" s="4"/>
      <c r="BL392" s="4"/>
      <c r="BM392" s="4"/>
      <c r="BN392" s="4"/>
      <c r="BO392" s="4"/>
      <c r="BP392" s="4"/>
      <c r="BQ392" s="4"/>
      <c r="BR392" s="4"/>
      <c r="BS392" s="4"/>
    </row>
    <row r="393" spans="1:7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c r="AG393" s="3"/>
      <c r="AH393" s="4"/>
      <c r="AI393" s="4"/>
      <c r="AJ393" s="4"/>
      <c r="AK393" s="4"/>
      <c r="AL393" s="4"/>
      <c r="AM393" s="4"/>
      <c r="AN393" s="4"/>
      <c r="AO393" s="4"/>
      <c r="AP393" s="4"/>
      <c r="AQ393" s="4"/>
      <c r="AR393" s="4"/>
      <c r="AS393" s="4"/>
      <c r="AT393" s="4"/>
      <c r="AU393" s="4"/>
      <c r="AV393" s="4"/>
      <c r="AW393" s="4"/>
      <c r="AX393" s="4"/>
      <c r="AY393" s="4"/>
      <c r="AZ393" s="4"/>
      <c r="BA393" s="4"/>
      <c r="BB393" s="4"/>
      <c r="BC393" s="4"/>
      <c r="BD393" s="5"/>
      <c r="BE393" s="4"/>
      <c r="BF393" s="4"/>
      <c r="BG393" s="4"/>
      <c r="BH393" s="4"/>
      <c r="BI393" s="4"/>
      <c r="BJ393" s="4"/>
      <c r="BK393" s="4"/>
      <c r="BL393" s="4"/>
      <c r="BM393" s="4"/>
      <c r="BN393" s="4"/>
      <c r="BO393" s="4"/>
      <c r="BP393" s="4"/>
      <c r="BQ393" s="4"/>
      <c r="BR393" s="4"/>
      <c r="BS393" s="4"/>
    </row>
    <row r="394" spans="1:7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c r="AG394" s="3"/>
      <c r="AH394" s="4"/>
      <c r="AI394" s="4"/>
      <c r="AJ394" s="4"/>
      <c r="AK394" s="4"/>
      <c r="AL394" s="4"/>
      <c r="AM394" s="4"/>
      <c r="AN394" s="4"/>
      <c r="AO394" s="4"/>
      <c r="AP394" s="4"/>
      <c r="AQ394" s="4"/>
      <c r="AR394" s="4"/>
      <c r="AS394" s="4"/>
      <c r="AT394" s="4"/>
      <c r="AU394" s="4"/>
      <c r="AV394" s="4"/>
      <c r="AW394" s="4"/>
      <c r="AX394" s="4"/>
      <c r="AY394" s="4"/>
      <c r="AZ394" s="4"/>
      <c r="BA394" s="4"/>
      <c r="BB394" s="4"/>
      <c r="BC394" s="4"/>
      <c r="BD394" s="5"/>
      <c r="BE394" s="4"/>
      <c r="BF394" s="4"/>
      <c r="BG394" s="4"/>
      <c r="BH394" s="4"/>
      <c r="BI394" s="4"/>
      <c r="BJ394" s="4"/>
      <c r="BK394" s="4"/>
      <c r="BL394" s="4"/>
      <c r="BM394" s="4"/>
      <c r="BN394" s="4"/>
      <c r="BO394" s="4"/>
      <c r="BP394" s="4"/>
      <c r="BQ394" s="4"/>
      <c r="BR394" s="4"/>
      <c r="BS394" s="4"/>
    </row>
    <row r="395" spans="1:7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c r="AG395" s="3"/>
      <c r="AH395" s="4"/>
      <c r="AI395" s="4"/>
      <c r="AJ395" s="4"/>
      <c r="AK395" s="4"/>
      <c r="AL395" s="4"/>
      <c r="AM395" s="4"/>
      <c r="AN395" s="4"/>
      <c r="AO395" s="4"/>
      <c r="AP395" s="4"/>
      <c r="AQ395" s="4"/>
      <c r="AR395" s="4"/>
      <c r="AS395" s="4"/>
      <c r="AT395" s="4"/>
      <c r="AU395" s="4"/>
      <c r="AV395" s="4"/>
      <c r="AW395" s="4"/>
      <c r="AX395" s="4"/>
      <c r="AY395" s="4"/>
      <c r="AZ395" s="4"/>
      <c r="BA395" s="4"/>
      <c r="BB395" s="4"/>
      <c r="BC395" s="4"/>
      <c r="BD395" s="5"/>
      <c r="BE395" s="4"/>
      <c r="BF395" s="4"/>
      <c r="BG395" s="4"/>
      <c r="BH395" s="4"/>
      <c r="BI395" s="4"/>
      <c r="BJ395" s="4"/>
      <c r="BK395" s="4"/>
      <c r="BL395" s="4"/>
      <c r="BM395" s="4"/>
      <c r="BN395" s="4"/>
      <c r="BO395" s="4"/>
      <c r="BP395" s="4"/>
      <c r="BQ395" s="4"/>
      <c r="BR395" s="4"/>
      <c r="BS395" s="4"/>
    </row>
    <row r="396" spans="1:7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c r="AG396" s="3"/>
      <c r="AH396" s="4"/>
      <c r="AI396" s="4"/>
      <c r="AJ396" s="4"/>
      <c r="AK396" s="4"/>
      <c r="AL396" s="4"/>
      <c r="AM396" s="4"/>
      <c r="AN396" s="4"/>
      <c r="AO396" s="4"/>
      <c r="AP396" s="4"/>
      <c r="AQ396" s="4"/>
      <c r="AR396" s="4"/>
      <c r="AS396" s="4"/>
      <c r="AT396" s="4"/>
      <c r="AU396" s="4"/>
      <c r="AV396" s="4"/>
      <c r="AW396" s="4"/>
      <c r="AX396" s="4"/>
      <c r="AY396" s="4"/>
      <c r="AZ396" s="4"/>
      <c r="BA396" s="4"/>
      <c r="BB396" s="4"/>
      <c r="BC396" s="4"/>
      <c r="BD396" s="5"/>
      <c r="BE396" s="4"/>
      <c r="BF396" s="4"/>
      <c r="BG396" s="4"/>
      <c r="BH396" s="4"/>
      <c r="BI396" s="4"/>
      <c r="BJ396" s="4"/>
      <c r="BK396" s="4"/>
      <c r="BL396" s="4"/>
      <c r="BM396" s="4"/>
      <c r="BN396" s="4"/>
      <c r="BO396" s="4"/>
      <c r="BP396" s="4"/>
      <c r="BQ396" s="4"/>
      <c r="BR396" s="4"/>
      <c r="BS396" s="4"/>
    </row>
    <row r="397" spans="1:7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c r="AG397" s="3"/>
      <c r="AH397" s="4"/>
      <c r="AI397" s="4"/>
      <c r="AJ397" s="4"/>
      <c r="AK397" s="4"/>
      <c r="AL397" s="4"/>
      <c r="AM397" s="4"/>
      <c r="AN397" s="4"/>
      <c r="AO397" s="4"/>
      <c r="AP397" s="4"/>
      <c r="AQ397" s="4"/>
      <c r="AR397" s="4"/>
      <c r="AS397" s="4"/>
      <c r="AT397" s="4"/>
      <c r="AU397" s="4"/>
      <c r="AV397" s="4"/>
      <c r="AW397" s="4"/>
      <c r="AX397" s="4"/>
      <c r="AY397" s="4"/>
      <c r="AZ397" s="4"/>
      <c r="BA397" s="4"/>
      <c r="BB397" s="4"/>
      <c r="BC397" s="4"/>
      <c r="BD397" s="5"/>
      <c r="BE397" s="4"/>
      <c r="BF397" s="4"/>
      <c r="BG397" s="4"/>
      <c r="BH397" s="4"/>
      <c r="BI397" s="4"/>
      <c r="BJ397" s="4"/>
      <c r="BK397" s="4"/>
      <c r="BL397" s="4"/>
      <c r="BM397" s="4"/>
      <c r="BN397" s="4"/>
      <c r="BO397" s="4"/>
      <c r="BP397" s="4"/>
      <c r="BQ397" s="4"/>
      <c r="BR397" s="4"/>
      <c r="BS397" s="4"/>
    </row>
    <row r="398" spans="1:7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c r="AG398" s="3"/>
      <c r="AH398" s="4"/>
      <c r="AI398" s="4"/>
      <c r="AJ398" s="4"/>
      <c r="AK398" s="4"/>
      <c r="AL398" s="4"/>
      <c r="AM398" s="4"/>
      <c r="AN398" s="4"/>
      <c r="AO398" s="4"/>
      <c r="AP398" s="4"/>
      <c r="AQ398" s="4"/>
      <c r="AR398" s="4"/>
      <c r="AS398" s="4"/>
      <c r="AT398" s="4"/>
      <c r="AU398" s="4"/>
      <c r="AV398" s="4"/>
      <c r="AW398" s="4"/>
      <c r="AX398" s="4"/>
      <c r="AY398" s="4"/>
      <c r="AZ398" s="4"/>
      <c r="BA398" s="4"/>
      <c r="BB398" s="4"/>
      <c r="BC398" s="4"/>
      <c r="BD398" s="5"/>
      <c r="BE398" s="4"/>
      <c r="BF398" s="4"/>
      <c r="BG398" s="4"/>
      <c r="BH398" s="4"/>
      <c r="BI398" s="4"/>
      <c r="BJ398" s="4"/>
      <c r="BK398" s="4"/>
      <c r="BL398" s="4"/>
      <c r="BM398" s="4"/>
      <c r="BN398" s="4"/>
      <c r="BO398" s="4"/>
      <c r="BP398" s="4"/>
      <c r="BQ398" s="4"/>
      <c r="BR398" s="4"/>
      <c r="BS398" s="4"/>
    </row>
    <row r="399" spans="1:7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c r="AG399" s="3"/>
      <c r="AH399" s="4"/>
      <c r="AI399" s="4"/>
      <c r="AJ399" s="4"/>
      <c r="AK399" s="4"/>
      <c r="AL399" s="4"/>
      <c r="AM399" s="4"/>
      <c r="AN399" s="4"/>
      <c r="AO399" s="4"/>
      <c r="AP399" s="4"/>
      <c r="AQ399" s="4"/>
      <c r="AR399" s="4"/>
      <c r="AS399" s="4"/>
      <c r="AT399" s="4"/>
      <c r="AU399" s="4"/>
      <c r="AV399" s="4"/>
      <c r="AW399" s="4"/>
      <c r="AX399" s="4"/>
      <c r="AY399" s="4"/>
      <c r="AZ399" s="4"/>
      <c r="BA399" s="4"/>
      <c r="BB399" s="4"/>
      <c r="BC399" s="4"/>
      <c r="BD399" s="5"/>
      <c r="BE399" s="4"/>
      <c r="BF399" s="4"/>
      <c r="BG399" s="4"/>
      <c r="BH399" s="4"/>
      <c r="BI399" s="4"/>
      <c r="BJ399" s="4"/>
      <c r="BK399" s="4"/>
      <c r="BL399" s="4"/>
      <c r="BM399" s="4"/>
      <c r="BN399" s="4"/>
      <c r="BO399" s="4"/>
      <c r="BP399" s="4"/>
      <c r="BQ399" s="4"/>
      <c r="BR399" s="4"/>
      <c r="BS399" s="4"/>
    </row>
    <row r="400" spans="1:7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c r="AG400" s="3"/>
      <c r="AH400" s="4"/>
      <c r="AI400" s="4"/>
      <c r="AJ400" s="4"/>
      <c r="AK400" s="4"/>
      <c r="AL400" s="4"/>
      <c r="AM400" s="4"/>
      <c r="AN400" s="4"/>
      <c r="AO400" s="4"/>
      <c r="AP400" s="4"/>
      <c r="AQ400" s="4"/>
      <c r="AR400" s="4"/>
      <c r="AS400" s="4"/>
      <c r="AT400" s="4"/>
      <c r="AU400" s="4"/>
      <c r="AV400" s="4"/>
      <c r="AW400" s="4"/>
      <c r="AX400" s="4"/>
      <c r="AY400" s="4"/>
      <c r="AZ400" s="4"/>
      <c r="BA400" s="4"/>
      <c r="BB400" s="4"/>
      <c r="BC400" s="4"/>
      <c r="BD400" s="5"/>
      <c r="BE400" s="4"/>
      <c r="BF400" s="4"/>
      <c r="BG400" s="4"/>
      <c r="BH400" s="4"/>
      <c r="BI400" s="4"/>
      <c r="BJ400" s="4"/>
      <c r="BK400" s="4"/>
      <c r="BL400" s="4"/>
      <c r="BM400" s="4"/>
      <c r="BN400" s="4"/>
      <c r="BO400" s="4"/>
      <c r="BP400" s="4"/>
      <c r="BQ400" s="4"/>
      <c r="BR400" s="4"/>
      <c r="BS400" s="4"/>
    </row>
    <row r="401" spans="1:7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c r="AG401" s="3"/>
      <c r="AH401" s="4"/>
      <c r="AI401" s="4"/>
      <c r="AJ401" s="4"/>
      <c r="AK401" s="4"/>
      <c r="AL401" s="4"/>
      <c r="AM401" s="4"/>
      <c r="AN401" s="4"/>
      <c r="AO401" s="4"/>
      <c r="AP401" s="4"/>
      <c r="AQ401" s="4"/>
      <c r="AR401" s="4"/>
      <c r="AS401" s="4"/>
      <c r="AT401" s="4"/>
      <c r="AU401" s="4"/>
      <c r="AV401" s="4"/>
      <c r="AW401" s="4"/>
      <c r="AX401" s="4"/>
      <c r="AY401" s="4"/>
      <c r="AZ401" s="4"/>
      <c r="BA401" s="4"/>
      <c r="BB401" s="4"/>
      <c r="BC401" s="4"/>
      <c r="BD401" s="5"/>
      <c r="BE401" s="4"/>
      <c r="BF401" s="4"/>
      <c r="BG401" s="4"/>
      <c r="BH401" s="4"/>
      <c r="BI401" s="4"/>
      <c r="BJ401" s="4"/>
      <c r="BK401" s="4"/>
      <c r="BL401" s="4"/>
      <c r="BM401" s="4"/>
      <c r="BN401" s="4"/>
      <c r="BO401" s="4"/>
      <c r="BP401" s="4"/>
      <c r="BQ401" s="4"/>
      <c r="BR401" s="4"/>
      <c r="BS401" s="4"/>
    </row>
    <row r="402" spans="1:7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c r="AG402" s="3"/>
      <c r="AH402" s="4"/>
      <c r="AI402" s="4"/>
      <c r="AJ402" s="4"/>
      <c r="AK402" s="4"/>
      <c r="AL402" s="4"/>
      <c r="AM402" s="4"/>
      <c r="AN402" s="4"/>
      <c r="AO402" s="4"/>
      <c r="AP402" s="4"/>
      <c r="AQ402" s="4"/>
      <c r="AR402" s="4"/>
      <c r="AS402" s="4"/>
      <c r="AT402" s="4"/>
      <c r="AU402" s="4"/>
      <c r="AV402" s="4"/>
      <c r="AW402" s="4"/>
      <c r="AX402" s="4"/>
      <c r="AY402" s="4"/>
      <c r="AZ402" s="4"/>
      <c r="BA402" s="4"/>
      <c r="BB402" s="4"/>
      <c r="BC402" s="4"/>
      <c r="BD402" s="5"/>
      <c r="BE402" s="4"/>
      <c r="BF402" s="4"/>
      <c r="BG402" s="4"/>
      <c r="BH402" s="4"/>
      <c r="BI402" s="4"/>
      <c r="BJ402" s="4"/>
      <c r="BK402" s="4"/>
      <c r="BL402" s="4"/>
      <c r="BM402" s="4"/>
      <c r="BN402" s="4"/>
      <c r="BO402" s="4"/>
      <c r="BP402" s="4"/>
      <c r="BQ402" s="4"/>
      <c r="BR402" s="4"/>
      <c r="BS402" s="4"/>
    </row>
    <row r="403" spans="1:7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c r="AG403" s="3"/>
      <c r="AH403" s="4"/>
      <c r="AI403" s="4"/>
      <c r="AJ403" s="4"/>
      <c r="AK403" s="4"/>
      <c r="AL403" s="4"/>
      <c r="AM403" s="4"/>
      <c r="AN403" s="4"/>
      <c r="AO403" s="4"/>
      <c r="AP403" s="4"/>
      <c r="AQ403" s="4"/>
      <c r="AR403" s="4"/>
      <c r="AS403" s="4"/>
      <c r="AT403" s="4"/>
      <c r="AU403" s="4"/>
      <c r="AV403" s="4"/>
      <c r="AW403" s="4"/>
      <c r="AX403" s="4"/>
      <c r="AY403" s="4"/>
      <c r="AZ403" s="4"/>
      <c r="BA403" s="4"/>
      <c r="BB403" s="4"/>
      <c r="BC403" s="4"/>
      <c r="BD403" s="5"/>
      <c r="BE403" s="4"/>
      <c r="BF403" s="4"/>
      <c r="BG403" s="4"/>
      <c r="BH403" s="4"/>
      <c r="BI403" s="4"/>
      <c r="BJ403" s="4"/>
      <c r="BK403" s="4"/>
      <c r="BL403" s="4"/>
      <c r="BM403" s="4"/>
      <c r="BN403" s="4"/>
      <c r="BO403" s="4"/>
      <c r="BP403" s="4"/>
      <c r="BQ403" s="4"/>
      <c r="BR403" s="4"/>
      <c r="BS403" s="4"/>
    </row>
    <row r="404" spans="1:7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c r="AG404" s="3"/>
      <c r="AH404" s="4"/>
      <c r="AI404" s="4"/>
      <c r="AJ404" s="4"/>
      <c r="AK404" s="4"/>
      <c r="AL404" s="4"/>
      <c r="AM404" s="4"/>
      <c r="AN404" s="4"/>
      <c r="AO404" s="4"/>
      <c r="AP404" s="4"/>
      <c r="AQ404" s="4"/>
      <c r="AR404" s="4"/>
      <c r="AS404" s="4"/>
      <c r="AT404" s="4"/>
      <c r="AU404" s="4"/>
      <c r="AV404" s="4"/>
      <c r="AW404" s="4"/>
      <c r="AX404" s="4"/>
      <c r="AY404" s="4"/>
      <c r="AZ404" s="4"/>
      <c r="BA404" s="4"/>
      <c r="BB404" s="4"/>
      <c r="BC404" s="4"/>
      <c r="BD404" s="5"/>
      <c r="BE404" s="4"/>
      <c r="BF404" s="4"/>
      <c r="BG404" s="4"/>
      <c r="BH404" s="4"/>
      <c r="BI404" s="4"/>
      <c r="BJ404" s="4"/>
      <c r="BK404" s="4"/>
      <c r="BL404" s="4"/>
      <c r="BM404" s="4"/>
      <c r="BN404" s="4"/>
      <c r="BO404" s="4"/>
      <c r="BP404" s="4"/>
      <c r="BQ404" s="4"/>
      <c r="BR404" s="4"/>
      <c r="BS404" s="4"/>
    </row>
    <row r="405" spans="1:7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c r="AG405" s="3"/>
      <c r="AH405" s="4"/>
      <c r="AI405" s="4"/>
      <c r="AJ405" s="4"/>
      <c r="AK405" s="4"/>
      <c r="AL405" s="4"/>
      <c r="AM405" s="4"/>
      <c r="AN405" s="4"/>
      <c r="AO405" s="4"/>
      <c r="AP405" s="4"/>
      <c r="AQ405" s="4"/>
      <c r="AR405" s="4"/>
      <c r="AS405" s="4"/>
      <c r="AT405" s="4"/>
      <c r="AU405" s="4"/>
      <c r="AV405" s="4"/>
      <c r="AW405" s="4"/>
      <c r="AX405" s="4"/>
      <c r="AY405" s="4"/>
      <c r="AZ405" s="4"/>
      <c r="BA405" s="4"/>
      <c r="BB405" s="4"/>
      <c r="BC405" s="4"/>
      <c r="BD405" s="5"/>
      <c r="BE405" s="4"/>
      <c r="BF405" s="4"/>
      <c r="BG405" s="4"/>
      <c r="BH405" s="4"/>
      <c r="BI405" s="4"/>
      <c r="BJ405" s="4"/>
      <c r="BK405" s="4"/>
      <c r="BL405" s="4"/>
      <c r="BM405" s="4"/>
      <c r="BN405" s="4"/>
      <c r="BO405" s="4"/>
      <c r="BP405" s="4"/>
      <c r="BQ405" s="4"/>
      <c r="BR405" s="4"/>
      <c r="BS405" s="4"/>
    </row>
    <row r="406" spans="1:7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c r="AG406" s="3"/>
      <c r="AH406" s="4"/>
      <c r="AI406" s="4"/>
      <c r="AJ406" s="4"/>
      <c r="AK406" s="4"/>
      <c r="AL406" s="4"/>
      <c r="AM406" s="4"/>
      <c r="AN406" s="4"/>
      <c r="AO406" s="4"/>
      <c r="AP406" s="4"/>
      <c r="AQ406" s="4"/>
      <c r="AR406" s="4"/>
      <c r="AS406" s="4"/>
      <c r="AT406" s="4"/>
      <c r="AU406" s="4"/>
      <c r="AV406" s="4"/>
      <c r="AW406" s="4"/>
      <c r="AX406" s="4"/>
      <c r="AY406" s="4"/>
      <c r="AZ406" s="4"/>
      <c r="BA406" s="4"/>
      <c r="BB406" s="4"/>
      <c r="BC406" s="4"/>
      <c r="BD406" s="5"/>
      <c r="BE406" s="4"/>
      <c r="BF406" s="4"/>
      <c r="BG406" s="4"/>
      <c r="BH406" s="4"/>
      <c r="BI406" s="4"/>
      <c r="BJ406" s="4"/>
      <c r="BK406" s="4"/>
      <c r="BL406" s="4"/>
      <c r="BM406" s="4"/>
      <c r="BN406" s="4"/>
      <c r="BO406" s="4"/>
      <c r="BP406" s="4"/>
      <c r="BQ406" s="4"/>
      <c r="BR406" s="4"/>
      <c r="BS406" s="4"/>
    </row>
    <row r="407" spans="1:7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c r="AG407" s="3"/>
      <c r="AH407" s="4"/>
      <c r="AI407" s="4"/>
      <c r="AJ407" s="4"/>
      <c r="AK407" s="4"/>
      <c r="AL407" s="4"/>
      <c r="AM407" s="4"/>
      <c r="AN407" s="4"/>
      <c r="AO407" s="4"/>
      <c r="AP407" s="4"/>
      <c r="AQ407" s="4"/>
      <c r="AR407" s="4"/>
      <c r="AS407" s="4"/>
      <c r="AT407" s="4"/>
      <c r="AU407" s="4"/>
      <c r="AV407" s="4"/>
      <c r="AW407" s="4"/>
      <c r="AX407" s="4"/>
      <c r="AY407" s="4"/>
      <c r="AZ407" s="4"/>
      <c r="BA407" s="4"/>
      <c r="BB407" s="4"/>
      <c r="BC407" s="4"/>
      <c r="BD407" s="5"/>
      <c r="BE407" s="4"/>
      <c r="BF407" s="4"/>
      <c r="BG407" s="4"/>
      <c r="BH407" s="4"/>
      <c r="BI407" s="4"/>
      <c r="BJ407" s="4"/>
      <c r="BK407" s="4"/>
      <c r="BL407" s="4"/>
      <c r="BM407" s="4"/>
      <c r="BN407" s="4"/>
      <c r="BO407" s="4"/>
      <c r="BP407" s="4"/>
      <c r="BQ407" s="4"/>
      <c r="BR407" s="4"/>
      <c r="BS407" s="4"/>
    </row>
    <row r="408" spans="1:7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c r="AG408" s="3"/>
      <c r="AH408" s="4"/>
      <c r="AI408" s="4"/>
      <c r="AJ408" s="4"/>
      <c r="AK408" s="4"/>
      <c r="AL408" s="4"/>
      <c r="AM408" s="4"/>
      <c r="AN408" s="4"/>
      <c r="AO408" s="4"/>
      <c r="AP408" s="4"/>
      <c r="AQ408" s="4"/>
      <c r="AR408" s="4"/>
      <c r="AS408" s="4"/>
      <c r="AT408" s="4"/>
      <c r="AU408" s="4"/>
      <c r="AV408" s="4"/>
      <c r="AW408" s="4"/>
      <c r="AX408" s="4"/>
      <c r="AY408" s="4"/>
      <c r="AZ408" s="4"/>
      <c r="BA408" s="4"/>
      <c r="BB408" s="4"/>
      <c r="BC408" s="4"/>
      <c r="BD408" s="5"/>
      <c r="BE408" s="4"/>
      <c r="BF408" s="4"/>
      <c r="BG408" s="4"/>
      <c r="BH408" s="4"/>
      <c r="BI408" s="4"/>
      <c r="BJ408" s="4"/>
      <c r="BK408" s="4"/>
      <c r="BL408" s="4"/>
      <c r="BM408" s="4"/>
      <c r="BN408" s="4"/>
      <c r="BO408" s="4"/>
      <c r="BP408" s="4"/>
      <c r="BQ408" s="4"/>
      <c r="BR408" s="4"/>
      <c r="BS408" s="4"/>
    </row>
    <row r="409" spans="1:7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c r="AG409" s="3"/>
      <c r="AH409" s="4"/>
      <c r="AI409" s="4"/>
      <c r="AJ409" s="4"/>
      <c r="AK409" s="4"/>
      <c r="AL409" s="4"/>
      <c r="AM409" s="4"/>
      <c r="AN409" s="4"/>
      <c r="AO409" s="4"/>
      <c r="AP409" s="4"/>
      <c r="AQ409" s="4"/>
      <c r="AR409" s="4"/>
      <c r="AS409" s="4"/>
      <c r="AT409" s="4"/>
      <c r="AU409" s="4"/>
      <c r="AV409" s="4"/>
      <c r="AW409" s="4"/>
      <c r="AX409" s="4"/>
      <c r="AY409" s="4"/>
      <c r="AZ409" s="4"/>
      <c r="BA409" s="4"/>
      <c r="BB409" s="4"/>
      <c r="BC409" s="4"/>
      <c r="BD409" s="5"/>
      <c r="BE409" s="4"/>
      <c r="BF409" s="4"/>
      <c r="BG409" s="4"/>
      <c r="BH409" s="4"/>
      <c r="BI409" s="4"/>
      <c r="BJ409" s="4"/>
      <c r="BK409" s="4"/>
      <c r="BL409" s="4"/>
      <c r="BM409" s="4"/>
      <c r="BN409" s="4"/>
      <c r="BO409" s="4"/>
      <c r="BP409" s="4"/>
      <c r="BQ409" s="4"/>
      <c r="BR409" s="4"/>
      <c r="BS409" s="4"/>
    </row>
    <row r="410" spans="1:7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c r="AG410" s="3"/>
      <c r="AH410" s="4"/>
      <c r="AI410" s="4"/>
      <c r="AJ410" s="4"/>
      <c r="AK410" s="4"/>
      <c r="AL410" s="4"/>
      <c r="AM410" s="4"/>
      <c r="AN410" s="4"/>
      <c r="AO410" s="4"/>
      <c r="AP410" s="4"/>
      <c r="AQ410" s="4"/>
      <c r="AR410" s="4"/>
      <c r="AS410" s="4"/>
      <c r="AT410" s="4"/>
      <c r="AU410" s="4"/>
      <c r="AV410" s="4"/>
      <c r="AW410" s="4"/>
      <c r="AX410" s="4"/>
      <c r="AY410" s="4"/>
      <c r="AZ410" s="4"/>
      <c r="BA410" s="4"/>
      <c r="BB410" s="4"/>
      <c r="BC410" s="4"/>
      <c r="BD410" s="5"/>
      <c r="BE410" s="4"/>
      <c r="BF410" s="4"/>
      <c r="BG410" s="4"/>
      <c r="BH410" s="4"/>
      <c r="BI410" s="4"/>
      <c r="BJ410" s="4"/>
      <c r="BK410" s="4"/>
      <c r="BL410" s="4"/>
      <c r="BM410" s="4"/>
      <c r="BN410" s="4"/>
      <c r="BO410" s="4"/>
      <c r="BP410" s="4"/>
      <c r="BQ410" s="4"/>
      <c r="BR410" s="4"/>
      <c r="BS410" s="4"/>
    </row>
    <row r="411" spans="1:7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c r="AG411" s="3"/>
      <c r="AH411" s="4"/>
      <c r="AI411" s="4"/>
      <c r="AJ411" s="4"/>
      <c r="AK411" s="4"/>
      <c r="AL411" s="4"/>
      <c r="AM411" s="4"/>
      <c r="AN411" s="4"/>
      <c r="AO411" s="4"/>
      <c r="AP411" s="4"/>
      <c r="AQ411" s="4"/>
      <c r="AR411" s="4"/>
      <c r="AS411" s="4"/>
      <c r="AT411" s="4"/>
      <c r="AU411" s="4"/>
      <c r="AV411" s="4"/>
      <c r="AW411" s="4"/>
      <c r="AX411" s="4"/>
      <c r="AY411" s="4"/>
      <c r="AZ411" s="4"/>
      <c r="BA411" s="4"/>
      <c r="BB411" s="4"/>
      <c r="BC411" s="4"/>
      <c r="BD411" s="5"/>
      <c r="BE411" s="4"/>
      <c r="BF411" s="4"/>
      <c r="BG411" s="4"/>
      <c r="BH411" s="4"/>
      <c r="BI411" s="4"/>
      <c r="BJ411" s="4"/>
      <c r="BK411" s="4"/>
      <c r="BL411" s="4"/>
      <c r="BM411" s="4"/>
      <c r="BN411" s="4"/>
      <c r="BO411" s="4"/>
      <c r="BP411" s="4"/>
      <c r="BQ411" s="4"/>
      <c r="BR411" s="4"/>
      <c r="BS411" s="4"/>
    </row>
    <row r="412" spans="1:7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c r="AG412" s="3"/>
      <c r="AH412" s="4"/>
      <c r="AI412" s="4"/>
      <c r="AJ412" s="4"/>
      <c r="AK412" s="4"/>
      <c r="AL412" s="4"/>
      <c r="AM412" s="4"/>
      <c r="AN412" s="4"/>
      <c r="AO412" s="4"/>
      <c r="AP412" s="4"/>
      <c r="AQ412" s="4"/>
      <c r="AR412" s="4"/>
      <c r="AS412" s="4"/>
      <c r="AT412" s="4"/>
      <c r="AU412" s="4"/>
      <c r="AV412" s="4"/>
      <c r="AW412" s="4"/>
      <c r="AX412" s="4"/>
      <c r="AY412" s="4"/>
      <c r="AZ412" s="4"/>
      <c r="BA412" s="4"/>
      <c r="BB412" s="4"/>
      <c r="BC412" s="4"/>
      <c r="BD412" s="5"/>
      <c r="BE412" s="4"/>
      <c r="BF412" s="4"/>
      <c r="BG412" s="4"/>
      <c r="BH412" s="4"/>
      <c r="BI412" s="4"/>
      <c r="BJ412" s="4"/>
      <c r="BK412" s="4"/>
      <c r="BL412" s="4"/>
      <c r="BM412" s="4"/>
      <c r="BN412" s="4"/>
      <c r="BO412" s="4"/>
      <c r="BP412" s="4"/>
      <c r="BQ412" s="4"/>
      <c r="BR412" s="4"/>
      <c r="BS412" s="4"/>
    </row>
    <row r="413" spans="1:7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c r="AG413" s="3"/>
      <c r="AH413" s="4"/>
      <c r="AI413" s="4"/>
      <c r="AJ413" s="4"/>
      <c r="AK413" s="4"/>
      <c r="AL413" s="4"/>
      <c r="AM413" s="4"/>
      <c r="AN413" s="4"/>
      <c r="AO413" s="4"/>
      <c r="AP413" s="4"/>
      <c r="AQ413" s="4"/>
      <c r="AR413" s="4"/>
      <c r="AS413" s="4"/>
      <c r="AT413" s="4"/>
      <c r="AU413" s="4"/>
      <c r="AV413" s="4"/>
      <c r="AW413" s="4"/>
      <c r="AX413" s="4"/>
      <c r="AY413" s="4"/>
      <c r="AZ413" s="4"/>
      <c r="BA413" s="4"/>
      <c r="BB413" s="4"/>
      <c r="BC413" s="4"/>
      <c r="BD413" s="5"/>
      <c r="BE413" s="4"/>
      <c r="BF413" s="4"/>
      <c r="BG413" s="4"/>
      <c r="BH413" s="4"/>
      <c r="BI413" s="4"/>
      <c r="BJ413" s="4"/>
      <c r="BK413" s="4"/>
      <c r="BL413" s="4"/>
      <c r="BM413" s="4"/>
      <c r="BN413" s="4"/>
      <c r="BO413" s="4"/>
      <c r="BP413" s="4"/>
      <c r="BQ413" s="4"/>
      <c r="BR413" s="4"/>
      <c r="BS413" s="4"/>
    </row>
    <row r="414" spans="1:7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c r="AG414" s="3"/>
      <c r="AH414" s="4"/>
      <c r="AI414" s="4"/>
      <c r="AJ414" s="4"/>
      <c r="AK414" s="4"/>
      <c r="AL414" s="4"/>
      <c r="AM414" s="4"/>
      <c r="AN414" s="4"/>
      <c r="AO414" s="4"/>
      <c r="AP414" s="4"/>
      <c r="AQ414" s="4"/>
      <c r="AR414" s="4"/>
      <c r="AS414" s="4"/>
      <c r="AT414" s="4"/>
      <c r="AU414" s="4"/>
      <c r="AV414" s="4"/>
      <c r="AW414" s="4"/>
      <c r="AX414" s="4"/>
      <c r="AY414" s="4"/>
      <c r="AZ414" s="4"/>
      <c r="BA414" s="4"/>
      <c r="BB414" s="4"/>
      <c r="BC414" s="4"/>
      <c r="BD414" s="5"/>
      <c r="BE414" s="4"/>
      <c r="BF414" s="4"/>
      <c r="BG414" s="4"/>
      <c r="BH414" s="4"/>
      <c r="BI414" s="4"/>
      <c r="BJ414" s="4"/>
      <c r="BK414" s="4"/>
      <c r="BL414" s="4"/>
      <c r="BM414" s="4"/>
      <c r="BN414" s="4"/>
      <c r="BO414" s="4"/>
      <c r="BP414" s="4"/>
      <c r="BQ414" s="4"/>
      <c r="BR414" s="4"/>
      <c r="BS414" s="4"/>
    </row>
    <row r="415" spans="1:7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c r="AG415" s="3"/>
      <c r="AH415" s="4"/>
      <c r="AI415" s="4"/>
      <c r="AJ415" s="4"/>
      <c r="AK415" s="4"/>
      <c r="AL415" s="4"/>
      <c r="AM415" s="4"/>
      <c r="AN415" s="4"/>
      <c r="AO415" s="4"/>
      <c r="AP415" s="4"/>
      <c r="AQ415" s="4"/>
      <c r="AR415" s="4"/>
      <c r="AS415" s="4"/>
      <c r="AT415" s="4"/>
      <c r="AU415" s="4"/>
      <c r="AV415" s="4"/>
      <c r="AW415" s="4"/>
      <c r="AX415" s="4"/>
      <c r="AY415" s="4"/>
      <c r="AZ415" s="4"/>
      <c r="BA415" s="4"/>
      <c r="BB415" s="4"/>
      <c r="BC415" s="4"/>
      <c r="BD415" s="5"/>
      <c r="BE415" s="4"/>
      <c r="BF415" s="4"/>
      <c r="BG415" s="4"/>
      <c r="BH415" s="4"/>
      <c r="BI415" s="4"/>
      <c r="BJ415" s="4"/>
      <c r="BK415" s="4"/>
      <c r="BL415" s="4"/>
      <c r="BM415" s="4"/>
      <c r="BN415" s="4"/>
      <c r="BO415" s="4"/>
      <c r="BP415" s="4"/>
      <c r="BQ415" s="4"/>
      <c r="BR415" s="4"/>
      <c r="BS415" s="4"/>
    </row>
    <row r="416" spans="1:7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c r="AG416" s="3"/>
      <c r="AH416" s="4"/>
      <c r="AI416" s="4"/>
      <c r="AJ416" s="4"/>
      <c r="AK416" s="4"/>
      <c r="AL416" s="4"/>
      <c r="AM416" s="4"/>
      <c r="AN416" s="4"/>
      <c r="AO416" s="4"/>
      <c r="AP416" s="4"/>
      <c r="AQ416" s="4"/>
      <c r="AR416" s="4"/>
      <c r="AS416" s="4"/>
      <c r="AT416" s="4"/>
      <c r="AU416" s="4"/>
      <c r="AV416" s="4"/>
      <c r="AW416" s="4"/>
      <c r="AX416" s="4"/>
      <c r="AY416" s="4"/>
      <c r="AZ416" s="4"/>
      <c r="BA416" s="4"/>
      <c r="BB416" s="4"/>
      <c r="BC416" s="4"/>
      <c r="BD416" s="5"/>
      <c r="BE416" s="4"/>
      <c r="BF416" s="4"/>
      <c r="BG416" s="4"/>
      <c r="BH416" s="4"/>
      <c r="BI416" s="4"/>
      <c r="BJ416" s="4"/>
      <c r="BK416" s="4"/>
      <c r="BL416" s="4"/>
      <c r="BM416" s="4"/>
      <c r="BN416" s="4"/>
      <c r="BO416" s="4"/>
      <c r="BP416" s="4"/>
      <c r="BQ416" s="4"/>
      <c r="BR416" s="4"/>
      <c r="BS416" s="4"/>
    </row>
    <row r="417" spans="1:7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c r="AG417" s="3"/>
      <c r="AH417" s="4"/>
      <c r="AI417" s="4"/>
      <c r="AJ417" s="4"/>
      <c r="AK417" s="4"/>
      <c r="AL417" s="4"/>
      <c r="AM417" s="4"/>
      <c r="AN417" s="4"/>
      <c r="AO417" s="4"/>
      <c r="AP417" s="4"/>
      <c r="AQ417" s="4"/>
      <c r="AR417" s="4"/>
      <c r="AS417" s="4"/>
      <c r="AT417" s="4"/>
      <c r="AU417" s="4"/>
      <c r="AV417" s="4"/>
      <c r="AW417" s="4"/>
      <c r="AX417" s="4"/>
      <c r="AY417" s="4"/>
      <c r="AZ417" s="4"/>
      <c r="BA417" s="4"/>
      <c r="BB417" s="4"/>
      <c r="BC417" s="4"/>
      <c r="BD417" s="5"/>
      <c r="BE417" s="4"/>
      <c r="BF417" s="4"/>
      <c r="BG417" s="4"/>
      <c r="BH417" s="4"/>
      <c r="BI417" s="4"/>
      <c r="BJ417" s="4"/>
      <c r="BK417" s="4"/>
      <c r="BL417" s="4"/>
      <c r="BM417" s="4"/>
      <c r="BN417" s="4"/>
      <c r="BO417" s="4"/>
      <c r="BP417" s="4"/>
      <c r="BQ417" s="4"/>
      <c r="BR417" s="4"/>
      <c r="BS417" s="4"/>
    </row>
    <row r="418" spans="1:7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c r="AG418" s="3"/>
      <c r="AH418" s="4"/>
      <c r="AI418" s="4"/>
      <c r="AJ418" s="4"/>
      <c r="AK418" s="4"/>
      <c r="AL418" s="4"/>
      <c r="AM418" s="4"/>
      <c r="AN418" s="4"/>
      <c r="AO418" s="4"/>
      <c r="AP418" s="4"/>
      <c r="AQ418" s="4"/>
      <c r="AR418" s="4"/>
      <c r="AS418" s="4"/>
      <c r="AT418" s="4"/>
      <c r="AU418" s="4"/>
      <c r="AV418" s="4"/>
      <c r="AW418" s="4"/>
      <c r="AX418" s="4"/>
      <c r="AY418" s="4"/>
      <c r="AZ418" s="4"/>
      <c r="BA418" s="4"/>
      <c r="BB418" s="4"/>
      <c r="BC418" s="4"/>
      <c r="BD418" s="5"/>
      <c r="BE418" s="4"/>
      <c r="BF418" s="4"/>
      <c r="BG418" s="4"/>
      <c r="BH418" s="4"/>
      <c r="BI418" s="4"/>
      <c r="BJ418" s="4"/>
      <c r="BK418" s="4"/>
      <c r="BL418" s="4"/>
      <c r="BM418" s="4"/>
      <c r="BN418" s="4"/>
      <c r="BO418" s="4"/>
      <c r="BP418" s="4"/>
      <c r="BQ418" s="4"/>
      <c r="BR418" s="4"/>
      <c r="BS418" s="4"/>
    </row>
    <row r="419" spans="1:7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c r="AG419" s="3"/>
      <c r="AH419" s="4"/>
      <c r="AI419" s="4"/>
      <c r="AJ419" s="4"/>
      <c r="AK419" s="4"/>
      <c r="AL419" s="4"/>
      <c r="AM419" s="4"/>
      <c r="AN419" s="4"/>
      <c r="AO419" s="4"/>
      <c r="AP419" s="4"/>
      <c r="AQ419" s="4"/>
      <c r="AR419" s="4"/>
      <c r="AS419" s="4"/>
      <c r="AT419" s="4"/>
      <c r="AU419" s="4"/>
      <c r="AV419" s="4"/>
      <c r="AW419" s="4"/>
      <c r="AX419" s="4"/>
      <c r="AY419" s="4"/>
      <c r="AZ419" s="4"/>
      <c r="BA419" s="4"/>
      <c r="BB419" s="4"/>
      <c r="BC419" s="4"/>
      <c r="BD419" s="5"/>
      <c r="BE419" s="4"/>
      <c r="BF419" s="4"/>
      <c r="BG419" s="4"/>
      <c r="BH419" s="4"/>
      <c r="BI419" s="4"/>
      <c r="BJ419" s="4"/>
      <c r="BK419" s="4"/>
      <c r="BL419" s="4"/>
      <c r="BM419" s="4"/>
      <c r="BN419" s="4"/>
      <c r="BO419" s="4"/>
      <c r="BP419" s="4"/>
      <c r="BQ419" s="4"/>
      <c r="BR419" s="4"/>
      <c r="BS419" s="4"/>
    </row>
    <row r="420" spans="1:7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c r="AG420" s="3"/>
      <c r="AH420" s="4"/>
      <c r="AI420" s="4"/>
      <c r="AJ420" s="4"/>
      <c r="AK420" s="4"/>
      <c r="AL420" s="4"/>
      <c r="AM420" s="4"/>
      <c r="AN420" s="4"/>
      <c r="AO420" s="4"/>
      <c r="AP420" s="4"/>
      <c r="AQ420" s="4"/>
      <c r="AR420" s="4"/>
      <c r="AS420" s="4"/>
      <c r="AT420" s="4"/>
      <c r="AU420" s="4"/>
      <c r="AV420" s="4"/>
      <c r="AW420" s="4"/>
      <c r="AX420" s="4"/>
      <c r="AY420" s="4"/>
      <c r="AZ420" s="4"/>
      <c r="BA420" s="4"/>
      <c r="BB420" s="4"/>
      <c r="BC420" s="4"/>
      <c r="BD420" s="5"/>
      <c r="BE420" s="4"/>
      <c r="BF420" s="4"/>
      <c r="BG420" s="4"/>
      <c r="BH420" s="4"/>
      <c r="BI420" s="4"/>
      <c r="BJ420" s="4"/>
      <c r="BK420" s="4"/>
      <c r="BL420" s="4"/>
      <c r="BM420" s="4"/>
      <c r="BN420" s="4"/>
      <c r="BO420" s="4"/>
      <c r="BP420" s="4"/>
      <c r="BQ420" s="4"/>
      <c r="BR420" s="4"/>
      <c r="BS420" s="4"/>
    </row>
    <row r="421" spans="1:7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c r="AG421" s="3"/>
      <c r="AH421" s="4"/>
      <c r="AI421" s="4"/>
      <c r="AJ421" s="4"/>
      <c r="AK421" s="4"/>
      <c r="AL421" s="4"/>
      <c r="AM421" s="4"/>
      <c r="AN421" s="4"/>
      <c r="AO421" s="4"/>
      <c r="AP421" s="4"/>
      <c r="AQ421" s="4"/>
      <c r="AR421" s="4"/>
      <c r="AS421" s="4"/>
      <c r="AT421" s="4"/>
      <c r="AU421" s="4"/>
      <c r="AV421" s="4"/>
      <c r="AW421" s="4"/>
      <c r="AX421" s="4"/>
      <c r="AY421" s="4"/>
      <c r="AZ421" s="4"/>
      <c r="BA421" s="4"/>
      <c r="BB421" s="4"/>
      <c r="BC421" s="4"/>
      <c r="BD421" s="5"/>
      <c r="BE421" s="4"/>
      <c r="BF421" s="4"/>
      <c r="BG421" s="4"/>
      <c r="BH421" s="4"/>
      <c r="BI421" s="4"/>
      <c r="BJ421" s="4"/>
      <c r="BK421" s="4"/>
      <c r="BL421" s="4"/>
      <c r="BM421" s="4"/>
      <c r="BN421" s="4"/>
      <c r="BO421" s="4"/>
      <c r="BP421" s="4"/>
      <c r="BQ421" s="4"/>
      <c r="BR421" s="4"/>
      <c r="BS421" s="4"/>
    </row>
    <row r="422" spans="1:7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c r="AG422" s="3"/>
      <c r="AH422" s="4"/>
      <c r="AI422" s="4"/>
      <c r="AJ422" s="4"/>
      <c r="AK422" s="4"/>
      <c r="AL422" s="4"/>
      <c r="AM422" s="4"/>
      <c r="AN422" s="4"/>
      <c r="AO422" s="4"/>
      <c r="AP422" s="4"/>
      <c r="AQ422" s="4"/>
      <c r="AR422" s="4"/>
      <c r="AS422" s="4"/>
      <c r="AT422" s="4"/>
      <c r="AU422" s="4"/>
      <c r="AV422" s="4"/>
      <c r="AW422" s="4"/>
      <c r="AX422" s="4"/>
      <c r="AY422" s="4"/>
      <c r="AZ422" s="4"/>
      <c r="BA422" s="4"/>
      <c r="BB422" s="4"/>
      <c r="BC422" s="4"/>
      <c r="BD422" s="5"/>
      <c r="BE422" s="4"/>
      <c r="BF422" s="4"/>
      <c r="BG422" s="4"/>
      <c r="BH422" s="4"/>
      <c r="BI422" s="4"/>
      <c r="BJ422" s="4"/>
      <c r="BK422" s="4"/>
      <c r="BL422" s="4"/>
      <c r="BM422" s="4"/>
      <c r="BN422" s="4"/>
      <c r="BO422" s="4"/>
      <c r="BP422" s="4"/>
      <c r="BQ422" s="4"/>
      <c r="BR422" s="4"/>
      <c r="BS422" s="4"/>
    </row>
    <row r="423" spans="1:7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c r="AG423" s="3"/>
      <c r="AH423" s="4"/>
      <c r="AI423" s="4"/>
      <c r="AJ423" s="4"/>
      <c r="AK423" s="4"/>
      <c r="AL423" s="4"/>
      <c r="AM423" s="4"/>
      <c r="AN423" s="4"/>
      <c r="AO423" s="4"/>
      <c r="AP423" s="4"/>
      <c r="AQ423" s="4"/>
      <c r="AR423" s="4"/>
      <c r="AS423" s="4"/>
      <c r="AT423" s="4"/>
      <c r="AU423" s="4"/>
      <c r="AV423" s="4"/>
      <c r="AW423" s="4"/>
      <c r="AX423" s="4"/>
      <c r="AY423" s="4"/>
      <c r="AZ423" s="4"/>
      <c r="BA423" s="4"/>
      <c r="BB423" s="4"/>
      <c r="BC423" s="4"/>
      <c r="BD423" s="5"/>
      <c r="BE423" s="4"/>
      <c r="BF423" s="4"/>
      <c r="BG423" s="4"/>
      <c r="BH423" s="4"/>
      <c r="BI423" s="4"/>
      <c r="BJ423" s="4"/>
      <c r="BK423" s="4"/>
      <c r="BL423" s="4"/>
      <c r="BM423" s="4"/>
      <c r="BN423" s="4"/>
      <c r="BO423" s="4"/>
      <c r="BP423" s="4"/>
      <c r="BQ423" s="4"/>
      <c r="BR423" s="4"/>
      <c r="BS423" s="4"/>
    </row>
    <row r="424" spans="1:7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c r="AG424" s="3"/>
      <c r="AH424" s="4"/>
      <c r="AI424" s="4"/>
      <c r="AJ424" s="4"/>
      <c r="AK424" s="4"/>
      <c r="AL424" s="4"/>
      <c r="AM424" s="4"/>
      <c r="AN424" s="4"/>
      <c r="AO424" s="4"/>
      <c r="AP424" s="4"/>
      <c r="AQ424" s="4"/>
      <c r="AR424" s="4"/>
      <c r="AS424" s="4"/>
      <c r="AT424" s="4"/>
      <c r="AU424" s="4"/>
      <c r="AV424" s="4"/>
      <c r="AW424" s="4"/>
      <c r="AX424" s="4"/>
      <c r="AY424" s="4"/>
      <c r="AZ424" s="4"/>
      <c r="BA424" s="4"/>
      <c r="BB424" s="4"/>
      <c r="BC424" s="4"/>
      <c r="BD424" s="5"/>
      <c r="BE424" s="4"/>
      <c r="BF424" s="4"/>
      <c r="BG424" s="4"/>
      <c r="BH424" s="4"/>
      <c r="BI424" s="4"/>
      <c r="BJ424" s="4"/>
      <c r="BK424" s="4"/>
      <c r="BL424" s="4"/>
      <c r="BM424" s="4"/>
      <c r="BN424" s="4"/>
      <c r="BO424" s="4"/>
      <c r="BP424" s="4"/>
      <c r="BQ424" s="4"/>
      <c r="BR424" s="4"/>
      <c r="BS424" s="4"/>
    </row>
    <row r="425" spans="1:7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c r="AG425" s="3"/>
      <c r="AH425" s="4"/>
      <c r="AI425" s="4"/>
      <c r="AJ425" s="4"/>
      <c r="AK425" s="4"/>
      <c r="AL425" s="4"/>
      <c r="AM425" s="4"/>
      <c r="AN425" s="4"/>
      <c r="AO425" s="4"/>
      <c r="AP425" s="4"/>
      <c r="AQ425" s="4"/>
      <c r="AR425" s="4"/>
      <c r="AS425" s="4"/>
      <c r="AT425" s="4"/>
      <c r="AU425" s="4"/>
      <c r="AV425" s="4"/>
      <c r="AW425" s="4"/>
      <c r="AX425" s="4"/>
      <c r="AY425" s="4"/>
      <c r="AZ425" s="4"/>
      <c r="BA425" s="4"/>
      <c r="BB425" s="4"/>
      <c r="BC425" s="4"/>
      <c r="BD425" s="5"/>
      <c r="BE425" s="4"/>
      <c r="BF425" s="4"/>
      <c r="BG425" s="4"/>
      <c r="BH425" s="4"/>
      <c r="BI425" s="4"/>
      <c r="BJ425" s="4"/>
      <c r="BK425" s="4"/>
      <c r="BL425" s="4"/>
      <c r="BM425" s="4"/>
      <c r="BN425" s="4"/>
      <c r="BO425" s="4"/>
      <c r="BP425" s="4"/>
      <c r="BQ425" s="4"/>
      <c r="BR425" s="4"/>
      <c r="BS425" s="4"/>
    </row>
    <row r="426" spans="1:7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c r="AG426" s="3"/>
      <c r="AH426" s="4"/>
      <c r="AI426" s="4"/>
      <c r="AJ426" s="4"/>
      <c r="AK426" s="4"/>
      <c r="AL426" s="4"/>
      <c r="AM426" s="4"/>
      <c r="AN426" s="4"/>
      <c r="AO426" s="4"/>
      <c r="AP426" s="4"/>
      <c r="AQ426" s="4"/>
      <c r="AR426" s="4"/>
      <c r="AS426" s="4"/>
      <c r="AT426" s="4"/>
      <c r="AU426" s="4"/>
      <c r="AV426" s="4"/>
      <c r="AW426" s="4"/>
      <c r="AX426" s="4"/>
      <c r="AY426" s="4"/>
      <c r="AZ426" s="4"/>
      <c r="BA426" s="4"/>
      <c r="BB426" s="4"/>
      <c r="BC426" s="4"/>
      <c r="BD426" s="5"/>
      <c r="BE426" s="4"/>
      <c r="BF426" s="4"/>
      <c r="BG426" s="4"/>
      <c r="BH426" s="4"/>
      <c r="BI426" s="4"/>
      <c r="BJ426" s="4"/>
      <c r="BK426" s="4"/>
      <c r="BL426" s="4"/>
      <c r="BM426" s="4"/>
      <c r="BN426" s="4"/>
      <c r="BO426" s="4"/>
      <c r="BP426" s="4"/>
      <c r="BQ426" s="4"/>
      <c r="BR426" s="4"/>
      <c r="BS426" s="4"/>
    </row>
    <row r="427" spans="1:7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c r="AG427" s="3"/>
      <c r="AH427" s="4"/>
      <c r="AI427" s="4"/>
      <c r="AJ427" s="4"/>
      <c r="AK427" s="4"/>
      <c r="AL427" s="4"/>
      <c r="AM427" s="4"/>
      <c r="AN427" s="4"/>
      <c r="AO427" s="4"/>
      <c r="AP427" s="4"/>
      <c r="AQ427" s="4"/>
      <c r="AR427" s="4"/>
      <c r="AS427" s="4"/>
      <c r="AT427" s="4"/>
      <c r="AU427" s="4"/>
      <c r="AV427" s="4"/>
      <c r="AW427" s="4"/>
      <c r="AX427" s="4"/>
      <c r="AY427" s="4"/>
      <c r="AZ427" s="4"/>
      <c r="BA427" s="4"/>
      <c r="BB427" s="4"/>
      <c r="BC427" s="4"/>
      <c r="BD427" s="5"/>
      <c r="BE427" s="4"/>
      <c r="BF427" s="4"/>
      <c r="BG427" s="4"/>
      <c r="BH427" s="4"/>
      <c r="BI427" s="4"/>
      <c r="BJ427" s="4"/>
      <c r="BK427" s="4"/>
      <c r="BL427" s="4"/>
      <c r="BM427" s="4"/>
      <c r="BN427" s="4"/>
      <c r="BO427" s="4"/>
      <c r="BP427" s="4"/>
      <c r="BQ427" s="4"/>
      <c r="BR427" s="4"/>
      <c r="BS427" s="4"/>
    </row>
    <row r="428" spans="1:7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c r="AG428" s="3"/>
      <c r="AH428" s="4"/>
      <c r="AI428" s="4"/>
      <c r="AJ428" s="4"/>
      <c r="AK428" s="4"/>
      <c r="AL428" s="4"/>
      <c r="AM428" s="4"/>
      <c r="AN428" s="4"/>
      <c r="AO428" s="4"/>
      <c r="AP428" s="4"/>
      <c r="AQ428" s="4"/>
      <c r="AR428" s="4"/>
      <c r="AS428" s="4"/>
      <c r="AT428" s="4"/>
      <c r="AU428" s="4"/>
      <c r="AV428" s="4"/>
      <c r="AW428" s="4"/>
      <c r="AX428" s="4"/>
      <c r="AY428" s="4"/>
      <c r="AZ428" s="4"/>
      <c r="BA428" s="4"/>
      <c r="BB428" s="4"/>
      <c r="BC428" s="4"/>
      <c r="BD428" s="5"/>
      <c r="BE428" s="4"/>
      <c r="BF428" s="4"/>
      <c r="BG428" s="4"/>
      <c r="BH428" s="4"/>
      <c r="BI428" s="4"/>
      <c r="BJ428" s="4"/>
      <c r="BK428" s="4"/>
      <c r="BL428" s="4"/>
      <c r="BM428" s="4"/>
      <c r="BN428" s="4"/>
      <c r="BO428" s="4"/>
      <c r="BP428" s="4"/>
      <c r="BQ428" s="4"/>
      <c r="BR428" s="4"/>
      <c r="BS428" s="4"/>
    </row>
    <row r="429" spans="1:7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c r="AG429" s="3"/>
      <c r="AH429" s="4"/>
      <c r="AI429" s="4"/>
      <c r="AJ429" s="4"/>
      <c r="AK429" s="4"/>
      <c r="AL429" s="4"/>
      <c r="AM429" s="4"/>
      <c r="AN429" s="4"/>
      <c r="AO429" s="4"/>
      <c r="AP429" s="4"/>
      <c r="AQ429" s="4"/>
      <c r="AR429" s="4"/>
      <c r="AS429" s="4"/>
      <c r="AT429" s="4"/>
      <c r="AU429" s="4"/>
      <c r="AV429" s="4"/>
      <c r="AW429" s="4"/>
      <c r="AX429" s="4"/>
      <c r="AY429" s="4"/>
      <c r="AZ429" s="4"/>
      <c r="BA429" s="4"/>
      <c r="BB429" s="4"/>
      <c r="BC429" s="4"/>
      <c r="BD429" s="5"/>
      <c r="BE429" s="4"/>
      <c r="BF429" s="4"/>
      <c r="BG429" s="4"/>
      <c r="BH429" s="4"/>
      <c r="BI429" s="4"/>
      <c r="BJ429" s="4"/>
      <c r="BK429" s="4"/>
      <c r="BL429" s="4"/>
      <c r="BM429" s="4"/>
      <c r="BN429" s="4"/>
      <c r="BO429" s="4"/>
      <c r="BP429" s="4"/>
      <c r="BQ429" s="4"/>
      <c r="BR429" s="4"/>
      <c r="BS429" s="4"/>
    </row>
    <row r="430" spans="1:7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c r="AG430" s="3"/>
      <c r="AH430" s="4"/>
      <c r="AI430" s="4"/>
      <c r="AJ430" s="4"/>
      <c r="AK430" s="4"/>
      <c r="AL430" s="4"/>
      <c r="AM430" s="4"/>
      <c r="AN430" s="4"/>
      <c r="AO430" s="4"/>
      <c r="AP430" s="4"/>
      <c r="AQ430" s="4"/>
      <c r="AR430" s="4"/>
      <c r="AS430" s="4"/>
      <c r="AT430" s="4"/>
      <c r="AU430" s="4"/>
      <c r="AV430" s="4"/>
      <c r="AW430" s="4"/>
      <c r="AX430" s="4"/>
      <c r="AY430" s="4"/>
      <c r="AZ430" s="4"/>
      <c r="BA430" s="4"/>
      <c r="BB430" s="4"/>
      <c r="BC430" s="4"/>
      <c r="BD430" s="5"/>
      <c r="BE430" s="4"/>
      <c r="BF430" s="4"/>
      <c r="BG430" s="4"/>
      <c r="BH430" s="4"/>
      <c r="BI430" s="4"/>
      <c r="BJ430" s="4"/>
      <c r="BK430" s="4"/>
      <c r="BL430" s="4"/>
      <c r="BM430" s="4"/>
      <c r="BN430" s="4"/>
      <c r="BO430" s="4"/>
      <c r="BP430" s="4"/>
      <c r="BQ430" s="4"/>
      <c r="BR430" s="4"/>
      <c r="BS430" s="4"/>
    </row>
    <row r="431" spans="1:7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c r="AG431" s="3"/>
      <c r="AH431" s="4"/>
      <c r="AI431" s="4"/>
      <c r="AJ431" s="4"/>
      <c r="AK431" s="4"/>
      <c r="AL431" s="4"/>
      <c r="AM431" s="4"/>
      <c r="AN431" s="4"/>
      <c r="AO431" s="4"/>
      <c r="AP431" s="4"/>
      <c r="AQ431" s="4"/>
      <c r="AR431" s="4"/>
      <c r="AS431" s="4"/>
      <c r="AT431" s="4"/>
      <c r="AU431" s="4"/>
      <c r="AV431" s="4"/>
      <c r="AW431" s="4"/>
      <c r="AX431" s="4"/>
      <c r="AY431" s="4"/>
      <c r="AZ431" s="4"/>
      <c r="BA431" s="4"/>
      <c r="BB431" s="4"/>
      <c r="BC431" s="4"/>
      <c r="BD431" s="5"/>
      <c r="BE431" s="4"/>
      <c r="BF431" s="4"/>
      <c r="BG431" s="4"/>
      <c r="BH431" s="4"/>
      <c r="BI431" s="4"/>
      <c r="BJ431" s="4"/>
      <c r="BK431" s="4"/>
      <c r="BL431" s="4"/>
      <c r="BM431" s="4"/>
      <c r="BN431" s="4"/>
      <c r="BO431" s="4"/>
      <c r="BP431" s="4"/>
      <c r="BQ431" s="4"/>
      <c r="BR431" s="4"/>
      <c r="BS431" s="4"/>
    </row>
    <row r="432" spans="1:7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c r="AG432" s="3"/>
      <c r="AH432" s="4"/>
      <c r="AI432" s="4"/>
      <c r="AJ432" s="4"/>
      <c r="AK432" s="4"/>
      <c r="AL432" s="4"/>
      <c r="AM432" s="4"/>
      <c r="AN432" s="4"/>
      <c r="AO432" s="4"/>
      <c r="AP432" s="4"/>
      <c r="AQ432" s="4"/>
      <c r="AR432" s="4"/>
      <c r="AS432" s="4"/>
      <c r="AT432" s="4"/>
      <c r="AU432" s="4"/>
      <c r="AV432" s="4"/>
      <c r="AW432" s="4"/>
      <c r="AX432" s="4"/>
      <c r="AY432" s="4"/>
      <c r="AZ432" s="4"/>
      <c r="BA432" s="4"/>
      <c r="BB432" s="4"/>
      <c r="BC432" s="4"/>
      <c r="BD432" s="5"/>
      <c r="BE432" s="4"/>
      <c r="BF432" s="4"/>
      <c r="BG432" s="4"/>
      <c r="BH432" s="4"/>
      <c r="BI432" s="4"/>
      <c r="BJ432" s="4"/>
      <c r="BK432" s="4"/>
      <c r="BL432" s="4"/>
      <c r="BM432" s="4"/>
      <c r="BN432" s="4"/>
      <c r="BO432" s="4"/>
      <c r="BP432" s="4"/>
      <c r="BQ432" s="4"/>
      <c r="BR432" s="4"/>
      <c r="BS432" s="4"/>
    </row>
    <row r="433" spans="1:7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c r="AG433" s="3"/>
      <c r="AH433" s="4"/>
      <c r="AI433" s="4"/>
      <c r="AJ433" s="4"/>
      <c r="AK433" s="4"/>
      <c r="AL433" s="4"/>
      <c r="AM433" s="4"/>
      <c r="AN433" s="4"/>
      <c r="AO433" s="4"/>
      <c r="AP433" s="4"/>
      <c r="AQ433" s="4"/>
      <c r="AR433" s="4"/>
      <c r="AS433" s="4"/>
      <c r="AT433" s="4"/>
      <c r="AU433" s="4"/>
      <c r="AV433" s="4"/>
      <c r="AW433" s="4"/>
      <c r="AX433" s="4"/>
      <c r="AY433" s="4"/>
      <c r="AZ433" s="4"/>
      <c r="BA433" s="4"/>
      <c r="BB433" s="4"/>
      <c r="BC433" s="4"/>
      <c r="BD433" s="5"/>
      <c r="BE433" s="4"/>
      <c r="BF433" s="4"/>
      <c r="BG433" s="4"/>
      <c r="BH433" s="4"/>
      <c r="BI433" s="4"/>
      <c r="BJ433" s="4"/>
      <c r="BK433" s="4"/>
      <c r="BL433" s="4"/>
      <c r="BM433" s="4"/>
      <c r="BN433" s="4"/>
      <c r="BO433" s="4"/>
      <c r="BP433" s="4"/>
      <c r="BQ433" s="4"/>
      <c r="BR433" s="4"/>
      <c r="BS433" s="4"/>
    </row>
    <row r="434" spans="1:7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c r="AG434" s="3"/>
      <c r="AH434" s="4"/>
      <c r="AI434" s="4"/>
      <c r="AJ434" s="4"/>
      <c r="AK434" s="4"/>
      <c r="AL434" s="4"/>
      <c r="AM434" s="4"/>
      <c r="AN434" s="4"/>
      <c r="AO434" s="4"/>
      <c r="AP434" s="4"/>
      <c r="AQ434" s="4"/>
      <c r="AR434" s="4"/>
      <c r="AS434" s="4"/>
      <c r="AT434" s="4"/>
      <c r="AU434" s="4"/>
      <c r="AV434" s="4"/>
      <c r="AW434" s="4"/>
      <c r="AX434" s="4"/>
      <c r="AY434" s="4"/>
      <c r="AZ434" s="4"/>
      <c r="BA434" s="4"/>
      <c r="BB434" s="4"/>
      <c r="BC434" s="4"/>
      <c r="BD434" s="5"/>
      <c r="BE434" s="4"/>
      <c r="BF434" s="4"/>
      <c r="BG434" s="4"/>
      <c r="BH434" s="4"/>
      <c r="BI434" s="4"/>
      <c r="BJ434" s="4"/>
      <c r="BK434" s="4"/>
      <c r="BL434" s="4"/>
      <c r="BM434" s="4"/>
      <c r="BN434" s="4"/>
      <c r="BO434" s="4"/>
      <c r="BP434" s="4"/>
      <c r="BQ434" s="4"/>
      <c r="BR434" s="4"/>
      <c r="BS434" s="4"/>
    </row>
    <row r="435" spans="1:7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c r="AG435" s="3"/>
      <c r="AH435" s="4"/>
      <c r="AI435" s="4"/>
      <c r="AJ435" s="4"/>
      <c r="AK435" s="4"/>
      <c r="AL435" s="4"/>
      <c r="AM435" s="4"/>
      <c r="AN435" s="4"/>
      <c r="AO435" s="4"/>
      <c r="AP435" s="4"/>
      <c r="AQ435" s="4"/>
      <c r="AR435" s="4"/>
      <c r="AS435" s="4"/>
      <c r="AT435" s="4"/>
      <c r="AU435" s="4"/>
      <c r="AV435" s="4"/>
      <c r="AW435" s="4"/>
      <c r="AX435" s="4"/>
      <c r="AY435" s="4"/>
      <c r="AZ435" s="4"/>
      <c r="BA435" s="4"/>
      <c r="BB435" s="4"/>
      <c r="BC435" s="4"/>
      <c r="BD435" s="5"/>
      <c r="BE435" s="4"/>
      <c r="BF435" s="4"/>
      <c r="BG435" s="4"/>
      <c r="BH435" s="4"/>
      <c r="BI435" s="4"/>
      <c r="BJ435" s="4"/>
      <c r="BK435" s="4"/>
      <c r="BL435" s="4"/>
      <c r="BM435" s="4"/>
      <c r="BN435" s="4"/>
      <c r="BO435" s="4"/>
      <c r="BP435" s="4"/>
      <c r="BQ435" s="4"/>
      <c r="BR435" s="4"/>
      <c r="BS435" s="4"/>
    </row>
    <row r="436" spans="1:7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c r="AG436" s="3"/>
      <c r="AH436" s="4"/>
      <c r="AI436" s="4"/>
      <c r="AJ436" s="4"/>
      <c r="AK436" s="4"/>
      <c r="AL436" s="4"/>
      <c r="AM436" s="4"/>
      <c r="AN436" s="4"/>
      <c r="AO436" s="4"/>
      <c r="AP436" s="4"/>
      <c r="AQ436" s="4"/>
      <c r="AR436" s="4"/>
      <c r="AS436" s="4"/>
      <c r="AT436" s="4"/>
      <c r="AU436" s="4"/>
      <c r="AV436" s="4"/>
      <c r="AW436" s="4"/>
      <c r="AX436" s="4"/>
      <c r="AY436" s="4"/>
      <c r="AZ436" s="4"/>
      <c r="BA436" s="4"/>
      <c r="BB436" s="4"/>
      <c r="BC436" s="4"/>
      <c r="BD436" s="5"/>
      <c r="BE436" s="4"/>
      <c r="BF436" s="4"/>
      <c r="BG436" s="4"/>
      <c r="BH436" s="4"/>
      <c r="BI436" s="4"/>
      <c r="BJ436" s="4"/>
      <c r="BK436" s="4"/>
      <c r="BL436" s="4"/>
      <c r="BM436" s="4"/>
      <c r="BN436" s="4"/>
      <c r="BO436" s="4"/>
      <c r="BP436" s="4"/>
      <c r="BQ436" s="4"/>
      <c r="BR436" s="4"/>
      <c r="BS436" s="4"/>
    </row>
    <row r="437" spans="1:7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c r="AG437" s="3"/>
      <c r="AH437" s="4"/>
      <c r="AI437" s="4"/>
      <c r="AJ437" s="4"/>
      <c r="AK437" s="4"/>
      <c r="AL437" s="4"/>
      <c r="AM437" s="4"/>
      <c r="AN437" s="4"/>
      <c r="AO437" s="4"/>
      <c r="AP437" s="4"/>
      <c r="AQ437" s="4"/>
      <c r="AR437" s="4"/>
      <c r="AS437" s="4"/>
      <c r="AT437" s="4"/>
      <c r="AU437" s="4"/>
      <c r="AV437" s="4"/>
      <c r="AW437" s="4"/>
      <c r="AX437" s="4"/>
      <c r="AY437" s="4"/>
      <c r="AZ437" s="4"/>
      <c r="BA437" s="4"/>
      <c r="BB437" s="4"/>
      <c r="BC437" s="4"/>
      <c r="BD437" s="5"/>
      <c r="BE437" s="4"/>
      <c r="BF437" s="4"/>
      <c r="BG437" s="4"/>
      <c r="BH437" s="4"/>
      <c r="BI437" s="4"/>
      <c r="BJ437" s="4"/>
      <c r="BK437" s="4"/>
      <c r="BL437" s="4"/>
      <c r="BM437" s="4"/>
      <c r="BN437" s="4"/>
      <c r="BO437" s="4"/>
      <c r="BP437" s="4"/>
      <c r="BQ437" s="4"/>
      <c r="BR437" s="4"/>
      <c r="BS437" s="4"/>
    </row>
    <row r="438" spans="1:7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c r="AG438" s="3"/>
      <c r="AH438" s="4"/>
      <c r="AI438" s="4"/>
      <c r="AJ438" s="4"/>
      <c r="AK438" s="4"/>
      <c r="AL438" s="4"/>
      <c r="AM438" s="4"/>
      <c r="AN438" s="4"/>
      <c r="AO438" s="4"/>
      <c r="AP438" s="4"/>
      <c r="AQ438" s="4"/>
      <c r="AR438" s="4"/>
      <c r="AS438" s="4"/>
      <c r="AT438" s="4"/>
      <c r="AU438" s="4"/>
      <c r="AV438" s="4"/>
      <c r="AW438" s="4"/>
      <c r="AX438" s="4"/>
      <c r="AY438" s="4"/>
      <c r="AZ438" s="4"/>
      <c r="BA438" s="4"/>
      <c r="BB438" s="4"/>
      <c r="BC438" s="4"/>
      <c r="BD438" s="5"/>
      <c r="BE438" s="4"/>
      <c r="BF438" s="4"/>
      <c r="BG438" s="4"/>
      <c r="BH438" s="4"/>
      <c r="BI438" s="4"/>
      <c r="BJ438" s="4"/>
      <c r="BK438" s="4"/>
      <c r="BL438" s="4"/>
      <c r="BM438" s="4"/>
      <c r="BN438" s="4"/>
      <c r="BO438" s="4"/>
      <c r="BP438" s="4"/>
      <c r="BQ438" s="4"/>
      <c r="BR438" s="4"/>
      <c r="BS438" s="4"/>
    </row>
    <row r="439" spans="1:7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c r="AG439" s="3"/>
      <c r="AH439" s="4"/>
      <c r="AI439" s="4"/>
      <c r="AJ439" s="4"/>
      <c r="AK439" s="4"/>
      <c r="AL439" s="4"/>
      <c r="AM439" s="4"/>
      <c r="AN439" s="4"/>
      <c r="AO439" s="4"/>
      <c r="AP439" s="4"/>
      <c r="AQ439" s="4"/>
      <c r="AR439" s="4"/>
      <c r="AS439" s="4"/>
      <c r="AT439" s="4"/>
      <c r="AU439" s="4"/>
      <c r="AV439" s="4"/>
      <c r="AW439" s="4"/>
      <c r="AX439" s="4"/>
      <c r="AY439" s="4"/>
      <c r="AZ439" s="4"/>
      <c r="BA439" s="4"/>
      <c r="BB439" s="4"/>
      <c r="BC439" s="4"/>
      <c r="BD439" s="5"/>
      <c r="BE439" s="4"/>
      <c r="BF439" s="4"/>
      <c r="BG439" s="4"/>
      <c r="BH439" s="4"/>
      <c r="BI439" s="4"/>
      <c r="BJ439" s="4"/>
      <c r="BK439" s="4"/>
      <c r="BL439" s="4"/>
      <c r="BM439" s="4"/>
      <c r="BN439" s="4"/>
      <c r="BO439" s="4"/>
      <c r="BP439" s="4"/>
      <c r="BQ439" s="4"/>
      <c r="BR439" s="4"/>
      <c r="BS439" s="4"/>
    </row>
    <row r="440" spans="1:7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c r="AG440" s="3"/>
      <c r="AH440" s="4"/>
      <c r="AI440" s="4"/>
      <c r="AJ440" s="4"/>
      <c r="AK440" s="4"/>
      <c r="AL440" s="4"/>
      <c r="AM440" s="4"/>
      <c r="AN440" s="4"/>
      <c r="AO440" s="4"/>
      <c r="AP440" s="4"/>
      <c r="AQ440" s="4"/>
      <c r="AR440" s="4"/>
      <c r="AS440" s="4"/>
      <c r="AT440" s="4"/>
      <c r="AU440" s="4"/>
      <c r="AV440" s="4"/>
      <c r="AW440" s="4"/>
      <c r="AX440" s="4"/>
      <c r="AY440" s="4"/>
      <c r="AZ440" s="4"/>
      <c r="BA440" s="4"/>
      <c r="BB440" s="4"/>
      <c r="BC440" s="4"/>
      <c r="BD440" s="5"/>
      <c r="BE440" s="4"/>
      <c r="BF440" s="4"/>
      <c r="BG440" s="4"/>
      <c r="BH440" s="4"/>
      <c r="BI440" s="4"/>
      <c r="BJ440" s="4"/>
      <c r="BK440" s="4"/>
      <c r="BL440" s="4"/>
      <c r="BM440" s="4"/>
      <c r="BN440" s="4"/>
      <c r="BO440" s="4"/>
      <c r="BP440" s="4"/>
      <c r="BQ440" s="4"/>
      <c r="BR440" s="4"/>
      <c r="BS440" s="4"/>
    </row>
    <row r="441" spans="1:7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c r="AG441" s="3"/>
      <c r="AH441" s="4"/>
      <c r="AI441" s="4"/>
      <c r="AJ441" s="4"/>
      <c r="AK441" s="4"/>
      <c r="AL441" s="4"/>
      <c r="AM441" s="4"/>
      <c r="AN441" s="4"/>
      <c r="AO441" s="4"/>
      <c r="AP441" s="4"/>
      <c r="AQ441" s="4"/>
      <c r="AR441" s="4"/>
      <c r="AS441" s="4"/>
      <c r="AT441" s="4"/>
      <c r="AU441" s="4"/>
      <c r="AV441" s="4"/>
      <c r="AW441" s="4"/>
      <c r="AX441" s="4"/>
      <c r="AY441" s="4"/>
      <c r="AZ441" s="4"/>
      <c r="BA441" s="4"/>
      <c r="BB441" s="4"/>
      <c r="BC441" s="4"/>
      <c r="BD441" s="5"/>
      <c r="BE441" s="4"/>
      <c r="BF441" s="4"/>
      <c r="BG441" s="4"/>
      <c r="BH441" s="4"/>
      <c r="BI441" s="4"/>
      <c r="BJ441" s="4"/>
      <c r="BK441" s="4"/>
      <c r="BL441" s="4"/>
      <c r="BM441" s="4"/>
      <c r="BN441" s="4"/>
      <c r="BO441" s="4"/>
      <c r="BP441" s="4"/>
      <c r="BQ441" s="4"/>
      <c r="BR441" s="4"/>
      <c r="BS441" s="4"/>
    </row>
    <row r="442" spans="1:7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c r="AG442" s="3"/>
      <c r="AH442" s="4"/>
      <c r="AI442" s="4"/>
      <c r="AJ442" s="4"/>
      <c r="AK442" s="4"/>
      <c r="AL442" s="4"/>
      <c r="AM442" s="4"/>
      <c r="AN442" s="4"/>
      <c r="AO442" s="4"/>
      <c r="AP442" s="4"/>
      <c r="AQ442" s="4"/>
      <c r="AR442" s="4"/>
      <c r="AS442" s="4"/>
      <c r="AT442" s="4"/>
      <c r="AU442" s="4"/>
      <c r="AV442" s="4"/>
      <c r="AW442" s="4"/>
      <c r="AX442" s="4"/>
      <c r="AY442" s="4"/>
      <c r="AZ442" s="4"/>
      <c r="BA442" s="4"/>
      <c r="BB442" s="4"/>
      <c r="BC442" s="4"/>
      <c r="BD442" s="5"/>
      <c r="BE442" s="4"/>
      <c r="BF442" s="4"/>
      <c r="BG442" s="4"/>
      <c r="BH442" s="4"/>
      <c r="BI442" s="4"/>
      <c r="BJ442" s="4"/>
      <c r="BK442" s="4"/>
      <c r="BL442" s="4"/>
      <c r="BM442" s="4"/>
      <c r="BN442" s="4"/>
      <c r="BO442" s="4"/>
      <c r="BP442" s="4"/>
      <c r="BQ442" s="4"/>
      <c r="BR442" s="4"/>
      <c r="BS442" s="4"/>
    </row>
    <row r="443" spans="1:7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c r="AG443" s="3"/>
      <c r="AH443" s="4"/>
      <c r="AI443" s="4"/>
      <c r="AJ443" s="4"/>
      <c r="AK443" s="4"/>
      <c r="AL443" s="4"/>
      <c r="AM443" s="4"/>
      <c r="AN443" s="4"/>
      <c r="AO443" s="4"/>
      <c r="AP443" s="4"/>
      <c r="AQ443" s="4"/>
      <c r="AR443" s="4"/>
      <c r="AS443" s="4"/>
      <c r="AT443" s="4"/>
      <c r="AU443" s="4"/>
      <c r="AV443" s="4"/>
      <c r="AW443" s="4"/>
      <c r="AX443" s="4"/>
      <c r="AY443" s="4"/>
      <c r="AZ443" s="4"/>
      <c r="BA443" s="4"/>
      <c r="BB443" s="4"/>
      <c r="BC443" s="4"/>
      <c r="BD443" s="5"/>
      <c r="BE443" s="4"/>
      <c r="BF443" s="4"/>
      <c r="BG443" s="4"/>
      <c r="BH443" s="4"/>
      <c r="BI443" s="4"/>
      <c r="BJ443" s="4"/>
      <c r="BK443" s="4"/>
      <c r="BL443" s="4"/>
      <c r="BM443" s="4"/>
      <c r="BN443" s="4"/>
      <c r="BO443" s="4"/>
      <c r="BP443" s="4"/>
      <c r="BQ443" s="4"/>
      <c r="BR443" s="4"/>
      <c r="BS443" s="4"/>
    </row>
    <row r="444" spans="1:7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c r="AG444" s="3"/>
      <c r="AH444" s="4"/>
      <c r="AI444" s="4"/>
      <c r="AJ444" s="4"/>
      <c r="AK444" s="4"/>
      <c r="AL444" s="4"/>
      <c r="AM444" s="4"/>
      <c r="AN444" s="4"/>
      <c r="AO444" s="4"/>
      <c r="AP444" s="4"/>
      <c r="AQ444" s="4"/>
      <c r="AR444" s="4"/>
      <c r="AS444" s="4"/>
      <c r="AT444" s="4"/>
      <c r="AU444" s="4"/>
      <c r="AV444" s="4"/>
      <c r="AW444" s="4"/>
      <c r="AX444" s="4"/>
      <c r="AY444" s="4"/>
      <c r="AZ444" s="4"/>
      <c r="BA444" s="4"/>
      <c r="BB444" s="4"/>
      <c r="BC444" s="4"/>
      <c r="BD444" s="5"/>
      <c r="BE444" s="4"/>
      <c r="BF444" s="4"/>
      <c r="BG444" s="4"/>
      <c r="BH444" s="4"/>
      <c r="BI444" s="4"/>
      <c r="BJ444" s="4"/>
      <c r="BK444" s="4"/>
      <c r="BL444" s="4"/>
      <c r="BM444" s="4"/>
      <c r="BN444" s="4"/>
      <c r="BO444" s="4"/>
      <c r="BP444" s="4"/>
      <c r="BQ444" s="4"/>
      <c r="BR444" s="4"/>
      <c r="BS444" s="4"/>
    </row>
    <row r="445" spans="1:7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c r="AG445" s="3"/>
      <c r="AH445" s="4"/>
      <c r="AI445" s="4"/>
      <c r="AJ445" s="4"/>
      <c r="AK445" s="4"/>
      <c r="AL445" s="4"/>
      <c r="AM445" s="4"/>
      <c r="AN445" s="4"/>
      <c r="AO445" s="4"/>
      <c r="AP445" s="4"/>
      <c r="AQ445" s="4"/>
      <c r="AR445" s="4"/>
      <c r="AS445" s="4"/>
      <c r="AT445" s="4"/>
      <c r="AU445" s="4"/>
      <c r="AV445" s="4"/>
      <c r="AW445" s="4"/>
      <c r="AX445" s="4"/>
      <c r="AY445" s="4"/>
      <c r="AZ445" s="4"/>
      <c r="BA445" s="4"/>
      <c r="BB445" s="4"/>
      <c r="BC445" s="4"/>
      <c r="BD445" s="5"/>
      <c r="BE445" s="4"/>
      <c r="BF445" s="4"/>
      <c r="BG445" s="4"/>
      <c r="BH445" s="4"/>
      <c r="BI445" s="4"/>
      <c r="BJ445" s="4"/>
      <c r="BK445" s="4"/>
      <c r="BL445" s="4"/>
      <c r="BM445" s="4"/>
      <c r="BN445" s="4"/>
      <c r="BO445" s="4"/>
      <c r="BP445" s="4"/>
      <c r="BQ445" s="4"/>
      <c r="BR445" s="4"/>
      <c r="BS445" s="4"/>
    </row>
    <row r="446" spans="1:7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c r="AG446" s="3"/>
      <c r="AH446" s="4"/>
      <c r="AI446" s="4"/>
      <c r="AJ446" s="4"/>
      <c r="AK446" s="4"/>
      <c r="AL446" s="4"/>
      <c r="AM446" s="4"/>
      <c r="AN446" s="4"/>
      <c r="AO446" s="4"/>
      <c r="AP446" s="4"/>
      <c r="AQ446" s="4"/>
      <c r="AR446" s="4"/>
      <c r="AS446" s="4"/>
      <c r="AT446" s="4"/>
      <c r="AU446" s="4"/>
      <c r="AV446" s="4"/>
      <c r="AW446" s="4"/>
      <c r="AX446" s="4"/>
      <c r="AY446" s="4"/>
      <c r="AZ446" s="4"/>
      <c r="BA446" s="4"/>
      <c r="BB446" s="4"/>
      <c r="BC446" s="4"/>
      <c r="BD446" s="5"/>
      <c r="BE446" s="4"/>
      <c r="BF446" s="4"/>
      <c r="BG446" s="4"/>
      <c r="BH446" s="4"/>
      <c r="BI446" s="4"/>
      <c r="BJ446" s="4"/>
      <c r="BK446" s="4"/>
      <c r="BL446" s="4"/>
      <c r="BM446" s="4"/>
      <c r="BN446" s="4"/>
      <c r="BO446" s="4"/>
      <c r="BP446" s="4"/>
      <c r="BQ446" s="4"/>
      <c r="BR446" s="4"/>
      <c r="BS446" s="4"/>
    </row>
    <row r="447" spans="1:7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c r="AG447" s="3"/>
      <c r="AH447" s="4"/>
      <c r="AI447" s="4"/>
      <c r="AJ447" s="4"/>
      <c r="AK447" s="4"/>
      <c r="AL447" s="4"/>
      <c r="AM447" s="4"/>
      <c r="AN447" s="4"/>
      <c r="AO447" s="4"/>
      <c r="AP447" s="4"/>
      <c r="AQ447" s="4"/>
      <c r="AR447" s="4"/>
      <c r="AS447" s="4"/>
      <c r="AT447" s="4"/>
      <c r="AU447" s="4"/>
      <c r="AV447" s="4"/>
      <c r="AW447" s="4"/>
      <c r="AX447" s="4"/>
      <c r="AY447" s="4"/>
      <c r="AZ447" s="4"/>
      <c r="BA447" s="4"/>
      <c r="BB447" s="4"/>
      <c r="BC447" s="4"/>
      <c r="BD447" s="5"/>
      <c r="BE447" s="4"/>
      <c r="BF447" s="4"/>
      <c r="BG447" s="4"/>
      <c r="BH447" s="4"/>
      <c r="BI447" s="4"/>
      <c r="BJ447" s="4"/>
      <c r="BK447" s="4"/>
      <c r="BL447" s="4"/>
      <c r="BM447" s="4"/>
      <c r="BN447" s="4"/>
      <c r="BO447" s="4"/>
      <c r="BP447" s="4"/>
      <c r="BQ447" s="4"/>
      <c r="BR447" s="4"/>
      <c r="BS447" s="4"/>
    </row>
    <row r="448" spans="1:7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c r="AG448" s="3"/>
      <c r="AH448" s="4"/>
      <c r="AI448" s="4"/>
      <c r="AJ448" s="4"/>
      <c r="AK448" s="4"/>
      <c r="AL448" s="4"/>
      <c r="AM448" s="4"/>
      <c r="AN448" s="4"/>
      <c r="AO448" s="4"/>
      <c r="AP448" s="4"/>
      <c r="AQ448" s="4"/>
      <c r="AR448" s="4"/>
      <c r="AS448" s="4"/>
      <c r="AT448" s="4"/>
      <c r="AU448" s="4"/>
      <c r="AV448" s="4"/>
      <c r="AW448" s="4"/>
      <c r="AX448" s="4"/>
      <c r="AY448" s="4"/>
      <c r="AZ448" s="4"/>
      <c r="BA448" s="4"/>
      <c r="BB448" s="4"/>
      <c r="BC448" s="4"/>
      <c r="BD448" s="5"/>
      <c r="BE448" s="4"/>
      <c r="BF448" s="4"/>
      <c r="BG448" s="4"/>
      <c r="BH448" s="4"/>
      <c r="BI448" s="4"/>
      <c r="BJ448" s="4"/>
      <c r="BK448" s="4"/>
      <c r="BL448" s="4"/>
      <c r="BM448" s="4"/>
      <c r="BN448" s="4"/>
      <c r="BO448" s="4"/>
      <c r="BP448" s="4"/>
      <c r="BQ448" s="4"/>
      <c r="BR448" s="4"/>
      <c r="BS448" s="4"/>
    </row>
    <row r="449" spans="1:7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c r="AG449" s="3"/>
      <c r="AH449" s="4"/>
      <c r="AI449" s="4"/>
      <c r="AJ449" s="4"/>
      <c r="AK449" s="4"/>
      <c r="AL449" s="4"/>
      <c r="AM449" s="4"/>
      <c r="AN449" s="4"/>
      <c r="AO449" s="4"/>
      <c r="AP449" s="4"/>
      <c r="AQ449" s="4"/>
      <c r="AR449" s="4"/>
      <c r="AS449" s="4"/>
      <c r="AT449" s="4"/>
      <c r="AU449" s="4"/>
      <c r="AV449" s="4"/>
      <c r="AW449" s="4"/>
      <c r="AX449" s="4"/>
      <c r="AY449" s="4"/>
      <c r="AZ449" s="4"/>
      <c r="BA449" s="4"/>
      <c r="BB449" s="4"/>
      <c r="BC449" s="4"/>
      <c r="BD449" s="5"/>
      <c r="BE449" s="4"/>
      <c r="BF449" s="4"/>
      <c r="BG449" s="4"/>
      <c r="BH449" s="4"/>
      <c r="BI449" s="4"/>
      <c r="BJ449" s="4"/>
      <c r="BK449" s="4"/>
      <c r="BL449" s="4"/>
      <c r="BM449" s="4"/>
      <c r="BN449" s="4"/>
      <c r="BO449" s="4"/>
      <c r="BP449" s="4"/>
      <c r="BQ449" s="4"/>
      <c r="BR449" s="4"/>
      <c r="BS449" s="4"/>
    </row>
    <row r="450" spans="1:7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c r="AG450" s="3"/>
      <c r="AH450" s="4"/>
      <c r="AI450" s="4"/>
      <c r="AJ450" s="4"/>
      <c r="AK450" s="4"/>
      <c r="AL450" s="4"/>
      <c r="AM450" s="4"/>
      <c r="AN450" s="4"/>
      <c r="AO450" s="4"/>
      <c r="AP450" s="4"/>
      <c r="AQ450" s="4"/>
      <c r="AR450" s="4"/>
      <c r="AS450" s="4"/>
      <c r="AT450" s="4"/>
      <c r="AU450" s="4"/>
      <c r="AV450" s="4"/>
      <c r="AW450" s="4"/>
      <c r="AX450" s="4"/>
      <c r="AY450" s="4"/>
      <c r="AZ450" s="4"/>
      <c r="BA450" s="4"/>
      <c r="BB450" s="4"/>
      <c r="BC450" s="4"/>
      <c r="BD450" s="5"/>
      <c r="BE450" s="4"/>
      <c r="BF450" s="4"/>
      <c r="BG450" s="4"/>
      <c r="BH450" s="4"/>
      <c r="BI450" s="4"/>
      <c r="BJ450" s="4"/>
      <c r="BK450" s="4"/>
      <c r="BL450" s="4"/>
      <c r="BM450" s="4"/>
      <c r="BN450" s="4"/>
      <c r="BO450" s="4"/>
      <c r="BP450" s="4"/>
      <c r="BQ450" s="4"/>
      <c r="BR450" s="4"/>
      <c r="BS450" s="4"/>
    </row>
    <row r="451" spans="1:7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c r="AG451" s="3"/>
      <c r="AH451" s="4"/>
      <c r="AI451" s="4"/>
      <c r="AJ451" s="4"/>
      <c r="AK451" s="4"/>
      <c r="AL451" s="4"/>
      <c r="AM451" s="4"/>
      <c r="AN451" s="4"/>
      <c r="AO451" s="4"/>
      <c r="AP451" s="4"/>
      <c r="AQ451" s="4"/>
      <c r="AR451" s="4"/>
      <c r="AS451" s="4"/>
      <c r="AT451" s="4"/>
      <c r="AU451" s="4"/>
      <c r="AV451" s="4"/>
      <c r="AW451" s="4"/>
      <c r="AX451" s="4"/>
      <c r="AY451" s="4"/>
      <c r="AZ451" s="4"/>
      <c r="BA451" s="4"/>
      <c r="BB451" s="4"/>
      <c r="BC451" s="4"/>
      <c r="BD451" s="5"/>
      <c r="BE451" s="4"/>
      <c r="BF451" s="4"/>
      <c r="BG451" s="4"/>
      <c r="BH451" s="4"/>
      <c r="BI451" s="4"/>
      <c r="BJ451" s="4"/>
      <c r="BK451" s="4"/>
      <c r="BL451" s="4"/>
      <c r="BM451" s="4"/>
      <c r="BN451" s="4"/>
      <c r="BO451" s="4"/>
      <c r="BP451" s="4"/>
      <c r="BQ451" s="4"/>
      <c r="BR451" s="4"/>
      <c r="BS451" s="4"/>
    </row>
    <row r="452" spans="1:7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c r="AG452" s="3"/>
      <c r="AH452" s="4"/>
      <c r="AI452" s="4"/>
      <c r="AJ452" s="4"/>
      <c r="AK452" s="4"/>
      <c r="AL452" s="4"/>
      <c r="AM452" s="4"/>
      <c r="AN452" s="4"/>
      <c r="AO452" s="4"/>
      <c r="AP452" s="4"/>
      <c r="AQ452" s="4"/>
      <c r="AR452" s="4"/>
      <c r="AS452" s="4"/>
      <c r="AT452" s="4"/>
      <c r="AU452" s="4"/>
      <c r="AV452" s="4"/>
      <c r="AW452" s="4"/>
      <c r="AX452" s="4"/>
      <c r="AY452" s="4"/>
      <c r="AZ452" s="4"/>
      <c r="BA452" s="4"/>
      <c r="BB452" s="4"/>
      <c r="BC452" s="4"/>
      <c r="BD452" s="5"/>
      <c r="BE452" s="4"/>
      <c r="BF452" s="4"/>
      <c r="BG452" s="4"/>
      <c r="BH452" s="4"/>
      <c r="BI452" s="4"/>
      <c r="BJ452" s="4"/>
      <c r="BK452" s="4"/>
      <c r="BL452" s="4"/>
      <c r="BM452" s="4"/>
      <c r="BN452" s="4"/>
      <c r="BO452" s="4"/>
      <c r="BP452" s="4"/>
      <c r="BQ452" s="4"/>
      <c r="BR452" s="4"/>
      <c r="BS452" s="4"/>
    </row>
    <row r="453" spans="1:7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c r="AG453" s="3"/>
      <c r="AH453" s="4"/>
      <c r="AI453" s="4"/>
      <c r="AJ453" s="4"/>
      <c r="AK453" s="4"/>
      <c r="AL453" s="4"/>
      <c r="AM453" s="4"/>
      <c r="AN453" s="4"/>
      <c r="AO453" s="4"/>
      <c r="AP453" s="4"/>
      <c r="AQ453" s="4"/>
      <c r="AR453" s="4"/>
      <c r="AS453" s="4"/>
      <c r="AT453" s="4"/>
      <c r="AU453" s="4"/>
      <c r="AV453" s="4"/>
      <c r="AW453" s="4"/>
      <c r="AX453" s="4"/>
      <c r="AY453" s="4"/>
      <c r="AZ453" s="4"/>
      <c r="BA453" s="4"/>
      <c r="BB453" s="4"/>
      <c r="BC453" s="4"/>
      <c r="BD453" s="5"/>
      <c r="BE453" s="4"/>
      <c r="BF453" s="4"/>
      <c r="BG453" s="4"/>
      <c r="BH453" s="4"/>
      <c r="BI453" s="4"/>
      <c r="BJ453" s="4"/>
      <c r="BK453" s="4"/>
      <c r="BL453" s="4"/>
      <c r="BM453" s="4"/>
      <c r="BN453" s="4"/>
      <c r="BO453" s="4"/>
      <c r="BP453" s="4"/>
      <c r="BQ453" s="4"/>
      <c r="BR453" s="4"/>
      <c r="BS453" s="4"/>
    </row>
    <row r="454" spans="1:7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c r="AG454" s="3"/>
      <c r="AH454" s="4"/>
      <c r="AI454" s="4"/>
      <c r="AJ454" s="4"/>
      <c r="AK454" s="4"/>
      <c r="AL454" s="4"/>
      <c r="AM454" s="4"/>
      <c r="AN454" s="4"/>
      <c r="AO454" s="4"/>
      <c r="AP454" s="4"/>
      <c r="AQ454" s="4"/>
      <c r="AR454" s="4"/>
      <c r="AS454" s="4"/>
      <c r="AT454" s="4"/>
      <c r="AU454" s="4"/>
      <c r="AV454" s="4"/>
      <c r="AW454" s="4"/>
      <c r="AX454" s="4"/>
      <c r="AY454" s="4"/>
      <c r="AZ454" s="4"/>
      <c r="BA454" s="4"/>
      <c r="BB454" s="4"/>
      <c r="BC454" s="4"/>
      <c r="BD454" s="5"/>
      <c r="BE454" s="4"/>
      <c r="BF454" s="4"/>
      <c r="BG454" s="4"/>
      <c r="BH454" s="4"/>
      <c r="BI454" s="4"/>
      <c r="BJ454" s="4"/>
      <c r="BK454" s="4"/>
      <c r="BL454" s="4"/>
      <c r="BM454" s="4"/>
      <c r="BN454" s="4"/>
      <c r="BO454" s="4"/>
      <c r="BP454" s="4"/>
      <c r="BQ454" s="4"/>
      <c r="BR454" s="4"/>
      <c r="BS454" s="4"/>
    </row>
    <row r="455" spans="1:7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c r="AG455" s="3"/>
      <c r="AH455" s="4"/>
      <c r="AI455" s="4"/>
      <c r="AJ455" s="4"/>
      <c r="AK455" s="4"/>
      <c r="AL455" s="4"/>
      <c r="AM455" s="4"/>
      <c r="AN455" s="4"/>
      <c r="AO455" s="4"/>
      <c r="AP455" s="4"/>
      <c r="AQ455" s="4"/>
      <c r="AR455" s="4"/>
      <c r="AS455" s="4"/>
      <c r="AT455" s="4"/>
      <c r="AU455" s="4"/>
      <c r="AV455" s="4"/>
      <c r="AW455" s="4"/>
      <c r="AX455" s="4"/>
      <c r="AY455" s="4"/>
      <c r="AZ455" s="4"/>
      <c r="BA455" s="4"/>
      <c r="BB455" s="4"/>
      <c r="BC455" s="4"/>
      <c r="BD455" s="5"/>
      <c r="BE455" s="4"/>
      <c r="BF455" s="4"/>
      <c r="BG455" s="4"/>
      <c r="BH455" s="4"/>
      <c r="BI455" s="4"/>
      <c r="BJ455" s="4"/>
      <c r="BK455" s="4"/>
      <c r="BL455" s="4"/>
      <c r="BM455" s="4"/>
      <c r="BN455" s="4"/>
      <c r="BO455" s="4"/>
      <c r="BP455" s="4"/>
      <c r="BQ455" s="4"/>
      <c r="BR455" s="4"/>
      <c r="BS455" s="4"/>
    </row>
    <row r="456" spans="1:7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c r="AG456" s="3"/>
      <c r="AH456" s="4"/>
      <c r="AI456" s="4"/>
      <c r="AJ456" s="4"/>
      <c r="AK456" s="4"/>
      <c r="AL456" s="4"/>
      <c r="AM456" s="4"/>
      <c r="AN456" s="4"/>
      <c r="AO456" s="4"/>
      <c r="AP456" s="4"/>
      <c r="AQ456" s="4"/>
      <c r="AR456" s="4"/>
      <c r="AS456" s="4"/>
      <c r="AT456" s="4"/>
      <c r="AU456" s="4"/>
      <c r="AV456" s="4"/>
      <c r="AW456" s="4"/>
      <c r="AX456" s="4"/>
      <c r="AY456" s="4"/>
      <c r="AZ456" s="4"/>
      <c r="BA456" s="4"/>
      <c r="BB456" s="4"/>
      <c r="BC456" s="4"/>
      <c r="BD456" s="5"/>
      <c r="BE456" s="4"/>
      <c r="BF456" s="4"/>
      <c r="BG456" s="4"/>
      <c r="BH456" s="4"/>
      <c r="BI456" s="4"/>
      <c r="BJ456" s="4"/>
      <c r="BK456" s="4"/>
      <c r="BL456" s="4"/>
      <c r="BM456" s="4"/>
      <c r="BN456" s="4"/>
      <c r="BO456" s="4"/>
      <c r="BP456" s="4"/>
      <c r="BQ456" s="4"/>
      <c r="BR456" s="4"/>
      <c r="BS456" s="4"/>
    </row>
    <row r="457" spans="1:7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c r="AG457" s="3"/>
      <c r="AH457" s="4"/>
      <c r="AI457" s="4"/>
      <c r="AJ457" s="4"/>
      <c r="AK457" s="4"/>
      <c r="AL457" s="4"/>
      <c r="AM457" s="4"/>
      <c r="AN457" s="4"/>
      <c r="AO457" s="4"/>
      <c r="AP457" s="4"/>
      <c r="AQ457" s="4"/>
      <c r="AR457" s="4"/>
      <c r="AS457" s="4"/>
      <c r="AT457" s="4"/>
      <c r="AU457" s="4"/>
      <c r="AV457" s="4"/>
      <c r="AW457" s="4"/>
      <c r="AX457" s="4"/>
      <c r="AY457" s="4"/>
      <c r="AZ457" s="4"/>
      <c r="BA457" s="4"/>
      <c r="BB457" s="4"/>
      <c r="BC457" s="4"/>
      <c r="BD457" s="5"/>
      <c r="BE457" s="4"/>
      <c r="BF457" s="4"/>
      <c r="BG457" s="4"/>
      <c r="BH457" s="4"/>
      <c r="BI457" s="4"/>
      <c r="BJ457" s="4"/>
      <c r="BK457" s="4"/>
      <c r="BL457" s="4"/>
      <c r="BM457" s="4"/>
      <c r="BN457" s="4"/>
      <c r="BO457" s="4"/>
      <c r="BP457" s="4"/>
      <c r="BQ457" s="4"/>
      <c r="BR457" s="4"/>
      <c r="BS457" s="4"/>
    </row>
    <row r="458" spans="1:7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c r="AG458" s="3"/>
      <c r="AH458" s="4"/>
      <c r="AI458" s="4"/>
      <c r="AJ458" s="4"/>
      <c r="AK458" s="4"/>
      <c r="AL458" s="4"/>
      <c r="AM458" s="4"/>
      <c r="AN458" s="4"/>
      <c r="AO458" s="4"/>
      <c r="AP458" s="4"/>
      <c r="AQ458" s="4"/>
      <c r="AR458" s="4"/>
      <c r="AS458" s="4"/>
      <c r="AT458" s="4"/>
      <c r="AU458" s="4"/>
      <c r="AV458" s="4"/>
      <c r="AW458" s="4"/>
      <c r="AX458" s="4"/>
      <c r="AY458" s="4"/>
      <c r="AZ458" s="4"/>
      <c r="BA458" s="4"/>
      <c r="BB458" s="4"/>
      <c r="BC458" s="4"/>
      <c r="BD458" s="5"/>
      <c r="BE458" s="4"/>
      <c r="BF458" s="4"/>
      <c r="BG458" s="4"/>
      <c r="BH458" s="4"/>
      <c r="BI458" s="4"/>
      <c r="BJ458" s="4"/>
      <c r="BK458" s="4"/>
      <c r="BL458" s="4"/>
      <c r="BM458" s="4"/>
      <c r="BN458" s="4"/>
      <c r="BO458" s="4"/>
      <c r="BP458" s="4"/>
      <c r="BQ458" s="4"/>
      <c r="BR458" s="4"/>
      <c r="BS458" s="4"/>
    </row>
    <row r="459" spans="1:7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c r="AG459" s="3"/>
      <c r="AH459" s="4"/>
      <c r="AI459" s="4"/>
      <c r="AJ459" s="4"/>
      <c r="AK459" s="4"/>
      <c r="AL459" s="4"/>
      <c r="AM459" s="4"/>
      <c r="AN459" s="4"/>
      <c r="AO459" s="4"/>
      <c r="AP459" s="4"/>
      <c r="AQ459" s="4"/>
      <c r="AR459" s="4"/>
      <c r="AS459" s="4"/>
      <c r="AT459" s="4"/>
      <c r="AU459" s="4"/>
      <c r="AV459" s="4"/>
      <c r="AW459" s="4"/>
      <c r="AX459" s="4"/>
      <c r="AY459" s="4"/>
      <c r="AZ459" s="4"/>
      <c r="BA459" s="4"/>
      <c r="BB459" s="4"/>
      <c r="BC459" s="4"/>
      <c r="BD459" s="5"/>
      <c r="BE459" s="4"/>
      <c r="BF459" s="4"/>
      <c r="BG459" s="4"/>
      <c r="BH459" s="4"/>
      <c r="BI459" s="4"/>
      <c r="BJ459" s="4"/>
      <c r="BK459" s="4"/>
      <c r="BL459" s="4"/>
      <c r="BM459" s="4"/>
      <c r="BN459" s="4"/>
      <c r="BO459" s="4"/>
      <c r="BP459" s="4"/>
      <c r="BQ459" s="4"/>
      <c r="BR459" s="4"/>
      <c r="BS459" s="4"/>
    </row>
    <row r="460" spans="1:7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c r="AG460" s="3"/>
      <c r="AH460" s="4"/>
      <c r="AI460" s="4"/>
      <c r="AJ460" s="4"/>
      <c r="AK460" s="4"/>
      <c r="AL460" s="4"/>
      <c r="AM460" s="4"/>
      <c r="AN460" s="4"/>
      <c r="AO460" s="4"/>
      <c r="AP460" s="4"/>
      <c r="AQ460" s="4"/>
      <c r="AR460" s="4"/>
      <c r="AS460" s="4"/>
      <c r="AT460" s="4"/>
      <c r="AU460" s="4"/>
      <c r="AV460" s="4"/>
      <c r="AW460" s="4"/>
      <c r="AX460" s="4"/>
      <c r="AY460" s="4"/>
      <c r="AZ460" s="4"/>
      <c r="BA460" s="4"/>
      <c r="BB460" s="4"/>
      <c r="BC460" s="4"/>
      <c r="BD460" s="5"/>
      <c r="BE460" s="4"/>
      <c r="BF460" s="4"/>
      <c r="BG460" s="4"/>
      <c r="BH460" s="4"/>
      <c r="BI460" s="4"/>
      <c r="BJ460" s="4"/>
      <c r="BK460" s="4"/>
      <c r="BL460" s="4"/>
      <c r="BM460" s="4"/>
      <c r="BN460" s="4"/>
      <c r="BO460" s="4"/>
      <c r="BP460" s="4"/>
      <c r="BQ460" s="4"/>
      <c r="BR460" s="4"/>
      <c r="BS460" s="4"/>
    </row>
    <row r="461" spans="1:7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c r="AG461" s="3"/>
      <c r="AH461" s="4"/>
      <c r="AI461" s="4"/>
      <c r="AJ461" s="4"/>
      <c r="AK461" s="4"/>
      <c r="AL461" s="4"/>
      <c r="AM461" s="4"/>
      <c r="AN461" s="4"/>
      <c r="AO461" s="4"/>
      <c r="AP461" s="4"/>
      <c r="AQ461" s="4"/>
      <c r="AR461" s="4"/>
      <c r="AS461" s="4"/>
      <c r="AT461" s="4"/>
      <c r="AU461" s="4"/>
      <c r="AV461" s="4"/>
      <c r="AW461" s="4"/>
      <c r="AX461" s="4"/>
      <c r="AY461" s="4"/>
      <c r="AZ461" s="4"/>
      <c r="BA461" s="4"/>
      <c r="BB461" s="4"/>
      <c r="BC461" s="4"/>
      <c r="BD461" s="5"/>
      <c r="BE461" s="4"/>
      <c r="BF461" s="4"/>
      <c r="BG461" s="4"/>
      <c r="BH461" s="4"/>
      <c r="BI461" s="4"/>
      <c r="BJ461" s="4"/>
      <c r="BK461" s="4"/>
      <c r="BL461" s="4"/>
      <c r="BM461" s="4"/>
      <c r="BN461" s="4"/>
      <c r="BO461" s="4"/>
      <c r="BP461" s="4"/>
      <c r="BQ461" s="4"/>
      <c r="BR461" s="4"/>
      <c r="BS461" s="4"/>
    </row>
    <row r="462" spans="1:7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c r="AG462" s="3"/>
      <c r="AH462" s="4"/>
      <c r="AI462" s="4"/>
      <c r="AJ462" s="4"/>
      <c r="AK462" s="4"/>
      <c r="AL462" s="4"/>
      <c r="AM462" s="4"/>
      <c r="AN462" s="4"/>
      <c r="AO462" s="4"/>
      <c r="AP462" s="4"/>
      <c r="AQ462" s="4"/>
      <c r="AR462" s="4"/>
      <c r="AS462" s="4"/>
      <c r="AT462" s="4"/>
      <c r="AU462" s="4"/>
      <c r="AV462" s="4"/>
      <c r="AW462" s="4"/>
      <c r="AX462" s="4"/>
      <c r="AY462" s="4"/>
      <c r="AZ462" s="4"/>
      <c r="BA462" s="4"/>
      <c r="BB462" s="4"/>
      <c r="BC462" s="4"/>
      <c r="BD462" s="5"/>
      <c r="BE462" s="4"/>
      <c r="BF462" s="4"/>
      <c r="BG462" s="4"/>
      <c r="BH462" s="4"/>
      <c r="BI462" s="4"/>
      <c r="BJ462" s="4"/>
      <c r="BK462" s="4"/>
      <c r="BL462" s="4"/>
      <c r="BM462" s="4"/>
      <c r="BN462" s="4"/>
      <c r="BO462" s="4"/>
      <c r="BP462" s="4"/>
      <c r="BQ462" s="4"/>
      <c r="BR462" s="4"/>
      <c r="BS462" s="4"/>
    </row>
    <row r="463" spans="1:7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c r="AG463" s="3"/>
      <c r="AH463" s="4"/>
      <c r="AI463" s="4"/>
      <c r="AJ463" s="4"/>
      <c r="AK463" s="4"/>
      <c r="AL463" s="4"/>
      <c r="AM463" s="4"/>
      <c r="AN463" s="4"/>
      <c r="AO463" s="4"/>
      <c r="AP463" s="4"/>
      <c r="AQ463" s="4"/>
      <c r="AR463" s="4"/>
      <c r="AS463" s="4"/>
      <c r="AT463" s="4"/>
      <c r="AU463" s="4"/>
      <c r="AV463" s="4"/>
      <c r="AW463" s="4"/>
      <c r="AX463" s="4"/>
      <c r="AY463" s="4"/>
      <c r="AZ463" s="4"/>
      <c r="BA463" s="4"/>
      <c r="BB463" s="4"/>
      <c r="BC463" s="4"/>
      <c r="BD463" s="5"/>
      <c r="BE463" s="4"/>
      <c r="BF463" s="4"/>
      <c r="BG463" s="4"/>
      <c r="BH463" s="4"/>
      <c r="BI463" s="4"/>
      <c r="BJ463" s="4"/>
      <c r="BK463" s="4"/>
      <c r="BL463" s="4"/>
      <c r="BM463" s="4"/>
      <c r="BN463" s="4"/>
      <c r="BO463" s="4"/>
      <c r="BP463" s="4"/>
      <c r="BQ463" s="4"/>
      <c r="BR463" s="4"/>
      <c r="BS463" s="4"/>
    </row>
    <row r="464" spans="1:7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c r="AG464" s="3"/>
      <c r="AH464" s="4"/>
      <c r="AI464" s="4"/>
      <c r="AJ464" s="4"/>
      <c r="AK464" s="4"/>
      <c r="AL464" s="4"/>
      <c r="AM464" s="4"/>
      <c r="AN464" s="4"/>
      <c r="AO464" s="4"/>
      <c r="AP464" s="4"/>
      <c r="AQ464" s="4"/>
      <c r="AR464" s="4"/>
      <c r="AS464" s="4"/>
      <c r="AT464" s="4"/>
      <c r="AU464" s="4"/>
      <c r="AV464" s="4"/>
      <c r="AW464" s="4"/>
      <c r="AX464" s="4"/>
      <c r="AY464" s="4"/>
      <c r="AZ464" s="4"/>
      <c r="BA464" s="4"/>
      <c r="BB464" s="4"/>
      <c r="BC464" s="4"/>
      <c r="BD464" s="5"/>
      <c r="BE464" s="4"/>
      <c r="BF464" s="4"/>
      <c r="BG464" s="4"/>
      <c r="BH464" s="4"/>
      <c r="BI464" s="4"/>
      <c r="BJ464" s="4"/>
      <c r="BK464" s="4"/>
      <c r="BL464" s="4"/>
      <c r="BM464" s="4"/>
      <c r="BN464" s="4"/>
      <c r="BO464" s="4"/>
      <c r="BP464" s="4"/>
      <c r="BQ464" s="4"/>
      <c r="BR464" s="4"/>
      <c r="BS464" s="4"/>
    </row>
    <row r="465" spans="1:7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c r="AG465" s="3"/>
      <c r="AH465" s="4"/>
      <c r="AI465" s="4"/>
      <c r="AJ465" s="4"/>
      <c r="AK465" s="4"/>
      <c r="AL465" s="4"/>
      <c r="AM465" s="4"/>
      <c r="AN465" s="4"/>
      <c r="AO465" s="4"/>
      <c r="AP465" s="4"/>
      <c r="AQ465" s="4"/>
      <c r="AR465" s="4"/>
      <c r="AS465" s="4"/>
      <c r="AT465" s="4"/>
      <c r="AU465" s="4"/>
      <c r="AV465" s="4"/>
      <c r="AW465" s="4"/>
      <c r="AX465" s="4"/>
      <c r="AY465" s="4"/>
      <c r="AZ465" s="4"/>
      <c r="BA465" s="4"/>
      <c r="BB465" s="4"/>
      <c r="BC465" s="4"/>
      <c r="BD465" s="5"/>
      <c r="BE465" s="4"/>
      <c r="BF465" s="4"/>
      <c r="BG465" s="4"/>
      <c r="BH465" s="4"/>
      <c r="BI465" s="4"/>
      <c r="BJ465" s="4"/>
      <c r="BK465" s="4"/>
      <c r="BL465" s="4"/>
      <c r="BM465" s="4"/>
      <c r="BN465" s="4"/>
      <c r="BO465" s="4"/>
      <c r="BP465" s="4"/>
      <c r="BQ465" s="4"/>
      <c r="BR465" s="4"/>
      <c r="BS465" s="4"/>
    </row>
    <row r="466" spans="1:7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c r="AG466" s="3"/>
      <c r="AH466" s="4"/>
      <c r="AI466" s="4"/>
      <c r="AJ466" s="4"/>
      <c r="AK466" s="4"/>
      <c r="AL466" s="4"/>
      <c r="AM466" s="4"/>
      <c r="AN466" s="4"/>
      <c r="AO466" s="4"/>
      <c r="AP466" s="4"/>
      <c r="AQ466" s="4"/>
      <c r="AR466" s="4"/>
      <c r="AS466" s="4"/>
      <c r="AT466" s="4"/>
      <c r="AU466" s="4"/>
      <c r="AV466" s="4"/>
      <c r="AW466" s="4"/>
      <c r="AX466" s="4"/>
      <c r="AY466" s="4"/>
      <c r="AZ466" s="4"/>
      <c r="BA466" s="4"/>
      <c r="BB466" s="4"/>
      <c r="BC466" s="4"/>
      <c r="BD466" s="5"/>
      <c r="BE466" s="4"/>
      <c r="BF466" s="4"/>
      <c r="BG466" s="4"/>
      <c r="BH466" s="4"/>
      <c r="BI466" s="4"/>
      <c r="BJ466" s="4"/>
      <c r="BK466" s="4"/>
      <c r="BL466" s="4"/>
      <c r="BM466" s="4"/>
      <c r="BN466" s="4"/>
      <c r="BO466" s="4"/>
      <c r="BP466" s="4"/>
      <c r="BQ466" s="4"/>
      <c r="BR466" s="4"/>
      <c r="BS466" s="4"/>
    </row>
    <row r="467" spans="1:7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c r="AG467" s="3"/>
      <c r="AH467" s="4"/>
      <c r="AI467" s="4"/>
      <c r="AJ467" s="4"/>
      <c r="AK467" s="4"/>
      <c r="AL467" s="4"/>
      <c r="AM467" s="4"/>
      <c r="AN467" s="4"/>
      <c r="AO467" s="4"/>
      <c r="AP467" s="4"/>
      <c r="AQ467" s="4"/>
      <c r="AR467" s="4"/>
      <c r="AS467" s="4"/>
      <c r="AT467" s="4"/>
      <c r="AU467" s="4"/>
      <c r="AV467" s="4"/>
      <c r="AW467" s="4"/>
      <c r="AX467" s="4"/>
      <c r="AY467" s="4"/>
      <c r="AZ467" s="4"/>
      <c r="BA467" s="4"/>
      <c r="BB467" s="4"/>
      <c r="BC467" s="4"/>
      <c r="BD467" s="5"/>
      <c r="BE467" s="4"/>
      <c r="BF467" s="4"/>
      <c r="BG467" s="4"/>
      <c r="BH467" s="4"/>
      <c r="BI467" s="4"/>
      <c r="BJ467" s="4"/>
      <c r="BK467" s="4"/>
      <c r="BL467" s="4"/>
      <c r="BM467" s="4"/>
      <c r="BN467" s="4"/>
      <c r="BO467" s="4"/>
      <c r="BP467" s="4"/>
      <c r="BQ467" s="4"/>
      <c r="BR467" s="4"/>
      <c r="BS467" s="4"/>
    </row>
    <row r="468" spans="1:7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c r="AG468" s="3"/>
      <c r="AH468" s="4"/>
      <c r="AI468" s="4"/>
      <c r="AJ468" s="4"/>
      <c r="AK468" s="4"/>
      <c r="AL468" s="4"/>
      <c r="AM468" s="4"/>
      <c r="AN468" s="4"/>
      <c r="AO468" s="4"/>
      <c r="AP468" s="4"/>
      <c r="AQ468" s="4"/>
      <c r="AR468" s="4"/>
      <c r="AS468" s="4"/>
      <c r="AT468" s="4"/>
      <c r="AU468" s="4"/>
      <c r="AV468" s="4"/>
      <c r="AW468" s="4"/>
      <c r="AX468" s="4"/>
      <c r="AY468" s="4"/>
      <c r="AZ468" s="4"/>
      <c r="BA468" s="4"/>
      <c r="BB468" s="4"/>
      <c r="BC468" s="4"/>
      <c r="BD468" s="5"/>
      <c r="BE468" s="4"/>
      <c r="BF468" s="4"/>
      <c r="BG468" s="4"/>
      <c r="BH468" s="4"/>
      <c r="BI468" s="4"/>
      <c r="BJ468" s="4"/>
      <c r="BK468" s="4"/>
      <c r="BL468" s="4"/>
      <c r="BM468" s="4"/>
      <c r="BN468" s="4"/>
      <c r="BO468" s="4"/>
      <c r="BP468" s="4"/>
      <c r="BQ468" s="4"/>
      <c r="BR468" s="4"/>
      <c r="BS468" s="4"/>
    </row>
    <row r="469" spans="1:7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c r="AG469" s="3"/>
      <c r="AH469" s="4"/>
      <c r="AI469" s="4"/>
      <c r="AJ469" s="4"/>
      <c r="AK469" s="4"/>
      <c r="AL469" s="4"/>
      <c r="AM469" s="4"/>
      <c r="AN469" s="4"/>
      <c r="AO469" s="4"/>
      <c r="AP469" s="4"/>
      <c r="AQ469" s="4"/>
      <c r="AR469" s="4"/>
      <c r="AS469" s="4"/>
      <c r="AT469" s="4"/>
      <c r="AU469" s="4"/>
      <c r="AV469" s="4"/>
      <c r="AW469" s="4"/>
      <c r="AX469" s="4"/>
      <c r="AY469" s="4"/>
      <c r="AZ469" s="4"/>
      <c r="BA469" s="4"/>
      <c r="BB469" s="4"/>
      <c r="BC469" s="4"/>
      <c r="BD469" s="5"/>
      <c r="BE469" s="4"/>
      <c r="BF469" s="4"/>
      <c r="BG469" s="4"/>
      <c r="BH469" s="4"/>
      <c r="BI469" s="4"/>
      <c r="BJ469" s="4"/>
      <c r="BK469" s="4"/>
      <c r="BL469" s="4"/>
      <c r="BM469" s="4"/>
      <c r="BN469" s="4"/>
      <c r="BO469" s="4"/>
      <c r="BP469" s="4"/>
      <c r="BQ469" s="4"/>
      <c r="BR469" s="4"/>
      <c r="BS469" s="4"/>
    </row>
    <row r="470" spans="1:7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c r="AG470" s="3"/>
      <c r="AH470" s="4"/>
      <c r="AI470" s="4"/>
      <c r="AJ470" s="4"/>
      <c r="AK470" s="4"/>
      <c r="AL470" s="4"/>
      <c r="AM470" s="4"/>
      <c r="AN470" s="4"/>
      <c r="AO470" s="4"/>
      <c r="AP470" s="4"/>
      <c r="AQ470" s="4"/>
      <c r="AR470" s="4"/>
      <c r="AS470" s="4"/>
      <c r="AT470" s="4"/>
      <c r="AU470" s="4"/>
      <c r="AV470" s="4"/>
      <c r="AW470" s="4"/>
      <c r="AX470" s="4"/>
      <c r="AY470" s="4"/>
      <c r="AZ470" s="4"/>
      <c r="BA470" s="4"/>
      <c r="BB470" s="4"/>
      <c r="BC470" s="4"/>
      <c r="BD470" s="5"/>
      <c r="BE470" s="4"/>
      <c r="BF470" s="4"/>
      <c r="BG470" s="4"/>
      <c r="BH470" s="4"/>
      <c r="BI470" s="4"/>
      <c r="BJ470" s="4"/>
      <c r="BK470" s="4"/>
      <c r="BL470" s="4"/>
      <c r="BM470" s="4"/>
      <c r="BN470" s="4"/>
      <c r="BO470" s="4"/>
      <c r="BP470" s="4"/>
      <c r="BQ470" s="4"/>
      <c r="BR470" s="4"/>
      <c r="BS470" s="4"/>
    </row>
    <row r="471" spans="1: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c r="AG471" s="3"/>
      <c r="AH471" s="4"/>
      <c r="AI471" s="4"/>
      <c r="AJ471" s="4"/>
      <c r="AK471" s="4"/>
      <c r="AL471" s="4"/>
      <c r="AM471" s="4"/>
      <c r="AN471" s="4"/>
      <c r="AO471" s="4"/>
      <c r="AP471" s="4"/>
      <c r="AQ471" s="4"/>
      <c r="AR471" s="4"/>
      <c r="AS471" s="4"/>
      <c r="AT471" s="4"/>
      <c r="AU471" s="4"/>
      <c r="AV471" s="4"/>
      <c r="AW471" s="4"/>
      <c r="AX471" s="4"/>
      <c r="AY471" s="4"/>
      <c r="AZ471" s="4"/>
      <c r="BA471" s="4"/>
      <c r="BB471" s="4"/>
      <c r="BC471" s="4"/>
      <c r="BD471" s="5"/>
      <c r="BE471" s="4"/>
      <c r="BF471" s="4"/>
      <c r="BG471" s="4"/>
      <c r="BH471" s="4"/>
      <c r="BI471" s="4"/>
      <c r="BJ471" s="4"/>
      <c r="BK471" s="4"/>
      <c r="BL471" s="4"/>
      <c r="BM471" s="4"/>
      <c r="BN471" s="4"/>
      <c r="BO471" s="4"/>
      <c r="BP471" s="4"/>
      <c r="BQ471" s="4"/>
      <c r="BR471" s="4"/>
      <c r="BS471" s="4"/>
    </row>
    <row r="472" spans="1:7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c r="AG472" s="3"/>
      <c r="AH472" s="4"/>
      <c r="AI472" s="4"/>
      <c r="AJ472" s="4"/>
      <c r="AK472" s="4"/>
      <c r="AL472" s="4"/>
      <c r="AM472" s="4"/>
      <c r="AN472" s="4"/>
      <c r="AO472" s="4"/>
      <c r="AP472" s="4"/>
      <c r="AQ472" s="4"/>
      <c r="AR472" s="4"/>
      <c r="AS472" s="4"/>
      <c r="AT472" s="4"/>
      <c r="AU472" s="4"/>
      <c r="AV472" s="4"/>
      <c r="AW472" s="4"/>
      <c r="AX472" s="4"/>
      <c r="AY472" s="4"/>
      <c r="AZ472" s="4"/>
      <c r="BA472" s="4"/>
      <c r="BB472" s="4"/>
      <c r="BC472" s="4"/>
      <c r="BD472" s="5"/>
      <c r="BE472" s="4"/>
      <c r="BF472" s="4"/>
      <c r="BG472" s="4"/>
      <c r="BH472" s="4"/>
      <c r="BI472" s="4"/>
      <c r="BJ472" s="4"/>
      <c r="BK472" s="4"/>
      <c r="BL472" s="4"/>
      <c r="BM472" s="4"/>
      <c r="BN472" s="4"/>
      <c r="BO472" s="4"/>
      <c r="BP472" s="4"/>
      <c r="BQ472" s="4"/>
      <c r="BR472" s="4"/>
      <c r="BS472" s="4"/>
    </row>
    <row r="473" spans="1:7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c r="AG473" s="3"/>
      <c r="AH473" s="4"/>
      <c r="AI473" s="4"/>
      <c r="AJ473" s="4"/>
      <c r="AK473" s="4"/>
      <c r="AL473" s="4"/>
      <c r="AM473" s="4"/>
      <c r="AN473" s="4"/>
      <c r="AO473" s="4"/>
      <c r="AP473" s="4"/>
      <c r="AQ473" s="4"/>
      <c r="AR473" s="4"/>
      <c r="AS473" s="4"/>
      <c r="AT473" s="4"/>
      <c r="AU473" s="4"/>
      <c r="AV473" s="4"/>
      <c r="AW473" s="4"/>
      <c r="AX473" s="4"/>
      <c r="AY473" s="4"/>
      <c r="AZ473" s="4"/>
      <c r="BA473" s="4"/>
      <c r="BB473" s="4"/>
      <c r="BC473" s="4"/>
      <c r="BD473" s="5"/>
      <c r="BE473" s="4"/>
      <c r="BF473" s="4"/>
      <c r="BG473" s="4"/>
      <c r="BH473" s="4"/>
      <c r="BI473" s="4"/>
      <c r="BJ473" s="4"/>
      <c r="BK473" s="4"/>
      <c r="BL473" s="4"/>
      <c r="BM473" s="4"/>
      <c r="BN473" s="4"/>
      <c r="BO473" s="4"/>
      <c r="BP473" s="4"/>
      <c r="BQ473" s="4"/>
      <c r="BR473" s="4"/>
      <c r="BS473" s="4"/>
    </row>
    <row r="474" spans="1:7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c r="AG474" s="3"/>
      <c r="AH474" s="4"/>
      <c r="AI474" s="4"/>
      <c r="AJ474" s="4"/>
      <c r="AK474" s="4"/>
      <c r="AL474" s="4"/>
      <c r="AM474" s="4"/>
      <c r="AN474" s="4"/>
      <c r="AO474" s="4"/>
      <c r="AP474" s="4"/>
      <c r="AQ474" s="4"/>
      <c r="AR474" s="4"/>
      <c r="AS474" s="4"/>
      <c r="AT474" s="4"/>
      <c r="AU474" s="4"/>
      <c r="AV474" s="4"/>
      <c r="AW474" s="4"/>
      <c r="AX474" s="4"/>
      <c r="AY474" s="4"/>
      <c r="AZ474" s="4"/>
      <c r="BA474" s="4"/>
      <c r="BB474" s="4"/>
      <c r="BC474" s="4"/>
      <c r="BD474" s="5"/>
      <c r="BE474" s="4"/>
      <c r="BF474" s="4"/>
      <c r="BG474" s="4"/>
      <c r="BH474" s="4"/>
      <c r="BI474" s="4"/>
      <c r="BJ474" s="4"/>
      <c r="BK474" s="4"/>
      <c r="BL474" s="4"/>
      <c r="BM474" s="4"/>
      <c r="BN474" s="4"/>
      <c r="BO474" s="4"/>
      <c r="BP474" s="4"/>
      <c r="BQ474" s="4"/>
      <c r="BR474" s="4"/>
      <c r="BS474" s="4"/>
    </row>
    <row r="475" spans="1:7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c r="AG475" s="3"/>
      <c r="AH475" s="4"/>
      <c r="AI475" s="4"/>
      <c r="AJ475" s="4"/>
      <c r="AK475" s="4"/>
      <c r="AL475" s="4"/>
      <c r="AM475" s="4"/>
      <c r="AN475" s="4"/>
      <c r="AO475" s="4"/>
      <c r="AP475" s="4"/>
      <c r="AQ475" s="4"/>
      <c r="AR475" s="4"/>
      <c r="AS475" s="4"/>
      <c r="AT475" s="4"/>
      <c r="AU475" s="4"/>
      <c r="AV475" s="4"/>
      <c r="AW475" s="4"/>
      <c r="AX475" s="4"/>
      <c r="AY475" s="4"/>
      <c r="AZ475" s="4"/>
      <c r="BA475" s="4"/>
      <c r="BB475" s="4"/>
      <c r="BC475" s="4"/>
      <c r="BD475" s="5"/>
      <c r="BE475" s="4"/>
      <c r="BF475" s="4"/>
      <c r="BG475" s="4"/>
      <c r="BH475" s="4"/>
      <c r="BI475" s="4"/>
      <c r="BJ475" s="4"/>
      <c r="BK475" s="4"/>
      <c r="BL475" s="4"/>
      <c r="BM475" s="4"/>
      <c r="BN475" s="4"/>
      <c r="BO475" s="4"/>
      <c r="BP475" s="4"/>
      <c r="BQ475" s="4"/>
      <c r="BR475" s="4"/>
      <c r="BS475" s="4"/>
    </row>
    <row r="476" spans="1:7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c r="AG476" s="3"/>
      <c r="AH476" s="4"/>
      <c r="AI476" s="4"/>
      <c r="AJ476" s="4"/>
      <c r="AK476" s="4"/>
      <c r="AL476" s="4"/>
      <c r="AM476" s="4"/>
      <c r="AN476" s="4"/>
      <c r="AO476" s="4"/>
      <c r="AP476" s="4"/>
      <c r="AQ476" s="4"/>
      <c r="AR476" s="4"/>
      <c r="AS476" s="4"/>
      <c r="AT476" s="4"/>
      <c r="AU476" s="4"/>
      <c r="AV476" s="4"/>
      <c r="AW476" s="4"/>
      <c r="AX476" s="4"/>
      <c r="AY476" s="4"/>
      <c r="AZ476" s="4"/>
      <c r="BA476" s="4"/>
      <c r="BB476" s="4"/>
      <c r="BC476" s="4"/>
      <c r="BD476" s="5"/>
      <c r="BE476" s="4"/>
      <c r="BF476" s="4"/>
      <c r="BG476" s="4"/>
      <c r="BH476" s="4"/>
      <c r="BI476" s="4"/>
      <c r="BJ476" s="4"/>
      <c r="BK476" s="4"/>
      <c r="BL476" s="4"/>
      <c r="BM476" s="4"/>
      <c r="BN476" s="4"/>
      <c r="BO476" s="4"/>
      <c r="BP476" s="4"/>
      <c r="BQ476" s="4"/>
      <c r="BR476" s="4"/>
      <c r="BS476" s="4"/>
    </row>
    <row r="477" spans="1:7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c r="AG477" s="3"/>
      <c r="AH477" s="4"/>
      <c r="AI477" s="4"/>
      <c r="AJ477" s="4"/>
      <c r="AK477" s="4"/>
      <c r="AL477" s="4"/>
      <c r="AM477" s="4"/>
      <c r="AN477" s="4"/>
      <c r="AO477" s="4"/>
      <c r="AP477" s="4"/>
      <c r="AQ477" s="4"/>
      <c r="AR477" s="4"/>
      <c r="AS477" s="4"/>
      <c r="AT477" s="4"/>
      <c r="AU477" s="4"/>
      <c r="AV477" s="4"/>
      <c r="AW477" s="4"/>
      <c r="AX477" s="4"/>
      <c r="AY477" s="4"/>
      <c r="AZ477" s="4"/>
      <c r="BA477" s="4"/>
      <c r="BB477" s="4"/>
      <c r="BC477" s="4"/>
      <c r="BD477" s="5"/>
      <c r="BE477" s="4"/>
      <c r="BF477" s="4"/>
      <c r="BG477" s="4"/>
      <c r="BH477" s="4"/>
      <c r="BI477" s="4"/>
      <c r="BJ477" s="4"/>
      <c r="BK477" s="4"/>
      <c r="BL477" s="4"/>
      <c r="BM477" s="4"/>
      <c r="BN477" s="4"/>
      <c r="BO477" s="4"/>
      <c r="BP477" s="4"/>
      <c r="BQ477" s="4"/>
      <c r="BR477" s="4"/>
      <c r="BS477" s="4"/>
    </row>
    <row r="478" spans="1:7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c r="AG478" s="3"/>
      <c r="AH478" s="4"/>
      <c r="AI478" s="4"/>
      <c r="AJ478" s="4"/>
      <c r="AK478" s="4"/>
      <c r="AL478" s="4"/>
      <c r="AM478" s="4"/>
      <c r="AN478" s="4"/>
      <c r="AO478" s="4"/>
      <c r="AP478" s="4"/>
      <c r="AQ478" s="4"/>
      <c r="AR478" s="4"/>
      <c r="AS478" s="4"/>
      <c r="AT478" s="4"/>
      <c r="AU478" s="4"/>
      <c r="AV478" s="4"/>
      <c r="AW478" s="4"/>
      <c r="AX478" s="4"/>
      <c r="AY478" s="4"/>
      <c r="AZ478" s="4"/>
      <c r="BA478" s="4"/>
      <c r="BB478" s="4"/>
      <c r="BC478" s="4"/>
      <c r="BD478" s="5"/>
      <c r="BE478" s="4"/>
      <c r="BF478" s="4"/>
      <c r="BG478" s="4"/>
      <c r="BH478" s="4"/>
      <c r="BI478" s="4"/>
      <c r="BJ478" s="4"/>
      <c r="BK478" s="4"/>
      <c r="BL478" s="4"/>
      <c r="BM478" s="4"/>
      <c r="BN478" s="4"/>
      <c r="BO478" s="4"/>
      <c r="BP478" s="4"/>
      <c r="BQ478" s="4"/>
      <c r="BR478" s="4"/>
      <c r="BS478" s="4"/>
    </row>
    <row r="479" spans="1:7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c r="AG479" s="3"/>
      <c r="AH479" s="4"/>
      <c r="AI479" s="4"/>
      <c r="AJ479" s="4"/>
      <c r="AK479" s="4"/>
      <c r="AL479" s="4"/>
      <c r="AM479" s="4"/>
      <c r="AN479" s="4"/>
      <c r="AO479" s="4"/>
      <c r="AP479" s="4"/>
      <c r="AQ479" s="4"/>
      <c r="AR479" s="4"/>
      <c r="AS479" s="4"/>
      <c r="AT479" s="4"/>
      <c r="AU479" s="4"/>
      <c r="AV479" s="4"/>
      <c r="AW479" s="4"/>
      <c r="AX479" s="4"/>
      <c r="AY479" s="4"/>
      <c r="AZ479" s="4"/>
      <c r="BA479" s="4"/>
      <c r="BB479" s="4"/>
      <c r="BC479" s="4"/>
      <c r="BD479" s="5"/>
      <c r="BE479" s="4"/>
      <c r="BF479" s="4"/>
      <c r="BG479" s="4"/>
      <c r="BH479" s="4"/>
      <c r="BI479" s="4"/>
      <c r="BJ479" s="4"/>
      <c r="BK479" s="4"/>
      <c r="BL479" s="4"/>
      <c r="BM479" s="4"/>
      <c r="BN479" s="4"/>
      <c r="BO479" s="4"/>
      <c r="BP479" s="4"/>
      <c r="BQ479" s="4"/>
      <c r="BR479" s="4"/>
      <c r="BS479" s="4"/>
    </row>
    <row r="480" spans="1:7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c r="AG480" s="3"/>
      <c r="AH480" s="4"/>
      <c r="AI480" s="4"/>
      <c r="AJ480" s="4"/>
      <c r="AK480" s="4"/>
      <c r="AL480" s="4"/>
      <c r="AM480" s="4"/>
      <c r="AN480" s="4"/>
      <c r="AO480" s="4"/>
      <c r="AP480" s="4"/>
      <c r="AQ480" s="4"/>
      <c r="AR480" s="4"/>
      <c r="AS480" s="4"/>
      <c r="AT480" s="4"/>
      <c r="AU480" s="4"/>
      <c r="AV480" s="4"/>
      <c r="AW480" s="4"/>
      <c r="AX480" s="4"/>
      <c r="AY480" s="4"/>
      <c r="AZ480" s="4"/>
      <c r="BA480" s="4"/>
      <c r="BB480" s="4"/>
      <c r="BC480" s="4"/>
      <c r="BD480" s="5"/>
      <c r="BE480" s="4"/>
      <c r="BF480" s="4"/>
      <c r="BG480" s="4"/>
      <c r="BH480" s="4"/>
      <c r="BI480" s="4"/>
      <c r="BJ480" s="4"/>
      <c r="BK480" s="4"/>
      <c r="BL480" s="4"/>
      <c r="BM480" s="4"/>
      <c r="BN480" s="4"/>
      <c r="BO480" s="4"/>
      <c r="BP480" s="4"/>
      <c r="BQ480" s="4"/>
      <c r="BR480" s="4"/>
      <c r="BS480" s="4"/>
    </row>
    <row r="481" spans="1:7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c r="AG481" s="3"/>
      <c r="AH481" s="4"/>
      <c r="AI481" s="4"/>
      <c r="AJ481" s="4"/>
      <c r="AK481" s="4"/>
      <c r="AL481" s="4"/>
      <c r="AM481" s="4"/>
      <c r="AN481" s="4"/>
      <c r="AO481" s="4"/>
      <c r="AP481" s="4"/>
      <c r="AQ481" s="4"/>
      <c r="AR481" s="4"/>
      <c r="AS481" s="4"/>
      <c r="AT481" s="4"/>
      <c r="AU481" s="4"/>
      <c r="AV481" s="4"/>
      <c r="AW481" s="4"/>
      <c r="AX481" s="4"/>
      <c r="AY481" s="4"/>
      <c r="AZ481" s="4"/>
      <c r="BA481" s="4"/>
      <c r="BB481" s="4"/>
      <c r="BC481" s="4"/>
      <c r="BD481" s="5"/>
      <c r="BE481" s="4"/>
      <c r="BF481" s="4"/>
      <c r="BG481" s="4"/>
      <c r="BH481" s="4"/>
      <c r="BI481" s="4"/>
      <c r="BJ481" s="4"/>
      <c r="BK481" s="4"/>
      <c r="BL481" s="4"/>
      <c r="BM481" s="4"/>
      <c r="BN481" s="4"/>
      <c r="BO481" s="4"/>
      <c r="BP481" s="4"/>
      <c r="BQ481" s="4"/>
      <c r="BR481" s="4"/>
      <c r="BS481" s="4"/>
    </row>
    <row r="482" spans="1:7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c r="AG482" s="3"/>
      <c r="AH482" s="4"/>
      <c r="AI482" s="4"/>
      <c r="AJ482" s="4"/>
      <c r="AK482" s="4"/>
      <c r="AL482" s="4"/>
      <c r="AM482" s="4"/>
      <c r="AN482" s="4"/>
      <c r="AO482" s="4"/>
      <c r="AP482" s="4"/>
      <c r="AQ482" s="4"/>
      <c r="AR482" s="4"/>
      <c r="AS482" s="4"/>
      <c r="AT482" s="4"/>
      <c r="AU482" s="4"/>
      <c r="AV482" s="4"/>
      <c r="AW482" s="4"/>
      <c r="AX482" s="4"/>
      <c r="AY482" s="4"/>
      <c r="AZ482" s="4"/>
      <c r="BA482" s="4"/>
      <c r="BB482" s="4"/>
      <c r="BC482" s="4"/>
      <c r="BD482" s="5"/>
      <c r="BE482" s="4"/>
      <c r="BF482" s="4"/>
      <c r="BG482" s="4"/>
      <c r="BH482" s="4"/>
      <c r="BI482" s="4"/>
      <c r="BJ482" s="4"/>
      <c r="BK482" s="4"/>
      <c r="BL482" s="4"/>
      <c r="BM482" s="4"/>
      <c r="BN482" s="4"/>
      <c r="BO482" s="4"/>
      <c r="BP482" s="4"/>
      <c r="BQ482" s="4"/>
      <c r="BR482" s="4"/>
      <c r="BS482" s="4"/>
    </row>
    <row r="483" spans="1:7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c r="AG483" s="3"/>
      <c r="AH483" s="4"/>
      <c r="AI483" s="4"/>
      <c r="AJ483" s="4"/>
      <c r="AK483" s="4"/>
      <c r="AL483" s="4"/>
      <c r="AM483" s="4"/>
      <c r="AN483" s="4"/>
      <c r="AO483" s="4"/>
      <c r="AP483" s="4"/>
      <c r="AQ483" s="4"/>
      <c r="AR483" s="4"/>
      <c r="AS483" s="4"/>
      <c r="AT483" s="4"/>
      <c r="AU483" s="4"/>
      <c r="AV483" s="4"/>
      <c r="AW483" s="4"/>
      <c r="AX483" s="4"/>
      <c r="AY483" s="4"/>
      <c r="AZ483" s="4"/>
      <c r="BA483" s="4"/>
      <c r="BB483" s="4"/>
      <c r="BC483" s="4"/>
      <c r="BD483" s="5"/>
      <c r="BE483" s="4"/>
      <c r="BF483" s="4"/>
      <c r="BG483" s="4"/>
      <c r="BH483" s="4"/>
      <c r="BI483" s="4"/>
      <c r="BJ483" s="4"/>
      <c r="BK483" s="4"/>
      <c r="BL483" s="4"/>
      <c r="BM483" s="4"/>
      <c r="BN483" s="4"/>
      <c r="BO483" s="4"/>
      <c r="BP483" s="4"/>
      <c r="BQ483" s="4"/>
      <c r="BR483" s="4"/>
      <c r="BS483" s="4"/>
    </row>
    <row r="484" spans="1:7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c r="AG484" s="3"/>
      <c r="AH484" s="4"/>
      <c r="AI484" s="4"/>
      <c r="AJ484" s="4"/>
      <c r="AK484" s="4"/>
      <c r="AL484" s="4"/>
      <c r="AM484" s="4"/>
      <c r="AN484" s="4"/>
      <c r="AO484" s="4"/>
      <c r="AP484" s="4"/>
      <c r="AQ484" s="4"/>
      <c r="AR484" s="4"/>
      <c r="AS484" s="4"/>
      <c r="AT484" s="4"/>
      <c r="AU484" s="4"/>
      <c r="AV484" s="4"/>
      <c r="AW484" s="4"/>
      <c r="AX484" s="4"/>
      <c r="AY484" s="4"/>
      <c r="AZ484" s="4"/>
      <c r="BA484" s="4"/>
      <c r="BB484" s="4"/>
      <c r="BC484" s="4"/>
      <c r="BD484" s="5"/>
      <c r="BE484" s="4"/>
      <c r="BF484" s="4"/>
      <c r="BG484" s="4"/>
      <c r="BH484" s="4"/>
      <c r="BI484" s="4"/>
      <c r="BJ484" s="4"/>
      <c r="BK484" s="4"/>
      <c r="BL484" s="4"/>
      <c r="BM484" s="4"/>
      <c r="BN484" s="4"/>
      <c r="BO484" s="4"/>
      <c r="BP484" s="4"/>
      <c r="BQ484" s="4"/>
      <c r="BR484" s="4"/>
      <c r="BS484" s="4"/>
    </row>
    <row r="485" spans="1:7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c r="AG485" s="3"/>
      <c r="AH485" s="4"/>
      <c r="AI485" s="4"/>
      <c r="AJ485" s="4"/>
      <c r="AK485" s="4"/>
      <c r="AL485" s="4"/>
      <c r="AM485" s="4"/>
      <c r="AN485" s="4"/>
      <c r="AO485" s="4"/>
      <c r="AP485" s="4"/>
      <c r="AQ485" s="4"/>
      <c r="AR485" s="4"/>
      <c r="AS485" s="4"/>
      <c r="AT485" s="4"/>
      <c r="AU485" s="4"/>
      <c r="AV485" s="4"/>
      <c r="AW485" s="4"/>
      <c r="AX485" s="4"/>
      <c r="AY485" s="4"/>
      <c r="AZ485" s="4"/>
      <c r="BA485" s="4"/>
      <c r="BB485" s="4"/>
      <c r="BC485" s="4"/>
      <c r="BD485" s="5"/>
      <c r="BE485" s="4"/>
      <c r="BF485" s="4"/>
      <c r="BG485" s="4"/>
      <c r="BH485" s="4"/>
      <c r="BI485" s="4"/>
      <c r="BJ485" s="4"/>
      <c r="BK485" s="4"/>
      <c r="BL485" s="4"/>
      <c r="BM485" s="4"/>
      <c r="BN485" s="4"/>
      <c r="BO485" s="4"/>
      <c r="BP485" s="4"/>
      <c r="BQ485" s="4"/>
      <c r="BR485" s="4"/>
      <c r="BS485" s="4"/>
    </row>
    <row r="486" spans="1:7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c r="AG486" s="3"/>
      <c r="AH486" s="4"/>
      <c r="AI486" s="4"/>
      <c r="AJ486" s="4"/>
      <c r="AK486" s="4"/>
      <c r="AL486" s="4"/>
      <c r="AM486" s="4"/>
      <c r="AN486" s="4"/>
      <c r="AO486" s="4"/>
      <c r="AP486" s="4"/>
      <c r="AQ486" s="4"/>
      <c r="AR486" s="4"/>
      <c r="AS486" s="4"/>
      <c r="AT486" s="4"/>
      <c r="AU486" s="4"/>
      <c r="AV486" s="4"/>
      <c r="AW486" s="4"/>
      <c r="AX486" s="4"/>
      <c r="AY486" s="4"/>
      <c r="AZ486" s="4"/>
      <c r="BA486" s="4"/>
      <c r="BB486" s="4"/>
      <c r="BC486" s="4"/>
      <c r="BD486" s="5"/>
      <c r="BE486" s="4"/>
      <c r="BF486" s="4"/>
      <c r="BG486" s="4"/>
      <c r="BH486" s="4"/>
      <c r="BI486" s="4"/>
      <c r="BJ486" s="4"/>
      <c r="BK486" s="4"/>
      <c r="BL486" s="4"/>
      <c r="BM486" s="4"/>
      <c r="BN486" s="4"/>
      <c r="BO486" s="4"/>
      <c r="BP486" s="4"/>
      <c r="BQ486" s="4"/>
      <c r="BR486" s="4"/>
      <c r="BS486" s="4"/>
    </row>
    <row r="487" spans="1:7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c r="AG487" s="3"/>
      <c r="AH487" s="4"/>
      <c r="AI487" s="4"/>
      <c r="AJ487" s="4"/>
      <c r="AK487" s="4"/>
      <c r="AL487" s="4"/>
      <c r="AM487" s="4"/>
      <c r="AN487" s="4"/>
      <c r="AO487" s="4"/>
      <c r="AP487" s="4"/>
      <c r="AQ487" s="4"/>
      <c r="AR487" s="4"/>
      <c r="AS487" s="4"/>
      <c r="AT487" s="4"/>
      <c r="AU487" s="4"/>
      <c r="AV487" s="4"/>
      <c r="AW487" s="4"/>
      <c r="AX487" s="4"/>
      <c r="AY487" s="4"/>
      <c r="AZ487" s="4"/>
      <c r="BA487" s="4"/>
      <c r="BB487" s="4"/>
      <c r="BC487" s="4"/>
      <c r="BD487" s="5"/>
      <c r="BE487" s="4"/>
      <c r="BF487" s="4"/>
      <c r="BG487" s="4"/>
      <c r="BH487" s="4"/>
      <c r="BI487" s="4"/>
      <c r="BJ487" s="4"/>
      <c r="BK487" s="4"/>
      <c r="BL487" s="4"/>
      <c r="BM487" s="4"/>
      <c r="BN487" s="4"/>
      <c r="BO487" s="4"/>
      <c r="BP487" s="4"/>
      <c r="BQ487" s="4"/>
      <c r="BR487" s="4"/>
      <c r="BS487" s="4"/>
    </row>
    <row r="488" spans="1:7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c r="AG488" s="3"/>
      <c r="AH488" s="4"/>
      <c r="AI488" s="4"/>
      <c r="AJ488" s="4"/>
      <c r="AK488" s="4"/>
      <c r="AL488" s="4"/>
      <c r="AM488" s="4"/>
      <c r="AN488" s="4"/>
      <c r="AO488" s="4"/>
      <c r="AP488" s="4"/>
      <c r="AQ488" s="4"/>
      <c r="AR488" s="4"/>
      <c r="AS488" s="4"/>
      <c r="AT488" s="4"/>
      <c r="AU488" s="4"/>
      <c r="AV488" s="4"/>
      <c r="AW488" s="4"/>
      <c r="AX488" s="4"/>
      <c r="AY488" s="4"/>
      <c r="AZ488" s="4"/>
      <c r="BA488" s="4"/>
      <c r="BB488" s="4"/>
      <c r="BC488" s="4"/>
      <c r="BD488" s="5"/>
      <c r="BE488" s="4"/>
      <c r="BF488" s="4"/>
      <c r="BG488" s="4"/>
      <c r="BH488" s="4"/>
      <c r="BI488" s="4"/>
      <c r="BJ488" s="4"/>
      <c r="BK488" s="4"/>
      <c r="BL488" s="4"/>
      <c r="BM488" s="4"/>
      <c r="BN488" s="4"/>
      <c r="BO488" s="4"/>
      <c r="BP488" s="4"/>
      <c r="BQ488" s="4"/>
      <c r="BR488" s="4"/>
      <c r="BS488" s="4"/>
    </row>
    <row r="489" spans="1:7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c r="AG489" s="3"/>
      <c r="AH489" s="4"/>
      <c r="AI489" s="4"/>
      <c r="AJ489" s="4"/>
      <c r="AK489" s="4"/>
      <c r="AL489" s="4"/>
      <c r="AM489" s="4"/>
      <c r="AN489" s="4"/>
      <c r="AO489" s="4"/>
      <c r="AP489" s="4"/>
      <c r="AQ489" s="4"/>
      <c r="AR489" s="4"/>
      <c r="AS489" s="4"/>
      <c r="AT489" s="4"/>
      <c r="AU489" s="4"/>
      <c r="AV489" s="4"/>
      <c r="AW489" s="4"/>
      <c r="AX489" s="4"/>
      <c r="AY489" s="4"/>
      <c r="AZ489" s="4"/>
      <c r="BA489" s="4"/>
      <c r="BB489" s="4"/>
      <c r="BC489" s="4"/>
      <c r="BD489" s="5"/>
      <c r="BE489" s="4"/>
      <c r="BF489" s="4"/>
      <c r="BG489" s="4"/>
      <c r="BH489" s="4"/>
      <c r="BI489" s="4"/>
      <c r="BJ489" s="4"/>
      <c r="BK489" s="4"/>
      <c r="BL489" s="4"/>
      <c r="BM489" s="4"/>
      <c r="BN489" s="4"/>
      <c r="BO489" s="4"/>
      <c r="BP489" s="4"/>
      <c r="BQ489" s="4"/>
      <c r="BR489" s="4"/>
      <c r="BS489" s="4"/>
    </row>
    <row r="490" spans="1:7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c r="AG490" s="3"/>
      <c r="AH490" s="4"/>
      <c r="AI490" s="4"/>
      <c r="AJ490" s="4"/>
      <c r="AK490" s="4"/>
      <c r="AL490" s="4"/>
      <c r="AM490" s="4"/>
      <c r="AN490" s="4"/>
      <c r="AO490" s="4"/>
      <c r="AP490" s="4"/>
      <c r="AQ490" s="4"/>
      <c r="AR490" s="4"/>
      <c r="AS490" s="4"/>
      <c r="AT490" s="4"/>
      <c r="AU490" s="4"/>
      <c r="AV490" s="4"/>
      <c r="AW490" s="4"/>
      <c r="AX490" s="4"/>
      <c r="AY490" s="4"/>
      <c r="AZ490" s="4"/>
      <c r="BA490" s="4"/>
      <c r="BB490" s="4"/>
      <c r="BC490" s="4"/>
      <c r="BD490" s="5"/>
      <c r="BE490" s="4"/>
      <c r="BF490" s="4"/>
      <c r="BG490" s="4"/>
      <c r="BH490" s="4"/>
      <c r="BI490" s="4"/>
      <c r="BJ490" s="4"/>
      <c r="BK490" s="4"/>
      <c r="BL490" s="4"/>
      <c r="BM490" s="4"/>
      <c r="BN490" s="4"/>
      <c r="BO490" s="4"/>
      <c r="BP490" s="4"/>
      <c r="BQ490" s="4"/>
      <c r="BR490" s="4"/>
      <c r="BS490" s="4"/>
    </row>
    <row r="491" spans="1:7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c r="AG491" s="3"/>
      <c r="AH491" s="4"/>
      <c r="AI491" s="4"/>
      <c r="AJ491" s="4"/>
      <c r="AK491" s="4"/>
      <c r="AL491" s="4"/>
      <c r="AM491" s="4"/>
      <c r="AN491" s="4"/>
      <c r="AO491" s="4"/>
      <c r="AP491" s="4"/>
      <c r="AQ491" s="4"/>
      <c r="AR491" s="4"/>
      <c r="AS491" s="4"/>
      <c r="AT491" s="4"/>
      <c r="AU491" s="4"/>
      <c r="AV491" s="4"/>
      <c r="AW491" s="4"/>
      <c r="AX491" s="4"/>
      <c r="AY491" s="4"/>
      <c r="AZ491" s="4"/>
      <c r="BA491" s="4"/>
      <c r="BB491" s="4"/>
      <c r="BC491" s="4"/>
      <c r="BD491" s="5"/>
      <c r="BE491" s="4"/>
      <c r="BF491" s="4"/>
      <c r="BG491" s="4"/>
      <c r="BH491" s="4"/>
      <c r="BI491" s="4"/>
      <c r="BJ491" s="4"/>
      <c r="BK491" s="4"/>
      <c r="BL491" s="4"/>
      <c r="BM491" s="4"/>
      <c r="BN491" s="4"/>
      <c r="BO491" s="4"/>
      <c r="BP491" s="4"/>
      <c r="BQ491" s="4"/>
      <c r="BR491" s="4"/>
      <c r="BS491" s="4"/>
    </row>
    <row r="492" spans="1:7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c r="AG492" s="3"/>
      <c r="AH492" s="4"/>
      <c r="AI492" s="4"/>
      <c r="AJ492" s="4"/>
      <c r="AK492" s="4"/>
      <c r="AL492" s="4"/>
      <c r="AM492" s="4"/>
      <c r="AN492" s="4"/>
      <c r="AO492" s="4"/>
      <c r="AP492" s="4"/>
      <c r="AQ492" s="4"/>
      <c r="AR492" s="4"/>
      <c r="AS492" s="4"/>
      <c r="AT492" s="4"/>
      <c r="AU492" s="4"/>
      <c r="AV492" s="4"/>
      <c r="AW492" s="4"/>
      <c r="AX492" s="4"/>
      <c r="AY492" s="4"/>
      <c r="AZ492" s="4"/>
      <c r="BA492" s="4"/>
      <c r="BB492" s="4"/>
      <c r="BC492" s="4"/>
      <c r="BD492" s="5"/>
      <c r="BE492" s="4"/>
      <c r="BF492" s="4"/>
      <c r="BG492" s="4"/>
      <c r="BH492" s="4"/>
      <c r="BI492" s="4"/>
      <c r="BJ492" s="4"/>
      <c r="BK492" s="4"/>
      <c r="BL492" s="4"/>
      <c r="BM492" s="4"/>
      <c r="BN492" s="4"/>
      <c r="BO492" s="4"/>
      <c r="BP492" s="4"/>
      <c r="BQ492" s="4"/>
      <c r="BR492" s="4"/>
      <c r="BS492" s="4"/>
    </row>
    <row r="493" spans="1:7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c r="AG493" s="3"/>
      <c r="AH493" s="4"/>
      <c r="AI493" s="4"/>
      <c r="AJ493" s="4"/>
      <c r="AK493" s="4"/>
      <c r="AL493" s="4"/>
      <c r="AM493" s="4"/>
      <c r="AN493" s="4"/>
      <c r="AO493" s="4"/>
      <c r="AP493" s="4"/>
      <c r="AQ493" s="4"/>
      <c r="AR493" s="4"/>
      <c r="AS493" s="4"/>
      <c r="AT493" s="4"/>
      <c r="AU493" s="4"/>
      <c r="AV493" s="4"/>
      <c r="AW493" s="4"/>
      <c r="AX493" s="4"/>
      <c r="AY493" s="4"/>
      <c r="AZ493" s="4"/>
      <c r="BA493" s="4"/>
      <c r="BB493" s="4"/>
      <c r="BC493" s="4"/>
      <c r="BD493" s="5"/>
      <c r="BE493" s="4"/>
      <c r="BF493" s="4"/>
      <c r="BG493" s="4"/>
      <c r="BH493" s="4"/>
      <c r="BI493" s="4"/>
      <c r="BJ493" s="4"/>
      <c r="BK493" s="4"/>
      <c r="BL493" s="4"/>
      <c r="BM493" s="4"/>
      <c r="BN493" s="4"/>
      <c r="BO493" s="4"/>
      <c r="BP493" s="4"/>
      <c r="BQ493" s="4"/>
      <c r="BR493" s="4"/>
      <c r="BS493" s="4"/>
    </row>
    <row r="494" spans="1:7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c r="AG494" s="3"/>
      <c r="AH494" s="4"/>
      <c r="AI494" s="4"/>
      <c r="AJ494" s="4"/>
      <c r="AK494" s="4"/>
      <c r="AL494" s="4"/>
      <c r="AM494" s="4"/>
      <c r="AN494" s="4"/>
      <c r="AO494" s="4"/>
      <c r="AP494" s="4"/>
      <c r="AQ494" s="4"/>
      <c r="AR494" s="4"/>
      <c r="AS494" s="4"/>
      <c r="AT494" s="4"/>
      <c r="AU494" s="4"/>
      <c r="AV494" s="4"/>
      <c r="AW494" s="4"/>
      <c r="AX494" s="4"/>
      <c r="AY494" s="4"/>
      <c r="AZ494" s="4"/>
      <c r="BA494" s="4"/>
      <c r="BB494" s="4"/>
      <c r="BC494" s="4"/>
      <c r="BD494" s="5"/>
      <c r="BE494" s="4"/>
      <c r="BF494" s="4"/>
      <c r="BG494" s="4"/>
      <c r="BH494" s="4"/>
      <c r="BI494" s="4"/>
      <c r="BJ494" s="4"/>
      <c r="BK494" s="4"/>
      <c r="BL494" s="4"/>
      <c r="BM494" s="4"/>
      <c r="BN494" s="4"/>
      <c r="BO494" s="4"/>
      <c r="BP494" s="4"/>
      <c r="BQ494" s="4"/>
      <c r="BR494" s="4"/>
      <c r="BS494" s="4"/>
    </row>
    <row r="495" spans="1:7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c r="AG495" s="3"/>
      <c r="AH495" s="4"/>
      <c r="AI495" s="4"/>
      <c r="AJ495" s="4"/>
      <c r="AK495" s="4"/>
      <c r="AL495" s="4"/>
      <c r="AM495" s="4"/>
      <c r="AN495" s="4"/>
      <c r="AO495" s="4"/>
      <c r="AP495" s="4"/>
      <c r="AQ495" s="4"/>
      <c r="AR495" s="4"/>
      <c r="AS495" s="4"/>
      <c r="AT495" s="4"/>
      <c r="AU495" s="4"/>
      <c r="AV495" s="4"/>
      <c r="AW495" s="4"/>
      <c r="AX495" s="4"/>
      <c r="AY495" s="4"/>
      <c r="AZ495" s="4"/>
      <c r="BA495" s="4"/>
      <c r="BB495" s="4"/>
      <c r="BC495" s="4"/>
      <c r="BD495" s="5"/>
      <c r="BE495" s="4"/>
      <c r="BF495" s="4"/>
      <c r="BG495" s="4"/>
      <c r="BH495" s="4"/>
      <c r="BI495" s="4"/>
      <c r="BJ495" s="4"/>
      <c r="BK495" s="4"/>
      <c r="BL495" s="4"/>
      <c r="BM495" s="4"/>
      <c r="BN495" s="4"/>
      <c r="BO495" s="4"/>
      <c r="BP495" s="4"/>
      <c r="BQ495" s="4"/>
      <c r="BR495" s="4"/>
      <c r="BS495" s="4"/>
    </row>
    <row r="496" spans="1:7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c r="AG496" s="3"/>
      <c r="AH496" s="4"/>
      <c r="AI496" s="4"/>
      <c r="AJ496" s="4"/>
      <c r="AK496" s="4"/>
      <c r="AL496" s="4"/>
      <c r="AM496" s="4"/>
      <c r="AN496" s="4"/>
      <c r="AO496" s="4"/>
      <c r="AP496" s="4"/>
      <c r="AQ496" s="4"/>
      <c r="AR496" s="4"/>
      <c r="AS496" s="4"/>
      <c r="AT496" s="4"/>
      <c r="AU496" s="4"/>
      <c r="AV496" s="4"/>
      <c r="AW496" s="4"/>
      <c r="AX496" s="4"/>
      <c r="AY496" s="4"/>
      <c r="AZ496" s="4"/>
      <c r="BA496" s="4"/>
      <c r="BB496" s="4"/>
      <c r="BC496" s="4"/>
      <c r="BD496" s="5"/>
      <c r="BE496" s="4"/>
      <c r="BF496" s="4"/>
      <c r="BG496" s="4"/>
      <c r="BH496" s="4"/>
      <c r="BI496" s="4"/>
      <c r="BJ496" s="4"/>
      <c r="BK496" s="4"/>
      <c r="BL496" s="4"/>
      <c r="BM496" s="4"/>
      <c r="BN496" s="4"/>
      <c r="BO496" s="4"/>
      <c r="BP496" s="4"/>
      <c r="BQ496" s="4"/>
      <c r="BR496" s="4"/>
      <c r="BS496" s="4"/>
    </row>
    <row r="497" spans="1:7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c r="AG497" s="3"/>
      <c r="AH497" s="4"/>
      <c r="AI497" s="4"/>
      <c r="AJ497" s="4"/>
      <c r="AK497" s="4"/>
      <c r="AL497" s="4"/>
      <c r="AM497" s="4"/>
      <c r="AN497" s="4"/>
      <c r="AO497" s="4"/>
      <c r="AP497" s="4"/>
      <c r="AQ497" s="4"/>
      <c r="AR497" s="4"/>
      <c r="AS497" s="4"/>
      <c r="AT497" s="4"/>
      <c r="AU497" s="4"/>
      <c r="AV497" s="4"/>
      <c r="AW497" s="4"/>
      <c r="AX497" s="4"/>
      <c r="AY497" s="4"/>
      <c r="AZ497" s="4"/>
      <c r="BA497" s="4"/>
      <c r="BB497" s="4"/>
      <c r="BC497" s="4"/>
      <c r="BD497" s="5"/>
      <c r="BE497" s="4"/>
      <c r="BF497" s="4"/>
      <c r="BG497" s="4"/>
      <c r="BH497" s="4"/>
      <c r="BI497" s="4"/>
      <c r="BJ497" s="4"/>
      <c r="BK497" s="4"/>
      <c r="BL497" s="4"/>
      <c r="BM497" s="4"/>
      <c r="BN497" s="4"/>
      <c r="BO497" s="4"/>
      <c r="BP497" s="4"/>
      <c r="BQ497" s="4"/>
      <c r="BR497" s="4"/>
      <c r="BS497" s="4"/>
    </row>
    <row r="498" spans="1:7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c r="AG498" s="3"/>
      <c r="AH498" s="4"/>
      <c r="AI498" s="4"/>
      <c r="AJ498" s="4"/>
      <c r="AK498" s="4"/>
      <c r="AL498" s="4"/>
      <c r="AM498" s="4"/>
      <c r="AN498" s="4"/>
      <c r="AO498" s="4"/>
      <c r="AP498" s="4"/>
      <c r="AQ498" s="4"/>
      <c r="AR498" s="4"/>
      <c r="AS498" s="4"/>
      <c r="AT498" s="4"/>
      <c r="AU498" s="4"/>
      <c r="AV498" s="4"/>
      <c r="AW498" s="4"/>
      <c r="AX498" s="4"/>
      <c r="AY498" s="4"/>
      <c r="AZ498" s="4"/>
      <c r="BA498" s="4"/>
      <c r="BB498" s="4"/>
      <c r="BC498" s="4"/>
      <c r="BD498" s="5"/>
      <c r="BE498" s="4"/>
      <c r="BF498" s="4"/>
      <c r="BG498" s="4"/>
      <c r="BH498" s="4"/>
      <c r="BI498" s="4"/>
      <c r="BJ498" s="4"/>
      <c r="BK498" s="4"/>
      <c r="BL498" s="4"/>
      <c r="BM498" s="4"/>
      <c r="BN498" s="4"/>
      <c r="BO498" s="4"/>
      <c r="BP498" s="4"/>
      <c r="BQ498" s="4"/>
      <c r="BR498" s="4"/>
      <c r="BS498" s="4"/>
    </row>
    <row r="499" spans="1:7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c r="AG499" s="3"/>
      <c r="AH499" s="4"/>
      <c r="AI499" s="4"/>
      <c r="AJ499" s="4"/>
      <c r="AK499" s="4"/>
      <c r="AL499" s="4"/>
      <c r="AM499" s="4"/>
      <c r="AN499" s="4"/>
      <c r="AO499" s="4"/>
      <c r="AP499" s="4"/>
      <c r="AQ499" s="4"/>
      <c r="AR499" s="4"/>
      <c r="AS499" s="4"/>
      <c r="AT499" s="4"/>
      <c r="AU499" s="4"/>
      <c r="AV499" s="4"/>
      <c r="AW499" s="4"/>
      <c r="AX499" s="4"/>
      <c r="AY499" s="4"/>
      <c r="AZ499" s="4"/>
      <c r="BA499" s="4"/>
      <c r="BB499" s="4"/>
      <c r="BC499" s="4"/>
      <c r="BD499" s="5"/>
      <c r="BE499" s="4"/>
      <c r="BF499" s="4"/>
      <c r="BG499" s="4"/>
      <c r="BH499" s="4"/>
      <c r="BI499" s="4"/>
      <c r="BJ499" s="4"/>
      <c r="BK499" s="4"/>
      <c r="BL499" s="4"/>
      <c r="BM499" s="4"/>
      <c r="BN499" s="4"/>
      <c r="BO499" s="4"/>
      <c r="BP499" s="4"/>
      <c r="BQ499" s="4"/>
      <c r="BR499" s="4"/>
      <c r="BS499" s="4"/>
    </row>
    <row r="500" spans="1:7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c r="AG500" s="3"/>
      <c r="AH500" s="4"/>
      <c r="AI500" s="4"/>
      <c r="AJ500" s="4"/>
      <c r="AK500" s="4"/>
      <c r="AL500" s="4"/>
      <c r="AM500" s="4"/>
      <c r="AN500" s="4"/>
      <c r="AO500" s="4"/>
      <c r="AP500" s="4"/>
      <c r="AQ500" s="4"/>
      <c r="AR500" s="4"/>
      <c r="AS500" s="4"/>
      <c r="AT500" s="4"/>
      <c r="AU500" s="4"/>
      <c r="AV500" s="4"/>
      <c r="AW500" s="4"/>
      <c r="AX500" s="4"/>
      <c r="AY500" s="4"/>
      <c r="AZ500" s="4"/>
      <c r="BA500" s="4"/>
      <c r="BB500" s="4"/>
      <c r="BC500" s="4"/>
      <c r="BD500" s="5"/>
      <c r="BE500" s="4"/>
      <c r="BF500" s="4"/>
      <c r="BG500" s="4"/>
      <c r="BH500" s="4"/>
      <c r="BI500" s="4"/>
      <c r="BJ500" s="4"/>
      <c r="BK500" s="4"/>
      <c r="BL500" s="4"/>
      <c r="BM500" s="4"/>
      <c r="BN500" s="4"/>
      <c r="BO500" s="4"/>
      <c r="BP500" s="4"/>
      <c r="BQ500" s="4"/>
      <c r="BR500" s="4"/>
      <c r="BS500" s="4"/>
    </row>
    <row r="501" spans="1:7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c r="AG501" s="3"/>
      <c r="AH501" s="4"/>
      <c r="AI501" s="4"/>
      <c r="AJ501" s="4"/>
      <c r="AK501" s="4"/>
      <c r="AL501" s="4"/>
      <c r="AM501" s="4"/>
      <c r="AN501" s="4"/>
      <c r="AO501" s="4"/>
      <c r="AP501" s="4"/>
      <c r="AQ501" s="4"/>
      <c r="AR501" s="4"/>
      <c r="AS501" s="4"/>
      <c r="AT501" s="4"/>
      <c r="AU501" s="4"/>
      <c r="AV501" s="4"/>
      <c r="AW501" s="4"/>
      <c r="AX501" s="4"/>
      <c r="AY501" s="4"/>
      <c r="AZ501" s="4"/>
      <c r="BA501" s="4"/>
      <c r="BB501" s="4"/>
      <c r="BC501" s="4"/>
      <c r="BD501" s="5"/>
      <c r="BE501" s="4"/>
      <c r="BF501" s="4"/>
      <c r="BG501" s="4"/>
      <c r="BH501" s="4"/>
      <c r="BI501" s="4"/>
      <c r="BJ501" s="4"/>
      <c r="BK501" s="4"/>
      <c r="BL501" s="4"/>
      <c r="BM501" s="4"/>
      <c r="BN501" s="4"/>
      <c r="BO501" s="4"/>
      <c r="BP501" s="4"/>
      <c r="BQ501" s="4"/>
      <c r="BR501" s="4"/>
      <c r="BS501" s="4"/>
    </row>
    <row r="502" spans="1:7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c r="AG502" s="3"/>
      <c r="AH502" s="4"/>
      <c r="AI502" s="4"/>
      <c r="AJ502" s="4"/>
      <c r="AK502" s="4"/>
      <c r="AL502" s="4"/>
      <c r="AM502" s="4"/>
      <c r="AN502" s="4"/>
      <c r="AO502" s="4"/>
      <c r="AP502" s="4"/>
      <c r="AQ502" s="4"/>
      <c r="AR502" s="4"/>
      <c r="AS502" s="4"/>
      <c r="AT502" s="4"/>
      <c r="AU502" s="4"/>
      <c r="AV502" s="4"/>
      <c r="AW502" s="4"/>
      <c r="AX502" s="4"/>
      <c r="AY502" s="4"/>
      <c r="AZ502" s="4"/>
      <c r="BA502" s="4"/>
      <c r="BB502" s="4"/>
      <c r="BC502" s="4"/>
      <c r="BD502" s="5"/>
      <c r="BE502" s="4"/>
      <c r="BF502" s="4"/>
      <c r="BG502" s="4"/>
      <c r="BH502" s="4"/>
      <c r="BI502" s="4"/>
      <c r="BJ502" s="4"/>
      <c r="BK502" s="4"/>
      <c r="BL502" s="4"/>
      <c r="BM502" s="4"/>
      <c r="BN502" s="4"/>
      <c r="BO502" s="4"/>
      <c r="BP502" s="4"/>
      <c r="BQ502" s="4"/>
      <c r="BR502" s="4"/>
      <c r="BS502" s="4"/>
    </row>
    <row r="503" spans="1:7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c r="AG503" s="3"/>
      <c r="AH503" s="4"/>
      <c r="AI503" s="4"/>
      <c r="AJ503" s="4"/>
      <c r="AK503" s="4"/>
      <c r="AL503" s="4"/>
      <c r="AM503" s="4"/>
      <c r="AN503" s="4"/>
      <c r="AO503" s="4"/>
      <c r="AP503" s="4"/>
      <c r="AQ503" s="4"/>
      <c r="AR503" s="4"/>
      <c r="AS503" s="4"/>
      <c r="AT503" s="4"/>
      <c r="AU503" s="4"/>
      <c r="AV503" s="4"/>
      <c r="AW503" s="4"/>
      <c r="AX503" s="4"/>
      <c r="AY503" s="4"/>
      <c r="AZ503" s="4"/>
      <c r="BA503" s="4"/>
      <c r="BB503" s="4"/>
      <c r="BC503" s="4"/>
      <c r="BD503" s="5"/>
      <c r="BE503" s="4"/>
      <c r="BF503" s="4"/>
      <c r="BG503" s="4"/>
      <c r="BH503" s="4"/>
      <c r="BI503" s="4"/>
      <c r="BJ503" s="4"/>
      <c r="BK503" s="4"/>
      <c r="BL503" s="4"/>
      <c r="BM503" s="4"/>
      <c r="BN503" s="4"/>
      <c r="BO503" s="4"/>
      <c r="BP503" s="4"/>
      <c r="BQ503" s="4"/>
      <c r="BR503" s="4"/>
      <c r="BS503" s="4"/>
    </row>
    <row r="504" spans="1:7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c r="AG504" s="3"/>
      <c r="AH504" s="4"/>
      <c r="AI504" s="4"/>
      <c r="AJ504" s="4"/>
      <c r="AK504" s="4"/>
      <c r="AL504" s="4"/>
      <c r="AM504" s="4"/>
      <c r="AN504" s="4"/>
      <c r="AO504" s="4"/>
      <c r="AP504" s="4"/>
      <c r="AQ504" s="4"/>
      <c r="AR504" s="4"/>
      <c r="AS504" s="4"/>
      <c r="AT504" s="4"/>
      <c r="AU504" s="4"/>
      <c r="AV504" s="4"/>
      <c r="AW504" s="4"/>
      <c r="AX504" s="4"/>
      <c r="AY504" s="4"/>
      <c r="AZ504" s="4"/>
      <c r="BA504" s="4"/>
      <c r="BB504" s="4"/>
      <c r="BC504" s="4"/>
      <c r="BD504" s="5"/>
      <c r="BE504" s="4"/>
      <c r="BF504" s="4"/>
      <c r="BG504" s="4"/>
      <c r="BH504" s="4"/>
      <c r="BI504" s="4"/>
      <c r="BJ504" s="4"/>
      <c r="BK504" s="4"/>
      <c r="BL504" s="4"/>
      <c r="BM504" s="4"/>
      <c r="BN504" s="4"/>
      <c r="BO504" s="4"/>
      <c r="BP504" s="4"/>
      <c r="BQ504" s="4"/>
      <c r="BR504" s="4"/>
      <c r="BS504" s="4"/>
    </row>
    <row r="505" spans="1:7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c r="AG505" s="3"/>
      <c r="AH505" s="4"/>
      <c r="AI505" s="4"/>
      <c r="AJ505" s="4"/>
      <c r="AK505" s="4"/>
      <c r="AL505" s="4"/>
      <c r="AM505" s="4"/>
      <c r="AN505" s="4"/>
      <c r="AO505" s="4"/>
      <c r="AP505" s="4"/>
      <c r="AQ505" s="4"/>
      <c r="AR505" s="4"/>
      <c r="AS505" s="4"/>
      <c r="AT505" s="4"/>
      <c r="AU505" s="4"/>
      <c r="AV505" s="4"/>
      <c r="AW505" s="4"/>
      <c r="AX505" s="4"/>
      <c r="AY505" s="4"/>
      <c r="AZ505" s="4"/>
      <c r="BA505" s="4"/>
      <c r="BB505" s="4"/>
      <c r="BC505" s="4"/>
      <c r="BD505" s="5"/>
      <c r="BE505" s="4"/>
      <c r="BF505" s="4"/>
      <c r="BG505" s="4"/>
      <c r="BH505" s="4"/>
      <c r="BI505" s="4"/>
      <c r="BJ505" s="4"/>
      <c r="BK505" s="4"/>
      <c r="BL505" s="4"/>
      <c r="BM505" s="4"/>
      <c r="BN505" s="4"/>
      <c r="BO505" s="4"/>
      <c r="BP505" s="4"/>
      <c r="BQ505" s="4"/>
      <c r="BR505" s="4"/>
      <c r="BS505" s="4"/>
    </row>
    <row r="506" spans="1:7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c r="AG506" s="3"/>
      <c r="AH506" s="4"/>
      <c r="AI506" s="4"/>
      <c r="AJ506" s="4"/>
      <c r="AK506" s="4"/>
      <c r="AL506" s="4"/>
      <c r="AM506" s="4"/>
      <c r="AN506" s="4"/>
      <c r="AO506" s="4"/>
      <c r="AP506" s="4"/>
      <c r="AQ506" s="4"/>
      <c r="AR506" s="4"/>
      <c r="AS506" s="4"/>
      <c r="AT506" s="4"/>
      <c r="AU506" s="4"/>
      <c r="AV506" s="4"/>
      <c r="AW506" s="4"/>
      <c r="AX506" s="4"/>
      <c r="AY506" s="4"/>
      <c r="AZ506" s="4"/>
      <c r="BA506" s="4"/>
      <c r="BB506" s="4"/>
      <c r="BC506" s="4"/>
      <c r="BD506" s="5"/>
      <c r="BE506" s="4"/>
      <c r="BF506" s="4"/>
      <c r="BG506" s="4"/>
      <c r="BH506" s="4"/>
      <c r="BI506" s="4"/>
      <c r="BJ506" s="4"/>
      <c r="BK506" s="4"/>
      <c r="BL506" s="4"/>
      <c r="BM506" s="4"/>
      <c r="BN506" s="4"/>
      <c r="BO506" s="4"/>
      <c r="BP506" s="4"/>
      <c r="BQ506" s="4"/>
      <c r="BR506" s="4"/>
      <c r="BS506" s="4"/>
    </row>
    <row r="507" spans="1:7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c r="AG507" s="3"/>
      <c r="AH507" s="4"/>
      <c r="AI507" s="4"/>
      <c r="AJ507" s="4"/>
      <c r="AK507" s="4"/>
      <c r="AL507" s="4"/>
      <c r="AM507" s="4"/>
      <c r="AN507" s="4"/>
      <c r="AO507" s="4"/>
      <c r="AP507" s="4"/>
      <c r="AQ507" s="4"/>
      <c r="AR507" s="4"/>
      <c r="AS507" s="4"/>
      <c r="AT507" s="4"/>
      <c r="AU507" s="4"/>
      <c r="AV507" s="4"/>
      <c r="AW507" s="4"/>
      <c r="AX507" s="4"/>
      <c r="AY507" s="4"/>
      <c r="AZ507" s="4"/>
      <c r="BA507" s="4"/>
      <c r="BB507" s="4"/>
      <c r="BC507" s="4"/>
      <c r="BD507" s="5"/>
      <c r="BE507" s="4"/>
      <c r="BF507" s="4"/>
      <c r="BG507" s="4"/>
      <c r="BH507" s="4"/>
      <c r="BI507" s="4"/>
      <c r="BJ507" s="4"/>
      <c r="BK507" s="4"/>
      <c r="BL507" s="4"/>
      <c r="BM507" s="4"/>
      <c r="BN507" s="4"/>
      <c r="BO507" s="4"/>
      <c r="BP507" s="4"/>
      <c r="BQ507" s="4"/>
      <c r="BR507" s="4"/>
      <c r="BS507" s="4"/>
    </row>
    <row r="508" spans="1:7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c r="AG508" s="3"/>
      <c r="AH508" s="4"/>
      <c r="AI508" s="4"/>
      <c r="AJ508" s="4"/>
      <c r="AK508" s="4"/>
      <c r="AL508" s="4"/>
      <c r="AM508" s="4"/>
      <c r="AN508" s="4"/>
      <c r="AO508" s="4"/>
      <c r="AP508" s="4"/>
      <c r="AQ508" s="4"/>
      <c r="AR508" s="4"/>
      <c r="AS508" s="4"/>
      <c r="AT508" s="4"/>
      <c r="AU508" s="4"/>
      <c r="AV508" s="4"/>
      <c r="AW508" s="4"/>
      <c r="AX508" s="4"/>
      <c r="AY508" s="4"/>
      <c r="AZ508" s="4"/>
      <c r="BA508" s="4"/>
      <c r="BB508" s="4"/>
      <c r="BC508" s="4"/>
      <c r="BD508" s="5"/>
      <c r="BE508" s="4"/>
      <c r="BF508" s="4"/>
      <c r="BG508" s="4"/>
      <c r="BH508" s="4"/>
      <c r="BI508" s="4"/>
      <c r="BJ508" s="4"/>
      <c r="BK508" s="4"/>
      <c r="BL508" s="4"/>
      <c r="BM508" s="4"/>
      <c r="BN508" s="4"/>
      <c r="BO508" s="4"/>
      <c r="BP508" s="4"/>
      <c r="BQ508" s="4"/>
      <c r="BR508" s="4"/>
      <c r="BS508" s="4"/>
    </row>
    <row r="509" spans="1:7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c r="AG509" s="3"/>
      <c r="AH509" s="4"/>
      <c r="AI509" s="4"/>
      <c r="AJ509" s="4"/>
      <c r="AK509" s="4"/>
      <c r="AL509" s="4"/>
      <c r="AM509" s="4"/>
      <c r="AN509" s="4"/>
      <c r="AO509" s="4"/>
      <c r="AP509" s="4"/>
      <c r="AQ509" s="4"/>
      <c r="AR509" s="4"/>
      <c r="AS509" s="4"/>
      <c r="AT509" s="4"/>
      <c r="AU509" s="4"/>
      <c r="AV509" s="4"/>
      <c r="AW509" s="4"/>
      <c r="AX509" s="4"/>
      <c r="AY509" s="4"/>
      <c r="AZ509" s="4"/>
      <c r="BA509" s="4"/>
      <c r="BB509" s="4"/>
      <c r="BC509" s="4"/>
      <c r="BD509" s="5"/>
      <c r="BE509" s="4"/>
      <c r="BF509" s="4"/>
      <c r="BG509" s="4"/>
      <c r="BH509" s="4"/>
      <c r="BI509" s="4"/>
      <c r="BJ509" s="4"/>
      <c r="BK509" s="4"/>
      <c r="BL509" s="4"/>
      <c r="BM509" s="4"/>
      <c r="BN509" s="4"/>
      <c r="BO509" s="4"/>
      <c r="BP509" s="4"/>
      <c r="BQ509" s="4"/>
      <c r="BR509" s="4"/>
      <c r="BS509" s="4"/>
    </row>
    <row r="510" spans="1:7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c r="AG510" s="3"/>
      <c r="AH510" s="4"/>
      <c r="AI510" s="4"/>
      <c r="AJ510" s="4"/>
      <c r="AK510" s="4"/>
      <c r="AL510" s="4"/>
      <c r="AM510" s="4"/>
      <c r="AN510" s="4"/>
      <c r="AO510" s="4"/>
      <c r="AP510" s="4"/>
      <c r="AQ510" s="4"/>
      <c r="AR510" s="4"/>
      <c r="AS510" s="4"/>
      <c r="AT510" s="4"/>
      <c r="AU510" s="4"/>
      <c r="AV510" s="4"/>
      <c r="AW510" s="4"/>
      <c r="AX510" s="4"/>
      <c r="AY510" s="4"/>
      <c r="AZ510" s="4"/>
      <c r="BA510" s="4"/>
      <c r="BB510" s="4"/>
      <c r="BC510" s="4"/>
      <c r="BD510" s="5"/>
      <c r="BE510" s="4"/>
      <c r="BF510" s="4"/>
      <c r="BG510" s="4"/>
      <c r="BH510" s="4"/>
      <c r="BI510" s="4"/>
      <c r="BJ510" s="4"/>
      <c r="BK510" s="4"/>
      <c r="BL510" s="4"/>
      <c r="BM510" s="4"/>
      <c r="BN510" s="4"/>
      <c r="BO510" s="4"/>
      <c r="BP510" s="4"/>
      <c r="BQ510" s="4"/>
      <c r="BR510" s="4"/>
      <c r="BS510" s="4"/>
    </row>
    <row r="511" spans="1:7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c r="AG511" s="3"/>
      <c r="AH511" s="4"/>
      <c r="AI511" s="4"/>
      <c r="AJ511" s="4"/>
      <c r="AK511" s="4"/>
      <c r="AL511" s="4"/>
      <c r="AM511" s="4"/>
      <c r="AN511" s="4"/>
      <c r="AO511" s="4"/>
      <c r="AP511" s="4"/>
      <c r="AQ511" s="4"/>
      <c r="AR511" s="4"/>
      <c r="AS511" s="4"/>
      <c r="AT511" s="4"/>
      <c r="AU511" s="4"/>
      <c r="AV511" s="4"/>
      <c r="AW511" s="4"/>
      <c r="AX511" s="4"/>
      <c r="AY511" s="4"/>
      <c r="AZ511" s="4"/>
      <c r="BA511" s="4"/>
      <c r="BB511" s="4"/>
      <c r="BC511" s="4"/>
      <c r="BD511" s="5"/>
      <c r="BE511" s="4"/>
      <c r="BF511" s="4"/>
      <c r="BG511" s="4"/>
      <c r="BH511" s="4"/>
      <c r="BI511" s="4"/>
      <c r="BJ511" s="4"/>
      <c r="BK511" s="4"/>
      <c r="BL511" s="4"/>
      <c r="BM511" s="4"/>
      <c r="BN511" s="4"/>
      <c r="BO511" s="4"/>
      <c r="BP511" s="4"/>
      <c r="BQ511" s="4"/>
      <c r="BR511" s="4"/>
      <c r="BS511" s="4"/>
    </row>
    <row r="512" spans="1:7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c r="AG512" s="3"/>
      <c r="AH512" s="4"/>
      <c r="AI512" s="4"/>
      <c r="AJ512" s="4"/>
      <c r="AK512" s="4"/>
      <c r="AL512" s="4"/>
      <c r="AM512" s="4"/>
      <c r="AN512" s="4"/>
      <c r="AO512" s="4"/>
      <c r="AP512" s="4"/>
      <c r="AQ512" s="4"/>
      <c r="AR512" s="4"/>
      <c r="AS512" s="4"/>
      <c r="AT512" s="4"/>
      <c r="AU512" s="4"/>
      <c r="AV512" s="4"/>
      <c r="AW512" s="4"/>
      <c r="AX512" s="4"/>
      <c r="AY512" s="4"/>
      <c r="AZ512" s="4"/>
      <c r="BA512" s="4"/>
      <c r="BB512" s="4"/>
      <c r="BC512" s="4"/>
      <c r="BD512" s="5"/>
      <c r="BE512" s="4"/>
      <c r="BF512" s="4"/>
      <c r="BG512" s="4"/>
      <c r="BH512" s="4"/>
      <c r="BI512" s="4"/>
      <c r="BJ512" s="4"/>
      <c r="BK512" s="4"/>
      <c r="BL512" s="4"/>
      <c r="BM512" s="4"/>
      <c r="BN512" s="4"/>
      <c r="BO512" s="4"/>
      <c r="BP512" s="4"/>
      <c r="BQ512" s="4"/>
      <c r="BR512" s="4"/>
      <c r="BS512" s="4"/>
    </row>
    <row r="513" spans="1:7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c r="AG513" s="3"/>
      <c r="AH513" s="4"/>
      <c r="AI513" s="4"/>
      <c r="AJ513" s="4"/>
      <c r="AK513" s="4"/>
      <c r="AL513" s="4"/>
      <c r="AM513" s="4"/>
      <c r="AN513" s="4"/>
      <c r="AO513" s="4"/>
      <c r="AP513" s="4"/>
      <c r="AQ513" s="4"/>
      <c r="AR513" s="4"/>
      <c r="AS513" s="4"/>
      <c r="AT513" s="4"/>
      <c r="AU513" s="4"/>
      <c r="AV513" s="4"/>
      <c r="AW513" s="4"/>
      <c r="AX513" s="4"/>
      <c r="AY513" s="4"/>
      <c r="AZ513" s="4"/>
      <c r="BA513" s="4"/>
      <c r="BB513" s="4"/>
      <c r="BC513" s="4"/>
      <c r="BD513" s="5"/>
      <c r="BE513" s="4"/>
      <c r="BF513" s="4"/>
      <c r="BG513" s="4"/>
      <c r="BH513" s="4"/>
      <c r="BI513" s="4"/>
      <c r="BJ513" s="4"/>
      <c r="BK513" s="4"/>
      <c r="BL513" s="4"/>
      <c r="BM513" s="4"/>
      <c r="BN513" s="4"/>
      <c r="BO513" s="4"/>
      <c r="BP513" s="4"/>
      <c r="BQ513" s="4"/>
      <c r="BR513" s="4"/>
      <c r="BS513" s="4"/>
    </row>
    <row r="514" spans="1:7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c r="AG514" s="3"/>
      <c r="AH514" s="4"/>
      <c r="AI514" s="4"/>
      <c r="AJ514" s="4"/>
      <c r="AK514" s="4"/>
      <c r="AL514" s="4"/>
      <c r="AM514" s="4"/>
      <c r="AN514" s="4"/>
      <c r="AO514" s="4"/>
      <c r="AP514" s="4"/>
      <c r="AQ514" s="4"/>
      <c r="AR514" s="4"/>
      <c r="AS514" s="4"/>
      <c r="AT514" s="4"/>
      <c r="AU514" s="4"/>
      <c r="AV514" s="4"/>
      <c r="AW514" s="4"/>
      <c r="AX514" s="4"/>
      <c r="AY514" s="4"/>
      <c r="AZ514" s="4"/>
      <c r="BA514" s="4"/>
      <c r="BB514" s="4"/>
      <c r="BC514" s="4"/>
      <c r="BD514" s="5"/>
      <c r="BE514" s="4"/>
      <c r="BF514" s="4"/>
      <c r="BG514" s="4"/>
      <c r="BH514" s="4"/>
      <c r="BI514" s="4"/>
      <c r="BJ514" s="4"/>
      <c r="BK514" s="4"/>
      <c r="BL514" s="4"/>
      <c r="BM514" s="4"/>
      <c r="BN514" s="4"/>
      <c r="BO514" s="4"/>
      <c r="BP514" s="4"/>
      <c r="BQ514" s="4"/>
      <c r="BR514" s="4"/>
      <c r="BS514" s="4"/>
    </row>
    <row r="515" spans="1:7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c r="AG515" s="3"/>
      <c r="AH515" s="4"/>
      <c r="AI515" s="4"/>
      <c r="AJ515" s="4"/>
      <c r="AK515" s="4"/>
      <c r="AL515" s="4"/>
      <c r="AM515" s="4"/>
      <c r="AN515" s="4"/>
      <c r="AO515" s="4"/>
      <c r="AP515" s="4"/>
      <c r="AQ515" s="4"/>
      <c r="AR515" s="4"/>
      <c r="AS515" s="4"/>
      <c r="AT515" s="4"/>
      <c r="AU515" s="4"/>
      <c r="AV515" s="4"/>
      <c r="AW515" s="4"/>
      <c r="AX515" s="4"/>
      <c r="AY515" s="4"/>
      <c r="AZ515" s="4"/>
      <c r="BA515" s="4"/>
      <c r="BB515" s="4"/>
      <c r="BC515" s="4"/>
      <c r="BD515" s="5"/>
      <c r="BE515" s="4"/>
      <c r="BF515" s="4"/>
      <c r="BG515" s="4"/>
      <c r="BH515" s="4"/>
      <c r="BI515" s="4"/>
      <c r="BJ515" s="4"/>
      <c r="BK515" s="4"/>
      <c r="BL515" s="4"/>
      <c r="BM515" s="4"/>
      <c r="BN515" s="4"/>
      <c r="BO515" s="4"/>
      <c r="BP515" s="4"/>
      <c r="BQ515" s="4"/>
      <c r="BR515" s="4"/>
      <c r="BS515" s="4"/>
    </row>
    <row r="516" spans="1:7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c r="AG516" s="3"/>
      <c r="AH516" s="4"/>
      <c r="AI516" s="4"/>
      <c r="AJ516" s="4"/>
      <c r="AK516" s="4"/>
      <c r="AL516" s="4"/>
      <c r="AM516" s="4"/>
      <c r="AN516" s="4"/>
      <c r="AO516" s="4"/>
      <c r="AP516" s="4"/>
      <c r="AQ516" s="4"/>
      <c r="AR516" s="4"/>
      <c r="AS516" s="4"/>
      <c r="AT516" s="4"/>
      <c r="AU516" s="4"/>
      <c r="AV516" s="4"/>
      <c r="AW516" s="4"/>
      <c r="AX516" s="4"/>
      <c r="AY516" s="4"/>
      <c r="AZ516" s="4"/>
      <c r="BA516" s="4"/>
      <c r="BB516" s="4"/>
      <c r="BC516" s="4"/>
      <c r="BD516" s="5"/>
      <c r="BE516" s="4"/>
      <c r="BF516" s="4"/>
      <c r="BG516" s="4"/>
      <c r="BH516" s="4"/>
      <c r="BI516" s="4"/>
      <c r="BJ516" s="4"/>
      <c r="BK516" s="4"/>
      <c r="BL516" s="4"/>
      <c r="BM516" s="4"/>
      <c r="BN516" s="4"/>
      <c r="BO516" s="4"/>
      <c r="BP516" s="4"/>
      <c r="BQ516" s="4"/>
      <c r="BR516" s="4"/>
      <c r="BS516" s="4"/>
    </row>
    <row r="517" spans="1:7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c r="AG517" s="3"/>
      <c r="AH517" s="4"/>
      <c r="AI517" s="4"/>
      <c r="AJ517" s="4"/>
      <c r="AK517" s="4"/>
      <c r="AL517" s="4"/>
      <c r="AM517" s="4"/>
      <c r="AN517" s="4"/>
      <c r="AO517" s="4"/>
      <c r="AP517" s="4"/>
      <c r="AQ517" s="4"/>
      <c r="AR517" s="4"/>
      <c r="AS517" s="4"/>
      <c r="AT517" s="4"/>
      <c r="AU517" s="4"/>
      <c r="AV517" s="4"/>
      <c r="AW517" s="4"/>
      <c r="AX517" s="4"/>
      <c r="AY517" s="4"/>
      <c r="AZ517" s="4"/>
      <c r="BA517" s="4"/>
      <c r="BB517" s="4"/>
      <c r="BC517" s="4"/>
      <c r="BD517" s="5"/>
      <c r="BE517" s="4"/>
      <c r="BF517" s="4"/>
      <c r="BG517" s="4"/>
      <c r="BH517" s="4"/>
      <c r="BI517" s="4"/>
      <c r="BJ517" s="4"/>
      <c r="BK517" s="4"/>
      <c r="BL517" s="4"/>
      <c r="BM517" s="4"/>
      <c r="BN517" s="4"/>
      <c r="BO517" s="4"/>
      <c r="BP517" s="4"/>
      <c r="BQ517" s="4"/>
      <c r="BR517" s="4"/>
      <c r="BS517" s="4"/>
    </row>
    <row r="518" spans="1:7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c r="AG518" s="3"/>
      <c r="AH518" s="4"/>
      <c r="AI518" s="4"/>
      <c r="AJ518" s="4"/>
      <c r="AK518" s="4"/>
      <c r="AL518" s="4"/>
      <c r="AM518" s="4"/>
      <c r="AN518" s="4"/>
      <c r="AO518" s="4"/>
      <c r="AP518" s="4"/>
      <c r="AQ518" s="4"/>
      <c r="AR518" s="4"/>
      <c r="AS518" s="4"/>
      <c r="AT518" s="4"/>
      <c r="AU518" s="4"/>
      <c r="AV518" s="4"/>
      <c r="AW518" s="4"/>
      <c r="AX518" s="4"/>
      <c r="AY518" s="4"/>
      <c r="AZ518" s="4"/>
      <c r="BA518" s="4"/>
      <c r="BB518" s="4"/>
      <c r="BC518" s="4"/>
      <c r="BD518" s="5"/>
      <c r="BE518" s="4"/>
      <c r="BF518" s="4"/>
      <c r="BG518" s="4"/>
      <c r="BH518" s="4"/>
      <c r="BI518" s="4"/>
      <c r="BJ518" s="4"/>
      <c r="BK518" s="4"/>
      <c r="BL518" s="4"/>
      <c r="BM518" s="4"/>
      <c r="BN518" s="4"/>
      <c r="BO518" s="4"/>
      <c r="BP518" s="4"/>
      <c r="BQ518" s="4"/>
      <c r="BR518" s="4"/>
      <c r="BS518" s="4"/>
    </row>
    <row r="519" spans="1:7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c r="AG519" s="3"/>
      <c r="AH519" s="4"/>
      <c r="AI519" s="4"/>
      <c r="AJ519" s="4"/>
      <c r="AK519" s="4"/>
      <c r="AL519" s="4"/>
      <c r="AM519" s="4"/>
      <c r="AN519" s="4"/>
      <c r="AO519" s="4"/>
      <c r="AP519" s="4"/>
      <c r="AQ519" s="4"/>
      <c r="AR519" s="4"/>
      <c r="AS519" s="4"/>
      <c r="AT519" s="4"/>
      <c r="AU519" s="4"/>
      <c r="AV519" s="4"/>
      <c r="AW519" s="4"/>
      <c r="AX519" s="4"/>
      <c r="AY519" s="4"/>
      <c r="AZ519" s="4"/>
      <c r="BA519" s="4"/>
      <c r="BB519" s="4"/>
      <c r="BC519" s="4"/>
      <c r="BD519" s="5"/>
      <c r="BE519" s="4"/>
      <c r="BF519" s="4"/>
      <c r="BG519" s="4"/>
      <c r="BH519" s="4"/>
      <c r="BI519" s="4"/>
      <c r="BJ519" s="4"/>
      <c r="BK519" s="4"/>
      <c r="BL519" s="4"/>
      <c r="BM519" s="4"/>
      <c r="BN519" s="4"/>
      <c r="BO519" s="4"/>
      <c r="BP519" s="4"/>
      <c r="BQ519" s="4"/>
      <c r="BR519" s="4"/>
      <c r="BS519" s="4"/>
    </row>
    <row r="520" spans="1:7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c r="AG520" s="3"/>
      <c r="AH520" s="4"/>
      <c r="AI520" s="4"/>
      <c r="AJ520" s="4"/>
      <c r="AK520" s="4"/>
      <c r="AL520" s="4"/>
      <c r="AM520" s="4"/>
      <c r="AN520" s="4"/>
      <c r="AO520" s="4"/>
      <c r="AP520" s="4"/>
      <c r="AQ520" s="4"/>
      <c r="AR520" s="4"/>
      <c r="AS520" s="4"/>
      <c r="AT520" s="4"/>
      <c r="AU520" s="4"/>
      <c r="AV520" s="4"/>
      <c r="AW520" s="4"/>
      <c r="AX520" s="4"/>
      <c r="AY520" s="4"/>
      <c r="AZ520" s="4"/>
      <c r="BA520" s="4"/>
      <c r="BB520" s="4"/>
      <c r="BC520" s="4"/>
      <c r="BD520" s="5"/>
      <c r="BE520" s="4"/>
      <c r="BF520" s="4"/>
      <c r="BG520" s="4"/>
      <c r="BH520" s="4"/>
      <c r="BI520" s="4"/>
      <c r="BJ520" s="4"/>
      <c r="BK520" s="4"/>
      <c r="BL520" s="4"/>
      <c r="BM520" s="4"/>
      <c r="BN520" s="4"/>
      <c r="BO520" s="4"/>
      <c r="BP520" s="4"/>
      <c r="BQ520" s="4"/>
      <c r="BR520" s="4"/>
      <c r="BS520" s="4"/>
    </row>
    <row r="521" spans="1:7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c r="AG521" s="3"/>
      <c r="AH521" s="4"/>
      <c r="AI521" s="4"/>
      <c r="AJ521" s="4"/>
      <c r="AK521" s="4"/>
      <c r="AL521" s="4"/>
      <c r="AM521" s="4"/>
      <c r="AN521" s="4"/>
      <c r="AO521" s="4"/>
      <c r="AP521" s="4"/>
      <c r="AQ521" s="4"/>
      <c r="AR521" s="4"/>
      <c r="AS521" s="4"/>
      <c r="AT521" s="4"/>
      <c r="AU521" s="4"/>
      <c r="AV521" s="4"/>
      <c r="AW521" s="4"/>
      <c r="AX521" s="4"/>
      <c r="AY521" s="4"/>
      <c r="AZ521" s="4"/>
      <c r="BA521" s="4"/>
      <c r="BB521" s="4"/>
      <c r="BC521" s="4"/>
      <c r="BD521" s="5"/>
      <c r="BE521" s="4"/>
      <c r="BF521" s="4"/>
      <c r="BG521" s="4"/>
      <c r="BH521" s="4"/>
      <c r="BI521" s="4"/>
      <c r="BJ521" s="4"/>
      <c r="BK521" s="4"/>
      <c r="BL521" s="4"/>
      <c r="BM521" s="4"/>
      <c r="BN521" s="4"/>
      <c r="BO521" s="4"/>
      <c r="BP521" s="4"/>
      <c r="BQ521" s="4"/>
      <c r="BR521" s="4"/>
      <c r="BS521" s="4"/>
    </row>
    <row r="522" spans="1:7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c r="AG522" s="3"/>
      <c r="AH522" s="4"/>
      <c r="AI522" s="4"/>
      <c r="AJ522" s="4"/>
      <c r="AK522" s="4"/>
      <c r="AL522" s="4"/>
      <c r="AM522" s="4"/>
      <c r="AN522" s="4"/>
      <c r="AO522" s="4"/>
      <c r="AP522" s="4"/>
      <c r="AQ522" s="4"/>
      <c r="AR522" s="4"/>
      <c r="AS522" s="4"/>
      <c r="AT522" s="4"/>
      <c r="AU522" s="4"/>
      <c r="AV522" s="4"/>
      <c r="AW522" s="4"/>
      <c r="AX522" s="4"/>
      <c r="AY522" s="4"/>
      <c r="AZ522" s="4"/>
      <c r="BA522" s="4"/>
      <c r="BB522" s="4"/>
      <c r="BC522" s="4"/>
      <c r="BD522" s="5"/>
      <c r="BE522" s="4"/>
      <c r="BF522" s="4"/>
      <c r="BG522" s="4"/>
      <c r="BH522" s="4"/>
      <c r="BI522" s="4"/>
      <c r="BJ522" s="4"/>
      <c r="BK522" s="4"/>
      <c r="BL522" s="4"/>
      <c r="BM522" s="4"/>
      <c r="BN522" s="4"/>
      <c r="BO522" s="4"/>
      <c r="BP522" s="4"/>
      <c r="BQ522" s="4"/>
      <c r="BR522" s="4"/>
      <c r="BS522" s="4"/>
    </row>
    <row r="523" spans="1:7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c r="AG523" s="3"/>
      <c r="AH523" s="4"/>
      <c r="AI523" s="4"/>
      <c r="AJ523" s="4"/>
      <c r="AK523" s="4"/>
      <c r="AL523" s="4"/>
      <c r="AM523" s="4"/>
      <c r="AN523" s="4"/>
      <c r="AO523" s="4"/>
      <c r="AP523" s="4"/>
      <c r="AQ523" s="4"/>
      <c r="AR523" s="4"/>
      <c r="AS523" s="4"/>
      <c r="AT523" s="4"/>
      <c r="AU523" s="4"/>
      <c r="AV523" s="4"/>
      <c r="AW523" s="4"/>
      <c r="AX523" s="4"/>
      <c r="AY523" s="4"/>
      <c r="AZ523" s="4"/>
      <c r="BA523" s="4"/>
      <c r="BB523" s="4"/>
      <c r="BC523" s="4"/>
      <c r="BD523" s="5"/>
      <c r="BE523" s="4"/>
      <c r="BF523" s="4"/>
      <c r="BG523" s="4"/>
      <c r="BH523" s="4"/>
      <c r="BI523" s="4"/>
      <c r="BJ523" s="4"/>
      <c r="BK523" s="4"/>
      <c r="BL523" s="4"/>
      <c r="BM523" s="4"/>
      <c r="BN523" s="4"/>
      <c r="BO523" s="4"/>
      <c r="BP523" s="4"/>
      <c r="BQ523" s="4"/>
      <c r="BR523" s="4"/>
      <c r="BS523" s="4"/>
    </row>
    <row r="524" spans="1:7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c r="AG524" s="3"/>
      <c r="AH524" s="4"/>
      <c r="AI524" s="4"/>
      <c r="AJ524" s="4"/>
      <c r="AK524" s="4"/>
      <c r="AL524" s="4"/>
      <c r="AM524" s="4"/>
      <c r="AN524" s="4"/>
      <c r="AO524" s="4"/>
      <c r="AP524" s="4"/>
      <c r="AQ524" s="4"/>
      <c r="AR524" s="4"/>
      <c r="AS524" s="4"/>
      <c r="AT524" s="4"/>
      <c r="AU524" s="4"/>
      <c r="AV524" s="4"/>
      <c r="AW524" s="4"/>
      <c r="AX524" s="4"/>
      <c r="AY524" s="4"/>
      <c r="AZ524" s="4"/>
      <c r="BA524" s="4"/>
      <c r="BB524" s="4"/>
      <c r="BC524" s="4"/>
      <c r="BD524" s="5"/>
      <c r="BE524" s="4"/>
      <c r="BF524" s="4"/>
      <c r="BG524" s="4"/>
      <c r="BH524" s="4"/>
      <c r="BI524" s="4"/>
      <c r="BJ524" s="4"/>
      <c r="BK524" s="4"/>
      <c r="BL524" s="4"/>
      <c r="BM524" s="4"/>
      <c r="BN524" s="4"/>
      <c r="BO524" s="4"/>
      <c r="BP524" s="4"/>
      <c r="BQ524" s="4"/>
      <c r="BR524" s="4"/>
      <c r="BS524" s="4"/>
    </row>
    <row r="525" spans="1:7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c r="AG525" s="3"/>
      <c r="AH525" s="4"/>
      <c r="AI525" s="4"/>
      <c r="AJ525" s="4"/>
      <c r="AK525" s="4"/>
      <c r="AL525" s="4"/>
      <c r="AM525" s="4"/>
      <c r="AN525" s="4"/>
      <c r="AO525" s="4"/>
      <c r="AP525" s="4"/>
      <c r="AQ525" s="4"/>
      <c r="AR525" s="4"/>
      <c r="AS525" s="4"/>
      <c r="AT525" s="4"/>
      <c r="AU525" s="4"/>
      <c r="AV525" s="4"/>
      <c r="AW525" s="4"/>
      <c r="AX525" s="4"/>
      <c r="AY525" s="4"/>
      <c r="AZ525" s="4"/>
      <c r="BA525" s="4"/>
      <c r="BB525" s="4"/>
      <c r="BC525" s="4"/>
      <c r="BD525" s="5"/>
      <c r="BE525" s="4"/>
      <c r="BF525" s="4"/>
      <c r="BG525" s="4"/>
      <c r="BH525" s="4"/>
      <c r="BI525" s="4"/>
      <c r="BJ525" s="4"/>
      <c r="BK525" s="4"/>
      <c r="BL525" s="4"/>
      <c r="BM525" s="4"/>
      <c r="BN525" s="4"/>
      <c r="BO525" s="4"/>
      <c r="BP525" s="4"/>
      <c r="BQ525" s="4"/>
      <c r="BR525" s="4"/>
      <c r="BS525" s="4"/>
    </row>
    <row r="526" spans="1:7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c r="AG526" s="3"/>
      <c r="AH526" s="4"/>
      <c r="AI526" s="4"/>
      <c r="AJ526" s="4"/>
      <c r="AK526" s="4"/>
      <c r="AL526" s="4"/>
      <c r="AM526" s="4"/>
      <c r="AN526" s="4"/>
      <c r="AO526" s="4"/>
      <c r="AP526" s="4"/>
      <c r="AQ526" s="4"/>
      <c r="AR526" s="4"/>
      <c r="AS526" s="4"/>
      <c r="AT526" s="4"/>
      <c r="AU526" s="4"/>
      <c r="AV526" s="4"/>
      <c r="AW526" s="4"/>
      <c r="AX526" s="4"/>
      <c r="AY526" s="4"/>
      <c r="AZ526" s="4"/>
      <c r="BA526" s="4"/>
      <c r="BB526" s="4"/>
      <c r="BC526" s="4"/>
      <c r="BD526" s="5"/>
      <c r="BE526" s="4"/>
      <c r="BF526" s="4"/>
      <c r="BG526" s="4"/>
      <c r="BH526" s="4"/>
      <c r="BI526" s="4"/>
      <c r="BJ526" s="4"/>
      <c r="BK526" s="4"/>
      <c r="BL526" s="4"/>
      <c r="BM526" s="4"/>
      <c r="BN526" s="4"/>
      <c r="BO526" s="4"/>
      <c r="BP526" s="4"/>
      <c r="BQ526" s="4"/>
      <c r="BR526" s="4"/>
      <c r="BS526" s="4"/>
    </row>
    <row r="527" spans="1:7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c r="AG527" s="3"/>
      <c r="AH527" s="4"/>
      <c r="AI527" s="4"/>
      <c r="AJ527" s="4"/>
      <c r="AK527" s="4"/>
      <c r="AL527" s="4"/>
      <c r="AM527" s="4"/>
      <c r="AN527" s="4"/>
      <c r="AO527" s="4"/>
      <c r="AP527" s="4"/>
      <c r="AQ527" s="4"/>
      <c r="AR527" s="4"/>
      <c r="AS527" s="4"/>
      <c r="AT527" s="4"/>
      <c r="AU527" s="4"/>
      <c r="AV527" s="4"/>
      <c r="AW527" s="4"/>
      <c r="AX527" s="4"/>
      <c r="AY527" s="4"/>
      <c r="AZ527" s="4"/>
      <c r="BA527" s="4"/>
      <c r="BB527" s="4"/>
      <c r="BC527" s="4"/>
      <c r="BD527" s="5"/>
      <c r="BE527" s="4"/>
      <c r="BF527" s="4"/>
      <c r="BG527" s="4"/>
      <c r="BH527" s="4"/>
      <c r="BI527" s="4"/>
      <c r="BJ527" s="4"/>
      <c r="BK527" s="4"/>
      <c r="BL527" s="4"/>
      <c r="BM527" s="4"/>
      <c r="BN527" s="4"/>
      <c r="BO527" s="4"/>
      <c r="BP527" s="4"/>
      <c r="BQ527" s="4"/>
      <c r="BR527" s="4"/>
      <c r="BS527" s="4"/>
    </row>
    <row r="528" spans="1:7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c r="AG528" s="3"/>
      <c r="AH528" s="4"/>
      <c r="AI528" s="4"/>
      <c r="AJ528" s="4"/>
      <c r="AK528" s="4"/>
      <c r="AL528" s="4"/>
      <c r="AM528" s="4"/>
      <c r="AN528" s="4"/>
      <c r="AO528" s="4"/>
      <c r="AP528" s="4"/>
      <c r="AQ528" s="4"/>
      <c r="AR528" s="4"/>
      <c r="AS528" s="4"/>
      <c r="AT528" s="4"/>
      <c r="AU528" s="4"/>
      <c r="AV528" s="4"/>
      <c r="AW528" s="4"/>
      <c r="AX528" s="4"/>
      <c r="AY528" s="4"/>
      <c r="AZ528" s="4"/>
      <c r="BA528" s="4"/>
      <c r="BB528" s="4"/>
      <c r="BC528" s="4"/>
      <c r="BD528" s="5"/>
      <c r="BE528" s="4"/>
      <c r="BF528" s="4"/>
      <c r="BG528" s="4"/>
      <c r="BH528" s="4"/>
      <c r="BI528" s="4"/>
      <c r="BJ528" s="4"/>
      <c r="BK528" s="4"/>
      <c r="BL528" s="4"/>
      <c r="BM528" s="4"/>
      <c r="BN528" s="4"/>
      <c r="BO528" s="4"/>
      <c r="BP528" s="4"/>
      <c r="BQ528" s="4"/>
      <c r="BR528" s="4"/>
      <c r="BS528" s="4"/>
    </row>
    <row r="529" spans="1:7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c r="AG529" s="3"/>
      <c r="AH529" s="4"/>
      <c r="AI529" s="4"/>
      <c r="AJ529" s="4"/>
      <c r="AK529" s="4"/>
      <c r="AL529" s="4"/>
      <c r="AM529" s="4"/>
      <c r="AN529" s="4"/>
      <c r="AO529" s="4"/>
      <c r="AP529" s="4"/>
      <c r="AQ529" s="4"/>
      <c r="AR529" s="4"/>
      <c r="AS529" s="4"/>
      <c r="AT529" s="4"/>
      <c r="AU529" s="4"/>
      <c r="AV529" s="4"/>
      <c r="AW529" s="4"/>
      <c r="AX529" s="4"/>
      <c r="AY529" s="4"/>
      <c r="AZ529" s="4"/>
      <c r="BA529" s="4"/>
      <c r="BB529" s="4"/>
      <c r="BC529" s="4"/>
      <c r="BD529" s="5"/>
      <c r="BE529" s="4"/>
      <c r="BF529" s="4"/>
      <c r="BG529" s="4"/>
      <c r="BH529" s="4"/>
      <c r="BI529" s="4"/>
      <c r="BJ529" s="4"/>
      <c r="BK529" s="4"/>
      <c r="BL529" s="4"/>
      <c r="BM529" s="4"/>
      <c r="BN529" s="4"/>
      <c r="BO529" s="4"/>
      <c r="BP529" s="4"/>
      <c r="BQ529" s="4"/>
      <c r="BR529" s="4"/>
      <c r="BS529" s="4"/>
    </row>
    <row r="530" spans="1:7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c r="AG530" s="3"/>
      <c r="AH530" s="4"/>
      <c r="AI530" s="4"/>
      <c r="AJ530" s="4"/>
      <c r="AK530" s="4"/>
      <c r="AL530" s="4"/>
      <c r="AM530" s="4"/>
      <c r="AN530" s="4"/>
      <c r="AO530" s="4"/>
      <c r="AP530" s="4"/>
      <c r="AQ530" s="4"/>
      <c r="AR530" s="4"/>
      <c r="AS530" s="4"/>
      <c r="AT530" s="4"/>
      <c r="AU530" s="4"/>
      <c r="AV530" s="4"/>
      <c r="AW530" s="4"/>
      <c r="AX530" s="4"/>
      <c r="AY530" s="4"/>
      <c r="AZ530" s="4"/>
      <c r="BA530" s="4"/>
      <c r="BB530" s="4"/>
      <c r="BC530" s="4"/>
      <c r="BD530" s="5"/>
      <c r="BE530" s="4"/>
      <c r="BF530" s="4"/>
      <c r="BG530" s="4"/>
      <c r="BH530" s="4"/>
      <c r="BI530" s="4"/>
      <c r="BJ530" s="4"/>
      <c r="BK530" s="4"/>
      <c r="BL530" s="4"/>
      <c r="BM530" s="4"/>
      <c r="BN530" s="4"/>
      <c r="BO530" s="4"/>
      <c r="BP530" s="4"/>
      <c r="BQ530" s="4"/>
      <c r="BR530" s="4"/>
      <c r="BS530" s="4"/>
    </row>
    <row r="531" spans="1:7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c r="AG531" s="3"/>
      <c r="AH531" s="4"/>
      <c r="AI531" s="4"/>
      <c r="AJ531" s="4"/>
      <c r="AK531" s="4"/>
      <c r="AL531" s="4"/>
      <c r="AM531" s="4"/>
      <c r="AN531" s="4"/>
      <c r="AO531" s="4"/>
      <c r="AP531" s="4"/>
      <c r="AQ531" s="4"/>
      <c r="AR531" s="4"/>
      <c r="AS531" s="4"/>
      <c r="AT531" s="4"/>
      <c r="AU531" s="4"/>
      <c r="AV531" s="4"/>
      <c r="AW531" s="4"/>
      <c r="AX531" s="4"/>
      <c r="AY531" s="4"/>
      <c r="AZ531" s="4"/>
      <c r="BA531" s="4"/>
      <c r="BB531" s="4"/>
      <c r="BC531" s="4"/>
      <c r="BD531" s="5"/>
      <c r="BE531" s="4"/>
      <c r="BF531" s="4"/>
      <c r="BG531" s="4"/>
      <c r="BH531" s="4"/>
      <c r="BI531" s="4"/>
      <c r="BJ531" s="4"/>
      <c r="BK531" s="4"/>
      <c r="BL531" s="4"/>
      <c r="BM531" s="4"/>
      <c r="BN531" s="4"/>
      <c r="BO531" s="4"/>
      <c r="BP531" s="4"/>
      <c r="BQ531" s="4"/>
      <c r="BR531" s="4"/>
      <c r="BS531" s="4"/>
    </row>
    <row r="532" spans="1:7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c r="AG532" s="3"/>
      <c r="AH532" s="4"/>
      <c r="AI532" s="4"/>
      <c r="AJ532" s="4"/>
      <c r="AK532" s="4"/>
      <c r="AL532" s="4"/>
      <c r="AM532" s="4"/>
      <c r="AN532" s="4"/>
      <c r="AO532" s="4"/>
      <c r="AP532" s="4"/>
      <c r="AQ532" s="4"/>
      <c r="AR532" s="4"/>
      <c r="AS532" s="4"/>
      <c r="AT532" s="4"/>
      <c r="AU532" s="4"/>
      <c r="AV532" s="4"/>
      <c r="AW532" s="4"/>
      <c r="AX532" s="4"/>
      <c r="AY532" s="4"/>
      <c r="AZ532" s="4"/>
      <c r="BA532" s="4"/>
      <c r="BB532" s="4"/>
      <c r="BC532" s="4"/>
      <c r="BD532" s="5"/>
      <c r="BE532" s="4"/>
      <c r="BF532" s="4"/>
      <c r="BG532" s="4"/>
      <c r="BH532" s="4"/>
      <c r="BI532" s="4"/>
      <c r="BJ532" s="4"/>
      <c r="BK532" s="4"/>
      <c r="BL532" s="4"/>
      <c r="BM532" s="4"/>
      <c r="BN532" s="4"/>
      <c r="BO532" s="4"/>
      <c r="BP532" s="4"/>
      <c r="BQ532" s="4"/>
      <c r="BR532" s="4"/>
      <c r="BS532" s="4"/>
    </row>
    <row r="533" spans="1:7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c r="AG533" s="3"/>
      <c r="AH533" s="4"/>
      <c r="AI533" s="4"/>
      <c r="AJ533" s="4"/>
      <c r="AK533" s="4"/>
      <c r="AL533" s="4"/>
      <c r="AM533" s="4"/>
      <c r="AN533" s="4"/>
      <c r="AO533" s="4"/>
      <c r="AP533" s="4"/>
      <c r="AQ533" s="4"/>
      <c r="AR533" s="4"/>
      <c r="AS533" s="4"/>
      <c r="AT533" s="4"/>
      <c r="AU533" s="4"/>
      <c r="AV533" s="4"/>
      <c r="AW533" s="4"/>
      <c r="AX533" s="4"/>
      <c r="AY533" s="4"/>
      <c r="AZ533" s="4"/>
      <c r="BA533" s="4"/>
      <c r="BB533" s="4"/>
      <c r="BC533" s="4"/>
      <c r="BD533" s="5"/>
      <c r="BE533" s="4"/>
      <c r="BF533" s="4"/>
      <c r="BG533" s="4"/>
      <c r="BH533" s="4"/>
      <c r="BI533" s="4"/>
      <c r="BJ533" s="4"/>
      <c r="BK533" s="4"/>
      <c r="BL533" s="4"/>
      <c r="BM533" s="4"/>
      <c r="BN533" s="4"/>
      <c r="BO533" s="4"/>
      <c r="BP533" s="4"/>
      <c r="BQ533" s="4"/>
      <c r="BR533" s="4"/>
      <c r="BS533" s="4"/>
    </row>
    <row r="534" spans="1:7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c r="AG534" s="3"/>
      <c r="AH534" s="4"/>
      <c r="AI534" s="4"/>
      <c r="AJ534" s="4"/>
      <c r="AK534" s="4"/>
      <c r="AL534" s="4"/>
      <c r="AM534" s="4"/>
      <c r="AN534" s="4"/>
      <c r="AO534" s="4"/>
      <c r="AP534" s="4"/>
      <c r="AQ534" s="4"/>
      <c r="AR534" s="4"/>
      <c r="AS534" s="4"/>
      <c r="AT534" s="4"/>
      <c r="AU534" s="4"/>
      <c r="AV534" s="4"/>
      <c r="AW534" s="4"/>
      <c r="AX534" s="4"/>
      <c r="AY534" s="4"/>
      <c r="AZ534" s="4"/>
      <c r="BA534" s="4"/>
      <c r="BB534" s="4"/>
      <c r="BC534" s="4"/>
      <c r="BD534" s="5"/>
      <c r="BE534" s="4"/>
      <c r="BF534" s="4"/>
      <c r="BG534" s="4"/>
      <c r="BH534" s="4"/>
      <c r="BI534" s="4"/>
      <c r="BJ534" s="4"/>
      <c r="BK534" s="4"/>
      <c r="BL534" s="4"/>
      <c r="BM534" s="4"/>
      <c r="BN534" s="4"/>
      <c r="BO534" s="4"/>
      <c r="BP534" s="4"/>
      <c r="BQ534" s="4"/>
      <c r="BR534" s="4"/>
      <c r="BS534" s="4"/>
    </row>
    <row r="535" spans="1:7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c r="AG535" s="3"/>
      <c r="AH535" s="4"/>
      <c r="AI535" s="4"/>
      <c r="AJ535" s="4"/>
      <c r="AK535" s="4"/>
      <c r="AL535" s="4"/>
      <c r="AM535" s="4"/>
      <c r="AN535" s="4"/>
      <c r="AO535" s="4"/>
      <c r="AP535" s="4"/>
      <c r="AQ535" s="4"/>
      <c r="AR535" s="4"/>
      <c r="AS535" s="4"/>
      <c r="AT535" s="4"/>
      <c r="AU535" s="4"/>
      <c r="AV535" s="4"/>
      <c r="AW535" s="4"/>
      <c r="AX535" s="4"/>
      <c r="AY535" s="4"/>
      <c r="AZ535" s="4"/>
      <c r="BA535" s="4"/>
      <c r="BB535" s="4"/>
      <c r="BC535" s="4"/>
      <c r="BD535" s="5"/>
      <c r="BE535" s="4"/>
      <c r="BF535" s="4"/>
      <c r="BG535" s="4"/>
      <c r="BH535" s="4"/>
      <c r="BI535" s="4"/>
      <c r="BJ535" s="4"/>
      <c r="BK535" s="4"/>
      <c r="BL535" s="4"/>
      <c r="BM535" s="4"/>
      <c r="BN535" s="4"/>
      <c r="BO535" s="4"/>
      <c r="BP535" s="4"/>
      <c r="BQ535" s="4"/>
      <c r="BR535" s="4"/>
      <c r="BS535" s="4"/>
    </row>
    <row r="536" spans="1:7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c r="AG536" s="3"/>
      <c r="AH536" s="4"/>
      <c r="AI536" s="4"/>
      <c r="AJ536" s="4"/>
      <c r="AK536" s="4"/>
      <c r="AL536" s="4"/>
      <c r="AM536" s="4"/>
      <c r="AN536" s="4"/>
      <c r="AO536" s="4"/>
      <c r="AP536" s="4"/>
      <c r="AQ536" s="4"/>
      <c r="AR536" s="4"/>
      <c r="AS536" s="4"/>
      <c r="AT536" s="4"/>
      <c r="AU536" s="4"/>
      <c r="AV536" s="4"/>
      <c r="AW536" s="4"/>
      <c r="AX536" s="4"/>
      <c r="AY536" s="4"/>
      <c r="AZ536" s="4"/>
      <c r="BA536" s="4"/>
      <c r="BB536" s="4"/>
      <c r="BC536" s="4"/>
      <c r="BD536" s="5"/>
      <c r="BE536" s="4"/>
      <c r="BF536" s="4"/>
      <c r="BG536" s="4"/>
      <c r="BH536" s="4"/>
      <c r="BI536" s="4"/>
      <c r="BJ536" s="4"/>
      <c r="BK536" s="4"/>
      <c r="BL536" s="4"/>
      <c r="BM536" s="4"/>
      <c r="BN536" s="4"/>
      <c r="BO536" s="4"/>
      <c r="BP536" s="4"/>
      <c r="BQ536" s="4"/>
      <c r="BR536" s="4"/>
      <c r="BS536" s="4"/>
    </row>
    <row r="537" spans="1:7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c r="AG537" s="3"/>
      <c r="AH537" s="4"/>
      <c r="AI537" s="4"/>
      <c r="AJ537" s="4"/>
      <c r="AK537" s="4"/>
      <c r="AL537" s="4"/>
      <c r="AM537" s="4"/>
      <c r="AN537" s="4"/>
      <c r="AO537" s="4"/>
      <c r="AP537" s="4"/>
      <c r="AQ537" s="4"/>
      <c r="AR537" s="4"/>
      <c r="AS537" s="4"/>
      <c r="AT537" s="4"/>
      <c r="AU537" s="4"/>
      <c r="AV537" s="4"/>
      <c r="AW537" s="4"/>
      <c r="AX537" s="4"/>
      <c r="AY537" s="4"/>
      <c r="AZ537" s="4"/>
      <c r="BA537" s="4"/>
      <c r="BB537" s="4"/>
      <c r="BC537" s="4"/>
      <c r="BD537" s="5"/>
      <c r="BE537" s="4"/>
      <c r="BF537" s="4"/>
      <c r="BG537" s="4"/>
      <c r="BH537" s="4"/>
      <c r="BI537" s="4"/>
      <c r="BJ537" s="4"/>
      <c r="BK537" s="4"/>
      <c r="BL537" s="4"/>
      <c r="BM537" s="4"/>
      <c r="BN537" s="4"/>
      <c r="BO537" s="4"/>
      <c r="BP537" s="4"/>
      <c r="BQ537" s="4"/>
      <c r="BR537" s="4"/>
      <c r="BS537" s="4"/>
    </row>
    <row r="538" spans="1:7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c r="AG538" s="3"/>
      <c r="AH538" s="4"/>
      <c r="AI538" s="4"/>
      <c r="AJ538" s="4"/>
      <c r="AK538" s="4"/>
      <c r="AL538" s="4"/>
      <c r="AM538" s="4"/>
      <c r="AN538" s="4"/>
      <c r="AO538" s="4"/>
      <c r="AP538" s="4"/>
      <c r="AQ538" s="4"/>
      <c r="AR538" s="4"/>
      <c r="AS538" s="4"/>
      <c r="AT538" s="4"/>
      <c r="AU538" s="4"/>
      <c r="AV538" s="4"/>
      <c r="AW538" s="4"/>
      <c r="AX538" s="4"/>
      <c r="AY538" s="4"/>
      <c r="AZ538" s="4"/>
      <c r="BA538" s="4"/>
      <c r="BB538" s="4"/>
      <c r="BC538" s="4"/>
      <c r="BD538" s="5"/>
      <c r="BE538" s="4"/>
      <c r="BF538" s="4"/>
      <c r="BG538" s="4"/>
      <c r="BH538" s="4"/>
      <c r="BI538" s="4"/>
      <c r="BJ538" s="4"/>
      <c r="BK538" s="4"/>
      <c r="BL538" s="4"/>
      <c r="BM538" s="4"/>
      <c r="BN538" s="4"/>
      <c r="BO538" s="4"/>
      <c r="BP538" s="4"/>
      <c r="BQ538" s="4"/>
      <c r="BR538" s="4"/>
      <c r="BS538" s="4"/>
    </row>
    <row r="539" spans="1:7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c r="AG539" s="3"/>
      <c r="AH539" s="4"/>
      <c r="AI539" s="4"/>
      <c r="AJ539" s="4"/>
      <c r="AK539" s="4"/>
      <c r="AL539" s="4"/>
      <c r="AM539" s="4"/>
      <c r="AN539" s="4"/>
      <c r="AO539" s="4"/>
      <c r="AP539" s="4"/>
      <c r="AQ539" s="4"/>
      <c r="AR539" s="4"/>
      <c r="AS539" s="4"/>
      <c r="AT539" s="4"/>
      <c r="AU539" s="4"/>
      <c r="AV539" s="4"/>
      <c r="AW539" s="4"/>
      <c r="AX539" s="4"/>
      <c r="AY539" s="4"/>
      <c r="AZ539" s="4"/>
      <c r="BA539" s="4"/>
      <c r="BB539" s="4"/>
      <c r="BC539" s="4"/>
      <c r="BD539" s="5"/>
      <c r="BE539" s="4"/>
      <c r="BF539" s="4"/>
      <c r="BG539" s="4"/>
      <c r="BH539" s="4"/>
      <c r="BI539" s="4"/>
      <c r="BJ539" s="4"/>
      <c r="BK539" s="4"/>
      <c r="BL539" s="4"/>
      <c r="BM539" s="4"/>
      <c r="BN539" s="4"/>
      <c r="BO539" s="4"/>
      <c r="BP539" s="4"/>
      <c r="BQ539" s="4"/>
      <c r="BR539" s="4"/>
      <c r="BS539" s="4"/>
    </row>
    <row r="540" spans="1:7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c r="AG540" s="3"/>
      <c r="AH540" s="4"/>
      <c r="AI540" s="4"/>
      <c r="AJ540" s="4"/>
      <c r="AK540" s="4"/>
      <c r="AL540" s="4"/>
      <c r="AM540" s="4"/>
      <c r="AN540" s="4"/>
      <c r="AO540" s="4"/>
      <c r="AP540" s="4"/>
      <c r="AQ540" s="4"/>
      <c r="AR540" s="4"/>
      <c r="AS540" s="4"/>
      <c r="AT540" s="4"/>
      <c r="AU540" s="4"/>
      <c r="AV540" s="4"/>
      <c r="AW540" s="4"/>
      <c r="AX540" s="4"/>
      <c r="AY540" s="4"/>
      <c r="AZ540" s="4"/>
      <c r="BA540" s="4"/>
      <c r="BB540" s="4"/>
      <c r="BC540" s="4"/>
      <c r="BD540" s="5"/>
      <c r="BE540" s="4"/>
      <c r="BF540" s="4"/>
      <c r="BG540" s="4"/>
      <c r="BH540" s="4"/>
      <c r="BI540" s="4"/>
      <c r="BJ540" s="4"/>
      <c r="BK540" s="4"/>
      <c r="BL540" s="4"/>
      <c r="BM540" s="4"/>
      <c r="BN540" s="4"/>
      <c r="BO540" s="4"/>
      <c r="BP540" s="4"/>
      <c r="BQ540" s="4"/>
      <c r="BR540" s="4"/>
      <c r="BS540" s="4"/>
    </row>
    <row r="541" spans="1:7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c r="AG541" s="3"/>
      <c r="AH541" s="4"/>
      <c r="AI541" s="4"/>
      <c r="AJ541" s="4"/>
      <c r="AK541" s="4"/>
      <c r="AL541" s="4"/>
      <c r="AM541" s="4"/>
      <c r="AN541" s="4"/>
      <c r="AO541" s="4"/>
      <c r="AP541" s="4"/>
      <c r="AQ541" s="4"/>
      <c r="AR541" s="4"/>
      <c r="AS541" s="4"/>
      <c r="AT541" s="4"/>
      <c r="AU541" s="4"/>
      <c r="AV541" s="4"/>
      <c r="AW541" s="4"/>
      <c r="AX541" s="4"/>
      <c r="AY541" s="4"/>
      <c r="AZ541" s="4"/>
      <c r="BA541" s="4"/>
      <c r="BB541" s="4"/>
      <c r="BC541" s="4"/>
      <c r="BD541" s="5"/>
      <c r="BE541" s="4"/>
      <c r="BF541" s="4"/>
      <c r="BG541" s="4"/>
      <c r="BH541" s="4"/>
      <c r="BI541" s="4"/>
      <c r="BJ541" s="4"/>
      <c r="BK541" s="4"/>
      <c r="BL541" s="4"/>
      <c r="BM541" s="4"/>
      <c r="BN541" s="4"/>
      <c r="BO541" s="4"/>
      <c r="BP541" s="4"/>
      <c r="BQ541" s="4"/>
      <c r="BR541" s="4"/>
      <c r="BS541" s="4"/>
    </row>
    <row r="542" spans="1:7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c r="AG542" s="3"/>
      <c r="AH542" s="4"/>
      <c r="AI542" s="4"/>
      <c r="AJ542" s="4"/>
      <c r="AK542" s="4"/>
      <c r="AL542" s="4"/>
      <c r="AM542" s="4"/>
      <c r="AN542" s="4"/>
      <c r="AO542" s="4"/>
      <c r="AP542" s="4"/>
      <c r="AQ542" s="4"/>
      <c r="AR542" s="4"/>
      <c r="AS542" s="4"/>
      <c r="AT542" s="4"/>
      <c r="AU542" s="4"/>
      <c r="AV542" s="4"/>
      <c r="AW542" s="4"/>
      <c r="AX542" s="4"/>
      <c r="AY542" s="4"/>
      <c r="AZ542" s="4"/>
      <c r="BA542" s="4"/>
      <c r="BB542" s="4"/>
      <c r="BC542" s="4"/>
      <c r="BD542" s="5"/>
      <c r="BE542" s="4"/>
      <c r="BF542" s="4"/>
      <c r="BG542" s="4"/>
      <c r="BH542" s="4"/>
      <c r="BI542" s="4"/>
      <c r="BJ542" s="4"/>
      <c r="BK542" s="4"/>
      <c r="BL542" s="4"/>
      <c r="BM542" s="4"/>
      <c r="BN542" s="4"/>
      <c r="BO542" s="4"/>
      <c r="BP542" s="4"/>
      <c r="BQ542" s="4"/>
      <c r="BR542" s="4"/>
      <c r="BS542" s="4"/>
    </row>
    <row r="543" spans="1:7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c r="AG543" s="3"/>
      <c r="AH543" s="4"/>
      <c r="AI543" s="4"/>
      <c r="AJ543" s="4"/>
      <c r="AK543" s="4"/>
      <c r="AL543" s="4"/>
      <c r="AM543" s="4"/>
      <c r="AN543" s="4"/>
      <c r="AO543" s="4"/>
      <c r="AP543" s="4"/>
      <c r="AQ543" s="4"/>
      <c r="AR543" s="4"/>
      <c r="AS543" s="4"/>
      <c r="AT543" s="4"/>
      <c r="AU543" s="4"/>
      <c r="AV543" s="4"/>
      <c r="AW543" s="4"/>
      <c r="AX543" s="4"/>
      <c r="AY543" s="4"/>
      <c r="AZ543" s="4"/>
      <c r="BA543" s="4"/>
      <c r="BB543" s="4"/>
      <c r="BC543" s="4"/>
      <c r="BD543" s="5"/>
      <c r="BE543" s="4"/>
      <c r="BF543" s="4"/>
      <c r="BG543" s="4"/>
      <c r="BH543" s="4"/>
      <c r="BI543" s="4"/>
      <c r="BJ543" s="4"/>
      <c r="BK543" s="4"/>
      <c r="BL543" s="4"/>
      <c r="BM543" s="4"/>
      <c r="BN543" s="4"/>
      <c r="BO543" s="4"/>
      <c r="BP543" s="4"/>
      <c r="BQ543" s="4"/>
      <c r="BR543" s="4"/>
      <c r="BS543" s="4"/>
    </row>
    <row r="544" spans="1:7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c r="AG544" s="3"/>
      <c r="AH544" s="4"/>
      <c r="AI544" s="4"/>
      <c r="AJ544" s="4"/>
      <c r="AK544" s="4"/>
      <c r="AL544" s="4"/>
      <c r="AM544" s="4"/>
      <c r="AN544" s="4"/>
      <c r="AO544" s="4"/>
      <c r="AP544" s="4"/>
      <c r="AQ544" s="4"/>
      <c r="AR544" s="4"/>
      <c r="AS544" s="4"/>
      <c r="AT544" s="4"/>
      <c r="AU544" s="4"/>
      <c r="AV544" s="4"/>
      <c r="AW544" s="4"/>
      <c r="AX544" s="4"/>
      <c r="AY544" s="4"/>
      <c r="AZ544" s="4"/>
      <c r="BA544" s="4"/>
      <c r="BB544" s="4"/>
      <c r="BC544" s="4"/>
      <c r="BD544" s="5"/>
      <c r="BE544" s="4"/>
      <c r="BF544" s="4"/>
      <c r="BG544" s="4"/>
      <c r="BH544" s="4"/>
      <c r="BI544" s="4"/>
      <c r="BJ544" s="4"/>
      <c r="BK544" s="4"/>
      <c r="BL544" s="4"/>
      <c r="BM544" s="4"/>
      <c r="BN544" s="4"/>
      <c r="BO544" s="4"/>
      <c r="BP544" s="4"/>
      <c r="BQ544" s="4"/>
      <c r="BR544" s="4"/>
      <c r="BS544" s="4"/>
    </row>
    <row r="545" spans="1:7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c r="AG545" s="3"/>
      <c r="AH545" s="4"/>
      <c r="AI545" s="4"/>
      <c r="AJ545" s="4"/>
      <c r="AK545" s="4"/>
      <c r="AL545" s="4"/>
      <c r="AM545" s="4"/>
      <c r="AN545" s="4"/>
      <c r="AO545" s="4"/>
      <c r="AP545" s="4"/>
      <c r="AQ545" s="4"/>
      <c r="AR545" s="4"/>
      <c r="AS545" s="4"/>
      <c r="AT545" s="4"/>
      <c r="AU545" s="4"/>
      <c r="AV545" s="4"/>
      <c r="AW545" s="4"/>
      <c r="AX545" s="4"/>
      <c r="AY545" s="4"/>
      <c r="AZ545" s="4"/>
      <c r="BA545" s="4"/>
      <c r="BB545" s="4"/>
      <c r="BC545" s="4"/>
      <c r="BD545" s="5"/>
      <c r="BE545" s="4"/>
      <c r="BF545" s="4"/>
      <c r="BG545" s="4"/>
      <c r="BH545" s="4"/>
      <c r="BI545" s="4"/>
      <c r="BJ545" s="4"/>
      <c r="BK545" s="4"/>
      <c r="BL545" s="4"/>
      <c r="BM545" s="4"/>
      <c r="BN545" s="4"/>
      <c r="BO545" s="4"/>
      <c r="BP545" s="4"/>
      <c r="BQ545" s="4"/>
      <c r="BR545" s="4"/>
      <c r="BS545" s="4"/>
    </row>
    <row r="546" spans="1:7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c r="AG546" s="3"/>
      <c r="AH546" s="4"/>
      <c r="AI546" s="4"/>
      <c r="AJ546" s="4"/>
      <c r="AK546" s="4"/>
      <c r="AL546" s="4"/>
      <c r="AM546" s="4"/>
      <c r="AN546" s="4"/>
      <c r="AO546" s="4"/>
      <c r="AP546" s="4"/>
      <c r="AQ546" s="4"/>
      <c r="AR546" s="4"/>
      <c r="AS546" s="4"/>
      <c r="AT546" s="4"/>
      <c r="AU546" s="4"/>
      <c r="AV546" s="4"/>
      <c r="AW546" s="4"/>
      <c r="AX546" s="4"/>
      <c r="AY546" s="4"/>
      <c r="AZ546" s="4"/>
      <c r="BA546" s="4"/>
      <c r="BB546" s="4"/>
      <c r="BC546" s="4"/>
      <c r="BD546" s="5"/>
      <c r="BE546" s="4"/>
      <c r="BF546" s="4"/>
      <c r="BG546" s="4"/>
      <c r="BH546" s="4"/>
      <c r="BI546" s="4"/>
      <c r="BJ546" s="4"/>
      <c r="BK546" s="4"/>
      <c r="BL546" s="4"/>
      <c r="BM546" s="4"/>
      <c r="BN546" s="4"/>
      <c r="BO546" s="4"/>
      <c r="BP546" s="4"/>
      <c r="BQ546" s="4"/>
      <c r="BR546" s="4"/>
      <c r="BS546" s="4"/>
    </row>
    <row r="547" spans="1:7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c r="AG547" s="3"/>
      <c r="AH547" s="4"/>
      <c r="AI547" s="4"/>
      <c r="AJ547" s="4"/>
      <c r="AK547" s="4"/>
      <c r="AL547" s="4"/>
      <c r="AM547" s="4"/>
      <c r="AN547" s="4"/>
      <c r="AO547" s="4"/>
      <c r="AP547" s="4"/>
      <c r="AQ547" s="4"/>
      <c r="AR547" s="4"/>
      <c r="AS547" s="4"/>
      <c r="AT547" s="4"/>
      <c r="AU547" s="4"/>
      <c r="AV547" s="4"/>
      <c r="AW547" s="4"/>
      <c r="AX547" s="4"/>
      <c r="AY547" s="4"/>
      <c r="AZ547" s="4"/>
      <c r="BA547" s="4"/>
      <c r="BB547" s="4"/>
      <c r="BC547" s="4"/>
      <c r="BD547" s="5"/>
      <c r="BE547" s="4"/>
      <c r="BF547" s="4"/>
      <c r="BG547" s="4"/>
      <c r="BH547" s="4"/>
      <c r="BI547" s="4"/>
      <c r="BJ547" s="4"/>
      <c r="BK547" s="4"/>
      <c r="BL547" s="4"/>
      <c r="BM547" s="4"/>
      <c r="BN547" s="4"/>
      <c r="BO547" s="4"/>
      <c r="BP547" s="4"/>
      <c r="BQ547" s="4"/>
      <c r="BR547" s="4"/>
      <c r="BS547" s="4"/>
    </row>
    <row r="548" spans="1:7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c r="AG548" s="3"/>
      <c r="AH548" s="4"/>
      <c r="AI548" s="4"/>
      <c r="AJ548" s="4"/>
      <c r="AK548" s="4"/>
      <c r="AL548" s="4"/>
      <c r="AM548" s="4"/>
      <c r="AN548" s="4"/>
      <c r="AO548" s="4"/>
      <c r="AP548" s="4"/>
      <c r="AQ548" s="4"/>
      <c r="AR548" s="4"/>
      <c r="AS548" s="4"/>
      <c r="AT548" s="4"/>
      <c r="AU548" s="4"/>
      <c r="AV548" s="4"/>
      <c r="AW548" s="4"/>
      <c r="AX548" s="4"/>
      <c r="AY548" s="4"/>
      <c r="AZ548" s="4"/>
      <c r="BA548" s="4"/>
      <c r="BB548" s="4"/>
      <c r="BC548" s="4"/>
      <c r="BD548" s="5"/>
      <c r="BE548" s="4"/>
      <c r="BF548" s="4"/>
      <c r="BG548" s="4"/>
      <c r="BH548" s="4"/>
      <c r="BI548" s="4"/>
      <c r="BJ548" s="4"/>
      <c r="BK548" s="4"/>
      <c r="BL548" s="4"/>
      <c r="BM548" s="4"/>
      <c r="BN548" s="4"/>
      <c r="BO548" s="4"/>
      <c r="BP548" s="4"/>
      <c r="BQ548" s="4"/>
      <c r="BR548" s="4"/>
      <c r="BS548" s="4"/>
    </row>
    <row r="549" spans="1:7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c r="AG549" s="3"/>
      <c r="AH549" s="4"/>
      <c r="AI549" s="4"/>
      <c r="AJ549" s="4"/>
      <c r="AK549" s="4"/>
      <c r="AL549" s="4"/>
      <c r="AM549" s="4"/>
      <c r="AN549" s="4"/>
      <c r="AO549" s="4"/>
      <c r="AP549" s="4"/>
      <c r="AQ549" s="4"/>
      <c r="AR549" s="4"/>
      <c r="AS549" s="4"/>
      <c r="AT549" s="4"/>
      <c r="AU549" s="4"/>
      <c r="AV549" s="4"/>
      <c r="AW549" s="4"/>
      <c r="AX549" s="4"/>
      <c r="AY549" s="4"/>
      <c r="AZ549" s="4"/>
      <c r="BA549" s="4"/>
      <c r="BB549" s="4"/>
      <c r="BC549" s="4"/>
      <c r="BD549" s="5"/>
      <c r="BE549" s="4"/>
      <c r="BF549" s="4"/>
      <c r="BG549" s="4"/>
      <c r="BH549" s="4"/>
      <c r="BI549" s="4"/>
      <c r="BJ549" s="4"/>
      <c r="BK549" s="4"/>
      <c r="BL549" s="4"/>
      <c r="BM549" s="4"/>
      <c r="BN549" s="4"/>
      <c r="BO549" s="4"/>
      <c r="BP549" s="4"/>
      <c r="BQ549" s="4"/>
      <c r="BR549" s="4"/>
      <c r="BS549" s="4"/>
    </row>
    <row r="550" spans="1:7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c r="AG550" s="3"/>
      <c r="AH550" s="4"/>
      <c r="AI550" s="4"/>
      <c r="AJ550" s="4"/>
      <c r="AK550" s="4"/>
      <c r="AL550" s="4"/>
      <c r="AM550" s="4"/>
      <c r="AN550" s="4"/>
      <c r="AO550" s="4"/>
      <c r="AP550" s="4"/>
      <c r="AQ550" s="4"/>
      <c r="AR550" s="4"/>
      <c r="AS550" s="4"/>
      <c r="AT550" s="4"/>
      <c r="AU550" s="4"/>
      <c r="AV550" s="4"/>
      <c r="AW550" s="4"/>
      <c r="AX550" s="4"/>
      <c r="AY550" s="4"/>
      <c r="AZ550" s="4"/>
      <c r="BA550" s="4"/>
      <c r="BB550" s="4"/>
      <c r="BC550" s="4"/>
      <c r="BD550" s="5"/>
      <c r="BE550" s="4"/>
      <c r="BF550" s="4"/>
      <c r="BG550" s="4"/>
      <c r="BH550" s="4"/>
      <c r="BI550" s="4"/>
      <c r="BJ550" s="4"/>
      <c r="BK550" s="4"/>
      <c r="BL550" s="4"/>
      <c r="BM550" s="4"/>
      <c r="BN550" s="4"/>
      <c r="BO550" s="4"/>
      <c r="BP550" s="4"/>
      <c r="BQ550" s="4"/>
      <c r="BR550" s="4"/>
      <c r="BS550" s="4"/>
    </row>
    <row r="551" spans="1:7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c r="AG551" s="3"/>
      <c r="AH551" s="4"/>
      <c r="AI551" s="4"/>
      <c r="AJ551" s="4"/>
      <c r="AK551" s="4"/>
      <c r="AL551" s="4"/>
      <c r="AM551" s="4"/>
      <c r="AN551" s="4"/>
      <c r="AO551" s="4"/>
      <c r="AP551" s="4"/>
      <c r="AQ551" s="4"/>
      <c r="AR551" s="4"/>
      <c r="AS551" s="4"/>
      <c r="AT551" s="4"/>
      <c r="AU551" s="4"/>
      <c r="AV551" s="4"/>
      <c r="AW551" s="4"/>
      <c r="AX551" s="4"/>
      <c r="AY551" s="4"/>
      <c r="AZ551" s="4"/>
      <c r="BA551" s="4"/>
      <c r="BB551" s="4"/>
      <c r="BC551" s="4"/>
      <c r="BD551" s="5"/>
      <c r="BE551" s="4"/>
      <c r="BF551" s="4"/>
      <c r="BG551" s="4"/>
      <c r="BH551" s="4"/>
      <c r="BI551" s="4"/>
      <c r="BJ551" s="4"/>
      <c r="BK551" s="4"/>
      <c r="BL551" s="4"/>
      <c r="BM551" s="4"/>
      <c r="BN551" s="4"/>
      <c r="BO551" s="4"/>
      <c r="BP551" s="4"/>
      <c r="BQ551" s="4"/>
      <c r="BR551" s="4"/>
      <c r="BS551" s="4"/>
    </row>
    <row r="552" spans="1:7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c r="AG552" s="3"/>
      <c r="AH552" s="4"/>
      <c r="AI552" s="4"/>
      <c r="AJ552" s="4"/>
      <c r="AK552" s="4"/>
      <c r="AL552" s="4"/>
      <c r="AM552" s="4"/>
      <c r="AN552" s="4"/>
      <c r="AO552" s="4"/>
      <c r="AP552" s="4"/>
      <c r="AQ552" s="4"/>
      <c r="AR552" s="4"/>
      <c r="AS552" s="4"/>
      <c r="AT552" s="4"/>
      <c r="AU552" s="4"/>
      <c r="AV552" s="4"/>
      <c r="AW552" s="4"/>
      <c r="AX552" s="4"/>
      <c r="AY552" s="4"/>
      <c r="AZ552" s="4"/>
      <c r="BA552" s="4"/>
      <c r="BB552" s="4"/>
      <c r="BC552" s="4"/>
      <c r="BD552" s="5"/>
      <c r="BE552" s="4"/>
      <c r="BF552" s="4"/>
      <c r="BG552" s="4"/>
      <c r="BH552" s="4"/>
      <c r="BI552" s="4"/>
      <c r="BJ552" s="4"/>
      <c r="BK552" s="4"/>
      <c r="BL552" s="4"/>
      <c r="BM552" s="4"/>
      <c r="BN552" s="4"/>
      <c r="BO552" s="4"/>
      <c r="BP552" s="4"/>
      <c r="BQ552" s="4"/>
      <c r="BR552" s="4"/>
      <c r="BS552" s="4"/>
    </row>
    <row r="553" spans="1:7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c r="AG553" s="3"/>
      <c r="AH553" s="4"/>
      <c r="AI553" s="4"/>
      <c r="AJ553" s="4"/>
      <c r="AK553" s="4"/>
      <c r="AL553" s="4"/>
      <c r="AM553" s="4"/>
      <c r="AN553" s="4"/>
      <c r="AO553" s="4"/>
      <c r="AP553" s="4"/>
      <c r="AQ553" s="4"/>
      <c r="AR553" s="4"/>
      <c r="AS553" s="4"/>
      <c r="AT553" s="4"/>
      <c r="AU553" s="4"/>
      <c r="AV553" s="4"/>
      <c r="AW553" s="4"/>
      <c r="AX553" s="4"/>
      <c r="AY553" s="4"/>
      <c r="AZ553" s="4"/>
      <c r="BA553" s="4"/>
      <c r="BB553" s="4"/>
      <c r="BC553" s="4"/>
      <c r="BD553" s="5"/>
      <c r="BE553" s="4"/>
      <c r="BF553" s="4"/>
      <c r="BG553" s="4"/>
      <c r="BH553" s="4"/>
      <c r="BI553" s="4"/>
      <c r="BJ553" s="4"/>
      <c r="BK553" s="4"/>
      <c r="BL553" s="4"/>
      <c r="BM553" s="4"/>
      <c r="BN553" s="4"/>
      <c r="BO553" s="4"/>
      <c r="BP553" s="4"/>
      <c r="BQ553" s="4"/>
      <c r="BR553" s="4"/>
      <c r="BS553" s="4"/>
    </row>
    <row r="554" spans="1:7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c r="AG554" s="3"/>
      <c r="AH554" s="4"/>
      <c r="AI554" s="4"/>
      <c r="AJ554" s="4"/>
      <c r="AK554" s="4"/>
      <c r="AL554" s="4"/>
      <c r="AM554" s="4"/>
      <c r="AN554" s="4"/>
      <c r="AO554" s="4"/>
      <c r="AP554" s="4"/>
      <c r="AQ554" s="4"/>
      <c r="AR554" s="4"/>
      <c r="AS554" s="4"/>
      <c r="AT554" s="4"/>
      <c r="AU554" s="4"/>
      <c r="AV554" s="4"/>
      <c r="AW554" s="4"/>
      <c r="AX554" s="4"/>
      <c r="AY554" s="4"/>
      <c r="AZ554" s="4"/>
      <c r="BA554" s="4"/>
      <c r="BB554" s="4"/>
      <c r="BC554" s="4"/>
      <c r="BD554" s="5"/>
      <c r="BE554" s="4"/>
      <c r="BF554" s="4"/>
      <c r="BG554" s="4"/>
      <c r="BH554" s="4"/>
      <c r="BI554" s="4"/>
      <c r="BJ554" s="4"/>
      <c r="BK554" s="4"/>
      <c r="BL554" s="4"/>
      <c r="BM554" s="4"/>
      <c r="BN554" s="4"/>
      <c r="BO554" s="4"/>
      <c r="BP554" s="4"/>
      <c r="BQ554" s="4"/>
      <c r="BR554" s="4"/>
      <c r="BS554" s="4"/>
    </row>
    <row r="555" spans="1:7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c r="AG555" s="3"/>
      <c r="AH555" s="4"/>
      <c r="AI555" s="4"/>
      <c r="AJ555" s="4"/>
      <c r="AK555" s="4"/>
      <c r="AL555" s="4"/>
      <c r="AM555" s="4"/>
      <c r="AN555" s="4"/>
      <c r="AO555" s="4"/>
      <c r="AP555" s="4"/>
      <c r="AQ555" s="4"/>
      <c r="AR555" s="4"/>
      <c r="AS555" s="4"/>
      <c r="AT555" s="4"/>
      <c r="AU555" s="4"/>
      <c r="AV555" s="4"/>
      <c r="AW555" s="4"/>
      <c r="AX555" s="4"/>
      <c r="AY555" s="4"/>
      <c r="AZ555" s="4"/>
      <c r="BA555" s="4"/>
      <c r="BB555" s="4"/>
      <c r="BC555" s="4"/>
      <c r="BD555" s="5"/>
      <c r="BE555" s="4"/>
      <c r="BF555" s="4"/>
      <c r="BG555" s="4"/>
      <c r="BH555" s="4"/>
      <c r="BI555" s="4"/>
      <c r="BJ555" s="4"/>
      <c r="BK555" s="4"/>
      <c r="BL555" s="4"/>
      <c r="BM555" s="4"/>
      <c r="BN555" s="4"/>
      <c r="BO555" s="4"/>
      <c r="BP555" s="4"/>
      <c r="BQ555" s="4"/>
      <c r="BR555" s="4"/>
      <c r="BS555" s="4"/>
    </row>
    <row r="556" spans="1:7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c r="AG556" s="3"/>
      <c r="AH556" s="4"/>
      <c r="AI556" s="4"/>
      <c r="AJ556" s="4"/>
      <c r="AK556" s="4"/>
      <c r="AL556" s="4"/>
      <c r="AM556" s="4"/>
      <c r="AN556" s="4"/>
      <c r="AO556" s="4"/>
      <c r="AP556" s="4"/>
      <c r="AQ556" s="4"/>
      <c r="AR556" s="4"/>
      <c r="AS556" s="4"/>
      <c r="AT556" s="4"/>
      <c r="AU556" s="4"/>
      <c r="AV556" s="4"/>
      <c r="AW556" s="4"/>
      <c r="AX556" s="4"/>
      <c r="AY556" s="4"/>
      <c r="AZ556" s="4"/>
      <c r="BA556" s="4"/>
      <c r="BB556" s="4"/>
      <c r="BC556" s="4"/>
      <c r="BD556" s="5"/>
      <c r="BE556" s="4"/>
      <c r="BF556" s="4"/>
      <c r="BG556" s="4"/>
      <c r="BH556" s="4"/>
      <c r="BI556" s="4"/>
      <c r="BJ556" s="4"/>
      <c r="BK556" s="4"/>
      <c r="BL556" s="4"/>
      <c r="BM556" s="4"/>
      <c r="BN556" s="4"/>
      <c r="BO556" s="4"/>
      <c r="BP556" s="4"/>
      <c r="BQ556" s="4"/>
      <c r="BR556" s="4"/>
      <c r="BS556" s="4"/>
    </row>
    <row r="557" spans="1:7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c r="AG557" s="3"/>
      <c r="AH557" s="4"/>
      <c r="AI557" s="4"/>
      <c r="AJ557" s="4"/>
      <c r="AK557" s="4"/>
      <c r="AL557" s="4"/>
      <c r="AM557" s="4"/>
      <c r="AN557" s="4"/>
      <c r="AO557" s="4"/>
      <c r="AP557" s="4"/>
      <c r="AQ557" s="4"/>
      <c r="AR557" s="4"/>
      <c r="AS557" s="4"/>
      <c r="AT557" s="4"/>
      <c r="AU557" s="4"/>
      <c r="AV557" s="4"/>
      <c r="AW557" s="4"/>
      <c r="AX557" s="4"/>
      <c r="AY557" s="4"/>
      <c r="AZ557" s="4"/>
      <c r="BA557" s="4"/>
      <c r="BB557" s="4"/>
      <c r="BC557" s="4"/>
      <c r="BD557" s="5"/>
      <c r="BE557" s="4"/>
      <c r="BF557" s="4"/>
      <c r="BG557" s="4"/>
      <c r="BH557" s="4"/>
      <c r="BI557" s="4"/>
      <c r="BJ557" s="4"/>
      <c r="BK557" s="4"/>
      <c r="BL557" s="4"/>
      <c r="BM557" s="4"/>
      <c r="BN557" s="4"/>
      <c r="BO557" s="4"/>
      <c r="BP557" s="4"/>
      <c r="BQ557" s="4"/>
      <c r="BR557" s="4"/>
      <c r="BS557" s="4"/>
    </row>
    <row r="558" spans="1:7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c r="AG558" s="3"/>
      <c r="AH558" s="4"/>
      <c r="AI558" s="4"/>
      <c r="AJ558" s="4"/>
      <c r="AK558" s="4"/>
      <c r="AL558" s="4"/>
      <c r="AM558" s="4"/>
      <c r="AN558" s="4"/>
      <c r="AO558" s="4"/>
      <c r="AP558" s="4"/>
      <c r="AQ558" s="4"/>
      <c r="AR558" s="4"/>
      <c r="AS558" s="4"/>
      <c r="AT558" s="4"/>
      <c r="AU558" s="4"/>
      <c r="AV558" s="4"/>
      <c r="AW558" s="4"/>
      <c r="AX558" s="4"/>
      <c r="AY558" s="4"/>
      <c r="AZ558" s="4"/>
      <c r="BA558" s="4"/>
      <c r="BB558" s="4"/>
      <c r="BC558" s="4"/>
      <c r="BD558" s="5"/>
      <c r="BE558" s="4"/>
      <c r="BF558" s="4"/>
      <c r="BG558" s="4"/>
      <c r="BH558" s="4"/>
      <c r="BI558" s="4"/>
      <c r="BJ558" s="4"/>
      <c r="BK558" s="4"/>
      <c r="BL558" s="4"/>
      <c r="BM558" s="4"/>
      <c r="BN558" s="4"/>
      <c r="BO558" s="4"/>
      <c r="BP558" s="4"/>
      <c r="BQ558" s="4"/>
      <c r="BR558" s="4"/>
      <c r="BS558" s="4"/>
    </row>
    <row r="559" spans="1:7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c r="AG559" s="3"/>
      <c r="AH559" s="4"/>
      <c r="AI559" s="4"/>
      <c r="AJ559" s="4"/>
      <c r="AK559" s="4"/>
      <c r="AL559" s="4"/>
      <c r="AM559" s="4"/>
      <c r="AN559" s="4"/>
      <c r="AO559" s="4"/>
      <c r="AP559" s="4"/>
      <c r="AQ559" s="4"/>
      <c r="AR559" s="4"/>
      <c r="AS559" s="4"/>
      <c r="AT559" s="4"/>
      <c r="AU559" s="4"/>
      <c r="AV559" s="4"/>
      <c r="AW559" s="4"/>
      <c r="AX559" s="4"/>
      <c r="AY559" s="4"/>
      <c r="AZ559" s="4"/>
      <c r="BA559" s="4"/>
      <c r="BB559" s="4"/>
      <c r="BC559" s="4"/>
      <c r="BD559" s="5"/>
      <c r="BE559" s="4"/>
      <c r="BF559" s="4"/>
      <c r="BG559" s="4"/>
      <c r="BH559" s="4"/>
      <c r="BI559" s="4"/>
      <c r="BJ559" s="4"/>
      <c r="BK559" s="4"/>
      <c r="BL559" s="4"/>
      <c r="BM559" s="4"/>
      <c r="BN559" s="4"/>
      <c r="BO559" s="4"/>
      <c r="BP559" s="4"/>
      <c r="BQ559" s="4"/>
      <c r="BR559" s="4"/>
      <c r="BS559" s="4"/>
    </row>
    <row r="560" spans="1:7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c r="AG560" s="3"/>
      <c r="AH560" s="4"/>
      <c r="AI560" s="4"/>
      <c r="AJ560" s="4"/>
      <c r="AK560" s="4"/>
      <c r="AL560" s="4"/>
      <c r="AM560" s="4"/>
      <c r="AN560" s="4"/>
      <c r="AO560" s="4"/>
      <c r="AP560" s="4"/>
      <c r="AQ560" s="4"/>
      <c r="AR560" s="4"/>
      <c r="AS560" s="4"/>
      <c r="AT560" s="4"/>
      <c r="AU560" s="4"/>
      <c r="AV560" s="4"/>
      <c r="AW560" s="4"/>
      <c r="AX560" s="4"/>
      <c r="AY560" s="4"/>
      <c r="AZ560" s="4"/>
      <c r="BA560" s="4"/>
      <c r="BB560" s="4"/>
      <c r="BC560" s="4"/>
      <c r="BD560" s="5"/>
      <c r="BE560" s="4"/>
      <c r="BF560" s="4"/>
      <c r="BG560" s="4"/>
      <c r="BH560" s="4"/>
      <c r="BI560" s="4"/>
      <c r="BJ560" s="4"/>
      <c r="BK560" s="4"/>
      <c r="BL560" s="4"/>
      <c r="BM560" s="4"/>
      <c r="BN560" s="4"/>
      <c r="BO560" s="4"/>
      <c r="BP560" s="4"/>
      <c r="BQ560" s="4"/>
      <c r="BR560" s="4"/>
      <c r="BS560" s="4"/>
    </row>
    <row r="561" spans="1:7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c r="AG561" s="3"/>
      <c r="AH561" s="4"/>
      <c r="AI561" s="4"/>
      <c r="AJ561" s="4"/>
      <c r="AK561" s="4"/>
      <c r="AL561" s="4"/>
      <c r="AM561" s="4"/>
      <c r="AN561" s="4"/>
      <c r="AO561" s="4"/>
      <c r="AP561" s="4"/>
      <c r="AQ561" s="4"/>
      <c r="AR561" s="4"/>
      <c r="AS561" s="4"/>
      <c r="AT561" s="4"/>
      <c r="AU561" s="4"/>
      <c r="AV561" s="4"/>
      <c r="AW561" s="4"/>
      <c r="AX561" s="4"/>
      <c r="AY561" s="4"/>
      <c r="AZ561" s="4"/>
      <c r="BA561" s="4"/>
      <c r="BB561" s="4"/>
      <c r="BC561" s="4"/>
      <c r="BD561" s="5"/>
      <c r="BE561" s="4"/>
      <c r="BF561" s="4"/>
      <c r="BG561" s="4"/>
      <c r="BH561" s="4"/>
      <c r="BI561" s="4"/>
      <c r="BJ561" s="4"/>
      <c r="BK561" s="4"/>
      <c r="BL561" s="4"/>
      <c r="BM561" s="4"/>
      <c r="BN561" s="4"/>
      <c r="BO561" s="4"/>
      <c r="BP561" s="4"/>
      <c r="BQ561" s="4"/>
      <c r="BR561" s="4"/>
      <c r="BS561" s="4"/>
    </row>
    <row r="562" spans="1:7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c r="AG562" s="3"/>
      <c r="AH562" s="4"/>
      <c r="AI562" s="4"/>
      <c r="AJ562" s="4"/>
      <c r="AK562" s="4"/>
      <c r="AL562" s="4"/>
      <c r="AM562" s="4"/>
      <c r="AN562" s="4"/>
      <c r="AO562" s="4"/>
      <c r="AP562" s="4"/>
      <c r="AQ562" s="4"/>
      <c r="AR562" s="4"/>
      <c r="AS562" s="4"/>
      <c r="AT562" s="4"/>
      <c r="AU562" s="4"/>
      <c r="AV562" s="4"/>
      <c r="AW562" s="4"/>
      <c r="AX562" s="4"/>
      <c r="AY562" s="4"/>
      <c r="AZ562" s="4"/>
      <c r="BA562" s="4"/>
      <c r="BB562" s="4"/>
      <c r="BC562" s="4"/>
      <c r="BD562" s="5"/>
      <c r="BE562" s="4"/>
      <c r="BF562" s="4"/>
      <c r="BG562" s="4"/>
      <c r="BH562" s="4"/>
      <c r="BI562" s="4"/>
      <c r="BJ562" s="4"/>
      <c r="BK562" s="4"/>
      <c r="BL562" s="4"/>
      <c r="BM562" s="4"/>
      <c r="BN562" s="4"/>
      <c r="BO562" s="4"/>
      <c r="BP562" s="4"/>
      <c r="BQ562" s="4"/>
      <c r="BR562" s="4"/>
      <c r="BS562" s="4"/>
    </row>
    <row r="563" spans="1:7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c r="AG563" s="3"/>
      <c r="AH563" s="4"/>
      <c r="AI563" s="4"/>
      <c r="AJ563" s="4"/>
      <c r="AK563" s="4"/>
      <c r="AL563" s="4"/>
      <c r="AM563" s="4"/>
      <c r="AN563" s="4"/>
      <c r="AO563" s="4"/>
      <c r="AP563" s="4"/>
      <c r="AQ563" s="4"/>
      <c r="AR563" s="4"/>
      <c r="AS563" s="4"/>
      <c r="AT563" s="4"/>
      <c r="AU563" s="4"/>
      <c r="AV563" s="4"/>
      <c r="AW563" s="4"/>
      <c r="AX563" s="4"/>
      <c r="AY563" s="4"/>
      <c r="AZ563" s="4"/>
      <c r="BA563" s="4"/>
      <c r="BB563" s="4"/>
      <c r="BC563" s="4"/>
      <c r="BD563" s="5"/>
      <c r="BE563" s="4"/>
      <c r="BF563" s="4"/>
      <c r="BG563" s="4"/>
      <c r="BH563" s="4"/>
      <c r="BI563" s="4"/>
      <c r="BJ563" s="4"/>
      <c r="BK563" s="4"/>
      <c r="BL563" s="4"/>
      <c r="BM563" s="4"/>
      <c r="BN563" s="4"/>
      <c r="BO563" s="4"/>
      <c r="BP563" s="4"/>
      <c r="BQ563" s="4"/>
      <c r="BR563" s="4"/>
      <c r="BS563" s="4"/>
    </row>
    <row r="564" spans="1:7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c r="AG564" s="3"/>
      <c r="AH564" s="4"/>
      <c r="AI564" s="4"/>
      <c r="AJ564" s="4"/>
      <c r="AK564" s="4"/>
      <c r="AL564" s="4"/>
      <c r="AM564" s="4"/>
      <c r="AN564" s="4"/>
      <c r="AO564" s="4"/>
      <c r="AP564" s="4"/>
      <c r="AQ564" s="4"/>
      <c r="AR564" s="4"/>
      <c r="AS564" s="4"/>
      <c r="AT564" s="4"/>
      <c r="AU564" s="4"/>
      <c r="AV564" s="4"/>
      <c r="AW564" s="4"/>
      <c r="AX564" s="4"/>
      <c r="AY564" s="4"/>
      <c r="AZ564" s="4"/>
      <c r="BA564" s="4"/>
      <c r="BB564" s="4"/>
      <c r="BC564" s="4"/>
      <c r="BD564" s="5"/>
      <c r="BE564" s="4"/>
      <c r="BF564" s="4"/>
      <c r="BG564" s="4"/>
      <c r="BH564" s="4"/>
      <c r="BI564" s="4"/>
      <c r="BJ564" s="4"/>
      <c r="BK564" s="4"/>
      <c r="BL564" s="4"/>
      <c r="BM564" s="4"/>
      <c r="BN564" s="4"/>
      <c r="BO564" s="4"/>
      <c r="BP564" s="4"/>
      <c r="BQ564" s="4"/>
      <c r="BR564" s="4"/>
      <c r="BS564" s="4"/>
    </row>
    <row r="565" spans="1:7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c r="AG565" s="3"/>
      <c r="AH565" s="4"/>
      <c r="AI565" s="4"/>
      <c r="AJ565" s="4"/>
      <c r="AK565" s="4"/>
      <c r="AL565" s="4"/>
      <c r="AM565" s="4"/>
      <c r="AN565" s="4"/>
      <c r="AO565" s="4"/>
      <c r="AP565" s="4"/>
      <c r="AQ565" s="4"/>
      <c r="AR565" s="4"/>
      <c r="AS565" s="4"/>
      <c r="AT565" s="4"/>
      <c r="AU565" s="4"/>
      <c r="AV565" s="4"/>
      <c r="AW565" s="4"/>
      <c r="AX565" s="4"/>
      <c r="AY565" s="4"/>
      <c r="AZ565" s="4"/>
      <c r="BA565" s="4"/>
      <c r="BB565" s="4"/>
      <c r="BC565" s="4"/>
      <c r="BD565" s="5"/>
      <c r="BE565" s="4"/>
      <c r="BF565" s="4"/>
      <c r="BG565" s="4"/>
      <c r="BH565" s="4"/>
      <c r="BI565" s="4"/>
      <c r="BJ565" s="4"/>
      <c r="BK565" s="4"/>
      <c r="BL565" s="4"/>
      <c r="BM565" s="4"/>
      <c r="BN565" s="4"/>
      <c r="BO565" s="4"/>
      <c r="BP565" s="4"/>
      <c r="BQ565" s="4"/>
      <c r="BR565" s="4"/>
      <c r="BS565" s="4"/>
    </row>
    <row r="566" spans="1:7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c r="AG566" s="3"/>
      <c r="AH566" s="4"/>
      <c r="AI566" s="4"/>
      <c r="AJ566" s="4"/>
      <c r="AK566" s="4"/>
      <c r="AL566" s="4"/>
      <c r="AM566" s="4"/>
      <c r="AN566" s="4"/>
      <c r="AO566" s="4"/>
      <c r="AP566" s="4"/>
      <c r="AQ566" s="4"/>
      <c r="AR566" s="4"/>
      <c r="AS566" s="4"/>
      <c r="AT566" s="4"/>
      <c r="AU566" s="4"/>
      <c r="AV566" s="4"/>
      <c r="AW566" s="4"/>
      <c r="AX566" s="4"/>
      <c r="AY566" s="4"/>
      <c r="AZ566" s="4"/>
      <c r="BA566" s="4"/>
      <c r="BB566" s="4"/>
      <c r="BC566" s="4"/>
      <c r="BD566" s="5"/>
      <c r="BE566" s="4"/>
      <c r="BF566" s="4"/>
      <c r="BG566" s="4"/>
      <c r="BH566" s="4"/>
      <c r="BI566" s="4"/>
      <c r="BJ566" s="4"/>
      <c r="BK566" s="4"/>
      <c r="BL566" s="4"/>
      <c r="BM566" s="4"/>
      <c r="BN566" s="4"/>
      <c r="BO566" s="4"/>
      <c r="BP566" s="4"/>
      <c r="BQ566" s="4"/>
      <c r="BR566" s="4"/>
      <c r="BS566" s="4"/>
    </row>
    <row r="567" spans="1:7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c r="AG567" s="3"/>
      <c r="AH567" s="4"/>
      <c r="AI567" s="4"/>
      <c r="AJ567" s="4"/>
      <c r="AK567" s="4"/>
      <c r="AL567" s="4"/>
      <c r="AM567" s="4"/>
      <c r="AN567" s="4"/>
      <c r="AO567" s="4"/>
      <c r="AP567" s="4"/>
      <c r="AQ567" s="4"/>
      <c r="AR567" s="4"/>
      <c r="AS567" s="4"/>
      <c r="AT567" s="4"/>
      <c r="AU567" s="4"/>
      <c r="AV567" s="4"/>
      <c r="AW567" s="4"/>
      <c r="AX567" s="4"/>
      <c r="AY567" s="4"/>
      <c r="AZ567" s="4"/>
      <c r="BA567" s="4"/>
      <c r="BB567" s="4"/>
      <c r="BC567" s="4"/>
      <c r="BD567" s="5"/>
      <c r="BE567" s="4"/>
      <c r="BF567" s="4"/>
      <c r="BG567" s="4"/>
      <c r="BH567" s="4"/>
      <c r="BI567" s="4"/>
      <c r="BJ567" s="4"/>
      <c r="BK567" s="4"/>
      <c r="BL567" s="4"/>
      <c r="BM567" s="4"/>
      <c r="BN567" s="4"/>
      <c r="BO567" s="4"/>
      <c r="BP567" s="4"/>
      <c r="BQ567" s="4"/>
      <c r="BR567" s="4"/>
      <c r="BS567" s="4"/>
    </row>
    <row r="568" spans="1:7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c r="AG568" s="3"/>
      <c r="AH568" s="4"/>
      <c r="AI568" s="4"/>
      <c r="AJ568" s="4"/>
      <c r="AK568" s="4"/>
      <c r="AL568" s="4"/>
      <c r="AM568" s="4"/>
      <c r="AN568" s="4"/>
      <c r="AO568" s="4"/>
      <c r="AP568" s="4"/>
      <c r="AQ568" s="4"/>
      <c r="AR568" s="4"/>
      <c r="AS568" s="4"/>
      <c r="AT568" s="4"/>
      <c r="AU568" s="4"/>
      <c r="AV568" s="4"/>
      <c r="AW568" s="4"/>
      <c r="AX568" s="4"/>
      <c r="AY568" s="4"/>
      <c r="AZ568" s="4"/>
      <c r="BA568" s="4"/>
      <c r="BB568" s="4"/>
      <c r="BC568" s="4"/>
      <c r="BD568" s="5"/>
      <c r="BE568" s="4"/>
      <c r="BF568" s="4"/>
      <c r="BG568" s="4"/>
      <c r="BH568" s="4"/>
      <c r="BI568" s="4"/>
      <c r="BJ568" s="4"/>
      <c r="BK568" s="4"/>
      <c r="BL568" s="4"/>
      <c r="BM568" s="4"/>
      <c r="BN568" s="4"/>
      <c r="BO568" s="4"/>
      <c r="BP568" s="4"/>
      <c r="BQ568" s="4"/>
      <c r="BR568" s="4"/>
      <c r="BS568" s="4"/>
    </row>
    <row r="569" spans="1:7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c r="AG569" s="3"/>
      <c r="AH569" s="4"/>
      <c r="AI569" s="4"/>
      <c r="AJ569" s="4"/>
      <c r="AK569" s="4"/>
      <c r="AL569" s="4"/>
      <c r="AM569" s="4"/>
      <c r="AN569" s="4"/>
      <c r="AO569" s="4"/>
      <c r="AP569" s="4"/>
      <c r="AQ569" s="4"/>
      <c r="AR569" s="4"/>
      <c r="AS569" s="4"/>
      <c r="AT569" s="4"/>
      <c r="AU569" s="4"/>
      <c r="AV569" s="4"/>
      <c r="AW569" s="4"/>
      <c r="AX569" s="4"/>
      <c r="AY569" s="4"/>
      <c r="AZ569" s="4"/>
      <c r="BA569" s="4"/>
      <c r="BB569" s="4"/>
      <c r="BC569" s="4"/>
      <c r="BD569" s="5"/>
      <c r="BE569" s="4"/>
      <c r="BF569" s="4"/>
      <c r="BG569" s="4"/>
      <c r="BH569" s="4"/>
      <c r="BI569" s="4"/>
      <c r="BJ569" s="4"/>
      <c r="BK569" s="4"/>
      <c r="BL569" s="4"/>
      <c r="BM569" s="4"/>
      <c r="BN569" s="4"/>
      <c r="BO569" s="4"/>
      <c r="BP569" s="4"/>
      <c r="BQ569" s="4"/>
      <c r="BR569" s="4"/>
      <c r="BS569" s="4"/>
    </row>
    <row r="570" spans="1:7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c r="AG570" s="3"/>
      <c r="AH570" s="4"/>
      <c r="AI570" s="4"/>
      <c r="AJ570" s="4"/>
      <c r="AK570" s="4"/>
      <c r="AL570" s="4"/>
      <c r="AM570" s="4"/>
      <c r="AN570" s="4"/>
      <c r="AO570" s="4"/>
      <c r="AP570" s="4"/>
      <c r="AQ570" s="4"/>
      <c r="AR570" s="4"/>
      <c r="AS570" s="4"/>
      <c r="AT570" s="4"/>
      <c r="AU570" s="4"/>
      <c r="AV570" s="4"/>
      <c r="AW570" s="4"/>
      <c r="AX570" s="4"/>
      <c r="AY570" s="4"/>
      <c r="AZ570" s="4"/>
      <c r="BA570" s="4"/>
      <c r="BB570" s="4"/>
      <c r="BC570" s="4"/>
      <c r="BD570" s="5"/>
      <c r="BE570" s="4"/>
      <c r="BF570" s="4"/>
      <c r="BG570" s="4"/>
      <c r="BH570" s="4"/>
      <c r="BI570" s="4"/>
      <c r="BJ570" s="4"/>
      <c r="BK570" s="4"/>
      <c r="BL570" s="4"/>
      <c r="BM570" s="4"/>
      <c r="BN570" s="4"/>
      <c r="BO570" s="4"/>
      <c r="BP570" s="4"/>
      <c r="BQ570" s="4"/>
      <c r="BR570" s="4"/>
      <c r="BS570" s="4"/>
    </row>
    <row r="571" spans="1: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c r="AG571" s="3"/>
      <c r="AH571" s="4"/>
      <c r="AI571" s="4"/>
      <c r="AJ571" s="4"/>
      <c r="AK571" s="4"/>
      <c r="AL571" s="4"/>
      <c r="AM571" s="4"/>
      <c r="AN571" s="4"/>
      <c r="AO571" s="4"/>
      <c r="AP571" s="4"/>
      <c r="AQ571" s="4"/>
      <c r="AR571" s="4"/>
      <c r="AS571" s="4"/>
      <c r="AT571" s="4"/>
      <c r="AU571" s="4"/>
      <c r="AV571" s="4"/>
      <c r="AW571" s="4"/>
      <c r="AX571" s="4"/>
      <c r="AY571" s="4"/>
      <c r="AZ571" s="4"/>
      <c r="BA571" s="4"/>
      <c r="BB571" s="4"/>
      <c r="BC571" s="4"/>
      <c r="BD571" s="5"/>
      <c r="BE571" s="4"/>
      <c r="BF571" s="4"/>
      <c r="BG571" s="4"/>
      <c r="BH571" s="4"/>
      <c r="BI571" s="4"/>
      <c r="BJ571" s="4"/>
      <c r="BK571" s="4"/>
      <c r="BL571" s="4"/>
      <c r="BM571" s="4"/>
      <c r="BN571" s="4"/>
      <c r="BO571" s="4"/>
      <c r="BP571" s="4"/>
      <c r="BQ571" s="4"/>
      <c r="BR571" s="4"/>
      <c r="BS571" s="4"/>
    </row>
    <row r="572" spans="1:7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c r="AG572" s="3"/>
      <c r="AH572" s="4"/>
      <c r="AI572" s="4"/>
      <c r="AJ572" s="4"/>
      <c r="AK572" s="4"/>
      <c r="AL572" s="4"/>
      <c r="AM572" s="4"/>
      <c r="AN572" s="4"/>
      <c r="AO572" s="4"/>
      <c r="AP572" s="4"/>
      <c r="AQ572" s="4"/>
      <c r="AR572" s="4"/>
      <c r="AS572" s="4"/>
      <c r="AT572" s="4"/>
      <c r="AU572" s="4"/>
      <c r="AV572" s="4"/>
      <c r="AW572" s="4"/>
      <c r="AX572" s="4"/>
      <c r="AY572" s="4"/>
      <c r="AZ572" s="4"/>
      <c r="BA572" s="4"/>
      <c r="BB572" s="4"/>
      <c r="BC572" s="4"/>
      <c r="BD572" s="5"/>
      <c r="BE572" s="4"/>
      <c r="BF572" s="4"/>
      <c r="BG572" s="4"/>
      <c r="BH572" s="4"/>
      <c r="BI572" s="4"/>
      <c r="BJ572" s="4"/>
      <c r="BK572" s="4"/>
      <c r="BL572" s="4"/>
      <c r="BM572" s="4"/>
      <c r="BN572" s="4"/>
      <c r="BO572" s="4"/>
      <c r="BP572" s="4"/>
      <c r="BQ572" s="4"/>
      <c r="BR572" s="4"/>
      <c r="BS572" s="4"/>
    </row>
    <row r="573" spans="1:7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c r="AG573" s="3"/>
      <c r="AH573" s="4"/>
      <c r="AI573" s="4"/>
      <c r="AJ573" s="4"/>
      <c r="AK573" s="4"/>
      <c r="AL573" s="4"/>
      <c r="AM573" s="4"/>
      <c r="AN573" s="4"/>
      <c r="AO573" s="4"/>
      <c r="AP573" s="4"/>
      <c r="AQ573" s="4"/>
      <c r="AR573" s="4"/>
      <c r="AS573" s="4"/>
      <c r="AT573" s="4"/>
      <c r="AU573" s="4"/>
      <c r="AV573" s="4"/>
      <c r="AW573" s="4"/>
      <c r="AX573" s="4"/>
      <c r="AY573" s="4"/>
      <c r="AZ573" s="4"/>
      <c r="BA573" s="4"/>
      <c r="BB573" s="4"/>
      <c r="BC573" s="4"/>
      <c r="BD573" s="5"/>
      <c r="BE573" s="4"/>
      <c r="BF573" s="4"/>
      <c r="BG573" s="4"/>
      <c r="BH573" s="4"/>
      <c r="BI573" s="4"/>
      <c r="BJ573" s="4"/>
      <c r="BK573" s="4"/>
      <c r="BL573" s="4"/>
      <c r="BM573" s="4"/>
      <c r="BN573" s="4"/>
      <c r="BO573" s="4"/>
      <c r="BP573" s="4"/>
      <c r="BQ573" s="4"/>
      <c r="BR573" s="4"/>
      <c r="BS573" s="4"/>
    </row>
    <row r="574" spans="1:7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c r="AG574" s="3"/>
      <c r="AH574" s="4"/>
      <c r="AI574" s="4"/>
      <c r="AJ574" s="4"/>
      <c r="AK574" s="4"/>
      <c r="AL574" s="4"/>
      <c r="AM574" s="4"/>
      <c r="AN574" s="4"/>
      <c r="AO574" s="4"/>
      <c r="AP574" s="4"/>
      <c r="AQ574" s="4"/>
      <c r="AR574" s="4"/>
      <c r="AS574" s="4"/>
      <c r="AT574" s="4"/>
      <c r="AU574" s="4"/>
      <c r="AV574" s="4"/>
      <c r="AW574" s="4"/>
      <c r="AX574" s="4"/>
      <c r="AY574" s="4"/>
      <c r="AZ574" s="4"/>
      <c r="BA574" s="4"/>
      <c r="BB574" s="4"/>
      <c r="BC574" s="4"/>
      <c r="BD574" s="5"/>
      <c r="BE574" s="4"/>
      <c r="BF574" s="4"/>
      <c r="BG574" s="4"/>
      <c r="BH574" s="4"/>
      <c r="BI574" s="4"/>
      <c r="BJ574" s="4"/>
      <c r="BK574" s="4"/>
      <c r="BL574" s="4"/>
      <c r="BM574" s="4"/>
      <c r="BN574" s="4"/>
      <c r="BO574" s="4"/>
      <c r="BP574" s="4"/>
      <c r="BQ574" s="4"/>
      <c r="BR574" s="4"/>
      <c r="BS574" s="4"/>
    </row>
    <row r="575" spans="1:7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c r="AG575" s="3"/>
      <c r="AH575" s="4"/>
      <c r="AI575" s="4"/>
      <c r="AJ575" s="4"/>
      <c r="AK575" s="4"/>
      <c r="AL575" s="4"/>
      <c r="AM575" s="4"/>
      <c r="AN575" s="4"/>
      <c r="AO575" s="4"/>
      <c r="AP575" s="4"/>
      <c r="AQ575" s="4"/>
      <c r="AR575" s="4"/>
      <c r="AS575" s="4"/>
      <c r="AT575" s="4"/>
      <c r="AU575" s="4"/>
      <c r="AV575" s="4"/>
      <c r="AW575" s="4"/>
      <c r="AX575" s="4"/>
      <c r="AY575" s="4"/>
      <c r="AZ575" s="4"/>
      <c r="BA575" s="4"/>
      <c r="BB575" s="4"/>
      <c r="BC575" s="4"/>
      <c r="BD575" s="5"/>
      <c r="BE575" s="4"/>
      <c r="BF575" s="4"/>
      <c r="BG575" s="4"/>
      <c r="BH575" s="4"/>
      <c r="BI575" s="4"/>
      <c r="BJ575" s="4"/>
      <c r="BK575" s="4"/>
      <c r="BL575" s="4"/>
      <c r="BM575" s="4"/>
      <c r="BN575" s="4"/>
      <c r="BO575" s="4"/>
      <c r="BP575" s="4"/>
      <c r="BQ575" s="4"/>
      <c r="BR575" s="4"/>
      <c r="BS575" s="4"/>
    </row>
    <row r="576" spans="1:7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c r="AG576" s="3"/>
      <c r="AH576" s="4"/>
      <c r="AI576" s="4"/>
      <c r="AJ576" s="4"/>
      <c r="AK576" s="4"/>
      <c r="AL576" s="4"/>
      <c r="AM576" s="4"/>
      <c r="AN576" s="4"/>
      <c r="AO576" s="4"/>
      <c r="AP576" s="4"/>
      <c r="AQ576" s="4"/>
      <c r="AR576" s="4"/>
      <c r="AS576" s="4"/>
      <c r="AT576" s="4"/>
      <c r="AU576" s="4"/>
      <c r="AV576" s="4"/>
      <c r="AW576" s="4"/>
      <c r="AX576" s="4"/>
      <c r="AY576" s="4"/>
      <c r="AZ576" s="4"/>
      <c r="BA576" s="4"/>
      <c r="BB576" s="4"/>
      <c r="BC576" s="4"/>
      <c r="BD576" s="5"/>
      <c r="BE576" s="4"/>
      <c r="BF576" s="4"/>
      <c r="BG576" s="4"/>
      <c r="BH576" s="4"/>
      <c r="BI576" s="4"/>
      <c r="BJ576" s="4"/>
      <c r="BK576" s="4"/>
      <c r="BL576" s="4"/>
      <c r="BM576" s="4"/>
      <c r="BN576" s="4"/>
      <c r="BO576" s="4"/>
      <c r="BP576" s="4"/>
      <c r="BQ576" s="4"/>
      <c r="BR576" s="4"/>
      <c r="BS576" s="4"/>
    </row>
    <row r="577" spans="1:7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c r="AG577" s="3"/>
      <c r="AH577" s="4"/>
      <c r="AI577" s="4"/>
      <c r="AJ577" s="4"/>
      <c r="AK577" s="4"/>
      <c r="AL577" s="4"/>
      <c r="AM577" s="4"/>
      <c r="AN577" s="4"/>
      <c r="AO577" s="4"/>
      <c r="AP577" s="4"/>
      <c r="AQ577" s="4"/>
      <c r="AR577" s="4"/>
      <c r="AS577" s="4"/>
      <c r="AT577" s="4"/>
      <c r="AU577" s="4"/>
      <c r="AV577" s="4"/>
      <c r="AW577" s="4"/>
      <c r="AX577" s="4"/>
      <c r="AY577" s="4"/>
      <c r="AZ577" s="4"/>
      <c r="BA577" s="4"/>
      <c r="BB577" s="4"/>
      <c r="BC577" s="4"/>
      <c r="BD577" s="5"/>
      <c r="BE577" s="4"/>
      <c r="BF577" s="4"/>
      <c r="BG577" s="4"/>
      <c r="BH577" s="4"/>
      <c r="BI577" s="4"/>
      <c r="BJ577" s="4"/>
      <c r="BK577" s="4"/>
      <c r="BL577" s="4"/>
      <c r="BM577" s="4"/>
      <c r="BN577" s="4"/>
      <c r="BO577" s="4"/>
      <c r="BP577" s="4"/>
      <c r="BQ577" s="4"/>
      <c r="BR577" s="4"/>
      <c r="BS577" s="4"/>
    </row>
    <row r="578" spans="1:7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c r="AG578" s="3"/>
      <c r="AH578" s="4"/>
      <c r="AI578" s="4"/>
      <c r="AJ578" s="4"/>
      <c r="AK578" s="4"/>
      <c r="AL578" s="4"/>
      <c r="AM578" s="4"/>
      <c r="AN578" s="4"/>
      <c r="AO578" s="4"/>
      <c r="AP578" s="4"/>
      <c r="AQ578" s="4"/>
      <c r="AR578" s="4"/>
      <c r="AS578" s="4"/>
      <c r="AT578" s="4"/>
      <c r="AU578" s="4"/>
      <c r="AV578" s="4"/>
      <c r="AW578" s="4"/>
      <c r="AX578" s="4"/>
      <c r="AY578" s="4"/>
      <c r="AZ578" s="4"/>
      <c r="BA578" s="4"/>
      <c r="BB578" s="4"/>
      <c r="BC578" s="4"/>
      <c r="BD578" s="5"/>
      <c r="BE578" s="4"/>
      <c r="BF578" s="4"/>
      <c r="BG578" s="4"/>
      <c r="BH578" s="4"/>
      <c r="BI578" s="4"/>
      <c r="BJ578" s="4"/>
      <c r="BK578" s="4"/>
      <c r="BL578" s="4"/>
      <c r="BM578" s="4"/>
      <c r="BN578" s="4"/>
      <c r="BO578" s="4"/>
      <c r="BP578" s="4"/>
      <c r="BQ578" s="4"/>
      <c r="BR578" s="4"/>
      <c r="BS578" s="4"/>
    </row>
    <row r="579" spans="1:7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c r="AG579" s="3"/>
      <c r="AH579" s="4"/>
      <c r="AI579" s="4"/>
      <c r="AJ579" s="4"/>
      <c r="AK579" s="4"/>
      <c r="AL579" s="4"/>
      <c r="AM579" s="4"/>
      <c r="AN579" s="4"/>
      <c r="AO579" s="4"/>
      <c r="AP579" s="4"/>
      <c r="AQ579" s="4"/>
      <c r="AR579" s="4"/>
      <c r="AS579" s="4"/>
      <c r="AT579" s="4"/>
      <c r="AU579" s="4"/>
      <c r="AV579" s="4"/>
      <c r="AW579" s="4"/>
      <c r="AX579" s="4"/>
      <c r="AY579" s="4"/>
      <c r="AZ579" s="4"/>
      <c r="BA579" s="4"/>
      <c r="BB579" s="4"/>
      <c r="BC579" s="4"/>
      <c r="BD579" s="5"/>
      <c r="BE579" s="4"/>
      <c r="BF579" s="4"/>
      <c r="BG579" s="4"/>
      <c r="BH579" s="4"/>
      <c r="BI579" s="4"/>
      <c r="BJ579" s="4"/>
      <c r="BK579" s="4"/>
      <c r="BL579" s="4"/>
      <c r="BM579" s="4"/>
      <c r="BN579" s="4"/>
      <c r="BO579" s="4"/>
      <c r="BP579" s="4"/>
      <c r="BQ579" s="4"/>
      <c r="BR579" s="4"/>
      <c r="BS579" s="4"/>
    </row>
    <row r="580" spans="1:7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c r="AG580" s="3"/>
      <c r="AH580" s="4"/>
      <c r="AI580" s="4"/>
      <c r="AJ580" s="4"/>
      <c r="AK580" s="4"/>
      <c r="AL580" s="4"/>
      <c r="AM580" s="4"/>
      <c r="AN580" s="4"/>
      <c r="AO580" s="4"/>
      <c r="AP580" s="4"/>
      <c r="AQ580" s="4"/>
      <c r="AR580" s="4"/>
      <c r="AS580" s="4"/>
      <c r="AT580" s="4"/>
      <c r="AU580" s="4"/>
      <c r="AV580" s="4"/>
      <c r="AW580" s="4"/>
      <c r="AX580" s="4"/>
      <c r="AY580" s="4"/>
      <c r="AZ580" s="4"/>
      <c r="BA580" s="4"/>
      <c r="BB580" s="4"/>
      <c r="BC580" s="4"/>
      <c r="BD580" s="5"/>
      <c r="BE580" s="4"/>
      <c r="BF580" s="4"/>
      <c r="BG580" s="4"/>
      <c r="BH580" s="4"/>
      <c r="BI580" s="4"/>
      <c r="BJ580" s="4"/>
      <c r="BK580" s="4"/>
      <c r="BL580" s="4"/>
      <c r="BM580" s="4"/>
      <c r="BN580" s="4"/>
      <c r="BO580" s="4"/>
      <c r="BP580" s="4"/>
      <c r="BQ580" s="4"/>
      <c r="BR580" s="4"/>
      <c r="BS580" s="4"/>
    </row>
    <row r="581" spans="1:7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c r="AG581" s="3"/>
      <c r="AH581" s="4"/>
      <c r="AI581" s="4"/>
      <c r="AJ581" s="4"/>
      <c r="AK581" s="4"/>
      <c r="AL581" s="4"/>
      <c r="AM581" s="4"/>
      <c r="AN581" s="4"/>
      <c r="AO581" s="4"/>
      <c r="AP581" s="4"/>
      <c r="AQ581" s="4"/>
      <c r="AR581" s="4"/>
      <c r="AS581" s="4"/>
      <c r="AT581" s="4"/>
      <c r="AU581" s="4"/>
      <c r="AV581" s="4"/>
      <c r="AW581" s="4"/>
      <c r="AX581" s="4"/>
      <c r="AY581" s="4"/>
      <c r="AZ581" s="4"/>
      <c r="BA581" s="4"/>
      <c r="BB581" s="4"/>
      <c r="BC581" s="4"/>
      <c r="BD581" s="5"/>
      <c r="BE581" s="4"/>
      <c r="BF581" s="4"/>
      <c r="BG581" s="4"/>
      <c r="BH581" s="4"/>
      <c r="BI581" s="4"/>
      <c r="BJ581" s="4"/>
      <c r="BK581" s="4"/>
      <c r="BL581" s="4"/>
      <c r="BM581" s="4"/>
      <c r="BN581" s="4"/>
      <c r="BO581" s="4"/>
      <c r="BP581" s="4"/>
      <c r="BQ581" s="4"/>
      <c r="BR581" s="4"/>
      <c r="BS581" s="4"/>
    </row>
    <row r="582" spans="1:7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c r="AG582" s="3"/>
      <c r="AH582" s="4"/>
      <c r="AI582" s="4"/>
      <c r="AJ582" s="4"/>
      <c r="AK582" s="4"/>
      <c r="AL582" s="4"/>
      <c r="AM582" s="4"/>
      <c r="AN582" s="4"/>
      <c r="AO582" s="4"/>
      <c r="AP582" s="4"/>
      <c r="AQ582" s="4"/>
      <c r="AR582" s="4"/>
      <c r="AS582" s="4"/>
      <c r="AT582" s="4"/>
      <c r="AU582" s="4"/>
      <c r="AV582" s="4"/>
      <c r="AW582" s="4"/>
      <c r="AX582" s="4"/>
      <c r="AY582" s="4"/>
      <c r="AZ582" s="4"/>
      <c r="BA582" s="4"/>
      <c r="BB582" s="4"/>
      <c r="BC582" s="4"/>
      <c r="BD582" s="5"/>
      <c r="BE582" s="4"/>
      <c r="BF582" s="4"/>
      <c r="BG582" s="4"/>
      <c r="BH582" s="4"/>
      <c r="BI582" s="4"/>
      <c r="BJ582" s="4"/>
      <c r="BK582" s="4"/>
      <c r="BL582" s="4"/>
      <c r="BM582" s="4"/>
      <c r="BN582" s="4"/>
      <c r="BO582" s="4"/>
      <c r="BP582" s="4"/>
      <c r="BQ582" s="4"/>
      <c r="BR582" s="4"/>
      <c r="BS582" s="4"/>
    </row>
    <row r="583" spans="1:7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c r="AG583" s="3"/>
      <c r="AH583" s="4"/>
      <c r="AI583" s="4"/>
      <c r="AJ583" s="4"/>
      <c r="AK583" s="4"/>
      <c r="AL583" s="4"/>
      <c r="AM583" s="4"/>
      <c r="AN583" s="4"/>
      <c r="AO583" s="4"/>
      <c r="AP583" s="4"/>
      <c r="AQ583" s="4"/>
      <c r="AR583" s="4"/>
      <c r="AS583" s="4"/>
      <c r="AT583" s="4"/>
      <c r="AU583" s="4"/>
      <c r="AV583" s="4"/>
      <c r="AW583" s="4"/>
      <c r="AX583" s="4"/>
      <c r="AY583" s="4"/>
      <c r="AZ583" s="4"/>
      <c r="BA583" s="4"/>
      <c r="BB583" s="4"/>
      <c r="BC583" s="4"/>
      <c r="BD583" s="5"/>
      <c r="BE583" s="4"/>
      <c r="BF583" s="4"/>
      <c r="BG583" s="4"/>
      <c r="BH583" s="4"/>
      <c r="BI583" s="4"/>
      <c r="BJ583" s="4"/>
      <c r="BK583" s="4"/>
      <c r="BL583" s="4"/>
      <c r="BM583" s="4"/>
      <c r="BN583" s="4"/>
      <c r="BO583" s="4"/>
      <c r="BP583" s="4"/>
      <c r="BQ583" s="4"/>
      <c r="BR583" s="4"/>
      <c r="BS583" s="4"/>
    </row>
    <row r="584" spans="1:7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c r="AG584" s="3"/>
      <c r="AH584" s="4"/>
      <c r="AI584" s="4"/>
      <c r="AJ584" s="4"/>
      <c r="AK584" s="4"/>
      <c r="AL584" s="4"/>
      <c r="AM584" s="4"/>
      <c r="AN584" s="4"/>
      <c r="AO584" s="4"/>
      <c r="AP584" s="4"/>
      <c r="AQ584" s="4"/>
      <c r="AR584" s="4"/>
      <c r="AS584" s="4"/>
      <c r="AT584" s="4"/>
      <c r="AU584" s="4"/>
      <c r="AV584" s="4"/>
      <c r="AW584" s="4"/>
      <c r="AX584" s="4"/>
      <c r="AY584" s="4"/>
      <c r="AZ584" s="4"/>
      <c r="BA584" s="4"/>
      <c r="BB584" s="4"/>
      <c r="BC584" s="4"/>
      <c r="BD584" s="5"/>
      <c r="BE584" s="4"/>
      <c r="BF584" s="4"/>
      <c r="BG584" s="4"/>
      <c r="BH584" s="4"/>
      <c r="BI584" s="4"/>
      <c r="BJ584" s="4"/>
      <c r="BK584" s="4"/>
      <c r="BL584" s="4"/>
      <c r="BM584" s="4"/>
      <c r="BN584" s="4"/>
      <c r="BO584" s="4"/>
      <c r="BP584" s="4"/>
      <c r="BQ584" s="4"/>
      <c r="BR584" s="4"/>
      <c r="BS584" s="4"/>
    </row>
    <row r="585" spans="1:7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c r="AG585" s="3"/>
      <c r="AH585" s="4"/>
      <c r="AI585" s="4"/>
      <c r="AJ585" s="4"/>
      <c r="AK585" s="4"/>
      <c r="AL585" s="4"/>
      <c r="AM585" s="4"/>
      <c r="AN585" s="4"/>
      <c r="AO585" s="4"/>
      <c r="AP585" s="4"/>
      <c r="AQ585" s="4"/>
      <c r="AR585" s="4"/>
      <c r="AS585" s="4"/>
      <c r="AT585" s="4"/>
      <c r="AU585" s="4"/>
      <c r="AV585" s="4"/>
      <c r="AW585" s="4"/>
      <c r="AX585" s="4"/>
      <c r="AY585" s="4"/>
      <c r="AZ585" s="4"/>
      <c r="BA585" s="4"/>
      <c r="BB585" s="4"/>
      <c r="BC585" s="4"/>
      <c r="BD585" s="5"/>
      <c r="BE585" s="4"/>
      <c r="BF585" s="4"/>
      <c r="BG585" s="4"/>
      <c r="BH585" s="4"/>
      <c r="BI585" s="4"/>
      <c r="BJ585" s="4"/>
      <c r="BK585" s="4"/>
      <c r="BL585" s="4"/>
      <c r="BM585" s="4"/>
      <c r="BN585" s="4"/>
      <c r="BO585" s="4"/>
      <c r="BP585" s="4"/>
      <c r="BQ585" s="4"/>
      <c r="BR585" s="4"/>
      <c r="BS585" s="4"/>
    </row>
    <row r="586" spans="1:7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c r="AG586" s="3"/>
      <c r="AH586" s="4"/>
      <c r="AI586" s="4"/>
      <c r="AJ586" s="4"/>
      <c r="AK586" s="4"/>
      <c r="AL586" s="4"/>
      <c r="AM586" s="4"/>
      <c r="AN586" s="4"/>
      <c r="AO586" s="4"/>
      <c r="AP586" s="4"/>
      <c r="AQ586" s="4"/>
      <c r="AR586" s="4"/>
      <c r="AS586" s="4"/>
      <c r="AT586" s="4"/>
      <c r="AU586" s="4"/>
      <c r="AV586" s="4"/>
      <c r="AW586" s="4"/>
      <c r="AX586" s="4"/>
      <c r="AY586" s="4"/>
      <c r="AZ586" s="4"/>
      <c r="BA586" s="4"/>
      <c r="BB586" s="4"/>
      <c r="BC586" s="4"/>
      <c r="BD586" s="5"/>
      <c r="BE586" s="4"/>
      <c r="BF586" s="4"/>
      <c r="BG586" s="4"/>
      <c r="BH586" s="4"/>
      <c r="BI586" s="4"/>
      <c r="BJ586" s="4"/>
      <c r="BK586" s="4"/>
      <c r="BL586" s="4"/>
      <c r="BM586" s="4"/>
      <c r="BN586" s="4"/>
      <c r="BO586" s="4"/>
      <c r="BP586" s="4"/>
      <c r="BQ586" s="4"/>
      <c r="BR586" s="4"/>
      <c r="BS586" s="4"/>
    </row>
    <row r="587" spans="1:7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c r="AG587" s="3"/>
      <c r="AH587" s="4"/>
      <c r="AI587" s="4"/>
      <c r="AJ587" s="4"/>
      <c r="AK587" s="4"/>
      <c r="AL587" s="4"/>
      <c r="AM587" s="4"/>
      <c r="AN587" s="4"/>
      <c r="AO587" s="4"/>
      <c r="AP587" s="4"/>
      <c r="AQ587" s="4"/>
      <c r="AR587" s="4"/>
      <c r="AS587" s="4"/>
      <c r="AT587" s="4"/>
      <c r="AU587" s="4"/>
      <c r="AV587" s="4"/>
      <c r="AW587" s="4"/>
      <c r="AX587" s="4"/>
      <c r="AY587" s="4"/>
      <c r="AZ587" s="4"/>
      <c r="BA587" s="4"/>
      <c r="BB587" s="4"/>
      <c r="BC587" s="4"/>
      <c r="BD587" s="5"/>
      <c r="BE587" s="4"/>
      <c r="BF587" s="4"/>
      <c r="BG587" s="4"/>
      <c r="BH587" s="4"/>
      <c r="BI587" s="4"/>
      <c r="BJ587" s="4"/>
      <c r="BK587" s="4"/>
      <c r="BL587" s="4"/>
      <c r="BM587" s="4"/>
      <c r="BN587" s="4"/>
      <c r="BO587" s="4"/>
      <c r="BP587" s="4"/>
      <c r="BQ587" s="4"/>
      <c r="BR587" s="4"/>
      <c r="BS587" s="4"/>
    </row>
    <row r="588" spans="1:7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c r="AG588" s="3"/>
      <c r="AH588" s="4"/>
      <c r="AI588" s="4"/>
      <c r="AJ588" s="4"/>
      <c r="AK588" s="4"/>
      <c r="AL588" s="4"/>
      <c r="AM588" s="4"/>
      <c r="AN588" s="4"/>
      <c r="AO588" s="4"/>
      <c r="AP588" s="4"/>
      <c r="AQ588" s="4"/>
      <c r="AR588" s="4"/>
      <c r="AS588" s="4"/>
      <c r="AT588" s="4"/>
      <c r="AU588" s="4"/>
      <c r="AV588" s="4"/>
      <c r="AW588" s="4"/>
      <c r="AX588" s="4"/>
      <c r="AY588" s="4"/>
      <c r="AZ588" s="4"/>
      <c r="BA588" s="4"/>
      <c r="BB588" s="4"/>
      <c r="BC588" s="4"/>
      <c r="BD588" s="5"/>
      <c r="BE588" s="4"/>
      <c r="BF588" s="4"/>
      <c r="BG588" s="4"/>
      <c r="BH588" s="4"/>
      <c r="BI588" s="4"/>
      <c r="BJ588" s="4"/>
      <c r="BK588" s="4"/>
      <c r="BL588" s="4"/>
      <c r="BM588" s="4"/>
      <c r="BN588" s="4"/>
      <c r="BO588" s="4"/>
      <c r="BP588" s="4"/>
      <c r="BQ588" s="4"/>
      <c r="BR588" s="4"/>
      <c r="BS588" s="4"/>
    </row>
    <row r="589" spans="1:7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c r="AG589" s="3"/>
      <c r="AH589" s="4"/>
      <c r="AI589" s="4"/>
      <c r="AJ589" s="4"/>
      <c r="AK589" s="4"/>
      <c r="AL589" s="4"/>
      <c r="AM589" s="4"/>
      <c r="AN589" s="4"/>
      <c r="AO589" s="4"/>
      <c r="AP589" s="4"/>
      <c r="AQ589" s="4"/>
      <c r="AR589" s="4"/>
      <c r="AS589" s="4"/>
      <c r="AT589" s="4"/>
      <c r="AU589" s="4"/>
      <c r="AV589" s="4"/>
      <c r="AW589" s="4"/>
      <c r="AX589" s="4"/>
      <c r="AY589" s="4"/>
      <c r="AZ589" s="4"/>
      <c r="BA589" s="4"/>
      <c r="BB589" s="4"/>
      <c r="BC589" s="4"/>
      <c r="BD589" s="5"/>
      <c r="BE589" s="4"/>
      <c r="BF589" s="4"/>
      <c r="BG589" s="4"/>
      <c r="BH589" s="4"/>
      <c r="BI589" s="4"/>
      <c r="BJ589" s="4"/>
      <c r="BK589" s="4"/>
      <c r="BL589" s="4"/>
      <c r="BM589" s="4"/>
      <c r="BN589" s="4"/>
      <c r="BO589" s="4"/>
      <c r="BP589" s="4"/>
      <c r="BQ589" s="4"/>
      <c r="BR589" s="4"/>
      <c r="BS589" s="4"/>
    </row>
    <row r="590" spans="1:7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c r="AG590" s="3"/>
      <c r="AH590" s="4"/>
      <c r="AI590" s="4"/>
      <c r="AJ590" s="4"/>
      <c r="AK590" s="4"/>
      <c r="AL590" s="4"/>
      <c r="AM590" s="4"/>
      <c r="AN590" s="4"/>
      <c r="AO590" s="4"/>
      <c r="AP590" s="4"/>
      <c r="AQ590" s="4"/>
      <c r="AR590" s="4"/>
      <c r="AS590" s="4"/>
      <c r="AT590" s="4"/>
      <c r="AU590" s="4"/>
      <c r="AV590" s="4"/>
      <c r="AW590" s="4"/>
      <c r="AX590" s="4"/>
      <c r="AY590" s="4"/>
      <c r="AZ590" s="4"/>
      <c r="BA590" s="4"/>
      <c r="BB590" s="4"/>
      <c r="BC590" s="4"/>
      <c r="BD590" s="5"/>
      <c r="BE590" s="4"/>
      <c r="BF590" s="4"/>
      <c r="BG590" s="4"/>
      <c r="BH590" s="4"/>
      <c r="BI590" s="4"/>
      <c r="BJ590" s="4"/>
      <c r="BK590" s="4"/>
      <c r="BL590" s="4"/>
      <c r="BM590" s="4"/>
      <c r="BN590" s="4"/>
      <c r="BO590" s="4"/>
      <c r="BP590" s="4"/>
      <c r="BQ590" s="4"/>
      <c r="BR590" s="4"/>
      <c r="BS590" s="4"/>
    </row>
    <row r="591" spans="1:7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c r="AG591" s="3"/>
      <c r="AH591" s="4"/>
      <c r="AI591" s="4"/>
      <c r="AJ591" s="4"/>
      <c r="AK591" s="4"/>
      <c r="AL591" s="4"/>
      <c r="AM591" s="4"/>
      <c r="AN591" s="4"/>
      <c r="AO591" s="4"/>
      <c r="AP591" s="4"/>
      <c r="AQ591" s="4"/>
      <c r="AR591" s="4"/>
      <c r="AS591" s="4"/>
      <c r="AT591" s="4"/>
      <c r="AU591" s="4"/>
      <c r="AV591" s="4"/>
      <c r="AW591" s="4"/>
      <c r="AX591" s="4"/>
      <c r="AY591" s="4"/>
      <c r="AZ591" s="4"/>
      <c r="BA591" s="4"/>
      <c r="BB591" s="4"/>
      <c r="BC591" s="4"/>
      <c r="BD591" s="5"/>
      <c r="BE591" s="4"/>
      <c r="BF591" s="4"/>
      <c r="BG591" s="4"/>
      <c r="BH591" s="4"/>
      <c r="BI591" s="4"/>
      <c r="BJ591" s="4"/>
      <c r="BK591" s="4"/>
      <c r="BL591" s="4"/>
      <c r="BM591" s="4"/>
      <c r="BN591" s="4"/>
      <c r="BO591" s="4"/>
      <c r="BP591" s="4"/>
      <c r="BQ591" s="4"/>
      <c r="BR591" s="4"/>
      <c r="BS591" s="4"/>
    </row>
    <row r="592" spans="1:7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c r="AG592" s="3"/>
      <c r="AH592" s="4"/>
      <c r="AI592" s="4"/>
      <c r="AJ592" s="4"/>
      <c r="AK592" s="4"/>
      <c r="AL592" s="4"/>
      <c r="AM592" s="4"/>
      <c r="AN592" s="4"/>
      <c r="AO592" s="4"/>
      <c r="AP592" s="4"/>
      <c r="AQ592" s="4"/>
      <c r="AR592" s="4"/>
      <c r="AS592" s="4"/>
      <c r="AT592" s="4"/>
      <c r="AU592" s="4"/>
      <c r="AV592" s="4"/>
      <c r="AW592" s="4"/>
      <c r="AX592" s="4"/>
      <c r="AY592" s="4"/>
      <c r="AZ592" s="4"/>
      <c r="BA592" s="4"/>
      <c r="BB592" s="4"/>
      <c r="BC592" s="4"/>
      <c r="BD592" s="5"/>
      <c r="BE592" s="4"/>
      <c r="BF592" s="4"/>
      <c r="BG592" s="4"/>
      <c r="BH592" s="4"/>
      <c r="BI592" s="4"/>
      <c r="BJ592" s="4"/>
      <c r="BK592" s="4"/>
      <c r="BL592" s="4"/>
      <c r="BM592" s="4"/>
      <c r="BN592" s="4"/>
      <c r="BO592" s="4"/>
      <c r="BP592" s="4"/>
      <c r="BQ592" s="4"/>
      <c r="BR592" s="4"/>
      <c r="BS592" s="4"/>
    </row>
    <row r="593" spans="1:7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c r="AG593" s="3"/>
      <c r="AH593" s="4"/>
      <c r="AI593" s="4"/>
      <c r="AJ593" s="4"/>
      <c r="AK593" s="4"/>
      <c r="AL593" s="4"/>
      <c r="AM593" s="4"/>
      <c r="AN593" s="4"/>
      <c r="AO593" s="4"/>
      <c r="AP593" s="4"/>
      <c r="AQ593" s="4"/>
      <c r="AR593" s="4"/>
      <c r="AS593" s="4"/>
      <c r="AT593" s="4"/>
      <c r="AU593" s="4"/>
      <c r="AV593" s="4"/>
      <c r="AW593" s="4"/>
      <c r="AX593" s="4"/>
      <c r="AY593" s="4"/>
      <c r="AZ593" s="4"/>
      <c r="BA593" s="4"/>
      <c r="BB593" s="4"/>
      <c r="BC593" s="4"/>
      <c r="BD593" s="5"/>
      <c r="BE593" s="4"/>
      <c r="BF593" s="4"/>
      <c r="BG593" s="4"/>
      <c r="BH593" s="4"/>
      <c r="BI593" s="4"/>
      <c r="BJ593" s="4"/>
      <c r="BK593" s="4"/>
      <c r="BL593" s="4"/>
      <c r="BM593" s="4"/>
      <c r="BN593" s="4"/>
      <c r="BO593" s="4"/>
      <c r="BP593" s="4"/>
      <c r="BQ593" s="4"/>
      <c r="BR593" s="4"/>
      <c r="BS593" s="4"/>
    </row>
    <row r="594" spans="1:7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c r="AG594" s="3"/>
      <c r="AH594" s="4"/>
      <c r="AI594" s="4"/>
      <c r="AJ594" s="4"/>
      <c r="AK594" s="4"/>
      <c r="AL594" s="4"/>
      <c r="AM594" s="4"/>
      <c r="AN594" s="4"/>
      <c r="AO594" s="4"/>
      <c r="AP594" s="4"/>
      <c r="AQ594" s="4"/>
      <c r="AR594" s="4"/>
      <c r="AS594" s="4"/>
      <c r="AT594" s="4"/>
      <c r="AU594" s="4"/>
      <c r="AV594" s="4"/>
      <c r="AW594" s="4"/>
      <c r="AX594" s="4"/>
      <c r="AY594" s="4"/>
      <c r="AZ594" s="4"/>
      <c r="BA594" s="4"/>
      <c r="BB594" s="4"/>
      <c r="BC594" s="4"/>
      <c r="BD594" s="5"/>
      <c r="BE594" s="4"/>
      <c r="BF594" s="4"/>
      <c r="BG594" s="4"/>
      <c r="BH594" s="4"/>
      <c r="BI594" s="4"/>
      <c r="BJ594" s="4"/>
      <c r="BK594" s="4"/>
      <c r="BL594" s="4"/>
      <c r="BM594" s="4"/>
      <c r="BN594" s="4"/>
      <c r="BO594" s="4"/>
      <c r="BP594" s="4"/>
      <c r="BQ594" s="4"/>
      <c r="BR594" s="4"/>
      <c r="BS594" s="4"/>
    </row>
    <row r="595" spans="1:7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c r="AG595" s="3"/>
      <c r="AH595" s="4"/>
      <c r="AI595" s="4"/>
      <c r="AJ595" s="4"/>
      <c r="AK595" s="4"/>
      <c r="AL595" s="4"/>
      <c r="AM595" s="4"/>
      <c r="AN595" s="4"/>
      <c r="AO595" s="4"/>
      <c r="AP595" s="4"/>
      <c r="AQ595" s="4"/>
      <c r="AR595" s="4"/>
      <c r="AS595" s="4"/>
      <c r="AT595" s="4"/>
      <c r="AU595" s="4"/>
      <c r="AV595" s="4"/>
      <c r="AW595" s="4"/>
      <c r="AX595" s="4"/>
      <c r="AY595" s="4"/>
      <c r="AZ595" s="4"/>
      <c r="BA595" s="4"/>
      <c r="BB595" s="4"/>
      <c r="BC595" s="4"/>
      <c r="BD595" s="5"/>
      <c r="BE595" s="4"/>
      <c r="BF595" s="4"/>
      <c r="BG595" s="4"/>
      <c r="BH595" s="4"/>
      <c r="BI595" s="4"/>
      <c r="BJ595" s="4"/>
      <c r="BK595" s="4"/>
      <c r="BL595" s="4"/>
      <c r="BM595" s="4"/>
      <c r="BN595" s="4"/>
      <c r="BO595" s="4"/>
      <c r="BP595" s="4"/>
      <c r="BQ595" s="4"/>
      <c r="BR595" s="4"/>
      <c r="BS595" s="4"/>
    </row>
    <row r="596" spans="1:7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c r="AG596" s="3"/>
      <c r="AH596" s="4"/>
      <c r="AI596" s="4"/>
      <c r="AJ596" s="4"/>
      <c r="AK596" s="4"/>
      <c r="AL596" s="4"/>
      <c r="AM596" s="4"/>
      <c r="AN596" s="4"/>
      <c r="AO596" s="4"/>
      <c r="AP596" s="4"/>
      <c r="AQ596" s="4"/>
      <c r="AR596" s="4"/>
      <c r="AS596" s="4"/>
      <c r="AT596" s="4"/>
      <c r="AU596" s="4"/>
      <c r="AV596" s="4"/>
      <c r="AW596" s="4"/>
      <c r="AX596" s="4"/>
      <c r="AY596" s="4"/>
      <c r="AZ596" s="4"/>
      <c r="BA596" s="4"/>
      <c r="BB596" s="4"/>
      <c r="BC596" s="4"/>
      <c r="BD596" s="5"/>
      <c r="BE596" s="4"/>
      <c r="BF596" s="4"/>
      <c r="BG596" s="4"/>
      <c r="BH596" s="4"/>
      <c r="BI596" s="4"/>
      <c r="BJ596" s="4"/>
      <c r="BK596" s="4"/>
      <c r="BL596" s="4"/>
      <c r="BM596" s="4"/>
      <c r="BN596" s="4"/>
      <c r="BO596" s="4"/>
      <c r="BP596" s="4"/>
      <c r="BQ596" s="4"/>
      <c r="BR596" s="4"/>
      <c r="BS596" s="4"/>
    </row>
    <row r="597" spans="1:7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c r="AG597" s="3"/>
      <c r="AH597" s="4"/>
      <c r="AI597" s="4"/>
      <c r="AJ597" s="4"/>
      <c r="AK597" s="4"/>
      <c r="AL597" s="4"/>
      <c r="AM597" s="4"/>
      <c r="AN597" s="4"/>
      <c r="AO597" s="4"/>
      <c r="AP597" s="4"/>
      <c r="AQ597" s="4"/>
      <c r="AR597" s="4"/>
      <c r="AS597" s="4"/>
      <c r="AT597" s="4"/>
      <c r="AU597" s="4"/>
      <c r="AV597" s="4"/>
      <c r="AW597" s="4"/>
      <c r="AX597" s="4"/>
      <c r="AY597" s="4"/>
      <c r="AZ597" s="4"/>
      <c r="BA597" s="4"/>
      <c r="BB597" s="4"/>
      <c r="BC597" s="4"/>
      <c r="BD597" s="5"/>
      <c r="BE597" s="4"/>
      <c r="BF597" s="4"/>
      <c r="BG597" s="4"/>
      <c r="BH597" s="4"/>
      <c r="BI597" s="4"/>
      <c r="BJ597" s="4"/>
      <c r="BK597" s="4"/>
      <c r="BL597" s="4"/>
      <c r="BM597" s="4"/>
      <c r="BN597" s="4"/>
      <c r="BO597" s="4"/>
      <c r="BP597" s="4"/>
      <c r="BQ597" s="4"/>
      <c r="BR597" s="4"/>
      <c r="BS597" s="4"/>
    </row>
    <row r="598" spans="1:7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c r="AG598" s="3"/>
      <c r="AH598" s="4"/>
      <c r="AI598" s="4"/>
      <c r="AJ598" s="4"/>
      <c r="AK598" s="4"/>
      <c r="AL598" s="4"/>
      <c r="AM598" s="4"/>
      <c r="AN598" s="4"/>
      <c r="AO598" s="4"/>
      <c r="AP598" s="4"/>
      <c r="AQ598" s="4"/>
      <c r="AR598" s="4"/>
      <c r="AS598" s="4"/>
      <c r="AT598" s="4"/>
      <c r="AU598" s="4"/>
      <c r="AV598" s="4"/>
      <c r="AW598" s="4"/>
      <c r="AX598" s="4"/>
      <c r="AY598" s="4"/>
      <c r="AZ598" s="4"/>
      <c r="BA598" s="4"/>
      <c r="BB598" s="4"/>
      <c r="BC598" s="4"/>
      <c r="BD598" s="5"/>
      <c r="BE598" s="4"/>
      <c r="BF598" s="4"/>
      <c r="BG598" s="4"/>
      <c r="BH598" s="4"/>
      <c r="BI598" s="4"/>
      <c r="BJ598" s="4"/>
      <c r="BK598" s="4"/>
      <c r="BL598" s="4"/>
      <c r="BM598" s="4"/>
      <c r="BN598" s="4"/>
      <c r="BO598" s="4"/>
      <c r="BP598" s="4"/>
      <c r="BQ598" s="4"/>
      <c r="BR598" s="4"/>
      <c r="BS598" s="4"/>
    </row>
    <row r="599" spans="1:7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c r="AG599" s="3"/>
      <c r="AH599" s="4"/>
      <c r="AI599" s="4"/>
      <c r="AJ599" s="4"/>
      <c r="AK599" s="4"/>
      <c r="AL599" s="4"/>
      <c r="AM599" s="4"/>
      <c r="AN599" s="4"/>
      <c r="AO599" s="4"/>
      <c r="AP599" s="4"/>
      <c r="AQ599" s="4"/>
      <c r="AR599" s="4"/>
      <c r="AS599" s="4"/>
      <c r="AT599" s="4"/>
      <c r="AU599" s="4"/>
      <c r="AV599" s="4"/>
      <c r="AW599" s="4"/>
      <c r="AX599" s="4"/>
      <c r="AY599" s="4"/>
      <c r="AZ599" s="4"/>
      <c r="BA599" s="4"/>
      <c r="BB599" s="4"/>
      <c r="BC599" s="4"/>
      <c r="BD599" s="5"/>
      <c r="BE599" s="4"/>
      <c r="BF599" s="4"/>
      <c r="BG599" s="4"/>
      <c r="BH599" s="4"/>
      <c r="BI599" s="4"/>
      <c r="BJ599" s="4"/>
      <c r="BK599" s="4"/>
      <c r="BL599" s="4"/>
      <c r="BM599" s="4"/>
      <c r="BN599" s="4"/>
      <c r="BO599" s="4"/>
      <c r="BP599" s="4"/>
      <c r="BQ599" s="4"/>
      <c r="BR599" s="4"/>
      <c r="BS599" s="4"/>
    </row>
    <row r="600" spans="1:7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c r="AG600" s="3"/>
      <c r="AH600" s="4"/>
      <c r="AI600" s="4"/>
      <c r="AJ600" s="4"/>
      <c r="AK600" s="4"/>
      <c r="AL600" s="4"/>
      <c r="AM600" s="4"/>
      <c r="AN600" s="4"/>
      <c r="AO600" s="4"/>
      <c r="AP600" s="4"/>
      <c r="AQ600" s="4"/>
      <c r="AR600" s="4"/>
      <c r="AS600" s="4"/>
      <c r="AT600" s="4"/>
      <c r="AU600" s="4"/>
      <c r="AV600" s="4"/>
      <c r="AW600" s="4"/>
      <c r="AX600" s="4"/>
      <c r="AY600" s="4"/>
      <c r="AZ600" s="4"/>
      <c r="BA600" s="4"/>
      <c r="BB600" s="4"/>
      <c r="BC600" s="4"/>
      <c r="BD600" s="5"/>
      <c r="BE600" s="4"/>
      <c r="BF600" s="4"/>
      <c r="BG600" s="4"/>
      <c r="BH600" s="4"/>
      <c r="BI600" s="4"/>
      <c r="BJ600" s="4"/>
      <c r="BK600" s="4"/>
      <c r="BL600" s="4"/>
      <c r="BM600" s="4"/>
      <c r="BN600" s="4"/>
      <c r="BO600" s="4"/>
      <c r="BP600" s="4"/>
      <c r="BQ600" s="4"/>
      <c r="BR600" s="4"/>
      <c r="BS600" s="4"/>
    </row>
    <row r="601" spans="1:7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c r="AG601" s="3"/>
      <c r="AH601" s="4"/>
      <c r="AI601" s="4"/>
      <c r="AJ601" s="4"/>
      <c r="AK601" s="4"/>
      <c r="AL601" s="4"/>
      <c r="AM601" s="4"/>
      <c r="AN601" s="4"/>
      <c r="AO601" s="4"/>
      <c r="AP601" s="4"/>
      <c r="AQ601" s="4"/>
      <c r="AR601" s="4"/>
      <c r="AS601" s="4"/>
      <c r="AT601" s="4"/>
      <c r="AU601" s="4"/>
      <c r="AV601" s="4"/>
      <c r="AW601" s="4"/>
      <c r="AX601" s="4"/>
      <c r="AY601" s="4"/>
      <c r="AZ601" s="4"/>
      <c r="BA601" s="4"/>
      <c r="BB601" s="4"/>
      <c r="BC601" s="4"/>
      <c r="BD601" s="5"/>
      <c r="BE601" s="4"/>
      <c r="BF601" s="4"/>
      <c r="BG601" s="4"/>
      <c r="BH601" s="4"/>
      <c r="BI601" s="4"/>
      <c r="BJ601" s="4"/>
      <c r="BK601" s="4"/>
      <c r="BL601" s="4"/>
      <c r="BM601" s="4"/>
      <c r="BN601" s="4"/>
      <c r="BO601" s="4"/>
      <c r="BP601" s="4"/>
      <c r="BQ601" s="4"/>
      <c r="BR601" s="4"/>
      <c r="BS601" s="4"/>
    </row>
    <row r="602" spans="1:7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c r="AG602" s="3"/>
      <c r="AH602" s="4"/>
      <c r="AI602" s="4"/>
      <c r="AJ602" s="4"/>
      <c r="AK602" s="4"/>
      <c r="AL602" s="4"/>
      <c r="AM602" s="4"/>
      <c r="AN602" s="4"/>
      <c r="AO602" s="4"/>
      <c r="AP602" s="4"/>
      <c r="AQ602" s="4"/>
      <c r="AR602" s="4"/>
      <c r="AS602" s="4"/>
      <c r="AT602" s="4"/>
      <c r="AU602" s="4"/>
      <c r="AV602" s="4"/>
      <c r="AW602" s="4"/>
      <c r="AX602" s="4"/>
      <c r="AY602" s="4"/>
      <c r="AZ602" s="4"/>
      <c r="BA602" s="4"/>
      <c r="BB602" s="4"/>
      <c r="BC602" s="4"/>
      <c r="BD602" s="5"/>
      <c r="BE602" s="4"/>
      <c r="BF602" s="4"/>
      <c r="BG602" s="4"/>
      <c r="BH602" s="4"/>
      <c r="BI602" s="4"/>
      <c r="BJ602" s="4"/>
      <c r="BK602" s="4"/>
      <c r="BL602" s="4"/>
      <c r="BM602" s="4"/>
      <c r="BN602" s="4"/>
      <c r="BO602" s="4"/>
      <c r="BP602" s="4"/>
      <c r="BQ602" s="4"/>
      <c r="BR602" s="4"/>
      <c r="BS602" s="4"/>
    </row>
    <row r="603" spans="1:7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c r="AG603" s="3"/>
      <c r="AH603" s="4"/>
      <c r="AI603" s="4"/>
      <c r="AJ603" s="4"/>
      <c r="AK603" s="4"/>
      <c r="AL603" s="4"/>
      <c r="AM603" s="4"/>
      <c r="AN603" s="4"/>
      <c r="AO603" s="4"/>
      <c r="AP603" s="4"/>
      <c r="AQ603" s="4"/>
      <c r="AR603" s="4"/>
      <c r="AS603" s="4"/>
      <c r="AT603" s="4"/>
      <c r="AU603" s="4"/>
      <c r="AV603" s="4"/>
      <c r="AW603" s="4"/>
      <c r="AX603" s="4"/>
      <c r="AY603" s="4"/>
      <c r="AZ603" s="4"/>
      <c r="BA603" s="4"/>
      <c r="BB603" s="4"/>
      <c r="BC603" s="4"/>
      <c r="BD603" s="5"/>
      <c r="BE603" s="4"/>
      <c r="BF603" s="4"/>
      <c r="BG603" s="4"/>
      <c r="BH603" s="4"/>
      <c r="BI603" s="4"/>
      <c r="BJ603" s="4"/>
      <c r="BK603" s="4"/>
      <c r="BL603" s="4"/>
      <c r="BM603" s="4"/>
      <c r="BN603" s="4"/>
      <c r="BO603" s="4"/>
      <c r="BP603" s="4"/>
      <c r="BQ603" s="4"/>
      <c r="BR603" s="4"/>
      <c r="BS603" s="4"/>
    </row>
    <row r="604" spans="1:7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c r="AG604" s="3"/>
      <c r="AH604" s="4"/>
      <c r="AI604" s="4"/>
      <c r="AJ604" s="4"/>
      <c r="AK604" s="4"/>
      <c r="AL604" s="4"/>
      <c r="AM604" s="4"/>
      <c r="AN604" s="4"/>
      <c r="AO604" s="4"/>
      <c r="AP604" s="4"/>
      <c r="AQ604" s="4"/>
      <c r="AR604" s="4"/>
      <c r="AS604" s="4"/>
      <c r="AT604" s="4"/>
      <c r="AU604" s="4"/>
      <c r="AV604" s="4"/>
      <c r="AW604" s="4"/>
      <c r="AX604" s="4"/>
      <c r="AY604" s="4"/>
      <c r="AZ604" s="4"/>
      <c r="BA604" s="4"/>
      <c r="BB604" s="4"/>
      <c r="BC604" s="4"/>
      <c r="BD604" s="5"/>
      <c r="BE604" s="4"/>
      <c r="BF604" s="4"/>
      <c r="BG604" s="4"/>
      <c r="BH604" s="4"/>
      <c r="BI604" s="4"/>
      <c r="BJ604" s="4"/>
      <c r="BK604" s="4"/>
      <c r="BL604" s="4"/>
      <c r="BM604" s="4"/>
      <c r="BN604" s="4"/>
      <c r="BO604" s="4"/>
      <c r="BP604" s="4"/>
      <c r="BQ604" s="4"/>
      <c r="BR604" s="4"/>
      <c r="BS604" s="4"/>
    </row>
    <row r="605" spans="1:7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c r="AG605" s="3"/>
      <c r="AH605" s="4"/>
      <c r="AI605" s="4"/>
      <c r="AJ605" s="4"/>
      <c r="AK605" s="4"/>
      <c r="AL605" s="4"/>
      <c r="AM605" s="4"/>
      <c r="AN605" s="4"/>
      <c r="AO605" s="4"/>
      <c r="AP605" s="4"/>
      <c r="AQ605" s="4"/>
      <c r="AR605" s="4"/>
      <c r="AS605" s="4"/>
      <c r="AT605" s="4"/>
      <c r="AU605" s="4"/>
      <c r="AV605" s="4"/>
      <c r="AW605" s="4"/>
      <c r="AX605" s="4"/>
      <c r="AY605" s="4"/>
      <c r="AZ605" s="4"/>
      <c r="BA605" s="4"/>
      <c r="BB605" s="4"/>
      <c r="BC605" s="4"/>
      <c r="BD605" s="5"/>
      <c r="BE605" s="4"/>
      <c r="BF605" s="4"/>
      <c r="BG605" s="4"/>
      <c r="BH605" s="4"/>
      <c r="BI605" s="4"/>
      <c r="BJ605" s="4"/>
      <c r="BK605" s="4"/>
      <c r="BL605" s="4"/>
      <c r="BM605" s="4"/>
      <c r="BN605" s="4"/>
      <c r="BO605" s="4"/>
      <c r="BP605" s="4"/>
      <c r="BQ605" s="4"/>
      <c r="BR605" s="4"/>
      <c r="BS605" s="4"/>
    </row>
    <row r="606" spans="1:7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c r="AG606" s="3"/>
      <c r="AH606" s="4"/>
      <c r="AI606" s="4"/>
      <c r="AJ606" s="4"/>
      <c r="AK606" s="4"/>
      <c r="AL606" s="4"/>
      <c r="AM606" s="4"/>
      <c r="AN606" s="4"/>
      <c r="AO606" s="4"/>
      <c r="AP606" s="4"/>
      <c r="AQ606" s="4"/>
      <c r="AR606" s="4"/>
      <c r="AS606" s="4"/>
      <c r="AT606" s="4"/>
      <c r="AU606" s="4"/>
      <c r="AV606" s="4"/>
      <c r="AW606" s="4"/>
      <c r="AX606" s="4"/>
      <c r="AY606" s="4"/>
      <c r="AZ606" s="4"/>
      <c r="BA606" s="4"/>
      <c r="BB606" s="4"/>
      <c r="BC606" s="4"/>
      <c r="BD606" s="5"/>
      <c r="BE606" s="4"/>
      <c r="BF606" s="4"/>
      <c r="BG606" s="4"/>
      <c r="BH606" s="4"/>
      <c r="BI606" s="4"/>
      <c r="BJ606" s="4"/>
      <c r="BK606" s="4"/>
      <c r="BL606" s="4"/>
      <c r="BM606" s="4"/>
      <c r="BN606" s="4"/>
      <c r="BO606" s="4"/>
      <c r="BP606" s="4"/>
      <c r="BQ606" s="4"/>
      <c r="BR606" s="4"/>
      <c r="BS606" s="4"/>
    </row>
    <row r="607" spans="1:7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c r="AG607" s="3"/>
      <c r="AH607" s="4"/>
      <c r="AI607" s="4"/>
      <c r="AJ607" s="4"/>
      <c r="AK607" s="4"/>
      <c r="AL607" s="4"/>
      <c r="AM607" s="4"/>
      <c r="AN607" s="4"/>
      <c r="AO607" s="4"/>
      <c r="AP607" s="4"/>
      <c r="AQ607" s="4"/>
      <c r="AR607" s="4"/>
      <c r="AS607" s="4"/>
      <c r="AT607" s="4"/>
      <c r="AU607" s="4"/>
      <c r="AV607" s="4"/>
      <c r="AW607" s="4"/>
      <c r="AX607" s="4"/>
      <c r="AY607" s="4"/>
      <c r="AZ607" s="4"/>
      <c r="BA607" s="4"/>
      <c r="BB607" s="4"/>
      <c r="BC607" s="4"/>
      <c r="BD607" s="5"/>
      <c r="BE607" s="4"/>
      <c r="BF607" s="4"/>
      <c r="BG607" s="4"/>
      <c r="BH607" s="4"/>
      <c r="BI607" s="4"/>
      <c r="BJ607" s="4"/>
      <c r="BK607" s="4"/>
      <c r="BL607" s="4"/>
      <c r="BM607" s="4"/>
      <c r="BN607" s="4"/>
      <c r="BO607" s="4"/>
      <c r="BP607" s="4"/>
      <c r="BQ607" s="4"/>
      <c r="BR607" s="4"/>
      <c r="BS607" s="4"/>
    </row>
    <row r="608" spans="1:7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c r="AG608" s="3"/>
      <c r="AH608" s="4"/>
      <c r="AI608" s="4"/>
      <c r="AJ608" s="4"/>
      <c r="AK608" s="4"/>
      <c r="AL608" s="4"/>
      <c r="AM608" s="4"/>
      <c r="AN608" s="4"/>
      <c r="AO608" s="4"/>
      <c r="AP608" s="4"/>
      <c r="AQ608" s="4"/>
      <c r="AR608" s="4"/>
      <c r="AS608" s="4"/>
      <c r="AT608" s="4"/>
      <c r="AU608" s="4"/>
      <c r="AV608" s="4"/>
      <c r="AW608" s="4"/>
      <c r="AX608" s="4"/>
      <c r="AY608" s="4"/>
      <c r="AZ608" s="4"/>
      <c r="BA608" s="4"/>
      <c r="BB608" s="4"/>
      <c r="BC608" s="4"/>
      <c r="BD608" s="5"/>
      <c r="BE608" s="4"/>
      <c r="BF608" s="4"/>
      <c r="BG608" s="4"/>
      <c r="BH608" s="4"/>
      <c r="BI608" s="4"/>
      <c r="BJ608" s="4"/>
      <c r="BK608" s="4"/>
      <c r="BL608" s="4"/>
      <c r="BM608" s="4"/>
      <c r="BN608" s="4"/>
      <c r="BO608" s="4"/>
      <c r="BP608" s="4"/>
      <c r="BQ608" s="4"/>
      <c r="BR608" s="4"/>
      <c r="BS608" s="4"/>
    </row>
    <row r="609" spans="1:7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c r="AG609" s="3"/>
      <c r="AH609" s="4"/>
      <c r="AI609" s="4"/>
      <c r="AJ609" s="4"/>
      <c r="AK609" s="4"/>
      <c r="AL609" s="4"/>
      <c r="AM609" s="4"/>
      <c r="AN609" s="4"/>
      <c r="AO609" s="4"/>
      <c r="AP609" s="4"/>
      <c r="AQ609" s="4"/>
      <c r="AR609" s="4"/>
      <c r="AS609" s="4"/>
      <c r="AT609" s="4"/>
      <c r="AU609" s="4"/>
      <c r="AV609" s="4"/>
      <c r="AW609" s="4"/>
      <c r="AX609" s="4"/>
      <c r="AY609" s="4"/>
      <c r="AZ609" s="4"/>
      <c r="BA609" s="4"/>
      <c r="BB609" s="4"/>
      <c r="BC609" s="4"/>
      <c r="BD609" s="5"/>
      <c r="BE609" s="4"/>
      <c r="BF609" s="4"/>
      <c r="BG609" s="4"/>
      <c r="BH609" s="4"/>
      <c r="BI609" s="4"/>
      <c r="BJ609" s="4"/>
      <c r="BK609" s="4"/>
      <c r="BL609" s="4"/>
      <c r="BM609" s="4"/>
      <c r="BN609" s="4"/>
      <c r="BO609" s="4"/>
      <c r="BP609" s="4"/>
      <c r="BQ609" s="4"/>
      <c r="BR609" s="4"/>
      <c r="BS609" s="4"/>
    </row>
    <row r="610" spans="1:7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c r="AG610" s="3"/>
      <c r="AH610" s="4"/>
      <c r="AI610" s="4"/>
      <c r="AJ610" s="4"/>
      <c r="AK610" s="4"/>
      <c r="AL610" s="4"/>
      <c r="AM610" s="4"/>
      <c r="AN610" s="4"/>
      <c r="AO610" s="4"/>
      <c r="AP610" s="4"/>
      <c r="AQ610" s="4"/>
      <c r="AR610" s="4"/>
      <c r="AS610" s="4"/>
      <c r="AT610" s="4"/>
      <c r="AU610" s="4"/>
      <c r="AV610" s="4"/>
      <c r="AW610" s="4"/>
      <c r="AX610" s="4"/>
      <c r="AY610" s="4"/>
      <c r="AZ610" s="4"/>
      <c r="BA610" s="4"/>
      <c r="BB610" s="4"/>
      <c r="BC610" s="4"/>
      <c r="BD610" s="5"/>
      <c r="BE610" s="4"/>
      <c r="BF610" s="4"/>
      <c r="BG610" s="4"/>
      <c r="BH610" s="4"/>
      <c r="BI610" s="4"/>
      <c r="BJ610" s="4"/>
      <c r="BK610" s="4"/>
      <c r="BL610" s="4"/>
      <c r="BM610" s="4"/>
      <c r="BN610" s="4"/>
      <c r="BO610" s="4"/>
      <c r="BP610" s="4"/>
      <c r="BQ610" s="4"/>
      <c r="BR610" s="4"/>
      <c r="BS610" s="4"/>
    </row>
    <row r="611" spans="1:7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c r="AG611" s="3"/>
      <c r="AH611" s="4"/>
      <c r="AI611" s="4"/>
      <c r="AJ611" s="4"/>
      <c r="AK611" s="4"/>
      <c r="AL611" s="4"/>
      <c r="AM611" s="4"/>
      <c r="AN611" s="4"/>
      <c r="AO611" s="4"/>
      <c r="AP611" s="4"/>
      <c r="AQ611" s="4"/>
      <c r="AR611" s="4"/>
      <c r="AS611" s="4"/>
      <c r="AT611" s="4"/>
      <c r="AU611" s="4"/>
      <c r="AV611" s="4"/>
      <c r="AW611" s="4"/>
      <c r="AX611" s="4"/>
      <c r="AY611" s="4"/>
      <c r="AZ611" s="4"/>
      <c r="BA611" s="4"/>
      <c r="BB611" s="4"/>
      <c r="BC611" s="4"/>
      <c r="BD611" s="5"/>
      <c r="BE611" s="4"/>
      <c r="BF611" s="4"/>
      <c r="BG611" s="4"/>
      <c r="BH611" s="4"/>
      <c r="BI611" s="4"/>
      <c r="BJ611" s="4"/>
      <c r="BK611" s="4"/>
      <c r="BL611" s="4"/>
      <c r="BM611" s="4"/>
      <c r="BN611" s="4"/>
      <c r="BO611" s="4"/>
      <c r="BP611" s="4"/>
      <c r="BQ611" s="4"/>
      <c r="BR611" s="4"/>
      <c r="BS611" s="4"/>
    </row>
    <row r="612" spans="1:7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c r="AG612" s="3"/>
      <c r="AH612" s="4"/>
      <c r="AI612" s="4"/>
      <c r="AJ612" s="4"/>
      <c r="AK612" s="4"/>
      <c r="AL612" s="4"/>
      <c r="AM612" s="4"/>
      <c r="AN612" s="4"/>
      <c r="AO612" s="4"/>
      <c r="AP612" s="4"/>
      <c r="AQ612" s="4"/>
      <c r="AR612" s="4"/>
      <c r="AS612" s="4"/>
      <c r="AT612" s="4"/>
      <c r="AU612" s="4"/>
      <c r="AV612" s="4"/>
      <c r="AW612" s="4"/>
      <c r="AX612" s="4"/>
      <c r="AY612" s="4"/>
      <c r="AZ612" s="4"/>
      <c r="BA612" s="4"/>
      <c r="BB612" s="4"/>
      <c r="BC612" s="4"/>
      <c r="BD612" s="5"/>
      <c r="BE612" s="4"/>
      <c r="BF612" s="4"/>
      <c r="BG612" s="4"/>
      <c r="BH612" s="4"/>
      <c r="BI612" s="4"/>
      <c r="BJ612" s="4"/>
      <c r="BK612" s="4"/>
      <c r="BL612" s="4"/>
      <c r="BM612" s="4"/>
      <c r="BN612" s="4"/>
      <c r="BO612" s="4"/>
      <c r="BP612" s="4"/>
      <c r="BQ612" s="4"/>
      <c r="BR612" s="4"/>
      <c r="BS612" s="4"/>
    </row>
    <row r="613" spans="1:7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c r="AG613" s="3"/>
      <c r="AH613" s="4"/>
      <c r="AI613" s="4"/>
      <c r="AJ613" s="4"/>
      <c r="AK613" s="4"/>
      <c r="AL613" s="4"/>
      <c r="AM613" s="4"/>
      <c r="AN613" s="4"/>
      <c r="AO613" s="4"/>
      <c r="AP613" s="4"/>
      <c r="AQ613" s="4"/>
      <c r="AR613" s="4"/>
      <c r="AS613" s="4"/>
      <c r="AT613" s="4"/>
      <c r="AU613" s="4"/>
      <c r="AV613" s="4"/>
      <c r="AW613" s="4"/>
      <c r="AX613" s="4"/>
      <c r="AY613" s="4"/>
      <c r="AZ613" s="4"/>
      <c r="BA613" s="4"/>
      <c r="BB613" s="4"/>
      <c r="BC613" s="4"/>
      <c r="BD613" s="5"/>
      <c r="BE613" s="4"/>
      <c r="BF613" s="4"/>
      <c r="BG613" s="4"/>
      <c r="BH613" s="4"/>
      <c r="BI613" s="4"/>
      <c r="BJ613" s="4"/>
      <c r="BK613" s="4"/>
      <c r="BL613" s="4"/>
      <c r="BM613" s="4"/>
      <c r="BN613" s="4"/>
      <c r="BO613" s="4"/>
      <c r="BP613" s="4"/>
      <c r="BQ613" s="4"/>
      <c r="BR613" s="4"/>
      <c r="BS613" s="4"/>
    </row>
    <row r="614" spans="1:7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c r="AG614" s="3"/>
      <c r="AH614" s="4"/>
      <c r="AI614" s="4"/>
      <c r="AJ614" s="4"/>
      <c r="AK614" s="4"/>
      <c r="AL614" s="4"/>
      <c r="AM614" s="4"/>
      <c r="AN614" s="4"/>
      <c r="AO614" s="4"/>
      <c r="AP614" s="4"/>
      <c r="AQ614" s="4"/>
      <c r="AR614" s="4"/>
      <c r="AS614" s="4"/>
      <c r="AT614" s="4"/>
      <c r="AU614" s="4"/>
      <c r="AV614" s="4"/>
      <c r="AW614" s="4"/>
      <c r="AX614" s="4"/>
      <c r="AY614" s="4"/>
      <c r="AZ614" s="4"/>
      <c r="BA614" s="4"/>
      <c r="BB614" s="4"/>
      <c r="BC614" s="4"/>
      <c r="BD614" s="5"/>
      <c r="BE614" s="4"/>
      <c r="BF614" s="4"/>
      <c r="BG614" s="4"/>
      <c r="BH614" s="4"/>
      <c r="BI614" s="4"/>
      <c r="BJ614" s="4"/>
      <c r="BK614" s="4"/>
      <c r="BL614" s="4"/>
      <c r="BM614" s="4"/>
      <c r="BN614" s="4"/>
      <c r="BO614" s="4"/>
      <c r="BP614" s="4"/>
      <c r="BQ614" s="4"/>
      <c r="BR614" s="4"/>
      <c r="BS614" s="4"/>
    </row>
    <row r="615" spans="1:7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c r="AG615" s="3"/>
      <c r="AH615" s="4"/>
      <c r="AI615" s="4"/>
      <c r="AJ615" s="4"/>
      <c r="AK615" s="4"/>
      <c r="AL615" s="4"/>
      <c r="AM615" s="4"/>
      <c r="AN615" s="4"/>
      <c r="AO615" s="4"/>
      <c r="AP615" s="4"/>
      <c r="AQ615" s="4"/>
      <c r="AR615" s="4"/>
      <c r="AS615" s="4"/>
      <c r="AT615" s="4"/>
      <c r="AU615" s="4"/>
      <c r="AV615" s="4"/>
      <c r="AW615" s="4"/>
      <c r="AX615" s="4"/>
      <c r="AY615" s="4"/>
      <c r="AZ615" s="4"/>
      <c r="BA615" s="4"/>
      <c r="BB615" s="4"/>
      <c r="BC615" s="4"/>
      <c r="BD615" s="5"/>
      <c r="BE615" s="4"/>
      <c r="BF615" s="4"/>
      <c r="BG615" s="4"/>
      <c r="BH615" s="4"/>
      <c r="BI615" s="4"/>
      <c r="BJ615" s="4"/>
      <c r="BK615" s="4"/>
      <c r="BL615" s="4"/>
      <c r="BM615" s="4"/>
      <c r="BN615" s="4"/>
      <c r="BO615" s="4"/>
      <c r="BP615" s="4"/>
      <c r="BQ615" s="4"/>
      <c r="BR615" s="4"/>
      <c r="BS615" s="4"/>
    </row>
    <row r="616" spans="1:7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c r="AG616" s="3"/>
      <c r="AH616" s="4"/>
      <c r="AI616" s="4"/>
      <c r="AJ616" s="4"/>
      <c r="AK616" s="4"/>
      <c r="AL616" s="4"/>
      <c r="AM616" s="4"/>
      <c r="AN616" s="4"/>
      <c r="AO616" s="4"/>
      <c r="AP616" s="4"/>
      <c r="AQ616" s="4"/>
      <c r="AR616" s="4"/>
      <c r="AS616" s="4"/>
      <c r="AT616" s="4"/>
      <c r="AU616" s="4"/>
      <c r="AV616" s="4"/>
      <c r="AW616" s="4"/>
      <c r="AX616" s="4"/>
      <c r="AY616" s="4"/>
      <c r="AZ616" s="4"/>
      <c r="BA616" s="4"/>
      <c r="BB616" s="4"/>
      <c r="BC616" s="4"/>
      <c r="BD616" s="5"/>
      <c r="BE616" s="4"/>
      <c r="BF616" s="4"/>
      <c r="BG616" s="4"/>
      <c r="BH616" s="4"/>
      <c r="BI616" s="4"/>
      <c r="BJ616" s="4"/>
      <c r="BK616" s="4"/>
      <c r="BL616" s="4"/>
      <c r="BM616" s="4"/>
      <c r="BN616" s="4"/>
      <c r="BO616" s="4"/>
      <c r="BP616" s="4"/>
      <c r="BQ616" s="4"/>
      <c r="BR616" s="4"/>
      <c r="BS616" s="4"/>
    </row>
    <row r="617" spans="1:7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c r="AG617" s="3"/>
      <c r="AH617" s="4"/>
      <c r="AI617" s="4"/>
      <c r="AJ617" s="4"/>
      <c r="AK617" s="4"/>
      <c r="AL617" s="4"/>
      <c r="AM617" s="4"/>
      <c r="AN617" s="4"/>
      <c r="AO617" s="4"/>
      <c r="AP617" s="4"/>
      <c r="AQ617" s="4"/>
      <c r="AR617" s="4"/>
      <c r="AS617" s="4"/>
      <c r="AT617" s="4"/>
      <c r="AU617" s="4"/>
      <c r="AV617" s="4"/>
      <c r="AW617" s="4"/>
      <c r="AX617" s="4"/>
      <c r="AY617" s="4"/>
      <c r="AZ617" s="4"/>
      <c r="BA617" s="4"/>
      <c r="BB617" s="4"/>
      <c r="BC617" s="4"/>
      <c r="BD617" s="5"/>
      <c r="BE617" s="4"/>
      <c r="BF617" s="4"/>
      <c r="BG617" s="4"/>
      <c r="BH617" s="4"/>
      <c r="BI617" s="4"/>
      <c r="BJ617" s="4"/>
      <c r="BK617" s="4"/>
      <c r="BL617" s="4"/>
      <c r="BM617" s="4"/>
      <c r="BN617" s="4"/>
      <c r="BO617" s="4"/>
      <c r="BP617" s="4"/>
      <c r="BQ617" s="4"/>
      <c r="BR617" s="4"/>
      <c r="BS617" s="4"/>
    </row>
    <row r="618" spans="1:7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c r="AG618" s="3"/>
      <c r="AH618" s="4"/>
      <c r="AI618" s="4"/>
      <c r="AJ618" s="4"/>
      <c r="AK618" s="4"/>
      <c r="AL618" s="4"/>
      <c r="AM618" s="4"/>
      <c r="AN618" s="4"/>
      <c r="AO618" s="4"/>
      <c r="AP618" s="4"/>
      <c r="AQ618" s="4"/>
      <c r="AR618" s="4"/>
      <c r="AS618" s="4"/>
      <c r="AT618" s="4"/>
      <c r="AU618" s="4"/>
      <c r="AV618" s="4"/>
      <c r="AW618" s="4"/>
      <c r="AX618" s="4"/>
      <c r="AY618" s="4"/>
      <c r="AZ618" s="4"/>
      <c r="BA618" s="4"/>
      <c r="BB618" s="4"/>
      <c r="BC618" s="4"/>
      <c r="BD618" s="5"/>
      <c r="BE618" s="4"/>
      <c r="BF618" s="4"/>
      <c r="BG618" s="4"/>
      <c r="BH618" s="4"/>
      <c r="BI618" s="4"/>
      <c r="BJ618" s="4"/>
      <c r="BK618" s="4"/>
      <c r="BL618" s="4"/>
      <c r="BM618" s="4"/>
      <c r="BN618" s="4"/>
      <c r="BO618" s="4"/>
      <c r="BP618" s="4"/>
      <c r="BQ618" s="4"/>
      <c r="BR618" s="4"/>
      <c r="BS618" s="4"/>
    </row>
    <row r="619" spans="1:7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c r="AG619" s="3"/>
      <c r="AH619" s="4"/>
      <c r="AI619" s="4"/>
      <c r="AJ619" s="4"/>
      <c r="AK619" s="4"/>
      <c r="AL619" s="4"/>
      <c r="AM619" s="4"/>
      <c r="AN619" s="4"/>
      <c r="AO619" s="4"/>
      <c r="AP619" s="4"/>
      <c r="AQ619" s="4"/>
      <c r="AR619" s="4"/>
      <c r="AS619" s="4"/>
      <c r="AT619" s="4"/>
      <c r="AU619" s="4"/>
      <c r="AV619" s="4"/>
      <c r="AW619" s="4"/>
      <c r="AX619" s="4"/>
      <c r="AY619" s="4"/>
      <c r="AZ619" s="4"/>
      <c r="BA619" s="4"/>
      <c r="BB619" s="4"/>
      <c r="BC619" s="4"/>
      <c r="BD619" s="5"/>
      <c r="BE619" s="4"/>
      <c r="BF619" s="4"/>
      <c r="BG619" s="4"/>
      <c r="BH619" s="4"/>
      <c r="BI619" s="4"/>
      <c r="BJ619" s="4"/>
      <c r="BK619" s="4"/>
      <c r="BL619" s="4"/>
      <c r="BM619" s="4"/>
      <c r="BN619" s="4"/>
      <c r="BO619" s="4"/>
      <c r="BP619" s="4"/>
      <c r="BQ619" s="4"/>
      <c r="BR619" s="4"/>
      <c r="BS619" s="4"/>
    </row>
    <row r="620" spans="1:7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c r="AG620" s="3"/>
      <c r="AH620" s="4"/>
      <c r="AI620" s="4"/>
      <c r="AJ620" s="4"/>
      <c r="AK620" s="4"/>
      <c r="AL620" s="4"/>
      <c r="AM620" s="4"/>
      <c r="AN620" s="4"/>
      <c r="AO620" s="4"/>
      <c r="AP620" s="4"/>
      <c r="AQ620" s="4"/>
      <c r="AR620" s="4"/>
      <c r="AS620" s="4"/>
      <c r="AT620" s="4"/>
      <c r="AU620" s="4"/>
      <c r="AV620" s="4"/>
      <c r="AW620" s="4"/>
      <c r="AX620" s="4"/>
      <c r="AY620" s="4"/>
      <c r="AZ620" s="4"/>
      <c r="BA620" s="4"/>
      <c r="BB620" s="4"/>
      <c r="BC620" s="4"/>
      <c r="BD620" s="5"/>
      <c r="BE620" s="4"/>
      <c r="BF620" s="4"/>
      <c r="BG620" s="4"/>
      <c r="BH620" s="4"/>
      <c r="BI620" s="4"/>
      <c r="BJ620" s="4"/>
      <c r="BK620" s="4"/>
      <c r="BL620" s="4"/>
      <c r="BM620" s="4"/>
      <c r="BN620" s="4"/>
      <c r="BO620" s="4"/>
      <c r="BP620" s="4"/>
      <c r="BQ620" s="4"/>
      <c r="BR620" s="4"/>
      <c r="BS620" s="4"/>
    </row>
    <row r="621" spans="1:7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c r="AG621" s="3"/>
      <c r="AH621" s="4"/>
      <c r="AI621" s="4"/>
      <c r="AJ621" s="4"/>
      <c r="AK621" s="4"/>
      <c r="AL621" s="4"/>
      <c r="AM621" s="4"/>
      <c r="AN621" s="4"/>
      <c r="AO621" s="4"/>
      <c r="AP621" s="4"/>
      <c r="AQ621" s="4"/>
      <c r="AR621" s="4"/>
      <c r="AS621" s="4"/>
      <c r="AT621" s="4"/>
      <c r="AU621" s="4"/>
      <c r="AV621" s="4"/>
      <c r="AW621" s="4"/>
      <c r="AX621" s="4"/>
      <c r="AY621" s="4"/>
      <c r="AZ621" s="4"/>
      <c r="BA621" s="4"/>
      <c r="BB621" s="4"/>
      <c r="BC621" s="4"/>
      <c r="BD621" s="5"/>
      <c r="BE621" s="4"/>
      <c r="BF621" s="4"/>
      <c r="BG621" s="4"/>
      <c r="BH621" s="4"/>
      <c r="BI621" s="4"/>
      <c r="BJ621" s="4"/>
      <c r="BK621" s="4"/>
      <c r="BL621" s="4"/>
      <c r="BM621" s="4"/>
      <c r="BN621" s="4"/>
      <c r="BO621" s="4"/>
      <c r="BP621" s="4"/>
      <c r="BQ621" s="4"/>
      <c r="BR621" s="4"/>
      <c r="BS621" s="4"/>
    </row>
    <row r="622" spans="1:7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c r="AG622" s="3"/>
      <c r="AH622" s="4"/>
      <c r="AI622" s="4"/>
      <c r="AJ622" s="4"/>
      <c r="AK622" s="4"/>
      <c r="AL622" s="4"/>
      <c r="AM622" s="4"/>
      <c r="AN622" s="4"/>
      <c r="AO622" s="4"/>
      <c r="AP622" s="4"/>
      <c r="AQ622" s="4"/>
      <c r="AR622" s="4"/>
      <c r="AS622" s="4"/>
      <c r="AT622" s="4"/>
      <c r="AU622" s="4"/>
      <c r="AV622" s="4"/>
      <c r="AW622" s="4"/>
      <c r="AX622" s="4"/>
      <c r="AY622" s="4"/>
      <c r="AZ622" s="4"/>
      <c r="BA622" s="4"/>
      <c r="BB622" s="4"/>
      <c r="BC622" s="4"/>
      <c r="BD622" s="5"/>
      <c r="BE622" s="4"/>
      <c r="BF622" s="4"/>
      <c r="BG622" s="4"/>
      <c r="BH622" s="4"/>
      <c r="BI622" s="4"/>
      <c r="BJ622" s="4"/>
      <c r="BK622" s="4"/>
      <c r="BL622" s="4"/>
      <c r="BM622" s="4"/>
      <c r="BN622" s="4"/>
      <c r="BO622" s="4"/>
      <c r="BP622" s="4"/>
      <c r="BQ622" s="4"/>
      <c r="BR622" s="4"/>
      <c r="BS622" s="4"/>
    </row>
    <row r="623" spans="1:7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c r="AG623" s="3"/>
      <c r="AH623" s="4"/>
      <c r="AI623" s="4"/>
      <c r="AJ623" s="4"/>
      <c r="AK623" s="4"/>
      <c r="AL623" s="4"/>
      <c r="AM623" s="4"/>
      <c r="AN623" s="4"/>
      <c r="AO623" s="4"/>
      <c r="AP623" s="4"/>
      <c r="AQ623" s="4"/>
      <c r="AR623" s="4"/>
      <c r="AS623" s="4"/>
      <c r="AT623" s="4"/>
      <c r="AU623" s="4"/>
      <c r="AV623" s="4"/>
      <c r="AW623" s="4"/>
      <c r="AX623" s="4"/>
      <c r="AY623" s="4"/>
      <c r="AZ623" s="4"/>
      <c r="BA623" s="4"/>
      <c r="BB623" s="4"/>
      <c r="BC623" s="4"/>
      <c r="BD623" s="5"/>
      <c r="BE623" s="4"/>
      <c r="BF623" s="4"/>
      <c r="BG623" s="4"/>
      <c r="BH623" s="4"/>
      <c r="BI623" s="4"/>
      <c r="BJ623" s="4"/>
      <c r="BK623" s="4"/>
      <c r="BL623" s="4"/>
      <c r="BM623" s="4"/>
      <c r="BN623" s="4"/>
      <c r="BO623" s="4"/>
      <c r="BP623" s="4"/>
      <c r="BQ623" s="4"/>
      <c r="BR623" s="4"/>
      <c r="BS623" s="4"/>
    </row>
    <row r="624" spans="1:7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c r="AG624" s="3"/>
      <c r="AH624" s="4"/>
      <c r="AI624" s="4"/>
      <c r="AJ624" s="4"/>
      <c r="AK624" s="4"/>
      <c r="AL624" s="4"/>
      <c r="AM624" s="4"/>
      <c r="AN624" s="4"/>
      <c r="AO624" s="4"/>
      <c r="AP624" s="4"/>
      <c r="AQ624" s="4"/>
      <c r="AR624" s="4"/>
      <c r="AS624" s="4"/>
      <c r="AT624" s="4"/>
      <c r="AU624" s="4"/>
      <c r="AV624" s="4"/>
      <c r="AW624" s="4"/>
      <c r="AX624" s="4"/>
      <c r="AY624" s="4"/>
      <c r="AZ624" s="4"/>
      <c r="BA624" s="4"/>
      <c r="BB624" s="4"/>
      <c r="BC624" s="4"/>
      <c r="BD624" s="5"/>
      <c r="BE624" s="4"/>
      <c r="BF624" s="4"/>
      <c r="BG624" s="4"/>
      <c r="BH624" s="4"/>
      <c r="BI624" s="4"/>
      <c r="BJ624" s="4"/>
      <c r="BK624" s="4"/>
      <c r="BL624" s="4"/>
      <c r="BM624" s="4"/>
      <c r="BN624" s="4"/>
      <c r="BO624" s="4"/>
      <c r="BP624" s="4"/>
      <c r="BQ624" s="4"/>
      <c r="BR624" s="4"/>
      <c r="BS624" s="4"/>
    </row>
    <row r="625" spans="1:7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c r="AG625" s="3"/>
      <c r="AH625" s="4"/>
      <c r="AI625" s="4"/>
      <c r="AJ625" s="4"/>
      <c r="AK625" s="4"/>
      <c r="AL625" s="4"/>
      <c r="AM625" s="4"/>
      <c r="AN625" s="4"/>
      <c r="AO625" s="4"/>
      <c r="AP625" s="4"/>
      <c r="AQ625" s="4"/>
      <c r="AR625" s="4"/>
      <c r="AS625" s="4"/>
      <c r="AT625" s="4"/>
      <c r="AU625" s="4"/>
      <c r="AV625" s="4"/>
      <c r="AW625" s="4"/>
      <c r="AX625" s="4"/>
      <c r="AY625" s="4"/>
      <c r="AZ625" s="4"/>
      <c r="BA625" s="4"/>
      <c r="BB625" s="4"/>
      <c r="BC625" s="4"/>
      <c r="BD625" s="5"/>
      <c r="BE625" s="4"/>
      <c r="BF625" s="4"/>
      <c r="BG625" s="4"/>
      <c r="BH625" s="4"/>
      <c r="BI625" s="4"/>
      <c r="BJ625" s="4"/>
      <c r="BK625" s="4"/>
      <c r="BL625" s="4"/>
      <c r="BM625" s="4"/>
      <c r="BN625" s="4"/>
      <c r="BO625" s="4"/>
      <c r="BP625" s="4"/>
      <c r="BQ625" s="4"/>
      <c r="BR625" s="4"/>
      <c r="BS625" s="4"/>
    </row>
    <row r="626" spans="1:7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c r="AG626" s="3"/>
      <c r="AH626" s="4"/>
      <c r="AI626" s="4"/>
      <c r="AJ626" s="4"/>
      <c r="AK626" s="4"/>
      <c r="AL626" s="4"/>
      <c r="AM626" s="4"/>
      <c r="AN626" s="4"/>
      <c r="AO626" s="4"/>
      <c r="AP626" s="4"/>
      <c r="AQ626" s="4"/>
      <c r="AR626" s="4"/>
      <c r="AS626" s="4"/>
      <c r="AT626" s="4"/>
      <c r="AU626" s="4"/>
      <c r="AV626" s="4"/>
      <c r="AW626" s="4"/>
      <c r="AX626" s="4"/>
      <c r="AY626" s="4"/>
      <c r="AZ626" s="4"/>
      <c r="BA626" s="4"/>
      <c r="BB626" s="4"/>
      <c r="BC626" s="4"/>
      <c r="BD626" s="5"/>
      <c r="BE626" s="4"/>
      <c r="BF626" s="4"/>
      <c r="BG626" s="4"/>
      <c r="BH626" s="4"/>
      <c r="BI626" s="4"/>
      <c r="BJ626" s="4"/>
      <c r="BK626" s="4"/>
      <c r="BL626" s="4"/>
      <c r="BM626" s="4"/>
      <c r="BN626" s="4"/>
      <c r="BO626" s="4"/>
      <c r="BP626" s="4"/>
      <c r="BQ626" s="4"/>
      <c r="BR626" s="4"/>
      <c r="BS626" s="4"/>
    </row>
    <row r="627" spans="1:7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c r="AG627" s="3"/>
      <c r="AH627" s="4"/>
      <c r="AI627" s="4"/>
      <c r="AJ627" s="4"/>
      <c r="AK627" s="4"/>
      <c r="AL627" s="4"/>
      <c r="AM627" s="4"/>
      <c r="AN627" s="4"/>
      <c r="AO627" s="4"/>
      <c r="AP627" s="4"/>
      <c r="AQ627" s="4"/>
      <c r="AR627" s="4"/>
      <c r="AS627" s="4"/>
      <c r="AT627" s="4"/>
      <c r="AU627" s="4"/>
      <c r="AV627" s="4"/>
      <c r="AW627" s="4"/>
      <c r="AX627" s="4"/>
      <c r="AY627" s="4"/>
      <c r="AZ627" s="4"/>
      <c r="BA627" s="4"/>
      <c r="BB627" s="4"/>
      <c r="BC627" s="4"/>
      <c r="BD627" s="5"/>
      <c r="BE627" s="4"/>
      <c r="BF627" s="4"/>
      <c r="BG627" s="4"/>
      <c r="BH627" s="4"/>
      <c r="BI627" s="4"/>
      <c r="BJ627" s="4"/>
      <c r="BK627" s="4"/>
      <c r="BL627" s="4"/>
      <c r="BM627" s="4"/>
      <c r="BN627" s="4"/>
      <c r="BO627" s="4"/>
      <c r="BP627" s="4"/>
      <c r="BQ627" s="4"/>
      <c r="BR627" s="4"/>
      <c r="BS627" s="4"/>
    </row>
    <row r="628" spans="1:7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c r="AG628" s="3"/>
      <c r="AH628" s="4"/>
      <c r="AI628" s="4"/>
      <c r="AJ628" s="4"/>
      <c r="AK628" s="4"/>
      <c r="AL628" s="4"/>
      <c r="AM628" s="4"/>
      <c r="AN628" s="4"/>
      <c r="AO628" s="4"/>
      <c r="AP628" s="4"/>
      <c r="AQ628" s="4"/>
      <c r="AR628" s="4"/>
      <c r="AS628" s="4"/>
      <c r="AT628" s="4"/>
      <c r="AU628" s="4"/>
      <c r="AV628" s="4"/>
      <c r="AW628" s="4"/>
      <c r="AX628" s="4"/>
      <c r="AY628" s="4"/>
      <c r="AZ628" s="4"/>
      <c r="BA628" s="4"/>
      <c r="BB628" s="4"/>
      <c r="BC628" s="4"/>
      <c r="BD628" s="5"/>
      <c r="BE628" s="4"/>
      <c r="BF628" s="4"/>
      <c r="BG628" s="4"/>
      <c r="BH628" s="4"/>
      <c r="BI628" s="4"/>
      <c r="BJ628" s="4"/>
      <c r="BK628" s="4"/>
      <c r="BL628" s="4"/>
      <c r="BM628" s="4"/>
      <c r="BN628" s="4"/>
      <c r="BO628" s="4"/>
      <c r="BP628" s="4"/>
      <c r="BQ628" s="4"/>
      <c r="BR628" s="4"/>
      <c r="BS628" s="4"/>
    </row>
    <row r="629" spans="1:7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c r="AG629" s="3"/>
      <c r="AH629" s="4"/>
      <c r="AI629" s="4"/>
      <c r="AJ629" s="4"/>
      <c r="AK629" s="4"/>
      <c r="AL629" s="4"/>
      <c r="AM629" s="4"/>
      <c r="AN629" s="4"/>
      <c r="AO629" s="4"/>
      <c r="AP629" s="4"/>
      <c r="AQ629" s="4"/>
      <c r="AR629" s="4"/>
      <c r="AS629" s="4"/>
      <c r="AT629" s="4"/>
      <c r="AU629" s="4"/>
      <c r="AV629" s="4"/>
      <c r="AW629" s="4"/>
      <c r="AX629" s="4"/>
      <c r="AY629" s="4"/>
      <c r="AZ629" s="4"/>
      <c r="BA629" s="4"/>
      <c r="BB629" s="4"/>
      <c r="BC629" s="4"/>
      <c r="BD629" s="5"/>
      <c r="BE629" s="4"/>
      <c r="BF629" s="4"/>
      <c r="BG629" s="4"/>
      <c r="BH629" s="4"/>
      <c r="BI629" s="4"/>
      <c r="BJ629" s="4"/>
      <c r="BK629" s="4"/>
      <c r="BL629" s="4"/>
      <c r="BM629" s="4"/>
      <c r="BN629" s="4"/>
      <c r="BO629" s="4"/>
      <c r="BP629" s="4"/>
      <c r="BQ629" s="4"/>
      <c r="BR629" s="4"/>
      <c r="BS629" s="4"/>
    </row>
    <row r="630" spans="1:7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c r="AG630" s="3"/>
      <c r="AH630" s="4"/>
      <c r="AI630" s="4"/>
      <c r="AJ630" s="4"/>
      <c r="AK630" s="4"/>
      <c r="AL630" s="4"/>
      <c r="AM630" s="4"/>
      <c r="AN630" s="4"/>
      <c r="AO630" s="4"/>
      <c r="AP630" s="4"/>
      <c r="AQ630" s="4"/>
      <c r="AR630" s="4"/>
      <c r="AS630" s="4"/>
      <c r="AT630" s="4"/>
      <c r="AU630" s="4"/>
      <c r="AV630" s="4"/>
      <c r="AW630" s="4"/>
      <c r="AX630" s="4"/>
      <c r="AY630" s="4"/>
      <c r="AZ630" s="4"/>
      <c r="BA630" s="4"/>
      <c r="BB630" s="4"/>
      <c r="BC630" s="4"/>
      <c r="BD630" s="5"/>
      <c r="BE630" s="4"/>
      <c r="BF630" s="4"/>
      <c r="BG630" s="4"/>
      <c r="BH630" s="4"/>
      <c r="BI630" s="4"/>
      <c r="BJ630" s="4"/>
      <c r="BK630" s="4"/>
      <c r="BL630" s="4"/>
      <c r="BM630" s="4"/>
      <c r="BN630" s="4"/>
      <c r="BO630" s="4"/>
      <c r="BP630" s="4"/>
      <c r="BQ630" s="4"/>
      <c r="BR630" s="4"/>
      <c r="BS630" s="4"/>
    </row>
    <row r="631" spans="1:7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c r="AG631" s="3"/>
      <c r="AH631" s="4"/>
      <c r="AI631" s="4"/>
      <c r="AJ631" s="4"/>
      <c r="AK631" s="4"/>
      <c r="AL631" s="4"/>
      <c r="AM631" s="4"/>
      <c r="AN631" s="4"/>
      <c r="AO631" s="4"/>
      <c r="AP631" s="4"/>
      <c r="AQ631" s="4"/>
      <c r="AR631" s="4"/>
      <c r="AS631" s="4"/>
      <c r="AT631" s="4"/>
      <c r="AU631" s="4"/>
      <c r="AV631" s="4"/>
      <c r="AW631" s="4"/>
      <c r="AX631" s="4"/>
      <c r="AY631" s="4"/>
      <c r="AZ631" s="4"/>
      <c r="BA631" s="4"/>
      <c r="BB631" s="4"/>
      <c r="BC631" s="4"/>
      <c r="BD631" s="5"/>
      <c r="BE631" s="4"/>
      <c r="BF631" s="4"/>
      <c r="BG631" s="4"/>
      <c r="BH631" s="4"/>
      <c r="BI631" s="4"/>
      <c r="BJ631" s="4"/>
      <c r="BK631" s="4"/>
      <c r="BL631" s="4"/>
      <c r="BM631" s="4"/>
      <c r="BN631" s="4"/>
      <c r="BO631" s="4"/>
      <c r="BP631" s="4"/>
      <c r="BQ631" s="4"/>
      <c r="BR631" s="4"/>
      <c r="BS631" s="4"/>
    </row>
    <row r="632" spans="1:7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c r="AG632" s="3"/>
      <c r="AH632" s="4"/>
      <c r="AI632" s="4"/>
      <c r="AJ632" s="4"/>
      <c r="AK632" s="4"/>
      <c r="AL632" s="4"/>
      <c r="AM632" s="4"/>
      <c r="AN632" s="4"/>
      <c r="AO632" s="4"/>
      <c r="AP632" s="4"/>
      <c r="AQ632" s="4"/>
      <c r="AR632" s="4"/>
      <c r="AS632" s="4"/>
      <c r="AT632" s="4"/>
      <c r="AU632" s="4"/>
      <c r="AV632" s="4"/>
      <c r="AW632" s="4"/>
      <c r="AX632" s="4"/>
      <c r="AY632" s="4"/>
      <c r="AZ632" s="4"/>
      <c r="BA632" s="4"/>
      <c r="BB632" s="4"/>
      <c r="BC632" s="4"/>
      <c r="BD632" s="5"/>
      <c r="BE632" s="4"/>
      <c r="BF632" s="4"/>
      <c r="BG632" s="4"/>
      <c r="BH632" s="4"/>
      <c r="BI632" s="4"/>
      <c r="BJ632" s="4"/>
      <c r="BK632" s="4"/>
      <c r="BL632" s="4"/>
      <c r="BM632" s="4"/>
      <c r="BN632" s="4"/>
      <c r="BO632" s="4"/>
      <c r="BP632" s="4"/>
      <c r="BQ632" s="4"/>
      <c r="BR632" s="4"/>
      <c r="BS632" s="4"/>
    </row>
    <row r="633" spans="1:7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c r="AG633" s="3"/>
      <c r="AH633" s="4"/>
      <c r="AI633" s="4"/>
      <c r="AJ633" s="4"/>
      <c r="AK633" s="4"/>
      <c r="AL633" s="4"/>
      <c r="AM633" s="4"/>
      <c r="AN633" s="4"/>
      <c r="AO633" s="4"/>
      <c r="AP633" s="4"/>
      <c r="AQ633" s="4"/>
      <c r="AR633" s="4"/>
      <c r="AS633" s="4"/>
      <c r="AT633" s="4"/>
      <c r="AU633" s="4"/>
      <c r="AV633" s="4"/>
      <c r="AW633" s="4"/>
      <c r="AX633" s="4"/>
      <c r="AY633" s="4"/>
      <c r="AZ633" s="4"/>
      <c r="BA633" s="4"/>
      <c r="BB633" s="4"/>
      <c r="BC633" s="4"/>
      <c r="BD633" s="5"/>
      <c r="BE633" s="4"/>
      <c r="BF633" s="4"/>
      <c r="BG633" s="4"/>
      <c r="BH633" s="4"/>
      <c r="BI633" s="4"/>
      <c r="BJ633" s="4"/>
      <c r="BK633" s="4"/>
      <c r="BL633" s="4"/>
      <c r="BM633" s="4"/>
      <c r="BN633" s="4"/>
      <c r="BO633" s="4"/>
      <c r="BP633" s="4"/>
      <c r="BQ633" s="4"/>
      <c r="BR633" s="4"/>
      <c r="BS633" s="4"/>
    </row>
    <row r="634" spans="1:7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c r="AG634" s="3"/>
      <c r="AH634" s="4"/>
      <c r="AI634" s="4"/>
      <c r="AJ634" s="4"/>
      <c r="AK634" s="4"/>
      <c r="AL634" s="4"/>
      <c r="AM634" s="4"/>
      <c r="AN634" s="4"/>
      <c r="AO634" s="4"/>
      <c r="AP634" s="4"/>
      <c r="AQ634" s="4"/>
      <c r="AR634" s="4"/>
      <c r="AS634" s="4"/>
      <c r="AT634" s="4"/>
      <c r="AU634" s="4"/>
      <c r="AV634" s="4"/>
      <c r="AW634" s="4"/>
      <c r="AX634" s="4"/>
      <c r="AY634" s="4"/>
      <c r="AZ634" s="4"/>
      <c r="BA634" s="4"/>
      <c r="BB634" s="4"/>
      <c r="BC634" s="4"/>
      <c r="BD634" s="5"/>
      <c r="BE634" s="4"/>
      <c r="BF634" s="4"/>
      <c r="BG634" s="4"/>
      <c r="BH634" s="4"/>
      <c r="BI634" s="4"/>
      <c r="BJ634" s="4"/>
      <c r="BK634" s="4"/>
      <c r="BL634" s="4"/>
      <c r="BM634" s="4"/>
      <c r="BN634" s="4"/>
      <c r="BO634" s="4"/>
      <c r="BP634" s="4"/>
      <c r="BQ634" s="4"/>
      <c r="BR634" s="4"/>
      <c r="BS634" s="4"/>
    </row>
    <row r="635" spans="1:7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c r="AG635" s="3"/>
      <c r="AH635" s="4"/>
      <c r="AI635" s="4"/>
      <c r="AJ635" s="4"/>
      <c r="AK635" s="4"/>
      <c r="AL635" s="4"/>
      <c r="AM635" s="4"/>
      <c r="AN635" s="4"/>
      <c r="AO635" s="4"/>
      <c r="AP635" s="4"/>
      <c r="AQ635" s="4"/>
      <c r="AR635" s="4"/>
      <c r="AS635" s="4"/>
      <c r="AT635" s="4"/>
      <c r="AU635" s="4"/>
      <c r="AV635" s="4"/>
      <c r="AW635" s="4"/>
      <c r="AX635" s="4"/>
      <c r="AY635" s="4"/>
      <c r="AZ635" s="4"/>
      <c r="BA635" s="4"/>
      <c r="BB635" s="4"/>
      <c r="BC635" s="4"/>
      <c r="BD635" s="5"/>
      <c r="BE635" s="4"/>
      <c r="BF635" s="4"/>
      <c r="BG635" s="4"/>
      <c r="BH635" s="4"/>
      <c r="BI635" s="4"/>
      <c r="BJ635" s="4"/>
      <c r="BK635" s="4"/>
      <c r="BL635" s="4"/>
      <c r="BM635" s="4"/>
      <c r="BN635" s="4"/>
      <c r="BO635" s="4"/>
      <c r="BP635" s="4"/>
      <c r="BQ635" s="4"/>
      <c r="BR635" s="4"/>
      <c r="BS635" s="4"/>
    </row>
    <row r="636" spans="1:7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c r="AG636" s="3"/>
      <c r="AH636" s="4"/>
      <c r="AI636" s="4"/>
      <c r="AJ636" s="4"/>
      <c r="AK636" s="4"/>
      <c r="AL636" s="4"/>
      <c r="AM636" s="4"/>
      <c r="AN636" s="4"/>
      <c r="AO636" s="4"/>
      <c r="AP636" s="4"/>
      <c r="AQ636" s="4"/>
      <c r="AR636" s="4"/>
      <c r="AS636" s="4"/>
      <c r="AT636" s="4"/>
      <c r="AU636" s="4"/>
      <c r="AV636" s="4"/>
      <c r="AW636" s="4"/>
      <c r="AX636" s="4"/>
      <c r="AY636" s="4"/>
      <c r="AZ636" s="4"/>
      <c r="BA636" s="4"/>
      <c r="BB636" s="4"/>
      <c r="BC636" s="4"/>
      <c r="BD636" s="5"/>
      <c r="BE636" s="4"/>
      <c r="BF636" s="4"/>
      <c r="BG636" s="4"/>
      <c r="BH636" s="4"/>
      <c r="BI636" s="4"/>
      <c r="BJ636" s="4"/>
      <c r="BK636" s="4"/>
      <c r="BL636" s="4"/>
      <c r="BM636" s="4"/>
      <c r="BN636" s="4"/>
      <c r="BO636" s="4"/>
      <c r="BP636" s="4"/>
      <c r="BQ636" s="4"/>
      <c r="BR636" s="4"/>
      <c r="BS636" s="4"/>
    </row>
    <row r="637" spans="1:7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c r="AG637" s="3"/>
      <c r="AH637" s="4"/>
      <c r="AI637" s="4"/>
      <c r="AJ637" s="4"/>
      <c r="AK637" s="4"/>
      <c r="AL637" s="4"/>
      <c r="AM637" s="4"/>
      <c r="AN637" s="4"/>
      <c r="AO637" s="4"/>
      <c r="AP637" s="4"/>
      <c r="AQ637" s="4"/>
      <c r="AR637" s="4"/>
      <c r="AS637" s="4"/>
      <c r="AT637" s="4"/>
      <c r="AU637" s="4"/>
      <c r="AV637" s="4"/>
      <c r="AW637" s="4"/>
      <c r="AX637" s="4"/>
      <c r="AY637" s="4"/>
      <c r="AZ637" s="4"/>
      <c r="BA637" s="4"/>
      <c r="BB637" s="4"/>
      <c r="BC637" s="4"/>
      <c r="BD637" s="5"/>
      <c r="BE637" s="4"/>
      <c r="BF637" s="4"/>
      <c r="BG637" s="4"/>
      <c r="BH637" s="4"/>
      <c r="BI637" s="4"/>
      <c r="BJ637" s="4"/>
      <c r="BK637" s="4"/>
      <c r="BL637" s="4"/>
      <c r="BM637" s="4"/>
      <c r="BN637" s="4"/>
      <c r="BO637" s="4"/>
      <c r="BP637" s="4"/>
      <c r="BQ637" s="4"/>
      <c r="BR637" s="4"/>
      <c r="BS637" s="4"/>
    </row>
    <row r="638" spans="1:7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c r="AG638" s="3"/>
      <c r="AH638" s="4"/>
      <c r="AI638" s="4"/>
      <c r="AJ638" s="4"/>
      <c r="AK638" s="4"/>
      <c r="AL638" s="4"/>
      <c r="AM638" s="4"/>
      <c r="AN638" s="4"/>
      <c r="AO638" s="4"/>
      <c r="AP638" s="4"/>
      <c r="AQ638" s="4"/>
      <c r="AR638" s="4"/>
      <c r="AS638" s="4"/>
      <c r="AT638" s="4"/>
      <c r="AU638" s="4"/>
      <c r="AV638" s="4"/>
      <c r="AW638" s="4"/>
      <c r="AX638" s="4"/>
      <c r="AY638" s="4"/>
      <c r="AZ638" s="4"/>
      <c r="BA638" s="4"/>
      <c r="BB638" s="4"/>
      <c r="BC638" s="4"/>
      <c r="BD638" s="5"/>
      <c r="BE638" s="4"/>
      <c r="BF638" s="4"/>
      <c r="BG638" s="4"/>
      <c r="BH638" s="4"/>
      <c r="BI638" s="4"/>
      <c r="BJ638" s="4"/>
      <c r="BK638" s="4"/>
      <c r="BL638" s="4"/>
      <c r="BM638" s="4"/>
      <c r="BN638" s="4"/>
      <c r="BO638" s="4"/>
      <c r="BP638" s="4"/>
      <c r="BQ638" s="4"/>
      <c r="BR638" s="4"/>
      <c r="BS638" s="4"/>
    </row>
    <row r="639" spans="1:7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c r="AG639" s="3"/>
      <c r="AH639" s="4"/>
      <c r="AI639" s="4"/>
      <c r="AJ639" s="4"/>
      <c r="AK639" s="4"/>
      <c r="AL639" s="4"/>
      <c r="AM639" s="4"/>
      <c r="AN639" s="4"/>
      <c r="AO639" s="4"/>
      <c r="AP639" s="4"/>
      <c r="AQ639" s="4"/>
      <c r="AR639" s="4"/>
      <c r="AS639" s="4"/>
      <c r="AT639" s="4"/>
      <c r="AU639" s="4"/>
      <c r="AV639" s="4"/>
      <c r="AW639" s="4"/>
      <c r="AX639" s="4"/>
      <c r="AY639" s="4"/>
      <c r="AZ639" s="4"/>
      <c r="BA639" s="4"/>
      <c r="BB639" s="4"/>
      <c r="BC639" s="4"/>
      <c r="BD639" s="5"/>
      <c r="BE639" s="4"/>
      <c r="BF639" s="4"/>
      <c r="BG639" s="4"/>
      <c r="BH639" s="4"/>
      <c r="BI639" s="4"/>
      <c r="BJ639" s="4"/>
      <c r="BK639" s="4"/>
      <c r="BL639" s="4"/>
      <c r="BM639" s="4"/>
      <c r="BN639" s="4"/>
      <c r="BO639" s="4"/>
      <c r="BP639" s="4"/>
      <c r="BQ639" s="4"/>
      <c r="BR639" s="4"/>
      <c r="BS639" s="4"/>
    </row>
    <row r="640" spans="1:7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c r="AG640" s="3"/>
      <c r="AH640" s="4"/>
      <c r="AI640" s="4"/>
      <c r="AJ640" s="4"/>
      <c r="AK640" s="4"/>
      <c r="AL640" s="4"/>
      <c r="AM640" s="4"/>
      <c r="AN640" s="4"/>
      <c r="AO640" s="4"/>
      <c r="AP640" s="4"/>
      <c r="AQ640" s="4"/>
      <c r="AR640" s="4"/>
      <c r="AS640" s="4"/>
      <c r="AT640" s="4"/>
      <c r="AU640" s="4"/>
      <c r="AV640" s="4"/>
      <c r="AW640" s="4"/>
      <c r="AX640" s="4"/>
      <c r="AY640" s="4"/>
      <c r="AZ640" s="4"/>
      <c r="BA640" s="4"/>
      <c r="BB640" s="4"/>
      <c r="BC640" s="4"/>
      <c r="BD640" s="5"/>
      <c r="BE640" s="4"/>
      <c r="BF640" s="4"/>
      <c r="BG640" s="4"/>
      <c r="BH640" s="4"/>
      <c r="BI640" s="4"/>
      <c r="BJ640" s="4"/>
      <c r="BK640" s="4"/>
      <c r="BL640" s="4"/>
      <c r="BM640" s="4"/>
      <c r="BN640" s="4"/>
      <c r="BO640" s="4"/>
      <c r="BP640" s="4"/>
      <c r="BQ640" s="4"/>
      <c r="BR640" s="4"/>
      <c r="BS640" s="4"/>
    </row>
    <row r="641" spans="1:7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c r="AG641" s="3"/>
      <c r="AH641" s="4"/>
      <c r="AI641" s="4"/>
      <c r="AJ641" s="4"/>
      <c r="AK641" s="4"/>
      <c r="AL641" s="4"/>
      <c r="AM641" s="4"/>
      <c r="AN641" s="4"/>
      <c r="AO641" s="4"/>
      <c r="AP641" s="4"/>
      <c r="AQ641" s="4"/>
      <c r="AR641" s="4"/>
      <c r="AS641" s="4"/>
      <c r="AT641" s="4"/>
      <c r="AU641" s="4"/>
      <c r="AV641" s="4"/>
      <c r="AW641" s="4"/>
      <c r="AX641" s="4"/>
      <c r="AY641" s="4"/>
      <c r="AZ641" s="4"/>
      <c r="BA641" s="4"/>
      <c r="BB641" s="4"/>
      <c r="BC641" s="4"/>
      <c r="BD641" s="5"/>
      <c r="BE641" s="4"/>
      <c r="BF641" s="4"/>
      <c r="BG641" s="4"/>
      <c r="BH641" s="4"/>
      <c r="BI641" s="4"/>
      <c r="BJ641" s="4"/>
      <c r="BK641" s="4"/>
      <c r="BL641" s="4"/>
      <c r="BM641" s="4"/>
      <c r="BN641" s="4"/>
      <c r="BO641" s="4"/>
      <c r="BP641" s="4"/>
      <c r="BQ641" s="4"/>
      <c r="BR641" s="4"/>
      <c r="BS641" s="4"/>
    </row>
    <row r="642" spans="1:7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c r="AG642" s="3"/>
      <c r="AH642" s="4"/>
      <c r="AI642" s="4"/>
      <c r="AJ642" s="4"/>
      <c r="AK642" s="4"/>
      <c r="AL642" s="4"/>
      <c r="AM642" s="4"/>
      <c r="AN642" s="4"/>
      <c r="AO642" s="4"/>
      <c r="AP642" s="4"/>
      <c r="AQ642" s="4"/>
      <c r="AR642" s="4"/>
      <c r="AS642" s="4"/>
      <c r="AT642" s="4"/>
      <c r="AU642" s="4"/>
      <c r="AV642" s="4"/>
      <c r="AW642" s="4"/>
      <c r="AX642" s="4"/>
      <c r="AY642" s="4"/>
      <c r="AZ642" s="4"/>
      <c r="BA642" s="4"/>
      <c r="BB642" s="4"/>
      <c r="BC642" s="4"/>
      <c r="BD642" s="5"/>
      <c r="BE642" s="4"/>
      <c r="BF642" s="4"/>
      <c r="BG642" s="4"/>
      <c r="BH642" s="4"/>
      <c r="BI642" s="4"/>
      <c r="BJ642" s="4"/>
      <c r="BK642" s="4"/>
      <c r="BL642" s="4"/>
      <c r="BM642" s="4"/>
      <c r="BN642" s="4"/>
      <c r="BO642" s="4"/>
      <c r="BP642" s="4"/>
      <c r="BQ642" s="4"/>
      <c r="BR642" s="4"/>
      <c r="BS642" s="4"/>
    </row>
    <row r="643" spans="1:7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c r="AG643" s="3"/>
      <c r="AH643" s="4"/>
      <c r="AI643" s="4"/>
      <c r="AJ643" s="4"/>
      <c r="AK643" s="4"/>
      <c r="AL643" s="4"/>
      <c r="AM643" s="4"/>
      <c r="AN643" s="4"/>
      <c r="AO643" s="4"/>
      <c r="AP643" s="4"/>
      <c r="AQ643" s="4"/>
      <c r="AR643" s="4"/>
      <c r="AS643" s="4"/>
      <c r="AT643" s="4"/>
      <c r="AU643" s="4"/>
      <c r="AV643" s="4"/>
      <c r="AW643" s="4"/>
      <c r="AX643" s="4"/>
      <c r="AY643" s="4"/>
      <c r="AZ643" s="4"/>
      <c r="BA643" s="4"/>
      <c r="BB643" s="4"/>
      <c r="BC643" s="4"/>
      <c r="BD643" s="5"/>
      <c r="BE643" s="4"/>
      <c r="BF643" s="4"/>
      <c r="BG643" s="4"/>
      <c r="BH643" s="4"/>
      <c r="BI643" s="4"/>
      <c r="BJ643" s="4"/>
      <c r="BK643" s="4"/>
      <c r="BL643" s="4"/>
      <c r="BM643" s="4"/>
      <c r="BN643" s="4"/>
      <c r="BO643" s="4"/>
      <c r="BP643" s="4"/>
      <c r="BQ643" s="4"/>
      <c r="BR643" s="4"/>
      <c r="BS643" s="4"/>
    </row>
    <row r="644" spans="1:7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c r="AG644" s="3"/>
      <c r="AH644" s="4"/>
      <c r="AI644" s="4"/>
      <c r="AJ644" s="4"/>
      <c r="AK644" s="4"/>
      <c r="AL644" s="4"/>
      <c r="AM644" s="4"/>
      <c r="AN644" s="4"/>
      <c r="AO644" s="4"/>
      <c r="AP644" s="4"/>
      <c r="AQ644" s="4"/>
      <c r="AR644" s="4"/>
      <c r="AS644" s="4"/>
      <c r="AT644" s="4"/>
      <c r="AU644" s="4"/>
      <c r="AV644" s="4"/>
      <c r="AW644" s="4"/>
      <c r="AX644" s="4"/>
      <c r="AY644" s="4"/>
      <c r="AZ644" s="4"/>
      <c r="BA644" s="4"/>
      <c r="BB644" s="4"/>
      <c r="BC644" s="4"/>
      <c r="BD644" s="5"/>
      <c r="BE644" s="4"/>
      <c r="BF644" s="4"/>
      <c r="BG644" s="4"/>
      <c r="BH644" s="4"/>
      <c r="BI644" s="4"/>
      <c r="BJ644" s="4"/>
      <c r="BK644" s="4"/>
      <c r="BL644" s="4"/>
      <c r="BM644" s="4"/>
      <c r="BN644" s="4"/>
      <c r="BO644" s="4"/>
      <c r="BP644" s="4"/>
      <c r="BQ644" s="4"/>
      <c r="BR644" s="4"/>
      <c r="BS644" s="4"/>
    </row>
    <row r="645" spans="1:7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c r="AG645" s="3"/>
      <c r="AH645" s="4"/>
      <c r="AI645" s="4"/>
      <c r="AJ645" s="4"/>
      <c r="AK645" s="4"/>
      <c r="AL645" s="4"/>
      <c r="AM645" s="4"/>
      <c r="AN645" s="4"/>
      <c r="AO645" s="4"/>
      <c r="AP645" s="4"/>
      <c r="AQ645" s="4"/>
      <c r="AR645" s="4"/>
      <c r="AS645" s="4"/>
      <c r="AT645" s="4"/>
      <c r="AU645" s="4"/>
      <c r="AV645" s="4"/>
      <c r="AW645" s="4"/>
      <c r="AX645" s="4"/>
      <c r="AY645" s="4"/>
      <c r="AZ645" s="4"/>
      <c r="BA645" s="4"/>
      <c r="BB645" s="4"/>
      <c r="BC645" s="4"/>
      <c r="BD645" s="5"/>
      <c r="BE645" s="4"/>
      <c r="BF645" s="4"/>
      <c r="BG645" s="4"/>
      <c r="BH645" s="4"/>
      <c r="BI645" s="4"/>
      <c r="BJ645" s="4"/>
      <c r="BK645" s="4"/>
      <c r="BL645" s="4"/>
      <c r="BM645" s="4"/>
      <c r="BN645" s="4"/>
      <c r="BO645" s="4"/>
      <c r="BP645" s="4"/>
      <c r="BQ645" s="4"/>
      <c r="BR645" s="4"/>
      <c r="BS645" s="4"/>
    </row>
    <row r="646" spans="1:7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c r="AG646" s="3"/>
      <c r="AH646" s="4"/>
      <c r="AI646" s="4"/>
      <c r="AJ646" s="4"/>
      <c r="AK646" s="4"/>
      <c r="AL646" s="4"/>
      <c r="AM646" s="4"/>
      <c r="AN646" s="4"/>
      <c r="AO646" s="4"/>
      <c r="AP646" s="4"/>
      <c r="AQ646" s="4"/>
      <c r="AR646" s="4"/>
      <c r="AS646" s="4"/>
      <c r="AT646" s="4"/>
      <c r="AU646" s="4"/>
      <c r="AV646" s="4"/>
      <c r="AW646" s="4"/>
      <c r="AX646" s="4"/>
      <c r="AY646" s="4"/>
      <c r="AZ646" s="4"/>
      <c r="BA646" s="4"/>
      <c r="BB646" s="4"/>
      <c r="BC646" s="4"/>
      <c r="BD646" s="5"/>
      <c r="BE646" s="4"/>
      <c r="BF646" s="4"/>
      <c r="BG646" s="4"/>
      <c r="BH646" s="4"/>
      <c r="BI646" s="4"/>
      <c r="BJ646" s="4"/>
      <c r="BK646" s="4"/>
      <c r="BL646" s="4"/>
      <c r="BM646" s="4"/>
      <c r="BN646" s="4"/>
      <c r="BO646" s="4"/>
      <c r="BP646" s="4"/>
      <c r="BQ646" s="4"/>
      <c r="BR646" s="4"/>
      <c r="BS646" s="4"/>
    </row>
    <row r="647" spans="1:7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c r="AG647" s="3"/>
      <c r="AH647" s="4"/>
      <c r="AI647" s="4"/>
      <c r="AJ647" s="4"/>
      <c r="AK647" s="4"/>
      <c r="AL647" s="4"/>
      <c r="AM647" s="4"/>
      <c r="AN647" s="4"/>
      <c r="AO647" s="4"/>
      <c r="AP647" s="4"/>
      <c r="AQ647" s="4"/>
      <c r="AR647" s="4"/>
      <c r="AS647" s="4"/>
      <c r="AT647" s="4"/>
      <c r="AU647" s="4"/>
      <c r="AV647" s="4"/>
      <c r="AW647" s="4"/>
      <c r="AX647" s="4"/>
      <c r="AY647" s="4"/>
      <c r="AZ647" s="4"/>
      <c r="BA647" s="4"/>
      <c r="BB647" s="4"/>
      <c r="BC647" s="4"/>
      <c r="BD647" s="5"/>
      <c r="BE647" s="4"/>
      <c r="BF647" s="4"/>
      <c r="BG647" s="4"/>
      <c r="BH647" s="4"/>
      <c r="BI647" s="4"/>
      <c r="BJ647" s="4"/>
      <c r="BK647" s="4"/>
      <c r="BL647" s="4"/>
      <c r="BM647" s="4"/>
      <c r="BN647" s="4"/>
      <c r="BO647" s="4"/>
      <c r="BP647" s="4"/>
      <c r="BQ647" s="4"/>
      <c r="BR647" s="4"/>
      <c r="BS647" s="4"/>
    </row>
    <row r="648" spans="1:7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c r="AG648" s="3"/>
      <c r="AH648" s="4"/>
      <c r="AI648" s="4"/>
      <c r="AJ648" s="4"/>
      <c r="AK648" s="4"/>
      <c r="AL648" s="4"/>
      <c r="AM648" s="4"/>
      <c r="AN648" s="4"/>
      <c r="AO648" s="4"/>
      <c r="AP648" s="4"/>
      <c r="AQ648" s="4"/>
      <c r="AR648" s="4"/>
      <c r="AS648" s="4"/>
      <c r="AT648" s="4"/>
      <c r="AU648" s="4"/>
      <c r="AV648" s="4"/>
      <c r="AW648" s="4"/>
      <c r="AX648" s="4"/>
      <c r="AY648" s="4"/>
      <c r="AZ648" s="4"/>
      <c r="BA648" s="4"/>
      <c r="BB648" s="4"/>
      <c r="BC648" s="4"/>
      <c r="BD648" s="5"/>
      <c r="BE648" s="4"/>
      <c r="BF648" s="4"/>
      <c r="BG648" s="4"/>
      <c r="BH648" s="4"/>
      <c r="BI648" s="4"/>
      <c r="BJ648" s="4"/>
      <c r="BK648" s="4"/>
      <c r="BL648" s="4"/>
      <c r="BM648" s="4"/>
      <c r="BN648" s="4"/>
      <c r="BO648" s="4"/>
      <c r="BP648" s="4"/>
      <c r="BQ648" s="4"/>
      <c r="BR648" s="4"/>
      <c r="BS648" s="4"/>
    </row>
    <row r="649" spans="1:7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c r="AG649" s="3"/>
      <c r="AH649" s="4"/>
      <c r="AI649" s="4"/>
      <c r="AJ649" s="4"/>
      <c r="AK649" s="4"/>
      <c r="AL649" s="4"/>
      <c r="AM649" s="4"/>
      <c r="AN649" s="4"/>
      <c r="AO649" s="4"/>
      <c r="AP649" s="4"/>
      <c r="AQ649" s="4"/>
      <c r="AR649" s="4"/>
      <c r="AS649" s="4"/>
      <c r="AT649" s="4"/>
      <c r="AU649" s="4"/>
      <c r="AV649" s="4"/>
      <c r="AW649" s="4"/>
      <c r="AX649" s="4"/>
      <c r="AY649" s="4"/>
      <c r="AZ649" s="4"/>
      <c r="BA649" s="4"/>
      <c r="BB649" s="4"/>
      <c r="BC649" s="4"/>
      <c r="BD649" s="5"/>
      <c r="BE649" s="4"/>
      <c r="BF649" s="4"/>
      <c r="BG649" s="4"/>
      <c r="BH649" s="4"/>
      <c r="BI649" s="4"/>
      <c r="BJ649" s="4"/>
      <c r="BK649" s="4"/>
      <c r="BL649" s="4"/>
      <c r="BM649" s="4"/>
      <c r="BN649" s="4"/>
      <c r="BO649" s="4"/>
      <c r="BP649" s="4"/>
      <c r="BQ649" s="4"/>
      <c r="BR649" s="4"/>
      <c r="BS649" s="4"/>
    </row>
    <row r="650" spans="1:7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c r="AG650" s="3"/>
      <c r="AH650" s="4"/>
      <c r="AI650" s="4"/>
      <c r="AJ650" s="4"/>
      <c r="AK650" s="4"/>
      <c r="AL650" s="4"/>
      <c r="AM650" s="4"/>
      <c r="AN650" s="4"/>
      <c r="AO650" s="4"/>
      <c r="AP650" s="4"/>
      <c r="AQ650" s="4"/>
      <c r="AR650" s="4"/>
      <c r="AS650" s="4"/>
      <c r="AT650" s="4"/>
      <c r="AU650" s="4"/>
      <c r="AV650" s="4"/>
      <c r="AW650" s="4"/>
      <c r="AX650" s="4"/>
      <c r="AY650" s="4"/>
      <c r="AZ650" s="4"/>
      <c r="BA650" s="4"/>
      <c r="BB650" s="4"/>
      <c r="BC650" s="4"/>
      <c r="BD650" s="5"/>
      <c r="BE650" s="4"/>
      <c r="BF650" s="4"/>
      <c r="BG650" s="4"/>
      <c r="BH650" s="4"/>
      <c r="BI650" s="4"/>
      <c r="BJ650" s="4"/>
      <c r="BK650" s="4"/>
      <c r="BL650" s="4"/>
      <c r="BM650" s="4"/>
      <c r="BN650" s="4"/>
      <c r="BO650" s="4"/>
      <c r="BP650" s="4"/>
      <c r="BQ650" s="4"/>
      <c r="BR650" s="4"/>
      <c r="BS650" s="4"/>
    </row>
    <row r="651" spans="1:7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c r="AG651" s="3"/>
      <c r="AH651" s="4"/>
      <c r="AI651" s="4"/>
      <c r="AJ651" s="4"/>
      <c r="AK651" s="4"/>
      <c r="AL651" s="4"/>
      <c r="AM651" s="4"/>
      <c r="AN651" s="4"/>
      <c r="AO651" s="4"/>
      <c r="AP651" s="4"/>
      <c r="AQ651" s="4"/>
      <c r="AR651" s="4"/>
      <c r="AS651" s="4"/>
      <c r="AT651" s="4"/>
      <c r="AU651" s="4"/>
      <c r="AV651" s="4"/>
      <c r="AW651" s="4"/>
      <c r="AX651" s="4"/>
      <c r="AY651" s="4"/>
      <c r="AZ651" s="4"/>
      <c r="BA651" s="4"/>
      <c r="BB651" s="4"/>
      <c r="BC651" s="4"/>
      <c r="BD651" s="5"/>
      <c r="BE651" s="4"/>
      <c r="BF651" s="4"/>
      <c r="BG651" s="4"/>
      <c r="BH651" s="4"/>
      <c r="BI651" s="4"/>
      <c r="BJ651" s="4"/>
      <c r="BK651" s="4"/>
      <c r="BL651" s="4"/>
      <c r="BM651" s="4"/>
      <c r="BN651" s="4"/>
      <c r="BO651" s="4"/>
      <c r="BP651" s="4"/>
      <c r="BQ651" s="4"/>
      <c r="BR651" s="4"/>
      <c r="BS651" s="4"/>
    </row>
    <row r="652" spans="1:7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c r="AG652" s="3"/>
      <c r="AH652" s="4"/>
      <c r="AI652" s="4"/>
      <c r="AJ652" s="4"/>
      <c r="AK652" s="4"/>
      <c r="AL652" s="4"/>
      <c r="AM652" s="4"/>
      <c r="AN652" s="4"/>
      <c r="AO652" s="4"/>
      <c r="AP652" s="4"/>
      <c r="AQ652" s="4"/>
      <c r="AR652" s="4"/>
      <c r="AS652" s="4"/>
      <c r="AT652" s="4"/>
      <c r="AU652" s="4"/>
      <c r="AV652" s="4"/>
      <c r="AW652" s="4"/>
      <c r="AX652" s="4"/>
      <c r="AY652" s="4"/>
      <c r="AZ652" s="4"/>
      <c r="BA652" s="4"/>
      <c r="BB652" s="4"/>
      <c r="BC652" s="4"/>
      <c r="BD652" s="5"/>
      <c r="BE652" s="4"/>
      <c r="BF652" s="4"/>
      <c r="BG652" s="4"/>
      <c r="BH652" s="4"/>
      <c r="BI652" s="4"/>
      <c r="BJ652" s="4"/>
      <c r="BK652" s="4"/>
      <c r="BL652" s="4"/>
      <c r="BM652" s="4"/>
      <c r="BN652" s="4"/>
      <c r="BO652" s="4"/>
      <c r="BP652" s="4"/>
      <c r="BQ652" s="4"/>
      <c r="BR652" s="4"/>
      <c r="BS652" s="4"/>
    </row>
    <row r="653" spans="1:7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c r="AG653" s="3"/>
      <c r="AH653" s="4"/>
      <c r="AI653" s="4"/>
      <c r="AJ653" s="4"/>
      <c r="AK653" s="4"/>
      <c r="AL653" s="4"/>
      <c r="AM653" s="4"/>
      <c r="AN653" s="4"/>
      <c r="AO653" s="4"/>
      <c r="AP653" s="4"/>
      <c r="AQ653" s="4"/>
      <c r="AR653" s="4"/>
      <c r="AS653" s="4"/>
      <c r="AT653" s="4"/>
      <c r="AU653" s="4"/>
      <c r="AV653" s="4"/>
      <c r="AW653" s="4"/>
      <c r="AX653" s="4"/>
      <c r="AY653" s="4"/>
      <c r="AZ653" s="4"/>
      <c r="BA653" s="4"/>
      <c r="BB653" s="4"/>
      <c r="BC653" s="4"/>
      <c r="BD653" s="5"/>
      <c r="BE653" s="4"/>
      <c r="BF653" s="4"/>
      <c r="BG653" s="4"/>
      <c r="BH653" s="4"/>
      <c r="BI653" s="4"/>
      <c r="BJ653" s="4"/>
      <c r="BK653" s="4"/>
      <c r="BL653" s="4"/>
      <c r="BM653" s="4"/>
      <c r="BN653" s="4"/>
      <c r="BO653" s="4"/>
      <c r="BP653" s="4"/>
      <c r="BQ653" s="4"/>
      <c r="BR653" s="4"/>
      <c r="BS653" s="4"/>
    </row>
    <row r="654" spans="1:7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c r="AG654" s="3"/>
      <c r="AH654" s="4"/>
      <c r="AI654" s="4"/>
      <c r="AJ654" s="4"/>
      <c r="AK654" s="4"/>
      <c r="AL654" s="4"/>
      <c r="AM654" s="4"/>
      <c r="AN654" s="4"/>
      <c r="AO654" s="4"/>
      <c r="AP654" s="4"/>
      <c r="AQ654" s="4"/>
      <c r="AR654" s="4"/>
      <c r="AS654" s="4"/>
      <c r="AT654" s="4"/>
      <c r="AU654" s="4"/>
      <c r="AV654" s="4"/>
      <c r="AW654" s="4"/>
      <c r="AX654" s="4"/>
      <c r="AY654" s="4"/>
      <c r="AZ654" s="4"/>
      <c r="BA654" s="4"/>
      <c r="BB654" s="4"/>
      <c r="BC654" s="4"/>
      <c r="BD654" s="5"/>
      <c r="BE654" s="4"/>
      <c r="BF654" s="4"/>
      <c r="BG654" s="4"/>
      <c r="BH654" s="4"/>
      <c r="BI654" s="4"/>
      <c r="BJ654" s="4"/>
      <c r="BK654" s="4"/>
      <c r="BL654" s="4"/>
      <c r="BM654" s="4"/>
      <c r="BN654" s="4"/>
      <c r="BO654" s="4"/>
      <c r="BP654" s="4"/>
      <c r="BQ654" s="4"/>
      <c r="BR654" s="4"/>
      <c r="BS654" s="4"/>
    </row>
    <row r="655" spans="1:7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c r="AG655" s="3"/>
      <c r="AH655" s="4"/>
      <c r="AI655" s="4"/>
      <c r="AJ655" s="4"/>
      <c r="AK655" s="4"/>
      <c r="AL655" s="4"/>
      <c r="AM655" s="4"/>
      <c r="AN655" s="4"/>
      <c r="AO655" s="4"/>
      <c r="AP655" s="4"/>
      <c r="AQ655" s="4"/>
      <c r="AR655" s="4"/>
      <c r="AS655" s="4"/>
      <c r="AT655" s="4"/>
      <c r="AU655" s="4"/>
      <c r="AV655" s="4"/>
      <c r="AW655" s="4"/>
      <c r="AX655" s="4"/>
      <c r="AY655" s="4"/>
      <c r="AZ655" s="4"/>
      <c r="BA655" s="4"/>
      <c r="BB655" s="4"/>
      <c r="BC655" s="4"/>
      <c r="BD655" s="5"/>
      <c r="BE655" s="4"/>
      <c r="BF655" s="4"/>
      <c r="BG655" s="4"/>
      <c r="BH655" s="4"/>
      <c r="BI655" s="4"/>
      <c r="BJ655" s="4"/>
      <c r="BK655" s="4"/>
      <c r="BL655" s="4"/>
      <c r="BM655" s="4"/>
      <c r="BN655" s="4"/>
      <c r="BO655" s="4"/>
      <c r="BP655" s="4"/>
      <c r="BQ655" s="4"/>
      <c r="BR655" s="4"/>
      <c r="BS655" s="4"/>
    </row>
    <row r="656" spans="1:7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c r="AG656" s="3"/>
      <c r="AH656" s="4"/>
      <c r="AI656" s="4"/>
      <c r="AJ656" s="4"/>
      <c r="AK656" s="4"/>
      <c r="AL656" s="4"/>
      <c r="AM656" s="4"/>
      <c r="AN656" s="4"/>
      <c r="AO656" s="4"/>
      <c r="AP656" s="4"/>
      <c r="AQ656" s="4"/>
      <c r="AR656" s="4"/>
      <c r="AS656" s="4"/>
      <c r="AT656" s="4"/>
      <c r="AU656" s="4"/>
      <c r="AV656" s="4"/>
      <c r="AW656" s="4"/>
      <c r="AX656" s="4"/>
      <c r="AY656" s="4"/>
      <c r="AZ656" s="4"/>
      <c r="BA656" s="4"/>
      <c r="BB656" s="4"/>
      <c r="BC656" s="4"/>
      <c r="BD656" s="5"/>
      <c r="BE656" s="4"/>
      <c r="BF656" s="4"/>
      <c r="BG656" s="4"/>
      <c r="BH656" s="4"/>
      <c r="BI656" s="4"/>
      <c r="BJ656" s="4"/>
      <c r="BK656" s="4"/>
      <c r="BL656" s="4"/>
      <c r="BM656" s="4"/>
      <c r="BN656" s="4"/>
      <c r="BO656" s="4"/>
      <c r="BP656" s="4"/>
      <c r="BQ656" s="4"/>
      <c r="BR656" s="4"/>
      <c r="BS656" s="4"/>
    </row>
    <row r="657" spans="1:7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c r="AG657" s="3"/>
      <c r="AH657" s="4"/>
      <c r="AI657" s="4"/>
      <c r="AJ657" s="4"/>
      <c r="AK657" s="4"/>
      <c r="AL657" s="4"/>
      <c r="AM657" s="4"/>
      <c r="AN657" s="4"/>
      <c r="AO657" s="4"/>
      <c r="AP657" s="4"/>
      <c r="AQ657" s="4"/>
      <c r="AR657" s="4"/>
      <c r="AS657" s="4"/>
      <c r="AT657" s="4"/>
      <c r="AU657" s="4"/>
      <c r="AV657" s="4"/>
      <c r="AW657" s="4"/>
      <c r="AX657" s="4"/>
      <c r="AY657" s="4"/>
      <c r="AZ657" s="4"/>
      <c r="BA657" s="4"/>
      <c r="BB657" s="4"/>
      <c r="BC657" s="4"/>
      <c r="BD657" s="5"/>
      <c r="BE657" s="4"/>
      <c r="BF657" s="4"/>
      <c r="BG657" s="4"/>
      <c r="BH657" s="4"/>
      <c r="BI657" s="4"/>
      <c r="BJ657" s="4"/>
      <c r="BK657" s="4"/>
      <c r="BL657" s="4"/>
      <c r="BM657" s="4"/>
      <c r="BN657" s="4"/>
      <c r="BO657" s="4"/>
      <c r="BP657" s="4"/>
      <c r="BQ657" s="4"/>
      <c r="BR657" s="4"/>
      <c r="BS657" s="4"/>
    </row>
    <row r="658" spans="1:7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c r="AG658" s="3"/>
      <c r="AH658" s="4"/>
      <c r="AI658" s="4"/>
      <c r="AJ658" s="4"/>
      <c r="AK658" s="4"/>
      <c r="AL658" s="4"/>
      <c r="AM658" s="4"/>
      <c r="AN658" s="4"/>
      <c r="AO658" s="4"/>
      <c r="AP658" s="4"/>
      <c r="AQ658" s="4"/>
      <c r="AR658" s="4"/>
      <c r="AS658" s="4"/>
      <c r="AT658" s="4"/>
      <c r="AU658" s="4"/>
      <c r="AV658" s="4"/>
      <c r="AW658" s="4"/>
      <c r="AX658" s="4"/>
      <c r="AY658" s="4"/>
      <c r="AZ658" s="4"/>
      <c r="BA658" s="4"/>
      <c r="BB658" s="4"/>
      <c r="BC658" s="4"/>
      <c r="BD658" s="5"/>
      <c r="BE658" s="4"/>
      <c r="BF658" s="4"/>
      <c r="BG658" s="4"/>
      <c r="BH658" s="4"/>
      <c r="BI658" s="4"/>
      <c r="BJ658" s="4"/>
      <c r="BK658" s="4"/>
      <c r="BL658" s="4"/>
      <c r="BM658" s="4"/>
      <c r="BN658" s="4"/>
      <c r="BO658" s="4"/>
      <c r="BP658" s="4"/>
      <c r="BQ658" s="4"/>
      <c r="BR658" s="4"/>
      <c r="BS658" s="4"/>
    </row>
    <row r="659" spans="1:7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c r="AG659" s="3"/>
      <c r="AH659" s="4"/>
      <c r="AI659" s="4"/>
      <c r="AJ659" s="4"/>
      <c r="AK659" s="4"/>
      <c r="AL659" s="4"/>
      <c r="AM659" s="4"/>
      <c r="AN659" s="4"/>
      <c r="AO659" s="4"/>
      <c r="AP659" s="4"/>
      <c r="AQ659" s="4"/>
      <c r="AR659" s="4"/>
      <c r="AS659" s="4"/>
      <c r="AT659" s="4"/>
      <c r="AU659" s="4"/>
      <c r="AV659" s="4"/>
      <c r="AW659" s="4"/>
      <c r="AX659" s="4"/>
      <c r="AY659" s="4"/>
      <c r="AZ659" s="4"/>
      <c r="BA659" s="4"/>
      <c r="BB659" s="4"/>
      <c r="BC659" s="4"/>
      <c r="BD659" s="5"/>
      <c r="BE659" s="4"/>
      <c r="BF659" s="4"/>
      <c r="BG659" s="4"/>
      <c r="BH659" s="4"/>
      <c r="BI659" s="4"/>
      <c r="BJ659" s="4"/>
      <c r="BK659" s="4"/>
      <c r="BL659" s="4"/>
      <c r="BM659" s="4"/>
      <c r="BN659" s="4"/>
      <c r="BO659" s="4"/>
      <c r="BP659" s="4"/>
      <c r="BQ659" s="4"/>
      <c r="BR659" s="4"/>
      <c r="BS659" s="4"/>
    </row>
    <row r="660" spans="1:7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c r="AG660" s="3"/>
      <c r="AH660" s="4"/>
      <c r="AI660" s="4"/>
      <c r="AJ660" s="4"/>
      <c r="AK660" s="4"/>
      <c r="AL660" s="4"/>
      <c r="AM660" s="4"/>
      <c r="AN660" s="4"/>
      <c r="AO660" s="4"/>
      <c r="AP660" s="4"/>
      <c r="AQ660" s="4"/>
      <c r="AR660" s="4"/>
      <c r="AS660" s="4"/>
      <c r="AT660" s="4"/>
      <c r="AU660" s="4"/>
      <c r="AV660" s="4"/>
      <c r="AW660" s="4"/>
      <c r="AX660" s="4"/>
      <c r="AY660" s="4"/>
      <c r="AZ660" s="4"/>
      <c r="BA660" s="4"/>
      <c r="BB660" s="4"/>
      <c r="BC660" s="4"/>
      <c r="BD660" s="5"/>
      <c r="BE660" s="4"/>
      <c r="BF660" s="4"/>
      <c r="BG660" s="4"/>
      <c r="BH660" s="4"/>
      <c r="BI660" s="4"/>
      <c r="BJ660" s="4"/>
      <c r="BK660" s="4"/>
      <c r="BL660" s="4"/>
      <c r="BM660" s="4"/>
      <c r="BN660" s="4"/>
      <c r="BO660" s="4"/>
      <c r="BP660" s="4"/>
      <c r="BQ660" s="4"/>
      <c r="BR660" s="4"/>
      <c r="BS660" s="4"/>
    </row>
    <row r="661" spans="1:7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c r="AG661" s="3"/>
      <c r="AH661" s="4"/>
      <c r="AI661" s="4"/>
      <c r="AJ661" s="4"/>
      <c r="AK661" s="4"/>
      <c r="AL661" s="4"/>
      <c r="AM661" s="4"/>
      <c r="AN661" s="4"/>
      <c r="AO661" s="4"/>
      <c r="AP661" s="4"/>
      <c r="AQ661" s="4"/>
      <c r="AR661" s="4"/>
      <c r="AS661" s="4"/>
      <c r="AT661" s="4"/>
      <c r="AU661" s="4"/>
      <c r="AV661" s="4"/>
      <c r="AW661" s="4"/>
      <c r="AX661" s="4"/>
      <c r="AY661" s="4"/>
      <c r="AZ661" s="4"/>
      <c r="BA661" s="4"/>
      <c r="BB661" s="4"/>
      <c r="BC661" s="4"/>
      <c r="BD661" s="5"/>
      <c r="BE661" s="4"/>
      <c r="BF661" s="4"/>
      <c r="BG661" s="4"/>
      <c r="BH661" s="4"/>
      <c r="BI661" s="4"/>
      <c r="BJ661" s="4"/>
      <c r="BK661" s="4"/>
      <c r="BL661" s="4"/>
      <c r="BM661" s="4"/>
      <c r="BN661" s="4"/>
      <c r="BO661" s="4"/>
      <c r="BP661" s="4"/>
      <c r="BQ661" s="4"/>
      <c r="BR661" s="4"/>
      <c r="BS661" s="4"/>
    </row>
    <row r="662" spans="1:7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c r="AG662" s="3"/>
      <c r="AH662" s="4"/>
      <c r="AI662" s="4"/>
      <c r="AJ662" s="4"/>
      <c r="AK662" s="4"/>
      <c r="AL662" s="4"/>
      <c r="AM662" s="4"/>
      <c r="AN662" s="4"/>
      <c r="AO662" s="4"/>
      <c r="AP662" s="4"/>
      <c r="AQ662" s="4"/>
      <c r="AR662" s="4"/>
      <c r="AS662" s="4"/>
      <c r="AT662" s="4"/>
      <c r="AU662" s="4"/>
      <c r="AV662" s="4"/>
      <c r="AW662" s="4"/>
      <c r="AX662" s="4"/>
      <c r="AY662" s="4"/>
      <c r="AZ662" s="4"/>
      <c r="BA662" s="4"/>
      <c r="BB662" s="4"/>
      <c r="BC662" s="4"/>
      <c r="BD662" s="5"/>
      <c r="BE662" s="4"/>
      <c r="BF662" s="4"/>
      <c r="BG662" s="4"/>
      <c r="BH662" s="4"/>
      <c r="BI662" s="4"/>
      <c r="BJ662" s="4"/>
      <c r="BK662" s="4"/>
      <c r="BL662" s="4"/>
      <c r="BM662" s="4"/>
      <c r="BN662" s="4"/>
      <c r="BO662" s="4"/>
      <c r="BP662" s="4"/>
      <c r="BQ662" s="4"/>
      <c r="BR662" s="4"/>
      <c r="BS662" s="4"/>
    </row>
    <row r="663" spans="1:7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c r="AG663" s="3"/>
      <c r="AH663" s="4"/>
      <c r="AI663" s="4"/>
      <c r="AJ663" s="4"/>
      <c r="AK663" s="4"/>
      <c r="AL663" s="4"/>
      <c r="AM663" s="4"/>
      <c r="AN663" s="4"/>
      <c r="AO663" s="4"/>
      <c r="AP663" s="4"/>
      <c r="AQ663" s="4"/>
      <c r="AR663" s="4"/>
      <c r="AS663" s="4"/>
      <c r="AT663" s="4"/>
      <c r="AU663" s="4"/>
      <c r="AV663" s="4"/>
      <c r="AW663" s="4"/>
      <c r="AX663" s="4"/>
      <c r="AY663" s="4"/>
      <c r="AZ663" s="4"/>
      <c r="BA663" s="4"/>
      <c r="BB663" s="4"/>
      <c r="BC663" s="4"/>
      <c r="BD663" s="5"/>
      <c r="BE663" s="4"/>
      <c r="BF663" s="4"/>
      <c r="BG663" s="4"/>
      <c r="BH663" s="4"/>
      <c r="BI663" s="4"/>
      <c r="BJ663" s="4"/>
      <c r="BK663" s="4"/>
      <c r="BL663" s="4"/>
      <c r="BM663" s="4"/>
      <c r="BN663" s="4"/>
      <c r="BO663" s="4"/>
      <c r="BP663" s="4"/>
      <c r="BQ663" s="4"/>
      <c r="BR663" s="4"/>
      <c r="BS663" s="4"/>
    </row>
    <row r="664" spans="1:7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c r="AG664" s="3"/>
      <c r="AH664" s="4"/>
      <c r="AI664" s="4"/>
      <c r="AJ664" s="4"/>
      <c r="AK664" s="4"/>
      <c r="AL664" s="4"/>
      <c r="AM664" s="4"/>
      <c r="AN664" s="4"/>
      <c r="AO664" s="4"/>
      <c r="AP664" s="4"/>
      <c r="AQ664" s="4"/>
      <c r="AR664" s="4"/>
      <c r="AS664" s="4"/>
      <c r="AT664" s="4"/>
      <c r="AU664" s="4"/>
      <c r="AV664" s="4"/>
      <c r="AW664" s="4"/>
      <c r="AX664" s="4"/>
      <c r="AY664" s="4"/>
      <c r="AZ664" s="4"/>
      <c r="BA664" s="4"/>
      <c r="BB664" s="4"/>
      <c r="BC664" s="4"/>
      <c r="BD664" s="5"/>
      <c r="BE664" s="4"/>
      <c r="BF664" s="4"/>
      <c r="BG664" s="4"/>
      <c r="BH664" s="4"/>
      <c r="BI664" s="4"/>
      <c r="BJ664" s="4"/>
      <c r="BK664" s="4"/>
      <c r="BL664" s="4"/>
      <c r="BM664" s="4"/>
      <c r="BN664" s="4"/>
      <c r="BO664" s="4"/>
      <c r="BP664" s="4"/>
      <c r="BQ664" s="4"/>
      <c r="BR664" s="4"/>
      <c r="BS664" s="4"/>
    </row>
    <row r="665" spans="1:7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c r="AG665" s="3"/>
      <c r="AH665" s="4"/>
      <c r="AI665" s="4"/>
      <c r="AJ665" s="4"/>
      <c r="AK665" s="4"/>
      <c r="AL665" s="4"/>
      <c r="AM665" s="4"/>
      <c r="AN665" s="4"/>
      <c r="AO665" s="4"/>
      <c r="AP665" s="4"/>
      <c r="AQ665" s="4"/>
      <c r="AR665" s="4"/>
      <c r="AS665" s="4"/>
      <c r="AT665" s="4"/>
      <c r="AU665" s="4"/>
      <c r="AV665" s="4"/>
      <c r="AW665" s="4"/>
      <c r="AX665" s="4"/>
      <c r="AY665" s="4"/>
      <c r="AZ665" s="4"/>
      <c r="BA665" s="4"/>
      <c r="BB665" s="4"/>
      <c r="BC665" s="4"/>
      <c r="BD665" s="5"/>
      <c r="BE665" s="4"/>
      <c r="BF665" s="4"/>
      <c r="BG665" s="4"/>
      <c r="BH665" s="4"/>
      <c r="BI665" s="4"/>
      <c r="BJ665" s="4"/>
      <c r="BK665" s="4"/>
      <c r="BL665" s="4"/>
      <c r="BM665" s="4"/>
      <c r="BN665" s="4"/>
      <c r="BO665" s="4"/>
      <c r="BP665" s="4"/>
      <c r="BQ665" s="4"/>
      <c r="BR665" s="4"/>
      <c r="BS665" s="4"/>
    </row>
    <row r="666" spans="1:7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c r="AG666" s="3"/>
      <c r="AH666" s="4"/>
      <c r="AI666" s="4"/>
      <c r="AJ666" s="4"/>
      <c r="AK666" s="4"/>
      <c r="AL666" s="4"/>
      <c r="AM666" s="4"/>
      <c r="AN666" s="4"/>
      <c r="AO666" s="4"/>
      <c r="AP666" s="4"/>
      <c r="AQ666" s="4"/>
      <c r="AR666" s="4"/>
      <c r="AS666" s="4"/>
      <c r="AT666" s="4"/>
      <c r="AU666" s="4"/>
      <c r="AV666" s="4"/>
      <c r="AW666" s="4"/>
      <c r="AX666" s="4"/>
      <c r="AY666" s="4"/>
      <c r="AZ666" s="4"/>
      <c r="BA666" s="4"/>
      <c r="BB666" s="4"/>
      <c r="BC666" s="4"/>
      <c r="BD666" s="5"/>
      <c r="BE666" s="4"/>
      <c r="BF666" s="4"/>
      <c r="BG666" s="4"/>
      <c r="BH666" s="4"/>
      <c r="BI666" s="4"/>
      <c r="BJ666" s="4"/>
      <c r="BK666" s="4"/>
      <c r="BL666" s="4"/>
      <c r="BM666" s="4"/>
      <c r="BN666" s="4"/>
      <c r="BO666" s="4"/>
      <c r="BP666" s="4"/>
      <c r="BQ666" s="4"/>
      <c r="BR666" s="4"/>
      <c r="BS666" s="4"/>
    </row>
    <row r="667" spans="1:7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c r="AG667" s="3"/>
      <c r="AH667" s="4"/>
      <c r="AI667" s="4"/>
      <c r="AJ667" s="4"/>
      <c r="AK667" s="4"/>
      <c r="AL667" s="4"/>
      <c r="AM667" s="4"/>
      <c r="AN667" s="4"/>
      <c r="AO667" s="4"/>
      <c r="AP667" s="4"/>
      <c r="AQ667" s="4"/>
      <c r="AR667" s="4"/>
      <c r="AS667" s="4"/>
      <c r="AT667" s="4"/>
      <c r="AU667" s="4"/>
      <c r="AV667" s="4"/>
      <c r="AW667" s="4"/>
      <c r="AX667" s="4"/>
      <c r="AY667" s="4"/>
      <c r="AZ667" s="4"/>
      <c r="BA667" s="4"/>
      <c r="BB667" s="4"/>
      <c r="BC667" s="4"/>
      <c r="BD667" s="5"/>
      <c r="BE667" s="4"/>
      <c r="BF667" s="4"/>
      <c r="BG667" s="4"/>
      <c r="BH667" s="4"/>
      <c r="BI667" s="4"/>
      <c r="BJ667" s="4"/>
      <c r="BK667" s="4"/>
      <c r="BL667" s="4"/>
      <c r="BM667" s="4"/>
      <c r="BN667" s="4"/>
      <c r="BO667" s="4"/>
      <c r="BP667" s="4"/>
      <c r="BQ667" s="4"/>
      <c r="BR667" s="4"/>
      <c r="BS667" s="4"/>
    </row>
    <row r="668" spans="1:7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c r="AG668" s="3"/>
      <c r="AH668" s="4"/>
      <c r="AI668" s="4"/>
      <c r="AJ668" s="4"/>
      <c r="AK668" s="4"/>
      <c r="AL668" s="4"/>
      <c r="AM668" s="4"/>
      <c r="AN668" s="4"/>
      <c r="AO668" s="4"/>
      <c r="AP668" s="4"/>
      <c r="AQ668" s="4"/>
      <c r="AR668" s="4"/>
      <c r="AS668" s="4"/>
      <c r="AT668" s="4"/>
      <c r="AU668" s="4"/>
      <c r="AV668" s="4"/>
      <c r="AW668" s="4"/>
      <c r="AX668" s="4"/>
      <c r="AY668" s="4"/>
      <c r="AZ668" s="4"/>
      <c r="BA668" s="4"/>
      <c r="BB668" s="4"/>
      <c r="BC668" s="4"/>
      <c r="BD668" s="5"/>
      <c r="BE668" s="4"/>
      <c r="BF668" s="4"/>
      <c r="BG668" s="4"/>
      <c r="BH668" s="4"/>
      <c r="BI668" s="4"/>
      <c r="BJ668" s="4"/>
      <c r="BK668" s="4"/>
      <c r="BL668" s="4"/>
      <c r="BM668" s="4"/>
      <c r="BN668" s="4"/>
      <c r="BO668" s="4"/>
      <c r="BP668" s="4"/>
      <c r="BQ668" s="4"/>
      <c r="BR668" s="4"/>
      <c r="BS668" s="4"/>
    </row>
    <row r="669" spans="1:7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c r="AG669" s="3"/>
      <c r="AH669" s="4"/>
      <c r="AI669" s="4"/>
      <c r="AJ669" s="4"/>
      <c r="AK669" s="4"/>
      <c r="AL669" s="4"/>
      <c r="AM669" s="4"/>
      <c r="AN669" s="4"/>
      <c r="AO669" s="4"/>
      <c r="AP669" s="4"/>
      <c r="AQ669" s="4"/>
      <c r="AR669" s="4"/>
      <c r="AS669" s="4"/>
      <c r="AT669" s="4"/>
      <c r="AU669" s="4"/>
      <c r="AV669" s="4"/>
      <c r="AW669" s="4"/>
      <c r="AX669" s="4"/>
      <c r="AY669" s="4"/>
      <c r="AZ669" s="4"/>
      <c r="BA669" s="4"/>
      <c r="BB669" s="4"/>
      <c r="BC669" s="4"/>
      <c r="BD669" s="5"/>
      <c r="BE669" s="4"/>
      <c r="BF669" s="4"/>
      <c r="BG669" s="4"/>
      <c r="BH669" s="4"/>
      <c r="BI669" s="4"/>
      <c r="BJ669" s="4"/>
      <c r="BK669" s="4"/>
      <c r="BL669" s="4"/>
      <c r="BM669" s="4"/>
      <c r="BN669" s="4"/>
      <c r="BO669" s="4"/>
      <c r="BP669" s="4"/>
      <c r="BQ669" s="4"/>
      <c r="BR669" s="4"/>
      <c r="BS669" s="4"/>
    </row>
    <row r="670" spans="1:7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c r="AG670" s="3"/>
      <c r="AH670" s="4"/>
      <c r="AI670" s="4"/>
      <c r="AJ670" s="4"/>
      <c r="AK670" s="4"/>
      <c r="AL670" s="4"/>
      <c r="AM670" s="4"/>
      <c r="AN670" s="4"/>
      <c r="AO670" s="4"/>
      <c r="AP670" s="4"/>
      <c r="AQ670" s="4"/>
      <c r="AR670" s="4"/>
      <c r="AS670" s="4"/>
      <c r="AT670" s="4"/>
      <c r="AU670" s="4"/>
      <c r="AV670" s="4"/>
      <c r="AW670" s="4"/>
      <c r="AX670" s="4"/>
      <c r="AY670" s="4"/>
      <c r="AZ670" s="4"/>
      <c r="BA670" s="4"/>
      <c r="BB670" s="4"/>
      <c r="BC670" s="4"/>
      <c r="BD670" s="5"/>
      <c r="BE670" s="4"/>
      <c r="BF670" s="4"/>
      <c r="BG670" s="4"/>
      <c r="BH670" s="4"/>
      <c r="BI670" s="4"/>
      <c r="BJ670" s="4"/>
      <c r="BK670" s="4"/>
      <c r="BL670" s="4"/>
      <c r="BM670" s="4"/>
      <c r="BN670" s="4"/>
      <c r="BO670" s="4"/>
      <c r="BP670" s="4"/>
      <c r="BQ670" s="4"/>
      <c r="BR670" s="4"/>
      <c r="BS670" s="4"/>
    </row>
    <row r="671" spans="1: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c r="AG671" s="3"/>
      <c r="AH671" s="4"/>
      <c r="AI671" s="4"/>
      <c r="AJ671" s="4"/>
      <c r="AK671" s="4"/>
      <c r="AL671" s="4"/>
      <c r="AM671" s="4"/>
      <c r="AN671" s="4"/>
      <c r="AO671" s="4"/>
      <c r="AP671" s="4"/>
      <c r="AQ671" s="4"/>
      <c r="AR671" s="4"/>
      <c r="AS671" s="4"/>
      <c r="AT671" s="4"/>
      <c r="AU671" s="4"/>
      <c r="AV671" s="4"/>
      <c r="AW671" s="4"/>
      <c r="AX671" s="4"/>
      <c r="AY671" s="4"/>
      <c r="AZ671" s="4"/>
      <c r="BA671" s="4"/>
      <c r="BB671" s="4"/>
      <c r="BC671" s="4"/>
      <c r="BD671" s="5"/>
      <c r="BE671" s="4"/>
      <c r="BF671" s="4"/>
      <c r="BG671" s="4"/>
      <c r="BH671" s="4"/>
      <c r="BI671" s="4"/>
      <c r="BJ671" s="4"/>
      <c r="BK671" s="4"/>
      <c r="BL671" s="4"/>
      <c r="BM671" s="4"/>
      <c r="BN671" s="4"/>
      <c r="BO671" s="4"/>
      <c r="BP671" s="4"/>
      <c r="BQ671" s="4"/>
      <c r="BR671" s="4"/>
      <c r="BS671" s="4"/>
    </row>
    <row r="672" spans="1:7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c r="AG672" s="3"/>
      <c r="AH672" s="4"/>
      <c r="AI672" s="4"/>
      <c r="AJ672" s="4"/>
      <c r="AK672" s="4"/>
      <c r="AL672" s="4"/>
      <c r="AM672" s="4"/>
      <c r="AN672" s="4"/>
      <c r="AO672" s="4"/>
      <c r="AP672" s="4"/>
      <c r="AQ672" s="4"/>
      <c r="AR672" s="4"/>
      <c r="AS672" s="4"/>
      <c r="AT672" s="4"/>
      <c r="AU672" s="4"/>
      <c r="AV672" s="4"/>
      <c r="AW672" s="4"/>
      <c r="AX672" s="4"/>
      <c r="AY672" s="4"/>
      <c r="AZ672" s="4"/>
      <c r="BA672" s="4"/>
      <c r="BB672" s="4"/>
      <c r="BC672" s="4"/>
      <c r="BD672" s="5"/>
      <c r="BE672" s="4"/>
      <c r="BF672" s="4"/>
      <c r="BG672" s="4"/>
      <c r="BH672" s="4"/>
      <c r="BI672" s="4"/>
      <c r="BJ672" s="4"/>
      <c r="BK672" s="4"/>
      <c r="BL672" s="4"/>
      <c r="BM672" s="4"/>
      <c r="BN672" s="4"/>
      <c r="BO672" s="4"/>
      <c r="BP672" s="4"/>
      <c r="BQ672" s="4"/>
      <c r="BR672" s="4"/>
      <c r="BS672" s="4"/>
    </row>
    <row r="673" spans="1:7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c r="AG673" s="3"/>
      <c r="AH673" s="4"/>
      <c r="AI673" s="4"/>
      <c r="AJ673" s="4"/>
      <c r="AK673" s="4"/>
      <c r="AL673" s="4"/>
      <c r="AM673" s="4"/>
      <c r="AN673" s="4"/>
      <c r="AO673" s="4"/>
      <c r="AP673" s="4"/>
      <c r="AQ673" s="4"/>
      <c r="AR673" s="4"/>
      <c r="AS673" s="4"/>
      <c r="AT673" s="4"/>
      <c r="AU673" s="4"/>
      <c r="AV673" s="4"/>
      <c r="AW673" s="4"/>
      <c r="AX673" s="4"/>
      <c r="AY673" s="4"/>
      <c r="AZ673" s="4"/>
      <c r="BA673" s="4"/>
      <c r="BB673" s="4"/>
      <c r="BC673" s="4"/>
      <c r="BD673" s="5"/>
      <c r="BE673" s="4"/>
      <c r="BF673" s="4"/>
      <c r="BG673" s="4"/>
      <c r="BH673" s="4"/>
      <c r="BI673" s="4"/>
      <c r="BJ673" s="4"/>
      <c r="BK673" s="4"/>
      <c r="BL673" s="4"/>
      <c r="BM673" s="4"/>
      <c r="BN673" s="4"/>
      <c r="BO673" s="4"/>
      <c r="BP673" s="4"/>
      <c r="BQ673" s="4"/>
      <c r="BR673" s="4"/>
      <c r="BS673" s="4"/>
    </row>
    <row r="674" spans="1:7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c r="AG674" s="3"/>
      <c r="AH674" s="4"/>
      <c r="AI674" s="4"/>
      <c r="AJ674" s="4"/>
      <c r="AK674" s="4"/>
      <c r="AL674" s="4"/>
      <c r="AM674" s="4"/>
      <c r="AN674" s="4"/>
      <c r="AO674" s="4"/>
      <c r="AP674" s="4"/>
      <c r="AQ674" s="4"/>
      <c r="AR674" s="4"/>
      <c r="AS674" s="4"/>
      <c r="AT674" s="4"/>
      <c r="AU674" s="4"/>
      <c r="AV674" s="4"/>
      <c r="AW674" s="4"/>
      <c r="AX674" s="4"/>
      <c r="AY674" s="4"/>
      <c r="AZ674" s="4"/>
      <c r="BA674" s="4"/>
      <c r="BB674" s="4"/>
      <c r="BC674" s="4"/>
      <c r="BD674" s="5"/>
      <c r="BE674" s="4"/>
      <c r="BF674" s="4"/>
      <c r="BG674" s="4"/>
      <c r="BH674" s="4"/>
      <c r="BI674" s="4"/>
      <c r="BJ674" s="4"/>
      <c r="BK674" s="4"/>
      <c r="BL674" s="4"/>
      <c r="BM674" s="4"/>
      <c r="BN674" s="4"/>
      <c r="BO674" s="4"/>
      <c r="BP674" s="4"/>
      <c r="BQ674" s="4"/>
      <c r="BR674" s="4"/>
      <c r="BS674" s="4"/>
    </row>
    <row r="675" spans="1:7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c r="AG675" s="3"/>
      <c r="AH675" s="4"/>
      <c r="AI675" s="4"/>
      <c r="AJ675" s="4"/>
      <c r="AK675" s="4"/>
      <c r="AL675" s="4"/>
      <c r="AM675" s="4"/>
      <c r="AN675" s="4"/>
      <c r="AO675" s="4"/>
      <c r="AP675" s="4"/>
      <c r="AQ675" s="4"/>
      <c r="AR675" s="4"/>
      <c r="AS675" s="4"/>
      <c r="AT675" s="4"/>
      <c r="AU675" s="4"/>
      <c r="AV675" s="4"/>
      <c r="AW675" s="4"/>
      <c r="AX675" s="4"/>
      <c r="AY675" s="4"/>
      <c r="AZ675" s="4"/>
      <c r="BA675" s="4"/>
      <c r="BB675" s="4"/>
      <c r="BC675" s="4"/>
      <c r="BD675" s="5"/>
      <c r="BE675" s="4"/>
      <c r="BF675" s="4"/>
      <c r="BG675" s="4"/>
      <c r="BH675" s="4"/>
      <c r="BI675" s="4"/>
      <c r="BJ675" s="4"/>
      <c r="BK675" s="4"/>
      <c r="BL675" s="4"/>
      <c r="BM675" s="4"/>
      <c r="BN675" s="4"/>
      <c r="BO675" s="4"/>
      <c r="BP675" s="4"/>
      <c r="BQ675" s="4"/>
      <c r="BR675" s="4"/>
      <c r="BS675" s="4"/>
    </row>
    <row r="676" spans="1:7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c r="AG676" s="3"/>
      <c r="AH676" s="4"/>
      <c r="AI676" s="4"/>
      <c r="AJ676" s="4"/>
      <c r="AK676" s="4"/>
      <c r="AL676" s="4"/>
      <c r="AM676" s="4"/>
      <c r="AN676" s="4"/>
      <c r="AO676" s="4"/>
      <c r="AP676" s="4"/>
      <c r="AQ676" s="4"/>
      <c r="AR676" s="4"/>
      <c r="AS676" s="4"/>
      <c r="AT676" s="4"/>
      <c r="AU676" s="4"/>
      <c r="AV676" s="4"/>
      <c r="AW676" s="4"/>
      <c r="AX676" s="4"/>
      <c r="AY676" s="4"/>
      <c r="AZ676" s="4"/>
      <c r="BA676" s="4"/>
      <c r="BB676" s="4"/>
      <c r="BC676" s="4"/>
      <c r="BD676" s="5"/>
      <c r="BE676" s="4"/>
      <c r="BF676" s="4"/>
      <c r="BG676" s="4"/>
      <c r="BH676" s="4"/>
      <c r="BI676" s="4"/>
      <c r="BJ676" s="4"/>
      <c r="BK676" s="4"/>
      <c r="BL676" s="4"/>
      <c r="BM676" s="4"/>
      <c r="BN676" s="4"/>
      <c r="BO676" s="4"/>
      <c r="BP676" s="4"/>
      <c r="BQ676" s="4"/>
      <c r="BR676" s="4"/>
      <c r="BS676" s="4"/>
    </row>
    <row r="677" spans="1:7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c r="AG677" s="3"/>
      <c r="AH677" s="4"/>
      <c r="AI677" s="4"/>
      <c r="AJ677" s="4"/>
      <c r="AK677" s="4"/>
      <c r="AL677" s="4"/>
      <c r="AM677" s="4"/>
      <c r="AN677" s="4"/>
      <c r="AO677" s="4"/>
      <c r="AP677" s="4"/>
      <c r="AQ677" s="4"/>
      <c r="AR677" s="4"/>
      <c r="AS677" s="4"/>
      <c r="AT677" s="4"/>
      <c r="AU677" s="4"/>
      <c r="AV677" s="4"/>
      <c r="AW677" s="4"/>
      <c r="AX677" s="4"/>
      <c r="AY677" s="4"/>
      <c r="AZ677" s="4"/>
      <c r="BA677" s="4"/>
      <c r="BB677" s="4"/>
      <c r="BC677" s="4"/>
      <c r="BD677" s="5"/>
      <c r="BE677" s="4"/>
      <c r="BF677" s="4"/>
      <c r="BG677" s="4"/>
      <c r="BH677" s="4"/>
      <c r="BI677" s="4"/>
      <c r="BJ677" s="4"/>
      <c r="BK677" s="4"/>
      <c r="BL677" s="4"/>
      <c r="BM677" s="4"/>
      <c r="BN677" s="4"/>
      <c r="BO677" s="4"/>
      <c r="BP677" s="4"/>
      <c r="BQ677" s="4"/>
      <c r="BR677" s="4"/>
      <c r="BS677" s="4"/>
    </row>
    <row r="678" spans="1:7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c r="AG678" s="3"/>
      <c r="AH678" s="4"/>
      <c r="AI678" s="4"/>
      <c r="AJ678" s="4"/>
      <c r="AK678" s="4"/>
      <c r="AL678" s="4"/>
      <c r="AM678" s="4"/>
      <c r="AN678" s="4"/>
      <c r="AO678" s="4"/>
      <c r="AP678" s="4"/>
      <c r="AQ678" s="4"/>
      <c r="AR678" s="4"/>
      <c r="AS678" s="4"/>
      <c r="AT678" s="4"/>
      <c r="AU678" s="4"/>
      <c r="AV678" s="4"/>
      <c r="AW678" s="4"/>
      <c r="AX678" s="4"/>
      <c r="AY678" s="4"/>
      <c r="AZ678" s="4"/>
      <c r="BA678" s="4"/>
      <c r="BB678" s="4"/>
      <c r="BC678" s="4"/>
      <c r="BD678" s="5"/>
      <c r="BE678" s="4"/>
      <c r="BF678" s="4"/>
      <c r="BG678" s="4"/>
      <c r="BH678" s="4"/>
      <c r="BI678" s="4"/>
      <c r="BJ678" s="4"/>
      <c r="BK678" s="4"/>
      <c r="BL678" s="4"/>
      <c r="BM678" s="4"/>
      <c r="BN678" s="4"/>
      <c r="BO678" s="4"/>
      <c r="BP678" s="4"/>
      <c r="BQ678" s="4"/>
      <c r="BR678" s="4"/>
      <c r="BS678" s="4"/>
    </row>
    <row r="679" spans="1:7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c r="AG679" s="3"/>
      <c r="AH679" s="4"/>
      <c r="AI679" s="4"/>
      <c r="AJ679" s="4"/>
      <c r="AK679" s="4"/>
      <c r="AL679" s="4"/>
      <c r="AM679" s="4"/>
      <c r="AN679" s="4"/>
      <c r="AO679" s="4"/>
      <c r="AP679" s="4"/>
      <c r="AQ679" s="4"/>
      <c r="AR679" s="4"/>
      <c r="AS679" s="4"/>
      <c r="AT679" s="4"/>
      <c r="AU679" s="4"/>
      <c r="AV679" s="4"/>
      <c r="AW679" s="4"/>
      <c r="AX679" s="4"/>
      <c r="AY679" s="4"/>
      <c r="AZ679" s="4"/>
      <c r="BA679" s="4"/>
      <c r="BB679" s="4"/>
      <c r="BC679" s="4"/>
      <c r="BD679" s="5"/>
      <c r="BE679" s="4"/>
      <c r="BF679" s="4"/>
      <c r="BG679" s="4"/>
      <c r="BH679" s="4"/>
      <c r="BI679" s="4"/>
      <c r="BJ679" s="4"/>
      <c r="BK679" s="4"/>
      <c r="BL679" s="4"/>
      <c r="BM679" s="4"/>
      <c r="BN679" s="4"/>
      <c r="BO679" s="4"/>
      <c r="BP679" s="4"/>
      <c r="BQ679" s="4"/>
      <c r="BR679" s="4"/>
      <c r="BS679" s="4"/>
    </row>
    <row r="680" spans="1:7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c r="AG680" s="3"/>
      <c r="AH680" s="4"/>
      <c r="AI680" s="4"/>
      <c r="AJ680" s="4"/>
      <c r="AK680" s="4"/>
      <c r="AL680" s="4"/>
      <c r="AM680" s="4"/>
      <c r="AN680" s="4"/>
      <c r="AO680" s="4"/>
      <c r="AP680" s="4"/>
      <c r="AQ680" s="4"/>
      <c r="AR680" s="4"/>
      <c r="AS680" s="4"/>
      <c r="AT680" s="4"/>
      <c r="AU680" s="4"/>
      <c r="AV680" s="4"/>
      <c r="AW680" s="4"/>
      <c r="AX680" s="4"/>
      <c r="AY680" s="4"/>
      <c r="AZ680" s="4"/>
      <c r="BA680" s="4"/>
      <c r="BB680" s="4"/>
      <c r="BC680" s="4"/>
      <c r="BD680" s="5"/>
      <c r="BE680" s="4"/>
      <c r="BF680" s="4"/>
      <c r="BG680" s="4"/>
      <c r="BH680" s="4"/>
      <c r="BI680" s="4"/>
      <c r="BJ680" s="4"/>
      <c r="BK680" s="4"/>
      <c r="BL680" s="4"/>
      <c r="BM680" s="4"/>
      <c r="BN680" s="4"/>
      <c r="BO680" s="4"/>
      <c r="BP680" s="4"/>
      <c r="BQ680" s="4"/>
      <c r="BR680" s="4"/>
      <c r="BS680" s="4"/>
    </row>
    <row r="681" spans="1:7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c r="AG681" s="3"/>
      <c r="AH681" s="4"/>
      <c r="AI681" s="4"/>
      <c r="AJ681" s="4"/>
      <c r="AK681" s="4"/>
      <c r="AL681" s="4"/>
      <c r="AM681" s="4"/>
      <c r="AN681" s="4"/>
      <c r="AO681" s="4"/>
      <c r="AP681" s="4"/>
      <c r="AQ681" s="4"/>
      <c r="AR681" s="4"/>
      <c r="AS681" s="4"/>
      <c r="AT681" s="4"/>
      <c r="AU681" s="4"/>
      <c r="AV681" s="4"/>
      <c r="AW681" s="4"/>
      <c r="AX681" s="4"/>
      <c r="AY681" s="4"/>
      <c r="AZ681" s="4"/>
      <c r="BA681" s="4"/>
      <c r="BB681" s="4"/>
      <c r="BC681" s="4"/>
      <c r="BD681" s="5"/>
      <c r="BE681" s="4"/>
      <c r="BF681" s="4"/>
      <c r="BG681" s="4"/>
      <c r="BH681" s="4"/>
      <c r="BI681" s="4"/>
      <c r="BJ681" s="4"/>
      <c r="BK681" s="4"/>
      <c r="BL681" s="4"/>
      <c r="BM681" s="4"/>
      <c r="BN681" s="4"/>
      <c r="BO681" s="4"/>
      <c r="BP681" s="4"/>
      <c r="BQ681" s="4"/>
      <c r="BR681" s="4"/>
      <c r="BS681" s="4"/>
    </row>
    <row r="682" spans="1:7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c r="AG682" s="3"/>
      <c r="AH682" s="4"/>
      <c r="AI682" s="4"/>
      <c r="AJ682" s="4"/>
      <c r="AK682" s="4"/>
      <c r="AL682" s="4"/>
      <c r="AM682" s="4"/>
      <c r="AN682" s="4"/>
      <c r="AO682" s="4"/>
      <c r="AP682" s="4"/>
      <c r="AQ682" s="4"/>
      <c r="AR682" s="4"/>
      <c r="AS682" s="4"/>
      <c r="AT682" s="4"/>
      <c r="AU682" s="4"/>
      <c r="AV682" s="4"/>
      <c r="AW682" s="4"/>
      <c r="AX682" s="4"/>
      <c r="AY682" s="4"/>
      <c r="AZ682" s="4"/>
      <c r="BA682" s="4"/>
      <c r="BB682" s="4"/>
      <c r="BC682" s="4"/>
      <c r="BD682" s="5"/>
      <c r="BE682" s="4"/>
      <c r="BF682" s="4"/>
      <c r="BG682" s="4"/>
      <c r="BH682" s="4"/>
      <c r="BI682" s="4"/>
      <c r="BJ682" s="4"/>
      <c r="BK682" s="4"/>
      <c r="BL682" s="4"/>
      <c r="BM682" s="4"/>
      <c r="BN682" s="4"/>
      <c r="BO682" s="4"/>
      <c r="BP682" s="4"/>
      <c r="BQ682" s="4"/>
      <c r="BR682" s="4"/>
      <c r="BS682" s="4"/>
    </row>
    <row r="683" spans="1:7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c r="AG683" s="3"/>
      <c r="AH683" s="4"/>
      <c r="AI683" s="4"/>
      <c r="AJ683" s="4"/>
      <c r="AK683" s="4"/>
      <c r="AL683" s="4"/>
      <c r="AM683" s="4"/>
      <c r="AN683" s="4"/>
      <c r="AO683" s="4"/>
      <c r="AP683" s="4"/>
      <c r="AQ683" s="4"/>
      <c r="AR683" s="4"/>
      <c r="AS683" s="4"/>
      <c r="AT683" s="4"/>
      <c r="AU683" s="4"/>
      <c r="AV683" s="4"/>
      <c r="AW683" s="4"/>
      <c r="AX683" s="4"/>
      <c r="AY683" s="4"/>
      <c r="AZ683" s="4"/>
      <c r="BA683" s="4"/>
      <c r="BB683" s="4"/>
      <c r="BC683" s="4"/>
      <c r="BD683" s="5"/>
      <c r="BE683" s="4"/>
      <c r="BF683" s="4"/>
      <c r="BG683" s="4"/>
      <c r="BH683" s="4"/>
      <c r="BI683" s="4"/>
      <c r="BJ683" s="4"/>
      <c r="BK683" s="4"/>
      <c r="BL683" s="4"/>
      <c r="BM683" s="4"/>
      <c r="BN683" s="4"/>
      <c r="BO683" s="4"/>
      <c r="BP683" s="4"/>
      <c r="BQ683" s="4"/>
      <c r="BR683" s="4"/>
      <c r="BS683" s="4"/>
    </row>
    <row r="684" spans="1:7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c r="AG684" s="3"/>
      <c r="AH684" s="4"/>
      <c r="AI684" s="4"/>
      <c r="AJ684" s="4"/>
      <c r="AK684" s="4"/>
      <c r="AL684" s="4"/>
      <c r="AM684" s="4"/>
      <c r="AN684" s="4"/>
      <c r="AO684" s="4"/>
      <c r="AP684" s="4"/>
      <c r="AQ684" s="4"/>
      <c r="AR684" s="4"/>
      <c r="AS684" s="4"/>
      <c r="AT684" s="4"/>
      <c r="AU684" s="4"/>
      <c r="AV684" s="4"/>
      <c r="AW684" s="4"/>
      <c r="AX684" s="4"/>
      <c r="AY684" s="4"/>
      <c r="AZ684" s="4"/>
      <c r="BA684" s="4"/>
      <c r="BB684" s="4"/>
      <c r="BC684" s="4"/>
      <c r="BD684" s="5"/>
      <c r="BE684" s="4"/>
      <c r="BF684" s="4"/>
      <c r="BG684" s="4"/>
      <c r="BH684" s="4"/>
      <c r="BI684" s="4"/>
      <c r="BJ684" s="4"/>
      <c r="BK684" s="4"/>
      <c r="BL684" s="4"/>
      <c r="BM684" s="4"/>
      <c r="BN684" s="4"/>
      <c r="BO684" s="4"/>
      <c r="BP684" s="4"/>
      <c r="BQ684" s="4"/>
      <c r="BR684" s="4"/>
      <c r="BS684" s="4"/>
    </row>
    <row r="685" spans="1:7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c r="AG685" s="3"/>
      <c r="AH685" s="4"/>
      <c r="AI685" s="4"/>
      <c r="AJ685" s="4"/>
      <c r="AK685" s="4"/>
      <c r="AL685" s="4"/>
      <c r="AM685" s="4"/>
      <c r="AN685" s="4"/>
      <c r="AO685" s="4"/>
      <c r="AP685" s="4"/>
      <c r="AQ685" s="4"/>
      <c r="AR685" s="4"/>
      <c r="AS685" s="4"/>
      <c r="AT685" s="4"/>
      <c r="AU685" s="4"/>
      <c r="AV685" s="4"/>
      <c r="AW685" s="4"/>
      <c r="AX685" s="4"/>
      <c r="AY685" s="4"/>
      <c r="AZ685" s="4"/>
      <c r="BA685" s="4"/>
      <c r="BB685" s="4"/>
      <c r="BC685" s="4"/>
      <c r="BD685" s="5"/>
      <c r="BE685" s="4"/>
      <c r="BF685" s="4"/>
      <c r="BG685" s="4"/>
      <c r="BH685" s="4"/>
      <c r="BI685" s="4"/>
      <c r="BJ685" s="4"/>
      <c r="BK685" s="4"/>
      <c r="BL685" s="4"/>
      <c r="BM685" s="4"/>
      <c r="BN685" s="4"/>
      <c r="BO685" s="4"/>
      <c r="BP685" s="4"/>
      <c r="BQ685" s="4"/>
      <c r="BR685" s="4"/>
      <c r="BS685" s="4"/>
    </row>
    <row r="686" spans="1:7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c r="AG686" s="3"/>
      <c r="AH686" s="4"/>
      <c r="AI686" s="4"/>
      <c r="AJ686" s="4"/>
      <c r="AK686" s="4"/>
      <c r="AL686" s="4"/>
      <c r="AM686" s="4"/>
      <c r="AN686" s="4"/>
      <c r="AO686" s="4"/>
      <c r="AP686" s="4"/>
      <c r="AQ686" s="4"/>
      <c r="AR686" s="4"/>
      <c r="AS686" s="4"/>
      <c r="AT686" s="4"/>
      <c r="AU686" s="4"/>
      <c r="AV686" s="4"/>
      <c r="AW686" s="4"/>
      <c r="AX686" s="4"/>
      <c r="AY686" s="4"/>
      <c r="AZ686" s="4"/>
      <c r="BA686" s="4"/>
      <c r="BB686" s="4"/>
      <c r="BC686" s="4"/>
      <c r="BD686" s="5"/>
      <c r="BE686" s="4"/>
      <c r="BF686" s="4"/>
      <c r="BG686" s="4"/>
      <c r="BH686" s="4"/>
      <c r="BI686" s="4"/>
      <c r="BJ686" s="4"/>
      <c r="BK686" s="4"/>
      <c r="BL686" s="4"/>
      <c r="BM686" s="4"/>
      <c r="BN686" s="4"/>
      <c r="BO686" s="4"/>
      <c r="BP686" s="4"/>
      <c r="BQ686" s="4"/>
      <c r="BR686" s="4"/>
      <c r="BS686" s="4"/>
    </row>
    <row r="687" spans="1:7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c r="AG687" s="3"/>
      <c r="AH687" s="4"/>
      <c r="AI687" s="4"/>
      <c r="AJ687" s="4"/>
      <c r="AK687" s="4"/>
      <c r="AL687" s="4"/>
      <c r="AM687" s="4"/>
      <c r="AN687" s="4"/>
      <c r="AO687" s="4"/>
      <c r="AP687" s="4"/>
      <c r="AQ687" s="4"/>
      <c r="AR687" s="4"/>
      <c r="AS687" s="4"/>
      <c r="AT687" s="4"/>
      <c r="AU687" s="4"/>
      <c r="AV687" s="4"/>
      <c r="AW687" s="4"/>
      <c r="AX687" s="4"/>
      <c r="AY687" s="4"/>
      <c r="AZ687" s="4"/>
      <c r="BA687" s="4"/>
      <c r="BB687" s="4"/>
      <c r="BC687" s="4"/>
      <c r="BD687" s="5"/>
      <c r="BE687" s="4"/>
      <c r="BF687" s="4"/>
      <c r="BG687" s="4"/>
      <c r="BH687" s="4"/>
      <c r="BI687" s="4"/>
      <c r="BJ687" s="4"/>
      <c r="BK687" s="4"/>
      <c r="BL687" s="4"/>
      <c r="BM687" s="4"/>
      <c r="BN687" s="4"/>
      <c r="BO687" s="4"/>
      <c r="BP687" s="4"/>
      <c r="BQ687" s="4"/>
      <c r="BR687" s="4"/>
      <c r="BS687" s="4"/>
    </row>
    <row r="688" spans="1:7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c r="AG688" s="3"/>
      <c r="AH688" s="4"/>
      <c r="AI688" s="4"/>
      <c r="AJ688" s="4"/>
      <c r="AK688" s="4"/>
      <c r="AL688" s="4"/>
      <c r="AM688" s="4"/>
      <c r="AN688" s="4"/>
      <c r="AO688" s="4"/>
      <c r="AP688" s="4"/>
      <c r="AQ688" s="4"/>
      <c r="AR688" s="4"/>
      <c r="AS688" s="4"/>
      <c r="AT688" s="4"/>
      <c r="AU688" s="4"/>
      <c r="AV688" s="4"/>
      <c r="AW688" s="4"/>
      <c r="AX688" s="4"/>
      <c r="AY688" s="4"/>
      <c r="AZ688" s="4"/>
      <c r="BA688" s="4"/>
      <c r="BB688" s="4"/>
      <c r="BC688" s="4"/>
      <c r="BD688" s="5"/>
      <c r="BE688" s="4"/>
      <c r="BF688" s="4"/>
      <c r="BG688" s="4"/>
      <c r="BH688" s="4"/>
      <c r="BI688" s="4"/>
      <c r="BJ688" s="4"/>
      <c r="BK688" s="4"/>
      <c r="BL688" s="4"/>
      <c r="BM688" s="4"/>
      <c r="BN688" s="4"/>
      <c r="BO688" s="4"/>
      <c r="BP688" s="4"/>
      <c r="BQ688" s="4"/>
      <c r="BR688" s="4"/>
      <c r="BS688" s="4"/>
    </row>
    <row r="689" spans="1:7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c r="AG689" s="3"/>
      <c r="AH689" s="4"/>
      <c r="AI689" s="4"/>
      <c r="AJ689" s="4"/>
      <c r="AK689" s="4"/>
      <c r="AL689" s="4"/>
      <c r="AM689" s="4"/>
      <c r="AN689" s="4"/>
      <c r="AO689" s="4"/>
      <c r="AP689" s="4"/>
      <c r="AQ689" s="4"/>
      <c r="AR689" s="4"/>
      <c r="AS689" s="4"/>
      <c r="AT689" s="4"/>
      <c r="AU689" s="4"/>
      <c r="AV689" s="4"/>
      <c r="AW689" s="4"/>
      <c r="AX689" s="4"/>
      <c r="AY689" s="4"/>
      <c r="AZ689" s="4"/>
      <c r="BA689" s="4"/>
      <c r="BB689" s="4"/>
      <c r="BC689" s="4"/>
      <c r="BD689" s="5"/>
      <c r="BE689" s="4"/>
      <c r="BF689" s="4"/>
      <c r="BG689" s="4"/>
      <c r="BH689" s="4"/>
      <c r="BI689" s="4"/>
      <c r="BJ689" s="4"/>
      <c r="BK689" s="4"/>
      <c r="BL689" s="4"/>
      <c r="BM689" s="4"/>
      <c r="BN689" s="4"/>
      <c r="BO689" s="4"/>
      <c r="BP689" s="4"/>
      <c r="BQ689" s="4"/>
      <c r="BR689" s="4"/>
      <c r="BS689" s="4"/>
    </row>
    <row r="690" spans="1:7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c r="AG690" s="3"/>
      <c r="AH690" s="4"/>
      <c r="AI690" s="4"/>
      <c r="AJ690" s="4"/>
      <c r="AK690" s="4"/>
      <c r="AL690" s="4"/>
      <c r="AM690" s="4"/>
      <c r="AN690" s="4"/>
      <c r="AO690" s="4"/>
      <c r="AP690" s="4"/>
      <c r="AQ690" s="4"/>
      <c r="AR690" s="4"/>
      <c r="AS690" s="4"/>
      <c r="AT690" s="4"/>
      <c r="AU690" s="4"/>
      <c r="AV690" s="4"/>
      <c r="AW690" s="4"/>
      <c r="AX690" s="4"/>
      <c r="AY690" s="4"/>
      <c r="AZ690" s="4"/>
      <c r="BA690" s="4"/>
      <c r="BB690" s="4"/>
      <c r="BC690" s="4"/>
      <c r="BD690" s="5"/>
      <c r="BE690" s="4"/>
      <c r="BF690" s="4"/>
      <c r="BG690" s="4"/>
      <c r="BH690" s="4"/>
      <c r="BI690" s="4"/>
      <c r="BJ690" s="4"/>
      <c r="BK690" s="4"/>
      <c r="BL690" s="4"/>
      <c r="BM690" s="4"/>
      <c r="BN690" s="4"/>
      <c r="BO690" s="4"/>
      <c r="BP690" s="4"/>
      <c r="BQ690" s="4"/>
      <c r="BR690" s="4"/>
      <c r="BS690" s="4"/>
    </row>
    <row r="691" spans="1:7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c r="AG691" s="3"/>
      <c r="AH691" s="4"/>
      <c r="AI691" s="4"/>
      <c r="AJ691" s="4"/>
      <c r="AK691" s="4"/>
      <c r="AL691" s="4"/>
      <c r="AM691" s="4"/>
      <c r="AN691" s="4"/>
      <c r="AO691" s="4"/>
      <c r="AP691" s="4"/>
      <c r="AQ691" s="4"/>
      <c r="AR691" s="4"/>
      <c r="AS691" s="4"/>
      <c r="AT691" s="4"/>
      <c r="AU691" s="4"/>
      <c r="AV691" s="4"/>
      <c r="AW691" s="4"/>
      <c r="AX691" s="4"/>
      <c r="AY691" s="4"/>
      <c r="AZ691" s="4"/>
      <c r="BA691" s="4"/>
      <c r="BB691" s="4"/>
      <c r="BC691" s="4"/>
      <c r="BD691" s="5"/>
      <c r="BE691" s="4"/>
      <c r="BF691" s="4"/>
      <c r="BG691" s="4"/>
      <c r="BH691" s="4"/>
      <c r="BI691" s="4"/>
      <c r="BJ691" s="4"/>
      <c r="BK691" s="4"/>
      <c r="BL691" s="4"/>
      <c r="BM691" s="4"/>
      <c r="BN691" s="4"/>
      <c r="BO691" s="4"/>
      <c r="BP691" s="4"/>
      <c r="BQ691" s="4"/>
      <c r="BR691" s="4"/>
      <c r="BS691" s="4"/>
    </row>
    <row r="692" spans="1:7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c r="AG692" s="3"/>
      <c r="AH692" s="4"/>
      <c r="AI692" s="4"/>
      <c r="AJ692" s="4"/>
      <c r="AK692" s="4"/>
      <c r="AL692" s="4"/>
      <c r="AM692" s="4"/>
      <c r="AN692" s="4"/>
      <c r="AO692" s="4"/>
      <c r="AP692" s="4"/>
      <c r="AQ692" s="4"/>
      <c r="AR692" s="4"/>
      <c r="AS692" s="4"/>
      <c r="AT692" s="4"/>
      <c r="AU692" s="4"/>
      <c r="AV692" s="4"/>
      <c r="AW692" s="4"/>
      <c r="AX692" s="4"/>
      <c r="AY692" s="4"/>
      <c r="AZ692" s="4"/>
      <c r="BA692" s="4"/>
      <c r="BB692" s="4"/>
      <c r="BC692" s="4"/>
      <c r="BD692" s="5"/>
      <c r="BE692" s="4"/>
      <c r="BF692" s="4"/>
      <c r="BG692" s="4"/>
      <c r="BH692" s="4"/>
      <c r="BI692" s="4"/>
      <c r="BJ692" s="4"/>
      <c r="BK692" s="4"/>
      <c r="BL692" s="4"/>
      <c r="BM692" s="4"/>
      <c r="BN692" s="4"/>
      <c r="BO692" s="4"/>
      <c r="BP692" s="4"/>
      <c r="BQ692" s="4"/>
      <c r="BR692" s="4"/>
      <c r="BS692" s="4"/>
    </row>
    <row r="693" spans="1:7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c r="AG693" s="3"/>
      <c r="AH693" s="4"/>
      <c r="AI693" s="4"/>
      <c r="AJ693" s="4"/>
      <c r="AK693" s="4"/>
      <c r="AL693" s="4"/>
      <c r="AM693" s="4"/>
      <c r="AN693" s="4"/>
      <c r="AO693" s="4"/>
      <c r="AP693" s="4"/>
      <c r="AQ693" s="4"/>
      <c r="AR693" s="4"/>
      <c r="AS693" s="4"/>
      <c r="AT693" s="4"/>
      <c r="AU693" s="4"/>
      <c r="AV693" s="4"/>
      <c r="AW693" s="4"/>
      <c r="AX693" s="4"/>
      <c r="AY693" s="4"/>
      <c r="AZ693" s="4"/>
      <c r="BA693" s="4"/>
      <c r="BB693" s="4"/>
      <c r="BC693" s="4"/>
      <c r="BD693" s="5"/>
      <c r="BE693" s="4"/>
      <c r="BF693" s="4"/>
      <c r="BG693" s="4"/>
      <c r="BH693" s="4"/>
      <c r="BI693" s="4"/>
      <c r="BJ693" s="4"/>
      <c r="BK693" s="4"/>
      <c r="BL693" s="4"/>
      <c r="BM693" s="4"/>
      <c r="BN693" s="4"/>
      <c r="BO693" s="4"/>
      <c r="BP693" s="4"/>
      <c r="BQ693" s="4"/>
      <c r="BR693" s="4"/>
      <c r="BS693" s="4"/>
    </row>
    <row r="694" spans="1:7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c r="AG694" s="3"/>
      <c r="AH694" s="4"/>
      <c r="AI694" s="4"/>
      <c r="AJ694" s="4"/>
      <c r="AK694" s="4"/>
      <c r="AL694" s="4"/>
      <c r="AM694" s="4"/>
      <c r="AN694" s="4"/>
      <c r="AO694" s="4"/>
      <c r="AP694" s="4"/>
      <c r="AQ694" s="4"/>
      <c r="AR694" s="4"/>
      <c r="AS694" s="4"/>
      <c r="AT694" s="4"/>
      <c r="AU694" s="4"/>
      <c r="AV694" s="4"/>
      <c r="AW694" s="4"/>
      <c r="AX694" s="4"/>
      <c r="AY694" s="4"/>
      <c r="AZ694" s="4"/>
      <c r="BA694" s="4"/>
      <c r="BB694" s="4"/>
      <c r="BC694" s="4"/>
      <c r="BD694" s="5"/>
      <c r="BE694" s="4"/>
      <c r="BF694" s="4"/>
      <c r="BG694" s="4"/>
      <c r="BH694" s="4"/>
      <c r="BI694" s="4"/>
      <c r="BJ694" s="4"/>
      <c r="BK694" s="4"/>
      <c r="BL694" s="4"/>
      <c r="BM694" s="4"/>
      <c r="BN694" s="4"/>
      <c r="BO694" s="4"/>
      <c r="BP694" s="4"/>
      <c r="BQ694" s="4"/>
      <c r="BR694" s="4"/>
      <c r="BS694" s="4"/>
    </row>
    <row r="695" spans="1:7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c r="AG695" s="3"/>
      <c r="AH695" s="4"/>
      <c r="AI695" s="4"/>
      <c r="AJ695" s="4"/>
      <c r="AK695" s="4"/>
      <c r="AL695" s="4"/>
      <c r="AM695" s="4"/>
      <c r="AN695" s="4"/>
      <c r="AO695" s="4"/>
      <c r="AP695" s="4"/>
      <c r="AQ695" s="4"/>
      <c r="AR695" s="4"/>
      <c r="AS695" s="4"/>
      <c r="AT695" s="4"/>
      <c r="AU695" s="4"/>
      <c r="AV695" s="4"/>
      <c r="AW695" s="4"/>
      <c r="AX695" s="4"/>
      <c r="AY695" s="4"/>
      <c r="AZ695" s="4"/>
      <c r="BA695" s="4"/>
      <c r="BB695" s="4"/>
      <c r="BC695" s="4"/>
      <c r="BD695" s="5"/>
      <c r="BE695" s="4"/>
      <c r="BF695" s="4"/>
      <c r="BG695" s="4"/>
      <c r="BH695" s="4"/>
      <c r="BI695" s="4"/>
      <c r="BJ695" s="4"/>
      <c r="BK695" s="4"/>
      <c r="BL695" s="4"/>
      <c r="BM695" s="4"/>
      <c r="BN695" s="4"/>
      <c r="BO695" s="4"/>
      <c r="BP695" s="4"/>
      <c r="BQ695" s="4"/>
      <c r="BR695" s="4"/>
      <c r="BS695" s="4"/>
    </row>
    <row r="696" spans="1:7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c r="AG696" s="3"/>
      <c r="AH696" s="4"/>
      <c r="AI696" s="4"/>
      <c r="AJ696" s="4"/>
      <c r="AK696" s="4"/>
      <c r="AL696" s="4"/>
      <c r="AM696" s="4"/>
      <c r="AN696" s="4"/>
      <c r="AO696" s="4"/>
      <c r="AP696" s="4"/>
      <c r="AQ696" s="4"/>
      <c r="AR696" s="4"/>
      <c r="AS696" s="4"/>
      <c r="AT696" s="4"/>
      <c r="AU696" s="4"/>
      <c r="AV696" s="4"/>
      <c r="AW696" s="4"/>
      <c r="AX696" s="4"/>
      <c r="AY696" s="4"/>
      <c r="AZ696" s="4"/>
      <c r="BA696" s="4"/>
      <c r="BB696" s="4"/>
      <c r="BC696" s="4"/>
      <c r="BD696" s="5"/>
      <c r="BE696" s="4"/>
      <c r="BF696" s="4"/>
      <c r="BG696" s="4"/>
      <c r="BH696" s="4"/>
      <c r="BI696" s="4"/>
      <c r="BJ696" s="4"/>
      <c r="BK696" s="4"/>
      <c r="BL696" s="4"/>
      <c r="BM696" s="4"/>
      <c r="BN696" s="4"/>
      <c r="BO696" s="4"/>
      <c r="BP696" s="4"/>
      <c r="BQ696" s="4"/>
      <c r="BR696" s="4"/>
      <c r="BS696" s="4"/>
    </row>
    <row r="697" spans="1:7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c r="AG697" s="3"/>
      <c r="AH697" s="4"/>
      <c r="AI697" s="4"/>
      <c r="AJ697" s="4"/>
      <c r="AK697" s="4"/>
      <c r="AL697" s="4"/>
      <c r="AM697" s="4"/>
      <c r="AN697" s="4"/>
      <c r="AO697" s="4"/>
      <c r="AP697" s="4"/>
      <c r="AQ697" s="4"/>
      <c r="AR697" s="4"/>
      <c r="AS697" s="4"/>
      <c r="AT697" s="4"/>
      <c r="AU697" s="4"/>
      <c r="AV697" s="4"/>
      <c r="AW697" s="4"/>
      <c r="AX697" s="4"/>
      <c r="AY697" s="4"/>
      <c r="AZ697" s="4"/>
      <c r="BA697" s="4"/>
      <c r="BB697" s="4"/>
      <c r="BC697" s="4"/>
      <c r="BD697" s="5"/>
      <c r="BE697" s="4"/>
      <c r="BF697" s="4"/>
      <c r="BG697" s="4"/>
      <c r="BH697" s="4"/>
      <c r="BI697" s="4"/>
      <c r="BJ697" s="4"/>
      <c r="BK697" s="4"/>
      <c r="BL697" s="4"/>
      <c r="BM697" s="4"/>
      <c r="BN697" s="4"/>
      <c r="BO697" s="4"/>
      <c r="BP697" s="4"/>
      <c r="BQ697" s="4"/>
      <c r="BR697" s="4"/>
      <c r="BS697" s="4"/>
    </row>
    <row r="698" spans="1:7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c r="AG698" s="3"/>
      <c r="AH698" s="4"/>
      <c r="AI698" s="4"/>
      <c r="AJ698" s="4"/>
      <c r="AK698" s="4"/>
      <c r="AL698" s="4"/>
      <c r="AM698" s="4"/>
      <c r="AN698" s="4"/>
      <c r="AO698" s="4"/>
      <c r="AP698" s="4"/>
      <c r="AQ698" s="4"/>
      <c r="AR698" s="4"/>
      <c r="AS698" s="4"/>
      <c r="AT698" s="4"/>
      <c r="AU698" s="4"/>
      <c r="AV698" s="4"/>
      <c r="AW698" s="4"/>
      <c r="AX698" s="4"/>
      <c r="AY698" s="4"/>
      <c r="AZ698" s="4"/>
      <c r="BA698" s="4"/>
      <c r="BB698" s="4"/>
      <c r="BC698" s="4"/>
      <c r="BD698" s="5"/>
      <c r="BE698" s="4"/>
      <c r="BF698" s="4"/>
      <c r="BG698" s="4"/>
      <c r="BH698" s="4"/>
      <c r="BI698" s="4"/>
      <c r="BJ698" s="4"/>
      <c r="BK698" s="4"/>
      <c r="BL698" s="4"/>
      <c r="BM698" s="4"/>
      <c r="BN698" s="4"/>
      <c r="BO698" s="4"/>
      <c r="BP698" s="4"/>
      <c r="BQ698" s="4"/>
      <c r="BR698" s="4"/>
      <c r="BS698" s="4"/>
    </row>
    <row r="699" spans="1:7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c r="AG699" s="3"/>
      <c r="AH699" s="4"/>
      <c r="AI699" s="4"/>
      <c r="AJ699" s="4"/>
      <c r="AK699" s="4"/>
      <c r="AL699" s="4"/>
      <c r="AM699" s="4"/>
      <c r="AN699" s="4"/>
      <c r="AO699" s="4"/>
      <c r="AP699" s="4"/>
      <c r="AQ699" s="4"/>
      <c r="AR699" s="4"/>
      <c r="AS699" s="4"/>
      <c r="AT699" s="4"/>
      <c r="AU699" s="4"/>
      <c r="AV699" s="4"/>
      <c r="AW699" s="4"/>
      <c r="AX699" s="4"/>
      <c r="AY699" s="4"/>
      <c r="AZ699" s="4"/>
      <c r="BA699" s="4"/>
      <c r="BB699" s="4"/>
      <c r="BC699" s="4"/>
      <c r="BD699" s="5"/>
      <c r="BE699" s="4"/>
      <c r="BF699" s="4"/>
      <c r="BG699" s="4"/>
      <c r="BH699" s="4"/>
      <c r="BI699" s="4"/>
      <c r="BJ699" s="4"/>
      <c r="BK699" s="4"/>
      <c r="BL699" s="4"/>
      <c r="BM699" s="4"/>
      <c r="BN699" s="4"/>
      <c r="BO699" s="4"/>
      <c r="BP699" s="4"/>
      <c r="BQ699" s="4"/>
      <c r="BR699" s="4"/>
      <c r="BS699" s="4"/>
    </row>
    <row r="700" spans="1:7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c r="AG700" s="3"/>
      <c r="AH700" s="4"/>
      <c r="AI700" s="4"/>
      <c r="AJ700" s="4"/>
      <c r="AK700" s="4"/>
      <c r="AL700" s="4"/>
      <c r="AM700" s="4"/>
      <c r="AN700" s="4"/>
      <c r="AO700" s="4"/>
      <c r="AP700" s="4"/>
      <c r="AQ700" s="4"/>
      <c r="AR700" s="4"/>
      <c r="AS700" s="4"/>
      <c r="AT700" s="4"/>
      <c r="AU700" s="4"/>
      <c r="AV700" s="4"/>
      <c r="AW700" s="4"/>
      <c r="AX700" s="4"/>
      <c r="AY700" s="4"/>
      <c r="AZ700" s="4"/>
      <c r="BA700" s="4"/>
      <c r="BB700" s="4"/>
      <c r="BC700" s="4"/>
      <c r="BD700" s="5"/>
      <c r="BE700" s="4"/>
      <c r="BF700" s="4"/>
      <c r="BG700" s="4"/>
      <c r="BH700" s="4"/>
      <c r="BI700" s="4"/>
      <c r="BJ700" s="4"/>
      <c r="BK700" s="4"/>
      <c r="BL700" s="4"/>
      <c r="BM700" s="4"/>
      <c r="BN700" s="4"/>
      <c r="BO700" s="4"/>
      <c r="BP700" s="4"/>
      <c r="BQ700" s="4"/>
      <c r="BR700" s="4"/>
      <c r="BS700" s="4"/>
    </row>
    <row r="701" spans="1:7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c r="AG701" s="3"/>
      <c r="AH701" s="4"/>
      <c r="AI701" s="4"/>
      <c r="AJ701" s="4"/>
      <c r="AK701" s="4"/>
      <c r="AL701" s="4"/>
      <c r="AM701" s="4"/>
      <c r="AN701" s="4"/>
      <c r="AO701" s="4"/>
      <c r="AP701" s="4"/>
      <c r="AQ701" s="4"/>
      <c r="AR701" s="4"/>
      <c r="AS701" s="4"/>
      <c r="AT701" s="4"/>
      <c r="AU701" s="4"/>
      <c r="AV701" s="4"/>
      <c r="AW701" s="4"/>
      <c r="AX701" s="4"/>
      <c r="AY701" s="4"/>
      <c r="AZ701" s="4"/>
      <c r="BA701" s="4"/>
      <c r="BB701" s="4"/>
      <c r="BC701" s="4"/>
      <c r="BD701" s="5"/>
      <c r="BE701" s="4"/>
      <c r="BF701" s="4"/>
      <c r="BG701" s="4"/>
      <c r="BH701" s="4"/>
      <c r="BI701" s="4"/>
      <c r="BJ701" s="4"/>
      <c r="BK701" s="4"/>
      <c r="BL701" s="4"/>
      <c r="BM701" s="4"/>
      <c r="BN701" s="4"/>
      <c r="BO701" s="4"/>
      <c r="BP701" s="4"/>
      <c r="BQ701" s="4"/>
      <c r="BR701" s="4"/>
      <c r="BS701" s="4"/>
    </row>
    <row r="702" spans="1:7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c r="AG702" s="3"/>
      <c r="AH702" s="4"/>
      <c r="AI702" s="4"/>
      <c r="AJ702" s="4"/>
      <c r="AK702" s="4"/>
      <c r="AL702" s="4"/>
      <c r="AM702" s="4"/>
      <c r="AN702" s="4"/>
      <c r="AO702" s="4"/>
      <c r="AP702" s="4"/>
      <c r="AQ702" s="4"/>
      <c r="AR702" s="4"/>
      <c r="AS702" s="4"/>
      <c r="AT702" s="4"/>
      <c r="AU702" s="4"/>
      <c r="AV702" s="4"/>
      <c r="AW702" s="4"/>
      <c r="AX702" s="4"/>
      <c r="AY702" s="4"/>
      <c r="AZ702" s="4"/>
      <c r="BA702" s="4"/>
      <c r="BB702" s="4"/>
      <c r="BC702" s="4"/>
      <c r="BD702" s="5"/>
      <c r="BE702" s="4"/>
      <c r="BF702" s="4"/>
      <c r="BG702" s="4"/>
      <c r="BH702" s="4"/>
      <c r="BI702" s="4"/>
      <c r="BJ702" s="4"/>
      <c r="BK702" s="4"/>
      <c r="BL702" s="4"/>
      <c r="BM702" s="4"/>
      <c r="BN702" s="4"/>
      <c r="BO702" s="4"/>
      <c r="BP702" s="4"/>
      <c r="BQ702" s="4"/>
      <c r="BR702" s="4"/>
      <c r="BS702" s="4"/>
    </row>
    <row r="703" spans="1:7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c r="AG703" s="3"/>
      <c r="AH703" s="4"/>
      <c r="AI703" s="4"/>
      <c r="AJ703" s="4"/>
      <c r="AK703" s="4"/>
      <c r="AL703" s="4"/>
      <c r="AM703" s="4"/>
      <c r="AN703" s="4"/>
      <c r="AO703" s="4"/>
      <c r="AP703" s="4"/>
      <c r="AQ703" s="4"/>
      <c r="AR703" s="4"/>
      <c r="AS703" s="4"/>
      <c r="AT703" s="4"/>
      <c r="AU703" s="4"/>
      <c r="AV703" s="4"/>
      <c r="AW703" s="4"/>
      <c r="AX703" s="4"/>
      <c r="AY703" s="4"/>
      <c r="AZ703" s="4"/>
      <c r="BA703" s="4"/>
      <c r="BB703" s="4"/>
      <c r="BC703" s="4"/>
      <c r="BD703" s="5"/>
      <c r="BE703" s="4"/>
      <c r="BF703" s="4"/>
      <c r="BG703" s="4"/>
      <c r="BH703" s="4"/>
      <c r="BI703" s="4"/>
      <c r="BJ703" s="4"/>
      <c r="BK703" s="4"/>
      <c r="BL703" s="4"/>
      <c r="BM703" s="4"/>
      <c r="BN703" s="4"/>
      <c r="BO703" s="4"/>
      <c r="BP703" s="4"/>
      <c r="BQ703" s="4"/>
      <c r="BR703" s="4"/>
      <c r="BS703" s="4"/>
    </row>
    <row r="704" spans="1:7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c r="AG704" s="3"/>
      <c r="AH704" s="4"/>
      <c r="AI704" s="4"/>
      <c r="AJ704" s="4"/>
      <c r="AK704" s="4"/>
      <c r="AL704" s="4"/>
      <c r="AM704" s="4"/>
      <c r="AN704" s="4"/>
      <c r="AO704" s="4"/>
      <c r="AP704" s="4"/>
      <c r="AQ704" s="4"/>
      <c r="AR704" s="4"/>
      <c r="AS704" s="4"/>
      <c r="AT704" s="4"/>
      <c r="AU704" s="4"/>
      <c r="AV704" s="4"/>
      <c r="AW704" s="4"/>
      <c r="AX704" s="4"/>
      <c r="AY704" s="4"/>
      <c r="AZ704" s="4"/>
      <c r="BA704" s="4"/>
      <c r="BB704" s="4"/>
      <c r="BC704" s="4"/>
      <c r="BD704" s="5"/>
      <c r="BE704" s="4"/>
      <c r="BF704" s="4"/>
      <c r="BG704" s="4"/>
      <c r="BH704" s="4"/>
      <c r="BI704" s="4"/>
      <c r="BJ704" s="4"/>
      <c r="BK704" s="4"/>
      <c r="BL704" s="4"/>
      <c r="BM704" s="4"/>
      <c r="BN704" s="4"/>
      <c r="BO704" s="4"/>
      <c r="BP704" s="4"/>
      <c r="BQ704" s="4"/>
      <c r="BR704" s="4"/>
      <c r="BS704" s="4"/>
    </row>
    <row r="705" spans="1:7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c r="AG705" s="3"/>
      <c r="AH705" s="4"/>
      <c r="AI705" s="4"/>
      <c r="AJ705" s="4"/>
      <c r="AK705" s="4"/>
      <c r="AL705" s="4"/>
      <c r="AM705" s="4"/>
      <c r="AN705" s="4"/>
      <c r="AO705" s="4"/>
      <c r="AP705" s="4"/>
      <c r="AQ705" s="4"/>
      <c r="AR705" s="4"/>
      <c r="AS705" s="4"/>
      <c r="AT705" s="4"/>
      <c r="AU705" s="4"/>
      <c r="AV705" s="4"/>
      <c r="AW705" s="4"/>
      <c r="AX705" s="4"/>
      <c r="AY705" s="4"/>
      <c r="AZ705" s="4"/>
      <c r="BA705" s="4"/>
      <c r="BB705" s="4"/>
      <c r="BC705" s="4"/>
      <c r="BD705" s="5"/>
      <c r="BE705" s="4"/>
      <c r="BF705" s="4"/>
      <c r="BG705" s="4"/>
      <c r="BH705" s="4"/>
      <c r="BI705" s="4"/>
      <c r="BJ705" s="4"/>
      <c r="BK705" s="4"/>
      <c r="BL705" s="4"/>
      <c r="BM705" s="4"/>
      <c r="BN705" s="4"/>
      <c r="BO705" s="4"/>
      <c r="BP705" s="4"/>
      <c r="BQ705" s="4"/>
      <c r="BR705" s="4"/>
      <c r="BS705" s="4"/>
    </row>
    <row r="706" spans="1:7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c r="AG706" s="3"/>
      <c r="AH706" s="4"/>
      <c r="AI706" s="4"/>
      <c r="AJ706" s="4"/>
      <c r="AK706" s="4"/>
      <c r="AL706" s="4"/>
      <c r="AM706" s="4"/>
      <c r="AN706" s="4"/>
      <c r="AO706" s="4"/>
      <c r="AP706" s="4"/>
      <c r="AQ706" s="4"/>
      <c r="AR706" s="4"/>
      <c r="AS706" s="4"/>
      <c r="AT706" s="4"/>
      <c r="AU706" s="4"/>
      <c r="AV706" s="4"/>
      <c r="AW706" s="4"/>
      <c r="AX706" s="4"/>
      <c r="AY706" s="4"/>
      <c r="AZ706" s="4"/>
      <c r="BA706" s="4"/>
      <c r="BB706" s="4"/>
      <c r="BC706" s="4"/>
      <c r="BD706" s="5"/>
      <c r="BE706" s="4"/>
      <c r="BF706" s="4"/>
      <c r="BG706" s="4"/>
      <c r="BH706" s="4"/>
      <c r="BI706" s="4"/>
      <c r="BJ706" s="4"/>
      <c r="BK706" s="4"/>
      <c r="BL706" s="4"/>
      <c r="BM706" s="4"/>
      <c r="BN706" s="4"/>
      <c r="BO706" s="4"/>
      <c r="BP706" s="4"/>
      <c r="BQ706" s="4"/>
      <c r="BR706" s="4"/>
      <c r="BS706" s="4"/>
    </row>
    <row r="707" spans="1:7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c r="AG707" s="3"/>
      <c r="AH707" s="4"/>
      <c r="AI707" s="4"/>
      <c r="AJ707" s="4"/>
      <c r="AK707" s="4"/>
      <c r="AL707" s="4"/>
      <c r="AM707" s="4"/>
      <c r="AN707" s="4"/>
      <c r="AO707" s="4"/>
      <c r="AP707" s="4"/>
      <c r="AQ707" s="4"/>
      <c r="AR707" s="4"/>
      <c r="AS707" s="4"/>
      <c r="AT707" s="4"/>
      <c r="AU707" s="4"/>
      <c r="AV707" s="4"/>
      <c r="AW707" s="4"/>
      <c r="AX707" s="4"/>
      <c r="AY707" s="4"/>
      <c r="AZ707" s="4"/>
      <c r="BA707" s="4"/>
      <c r="BB707" s="4"/>
      <c r="BC707" s="4"/>
      <c r="BD707" s="5"/>
      <c r="BE707" s="4"/>
      <c r="BF707" s="4"/>
      <c r="BG707" s="4"/>
      <c r="BH707" s="4"/>
      <c r="BI707" s="4"/>
      <c r="BJ707" s="4"/>
      <c r="BK707" s="4"/>
      <c r="BL707" s="4"/>
      <c r="BM707" s="4"/>
      <c r="BN707" s="4"/>
      <c r="BO707" s="4"/>
      <c r="BP707" s="4"/>
      <c r="BQ707" s="4"/>
      <c r="BR707" s="4"/>
      <c r="BS707" s="4"/>
    </row>
    <row r="708" spans="1:7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c r="AG708" s="3"/>
      <c r="AH708" s="4"/>
      <c r="AI708" s="4"/>
      <c r="AJ708" s="4"/>
      <c r="AK708" s="4"/>
      <c r="AL708" s="4"/>
      <c r="AM708" s="4"/>
      <c r="AN708" s="4"/>
      <c r="AO708" s="4"/>
      <c r="AP708" s="4"/>
      <c r="AQ708" s="4"/>
      <c r="AR708" s="4"/>
      <c r="AS708" s="4"/>
      <c r="AT708" s="4"/>
      <c r="AU708" s="4"/>
      <c r="AV708" s="4"/>
      <c r="AW708" s="4"/>
      <c r="AX708" s="4"/>
      <c r="AY708" s="4"/>
      <c r="AZ708" s="4"/>
      <c r="BA708" s="4"/>
      <c r="BB708" s="4"/>
      <c r="BC708" s="4"/>
      <c r="BD708" s="5"/>
      <c r="BE708" s="4"/>
      <c r="BF708" s="4"/>
      <c r="BG708" s="4"/>
      <c r="BH708" s="4"/>
      <c r="BI708" s="4"/>
      <c r="BJ708" s="4"/>
      <c r="BK708" s="4"/>
      <c r="BL708" s="4"/>
      <c r="BM708" s="4"/>
      <c r="BN708" s="4"/>
      <c r="BO708" s="4"/>
      <c r="BP708" s="4"/>
      <c r="BQ708" s="4"/>
      <c r="BR708" s="4"/>
      <c r="BS708" s="4"/>
    </row>
    <row r="709" spans="1:7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c r="AG709" s="3"/>
      <c r="AH709" s="4"/>
      <c r="AI709" s="4"/>
      <c r="AJ709" s="4"/>
      <c r="AK709" s="4"/>
      <c r="AL709" s="4"/>
      <c r="AM709" s="4"/>
      <c r="AN709" s="4"/>
      <c r="AO709" s="4"/>
      <c r="AP709" s="4"/>
      <c r="AQ709" s="4"/>
      <c r="AR709" s="4"/>
      <c r="AS709" s="4"/>
      <c r="AT709" s="4"/>
      <c r="AU709" s="4"/>
      <c r="AV709" s="4"/>
      <c r="AW709" s="4"/>
      <c r="AX709" s="4"/>
      <c r="AY709" s="4"/>
      <c r="AZ709" s="4"/>
      <c r="BA709" s="4"/>
      <c r="BB709" s="4"/>
      <c r="BC709" s="4"/>
      <c r="BD709" s="5"/>
      <c r="BE709" s="4"/>
      <c r="BF709" s="4"/>
      <c r="BG709" s="4"/>
      <c r="BH709" s="4"/>
      <c r="BI709" s="4"/>
      <c r="BJ709" s="4"/>
      <c r="BK709" s="4"/>
      <c r="BL709" s="4"/>
      <c r="BM709" s="4"/>
      <c r="BN709" s="4"/>
      <c r="BO709" s="4"/>
      <c r="BP709" s="4"/>
      <c r="BQ709" s="4"/>
      <c r="BR709" s="4"/>
      <c r="BS709" s="4"/>
    </row>
    <row r="710" spans="1:7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c r="AG710" s="3"/>
      <c r="AH710" s="4"/>
      <c r="AI710" s="4"/>
      <c r="AJ710" s="4"/>
      <c r="AK710" s="4"/>
      <c r="AL710" s="4"/>
      <c r="AM710" s="4"/>
      <c r="AN710" s="4"/>
      <c r="AO710" s="4"/>
      <c r="AP710" s="4"/>
      <c r="AQ710" s="4"/>
      <c r="AR710" s="4"/>
      <c r="AS710" s="4"/>
      <c r="AT710" s="4"/>
      <c r="AU710" s="4"/>
      <c r="AV710" s="4"/>
      <c r="AW710" s="4"/>
      <c r="AX710" s="4"/>
      <c r="AY710" s="4"/>
      <c r="AZ710" s="4"/>
      <c r="BA710" s="4"/>
      <c r="BB710" s="4"/>
      <c r="BC710" s="4"/>
      <c r="BD710" s="5"/>
      <c r="BE710" s="4"/>
      <c r="BF710" s="4"/>
      <c r="BG710" s="4"/>
      <c r="BH710" s="4"/>
      <c r="BI710" s="4"/>
      <c r="BJ710" s="4"/>
      <c r="BK710" s="4"/>
      <c r="BL710" s="4"/>
      <c r="BM710" s="4"/>
      <c r="BN710" s="4"/>
      <c r="BO710" s="4"/>
      <c r="BP710" s="4"/>
      <c r="BQ710" s="4"/>
      <c r="BR710" s="4"/>
      <c r="BS710" s="4"/>
    </row>
    <row r="711" spans="1:7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c r="AG711" s="3"/>
      <c r="AH711" s="4"/>
      <c r="AI711" s="4"/>
      <c r="AJ711" s="4"/>
      <c r="AK711" s="4"/>
      <c r="AL711" s="4"/>
      <c r="AM711" s="4"/>
      <c r="AN711" s="4"/>
      <c r="AO711" s="4"/>
      <c r="AP711" s="4"/>
      <c r="AQ711" s="4"/>
      <c r="AR711" s="4"/>
      <c r="AS711" s="4"/>
      <c r="AT711" s="4"/>
      <c r="AU711" s="4"/>
      <c r="AV711" s="4"/>
      <c r="AW711" s="4"/>
      <c r="AX711" s="4"/>
      <c r="AY711" s="4"/>
      <c r="AZ711" s="4"/>
      <c r="BA711" s="4"/>
      <c r="BB711" s="4"/>
      <c r="BC711" s="4"/>
      <c r="BD711" s="5"/>
      <c r="BE711" s="4"/>
      <c r="BF711" s="4"/>
      <c r="BG711" s="4"/>
      <c r="BH711" s="4"/>
      <c r="BI711" s="4"/>
      <c r="BJ711" s="4"/>
      <c r="BK711" s="4"/>
      <c r="BL711" s="4"/>
      <c r="BM711" s="4"/>
      <c r="BN711" s="4"/>
      <c r="BO711" s="4"/>
      <c r="BP711" s="4"/>
      <c r="BQ711" s="4"/>
      <c r="BR711" s="4"/>
      <c r="BS711" s="4"/>
    </row>
    <row r="712" spans="1:7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c r="AG712" s="3"/>
      <c r="AH712" s="4"/>
      <c r="AI712" s="4"/>
      <c r="AJ712" s="4"/>
      <c r="AK712" s="4"/>
      <c r="AL712" s="4"/>
      <c r="AM712" s="4"/>
      <c r="AN712" s="4"/>
      <c r="AO712" s="4"/>
      <c r="AP712" s="4"/>
      <c r="AQ712" s="4"/>
      <c r="AR712" s="4"/>
      <c r="AS712" s="4"/>
      <c r="AT712" s="4"/>
      <c r="AU712" s="4"/>
      <c r="AV712" s="4"/>
      <c r="AW712" s="4"/>
      <c r="AX712" s="4"/>
      <c r="AY712" s="4"/>
      <c r="AZ712" s="4"/>
      <c r="BA712" s="4"/>
      <c r="BB712" s="4"/>
      <c r="BC712" s="4"/>
      <c r="BD712" s="5"/>
      <c r="BE712" s="4"/>
      <c r="BF712" s="4"/>
      <c r="BG712" s="4"/>
      <c r="BH712" s="4"/>
      <c r="BI712" s="4"/>
      <c r="BJ712" s="4"/>
      <c r="BK712" s="4"/>
      <c r="BL712" s="4"/>
      <c r="BM712" s="4"/>
      <c r="BN712" s="4"/>
      <c r="BO712" s="4"/>
      <c r="BP712" s="4"/>
      <c r="BQ712" s="4"/>
      <c r="BR712" s="4"/>
      <c r="BS712" s="4"/>
    </row>
    <row r="713" spans="1:7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c r="AG713" s="3"/>
      <c r="AH713" s="4"/>
      <c r="AI713" s="4"/>
      <c r="AJ713" s="4"/>
      <c r="AK713" s="4"/>
      <c r="AL713" s="4"/>
      <c r="AM713" s="4"/>
      <c r="AN713" s="4"/>
      <c r="AO713" s="4"/>
      <c r="AP713" s="4"/>
      <c r="AQ713" s="4"/>
      <c r="AR713" s="4"/>
      <c r="AS713" s="4"/>
      <c r="AT713" s="4"/>
      <c r="AU713" s="4"/>
      <c r="AV713" s="4"/>
      <c r="AW713" s="4"/>
      <c r="AX713" s="4"/>
      <c r="AY713" s="4"/>
      <c r="AZ713" s="4"/>
      <c r="BA713" s="4"/>
      <c r="BB713" s="4"/>
      <c r="BC713" s="4"/>
      <c r="BD713" s="5"/>
      <c r="BE713" s="4"/>
      <c r="BF713" s="4"/>
      <c r="BG713" s="4"/>
      <c r="BH713" s="4"/>
      <c r="BI713" s="4"/>
      <c r="BJ713" s="4"/>
      <c r="BK713" s="4"/>
      <c r="BL713" s="4"/>
      <c r="BM713" s="4"/>
      <c r="BN713" s="4"/>
      <c r="BO713" s="4"/>
      <c r="BP713" s="4"/>
      <c r="BQ713" s="4"/>
      <c r="BR713" s="4"/>
      <c r="BS713" s="4"/>
    </row>
    <row r="714" spans="1:7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c r="AG714" s="3"/>
      <c r="AH714" s="4"/>
      <c r="AI714" s="4"/>
      <c r="AJ714" s="4"/>
      <c r="AK714" s="4"/>
      <c r="AL714" s="4"/>
      <c r="AM714" s="4"/>
      <c r="AN714" s="4"/>
      <c r="AO714" s="4"/>
      <c r="AP714" s="4"/>
      <c r="AQ714" s="4"/>
      <c r="AR714" s="4"/>
      <c r="AS714" s="4"/>
      <c r="AT714" s="4"/>
      <c r="AU714" s="4"/>
      <c r="AV714" s="4"/>
      <c r="AW714" s="4"/>
      <c r="AX714" s="4"/>
      <c r="AY714" s="4"/>
      <c r="AZ714" s="4"/>
      <c r="BA714" s="4"/>
      <c r="BB714" s="4"/>
      <c r="BC714" s="4"/>
      <c r="BD714" s="5"/>
      <c r="BE714" s="4"/>
      <c r="BF714" s="4"/>
      <c r="BG714" s="4"/>
      <c r="BH714" s="4"/>
      <c r="BI714" s="4"/>
      <c r="BJ714" s="4"/>
      <c r="BK714" s="4"/>
      <c r="BL714" s="4"/>
      <c r="BM714" s="4"/>
      <c r="BN714" s="4"/>
      <c r="BO714" s="4"/>
      <c r="BP714" s="4"/>
      <c r="BQ714" s="4"/>
      <c r="BR714" s="4"/>
      <c r="BS714" s="4"/>
    </row>
    <row r="715" spans="1:7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c r="AG715" s="3"/>
      <c r="AH715" s="4"/>
      <c r="AI715" s="4"/>
      <c r="AJ715" s="4"/>
      <c r="AK715" s="4"/>
      <c r="AL715" s="4"/>
      <c r="AM715" s="4"/>
      <c r="AN715" s="4"/>
      <c r="AO715" s="4"/>
      <c r="AP715" s="4"/>
      <c r="AQ715" s="4"/>
      <c r="AR715" s="4"/>
      <c r="AS715" s="4"/>
      <c r="AT715" s="4"/>
      <c r="AU715" s="4"/>
      <c r="AV715" s="4"/>
      <c r="AW715" s="4"/>
      <c r="AX715" s="4"/>
      <c r="AY715" s="4"/>
      <c r="AZ715" s="4"/>
      <c r="BA715" s="4"/>
      <c r="BB715" s="4"/>
      <c r="BC715" s="4"/>
      <c r="BD715" s="5"/>
      <c r="BE715" s="4"/>
      <c r="BF715" s="4"/>
      <c r="BG715" s="4"/>
      <c r="BH715" s="4"/>
      <c r="BI715" s="4"/>
      <c r="BJ715" s="4"/>
      <c r="BK715" s="4"/>
      <c r="BL715" s="4"/>
      <c r="BM715" s="4"/>
      <c r="BN715" s="4"/>
      <c r="BO715" s="4"/>
      <c r="BP715" s="4"/>
      <c r="BQ715" s="4"/>
      <c r="BR715" s="4"/>
      <c r="BS715" s="4"/>
    </row>
    <row r="716" spans="1:7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c r="AG716" s="3"/>
      <c r="AH716" s="4"/>
      <c r="AI716" s="4"/>
      <c r="AJ716" s="4"/>
      <c r="AK716" s="4"/>
      <c r="AL716" s="4"/>
      <c r="AM716" s="4"/>
      <c r="AN716" s="4"/>
      <c r="AO716" s="4"/>
      <c r="AP716" s="4"/>
      <c r="AQ716" s="4"/>
      <c r="AR716" s="4"/>
      <c r="AS716" s="4"/>
      <c r="AT716" s="4"/>
      <c r="AU716" s="4"/>
      <c r="AV716" s="4"/>
      <c r="AW716" s="4"/>
      <c r="AX716" s="4"/>
      <c r="AY716" s="4"/>
      <c r="AZ716" s="4"/>
      <c r="BA716" s="4"/>
      <c r="BB716" s="4"/>
      <c r="BC716" s="4"/>
      <c r="BD716" s="5"/>
      <c r="BE716" s="4"/>
      <c r="BF716" s="4"/>
      <c r="BG716" s="4"/>
      <c r="BH716" s="4"/>
      <c r="BI716" s="4"/>
      <c r="BJ716" s="4"/>
      <c r="BK716" s="4"/>
      <c r="BL716" s="4"/>
      <c r="BM716" s="4"/>
      <c r="BN716" s="4"/>
      <c r="BO716" s="4"/>
      <c r="BP716" s="4"/>
      <c r="BQ716" s="4"/>
      <c r="BR716" s="4"/>
      <c r="BS716" s="4"/>
    </row>
    <row r="717" spans="1:7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c r="AG717" s="3"/>
      <c r="AH717" s="4"/>
      <c r="AI717" s="4"/>
      <c r="AJ717" s="4"/>
      <c r="AK717" s="4"/>
      <c r="AL717" s="4"/>
      <c r="AM717" s="4"/>
      <c r="AN717" s="4"/>
      <c r="AO717" s="4"/>
      <c r="AP717" s="4"/>
      <c r="AQ717" s="4"/>
      <c r="AR717" s="4"/>
      <c r="AS717" s="4"/>
      <c r="AT717" s="4"/>
      <c r="AU717" s="4"/>
      <c r="AV717" s="4"/>
      <c r="AW717" s="4"/>
      <c r="AX717" s="4"/>
      <c r="AY717" s="4"/>
      <c r="AZ717" s="4"/>
      <c r="BA717" s="4"/>
      <c r="BB717" s="4"/>
      <c r="BC717" s="4"/>
      <c r="BD717" s="5"/>
      <c r="BE717" s="4"/>
      <c r="BF717" s="4"/>
      <c r="BG717" s="4"/>
      <c r="BH717" s="4"/>
      <c r="BI717" s="4"/>
      <c r="BJ717" s="4"/>
      <c r="BK717" s="4"/>
      <c r="BL717" s="4"/>
      <c r="BM717" s="4"/>
      <c r="BN717" s="4"/>
      <c r="BO717" s="4"/>
      <c r="BP717" s="4"/>
      <c r="BQ717" s="4"/>
      <c r="BR717" s="4"/>
      <c r="BS717" s="4"/>
    </row>
    <row r="718" spans="1:7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c r="AG718" s="3"/>
      <c r="AH718" s="4"/>
      <c r="AI718" s="4"/>
      <c r="AJ718" s="4"/>
      <c r="AK718" s="4"/>
      <c r="AL718" s="4"/>
      <c r="AM718" s="4"/>
      <c r="AN718" s="4"/>
      <c r="AO718" s="4"/>
      <c r="AP718" s="4"/>
      <c r="AQ718" s="4"/>
      <c r="AR718" s="4"/>
      <c r="AS718" s="4"/>
      <c r="AT718" s="4"/>
      <c r="AU718" s="4"/>
      <c r="AV718" s="4"/>
      <c r="AW718" s="4"/>
      <c r="AX718" s="4"/>
      <c r="AY718" s="4"/>
      <c r="AZ718" s="4"/>
      <c r="BA718" s="4"/>
      <c r="BB718" s="4"/>
      <c r="BC718" s="4"/>
      <c r="BD718" s="5"/>
      <c r="BE718" s="4"/>
      <c r="BF718" s="4"/>
      <c r="BG718" s="4"/>
      <c r="BH718" s="4"/>
      <c r="BI718" s="4"/>
      <c r="BJ718" s="4"/>
      <c r="BK718" s="4"/>
      <c r="BL718" s="4"/>
      <c r="BM718" s="4"/>
      <c r="BN718" s="4"/>
      <c r="BO718" s="4"/>
      <c r="BP718" s="4"/>
      <c r="BQ718" s="4"/>
      <c r="BR718" s="4"/>
      <c r="BS718" s="4"/>
    </row>
    <row r="719" spans="1:7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c r="AG719" s="3"/>
      <c r="AH719" s="4"/>
      <c r="AI719" s="4"/>
      <c r="AJ719" s="4"/>
      <c r="AK719" s="4"/>
      <c r="AL719" s="4"/>
      <c r="AM719" s="4"/>
      <c r="AN719" s="4"/>
      <c r="AO719" s="4"/>
      <c r="AP719" s="4"/>
      <c r="AQ719" s="4"/>
      <c r="AR719" s="4"/>
      <c r="AS719" s="4"/>
      <c r="AT719" s="4"/>
      <c r="AU719" s="4"/>
      <c r="AV719" s="4"/>
      <c r="AW719" s="4"/>
      <c r="AX719" s="4"/>
      <c r="AY719" s="4"/>
      <c r="AZ719" s="4"/>
      <c r="BA719" s="4"/>
      <c r="BB719" s="4"/>
      <c r="BC719" s="4"/>
      <c r="BD719" s="5"/>
      <c r="BE719" s="4"/>
      <c r="BF719" s="4"/>
      <c r="BG719" s="4"/>
      <c r="BH719" s="4"/>
      <c r="BI719" s="4"/>
      <c r="BJ719" s="4"/>
      <c r="BK719" s="4"/>
      <c r="BL719" s="4"/>
      <c r="BM719" s="4"/>
      <c r="BN719" s="4"/>
      <c r="BO719" s="4"/>
      <c r="BP719" s="4"/>
      <c r="BQ719" s="4"/>
      <c r="BR719" s="4"/>
      <c r="BS719" s="4"/>
    </row>
    <row r="720" spans="1:7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c r="AG720" s="3"/>
      <c r="AH720" s="4"/>
      <c r="AI720" s="4"/>
      <c r="AJ720" s="4"/>
      <c r="AK720" s="4"/>
      <c r="AL720" s="4"/>
      <c r="AM720" s="4"/>
      <c r="AN720" s="4"/>
      <c r="AO720" s="4"/>
      <c r="AP720" s="4"/>
      <c r="AQ720" s="4"/>
      <c r="AR720" s="4"/>
      <c r="AS720" s="4"/>
      <c r="AT720" s="4"/>
      <c r="AU720" s="4"/>
      <c r="AV720" s="4"/>
      <c r="AW720" s="4"/>
      <c r="AX720" s="4"/>
      <c r="AY720" s="4"/>
      <c r="AZ720" s="4"/>
      <c r="BA720" s="4"/>
      <c r="BB720" s="4"/>
      <c r="BC720" s="4"/>
      <c r="BD720" s="5"/>
      <c r="BE720" s="4"/>
      <c r="BF720" s="4"/>
      <c r="BG720" s="4"/>
      <c r="BH720" s="4"/>
      <c r="BI720" s="4"/>
      <c r="BJ720" s="4"/>
      <c r="BK720" s="4"/>
      <c r="BL720" s="4"/>
      <c r="BM720" s="4"/>
      <c r="BN720" s="4"/>
      <c r="BO720" s="4"/>
      <c r="BP720" s="4"/>
      <c r="BQ720" s="4"/>
      <c r="BR720" s="4"/>
      <c r="BS720" s="4"/>
    </row>
    <row r="721" spans="1:7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c r="AG721" s="3"/>
      <c r="AH721" s="4"/>
      <c r="AI721" s="4"/>
      <c r="AJ721" s="4"/>
      <c r="AK721" s="4"/>
      <c r="AL721" s="4"/>
      <c r="AM721" s="4"/>
      <c r="AN721" s="4"/>
      <c r="AO721" s="4"/>
      <c r="AP721" s="4"/>
      <c r="AQ721" s="4"/>
      <c r="AR721" s="4"/>
      <c r="AS721" s="4"/>
      <c r="AT721" s="4"/>
      <c r="AU721" s="4"/>
      <c r="AV721" s="4"/>
      <c r="AW721" s="4"/>
      <c r="AX721" s="4"/>
      <c r="AY721" s="4"/>
      <c r="AZ721" s="4"/>
      <c r="BA721" s="4"/>
      <c r="BB721" s="4"/>
      <c r="BC721" s="4"/>
      <c r="BD721" s="5"/>
      <c r="BE721" s="4"/>
      <c r="BF721" s="4"/>
      <c r="BG721" s="4"/>
      <c r="BH721" s="4"/>
      <c r="BI721" s="4"/>
      <c r="BJ721" s="4"/>
      <c r="BK721" s="4"/>
      <c r="BL721" s="4"/>
      <c r="BM721" s="4"/>
      <c r="BN721" s="4"/>
      <c r="BO721" s="4"/>
      <c r="BP721" s="4"/>
      <c r="BQ721" s="4"/>
      <c r="BR721" s="4"/>
      <c r="BS721" s="4"/>
    </row>
    <row r="722" spans="1:7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c r="AG722" s="3"/>
      <c r="AH722" s="4"/>
      <c r="AI722" s="4"/>
      <c r="AJ722" s="4"/>
      <c r="AK722" s="4"/>
      <c r="AL722" s="4"/>
      <c r="AM722" s="4"/>
      <c r="AN722" s="4"/>
      <c r="AO722" s="4"/>
      <c r="AP722" s="4"/>
      <c r="AQ722" s="4"/>
      <c r="AR722" s="4"/>
      <c r="AS722" s="4"/>
      <c r="AT722" s="4"/>
      <c r="AU722" s="4"/>
      <c r="AV722" s="4"/>
      <c r="AW722" s="4"/>
      <c r="AX722" s="4"/>
      <c r="AY722" s="4"/>
      <c r="AZ722" s="4"/>
      <c r="BA722" s="4"/>
      <c r="BB722" s="4"/>
      <c r="BC722" s="4"/>
      <c r="BD722" s="5"/>
      <c r="BE722" s="4"/>
      <c r="BF722" s="4"/>
      <c r="BG722" s="4"/>
      <c r="BH722" s="4"/>
      <c r="BI722" s="4"/>
      <c r="BJ722" s="4"/>
      <c r="BK722" s="4"/>
      <c r="BL722" s="4"/>
      <c r="BM722" s="4"/>
      <c r="BN722" s="4"/>
      <c r="BO722" s="4"/>
      <c r="BP722" s="4"/>
      <c r="BQ722" s="4"/>
      <c r="BR722" s="4"/>
      <c r="BS722" s="4"/>
    </row>
    <row r="723" spans="1:7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c r="AG723" s="3"/>
      <c r="AH723" s="4"/>
      <c r="AI723" s="4"/>
      <c r="AJ723" s="4"/>
      <c r="AK723" s="4"/>
      <c r="AL723" s="4"/>
      <c r="AM723" s="4"/>
      <c r="AN723" s="4"/>
      <c r="AO723" s="4"/>
      <c r="AP723" s="4"/>
      <c r="AQ723" s="4"/>
      <c r="AR723" s="4"/>
      <c r="AS723" s="4"/>
      <c r="AT723" s="4"/>
      <c r="AU723" s="4"/>
      <c r="AV723" s="4"/>
      <c r="AW723" s="4"/>
      <c r="AX723" s="4"/>
      <c r="AY723" s="4"/>
      <c r="AZ723" s="4"/>
      <c r="BA723" s="4"/>
      <c r="BB723" s="4"/>
      <c r="BC723" s="4"/>
      <c r="BD723" s="5"/>
      <c r="BE723" s="4"/>
      <c r="BF723" s="4"/>
      <c r="BG723" s="4"/>
      <c r="BH723" s="4"/>
      <c r="BI723" s="4"/>
      <c r="BJ723" s="4"/>
      <c r="BK723" s="4"/>
      <c r="BL723" s="4"/>
      <c r="BM723" s="4"/>
      <c r="BN723" s="4"/>
      <c r="BO723" s="4"/>
      <c r="BP723" s="4"/>
      <c r="BQ723" s="4"/>
      <c r="BR723" s="4"/>
      <c r="BS723" s="4"/>
    </row>
    <row r="724" spans="1:7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c r="AG724" s="3"/>
      <c r="AH724" s="4"/>
      <c r="AI724" s="4"/>
      <c r="AJ724" s="4"/>
      <c r="AK724" s="4"/>
      <c r="AL724" s="4"/>
      <c r="AM724" s="4"/>
      <c r="AN724" s="4"/>
      <c r="AO724" s="4"/>
      <c r="AP724" s="4"/>
      <c r="AQ724" s="4"/>
      <c r="AR724" s="4"/>
      <c r="AS724" s="4"/>
      <c r="AT724" s="4"/>
      <c r="AU724" s="4"/>
      <c r="AV724" s="4"/>
      <c r="AW724" s="4"/>
      <c r="AX724" s="4"/>
      <c r="AY724" s="4"/>
      <c r="AZ724" s="4"/>
      <c r="BA724" s="4"/>
      <c r="BB724" s="4"/>
      <c r="BC724" s="4"/>
      <c r="BD724" s="5"/>
      <c r="BE724" s="4"/>
      <c r="BF724" s="4"/>
      <c r="BG724" s="4"/>
      <c r="BH724" s="4"/>
      <c r="BI724" s="4"/>
      <c r="BJ724" s="4"/>
      <c r="BK724" s="4"/>
      <c r="BL724" s="4"/>
      <c r="BM724" s="4"/>
      <c r="BN724" s="4"/>
      <c r="BO724" s="4"/>
      <c r="BP724" s="4"/>
      <c r="BQ724" s="4"/>
      <c r="BR724" s="4"/>
      <c r="BS724" s="4"/>
    </row>
    <row r="725" spans="1:7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c r="AG725" s="3"/>
      <c r="AH725" s="4"/>
      <c r="AI725" s="4"/>
      <c r="AJ725" s="4"/>
      <c r="AK725" s="4"/>
      <c r="AL725" s="4"/>
      <c r="AM725" s="4"/>
      <c r="AN725" s="4"/>
      <c r="AO725" s="4"/>
      <c r="AP725" s="4"/>
      <c r="AQ725" s="4"/>
      <c r="AR725" s="4"/>
      <c r="AS725" s="4"/>
      <c r="AT725" s="4"/>
      <c r="AU725" s="4"/>
      <c r="AV725" s="4"/>
      <c r="AW725" s="4"/>
      <c r="AX725" s="4"/>
      <c r="AY725" s="4"/>
      <c r="AZ725" s="4"/>
      <c r="BA725" s="4"/>
      <c r="BB725" s="4"/>
      <c r="BC725" s="4"/>
      <c r="BD725" s="5"/>
      <c r="BE725" s="4"/>
      <c r="BF725" s="4"/>
      <c r="BG725" s="4"/>
      <c r="BH725" s="4"/>
      <c r="BI725" s="4"/>
      <c r="BJ725" s="4"/>
      <c r="BK725" s="4"/>
      <c r="BL725" s="4"/>
      <c r="BM725" s="4"/>
      <c r="BN725" s="4"/>
      <c r="BO725" s="4"/>
      <c r="BP725" s="4"/>
      <c r="BQ725" s="4"/>
      <c r="BR725" s="4"/>
      <c r="BS725" s="4"/>
    </row>
    <row r="726" spans="1:7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c r="AG726" s="3"/>
      <c r="AH726" s="4"/>
      <c r="AI726" s="4"/>
      <c r="AJ726" s="4"/>
      <c r="AK726" s="4"/>
      <c r="AL726" s="4"/>
      <c r="AM726" s="4"/>
      <c r="AN726" s="4"/>
      <c r="AO726" s="4"/>
      <c r="AP726" s="4"/>
      <c r="AQ726" s="4"/>
      <c r="AR726" s="4"/>
      <c r="AS726" s="4"/>
      <c r="AT726" s="4"/>
      <c r="AU726" s="4"/>
      <c r="AV726" s="4"/>
      <c r="AW726" s="4"/>
      <c r="AX726" s="4"/>
      <c r="AY726" s="4"/>
      <c r="AZ726" s="4"/>
      <c r="BA726" s="4"/>
      <c r="BB726" s="4"/>
      <c r="BC726" s="4"/>
      <c r="BD726" s="5"/>
      <c r="BE726" s="4"/>
      <c r="BF726" s="4"/>
      <c r="BG726" s="4"/>
      <c r="BH726" s="4"/>
      <c r="BI726" s="4"/>
      <c r="BJ726" s="4"/>
      <c r="BK726" s="4"/>
      <c r="BL726" s="4"/>
      <c r="BM726" s="4"/>
      <c r="BN726" s="4"/>
      <c r="BO726" s="4"/>
      <c r="BP726" s="4"/>
      <c r="BQ726" s="4"/>
      <c r="BR726" s="4"/>
      <c r="BS726" s="4"/>
    </row>
    <row r="727" spans="1:7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c r="AG727" s="3"/>
      <c r="AH727" s="4"/>
      <c r="AI727" s="4"/>
      <c r="AJ727" s="4"/>
      <c r="AK727" s="4"/>
      <c r="AL727" s="4"/>
      <c r="AM727" s="4"/>
      <c r="AN727" s="4"/>
      <c r="AO727" s="4"/>
      <c r="AP727" s="4"/>
      <c r="AQ727" s="4"/>
      <c r="AR727" s="4"/>
      <c r="AS727" s="4"/>
      <c r="AT727" s="4"/>
      <c r="AU727" s="4"/>
      <c r="AV727" s="4"/>
      <c r="AW727" s="4"/>
      <c r="AX727" s="4"/>
      <c r="AY727" s="4"/>
      <c r="AZ727" s="4"/>
      <c r="BA727" s="4"/>
      <c r="BB727" s="4"/>
      <c r="BC727" s="4"/>
      <c r="BD727" s="5"/>
      <c r="BE727" s="4"/>
      <c r="BF727" s="4"/>
      <c r="BG727" s="4"/>
      <c r="BH727" s="4"/>
      <c r="BI727" s="4"/>
      <c r="BJ727" s="4"/>
      <c r="BK727" s="4"/>
      <c r="BL727" s="4"/>
      <c r="BM727" s="4"/>
      <c r="BN727" s="4"/>
      <c r="BO727" s="4"/>
      <c r="BP727" s="4"/>
      <c r="BQ727" s="4"/>
      <c r="BR727" s="4"/>
      <c r="BS727" s="4"/>
    </row>
    <row r="728" spans="1:7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c r="AG728" s="3"/>
      <c r="AH728" s="4"/>
      <c r="AI728" s="4"/>
      <c r="AJ728" s="4"/>
      <c r="AK728" s="4"/>
      <c r="AL728" s="4"/>
      <c r="AM728" s="4"/>
      <c r="AN728" s="4"/>
      <c r="AO728" s="4"/>
      <c r="AP728" s="4"/>
      <c r="AQ728" s="4"/>
      <c r="AR728" s="4"/>
      <c r="AS728" s="4"/>
      <c r="AT728" s="4"/>
      <c r="AU728" s="4"/>
      <c r="AV728" s="4"/>
      <c r="AW728" s="4"/>
      <c r="AX728" s="4"/>
      <c r="AY728" s="4"/>
      <c r="AZ728" s="4"/>
      <c r="BA728" s="4"/>
      <c r="BB728" s="4"/>
      <c r="BC728" s="4"/>
      <c r="BD728" s="5"/>
      <c r="BE728" s="4"/>
      <c r="BF728" s="4"/>
      <c r="BG728" s="4"/>
      <c r="BH728" s="4"/>
      <c r="BI728" s="4"/>
      <c r="BJ728" s="4"/>
      <c r="BK728" s="4"/>
      <c r="BL728" s="4"/>
      <c r="BM728" s="4"/>
      <c r="BN728" s="4"/>
      <c r="BO728" s="4"/>
      <c r="BP728" s="4"/>
      <c r="BQ728" s="4"/>
      <c r="BR728" s="4"/>
      <c r="BS728" s="4"/>
    </row>
    <row r="729" spans="1:7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c r="AG729" s="3"/>
      <c r="AH729" s="4"/>
      <c r="AI729" s="4"/>
      <c r="AJ729" s="4"/>
      <c r="AK729" s="4"/>
      <c r="AL729" s="4"/>
      <c r="AM729" s="4"/>
      <c r="AN729" s="4"/>
      <c r="AO729" s="4"/>
      <c r="AP729" s="4"/>
      <c r="AQ729" s="4"/>
      <c r="AR729" s="4"/>
      <c r="AS729" s="4"/>
      <c r="AT729" s="4"/>
      <c r="AU729" s="4"/>
      <c r="AV729" s="4"/>
      <c r="AW729" s="4"/>
      <c r="AX729" s="4"/>
      <c r="AY729" s="4"/>
      <c r="AZ729" s="4"/>
      <c r="BA729" s="4"/>
      <c r="BB729" s="4"/>
      <c r="BC729" s="4"/>
      <c r="BD729" s="5"/>
      <c r="BE729" s="4"/>
      <c r="BF729" s="4"/>
      <c r="BG729" s="4"/>
      <c r="BH729" s="4"/>
      <c r="BI729" s="4"/>
      <c r="BJ729" s="4"/>
      <c r="BK729" s="4"/>
      <c r="BL729" s="4"/>
      <c r="BM729" s="4"/>
      <c r="BN729" s="4"/>
      <c r="BO729" s="4"/>
      <c r="BP729" s="4"/>
      <c r="BQ729" s="4"/>
      <c r="BR729" s="4"/>
      <c r="BS729" s="4"/>
    </row>
    <row r="730" spans="1:7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c r="AG730" s="3"/>
      <c r="AH730" s="4"/>
      <c r="AI730" s="4"/>
      <c r="AJ730" s="4"/>
      <c r="AK730" s="4"/>
      <c r="AL730" s="4"/>
      <c r="AM730" s="4"/>
      <c r="AN730" s="4"/>
      <c r="AO730" s="4"/>
      <c r="AP730" s="4"/>
      <c r="AQ730" s="4"/>
      <c r="AR730" s="4"/>
      <c r="AS730" s="4"/>
      <c r="AT730" s="4"/>
      <c r="AU730" s="4"/>
      <c r="AV730" s="4"/>
      <c r="AW730" s="4"/>
      <c r="AX730" s="4"/>
      <c r="AY730" s="4"/>
      <c r="AZ730" s="4"/>
      <c r="BA730" s="4"/>
      <c r="BB730" s="4"/>
      <c r="BC730" s="4"/>
      <c r="BD730" s="5"/>
      <c r="BE730" s="4"/>
      <c r="BF730" s="4"/>
      <c r="BG730" s="4"/>
      <c r="BH730" s="4"/>
      <c r="BI730" s="4"/>
      <c r="BJ730" s="4"/>
      <c r="BK730" s="4"/>
      <c r="BL730" s="4"/>
      <c r="BM730" s="4"/>
      <c r="BN730" s="4"/>
      <c r="BO730" s="4"/>
      <c r="BP730" s="4"/>
      <c r="BQ730" s="4"/>
      <c r="BR730" s="4"/>
      <c r="BS730" s="4"/>
    </row>
    <row r="731" spans="1:7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c r="AG731" s="3"/>
      <c r="AH731" s="4"/>
      <c r="AI731" s="4"/>
      <c r="AJ731" s="4"/>
      <c r="AK731" s="4"/>
      <c r="AL731" s="4"/>
      <c r="AM731" s="4"/>
      <c r="AN731" s="4"/>
      <c r="AO731" s="4"/>
      <c r="AP731" s="4"/>
      <c r="AQ731" s="4"/>
      <c r="AR731" s="4"/>
      <c r="AS731" s="4"/>
      <c r="AT731" s="4"/>
      <c r="AU731" s="4"/>
      <c r="AV731" s="4"/>
      <c r="AW731" s="4"/>
      <c r="AX731" s="4"/>
      <c r="AY731" s="4"/>
      <c r="AZ731" s="4"/>
      <c r="BA731" s="4"/>
      <c r="BB731" s="4"/>
      <c r="BC731" s="4"/>
      <c r="BD731" s="5"/>
      <c r="BE731" s="4"/>
      <c r="BF731" s="4"/>
      <c r="BG731" s="4"/>
      <c r="BH731" s="4"/>
      <c r="BI731" s="4"/>
      <c r="BJ731" s="4"/>
      <c r="BK731" s="4"/>
      <c r="BL731" s="4"/>
      <c r="BM731" s="4"/>
      <c r="BN731" s="4"/>
      <c r="BO731" s="4"/>
      <c r="BP731" s="4"/>
      <c r="BQ731" s="4"/>
      <c r="BR731" s="4"/>
      <c r="BS731" s="4"/>
    </row>
    <row r="732" spans="1:7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c r="AG732" s="3"/>
      <c r="AH732" s="4"/>
      <c r="AI732" s="4"/>
      <c r="AJ732" s="4"/>
      <c r="AK732" s="4"/>
      <c r="AL732" s="4"/>
      <c r="AM732" s="4"/>
      <c r="AN732" s="4"/>
      <c r="AO732" s="4"/>
      <c r="AP732" s="4"/>
      <c r="AQ732" s="4"/>
      <c r="AR732" s="4"/>
      <c r="AS732" s="4"/>
      <c r="AT732" s="4"/>
      <c r="AU732" s="4"/>
      <c r="AV732" s="4"/>
      <c r="AW732" s="4"/>
      <c r="AX732" s="4"/>
      <c r="AY732" s="4"/>
      <c r="AZ732" s="4"/>
      <c r="BA732" s="4"/>
      <c r="BB732" s="4"/>
      <c r="BC732" s="4"/>
      <c r="BD732" s="5"/>
      <c r="BE732" s="4"/>
      <c r="BF732" s="4"/>
      <c r="BG732" s="4"/>
      <c r="BH732" s="4"/>
      <c r="BI732" s="4"/>
      <c r="BJ732" s="4"/>
      <c r="BK732" s="4"/>
      <c r="BL732" s="4"/>
      <c r="BM732" s="4"/>
      <c r="BN732" s="4"/>
      <c r="BO732" s="4"/>
      <c r="BP732" s="4"/>
      <c r="BQ732" s="4"/>
      <c r="BR732" s="4"/>
      <c r="BS732" s="4"/>
    </row>
    <row r="733" spans="1:7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c r="AG733" s="3"/>
      <c r="AH733" s="4"/>
      <c r="AI733" s="4"/>
      <c r="AJ733" s="4"/>
      <c r="AK733" s="4"/>
      <c r="AL733" s="4"/>
      <c r="AM733" s="4"/>
      <c r="AN733" s="4"/>
      <c r="AO733" s="4"/>
      <c r="AP733" s="4"/>
      <c r="AQ733" s="4"/>
      <c r="AR733" s="4"/>
      <c r="AS733" s="4"/>
      <c r="AT733" s="4"/>
      <c r="AU733" s="4"/>
      <c r="AV733" s="4"/>
      <c r="AW733" s="4"/>
      <c r="AX733" s="4"/>
      <c r="AY733" s="4"/>
      <c r="AZ733" s="4"/>
      <c r="BA733" s="4"/>
      <c r="BB733" s="4"/>
      <c r="BC733" s="4"/>
      <c r="BD733" s="5"/>
      <c r="BE733" s="4"/>
      <c r="BF733" s="4"/>
      <c r="BG733" s="4"/>
      <c r="BH733" s="4"/>
      <c r="BI733" s="4"/>
      <c r="BJ733" s="4"/>
      <c r="BK733" s="4"/>
      <c r="BL733" s="4"/>
      <c r="BM733" s="4"/>
      <c r="BN733" s="4"/>
      <c r="BO733" s="4"/>
      <c r="BP733" s="4"/>
      <c r="BQ733" s="4"/>
      <c r="BR733" s="4"/>
      <c r="BS733" s="4"/>
    </row>
    <row r="734" spans="1:7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c r="AG734" s="3"/>
      <c r="AH734" s="4"/>
      <c r="AI734" s="4"/>
      <c r="AJ734" s="4"/>
      <c r="AK734" s="4"/>
      <c r="AL734" s="4"/>
      <c r="AM734" s="4"/>
      <c r="AN734" s="4"/>
      <c r="AO734" s="4"/>
      <c r="AP734" s="4"/>
      <c r="AQ734" s="4"/>
      <c r="AR734" s="4"/>
      <c r="AS734" s="4"/>
      <c r="AT734" s="4"/>
      <c r="AU734" s="4"/>
      <c r="AV734" s="4"/>
      <c r="AW734" s="4"/>
      <c r="AX734" s="4"/>
      <c r="AY734" s="4"/>
      <c r="AZ734" s="4"/>
      <c r="BA734" s="4"/>
      <c r="BB734" s="4"/>
      <c r="BC734" s="4"/>
      <c r="BD734" s="5"/>
      <c r="BE734" s="4"/>
      <c r="BF734" s="4"/>
      <c r="BG734" s="4"/>
      <c r="BH734" s="4"/>
      <c r="BI734" s="4"/>
      <c r="BJ734" s="4"/>
      <c r="BK734" s="4"/>
      <c r="BL734" s="4"/>
      <c r="BM734" s="4"/>
      <c r="BN734" s="4"/>
      <c r="BO734" s="4"/>
      <c r="BP734" s="4"/>
      <c r="BQ734" s="4"/>
      <c r="BR734" s="4"/>
      <c r="BS734" s="4"/>
    </row>
    <row r="735" spans="1:7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c r="AG735" s="3"/>
      <c r="AH735" s="4"/>
      <c r="AI735" s="4"/>
      <c r="AJ735" s="4"/>
      <c r="AK735" s="4"/>
      <c r="AL735" s="4"/>
      <c r="AM735" s="4"/>
      <c r="AN735" s="4"/>
      <c r="AO735" s="4"/>
      <c r="AP735" s="4"/>
      <c r="AQ735" s="4"/>
      <c r="AR735" s="4"/>
      <c r="AS735" s="4"/>
      <c r="AT735" s="4"/>
      <c r="AU735" s="4"/>
      <c r="AV735" s="4"/>
      <c r="AW735" s="4"/>
      <c r="AX735" s="4"/>
      <c r="AY735" s="4"/>
      <c r="AZ735" s="4"/>
      <c r="BA735" s="4"/>
      <c r="BB735" s="4"/>
      <c r="BC735" s="4"/>
      <c r="BD735" s="5"/>
      <c r="BE735" s="4"/>
      <c r="BF735" s="4"/>
      <c r="BG735" s="4"/>
      <c r="BH735" s="4"/>
      <c r="BI735" s="4"/>
      <c r="BJ735" s="4"/>
      <c r="BK735" s="4"/>
      <c r="BL735" s="4"/>
      <c r="BM735" s="4"/>
      <c r="BN735" s="4"/>
      <c r="BO735" s="4"/>
      <c r="BP735" s="4"/>
      <c r="BQ735" s="4"/>
      <c r="BR735" s="4"/>
      <c r="BS735" s="4"/>
    </row>
    <row r="736" spans="1:7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c r="AG736" s="3"/>
      <c r="AH736" s="4"/>
      <c r="AI736" s="4"/>
      <c r="AJ736" s="4"/>
      <c r="AK736" s="4"/>
      <c r="AL736" s="4"/>
      <c r="AM736" s="4"/>
      <c r="AN736" s="4"/>
      <c r="AO736" s="4"/>
      <c r="AP736" s="4"/>
      <c r="AQ736" s="4"/>
      <c r="AR736" s="4"/>
      <c r="AS736" s="4"/>
      <c r="AT736" s="4"/>
      <c r="AU736" s="4"/>
      <c r="AV736" s="4"/>
      <c r="AW736" s="4"/>
      <c r="AX736" s="4"/>
      <c r="AY736" s="4"/>
      <c r="AZ736" s="4"/>
      <c r="BA736" s="4"/>
      <c r="BB736" s="4"/>
      <c r="BC736" s="4"/>
      <c r="BD736" s="5"/>
      <c r="BE736" s="4"/>
      <c r="BF736" s="4"/>
      <c r="BG736" s="4"/>
      <c r="BH736" s="4"/>
      <c r="BI736" s="4"/>
      <c r="BJ736" s="4"/>
      <c r="BK736" s="4"/>
      <c r="BL736" s="4"/>
      <c r="BM736" s="4"/>
      <c r="BN736" s="4"/>
      <c r="BO736" s="4"/>
      <c r="BP736" s="4"/>
      <c r="BQ736" s="4"/>
      <c r="BR736" s="4"/>
      <c r="BS736" s="4"/>
    </row>
    <row r="737" spans="1:7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c r="AG737" s="3"/>
      <c r="AH737" s="4"/>
      <c r="AI737" s="4"/>
      <c r="AJ737" s="4"/>
      <c r="AK737" s="4"/>
      <c r="AL737" s="4"/>
      <c r="AM737" s="4"/>
      <c r="AN737" s="4"/>
      <c r="AO737" s="4"/>
      <c r="AP737" s="4"/>
      <c r="AQ737" s="4"/>
      <c r="AR737" s="4"/>
      <c r="AS737" s="4"/>
      <c r="AT737" s="4"/>
      <c r="AU737" s="4"/>
      <c r="AV737" s="4"/>
      <c r="AW737" s="4"/>
      <c r="AX737" s="4"/>
      <c r="AY737" s="4"/>
      <c r="AZ737" s="4"/>
      <c r="BA737" s="4"/>
      <c r="BB737" s="4"/>
      <c r="BC737" s="4"/>
      <c r="BD737" s="5"/>
      <c r="BE737" s="4"/>
      <c r="BF737" s="4"/>
      <c r="BG737" s="4"/>
      <c r="BH737" s="4"/>
      <c r="BI737" s="4"/>
      <c r="BJ737" s="4"/>
      <c r="BK737" s="4"/>
      <c r="BL737" s="4"/>
      <c r="BM737" s="4"/>
      <c r="BN737" s="4"/>
      <c r="BO737" s="4"/>
      <c r="BP737" s="4"/>
      <c r="BQ737" s="4"/>
      <c r="BR737" s="4"/>
      <c r="BS737" s="4"/>
    </row>
    <row r="738" spans="1:7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c r="AG738" s="3"/>
      <c r="AH738" s="4"/>
      <c r="AI738" s="4"/>
      <c r="AJ738" s="4"/>
      <c r="AK738" s="4"/>
      <c r="AL738" s="4"/>
      <c r="AM738" s="4"/>
      <c r="AN738" s="4"/>
      <c r="AO738" s="4"/>
      <c r="AP738" s="4"/>
      <c r="AQ738" s="4"/>
      <c r="AR738" s="4"/>
      <c r="AS738" s="4"/>
      <c r="AT738" s="4"/>
      <c r="AU738" s="4"/>
      <c r="AV738" s="4"/>
      <c r="AW738" s="4"/>
      <c r="AX738" s="4"/>
      <c r="AY738" s="4"/>
      <c r="AZ738" s="4"/>
      <c r="BA738" s="4"/>
      <c r="BB738" s="4"/>
      <c r="BC738" s="4"/>
      <c r="BD738" s="5"/>
      <c r="BE738" s="4"/>
      <c r="BF738" s="4"/>
      <c r="BG738" s="4"/>
      <c r="BH738" s="4"/>
      <c r="BI738" s="4"/>
      <c r="BJ738" s="4"/>
      <c r="BK738" s="4"/>
      <c r="BL738" s="4"/>
      <c r="BM738" s="4"/>
      <c r="BN738" s="4"/>
      <c r="BO738" s="4"/>
      <c r="BP738" s="4"/>
      <c r="BQ738" s="4"/>
      <c r="BR738" s="4"/>
      <c r="BS738" s="4"/>
    </row>
    <row r="739" spans="1:7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c r="AG739" s="3"/>
      <c r="AH739" s="4"/>
      <c r="AI739" s="4"/>
      <c r="AJ739" s="4"/>
      <c r="AK739" s="4"/>
      <c r="AL739" s="4"/>
      <c r="AM739" s="4"/>
      <c r="AN739" s="4"/>
      <c r="AO739" s="4"/>
      <c r="AP739" s="4"/>
      <c r="AQ739" s="4"/>
      <c r="AR739" s="4"/>
      <c r="AS739" s="4"/>
      <c r="AT739" s="4"/>
      <c r="AU739" s="4"/>
      <c r="AV739" s="4"/>
      <c r="AW739" s="4"/>
      <c r="AX739" s="4"/>
      <c r="AY739" s="4"/>
      <c r="AZ739" s="4"/>
      <c r="BA739" s="4"/>
      <c r="BB739" s="4"/>
      <c r="BC739" s="4"/>
      <c r="BD739" s="5"/>
      <c r="BE739" s="4"/>
      <c r="BF739" s="4"/>
      <c r="BG739" s="4"/>
      <c r="BH739" s="4"/>
      <c r="BI739" s="4"/>
      <c r="BJ739" s="4"/>
      <c r="BK739" s="4"/>
      <c r="BL739" s="4"/>
      <c r="BM739" s="4"/>
      <c r="BN739" s="4"/>
      <c r="BO739" s="4"/>
      <c r="BP739" s="4"/>
      <c r="BQ739" s="4"/>
      <c r="BR739" s="4"/>
      <c r="BS739" s="4"/>
    </row>
    <row r="740" spans="1:7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c r="AG740" s="3"/>
      <c r="AH740" s="4"/>
      <c r="AI740" s="4"/>
      <c r="AJ740" s="4"/>
      <c r="AK740" s="4"/>
      <c r="AL740" s="4"/>
      <c r="AM740" s="4"/>
      <c r="AN740" s="4"/>
      <c r="AO740" s="4"/>
      <c r="AP740" s="4"/>
      <c r="AQ740" s="4"/>
      <c r="AR740" s="4"/>
      <c r="AS740" s="4"/>
      <c r="AT740" s="4"/>
      <c r="AU740" s="4"/>
      <c r="AV740" s="4"/>
      <c r="AW740" s="4"/>
      <c r="AX740" s="4"/>
      <c r="AY740" s="4"/>
      <c r="AZ740" s="4"/>
      <c r="BA740" s="4"/>
      <c r="BB740" s="4"/>
      <c r="BC740" s="4"/>
      <c r="BD740" s="5"/>
      <c r="BE740" s="4"/>
      <c r="BF740" s="4"/>
      <c r="BG740" s="4"/>
      <c r="BH740" s="4"/>
      <c r="BI740" s="4"/>
      <c r="BJ740" s="4"/>
      <c r="BK740" s="4"/>
      <c r="BL740" s="4"/>
      <c r="BM740" s="4"/>
      <c r="BN740" s="4"/>
      <c r="BO740" s="4"/>
      <c r="BP740" s="4"/>
      <c r="BQ740" s="4"/>
      <c r="BR740" s="4"/>
      <c r="BS740" s="4"/>
    </row>
    <row r="741" spans="1:7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c r="AG741" s="3"/>
      <c r="AH741" s="4"/>
      <c r="AI741" s="4"/>
      <c r="AJ741" s="4"/>
      <c r="AK741" s="4"/>
      <c r="AL741" s="4"/>
      <c r="AM741" s="4"/>
      <c r="AN741" s="4"/>
      <c r="AO741" s="4"/>
      <c r="AP741" s="4"/>
      <c r="AQ741" s="4"/>
      <c r="AR741" s="4"/>
      <c r="AS741" s="4"/>
      <c r="AT741" s="4"/>
      <c r="AU741" s="4"/>
      <c r="AV741" s="4"/>
      <c r="AW741" s="4"/>
      <c r="AX741" s="4"/>
      <c r="AY741" s="4"/>
      <c r="AZ741" s="4"/>
      <c r="BA741" s="4"/>
      <c r="BB741" s="4"/>
      <c r="BC741" s="4"/>
      <c r="BD741" s="5"/>
      <c r="BE741" s="4"/>
      <c r="BF741" s="4"/>
      <c r="BG741" s="4"/>
      <c r="BH741" s="4"/>
      <c r="BI741" s="4"/>
      <c r="BJ741" s="4"/>
      <c r="BK741" s="4"/>
      <c r="BL741" s="4"/>
      <c r="BM741" s="4"/>
      <c r="BN741" s="4"/>
      <c r="BO741" s="4"/>
      <c r="BP741" s="4"/>
      <c r="BQ741" s="4"/>
      <c r="BR741" s="4"/>
      <c r="BS741" s="4"/>
    </row>
    <row r="742" spans="1:7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c r="AG742" s="3"/>
      <c r="AH742" s="4"/>
      <c r="AI742" s="4"/>
      <c r="AJ742" s="4"/>
      <c r="AK742" s="4"/>
      <c r="AL742" s="4"/>
      <c r="AM742" s="4"/>
      <c r="AN742" s="4"/>
      <c r="AO742" s="4"/>
      <c r="AP742" s="4"/>
      <c r="AQ742" s="4"/>
      <c r="AR742" s="4"/>
      <c r="AS742" s="4"/>
      <c r="AT742" s="4"/>
      <c r="AU742" s="4"/>
      <c r="AV742" s="4"/>
      <c r="AW742" s="4"/>
      <c r="AX742" s="4"/>
      <c r="AY742" s="4"/>
      <c r="AZ742" s="4"/>
      <c r="BA742" s="4"/>
      <c r="BB742" s="4"/>
      <c r="BC742" s="4"/>
      <c r="BD742" s="5"/>
      <c r="BE742" s="4"/>
      <c r="BF742" s="4"/>
      <c r="BG742" s="4"/>
      <c r="BH742" s="4"/>
      <c r="BI742" s="4"/>
      <c r="BJ742" s="4"/>
      <c r="BK742" s="4"/>
      <c r="BL742" s="4"/>
      <c r="BM742" s="4"/>
      <c r="BN742" s="4"/>
      <c r="BO742" s="4"/>
      <c r="BP742" s="4"/>
      <c r="BQ742" s="4"/>
      <c r="BR742" s="4"/>
      <c r="BS742" s="4"/>
    </row>
    <row r="743" spans="1:7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c r="AG743" s="3"/>
      <c r="AH743" s="4"/>
      <c r="AI743" s="4"/>
      <c r="AJ743" s="4"/>
      <c r="AK743" s="4"/>
      <c r="AL743" s="4"/>
      <c r="AM743" s="4"/>
      <c r="AN743" s="4"/>
      <c r="AO743" s="4"/>
      <c r="AP743" s="4"/>
      <c r="AQ743" s="4"/>
      <c r="AR743" s="4"/>
      <c r="AS743" s="4"/>
      <c r="AT743" s="4"/>
      <c r="AU743" s="4"/>
      <c r="AV743" s="4"/>
      <c r="AW743" s="4"/>
      <c r="AX743" s="4"/>
      <c r="AY743" s="4"/>
      <c r="AZ743" s="4"/>
      <c r="BA743" s="4"/>
      <c r="BB743" s="4"/>
      <c r="BC743" s="4"/>
      <c r="BD743" s="5"/>
      <c r="BE743" s="4"/>
      <c r="BF743" s="4"/>
      <c r="BG743" s="4"/>
      <c r="BH743" s="4"/>
      <c r="BI743" s="4"/>
      <c r="BJ743" s="4"/>
      <c r="BK743" s="4"/>
      <c r="BL743" s="4"/>
      <c r="BM743" s="4"/>
      <c r="BN743" s="4"/>
      <c r="BO743" s="4"/>
      <c r="BP743" s="4"/>
      <c r="BQ743" s="4"/>
      <c r="BR743" s="4"/>
      <c r="BS743" s="4"/>
    </row>
    <row r="744" spans="1:7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c r="AG744" s="3"/>
      <c r="AH744" s="4"/>
      <c r="AI744" s="4"/>
      <c r="AJ744" s="4"/>
      <c r="AK744" s="4"/>
      <c r="AL744" s="4"/>
      <c r="AM744" s="4"/>
      <c r="AN744" s="4"/>
      <c r="AO744" s="4"/>
      <c r="AP744" s="4"/>
      <c r="AQ744" s="4"/>
      <c r="AR744" s="4"/>
      <c r="AS744" s="4"/>
      <c r="AT744" s="4"/>
      <c r="AU744" s="4"/>
      <c r="AV744" s="4"/>
      <c r="AW744" s="4"/>
      <c r="AX744" s="4"/>
      <c r="AY744" s="4"/>
      <c r="AZ744" s="4"/>
      <c r="BA744" s="4"/>
      <c r="BB744" s="4"/>
      <c r="BC744" s="4"/>
      <c r="BD744" s="5"/>
      <c r="BE744" s="4"/>
      <c r="BF744" s="4"/>
      <c r="BG744" s="4"/>
      <c r="BH744" s="4"/>
      <c r="BI744" s="4"/>
      <c r="BJ744" s="4"/>
      <c r="BK744" s="4"/>
      <c r="BL744" s="4"/>
      <c r="BM744" s="4"/>
      <c r="BN744" s="4"/>
      <c r="BO744" s="4"/>
      <c r="BP744" s="4"/>
      <c r="BQ744" s="4"/>
      <c r="BR744" s="4"/>
      <c r="BS744" s="4"/>
    </row>
    <row r="745" spans="1:7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c r="AG745" s="3"/>
      <c r="AH745" s="4"/>
      <c r="AI745" s="4"/>
      <c r="AJ745" s="4"/>
      <c r="AK745" s="4"/>
      <c r="AL745" s="4"/>
      <c r="AM745" s="4"/>
      <c r="AN745" s="4"/>
      <c r="AO745" s="4"/>
      <c r="AP745" s="4"/>
      <c r="AQ745" s="4"/>
      <c r="AR745" s="4"/>
      <c r="AS745" s="4"/>
      <c r="AT745" s="4"/>
      <c r="AU745" s="4"/>
      <c r="AV745" s="4"/>
      <c r="AW745" s="4"/>
      <c r="AX745" s="4"/>
      <c r="AY745" s="4"/>
      <c r="AZ745" s="4"/>
      <c r="BA745" s="4"/>
      <c r="BB745" s="4"/>
      <c r="BC745" s="4"/>
      <c r="BD745" s="5"/>
      <c r="BE745" s="4"/>
      <c r="BF745" s="4"/>
      <c r="BG745" s="4"/>
      <c r="BH745" s="4"/>
      <c r="BI745" s="4"/>
      <c r="BJ745" s="4"/>
      <c r="BK745" s="4"/>
      <c r="BL745" s="4"/>
      <c r="BM745" s="4"/>
      <c r="BN745" s="4"/>
      <c r="BO745" s="4"/>
      <c r="BP745" s="4"/>
      <c r="BQ745" s="4"/>
      <c r="BR745" s="4"/>
      <c r="BS745" s="4"/>
    </row>
    <row r="746" spans="1:7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c r="AG746" s="3"/>
      <c r="AH746" s="4"/>
      <c r="AI746" s="4"/>
      <c r="AJ746" s="4"/>
      <c r="AK746" s="4"/>
      <c r="AL746" s="4"/>
      <c r="AM746" s="4"/>
      <c r="AN746" s="4"/>
      <c r="AO746" s="4"/>
      <c r="AP746" s="4"/>
      <c r="AQ746" s="4"/>
      <c r="AR746" s="4"/>
      <c r="AS746" s="4"/>
      <c r="AT746" s="4"/>
      <c r="AU746" s="4"/>
      <c r="AV746" s="4"/>
      <c r="AW746" s="4"/>
      <c r="AX746" s="4"/>
      <c r="AY746" s="4"/>
      <c r="AZ746" s="4"/>
      <c r="BA746" s="4"/>
      <c r="BB746" s="4"/>
      <c r="BC746" s="4"/>
      <c r="BD746" s="5"/>
      <c r="BE746" s="4"/>
      <c r="BF746" s="4"/>
      <c r="BG746" s="4"/>
      <c r="BH746" s="4"/>
      <c r="BI746" s="4"/>
      <c r="BJ746" s="4"/>
      <c r="BK746" s="4"/>
      <c r="BL746" s="4"/>
      <c r="BM746" s="4"/>
      <c r="BN746" s="4"/>
      <c r="BO746" s="4"/>
      <c r="BP746" s="4"/>
      <c r="BQ746" s="4"/>
      <c r="BR746" s="4"/>
      <c r="BS746" s="4"/>
    </row>
    <row r="747" spans="1:7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c r="AG747" s="3"/>
      <c r="AH747" s="4"/>
      <c r="AI747" s="4"/>
      <c r="AJ747" s="4"/>
      <c r="AK747" s="4"/>
      <c r="AL747" s="4"/>
      <c r="AM747" s="4"/>
      <c r="AN747" s="4"/>
      <c r="AO747" s="4"/>
      <c r="AP747" s="4"/>
      <c r="AQ747" s="4"/>
      <c r="AR747" s="4"/>
      <c r="AS747" s="4"/>
      <c r="AT747" s="4"/>
      <c r="AU747" s="4"/>
      <c r="AV747" s="4"/>
      <c r="AW747" s="4"/>
      <c r="AX747" s="4"/>
      <c r="AY747" s="4"/>
      <c r="AZ747" s="4"/>
      <c r="BA747" s="4"/>
      <c r="BB747" s="4"/>
      <c r="BC747" s="4"/>
      <c r="BD747" s="5"/>
      <c r="BE747" s="4"/>
      <c r="BF747" s="4"/>
      <c r="BG747" s="4"/>
      <c r="BH747" s="4"/>
      <c r="BI747" s="4"/>
      <c r="BJ747" s="4"/>
      <c r="BK747" s="4"/>
      <c r="BL747" s="4"/>
      <c r="BM747" s="4"/>
      <c r="BN747" s="4"/>
      <c r="BO747" s="4"/>
      <c r="BP747" s="4"/>
      <c r="BQ747" s="4"/>
      <c r="BR747" s="4"/>
      <c r="BS747" s="4"/>
    </row>
    <row r="748" spans="1:7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c r="AG748" s="3"/>
      <c r="AH748" s="4"/>
      <c r="AI748" s="4"/>
      <c r="AJ748" s="4"/>
      <c r="AK748" s="4"/>
      <c r="AL748" s="4"/>
      <c r="AM748" s="4"/>
      <c r="AN748" s="4"/>
      <c r="AO748" s="4"/>
      <c r="AP748" s="4"/>
      <c r="AQ748" s="4"/>
      <c r="AR748" s="4"/>
      <c r="AS748" s="4"/>
      <c r="AT748" s="4"/>
      <c r="AU748" s="4"/>
      <c r="AV748" s="4"/>
      <c r="AW748" s="4"/>
      <c r="AX748" s="4"/>
      <c r="AY748" s="4"/>
      <c r="AZ748" s="4"/>
      <c r="BA748" s="4"/>
      <c r="BB748" s="4"/>
      <c r="BC748" s="4"/>
      <c r="BD748" s="5"/>
      <c r="BE748" s="4"/>
      <c r="BF748" s="4"/>
      <c r="BG748" s="4"/>
      <c r="BH748" s="4"/>
      <c r="BI748" s="4"/>
      <c r="BJ748" s="4"/>
      <c r="BK748" s="4"/>
      <c r="BL748" s="4"/>
      <c r="BM748" s="4"/>
      <c r="BN748" s="4"/>
      <c r="BO748" s="4"/>
      <c r="BP748" s="4"/>
      <c r="BQ748" s="4"/>
      <c r="BR748" s="4"/>
      <c r="BS748" s="4"/>
    </row>
    <row r="749" spans="1:7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c r="AG749" s="3"/>
      <c r="AH749" s="4"/>
      <c r="AI749" s="4"/>
      <c r="AJ749" s="4"/>
      <c r="AK749" s="4"/>
      <c r="AL749" s="4"/>
      <c r="AM749" s="4"/>
      <c r="AN749" s="4"/>
      <c r="AO749" s="4"/>
      <c r="AP749" s="4"/>
      <c r="AQ749" s="4"/>
      <c r="AR749" s="4"/>
      <c r="AS749" s="4"/>
      <c r="AT749" s="4"/>
      <c r="AU749" s="4"/>
      <c r="AV749" s="4"/>
      <c r="AW749" s="4"/>
      <c r="AX749" s="4"/>
      <c r="AY749" s="4"/>
      <c r="AZ749" s="4"/>
      <c r="BA749" s="4"/>
      <c r="BB749" s="4"/>
      <c r="BC749" s="4"/>
      <c r="BD749" s="5"/>
      <c r="BE749" s="4"/>
      <c r="BF749" s="4"/>
      <c r="BG749" s="4"/>
      <c r="BH749" s="4"/>
      <c r="BI749" s="4"/>
      <c r="BJ749" s="4"/>
      <c r="BK749" s="4"/>
      <c r="BL749" s="4"/>
      <c r="BM749" s="4"/>
      <c r="BN749" s="4"/>
      <c r="BO749" s="4"/>
      <c r="BP749" s="4"/>
      <c r="BQ749" s="4"/>
      <c r="BR749" s="4"/>
      <c r="BS749" s="4"/>
    </row>
    <row r="750" spans="1:7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c r="AG750" s="3"/>
      <c r="AH750" s="4"/>
      <c r="AI750" s="4"/>
      <c r="AJ750" s="4"/>
      <c r="AK750" s="4"/>
      <c r="AL750" s="4"/>
      <c r="AM750" s="4"/>
      <c r="AN750" s="4"/>
      <c r="AO750" s="4"/>
      <c r="AP750" s="4"/>
      <c r="AQ750" s="4"/>
      <c r="AR750" s="4"/>
      <c r="AS750" s="4"/>
      <c r="AT750" s="4"/>
      <c r="AU750" s="4"/>
      <c r="AV750" s="4"/>
      <c r="AW750" s="4"/>
      <c r="AX750" s="4"/>
      <c r="AY750" s="4"/>
      <c r="AZ750" s="4"/>
      <c r="BA750" s="4"/>
      <c r="BB750" s="4"/>
      <c r="BC750" s="4"/>
      <c r="BD750" s="5"/>
      <c r="BE750" s="4"/>
      <c r="BF750" s="4"/>
      <c r="BG750" s="4"/>
      <c r="BH750" s="4"/>
      <c r="BI750" s="4"/>
      <c r="BJ750" s="4"/>
      <c r="BK750" s="4"/>
      <c r="BL750" s="4"/>
      <c r="BM750" s="4"/>
      <c r="BN750" s="4"/>
      <c r="BO750" s="4"/>
      <c r="BP750" s="4"/>
      <c r="BQ750" s="4"/>
      <c r="BR750" s="4"/>
      <c r="BS750" s="4"/>
    </row>
    <row r="751" spans="1:7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c r="AG751" s="3"/>
      <c r="AH751" s="4"/>
      <c r="AI751" s="4"/>
      <c r="AJ751" s="4"/>
      <c r="AK751" s="4"/>
      <c r="AL751" s="4"/>
      <c r="AM751" s="4"/>
      <c r="AN751" s="4"/>
      <c r="AO751" s="4"/>
      <c r="AP751" s="4"/>
      <c r="AQ751" s="4"/>
      <c r="AR751" s="4"/>
      <c r="AS751" s="4"/>
      <c r="AT751" s="4"/>
      <c r="AU751" s="4"/>
      <c r="AV751" s="4"/>
      <c r="AW751" s="4"/>
      <c r="AX751" s="4"/>
      <c r="AY751" s="4"/>
      <c r="AZ751" s="4"/>
      <c r="BA751" s="4"/>
      <c r="BB751" s="4"/>
      <c r="BC751" s="4"/>
      <c r="BD751" s="5"/>
      <c r="BE751" s="4"/>
      <c r="BF751" s="4"/>
      <c r="BG751" s="4"/>
      <c r="BH751" s="4"/>
      <c r="BI751" s="4"/>
      <c r="BJ751" s="4"/>
      <c r="BK751" s="4"/>
      <c r="BL751" s="4"/>
      <c r="BM751" s="4"/>
      <c r="BN751" s="4"/>
      <c r="BO751" s="4"/>
      <c r="BP751" s="4"/>
      <c r="BQ751" s="4"/>
      <c r="BR751" s="4"/>
      <c r="BS751" s="4"/>
    </row>
    <row r="752" spans="1:7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c r="AG752" s="3"/>
      <c r="AH752" s="4"/>
      <c r="AI752" s="4"/>
      <c r="AJ752" s="4"/>
      <c r="AK752" s="4"/>
      <c r="AL752" s="4"/>
      <c r="AM752" s="4"/>
      <c r="AN752" s="4"/>
      <c r="AO752" s="4"/>
      <c r="AP752" s="4"/>
      <c r="AQ752" s="4"/>
      <c r="AR752" s="4"/>
      <c r="AS752" s="4"/>
      <c r="AT752" s="4"/>
      <c r="AU752" s="4"/>
      <c r="AV752" s="4"/>
      <c r="AW752" s="4"/>
      <c r="AX752" s="4"/>
      <c r="AY752" s="4"/>
      <c r="AZ752" s="4"/>
      <c r="BA752" s="4"/>
      <c r="BB752" s="4"/>
      <c r="BC752" s="4"/>
      <c r="BD752" s="5"/>
      <c r="BE752" s="4"/>
      <c r="BF752" s="4"/>
      <c r="BG752" s="4"/>
      <c r="BH752" s="4"/>
      <c r="BI752" s="4"/>
      <c r="BJ752" s="4"/>
      <c r="BK752" s="4"/>
      <c r="BL752" s="4"/>
      <c r="BM752" s="4"/>
      <c r="BN752" s="4"/>
      <c r="BO752" s="4"/>
      <c r="BP752" s="4"/>
      <c r="BQ752" s="4"/>
      <c r="BR752" s="4"/>
      <c r="BS752" s="4"/>
    </row>
    <row r="753" spans="1:7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c r="AG753" s="3"/>
      <c r="AH753" s="4"/>
      <c r="AI753" s="4"/>
      <c r="AJ753" s="4"/>
      <c r="AK753" s="4"/>
      <c r="AL753" s="4"/>
      <c r="AM753" s="4"/>
      <c r="AN753" s="4"/>
      <c r="AO753" s="4"/>
      <c r="AP753" s="4"/>
      <c r="AQ753" s="4"/>
      <c r="AR753" s="4"/>
      <c r="AS753" s="4"/>
      <c r="AT753" s="4"/>
      <c r="AU753" s="4"/>
      <c r="AV753" s="4"/>
      <c r="AW753" s="4"/>
      <c r="AX753" s="4"/>
      <c r="AY753" s="4"/>
      <c r="AZ753" s="4"/>
      <c r="BA753" s="4"/>
      <c r="BB753" s="4"/>
      <c r="BC753" s="4"/>
      <c r="BD753" s="5"/>
      <c r="BE753" s="4"/>
      <c r="BF753" s="4"/>
      <c r="BG753" s="4"/>
      <c r="BH753" s="4"/>
      <c r="BI753" s="4"/>
      <c r="BJ753" s="4"/>
      <c r="BK753" s="4"/>
      <c r="BL753" s="4"/>
      <c r="BM753" s="4"/>
      <c r="BN753" s="4"/>
      <c r="BO753" s="4"/>
      <c r="BP753" s="4"/>
      <c r="BQ753" s="4"/>
      <c r="BR753" s="4"/>
      <c r="BS753" s="4"/>
    </row>
    <row r="754" spans="1:7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c r="AG754" s="3"/>
      <c r="AH754" s="4"/>
      <c r="AI754" s="4"/>
      <c r="AJ754" s="4"/>
      <c r="AK754" s="4"/>
      <c r="AL754" s="4"/>
      <c r="AM754" s="4"/>
      <c r="AN754" s="4"/>
      <c r="AO754" s="4"/>
      <c r="AP754" s="4"/>
      <c r="AQ754" s="4"/>
      <c r="AR754" s="4"/>
      <c r="AS754" s="4"/>
      <c r="AT754" s="4"/>
      <c r="AU754" s="4"/>
      <c r="AV754" s="4"/>
      <c r="AW754" s="4"/>
      <c r="AX754" s="4"/>
      <c r="AY754" s="4"/>
      <c r="AZ754" s="4"/>
      <c r="BA754" s="4"/>
      <c r="BB754" s="4"/>
      <c r="BC754" s="4"/>
      <c r="BD754" s="5"/>
      <c r="BE754" s="4"/>
      <c r="BF754" s="4"/>
      <c r="BG754" s="4"/>
      <c r="BH754" s="4"/>
      <c r="BI754" s="4"/>
      <c r="BJ754" s="4"/>
      <c r="BK754" s="4"/>
      <c r="BL754" s="4"/>
      <c r="BM754" s="4"/>
      <c r="BN754" s="4"/>
      <c r="BO754" s="4"/>
      <c r="BP754" s="4"/>
      <c r="BQ754" s="4"/>
      <c r="BR754" s="4"/>
      <c r="BS754" s="4"/>
    </row>
    <row r="755" spans="1:7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c r="AG755" s="3"/>
      <c r="AH755" s="4"/>
      <c r="AI755" s="4"/>
      <c r="AJ755" s="4"/>
      <c r="AK755" s="4"/>
      <c r="AL755" s="4"/>
      <c r="AM755" s="4"/>
      <c r="AN755" s="4"/>
      <c r="AO755" s="4"/>
      <c r="AP755" s="4"/>
      <c r="AQ755" s="4"/>
      <c r="AR755" s="4"/>
      <c r="AS755" s="4"/>
      <c r="AT755" s="4"/>
      <c r="AU755" s="4"/>
      <c r="AV755" s="4"/>
      <c r="AW755" s="4"/>
      <c r="AX755" s="4"/>
      <c r="AY755" s="4"/>
      <c r="AZ755" s="4"/>
      <c r="BA755" s="4"/>
      <c r="BB755" s="4"/>
      <c r="BC755" s="4"/>
      <c r="BD755" s="5"/>
      <c r="BE755" s="4"/>
      <c r="BF755" s="4"/>
      <c r="BG755" s="4"/>
      <c r="BH755" s="4"/>
      <c r="BI755" s="4"/>
      <c r="BJ755" s="4"/>
      <c r="BK755" s="4"/>
      <c r="BL755" s="4"/>
      <c r="BM755" s="4"/>
      <c r="BN755" s="4"/>
      <c r="BO755" s="4"/>
      <c r="BP755" s="4"/>
      <c r="BQ755" s="4"/>
      <c r="BR755" s="4"/>
      <c r="BS755" s="4"/>
    </row>
    <row r="756" spans="1:7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c r="AG756" s="3"/>
      <c r="AH756" s="4"/>
      <c r="AI756" s="4"/>
      <c r="AJ756" s="4"/>
      <c r="AK756" s="4"/>
      <c r="AL756" s="4"/>
      <c r="AM756" s="4"/>
      <c r="AN756" s="4"/>
      <c r="AO756" s="4"/>
      <c r="AP756" s="4"/>
      <c r="AQ756" s="4"/>
      <c r="AR756" s="4"/>
      <c r="AS756" s="4"/>
      <c r="AT756" s="4"/>
      <c r="AU756" s="4"/>
      <c r="AV756" s="4"/>
      <c r="AW756" s="4"/>
      <c r="AX756" s="4"/>
      <c r="AY756" s="4"/>
      <c r="AZ756" s="4"/>
      <c r="BA756" s="4"/>
      <c r="BB756" s="4"/>
      <c r="BC756" s="4"/>
      <c r="BD756" s="5"/>
      <c r="BE756" s="4"/>
      <c r="BF756" s="4"/>
      <c r="BG756" s="4"/>
      <c r="BH756" s="4"/>
      <c r="BI756" s="4"/>
      <c r="BJ756" s="4"/>
      <c r="BK756" s="4"/>
      <c r="BL756" s="4"/>
      <c r="BM756" s="4"/>
      <c r="BN756" s="4"/>
      <c r="BO756" s="4"/>
      <c r="BP756" s="4"/>
      <c r="BQ756" s="4"/>
      <c r="BR756" s="4"/>
      <c r="BS756" s="4"/>
    </row>
    <row r="757" spans="1:7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c r="AG757" s="3"/>
      <c r="AH757" s="4"/>
      <c r="AI757" s="4"/>
      <c r="AJ757" s="4"/>
      <c r="AK757" s="4"/>
      <c r="AL757" s="4"/>
      <c r="AM757" s="4"/>
      <c r="AN757" s="4"/>
      <c r="AO757" s="4"/>
      <c r="AP757" s="4"/>
      <c r="AQ757" s="4"/>
      <c r="AR757" s="4"/>
      <c r="AS757" s="4"/>
      <c r="AT757" s="4"/>
      <c r="AU757" s="4"/>
      <c r="AV757" s="4"/>
      <c r="AW757" s="4"/>
      <c r="AX757" s="4"/>
      <c r="AY757" s="4"/>
      <c r="AZ757" s="4"/>
      <c r="BA757" s="4"/>
      <c r="BB757" s="4"/>
      <c r="BC757" s="4"/>
      <c r="BD757" s="5"/>
      <c r="BE757" s="4"/>
      <c r="BF757" s="4"/>
      <c r="BG757" s="4"/>
      <c r="BH757" s="4"/>
      <c r="BI757" s="4"/>
      <c r="BJ757" s="4"/>
      <c r="BK757" s="4"/>
      <c r="BL757" s="4"/>
      <c r="BM757" s="4"/>
      <c r="BN757" s="4"/>
      <c r="BO757" s="4"/>
      <c r="BP757" s="4"/>
      <c r="BQ757" s="4"/>
      <c r="BR757" s="4"/>
      <c r="BS757" s="4"/>
    </row>
    <row r="758" spans="1:7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c r="AG758" s="3"/>
      <c r="AH758" s="4"/>
      <c r="AI758" s="4"/>
      <c r="AJ758" s="4"/>
      <c r="AK758" s="4"/>
      <c r="AL758" s="4"/>
      <c r="AM758" s="4"/>
      <c r="AN758" s="4"/>
      <c r="AO758" s="4"/>
      <c r="AP758" s="4"/>
      <c r="AQ758" s="4"/>
      <c r="AR758" s="4"/>
      <c r="AS758" s="4"/>
      <c r="AT758" s="4"/>
      <c r="AU758" s="4"/>
      <c r="AV758" s="4"/>
      <c r="AW758" s="4"/>
      <c r="AX758" s="4"/>
      <c r="AY758" s="4"/>
      <c r="AZ758" s="4"/>
      <c r="BA758" s="4"/>
      <c r="BB758" s="4"/>
      <c r="BC758" s="4"/>
      <c r="BD758" s="5"/>
      <c r="BE758" s="4"/>
      <c r="BF758" s="4"/>
      <c r="BG758" s="4"/>
      <c r="BH758" s="4"/>
      <c r="BI758" s="4"/>
      <c r="BJ758" s="4"/>
      <c r="BK758" s="4"/>
      <c r="BL758" s="4"/>
      <c r="BM758" s="4"/>
      <c r="BN758" s="4"/>
      <c r="BO758" s="4"/>
      <c r="BP758" s="4"/>
      <c r="BQ758" s="4"/>
      <c r="BR758" s="4"/>
      <c r="BS758" s="4"/>
    </row>
    <row r="759" spans="1:7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c r="AG759" s="3"/>
      <c r="AH759" s="4"/>
      <c r="AI759" s="4"/>
      <c r="AJ759" s="4"/>
      <c r="AK759" s="4"/>
      <c r="AL759" s="4"/>
      <c r="AM759" s="4"/>
      <c r="AN759" s="4"/>
      <c r="AO759" s="4"/>
      <c r="AP759" s="4"/>
      <c r="AQ759" s="4"/>
      <c r="AR759" s="4"/>
      <c r="AS759" s="4"/>
      <c r="AT759" s="4"/>
      <c r="AU759" s="4"/>
      <c r="AV759" s="4"/>
      <c r="AW759" s="4"/>
      <c r="AX759" s="4"/>
      <c r="AY759" s="4"/>
      <c r="AZ759" s="4"/>
      <c r="BA759" s="4"/>
      <c r="BB759" s="4"/>
      <c r="BC759" s="4"/>
      <c r="BD759" s="5"/>
      <c r="BE759" s="4"/>
      <c r="BF759" s="4"/>
      <c r="BG759" s="4"/>
      <c r="BH759" s="4"/>
      <c r="BI759" s="4"/>
      <c r="BJ759" s="4"/>
      <c r="BK759" s="4"/>
      <c r="BL759" s="4"/>
      <c r="BM759" s="4"/>
      <c r="BN759" s="4"/>
      <c r="BO759" s="4"/>
      <c r="BP759" s="4"/>
      <c r="BQ759" s="4"/>
      <c r="BR759" s="4"/>
      <c r="BS759" s="4"/>
    </row>
    <row r="760" spans="1:7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c r="AG760" s="3"/>
      <c r="AH760" s="4"/>
      <c r="AI760" s="4"/>
      <c r="AJ760" s="4"/>
      <c r="AK760" s="4"/>
      <c r="AL760" s="4"/>
      <c r="AM760" s="4"/>
      <c r="AN760" s="4"/>
      <c r="AO760" s="4"/>
      <c r="AP760" s="4"/>
      <c r="AQ760" s="4"/>
      <c r="AR760" s="4"/>
      <c r="AS760" s="4"/>
      <c r="AT760" s="4"/>
      <c r="AU760" s="4"/>
      <c r="AV760" s="4"/>
      <c r="AW760" s="4"/>
      <c r="AX760" s="4"/>
      <c r="AY760" s="4"/>
      <c r="AZ760" s="4"/>
      <c r="BA760" s="4"/>
      <c r="BB760" s="4"/>
      <c r="BC760" s="4"/>
      <c r="BD760" s="5"/>
      <c r="BE760" s="4"/>
      <c r="BF760" s="4"/>
      <c r="BG760" s="4"/>
      <c r="BH760" s="4"/>
      <c r="BI760" s="4"/>
      <c r="BJ760" s="4"/>
      <c r="BK760" s="4"/>
      <c r="BL760" s="4"/>
      <c r="BM760" s="4"/>
      <c r="BN760" s="4"/>
      <c r="BO760" s="4"/>
      <c r="BP760" s="4"/>
      <c r="BQ760" s="4"/>
      <c r="BR760" s="4"/>
      <c r="BS760" s="4"/>
    </row>
    <row r="761" spans="1:7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c r="AG761" s="3"/>
      <c r="AH761" s="4"/>
      <c r="AI761" s="4"/>
      <c r="AJ761" s="4"/>
      <c r="AK761" s="4"/>
      <c r="AL761" s="4"/>
      <c r="AM761" s="4"/>
      <c r="AN761" s="4"/>
      <c r="AO761" s="4"/>
      <c r="AP761" s="4"/>
      <c r="AQ761" s="4"/>
      <c r="AR761" s="4"/>
      <c r="AS761" s="4"/>
      <c r="AT761" s="4"/>
      <c r="AU761" s="4"/>
      <c r="AV761" s="4"/>
      <c r="AW761" s="4"/>
      <c r="AX761" s="4"/>
      <c r="AY761" s="4"/>
      <c r="AZ761" s="4"/>
      <c r="BA761" s="4"/>
      <c r="BB761" s="4"/>
      <c r="BC761" s="4"/>
      <c r="BD761" s="5"/>
      <c r="BE761" s="4"/>
      <c r="BF761" s="4"/>
      <c r="BG761" s="4"/>
      <c r="BH761" s="4"/>
      <c r="BI761" s="4"/>
      <c r="BJ761" s="4"/>
      <c r="BK761" s="4"/>
      <c r="BL761" s="4"/>
      <c r="BM761" s="4"/>
      <c r="BN761" s="4"/>
      <c r="BO761" s="4"/>
      <c r="BP761" s="4"/>
      <c r="BQ761" s="4"/>
      <c r="BR761" s="4"/>
      <c r="BS761" s="4"/>
    </row>
    <row r="762" spans="1:7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c r="AG762" s="3"/>
      <c r="AH762" s="4"/>
      <c r="AI762" s="4"/>
      <c r="AJ762" s="4"/>
      <c r="AK762" s="4"/>
      <c r="AL762" s="4"/>
      <c r="AM762" s="4"/>
      <c r="AN762" s="4"/>
      <c r="AO762" s="4"/>
      <c r="AP762" s="4"/>
      <c r="AQ762" s="4"/>
      <c r="AR762" s="4"/>
      <c r="AS762" s="4"/>
      <c r="AT762" s="4"/>
      <c r="AU762" s="4"/>
      <c r="AV762" s="4"/>
      <c r="AW762" s="4"/>
      <c r="AX762" s="4"/>
      <c r="AY762" s="4"/>
      <c r="AZ762" s="4"/>
      <c r="BA762" s="4"/>
      <c r="BB762" s="4"/>
      <c r="BC762" s="4"/>
      <c r="BD762" s="5"/>
      <c r="BE762" s="4"/>
      <c r="BF762" s="4"/>
      <c r="BG762" s="4"/>
      <c r="BH762" s="4"/>
      <c r="BI762" s="4"/>
      <c r="BJ762" s="4"/>
      <c r="BK762" s="4"/>
      <c r="BL762" s="4"/>
      <c r="BM762" s="4"/>
      <c r="BN762" s="4"/>
      <c r="BO762" s="4"/>
      <c r="BP762" s="4"/>
      <c r="BQ762" s="4"/>
      <c r="BR762" s="4"/>
      <c r="BS762" s="4"/>
    </row>
    <row r="763" spans="1:7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c r="AG763" s="3"/>
      <c r="AH763" s="4"/>
      <c r="AI763" s="4"/>
      <c r="AJ763" s="4"/>
      <c r="AK763" s="4"/>
      <c r="AL763" s="4"/>
      <c r="AM763" s="4"/>
      <c r="AN763" s="4"/>
      <c r="AO763" s="4"/>
      <c r="AP763" s="4"/>
      <c r="AQ763" s="4"/>
      <c r="AR763" s="4"/>
      <c r="AS763" s="4"/>
      <c r="AT763" s="4"/>
      <c r="AU763" s="4"/>
      <c r="AV763" s="4"/>
      <c r="AW763" s="4"/>
      <c r="AX763" s="4"/>
      <c r="AY763" s="4"/>
      <c r="AZ763" s="4"/>
      <c r="BA763" s="4"/>
      <c r="BB763" s="4"/>
      <c r="BC763" s="4"/>
      <c r="BD763" s="5"/>
      <c r="BE763" s="4"/>
      <c r="BF763" s="4"/>
      <c r="BG763" s="4"/>
      <c r="BH763" s="4"/>
      <c r="BI763" s="4"/>
      <c r="BJ763" s="4"/>
      <c r="BK763" s="4"/>
      <c r="BL763" s="4"/>
      <c r="BM763" s="4"/>
      <c r="BN763" s="4"/>
      <c r="BO763" s="4"/>
      <c r="BP763" s="4"/>
      <c r="BQ763" s="4"/>
      <c r="BR763" s="4"/>
      <c r="BS763" s="4"/>
    </row>
    <row r="764" spans="1:7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c r="AG764" s="3"/>
      <c r="AH764" s="4"/>
      <c r="AI764" s="4"/>
      <c r="AJ764" s="4"/>
      <c r="AK764" s="4"/>
      <c r="AL764" s="4"/>
      <c r="AM764" s="4"/>
      <c r="AN764" s="4"/>
      <c r="AO764" s="4"/>
      <c r="AP764" s="4"/>
      <c r="AQ764" s="4"/>
      <c r="AR764" s="4"/>
      <c r="AS764" s="4"/>
      <c r="AT764" s="4"/>
      <c r="AU764" s="4"/>
      <c r="AV764" s="4"/>
      <c r="AW764" s="4"/>
      <c r="AX764" s="4"/>
      <c r="AY764" s="4"/>
      <c r="AZ764" s="4"/>
      <c r="BA764" s="4"/>
      <c r="BB764" s="4"/>
      <c r="BC764" s="4"/>
      <c r="BD764" s="5"/>
      <c r="BE764" s="4"/>
      <c r="BF764" s="4"/>
      <c r="BG764" s="4"/>
      <c r="BH764" s="4"/>
      <c r="BI764" s="4"/>
      <c r="BJ764" s="4"/>
      <c r="BK764" s="4"/>
      <c r="BL764" s="4"/>
      <c r="BM764" s="4"/>
      <c r="BN764" s="4"/>
      <c r="BO764" s="4"/>
      <c r="BP764" s="4"/>
      <c r="BQ764" s="4"/>
      <c r="BR764" s="4"/>
      <c r="BS764" s="4"/>
    </row>
    <row r="765" spans="1:7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c r="AG765" s="3"/>
      <c r="AH765" s="4"/>
      <c r="AI765" s="4"/>
      <c r="AJ765" s="4"/>
      <c r="AK765" s="4"/>
      <c r="AL765" s="4"/>
      <c r="AM765" s="4"/>
      <c r="AN765" s="4"/>
      <c r="AO765" s="4"/>
      <c r="AP765" s="4"/>
      <c r="AQ765" s="4"/>
      <c r="AR765" s="4"/>
      <c r="AS765" s="4"/>
      <c r="AT765" s="4"/>
      <c r="AU765" s="4"/>
      <c r="AV765" s="4"/>
      <c r="AW765" s="4"/>
      <c r="AX765" s="4"/>
      <c r="AY765" s="4"/>
      <c r="AZ765" s="4"/>
      <c r="BA765" s="4"/>
      <c r="BB765" s="4"/>
      <c r="BC765" s="4"/>
      <c r="BD765" s="5"/>
      <c r="BE765" s="4"/>
      <c r="BF765" s="4"/>
      <c r="BG765" s="4"/>
      <c r="BH765" s="4"/>
      <c r="BI765" s="4"/>
      <c r="BJ765" s="4"/>
      <c r="BK765" s="4"/>
      <c r="BL765" s="4"/>
      <c r="BM765" s="4"/>
      <c r="BN765" s="4"/>
      <c r="BO765" s="4"/>
      <c r="BP765" s="4"/>
      <c r="BQ765" s="4"/>
      <c r="BR765" s="4"/>
      <c r="BS765" s="4"/>
    </row>
    <row r="766" spans="1:7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c r="AG766" s="3"/>
      <c r="AH766" s="4"/>
      <c r="AI766" s="4"/>
      <c r="AJ766" s="4"/>
      <c r="AK766" s="4"/>
      <c r="AL766" s="4"/>
      <c r="AM766" s="4"/>
      <c r="AN766" s="4"/>
      <c r="AO766" s="4"/>
      <c r="AP766" s="4"/>
      <c r="AQ766" s="4"/>
      <c r="AR766" s="4"/>
      <c r="AS766" s="4"/>
      <c r="AT766" s="4"/>
      <c r="AU766" s="4"/>
      <c r="AV766" s="4"/>
      <c r="AW766" s="4"/>
      <c r="AX766" s="4"/>
      <c r="AY766" s="4"/>
      <c r="AZ766" s="4"/>
      <c r="BA766" s="4"/>
      <c r="BB766" s="4"/>
      <c r="BC766" s="4"/>
      <c r="BD766" s="5"/>
      <c r="BE766" s="4"/>
      <c r="BF766" s="4"/>
      <c r="BG766" s="4"/>
      <c r="BH766" s="4"/>
      <c r="BI766" s="4"/>
      <c r="BJ766" s="4"/>
      <c r="BK766" s="4"/>
      <c r="BL766" s="4"/>
      <c r="BM766" s="4"/>
      <c r="BN766" s="4"/>
      <c r="BO766" s="4"/>
      <c r="BP766" s="4"/>
      <c r="BQ766" s="4"/>
      <c r="BR766" s="4"/>
      <c r="BS766" s="4"/>
    </row>
    <row r="767" spans="1:7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c r="AG767" s="3"/>
      <c r="AH767" s="4"/>
      <c r="AI767" s="4"/>
      <c r="AJ767" s="4"/>
      <c r="AK767" s="4"/>
      <c r="AL767" s="4"/>
      <c r="AM767" s="4"/>
      <c r="AN767" s="4"/>
      <c r="AO767" s="4"/>
      <c r="AP767" s="4"/>
      <c r="AQ767" s="4"/>
      <c r="AR767" s="4"/>
      <c r="AS767" s="4"/>
      <c r="AT767" s="4"/>
      <c r="AU767" s="4"/>
      <c r="AV767" s="4"/>
      <c r="AW767" s="4"/>
      <c r="AX767" s="4"/>
      <c r="AY767" s="4"/>
      <c r="AZ767" s="4"/>
      <c r="BA767" s="4"/>
      <c r="BB767" s="4"/>
      <c r="BC767" s="4"/>
      <c r="BD767" s="5"/>
      <c r="BE767" s="4"/>
      <c r="BF767" s="4"/>
      <c r="BG767" s="4"/>
      <c r="BH767" s="4"/>
      <c r="BI767" s="4"/>
      <c r="BJ767" s="4"/>
      <c r="BK767" s="4"/>
      <c r="BL767" s="4"/>
      <c r="BM767" s="4"/>
      <c r="BN767" s="4"/>
      <c r="BO767" s="4"/>
      <c r="BP767" s="4"/>
      <c r="BQ767" s="4"/>
      <c r="BR767" s="4"/>
      <c r="BS767" s="4"/>
    </row>
    <row r="768" spans="1:7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c r="AG768" s="3"/>
      <c r="AH768" s="4"/>
      <c r="AI768" s="4"/>
      <c r="AJ768" s="4"/>
      <c r="AK768" s="4"/>
      <c r="AL768" s="4"/>
      <c r="AM768" s="4"/>
      <c r="AN768" s="4"/>
      <c r="AO768" s="4"/>
      <c r="AP768" s="4"/>
      <c r="AQ768" s="4"/>
      <c r="AR768" s="4"/>
      <c r="AS768" s="4"/>
      <c r="AT768" s="4"/>
      <c r="AU768" s="4"/>
      <c r="AV768" s="4"/>
      <c r="AW768" s="4"/>
      <c r="AX768" s="4"/>
      <c r="AY768" s="4"/>
      <c r="AZ768" s="4"/>
      <c r="BA768" s="4"/>
      <c r="BB768" s="4"/>
      <c r="BC768" s="4"/>
      <c r="BD768" s="5"/>
      <c r="BE768" s="4"/>
      <c r="BF768" s="4"/>
      <c r="BG768" s="4"/>
      <c r="BH768" s="4"/>
      <c r="BI768" s="4"/>
      <c r="BJ768" s="4"/>
      <c r="BK768" s="4"/>
      <c r="BL768" s="4"/>
      <c r="BM768" s="4"/>
      <c r="BN768" s="4"/>
      <c r="BO768" s="4"/>
      <c r="BP768" s="4"/>
      <c r="BQ768" s="4"/>
      <c r="BR768" s="4"/>
      <c r="BS768" s="4"/>
    </row>
    <row r="769" spans="1:7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c r="AG769" s="3"/>
      <c r="AH769" s="4"/>
      <c r="AI769" s="4"/>
      <c r="AJ769" s="4"/>
      <c r="AK769" s="4"/>
      <c r="AL769" s="4"/>
      <c r="AM769" s="4"/>
      <c r="AN769" s="4"/>
      <c r="AO769" s="4"/>
      <c r="AP769" s="4"/>
      <c r="AQ769" s="4"/>
      <c r="AR769" s="4"/>
      <c r="AS769" s="4"/>
      <c r="AT769" s="4"/>
      <c r="AU769" s="4"/>
      <c r="AV769" s="4"/>
      <c r="AW769" s="4"/>
      <c r="AX769" s="4"/>
      <c r="AY769" s="4"/>
      <c r="AZ769" s="4"/>
      <c r="BA769" s="4"/>
      <c r="BB769" s="4"/>
      <c r="BC769" s="4"/>
      <c r="BD769" s="5"/>
      <c r="BE769" s="4"/>
      <c r="BF769" s="4"/>
      <c r="BG769" s="4"/>
      <c r="BH769" s="4"/>
      <c r="BI769" s="4"/>
      <c r="BJ769" s="4"/>
      <c r="BK769" s="4"/>
      <c r="BL769" s="4"/>
      <c r="BM769" s="4"/>
      <c r="BN769" s="4"/>
      <c r="BO769" s="4"/>
      <c r="BP769" s="4"/>
      <c r="BQ769" s="4"/>
      <c r="BR769" s="4"/>
      <c r="BS769" s="4"/>
    </row>
    <row r="770" spans="1:7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c r="AG770" s="3"/>
      <c r="AH770" s="4"/>
      <c r="AI770" s="4"/>
      <c r="AJ770" s="4"/>
      <c r="AK770" s="4"/>
      <c r="AL770" s="4"/>
      <c r="AM770" s="4"/>
      <c r="AN770" s="4"/>
      <c r="AO770" s="4"/>
      <c r="AP770" s="4"/>
      <c r="AQ770" s="4"/>
      <c r="AR770" s="4"/>
      <c r="AS770" s="4"/>
      <c r="AT770" s="4"/>
      <c r="AU770" s="4"/>
      <c r="AV770" s="4"/>
      <c r="AW770" s="4"/>
      <c r="AX770" s="4"/>
      <c r="AY770" s="4"/>
      <c r="AZ770" s="4"/>
      <c r="BA770" s="4"/>
      <c r="BB770" s="4"/>
      <c r="BC770" s="4"/>
      <c r="BD770" s="5"/>
      <c r="BE770" s="4"/>
      <c r="BF770" s="4"/>
      <c r="BG770" s="4"/>
      <c r="BH770" s="4"/>
      <c r="BI770" s="4"/>
      <c r="BJ770" s="4"/>
      <c r="BK770" s="4"/>
      <c r="BL770" s="4"/>
      <c r="BM770" s="4"/>
      <c r="BN770" s="4"/>
      <c r="BO770" s="4"/>
      <c r="BP770" s="4"/>
      <c r="BQ770" s="4"/>
      <c r="BR770" s="4"/>
      <c r="BS770" s="4"/>
    </row>
    <row r="771" spans="1: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c r="AG771" s="3"/>
      <c r="AH771" s="4"/>
      <c r="AI771" s="4"/>
      <c r="AJ771" s="4"/>
      <c r="AK771" s="4"/>
      <c r="AL771" s="4"/>
      <c r="AM771" s="4"/>
      <c r="AN771" s="4"/>
      <c r="AO771" s="4"/>
      <c r="AP771" s="4"/>
      <c r="AQ771" s="4"/>
      <c r="AR771" s="4"/>
      <c r="AS771" s="4"/>
      <c r="AT771" s="4"/>
      <c r="AU771" s="4"/>
      <c r="AV771" s="4"/>
      <c r="AW771" s="4"/>
      <c r="AX771" s="4"/>
      <c r="AY771" s="4"/>
      <c r="AZ771" s="4"/>
      <c r="BA771" s="4"/>
      <c r="BB771" s="4"/>
      <c r="BC771" s="4"/>
      <c r="BD771" s="5"/>
      <c r="BE771" s="4"/>
      <c r="BF771" s="4"/>
      <c r="BG771" s="4"/>
      <c r="BH771" s="4"/>
      <c r="BI771" s="4"/>
      <c r="BJ771" s="4"/>
      <c r="BK771" s="4"/>
      <c r="BL771" s="4"/>
      <c r="BM771" s="4"/>
      <c r="BN771" s="4"/>
      <c r="BO771" s="4"/>
      <c r="BP771" s="4"/>
      <c r="BQ771" s="4"/>
      <c r="BR771" s="4"/>
      <c r="BS771" s="4"/>
    </row>
    <row r="772" spans="1:7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c r="AG772" s="3"/>
      <c r="AH772" s="4"/>
      <c r="AI772" s="4"/>
      <c r="AJ772" s="4"/>
      <c r="AK772" s="4"/>
      <c r="AL772" s="4"/>
      <c r="AM772" s="4"/>
      <c r="AN772" s="4"/>
      <c r="AO772" s="4"/>
      <c r="AP772" s="4"/>
      <c r="AQ772" s="4"/>
      <c r="AR772" s="4"/>
      <c r="AS772" s="4"/>
      <c r="AT772" s="4"/>
      <c r="AU772" s="4"/>
      <c r="AV772" s="4"/>
      <c r="AW772" s="4"/>
      <c r="AX772" s="4"/>
      <c r="AY772" s="4"/>
      <c r="AZ772" s="4"/>
      <c r="BA772" s="4"/>
      <c r="BB772" s="4"/>
      <c r="BC772" s="4"/>
      <c r="BD772" s="5"/>
      <c r="BE772" s="4"/>
      <c r="BF772" s="4"/>
      <c r="BG772" s="4"/>
      <c r="BH772" s="4"/>
      <c r="BI772" s="4"/>
      <c r="BJ772" s="4"/>
      <c r="BK772" s="4"/>
      <c r="BL772" s="4"/>
      <c r="BM772" s="4"/>
      <c r="BN772" s="4"/>
      <c r="BO772" s="4"/>
      <c r="BP772" s="4"/>
      <c r="BQ772" s="4"/>
      <c r="BR772" s="4"/>
      <c r="BS772" s="4"/>
    </row>
    <row r="773" spans="1:7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c r="AG773" s="3"/>
      <c r="AH773" s="4"/>
      <c r="AI773" s="4"/>
      <c r="AJ773" s="4"/>
      <c r="AK773" s="4"/>
      <c r="AL773" s="4"/>
      <c r="AM773" s="4"/>
      <c r="AN773" s="4"/>
      <c r="AO773" s="4"/>
      <c r="AP773" s="4"/>
      <c r="AQ773" s="4"/>
      <c r="AR773" s="4"/>
      <c r="AS773" s="4"/>
      <c r="AT773" s="4"/>
      <c r="AU773" s="4"/>
      <c r="AV773" s="4"/>
      <c r="AW773" s="4"/>
      <c r="AX773" s="4"/>
      <c r="AY773" s="4"/>
      <c r="AZ773" s="4"/>
      <c r="BA773" s="4"/>
      <c r="BB773" s="4"/>
      <c r="BC773" s="4"/>
      <c r="BD773" s="5"/>
      <c r="BE773" s="4"/>
      <c r="BF773" s="4"/>
      <c r="BG773" s="4"/>
      <c r="BH773" s="4"/>
      <c r="BI773" s="4"/>
      <c r="BJ773" s="4"/>
      <c r="BK773" s="4"/>
      <c r="BL773" s="4"/>
      <c r="BM773" s="4"/>
      <c r="BN773" s="4"/>
      <c r="BO773" s="4"/>
      <c r="BP773" s="4"/>
      <c r="BQ773" s="4"/>
      <c r="BR773" s="4"/>
      <c r="BS773" s="4"/>
    </row>
    <row r="774" spans="1:7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c r="AG774" s="3"/>
      <c r="AH774" s="4"/>
      <c r="AI774" s="4"/>
      <c r="AJ774" s="4"/>
      <c r="AK774" s="4"/>
      <c r="AL774" s="4"/>
      <c r="AM774" s="4"/>
      <c r="AN774" s="4"/>
      <c r="AO774" s="4"/>
      <c r="AP774" s="4"/>
      <c r="AQ774" s="4"/>
      <c r="AR774" s="4"/>
      <c r="AS774" s="4"/>
      <c r="AT774" s="4"/>
      <c r="AU774" s="4"/>
      <c r="AV774" s="4"/>
      <c r="AW774" s="4"/>
      <c r="AX774" s="4"/>
      <c r="AY774" s="4"/>
      <c r="AZ774" s="4"/>
      <c r="BA774" s="4"/>
      <c r="BB774" s="4"/>
      <c r="BC774" s="4"/>
      <c r="BD774" s="5"/>
      <c r="BE774" s="4"/>
      <c r="BF774" s="4"/>
      <c r="BG774" s="4"/>
      <c r="BH774" s="4"/>
      <c r="BI774" s="4"/>
      <c r="BJ774" s="4"/>
      <c r="BK774" s="4"/>
      <c r="BL774" s="4"/>
      <c r="BM774" s="4"/>
      <c r="BN774" s="4"/>
      <c r="BO774" s="4"/>
      <c r="BP774" s="4"/>
      <c r="BQ774" s="4"/>
      <c r="BR774" s="4"/>
      <c r="BS774" s="4"/>
    </row>
    <row r="775" spans="1:7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c r="AG775" s="3"/>
      <c r="AH775" s="4"/>
      <c r="AI775" s="4"/>
      <c r="AJ775" s="4"/>
      <c r="AK775" s="4"/>
      <c r="AL775" s="4"/>
      <c r="AM775" s="4"/>
      <c r="AN775" s="4"/>
      <c r="AO775" s="4"/>
      <c r="AP775" s="4"/>
      <c r="AQ775" s="4"/>
      <c r="AR775" s="4"/>
      <c r="AS775" s="4"/>
      <c r="AT775" s="4"/>
      <c r="AU775" s="4"/>
      <c r="AV775" s="4"/>
      <c r="AW775" s="4"/>
      <c r="AX775" s="4"/>
      <c r="AY775" s="4"/>
      <c r="AZ775" s="4"/>
      <c r="BA775" s="4"/>
      <c r="BB775" s="4"/>
      <c r="BC775" s="4"/>
      <c r="BD775" s="5"/>
      <c r="BE775" s="4"/>
      <c r="BF775" s="4"/>
      <c r="BG775" s="4"/>
      <c r="BH775" s="4"/>
      <c r="BI775" s="4"/>
      <c r="BJ775" s="4"/>
      <c r="BK775" s="4"/>
      <c r="BL775" s="4"/>
      <c r="BM775" s="4"/>
      <c r="BN775" s="4"/>
      <c r="BO775" s="4"/>
      <c r="BP775" s="4"/>
      <c r="BQ775" s="4"/>
      <c r="BR775" s="4"/>
      <c r="BS775" s="4"/>
    </row>
    <row r="776" spans="1:7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c r="AG776" s="3"/>
      <c r="AH776" s="4"/>
      <c r="AI776" s="4"/>
      <c r="AJ776" s="4"/>
      <c r="AK776" s="4"/>
      <c r="AL776" s="4"/>
      <c r="AM776" s="4"/>
      <c r="AN776" s="4"/>
      <c r="AO776" s="4"/>
      <c r="AP776" s="4"/>
      <c r="AQ776" s="4"/>
      <c r="AR776" s="4"/>
      <c r="AS776" s="4"/>
      <c r="AT776" s="4"/>
      <c r="AU776" s="4"/>
      <c r="AV776" s="4"/>
      <c r="AW776" s="4"/>
      <c r="AX776" s="4"/>
      <c r="AY776" s="4"/>
      <c r="AZ776" s="4"/>
      <c r="BA776" s="4"/>
      <c r="BB776" s="4"/>
      <c r="BC776" s="4"/>
      <c r="BD776" s="5"/>
      <c r="BE776" s="4"/>
      <c r="BF776" s="4"/>
      <c r="BG776" s="4"/>
      <c r="BH776" s="4"/>
      <c r="BI776" s="4"/>
      <c r="BJ776" s="4"/>
      <c r="BK776" s="4"/>
      <c r="BL776" s="4"/>
      <c r="BM776" s="4"/>
      <c r="BN776" s="4"/>
      <c r="BO776" s="4"/>
      <c r="BP776" s="4"/>
      <c r="BQ776" s="4"/>
      <c r="BR776" s="4"/>
      <c r="BS776" s="4"/>
    </row>
    <row r="777" spans="1:7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c r="AG777" s="3"/>
      <c r="AH777" s="4"/>
      <c r="AI777" s="4"/>
      <c r="AJ777" s="4"/>
      <c r="AK777" s="4"/>
      <c r="AL777" s="4"/>
      <c r="AM777" s="4"/>
      <c r="AN777" s="4"/>
      <c r="AO777" s="4"/>
      <c r="AP777" s="4"/>
      <c r="AQ777" s="4"/>
      <c r="AR777" s="4"/>
      <c r="AS777" s="4"/>
      <c r="AT777" s="4"/>
      <c r="AU777" s="4"/>
      <c r="AV777" s="4"/>
      <c r="AW777" s="4"/>
      <c r="AX777" s="4"/>
      <c r="AY777" s="4"/>
      <c r="AZ777" s="4"/>
      <c r="BA777" s="4"/>
      <c r="BB777" s="4"/>
      <c r="BC777" s="4"/>
      <c r="BD777" s="5"/>
      <c r="BE777" s="4"/>
      <c r="BF777" s="4"/>
      <c r="BG777" s="4"/>
      <c r="BH777" s="4"/>
      <c r="BI777" s="4"/>
      <c r="BJ777" s="4"/>
      <c r="BK777" s="4"/>
      <c r="BL777" s="4"/>
      <c r="BM777" s="4"/>
      <c r="BN777" s="4"/>
      <c r="BO777" s="4"/>
      <c r="BP777" s="4"/>
      <c r="BQ777" s="4"/>
      <c r="BR777" s="4"/>
      <c r="BS777" s="4"/>
    </row>
    <row r="778" spans="1:7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c r="AG778" s="3"/>
      <c r="AH778" s="4"/>
      <c r="AI778" s="4"/>
      <c r="AJ778" s="4"/>
      <c r="AK778" s="4"/>
      <c r="AL778" s="4"/>
      <c r="AM778" s="4"/>
      <c r="AN778" s="4"/>
      <c r="AO778" s="4"/>
      <c r="AP778" s="4"/>
      <c r="AQ778" s="4"/>
      <c r="AR778" s="4"/>
      <c r="AS778" s="4"/>
      <c r="AT778" s="4"/>
      <c r="AU778" s="4"/>
      <c r="AV778" s="4"/>
      <c r="AW778" s="4"/>
      <c r="AX778" s="4"/>
      <c r="AY778" s="4"/>
      <c r="AZ778" s="4"/>
      <c r="BA778" s="4"/>
      <c r="BB778" s="4"/>
      <c r="BC778" s="4"/>
      <c r="BD778" s="5"/>
      <c r="BE778" s="4"/>
      <c r="BF778" s="4"/>
      <c r="BG778" s="4"/>
      <c r="BH778" s="4"/>
      <c r="BI778" s="4"/>
      <c r="BJ778" s="4"/>
      <c r="BK778" s="4"/>
      <c r="BL778" s="4"/>
      <c r="BM778" s="4"/>
      <c r="BN778" s="4"/>
      <c r="BO778" s="4"/>
      <c r="BP778" s="4"/>
      <c r="BQ778" s="4"/>
      <c r="BR778" s="4"/>
      <c r="BS778" s="4"/>
    </row>
    <row r="779" spans="1:7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c r="AG779" s="3"/>
      <c r="AH779" s="4"/>
      <c r="AI779" s="4"/>
      <c r="AJ779" s="4"/>
      <c r="AK779" s="4"/>
      <c r="AL779" s="4"/>
      <c r="AM779" s="4"/>
      <c r="AN779" s="4"/>
      <c r="AO779" s="4"/>
      <c r="AP779" s="4"/>
      <c r="AQ779" s="4"/>
      <c r="AR779" s="4"/>
      <c r="AS779" s="4"/>
      <c r="AT779" s="4"/>
      <c r="AU779" s="4"/>
      <c r="AV779" s="4"/>
      <c r="AW779" s="4"/>
      <c r="AX779" s="4"/>
      <c r="AY779" s="4"/>
      <c r="AZ779" s="4"/>
      <c r="BA779" s="4"/>
      <c r="BB779" s="4"/>
      <c r="BC779" s="4"/>
      <c r="BD779" s="5"/>
      <c r="BE779" s="4"/>
      <c r="BF779" s="4"/>
      <c r="BG779" s="4"/>
      <c r="BH779" s="4"/>
      <c r="BI779" s="4"/>
      <c r="BJ779" s="4"/>
      <c r="BK779" s="4"/>
      <c r="BL779" s="4"/>
      <c r="BM779" s="4"/>
      <c r="BN779" s="4"/>
      <c r="BO779" s="4"/>
      <c r="BP779" s="4"/>
      <c r="BQ779" s="4"/>
      <c r="BR779" s="4"/>
      <c r="BS779" s="4"/>
    </row>
    <row r="780" spans="1:7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c r="AG780" s="3"/>
      <c r="AH780" s="4"/>
      <c r="AI780" s="4"/>
      <c r="AJ780" s="4"/>
      <c r="AK780" s="4"/>
      <c r="AL780" s="4"/>
      <c r="AM780" s="4"/>
      <c r="AN780" s="4"/>
      <c r="AO780" s="4"/>
      <c r="AP780" s="4"/>
      <c r="AQ780" s="4"/>
      <c r="AR780" s="4"/>
      <c r="AS780" s="4"/>
      <c r="AT780" s="4"/>
      <c r="AU780" s="4"/>
      <c r="AV780" s="4"/>
      <c r="AW780" s="4"/>
      <c r="AX780" s="4"/>
      <c r="AY780" s="4"/>
      <c r="AZ780" s="4"/>
      <c r="BA780" s="4"/>
      <c r="BB780" s="4"/>
      <c r="BC780" s="4"/>
      <c r="BD780" s="5"/>
      <c r="BE780" s="4"/>
      <c r="BF780" s="4"/>
      <c r="BG780" s="4"/>
      <c r="BH780" s="4"/>
      <c r="BI780" s="4"/>
      <c r="BJ780" s="4"/>
      <c r="BK780" s="4"/>
      <c r="BL780" s="4"/>
      <c r="BM780" s="4"/>
      <c r="BN780" s="4"/>
      <c r="BO780" s="4"/>
      <c r="BP780" s="4"/>
      <c r="BQ780" s="4"/>
      <c r="BR780" s="4"/>
      <c r="BS780" s="4"/>
    </row>
    <row r="781" spans="1:7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c r="AG781" s="3"/>
      <c r="AH781" s="4"/>
      <c r="AI781" s="4"/>
      <c r="AJ781" s="4"/>
      <c r="AK781" s="4"/>
      <c r="AL781" s="4"/>
      <c r="AM781" s="4"/>
      <c r="AN781" s="4"/>
      <c r="AO781" s="4"/>
      <c r="AP781" s="4"/>
      <c r="AQ781" s="4"/>
      <c r="AR781" s="4"/>
      <c r="AS781" s="4"/>
      <c r="AT781" s="4"/>
      <c r="AU781" s="4"/>
      <c r="AV781" s="4"/>
      <c r="AW781" s="4"/>
      <c r="AX781" s="4"/>
      <c r="AY781" s="4"/>
      <c r="AZ781" s="4"/>
      <c r="BA781" s="4"/>
      <c r="BB781" s="4"/>
      <c r="BC781" s="4"/>
      <c r="BD781" s="5"/>
      <c r="BE781" s="4"/>
      <c r="BF781" s="4"/>
      <c r="BG781" s="4"/>
      <c r="BH781" s="4"/>
      <c r="BI781" s="4"/>
      <c r="BJ781" s="4"/>
      <c r="BK781" s="4"/>
      <c r="BL781" s="4"/>
      <c r="BM781" s="4"/>
      <c r="BN781" s="4"/>
      <c r="BO781" s="4"/>
      <c r="BP781" s="4"/>
      <c r="BQ781" s="4"/>
      <c r="BR781" s="4"/>
      <c r="BS781" s="4"/>
    </row>
    <row r="782" spans="1:7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c r="AG782" s="3"/>
      <c r="AH782" s="4"/>
      <c r="AI782" s="4"/>
      <c r="AJ782" s="4"/>
      <c r="AK782" s="4"/>
      <c r="AL782" s="4"/>
      <c r="AM782" s="4"/>
      <c r="AN782" s="4"/>
      <c r="AO782" s="4"/>
      <c r="AP782" s="4"/>
      <c r="AQ782" s="4"/>
      <c r="AR782" s="4"/>
      <c r="AS782" s="4"/>
      <c r="AT782" s="4"/>
      <c r="AU782" s="4"/>
      <c r="AV782" s="4"/>
      <c r="AW782" s="4"/>
      <c r="AX782" s="4"/>
      <c r="AY782" s="4"/>
      <c r="AZ782" s="4"/>
      <c r="BA782" s="4"/>
      <c r="BB782" s="4"/>
      <c r="BC782" s="4"/>
      <c r="BD782" s="5"/>
      <c r="BE782" s="4"/>
      <c r="BF782" s="4"/>
      <c r="BG782" s="4"/>
      <c r="BH782" s="4"/>
      <c r="BI782" s="4"/>
      <c r="BJ782" s="4"/>
      <c r="BK782" s="4"/>
      <c r="BL782" s="4"/>
      <c r="BM782" s="4"/>
      <c r="BN782" s="4"/>
      <c r="BO782" s="4"/>
      <c r="BP782" s="4"/>
      <c r="BQ782" s="4"/>
      <c r="BR782" s="4"/>
      <c r="BS782" s="4"/>
    </row>
    <row r="783" spans="1:7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c r="AG783" s="3"/>
      <c r="AH783" s="4"/>
      <c r="AI783" s="4"/>
      <c r="AJ783" s="4"/>
      <c r="AK783" s="4"/>
      <c r="AL783" s="4"/>
      <c r="AM783" s="4"/>
      <c r="AN783" s="4"/>
      <c r="AO783" s="4"/>
      <c r="AP783" s="4"/>
      <c r="AQ783" s="4"/>
      <c r="AR783" s="4"/>
      <c r="AS783" s="4"/>
      <c r="AT783" s="4"/>
      <c r="AU783" s="4"/>
      <c r="AV783" s="4"/>
      <c r="AW783" s="4"/>
      <c r="AX783" s="4"/>
      <c r="AY783" s="4"/>
      <c r="AZ783" s="4"/>
      <c r="BA783" s="4"/>
      <c r="BB783" s="4"/>
      <c r="BC783" s="4"/>
      <c r="BD783" s="5"/>
      <c r="BE783" s="4"/>
      <c r="BF783" s="4"/>
      <c r="BG783" s="4"/>
      <c r="BH783" s="4"/>
      <c r="BI783" s="4"/>
      <c r="BJ783" s="4"/>
      <c r="BK783" s="4"/>
      <c r="BL783" s="4"/>
      <c r="BM783" s="4"/>
      <c r="BN783" s="4"/>
      <c r="BO783" s="4"/>
      <c r="BP783" s="4"/>
      <c r="BQ783" s="4"/>
      <c r="BR783" s="4"/>
      <c r="BS783" s="4"/>
    </row>
    <row r="784" spans="1:7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c r="AG784" s="3"/>
      <c r="AH784" s="4"/>
      <c r="AI784" s="4"/>
      <c r="AJ784" s="4"/>
      <c r="AK784" s="4"/>
      <c r="AL784" s="4"/>
      <c r="AM784" s="4"/>
      <c r="AN784" s="4"/>
      <c r="AO784" s="4"/>
      <c r="AP784" s="4"/>
      <c r="AQ784" s="4"/>
      <c r="AR784" s="4"/>
      <c r="AS784" s="4"/>
      <c r="AT784" s="4"/>
      <c r="AU784" s="4"/>
      <c r="AV784" s="4"/>
      <c r="AW784" s="4"/>
      <c r="AX784" s="4"/>
      <c r="AY784" s="4"/>
      <c r="AZ784" s="4"/>
      <c r="BA784" s="4"/>
      <c r="BB784" s="4"/>
      <c r="BC784" s="4"/>
      <c r="BD784" s="5"/>
      <c r="BE784" s="4"/>
      <c r="BF784" s="4"/>
      <c r="BG784" s="4"/>
      <c r="BH784" s="4"/>
      <c r="BI784" s="4"/>
      <c r="BJ784" s="4"/>
      <c r="BK784" s="4"/>
      <c r="BL784" s="4"/>
      <c r="BM784" s="4"/>
      <c r="BN784" s="4"/>
      <c r="BO784" s="4"/>
      <c r="BP784" s="4"/>
      <c r="BQ784" s="4"/>
      <c r="BR784" s="4"/>
      <c r="BS784" s="4"/>
    </row>
    <row r="785" spans="1:7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c r="AG785" s="3"/>
      <c r="AH785" s="4"/>
      <c r="AI785" s="4"/>
      <c r="AJ785" s="4"/>
      <c r="AK785" s="4"/>
      <c r="AL785" s="4"/>
      <c r="AM785" s="4"/>
      <c r="AN785" s="4"/>
      <c r="AO785" s="4"/>
      <c r="AP785" s="4"/>
      <c r="AQ785" s="4"/>
      <c r="AR785" s="4"/>
      <c r="AS785" s="4"/>
      <c r="AT785" s="4"/>
      <c r="AU785" s="4"/>
      <c r="AV785" s="4"/>
      <c r="AW785" s="4"/>
      <c r="AX785" s="4"/>
      <c r="AY785" s="4"/>
      <c r="AZ785" s="4"/>
      <c r="BA785" s="4"/>
      <c r="BB785" s="4"/>
      <c r="BC785" s="4"/>
      <c r="BD785" s="5"/>
      <c r="BE785" s="4"/>
      <c r="BF785" s="4"/>
      <c r="BG785" s="4"/>
      <c r="BH785" s="4"/>
      <c r="BI785" s="4"/>
      <c r="BJ785" s="4"/>
      <c r="BK785" s="4"/>
      <c r="BL785" s="4"/>
      <c r="BM785" s="4"/>
      <c r="BN785" s="4"/>
      <c r="BO785" s="4"/>
      <c r="BP785" s="4"/>
      <c r="BQ785" s="4"/>
      <c r="BR785" s="4"/>
      <c r="BS785" s="4"/>
    </row>
    <row r="786" spans="1:7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c r="AG786" s="3"/>
      <c r="AH786" s="4"/>
      <c r="AI786" s="4"/>
      <c r="AJ786" s="4"/>
      <c r="AK786" s="4"/>
      <c r="AL786" s="4"/>
      <c r="AM786" s="4"/>
      <c r="AN786" s="4"/>
      <c r="AO786" s="4"/>
      <c r="AP786" s="4"/>
      <c r="AQ786" s="4"/>
      <c r="AR786" s="4"/>
      <c r="AS786" s="4"/>
      <c r="AT786" s="4"/>
      <c r="AU786" s="4"/>
      <c r="AV786" s="4"/>
      <c r="AW786" s="4"/>
      <c r="AX786" s="4"/>
      <c r="AY786" s="4"/>
      <c r="AZ786" s="4"/>
      <c r="BA786" s="4"/>
      <c r="BB786" s="4"/>
      <c r="BC786" s="4"/>
      <c r="BD786" s="5"/>
      <c r="BE786" s="4"/>
      <c r="BF786" s="4"/>
      <c r="BG786" s="4"/>
      <c r="BH786" s="4"/>
      <c r="BI786" s="4"/>
      <c r="BJ786" s="4"/>
      <c r="BK786" s="4"/>
      <c r="BL786" s="4"/>
      <c r="BM786" s="4"/>
      <c r="BN786" s="4"/>
      <c r="BO786" s="4"/>
      <c r="BP786" s="4"/>
      <c r="BQ786" s="4"/>
      <c r="BR786" s="4"/>
      <c r="BS786" s="4"/>
    </row>
    <row r="787" spans="1:7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c r="AG787" s="3"/>
      <c r="AH787" s="4"/>
      <c r="AI787" s="4"/>
      <c r="AJ787" s="4"/>
      <c r="AK787" s="4"/>
      <c r="AL787" s="4"/>
      <c r="AM787" s="4"/>
      <c r="AN787" s="4"/>
      <c r="AO787" s="4"/>
      <c r="AP787" s="4"/>
      <c r="AQ787" s="4"/>
      <c r="AR787" s="4"/>
      <c r="AS787" s="4"/>
      <c r="AT787" s="4"/>
      <c r="AU787" s="4"/>
      <c r="AV787" s="4"/>
      <c r="AW787" s="4"/>
      <c r="AX787" s="4"/>
      <c r="AY787" s="4"/>
      <c r="AZ787" s="4"/>
      <c r="BA787" s="4"/>
      <c r="BB787" s="4"/>
      <c r="BC787" s="4"/>
      <c r="BD787" s="5"/>
      <c r="BE787" s="4"/>
      <c r="BF787" s="4"/>
      <c r="BG787" s="4"/>
      <c r="BH787" s="4"/>
      <c r="BI787" s="4"/>
      <c r="BJ787" s="4"/>
      <c r="BK787" s="4"/>
      <c r="BL787" s="4"/>
      <c r="BM787" s="4"/>
      <c r="BN787" s="4"/>
      <c r="BO787" s="4"/>
      <c r="BP787" s="4"/>
      <c r="BQ787" s="4"/>
      <c r="BR787" s="4"/>
      <c r="BS787" s="4"/>
    </row>
    <row r="788" spans="1:7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c r="AG788" s="3"/>
      <c r="AH788" s="4"/>
      <c r="AI788" s="4"/>
      <c r="AJ788" s="4"/>
      <c r="AK788" s="4"/>
      <c r="AL788" s="4"/>
      <c r="AM788" s="4"/>
      <c r="AN788" s="4"/>
      <c r="AO788" s="4"/>
      <c r="AP788" s="4"/>
      <c r="AQ788" s="4"/>
      <c r="AR788" s="4"/>
      <c r="AS788" s="4"/>
      <c r="AT788" s="4"/>
      <c r="AU788" s="4"/>
      <c r="AV788" s="4"/>
      <c r="AW788" s="4"/>
      <c r="AX788" s="4"/>
      <c r="AY788" s="4"/>
      <c r="AZ788" s="4"/>
      <c r="BA788" s="4"/>
      <c r="BB788" s="4"/>
      <c r="BC788" s="4"/>
      <c r="BD788" s="5"/>
      <c r="BE788" s="4"/>
      <c r="BF788" s="4"/>
      <c r="BG788" s="4"/>
      <c r="BH788" s="4"/>
      <c r="BI788" s="4"/>
      <c r="BJ788" s="4"/>
      <c r="BK788" s="4"/>
      <c r="BL788" s="4"/>
      <c r="BM788" s="4"/>
      <c r="BN788" s="4"/>
      <c r="BO788" s="4"/>
      <c r="BP788" s="4"/>
      <c r="BQ788" s="4"/>
      <c r="BR788" s="4"/>
      <c r="BS788" s="4"/>
    </row>
    <row r="789" spans="1:7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c r="AG789" s="3"/>
      <c r="AH789" s="4"/>
      <c r="AI789" s="4"/>
      <c r="AJ789" s="4"/>
      <c r="AK789" s="4"/>
      <c r="AL789" s="4"/>
      <c r="AM789" s="4"/>
      <c r="AN789" s="4"/>
      <c r="AO789" s="4"/>
      <c r="AP789" s="4"/>
      <c r="AQ789" s="4"/>
      <c r="AR789" s="4"/>
      <c r="AS789" s="4"/>
      <c r="AT789" s="4"/>
      <c r="AU789" s="4"/>
      <c r="AV789" s="4"/>
      <c r="AW789" s="4"/>
      <c r="AX789" s="4"/>
      <c r="AY789" s="4"/>
      <c r="AZ789" s="4"/>
      <c r="BA789" s="4"/>
      <c r="BB789" s="4"/>
      <c r="BC789" s="4"/>
      <c r="BD789" s="5"/>
      <c r="BE789" s="4"/>
      <c r="BF789" s="4"/>
      <c r="BG789" s="4"/>
      <c r="BH789" s="4"/>
      <c r="BI789" s="4"/>
      <c r="BJ789" s="4"/>
      <c r="BK789" s="4"/>
      <c r="BL789" s="4"/>
      <c r="BM789" s="4"/>
      <c r="BN789" s="4"/>
      <c r="BO789" s="4"/>
      <c r="BP789" s="4"/>
      <c r="BQ789" s="4"/>
      <c r="BR789" s="4"/>
      <c r="BS789" s="4"/>
    </row>
    <row r="790" spans="1:7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c r="AG790" s="3"/>
      <c r="AH790" s="4"/>
      <c r="AI790" s="4"/>
      <c r="AJ790" s="4"/>
      <c r="AK790" s="4"/>
      <c r="AL790" s="4"/>
      <c r="AM790" s="4"/>
      <c r="AN790" s="4"/>
      <c r="AO790" s="4"/>
      <c r="AP790" s="4"/>
      <c r="AQ790" s="4"/>
      <c r="AR790" s="4"/>
      <c r="AS790" s="4"/>
      <c r="AT790" s="4"/>
      <c r="AU790" s="4"/>
      <c r="AV790" s="4"/>
      <c r="AW790" s="4"/>
      <c r="AX790" s="4"/>
      <c r="AY790" s="4"/>
      <c r="AZ790" s="4"/>
      <c r="BA790" s="4"/>
      <c r="BB790" s="4"/>
      <c r="BC790" s="4"/>
      <c r="BD790" s="5"/>
      <c r="BE790" s="4"/>
      <c r="BF790" s="4"/>
      <c r="BG790" s="4"/>
      <c r="BH790" s="4"/>
      <c r="BI790" s="4"/>
      <c r="BJ790" s="4"/>
      <c r="BK790" s="4"/>
      <c r="BL790" s="4"/>
      <c r="BM790" s="4"/>
      <c r="BN790" s="4"/>
      <c r="BO790" s="4"/>
      <c r="BP790" s="4"/>
      <c r="BQ790" s="4"/>
      <c r="BR790" s="4"/>
      <c r="BS790" s="4"/>
    </row>
    <row r="791" spans="1:7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c r="AG791" s="3"/>
      <c r="AH791" s="4"/>
      <c r="AI791" s="4"/>
      <c r="AJ791" s="4"/>
      <c r="AK791" s="4"/>
      <c r="AL791" s="4"/>
      <c r="AM791" s="4"/>
      <c r="AN791" s="4"/>
      <c r="AO791" s="4"/>
      <c r="AP791" s="4"/>
      <c r="AQ791" s="4"/>
      <c r="AR791" s="4"/>
      <c r="AS791" s="4"/>
      <c r="AT791" s="4"/>
      <c r="AU791" s="4"/>
      <c r="AV791" s="4"/>
      <c r="AW791" s="4"/>
      <c r="AX791" s="4"/>
      <c r="AY791" s="4"/>
      <c r="AZ791" s="4"/>
      <c r="BA791" s="4"/>
      <c r="BB791" s="4"/>
      <c r="BC791" s="4"/>
      <c r="BD791" s="5"/>
      <c r="BE791" s="4"/>
      <c r="BF791" s="4"/>
      <c r="BG791" s="4"/>
      <c r="BH791" s="4"/>
      <c r="BI791" s="4"/>
      <c r="BJ791" s="4"/>
      <c r="BK791" s="4"/>
      <c r="BL791" s="4"/>
      <c r="BM791" s="4"/>
      <c r="BN791" s="4"/>
      <c r="BO791" s="4"/>
      <c r="BP791" s="4"/>
      <c r="BQ791" s="4"/>
      <c r="BR791" s="4"/>
      <c r="BS791" s="4"/>
    </row>
    <row r="792" spans="1:7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c r="AG792" s="3"/>
      <c r="AH792" s="4"/>
      <c r="AI792" s="4"/>
      <c r="AJ792" s="4"/>
      <c r="AK792" s="4"/>
      <c r="AL792" s="4"/>
      <c r="AM792" s="4"/>
      <c r="AN792" s="4"/>
      <c r="AO792" s="4"/>
      <c r="AP792" s="4"/>
      <c r="AQ792" s="4"/>
      <c r="AR792" s="4"/>
      <c r="AS792" s="4"/>
      <c r="AT792" s="4"/>
      <c r="AU792" s="4"/>
      <c r="AV792" s="4"/>
      <c r="AW792" s="4"/>
      <c r="AX792" s="4"/>
      <c r="AY792" s="4"/>
      <c r="AZ792" s="4"/>
      <c r="BA792" s="4"/>
      <c r="BB792" s="4"/>
      <c r="BC792" s="4"/>
      <c r="BD792" s="5"/>
      <c r="BE792" s="4"/>
      <c r="BF792" s="4"/>
      <c r="BG792" s="4"/>
      <c r="BH792" s="4"/>
      <c r="BI792" s="4"/>
      <c r="BJ792" s="4"/>
      <c r="BK792" s="4"/>
      <c r="BL792" s="4"/>
      <c r="BM792" s="4"/>
      <c r="BN792" s="4"/>
      <c r="BO792" s="4"/>
      <c r="BP792" s="4"/>
      <c r="BQ792" s="4"/>
      <c r="BR792" s="4"/>
      <c r="BS792" s="4"/>
    </row>
    <row r="793" spans="1:7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c r="AG793" s="3"/>
      <c r="AH793" s="4"/>
      <c r="AI793" s="4"/>
      <c r="AJ793" s="4"/>
      <c r="AK793" s="4"/>
      <c r="AL793" s="4"/>
      <c r="AM793" s="4"/>
      <c r="AN793" s="4"/>
      <c r="AO793" s="4"/>
      <c r="AP793" s="4"/>
      <c r="AQ793" s="4"/>
      <c r="AR793" s="4"/>
      <c r="AS793" s="4"/>
      <c r="AT793" s="4"/>
      <c r="AU793" s="4"/>
      <c r="AV793" s="4"/>
      <c r="AW793" s="4"/>
      <c r="AX793" s="4"/>
      <c r="AY793" s="4"/>
      <c r="AZ793" s="4"/>
      <c r="BA793" s="4"/>
      <c r="BB793" s="4"/>
      <c r="BC793" s="4"/>
      <c r="BD793" s="5"/>
      <c r="BE793" s="4"/>
      <c r="BF793" s="4"/>
      <c r="BG793" s="4"/>
      <c r="BH793" s="4"/>
      <c r="BI793" s="4"/>
      <c r="BJ793" s="4"/>
      <c r="BK793" s="4"/>
      <c r="BL793" s="4"/>
      <c r="BM793" s="4"/>
      <c r="BN793" s="4"/>
      <c r="BO793" s="4"/>
      <c r="BP793" s="4"/>
      <c r="BQ793" s="4"/>
      <c r="BR793" s="4"/>
      <c r="BS793" s="4"/>
    </row>
    <row r="794" spans="1:7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c r="AG794" s="3"/>
      <c r="AH794" s="4"/>
      <c r="AI794" s="4"/>
      <c r="AJ794" s="4"/>
      <c r="AK794" s="4"/>
      <c r="AL794" s="4"/>
      <c r="AM794" s="4"/>
      <c r="AN794" s="4"/>
      <c r="AO794" s="4"/>
      <c r="AP794" s="4"/>
      <c r="AQ794" s="4"/>
      <c r="AR794" s="4"/>
      <c r="AS794" s="4"/>
      <c r="AT794" s="4"/>
      <c r="AU794" s="4"/>
      <c r="AV794" s="4"/>
      <c r="AW794" s="4"/>
      <c r="AX794" s="4"/>
      <c r="AY794" s="4"/>
      <c r="AZ794" s="4"/>
      <c r="BA794" s="4"/>
      <c r="BB794" s="4"/>
      <c r="BC794" s="4"/>
      <c r="BD794" s="5"/>
      <c r="BE794" s="4"/>
      <c r="BF794" s="4"/>
      <c r="BG794" s="4"/>
      <c r="BH794" s="4"/>
      <c r="BI794" s="4"/>
      <c r="BJ794" s="4"/>
      <c r="BK794" s="4"/>
      <c r="BL794" s="4"/>
      <c r="BM794" s="4"/>
      <c r="BN794" s="4"/>
      <c r="BO794" s="4"/>
      <c r="BP794" s="4"/>
      <c r="BQ794" s="4"/>
      <c r="BR794" s="4"/>
      <c r="BS794" s="4"/>
    </row>
    <row r="795" spans="1:7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c r="AG795" s="3"/>
      <c r="AH795" s="4"/>
      <c r="AI795" s="4"/>
      <c r="AJ795" s="4"/>
      <c r="AK795" s="4"/>
      <c r="AL795" s="4"/>
      <c r="AM795" s="4"/>
      <c r="AN795" s="4"/>
      <c r="AO795" s="4"/>
      <c r="AP795" s="4"/>
      <c r="AQ795" s="4"/>
      <c r="AR795" s="4"/>
      <c r="AS795" s="4"/>
      <c r="AT795" s="4"/>
      <c r="AU795" s="4"/>
      <c r="AV795" s="4"/>
      <c r="AW795" s="4"/>
      <c r="AX795" s="4"/>
      <c r="AY795" s="4"/>
      <c r="AZ795" s="4"/>
      <c r="BA795" s="4"/>
      <c r="BB795" s="4"/>
      <c r="BC795" s="4"/>
      <c r="BD795" s="5"/>
      <c r="BE795" s="4"/>
      <c r="BF795" s="4"/>
      <c r="BG795" s="4"/>
      <c r="BH795" s="4"/>
      <c r="BI795" s="4"/>
      <c r="BJ795" s="4"/>
      <c r="BK795" s="4"/>
      <c r="BL795" s="4"/>
      <c r="BM795" s="4"/>
      <c r="BN795" s="4"/>
      <c r="BO795" s="4"/>
      <c r="BP795" s="4"/>
      <c r="BQ795" s="4"/>
      <c r="BR795" s="4"/>
      <c r="BS795" s="4"/>
    </row>
    <row r="796" spans="1:7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c r="AG796" s="3"/>
      <c r="AH796" s="4"/>
      <c r="AI796" s="4"/>
      <c r="AJ796" s="4"/>
      <c r="AK796" s="4"/>
      <c r="AL796" s="4"/>
      <c r="AM796" s="4"/>
      <c r="AN796" s="4"/>
      <c r="AO796" s="4"/>
      <c r="AP796" s="4"/>
      <c r="AQ796" s="4"/>
      <c r="AR796" s="4"/>
      <c r="AS796" s="4"/>
      <c r="AT796" s="4"/>
      <c r="AU796" s="4"/>
      <c r="AV796" s="4"/>
      <c r="AW796" s="4"/>
      <c r="AX796" s="4"/>
      <c r="AY796" s="4"/>
      <c r="AZ796" s="4"/>
      <c r="BA796" s="4"/>
      <c r="BB796" s="4"/>
      <c r="BC796" s="4"/>
      <c r="BD796" s="5"/>
      <c r="BE796" s="4"/>
      <c r="BF796" s="4"/>
      <c r="BG796" s="4"/>
      <c r="BH796" s="4"/>
      <c r="BI796" s="4"/>
      <c r="BJ796" s="4"/>
      <c r="BK796" s="4"/>
      <c r="BL796" s="4"/>
      <c r="BM796" s="4"/>
      <c r="BN796" s="4"/>
      <c r="BO796" s="4"/>
      <c r="BP796" s="4"/>
      <c r="BQ796" s="4"/>
      <c r="BR796" s="4"/>
      <c r="BS796" s="4"/>
    </row>
    <row r="797" spans="1:7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c r="AG797" s="3"/>
      <c r="AH797" s="4"/>
      <c r="AI797" s="4"/>
      <c r="AJ797" s="4"/>
      <c r="AK797" s="4"/>
      <c r="AL797" s="4"/>
      <c r="AM797" s="4"/>
      <c r="AN797" s="4"/>
      <c r="AO797" s="4"/>
      <c r="AP797" s="4"/>
      <c r="AQ797" s="4"/>
      <c r="AR797" s="4"/>
      <c r="AS797" s="4"/>
      <c r="AT797" s="4"/>
      <c r="AU797" s="4"/>
      <c r="AV797" s="4"/>
      <c r="AW797" s="4"/>
      <c r="AX797" s="4"/>
      <c r="AY797" s="4"/>
      <c r="AZ797" s="4"/>
      <c r="BA797" s="4"/>
      <c r="BB797" s="4"/>
      <c r="BC797" s="4"/>
      <c r="BD797" s="5"/>
      <c r="BE797" s="4"/>
      <c r="BF797" s="4"/>
      <c r="BG797" s="4"/>
      <c r="BH797" s="4"/>
      <c r="BI797" s="4"/>
      <c r="BJ797" s="4"/>
      <c r="BK797" s="4"/>
      <c r="BL797" s="4"/>
      <c r="BM797" s="4"/>
      <c r="BN797" s="4"/>
      <c r="BO797" s="4"/>
      <c r="BP797" s="4"/>
      <c r="BQ797" s="4"/>
      <c r="BR797" s="4"/>
      <c r="BS797" s="4"/>
    </row>
    <row r="798" spans="1:7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c r="AG798" s="3"/>
      <c r="AH798" s="4"/>
      <c r="AI798" s="4"/>
      <c r="AJ798" s="4"/>
      <c r="AK798" s="4"/>
      <c r="AL798" s="4"/>
      <c r="AM798" s="4"/>
      <c r="AN798" s="4"/>
      <c r="AO798" s="4"/>
      <c r="AP798" s="4"/>
      <c r="AQ798" s="4"/>
      <c r="AR798" s="4"/>
      <c r="AS798" s="4"/>
      <c r="AT798" s="4"/>
      <c r="AU798" s="4"/>
      <c r="AV798" s="4"/>
      <c r="AW798" s="4"/>
      <c r="AX798" s="4"/>
      <c r="AY798" s="4"/>
      <c r="AZ798" s="4"/>
      <c r="BA798" s="4"/>
      <c r="BB798" s="4"/>
      <c r="BC798" s="4"/>
      <c r="BD798" s="5"/>
      <c r="BE798" s="4"/>
      <c r="BF798" s="4"/>
      <c r="BG798" s="4"/>
      <c r="BH798" s="4"/>
      <c r="BI798" s="4"/>
      <c r="BJ798" s="4"/>
      <c r="BK798" s="4"/>
      <c r="BL798" s="4"/>
      <c r="BM798" s="4"/>
      <c r="BN798" s="4"/>
      <c r="BO798" s="4"/>
      <c r="BP798" s="4"/>
      <c r="BQ798" s="4"/>
      <c r="BR798" s="4"/>
      <c r="BS798" s="4"/>
    </row>
    <row r="799" spans="1:7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c r="AG799" s="3"/>
      <c r="AH799" s="4"/>
      <c r="AI799" s="4"/>
      <c r="AJ799" s="4"/>
      <c r="AK799" s="4"/>
      <c r="AL799" s="4"/>
      <c r="AM799" s="4"/>
      <c r="AN799" s="4"/>
      <c r="AO799" s="4"/>
      <c r="AP799" s="4"/>
      <c r="AQ799" s="4"/>
      <c r="AR799" s="4"/>
      <c r="AS799" s="4"/>
      <c r="AT799" s="4"/>
      <c r="AU799" s="4"/>
      <c r="AV799" s="4"/>
      <c r="AW799" s="4"/>
      <c r="AX799" s="4"/>
      <c r="AY799" s="4"/>
      <c r="AZ799" s="4"/>
      <c r="BA799" s="4"/>
      <c r="BB799" s="4"/>
      <c r="BC799" s="4"/>
      <c r="BD799" s="5"/>
      <c r="BE799" s="4"/>
      <c r="BF799" s="4"/>
      <c r="BG799" s="4"/>
      <c r="BH799" s="4"/>
      <c r="BI799" s="4"/>
      <c r="BJ799" s="4"/>
      <c r="BK799" s="4"/>
      <c r="BL799" s="4"/>
      <c r="BM799" s="4"/>
      <c r="BN799" s="4"/>
      <c r="BO799" s="4"/>
      <c r="BP799" s="4"/>
      <c r="BQ799" s="4"/>
      <c r="BR799" s="4"/>
      <c r="BS799" s="4"/>
    </row>
    <row r="800" spans="1:7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c r="AG800" s="3"/>
      <c r="AH800" s="4"/>
      <c r="AI800" s="4"/>
      <c r="AJ800" s="4"/>
      <c r="AK800" s="4"/>
      <c r="AL800" s="4"/>
      <c r="AM800" s="4"/>
      <c r="AN800" s="4"/>
      <c r="AO800" s="4"/>
      <c r="AP800" s="4"/>
      <c r="AQ800" s="4"/>
      <c r="AR800" s="4"/>
      <c r="AS800" s="4"/>
      <c r="AT800" s="4"/>
      <c r="AU800" s="4"/>
      <c r="AV800" s="4"/>
      <c r="AW800" s="4"/>
      <c r="AX800" s="4"/>
      <c r="AY800" s="4"/>
      <c r="AZ800" s="4"/>
      <c r="BA800" s="4"/>
      <c r="BB800" s="4"/>
      <c r="BC800" s="4"/>
      <c r="BD800" s="5"/>
      <c r="BE800" s="4"/>
      <c r="BF800" s="4"/>
      <c r="BG800" s="4"/>
      <c r="BH800" s="4"/>
      <c r="BI800" s="4"/>
      <c r="BJ800" s="4"/>
      <c r="BK800" s="4"/>
      <c r="BL800" s="4"/>
      <c r="BM800" s="4"/>
      <c r="BN800" s="4"/>
      <c r="BO800" s="4"/>
      <c r="BP800" s="4"/>
      <c r="BQ800" s="4"/>
      <c r="BR800" s="4"/>
      <c r="BS800" s="4"/>
    </row>
    <row r="801" spans="1:7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c r="AG801" s="3"/>
      <c r="AH801" s="4"/>
      <c r="AI801" s="4"/>
      <c r="AJ801" s="4"/>
      <c r="AK801" s="4"/>
      <c r="AL801" s="4"/>
      <c r="AM801" s="4"/>
      <c r="AN801" s="4"/>
      <c r="AO801" s="4"/>
      <c r="AP801" s="4"/>
      <c r="AQ801" s="4"/>
      <c r="AR801" s="4"/>
      <c r="AS801" s="4"/>
      <c r="AT801" s="4"/>
      <c r="AU801" s="4"/>
      <c r="AV801" s="4"/>
      <c r="AW801" s="4"/>
      <c r="AX801" s="4"/>
      <c r="AY801" s="4"/>
      <c r="AZ801" s="4"/>
      <c r="BA801" s="4"/>
      <c r="BB801" s="4"/>
      <c r="BC801" s="4"/>
      <c r="BD801" s="5"/>
      <c r="BE801" s="4"/>
      <c r="BF801" s="4"/>
      <c r="BG801" s="4"/>
      <c r="BH801" s="4"/>
      <c r="BI801" s="4"/>
      <c r="BJ801" s="4"/>
      <c r="BK801" s="4"/>
      <c r="BL801" s="4"/>
      <c r="BM801" s="4"/>
      <c r="BN801" s="4"/>
      <c r="BO801" s="4"/>
      <c r="BP801" s="4"/>
      <c r="BQ801" s="4"/>
      <c r="BR801" s="4"/>
      <c r="BS801" s="4"/>
    </row>
    <row r="802" spans="1:7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c r="AG802" s="3"/>
      <c r="AH802" s="4"/>
      <c r="AI802" s="4"/>
      <c r="AJ802" s="4"/>
      <c r="AK802" s="4"/>
      <c r="AL802" s="4"/>
      <c r="AM802" s="4"/>
      <c r="AN802" s="4"/>
      <c r="AO802" s="4"/>
      <c r="AP802" s="4"/>
      <c r="AQ802" s="4"/>
      <c r="AR802" s="4"/>
      <c r="AS802" s="4"/>
      <c r="AT802" s="4"/>
      <c r="AU802" s="4"/>
      <c r="AV802" s="4"/>
      <c r="AW802" s="4"/>
      <c r="AX802" s="4"/>
      <c r="AY802" s="4"/>
      <c r="AZ802" s="4"/>
      <c r="BA802" s="4"/>
      <c r="BB802" s="4"/>
      <c r="BC802" s="4"/>
      <c r="BD802" s="5"/>
      <c r="BE802" s="4"/>
      <c r="BF802" s="4"/>
      <c r="BG802" s="4"/>
      <c r="BH802" s="4"/>
      <c r="BI802" s="4"/>
      <c r="BJ802" s="4"/>
      <c r="BK802" s="4"/>
      <c r="BL802" s="4"/>
      <c r="BM802" s="4"/>
      <c r="BN802" s="4"/>
      <c r="BO802" s="4"/>
      <c r="BP802" s="4"/>
      <c r="BQ802" s="4"/>
      <c r="BR802" s="4"/>
      <c r="BS802" s="4"/>
    </row>
    <row r="803" spans="1:7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c r="AG803" s="3"/>
      <c r="AH803" s="4"/>
      <c r="AI803" s="4"/>
      <c r="AJ803" s="4"/>
      <c r="AK803" s="4"/>
      <c r="AL803" s="4"/>
      <c r="AM803" s="4"/>
      <c r="AN803" s="4"/>
      <c r="AO803" s="4"/>
      <c r="AP803" s="4"/>
      <c r="AQ803" s="4"/>
      <c r="AR803" s="4"/>
      <c r="AS803" s="4"/>
      <c r="AT803" s="4"/>
      <c r="AU803" s="4"/>
      <c r="AV803" s="4"/>
      <c r="AW803" s="4"/>
      <c r="AX803" s="4"/>
      <c r="AY803" s="4"/>
      <c r="AZ803" s="4"/>
      <c r="BA803" s="4"/>
      <c r="BB803" s="4"/>
      <c r="BC803" s="4"/>
      <c r="BD803" s="5"/>
      <c r="BE803" s="4"/>
      <c r="BF803" s="4"/>
      <c r="BG803" s="4"/>
      <c r="BH803" s="4"/>
      <c r="BI803" s="4"/>
      <c r="BJ803" s="4"/>
      <c r="BK803" s="4"/>
      <c r="BL803" s="4"/>
      <c r="BM803" s="4"/>
      <c r="BN803" s="4"/>
      <c r="BO803" s="4"/>
      <c r="BP803" s="4"/>
      <c r="BQ803" s="4"/>
      <c r="BR803" s="4"/>
      <c r="BS803" s="4"/>
    </row>
    <row r="804" spans="1:7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c r="AG804" s="3"/>
      <c r="AH804" s="4"/>
      <c r="AI804" s="4"/>
      <c r="AJ804" s="4"/>
      <c r="AK804" s="4"/>
      <c r="AL804" s="4"/>
      <c r="AM804" s="4"/>
      <c r="AN804" s="4"/>
      <c r="AO804" s="4"/>
      <c r="AP804" s="4"/>
      <c r="AQ804" s="4"/>
      <c r="AR804" s="4"/>
      <c r="AS804" s="4"/>
      <c r="AT804" s="4"/>
      <c r="AU804" s="4"/>
      <c r="AV804" s="4"/>
      <c r="AW804" s="4"/>
      <c r="AX804" s="4"/>
      <c r="AY804" s="4"/>
      <c r="AZ804" s="4"/>
      <c r="BA804" s="4"/>
      <c r="BB804" s="4"/>
      <c r="BC804" s="4"/>
      <c r="BD804" s="5"/>
      <c r="BE804" s="4"/>
      <c r="BF804" s="4"/>
      <c r="BG804" s="4"/>
      <c r="BH804" s="4"/>
      <c r="BI804" s="4"/>
      <c r="BJ804" s="4"/>
      <c r="BK804" s="4"/>
      <c r="BL804" s="4"/>
      <c r="BM804" s="4"/>
      <c r="BN804" s="4"/>
      <c r="BO804" s="4"/>
      <c r="BP804" s="4"/>
      <c r="BQ804" s="4"/>
      <c r="BR804" s="4"/>
      <c r="BS804" s="4"/>
    </row>
    <row r="805" spans="1:7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c r="AG805" s="3"/>
      <c r="AH805" s="4"/>
      <c r="AI805" s="4"/>
      <c r="AJ805" s="4"/>
      <c r="AK805" s="4"/>
      <c r="AL805" s="4"/>
      <c r="AM805" s="4"/>
      <c r="AN805" s="4"/>
      <c r="AO805" s="4"/>
      <c r="AP805" s="4"/>
      <c r="AQ805" s="4"/>
      <c r="AR805" s="4"/>
      <c r="AS805" s="4"/>
      <c r="AT805" s="4"/>
      <c r="AU805" s="4"/>
      <c r="AV805" s="4"/>
      <c r="AW805" s="4"/>
      <c r="AX805" s="4"/>
      <c r="AY805" s="4"/>
      <c r="AZ805" s="4"/>
      <c r="BA805" s="4"/>
      <c r="BB805" s="4"/>
      <c r="BC805" s="4"/>
      <c r="BD805" s="5"/>
      <c r="BE805" s="4"/>
      <c r="BF805" s="4"/>
      <c r="BG805" s="4"/>
      <c r="BH805" s="4"/>
      <c r="BI805" s="4"/>
      <c r="BJ805" s="4"/>
      <c r="BK805" s="4"/>
      <c r="BL805" s="4"/>
      <c r="BM805" s="4"/>
      <c r="BN805" s="4"/>
      <c r="BO805" s="4"/>
      <c r="BP805" s="4"/>
      <c r="BQ805" s="4"/>
      <c r="BR805" s="4"/>
      <c r="BS805" s="4"/>
    </row>
    <row r="806" spans="1:7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c r="AG806" s="3"/>
      <c r="AH806" s="4"/>
      <c r="AI806" s="4"/>
      <c r="AJ806" s="4"/>
      <c r="AK806" s="4"/>
      <c r="AL806" s="4"/>
      <c r="AM806" s="4"/>
      <c r="AN806" s="4"/>
      <c r="AO806" s="4"/>
      <c r="AP806" s="4"/>
      <c r="AQ806" s="4"/>
      <c r="AR806" s="4"/>
      <c r="AS806" s="4"/>
      <c r="AT806" s="4"/>
      <c r="AU806" s="4"/>
      <c r="AV806" s="4"/>
      <c r="AW806" s="4"/>
      <c r="AX806" s="4"/>
      <c r="AY806" s="4"/>
      <c r="AZ806" s="4"/>
      <c r="BA806" s="4"/>
      <c r="BB806" s="4"/>
      <c r="BC806" s="4"/>
      <c r="BD806" s="5"/>
      <c r="BE806" s="4"/>
      <c r="BF806" s="4"/>
      <c r="BG806" s="4"/>
      <c r="BH806" s="4"/>
      <c r="BI806" s="4"/>
      <c r="BJ806" s="4"/>
      <c r="BK806" s="4"/>
      <c r="BL806" s="4"/>
      <c r="BM806" s="4"/>
      <c r="BN806" s="4"/>
      <c r="BO806" s="4"/>
      <c r="BP806" s="4"/>
      <c r="BQ806" s="4"/>
      <c r="BR806" s="4"/>
      <c r="BS806" s="4"/>
    </row>
    <row r="807" spans="1:7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c r="AG807" s="3"/>
      <c r="AH807" s="4"/>
      <c r="AI807" s="4"/>
      <c r="AJ807" s="4"/>
      <c r="AK807" s="4"/>
      <c r="AL807" s="4"/>
      <c r="AM807" s="4"/>
      <c r="AN807" s="4"/>
      <c r="AO807" s="4"/>
      <c r="AP807" s="4"/>
      <c r="AQ807" s="4"/>
      <c r="AR807" s="4"/>
      <c r="AS807" s="4"/>
      <c r="AT807" s="4"/>
      <c r="AU807" s="4"/>
      <c r="AV807" s="4"/>
      <c r="AW807" s="4"/>
      <c r="AX807" s="4"/>
      <c r="AY807" s="4"/>
      <c r="AZ807" s="4"/>
      <c r="BA807" s="4"/>
      <c r="BB807" s="4"/>
      <c r="BC807" s="4"/>
      <c r="BD807" s="5"/>
      <c r="BE807" s="4"/>
      <c r="BF807" s="4"/>
      <c r="BG807" s="4"/>
      <c r="BH807" s="4"/>
      <c r="BI807" s="4"/>
      <c r="BJ807" s="4"/>
      <c r="BK807" s="4"/>
      <c r="BL807" s="4"/>
      <c r="BM807" s="4"/>
      <c r="BN807" s="4"/>
      <c r="BO807" s="4"/>
      <c r="BP807" s="4"/>
      <c r="BQ807" s="4"/>
      <c r="BR807" s="4"/>
      <c r="BS807" s="4"/>
    </row>
    <row r="808" spans="1:7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c r="AG808" s="3"/>
      <c r="AH808" s="4"/>
      <c r="AI808" s="4"/>
      <c r="AJ808" s="4"/>
      <c r="AK808" s="4"/>
      <c r="AL808" s="4"/>
      <c r="AM808" s="4"/>
      <c r="AN808" s="4"/>
      <c r="AO808" s="4"/>
      <c r="AP808" s="4"/>
      <c r="AQ808" s="4"/>
      <c r="AR808" s="4"/>
      <c r="AS808" s="4"/>
      <c r="AT808" s="4"/>
      <c r="AU808" s="4"/>
      <c r="AV808" s="4"/>
      <c r="AW808" s="4"/>
      <c r="AX808" s="4"/>
      <c r="AY808" s="4"/>
      <c r="AZ808" s="4"/>
      <c r="BA808" s="4"/>
      <c r="BB808" s="4"/>
      <c r="BC808" s="4"/>
      <c r="BD808" s="5"/>
      <c r="BE808" s="4"/>
      <c r="BF808" s="4"/>
      <c r="BG808" s="4"/>
      <c r="BH808" s="4"/>
      <c r="BI808" s="4"/>
      <c r="BJ808" s="4"/>
      <c r="BK808" s="4"/>
      <c r="BL808" s="4"/>
      <c r="BM808" s="4"/>
      <c r="BN808" s="4"/>
      <c r="BO808" s="4"/>
      <c r="BP808" s="4"/>
      <c r="BQ808" s="4"/>
      <c r="BR808" s="4"/>
      <c r="BS808" s="4"/>
    </row>
    <row r="809" spans="1:7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c r="AG809" s="3"/>
      <c r="AH809" s="4"/>
      <c r="AI809" s="4"/>
      <c r="AJ809" s="4"/>
      <c r="AK809" s="4"/>
      <c r="AL809" s="4"/>
      <c r="AM809" s="4"/>
      <c r="AN809" s="4"/>
      <c r="AO809" s="4"/>
      <c r="AP809" s="4"/>
      <c r="AQ809" s="4"/>
      <c r="AR809" s="4"/>
      <c r="AS809" s="4"/>
      <c r="AT809" s="4"/>
      <c r="AU809" s="4"/>
      <c r="AV809" s="4"/>
      <c r="AW809" s="4"/>
      <c r="AX809" s="4"/>
      <c r="AY809" s="4"/>
      <c r="AZ809" s="4"/>
      <c r="BA809" s="4"/>
      <c r="BB809" s="4"/>
      <c r="BC809" s="4"/>
      <c r="BD809" s="5"/>
      <c r="BE809" s="4"/>
      <c r="BF809" s="4"/>
      <c r="BG809" s="4"/>
      <c r="BH809" s="4"/>
      <c r="BI809" s="4"/>
      <c r="BJ809" s="4"/>
      <c r="BK809" s="4"/>
      <c r="BL809" s="4"/>
      <c r="BM809" s="4"/>
      <c r="BN809" s="4"/>
      <c r="BO809" s="4"/>
      <c r="BP809" s="4"/>
      <c r="BQ809" s="4"/>
      <c r="BR809" s="4"/>
      <c r="BS809" s="4"/>
    </row>
    <row r="810" spans="1:7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c r="AG810" s="3"/>
      <c r="AH810" s="4"/>
      <c r="AI810" s="4"/>
      <c r="AJ810" s="4"/>
      <c r="AK810" s="4"/>
      <c r="AL810" s="4"/>
      <c r="AM810" s="4"/>
      <c r="AN810" s="4"/>
      <c r="AO810" s="4"/>
      <c r="AP810" s="4"/>
      <c r="AQ810" s="4"/>
      <c r="AR810" s="4"/>
      <c r="AS810" s="4"/>
      <c r="AT810" s="4"/>
      <c r="AU810" s="4"/>
      <c r="AV810" s="4"/>
      <c r="AW810" s="4"/>
      <c r="AX810" s="4"/>
      <c r="AY810" s="4"/>
      <c r="AZ810" s="4"/>
      <c r="BA810" s="4"/>
      <c r="BB810" s="4"/>
      <c r="BC810" s="4"/>
      <c r="BD810" s="5"/>
      <c r="BE810" s="4"/>
      <c r="BF810" s="4"/>
      <c r="BG810" s="4"/>
      <c r="BH810" s="4"/>
      <c r="BI810" s="4"/>
      <c r="BJ810" s="4"/>
      <c r="BK810" s="4"/>
      <c r="BL810" s="4"/>
      <c r="BM810" s="4"/>
      <c r="BN810" s="4"/>
      <c r="BO810" s="4"/>
      <c r="BP810" s="4"/>
      <c r="BQ810" s="4"/>
      <c r="BR810" s="4"/>
      <c r="BS810" s="4"/>
    </row>
    <row r="811" spans="1:7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c r="AG811" s="3"/>
      <c r="AH811" s="4"/>
      <c r="AI811" s="4"/>
      <c r="AJ811" s="4"/>
      <c r="AK811" s="4"/>
      <c r="AL811" s="4"/>
      <c r="AM811" s="4"/>
      <c r="AN811" s="4"/>
      <c r="AO811" s="4"/>
      <c r="AP811" s="4"/>
      <c r="AQ811" s="4"/>
      <c r="AR811" s="4"/>
      <c r="AS811" s="4"/>
      <c r="AT811" s="4"/>
      <c r="AU811" s="4"/>
      <c r="AV811" s="4"/>
      <c r="AW811" s="4"/>
      <c r="AX811" s="4"/>
      <c r="AY811" s="4"/>
      <c r="AZ811" s="4"/>
      <c r="BA811" s="4"/>
      <c r="BB811" s="4"/>
      <c r="BC811" s="4"/>
      <c r="BD811" s="5"/>
      <c r="BE811" s="4"/>
      <c r="BF811" s="4"/>
      <c r="BG811" s="4"/>
      <c r="BH811" s="4"/>
      <c r="BI811" s="4"/>
      <c r="BJ811" s="4"/>
      <c r="BK811" s="4"/>
      <c r="BL811" s="4"/>
      <c r="BM811" s="4"/>
      <c r="BN811" s="4"/>
      <c r="BO811" s="4"/>
      <c r="BP811" s="4"/>
      <c r="BQ811" s="4"/>
      <c r="BR811" s="4"/>
      <c r="BS811" s="4"/>
    </row>
    <row r="812" spans="1:7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c r="AG812" s="3"/>
      <c r="AH812" s="4"/>
      <c r="AI812" s="4"/>
      <c r="AJ812" s="4"/>
      <c r="AK812" s="4"/>
      <c r="AL812" s="4"/>
      <c r="AM812" s="4"/>
      <c r="AN812" s="4"/>
      <c r="AO812" s="4"/>
      <c r="AP812" s="4"/>
      <c r="AQ812" s="4"/>
      <c r="AR812" s="4"/>
      <c r="AS812" s="4"/>
      <c r="AT812" s="4"/>
      <c r="AU812" s="4"/>
      <c r="AV812" s="4"/>
      <c r="AW812" s="4"/>
      <c r="AX812" s="4"/>
      <c r="AY812" s="4"/>
      <c r="AZ812" s="4"/>
      <c r="BA812" s="4"/>
      <c r="BB812" s="4"/>
      <c r="BC812" s="4"/>
      <c r="BD812" s="5"/>
      <c r="BE812" s="4"/>
      <c r="BF812" s="4"/>
      <c r="BG812" s="4"/>
      <c r="BH812" s="4"/>
      <c r="BI812" s="4"/>
      <c r="BJ812" s="4"/>
      <c r="BK812" s="4"/>
      <c r="BL812" s="4"/>
      <c r="BM812" s="4"/>
      <c r="BN812" s="4"/>
      <c r="BO812" s="4"/>
      <c r="BP812" s="4"/>
      <c r="BQ812" s="4"/>
      <c r="BR812" s="4"/>
      <c r="BS812" s="4"/>
    </row>
    <row r="813" spans="1:7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c r="AG813" s="3"/>
      <c r="AH813" s="4"/>
      <c r="AI813" s="4"/>
      <c r="AJ813" s="4"/>
      <c r="AK813" s="4"/>
      <c r="AL813" s="4"/>
      <c r="AM813" s="4"/>
      <c r="AN813" s="4"/>
      <c r="AO813" s="4"/>
      <c r="AP813" s="4"/>
      <c r="AQ813" s="4"/>
      <c r="AR813" s="4"/>
      <c r="AS813" s="4"/>
      <c r="AT813" s="4"/>
      <c r="AU813" s="4"/>
      <c r="AV813" s="4"/>
      <c r="AW813" s="4"/>
      <c r="AX813" s="4"/>
      <c r="AY813" s="4"/>
      <c r="AZ813" s="4"/>
      <c r="BA813" s="4"/>
      <c r="BB813" s="4"/>
      <c r="BC813" s="4"/>
      <c r="BD813" s="5"/>
      <c r="BE813" s="4"/>
      <c r="BF813" s="4"/>
      <c r="BG813" s="4"/>
      <c r="BH813" s="4"/>
      <c r="BI813" s="4"/>
      <c r="BJ813" s="4"/>
      <c r="BK813" s="4"/>
      <c r="BL813" s="4"/>
      <c r="BM813" s="4"/>
      <c r="BN813" s="4"/>
      <c r="BO813" s="4"/>
      <c r="BP813" s="4"/>
      <c r="BQ813" s="4"/>
      <c r="BR813" s="4"/>
      <c r="BS813" s="4"/>
    </row>
    <row r="814" spans="1:7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c r="AG814" s="3"/>
      <c r="AH814" s="4"/>
      <c r="AI814" s="4"/>
      <c r="AJ814" s="4"/>
      <c r="AK814" s="4"/>
      <c r="AL814" s="4"/>
      <c r="AM814" s="4"/>
      <c r="AN814" s="4"/>
      <c r="AO814" s="4"/>
      <c r="AP814" s="4"/>
      <c r="AQ814" s="4"/>
      <c r="AR814" s="4"/>
      <c r="AS814" s="4"/>
      <c r="AT814" s="4"/>
      <c r="AU814" s="4"/>
      <c r="AV814" s="4"/>
      <c r="AW814" s="4"/>
      <c r="AX814" s="4"/>
      <c r="AY814" s="4"/>
      <c r="AZ814" s="4"/>
      <c r="BA814" s="4"/>
      <c r="BB814" s="4"/>
      <c r="BC814" s="4"/>
      <c r="BD814" s="5"/>
      <c r="BE814" s="4"/>
      <c r="BF814" s="4"/>
      <c r="BG814" s="4"/>
      <c r="BH814" s="4"/>
      <c r="BI814" s="4"/>
      <c r="BJ814" s="4"/>
      <c r="BK814" s="4"/>
      <c r="BL814" s="4"/>
      <c r="BM814" s="4"/>
      <c r="BN814" s="4"/>
      <c r="BO814" s="4"/>
      <c r="BP814" s="4"/>
      <c r="BQ814" s="4"/>
      <c r="BR814" s="4"/>
      <c r="BS814" s="4"/>
    </row>
    <row r="815" spans="1:7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c r="AG815" s="3"/>
      <c r="AH815" s="4"/>
      <c r="AI815" s="4"/>
      <c r="AJ815" s="4"/>
      <c r="AK815" s="4"/>
      <c r="AL815" s="4"/>
      <c r="AM815" s="4"/>
      <c r="AN815" s="4"/>
      <c r="AO815" s="4"/>
      <c r="AP815" s="4"/>
      <c r="AQ815" s="4"/>
      <c r="AR815" s="4"/>
      <c r="AS815" s="4"/>
      <c r="AT815" s="4"/>
      <c r="AU815" s="4"/>
      <c r="AV815" s="4"/>
      <c r="AW815" s="4"/>
      <c r="AX815" s="4"/>
      <c r="AY815" s="4"/>
      <c r="AZ815" s="4"/>
      <c r="BA815" s="4"/>
      <c r="BB815" s="4"/>
      <c r="BC815" s="4"/>
      <c r="BD815" s="5"/>
      <c r="BE815" s="4"/>
      <c r="BF815" s="4"/>
      <c r="BG815" s="4"/>
      <c r="BH815" s="4"/>
      <c r="BI815" s="4"/>
      <c r="BJ815" s="4"/>
      <c r="BK815" s="4"/>
      <c r="BL815" s="4"/>
      <c r="BM815" s="4"/>
      <c r="BN815" s="4"/>
      <c r="BO815" s="4"/>
      <c r="BP815" s="4"/>
      <c r="BQ815" s="4"/>
      <c r="BR815" s="4"/>
      <c r="BS815" s="4"/>
    </row>
    <row r="816" spans="1:7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c r="AG816" s="3"/>
      <c r="AH816" s="4"/>
      <c r="AI816" s="4"/>
      <c r="AJ816" s="4"/>
      <c r="AK816" s="4"/>
      <c r="AL816" s="4"/>
      <c r="AM816" s="4"/>
      <c r="AN816" s="4"/>
      <c r="AO816" s="4"/>
      <c r="AP816" s="4"/>
      <c r="AQ816" s="4"/>
      <c r="AR816" s="4"/>
      <c r="AS816" s="4"/>
      <c r="AT816" s="4"/>
      <c r="AU816" s="4"/>
      <c r="AV816" s="4"/>
      <c r="AW816" s="4"/>
      <c r="AX816" s="4"/>
      <c r="AY816" s="4"/>
      <c r="AZ816" s="4"/>
      <c r="BA816" s="4"/>
      <c r="BB816" s="4"/>
      <c r="BC816" s="4"/>
      <c r="BD816" s="5"/>
      <c r="BE816" s="4"/>
      <c r="BF816" s="4"/>
      <c r="BG816" s="4"/>
      <c r="BH816" s="4"/>
      <c r="BI816" s="4"/>
      <c r="BJ816" s="4"/>
      <c r="BK816" s="4"/>
      <c r="BL816" s="4"/>
      <c r="BM816" s="4"/>
      <c r="BN816" s="4"/>
      <c r="BO816" s="4"/>
      <c r="BP816" s="4"/>
      <c r="BQ816" s="4"/>
      <c r="BR816" s="4"/>
      <c r="BS816" s="4"/>
    </row>
    <row r="817" spans="1:7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c r="AG817" s="3"/>
      <c r="AH817" s="4"/>
      <c r="AI817" s="4"/>
      <c r="AJ817" s="4"/>
      <c r="AK817" s="4"/>
      <c r="AL817" s="4"/>
      <c r="AM817" s="4"/>
      <c r="AN817" s="4"/>
      <c r="AO817" s="4"/>
      <c r="AP817" s="4"/>
      <c r="AQ817" s="4"/>
      <c r="AR817" s="4"/>
      <c r="AS817" s="4"/>
      <c r="AT817" s="4"/>
      <c r="AU817" s="4"/>
      <c r="AV817" s="4"/>
      <c r="AW817" s="4"/>
      <c r="AX817" s="4"/>
      <c r="AY817" s="4"/>
      <c r="AZ817" s="4"/>
      <c r="BA817" s="4"/>
      <c r="BB817" s="4"/>
      <c r="BC817" s="4"/>
      <c r="BD817" s="5"/>
      <c r="BE817" s="4"/>
      <c r="BF817" s="4"/>
      <c r="BG817" s="4"/>
      <c r="BH817" s="4"/>
      <c r="BI817" s="4"/>
      <c r="BJ817" s="4"/>
      <c r="BK817" s="4"/>
      <c r="BL817" s="4"/>
      <c r="BM817" s="4"/>
      <c r="BN817" s="4"/>
      <c r="BO817" s="4"/>
      <c r="BP817" s="4"/>
      <c r="BQ817" s="4"/>
      <c r="BR817" s="4"/>
      <c r="BS817" s="4"/>
    </row>
    <row r="818" spans="1:7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c r="AG818" s="3"/>
      <c r="AH818" s="4"/>
      <c r="AI818" s="4"/>
      <c r="AJ818" s="4"/>
      <c r="AK818" s="4"/>
      <c r="AL818" s="4"/>
      <c r="AM818" s="4"/>
      <c r="AN818" s="4"/>
      <c r="AO818" s="4"/>
      <c r="AP818" s="4"/>
      <c r="AQ818" s="4"/>
      <c r="AR818" s="4"/>
      <c r="AS818" s="4"/>
      <c r="AT818" s="4"/>
      <c r="AU818" s="4"/>
      <c r="AV818" s="4"/>
      <c r="AW818" s="4"/>
      <c r="AX818" s="4"/>
      <c r="AY818" s="4"/>
      <c r="AZ818" s="4"/>
      <c r="BA818" s="4"/>
      <c r="BB818" s="4"/>
      <c r="BC818" s="4"/>
      <c r="BD818" s="5"/>
      <c r="BE818" s="4"/>
      <c r="BF818" s="4"/>
      <c r="BG818" s="4"/>
      <c r="BH818" s="4"/>
      <c r="BI818" s="4"/>
      <c r="BJ818" s="4"/>
      <c r="BK818" s="4"/>
      <c r="BL818" s="4"/>
      <c r="BM818" s="4"/>
      <c r="BN818" s="4"/>
      <c r="BO818" s="4"/>
      <c r="BP818" s="4"/>
      <c r="BQ818" s="4"/>
      <c r="BR818" s="4"/>
      <c r="BS818" s="4"/>
    </row>
    <row r="819" spans="1:7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c r="AG819" s="3"/>
      <c r="AH819" s="4"/>
      <c r="AI819" s="4"/>
      <c r="AJ819" s="4"/>
      <c r="AK819" s="4"/>
      <c r="AL819" s="4"/>
      <c r="AM819" s="4"/>
      <c r="AN819" s="4"/>
      <c r="AO819" s="4"/>
      <c r="AP819" s="4"/>
      <c r="AQ819" s="4"/>
      <c r="AR819" s="4"/>
      <c r="AS819" s="4"/>
      <c r="AT819" s="4"/>
      <c r="AU819" s="4"/>
      <c r="AV819" s="4"/>
      <c r="AW819" s="4"/>
      <c r="AX819" s="4"/>
      <c r="AY819" s="4"/>
      <c r="AZ819" s="4"/>
      <c r="BA819" s="4"/>
      <c r="BB819" s="4"/>
      <c r="BC819" s="4"/>
      <c r="BD819" s="5"/>
      <c r="BE819" s="4"/>
      <c r="BF819" s="4"/>
      <c r="BG819" s="4"/>
      <c r="BH819" s="4"/>
      <c r="BI819" s="4"/>
      <c r="BJ819" s="4"/>
      <c r="BK819" s="4"/>
      <c r="BL819" s="4"/>
      <c r="BM819" s="4"/>
      <c r="BN819" s="4"/>
      <c r="BO819" s="4"/>
      <c r="BP819" s="4"/>
      <c r="BQ819" s="4"/>
      <c r="BR819" s="4"/>
      <c r="BS819" s="4"/>
    </row>
    <row r="820" spans="1:7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c r="AG820" s="3"/>
      <c r="AH820" s="4"/>
      <c r="AI820" s="4"/>
      <c r="AJ820" s="4"/>
      <c r="AK820" s="4"/>
      <c r="AL820" s="4"/>
      <c r="AM820" s="4"/>
      <c r="AN820" s="4"/>
      <c r="AO820" s="4"/>
      <c r="AP820" s="4"/>
      <c r="AQ820" s="4"/>
      <c r="AR820" s="4"/>
      <c r="AS820" s="4"/>
      <c r="AT820" s="4"/>
      <c r="AU820" s="4"/>
      <c r="AV820" s="4"/>
      <c r="AW820" s="4"/>
      <c r="AX820" s="4"/>
      <c r="AY820" s="4"/>
      <c r="AZ820" s="4"/>
      <c r="BA820" s="4"/>
      <c r="BB820" s="4"/>
      <c r="BC820" s="4"/>
      <c r="BD820" s="5"/>
      <c r="BE820" s="4"/>
      <c r="BF820" s="4"/>
      <c r="BG820" s="4"/>
      <c r="BH820" s="4"/>
      <c r="BI820" s="4"/>
      <c r="BJ820" s="4"/>
      <c r="BK820" s="4"/>
      <c r="BL820" s="4"/>
      <c r="BM820" s="4"/>
      <c r="BN820" s="4"/>
      <c r="BO820" s="4"/>
      <c r="BP820" s="4"/>
      <c r="BQ820" s="4"/>
      <c r="BR820" s="4"/>
      <c r="BS820" s="4"/>
    </row>
    <row r="821" spans="1:7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c r="AG821" s="3"/>
      <c r="AH821" s="4"/>
      <c r="AI821" s="4"/>
      <c r="AJ821" s="4"/>
      <c r="AK821" s="4"/>
      <c r="AL821" s="4"/>
      <c r="AM821" s="4"/>
      <c r="AN821" s="4"/>
      <c r="AO821" s="4"/>
      <c r="AP821" s="4"/>
      <c r="AQ821" s="4"/>
      <c r="AR821" s="4"/>
      <c r="AS821" s="4"/>
      <c r="AT821" s="4"/>
      <c r="AU821" s="4"/>
      <c r="AV821" s="4"/>
      <c r="AW821" s="4"/>
      <c r="AX821" s="4"/>
      <c r="AY821" s="4"/>
      <c r="AZ821" s="4"/>
      <c r="BA821" s="4"/>
      <c r="BB821" s="4"/>
      <c r="BC821" s="4"/>
      <c r="BD821" s="5"/>
      <c r="BE821" s="4"/>
      <c r="BF821" s="4"/>
      <c r="BG821" s="4"/>
      <c r="BH821" s="4"/>
      <c r="BI821" s="4"/>
      <c r="BJ821" s="4"/>
      <c r="BK821" s="4"/>
      <c r="BL821" s="4"/>
      <c r="BM821" s="4"/>
      <c r="BN821" s="4"/>
      <c r="BO821" s="4"/>
      <c r="BP821" s="4"/>
      <c r="BQ821" s="4"/>
      <c r="BR821" s="4"/>
      <c r="BS821" s="4"/>
    </row>
    <row r="822" spans="1:7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c r="AG822" s="3"/>
      <c r="AH822" s="4"/>
      <c r="AI822" s="4"/>
      <c r="AJ822" s="4"/>
      <c r="AK822" s="4"/>
      <c r="AL822" s="4"/>
      <c r="AM822" s="4"/>
      <c r="AN822" s="4"/>
      <c r="AO822" s="4"/>
      <c r="AP822" s="4"/>
      <c r="AQ822" s="4"/>
      <c r="AR822" s="4"/>
      <c r="AS822" s="4"/>
      <c r="AT822" s="4"/>
      <c r="AU822" s="4"/>
      <c r="AV822" s="4"/>
      <c r="AW822" s="4"/>
      <c r="AX822" s="4"/>
      <c r="AY822" s="4"/>
      <c r="AZ822" s="4"/>
      <c r="BA822" s="4"/>
      <c r="BB822" s="4"/>
      <c r="BC822" s="4"/>
      <c r="BD822" s="5"/>
      <c r="BE822" s="4"/>
      <c r="BF822" s="4"/>
      <c r="BG822" s="4"/>
      <c r="BH822" s="4"/>
      <c r="BI822" s="4"/>
      <c r="BJ822" s="4"/>
      <c r="BK822" s="4"/>
      <c r="BL822" s="4"/>
      <c r="BM822" s="4"/>
      <c r="BN822" s="4"/>
      <c r="BO822" s="4"/>
      <c r="BP822" s="4"/>
      <c r="BQ822" s="4"/>
      <c r="BR822" s="4"/>
      <c r="BS822" s="4"/>
    </row>
    <row r="823" spans="1:7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c r="AG823" s="3"/>
      <c r="AH823" s="4"/>
      <c r="AI823" s="4"/>
      <c r="AJ823" s="4"/>
      <c r="AK823" s="4"/>
      <c r="AL823" s="4"/>
      <c r="AM823" s="4"/>
      <c r="AN823" s="4"/>
      <c r="AO823" s="4"/>
      <c r="AP823" s="4"/>
      <c r="AQ823" s="4"/>
      <c r="AR823" s="4"/>
      <c r="AS823" s="4"/>
      <c r="AT823" s="4"/>
      <c r="AU823" s="4"/>
      <c r="AV823" s="4"/>
      <c r="AW823" s="4"/>
      <c r="AX823" s="4"/>
      <c r="AY823" s="4"/>
      <c r="AZ823" s="4"/>
      <c r="BA823" s="4"/>
      <c r="BB823" s="4"/>
      <c r="BC823" s="4"/>
      <c r="BD823" s="5"/>
      <c r="BE823" s="4"/>
      <c r="BF823" s="4"/>
      <c r="BG823" s="4"/>
      <c r="BH823" s="4"/>
      <c r="BI823" s="4"/>
      <c r="BJ823" s="4"/>
      <c r="BK823" s="4"/>
      <c r="BL823" s="4"/>
      <c r="BM823" s="4"/>
      <c r="BN823" s="4"/>
      <c r="BO823" s="4"/>
      <c r="BP823" s="4"/>
      <c r="BQ823" s="4"/>
      <c r="BR823" s="4"/>
      <c r="BS823" s="4"/>
    </row>
    <row r="824" spans="1:7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c r="AG824" s="3"/>
      <c r="AH824" s="4"/>
      <c r="AI824" s="4"/>
      <c r="AJ824" s="4"/>
      <c r="AK824" s="4"/>
      <c r="AL824" s="4"/>
      <c r="AM824" s="4"/>
      <c r="AN824" s="4"/>
      <c r="AO824" s="4"/>
      <c r="AP824" s="4"/>
      <c r="AQ824" s="4"/>
      <c r="AR824" s="4"/>
      <c r="AS824" s="4"/>
      <c r="AT824" s="4"/>
      <c r="AU824" s="4"/>
      <c r="AV824" s="4"/>
      <c r="AW824" s="4"/>
      <c r="AX824" s="4"/>
      <c r="AY824" s="4"/>
      <c r="AZ824" s="4"/>
      <c r="BA824" s="4"/>
      <c r="BB824" s="4"/>
      <c r="BC824" s="4"/>
      <c r="BD824" s="5"/>
      <c r="BE824" s="4"/>
      <c r="BF824" s="4"/>
      <c r="BG824" s="4"/>
      <c r="BH824" s="4"/>
      <c r="BI824" s="4"/>
      <c r="BJ824" s="4"/>
      <c r="BK824" s="4"/>
      <c r="BL824" s="4"/>
      <c r="BM824" s="4"/>
      <c r="BN824" s="4"/>
      <c r="BO824" s="4"/>
      <c r="BP824" s="4"/>
      <c r="BQ824" s="4"/>
      <c r="BR824" s="4"/>
      <c r="BS824" s="4"/>
    </row>
    <row r="825" spans="1:7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c r="AG825" s="3"/>
      <c r="AH825" s="4"/>
      <c r="AI825" s="4"/>
      <c r="AJ825" s="4"/>
      <c r="AK825" s="4"/>
      <c r="AL825" s="4"/>
      <c r="AM825" s="4"/>
      <c r="AN825" s="4"/>
      <c r="AO825" s="4"/>
      <c r="AP825" s="4"/>
      <c r="AQ825" s="4"/>
      <c r="AR825" s="4"/>
      <c r="AS825" s="4"/>
      <c r="AT825" s="4"/>
      <c r="AU825" s="4"/>
      <c r="AV825" s="4"/>
      <c r="AW825" s="4"/>
      <c r="AX825" s="4"/>
      <c r="AY825" s="4"/>
      <c r="AZ825" s="4"/>
      <c r="BA825" s="4"/>
      <c r="BB825" s="4"/>
      <c r="BC825" s="4"/>
      <c r="BD825" s="5"/>
      <c r="BE825" s="4"/>
      <c r="BF825" s="4"/>
      <c r="BG825" s="4"/>
      <c r="BH825" s="4"/>
      <c r="BI825" s="4"/>
      <c r="BJ825" s="4"/>
      <c r="BK825" s="4"/>
      <c r="BL825" s="4"/>
      <c r="BM825" s="4"/>
      <c r="BN825" s="4"/>
      <c r="BO825" s="4"/>
      <c r="BP825" s="4"/>
      <c r="BQ825" s="4"/>
      <c r="BR825" s="4"/>
      <c r="BS825" s="4"/>
    </row>
    <row r="826" spans="1:7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c r="AG826" s="3"/>
      <c r="AH826" s="4"/>
      <c r="AI826" s="4"/>
      <c r="AJ826" s="4"/>
      <c r="AK826" s="4"/>
      <c r="AL826" s="4"/>
      <c r="AM826" s="4"/>
      <c r="AN826" s="4"/>
      <c r="AO826" s="4"/>
      <c r="AP826" s="4"/>
      <c r="AQ826" s="4"/>
      <c r="AR826" s="4"/>
      <c r="AS826" s="4"/>
      <c r="AT826" s="4"/>
      <c r="AU826" s="4"/>
      <c r="AV826" s="4"/>
      <c r="AW826" s="4"/>
      <c r="AX826" s="4"/>
      <c r="AY826" s="4"/>
      <c r="AZ826" s="4"/>
      <c r="BA826" s="4"/>
      <c r="BB826" s="4"/>
      <c r="BC826" s="4"/>
      <c r="BD826" s="5"/>
      <c r="BE826" s="4"/>
      <c r="BF826" s="4"/>
      <c r="BG826" s="4"/>
      <c r="BH826" s="4"/>
      <c r="BI826" s="4"/>
      <c r="BJ826" s="4"/>
      <c r="BK826" s="4"/>
      <c r="BL826" s="4"/>
      <c r="BM826" s="4"/>
      <c r="BN826" s="4"/>
      <c r="BO826" s="4"/>
      <c r="BP826" s="4"/>
      <c r="BQ826" s="4"/>
      <c r="BR826" s="4"/>
      <c r="BS826" s="4"/>
    </row>
    <row r="827" spans="1:7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c r="AG827" s="3"/>
      <c r="AH827" s="4"/>
      <c r="AI827" s="4"/>
      <c r="AJ827" s="4"/>
      <c r="AK827" s="4"/>
      <c r="AL827" s="4"/>
      <c r="AM827" s="4"/>
      <c r="AN827" s="4"/>
      <c r="AO827" s="4"/>
      <c r="AP827" s="4"/>
      <c r="AQ827" s="4"/>
      <c r="AR827" s="4"/>
      <c r="AS827" s="4"/>
      <c r="AT827" s="4"/>
      <c r="AU827" s="4"/>
      <c r="AV827" s="4"/>
      <c r="AW827" s="4"/>
      <c r="AX827" s="4"/>
      <c r="AY827" s="4"/>
      <c r="AZ827" s="4"/>
      <c r="BA827" s="4"/>
      <c r="BB827" s="4"/>
      <c r="BC827" s="4"/>
      <c r="BD827" s="5"/>
      <c r="BE827" s="4"/>
      <c r="BF827" s="4"/>
      <c r="BG827" s="4"/>
      <c r="BH827" s="4"/>
      <c r="BI827" s="4"/>
      <c r="BJ827" s="4"/>
      <c r="BK827" s="4"/>
      <c r="BL827" s="4"/>
      <c r="BM827" s="4"/>
      <c r="BN827" s="4"/>
      <c r="BO827" s="4"/>
      <c r="BP827" s="4"/>
      <c r="BQ827" s="4"/>
      <c r="BR827" s="4"/>
      <c r="BS827" s="4"/>
    </row>
    <row r="828" spans="1:7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c r="AG828" s="3"/>
      <c r="AH828" s="4"/>
      <c r="AI828" s="4"/>
      <c r="AJ828" s="4"/>
      <c r="AK828" s="4"/>
      <c r="AL828" s="4"/>
      <c r="AM828" s="4"/>
      <c r="AN828" s="4"/>
      <c r="AO828" s="4"/>
      <c r="AP828" s="4"/>
      <c r="AQ828" s="4"/>
      <c r="AR828" s="4"/>
      <c r="AS828" s="4"/>
      <c r="AT828" s="4"/>
      <c r="AU828" s="4"/>
      <c r="AV828" s="4"/>
      <c r="AW828" s="4"/>
      <c r="AX828" s="4"/>
      <c r="AY828" s="4"/>
      <c r="AZ828" s="4"/>
      <c r="BA828" s="4"/>
      <c r="BB828" s="4"/>
      <c r="BC828" s="4"/>
      <c r="BD828" s="5"/>
      <c r="BE828" s="4"/>
      <c r="BF828" s="4"/>
      <c r="BG828" s="4"/>
      <c r="BH828" s="4"/>
      <c r="BI828" s="4"/>
      <c r="BJ828" s="4"/>
      <c r="BK828" s="4"/>
      <c r="BL828" s="4"/>
      <c r="BM828" s="4"/>
      <c r="BN828" s="4"/>
      <c r="BO828" s="4"/>
      <c r="BP828" s="4"/>
      <c r="BQ828" s="4"/>
      <c r="BR828" s="4"/>
      <c r="BS828" s="4"/>
    </row>
    <row r="829" spans="1:7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c r="AG829" s="3"/>
      <c r="AH829" s="4"/>
      <c r="AI829" s="4"/>
      <c r="AJ829" s="4"/>
      <c r="AK829" s="4"/>
      <c r="AL829" s="4"/>
      <c r="AM829" s="4"/>
      <c r="AN829" s="4"/>
      <c r="AO829" s="4"/>
      <c r="AP829" s="4"/>
      <c r="AQ829" s="4"/>
      <c r="AR829" s="4"/>
      <c r="AS829" s="4"/>
      <c r="AT829" s="4"/>
      <c r="AU829" s="4"/>
      <c r="AV829" s="4"/>
      <c r="AW829" s="4"/>
      <c r="AX829" s="4"/>
      <c r="AY829" s="4"/>
      <c r="AZ829" s="4"/>
      <c r="BA829" s="4"/>
      <c r="BB829" s="4"/>
      <c r="BC829" s="4"/>
      <c r="BD829" s="5"/>
      <c r="BE829" s="4"/>
      <c r="BF829" s="4"/>
      <c r="BG829" s="4"/>
      <c r="BH829" s="4"/>
      <c r="BI829" s="4"/>
      <c r="BJ829" s="4"/>
      <c r="BK829" s="4"/>
      <c r="BL829" s="4"/>
      <c r="BM829" s="4"/>
      <c r="BN829" s="4"/>
      <c r="BO829" s="4"/>
      <c r="BP829" s="4"/>
      <c r="BQ829" s="4"/>
      <c r="BR829" s="4"/>
      <c r="BS829" s="4"/>
    </row>
    <row r="830" spans="1:7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c r="AG830" s="3"/>
      <c r="AH830" s="4"/>
      <c r="AI830" s="4"/>
      <c r="AJ830" s="4"/>
      <c r="AK830" s="4"/>
      <c r="AL830" s="4"/>
      <c r="AM830" s="4"/>
      <c r="AN830" s="4"/>
      <c r="AO830" s="4"/>
      <c r="AP830" s="4"/>
      <c r="AQ830" s="4"/>
      <c r="AR830" s="4"/>
      <c r="AS830" s="4"/>
      <c r="AT830" s="4"/>
      <c r="AU830" s="4"/>
      <c r="AV830" s="4"/>
      <c r="AW830" s="4"/>
      <c r="AX830" s="4"/>
      <c r="AY830" s="4"/>
      <c r="AZ830" s="4"/>
      <c r="BA830" s="4"/>
      <c r="BB830" s="4"/>
      <c r="BC830" s="4"/>
      <c r="BD830" s="5"/>
      <c r="BE830" s="4"/>
      <c r="BF830" s="4"/>
      <c r="BG830" s="4"/>
      <c r="BH830" s="4"/>
      <c r="BI830" s="4"/>
      <c r="BJ830" s="4"/>
      <c r="BK830" s="4"/>
      <c r="BL830" s="4"/>
      <c r="BM830" s="4"/>
      <c r="BN830" s="4"/>
      <c r="BO830" s="4"/>
      <c r="BP830" s="4"/>
      <c r="BQ830" s="4"/>
      <c r="BR830" s="4"/>
      <c r="BS830" s="4"/>
    </row>
    <row r="831" spans="1:7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c r="AG831" s="3"/>
      <c r="AH831" s="4"/>
      <c r="AI831" s="4"/>
      <c r="AJ831" s="4"/>
      <c r="AK831" s="4"/>
      <c r="AL831" s="4"/>
      <c r="AM831" s="4"/>
      <c r="AN831" s="4"/>
      <c r="AO831" s="4"/>
      <c r="AP831" s="4"/>
      <c r="AQ831" s="4"/>
      <c r="AR831" s="4"/>
      <c r="AS831" s="4"/>
      <c r="AT831" s="4"/>
      <c r="AU831" s="4"/>
      <c r="AV831" s="4"/>
      <c r="AW831" s="4"/>
      <c r="AX831" s="4"/>
      <c r="AY831" s="4"/>
      <c r="AZ831" s="4"/>
      <c r="BA831" s="4"/>
      <c r="BB831" s="4"/>
      <c r="BC831" s="4"/>
      <c r="BD831" s="5"/>
      <c r="BE831" s="4"/>
      <c r="BF831" s="4"/>
      <c r="BG831" s="4"/>
      <c r="BH831" s="4"/>
      <c r="BI831" s="4"/>
      <c r="BJ831" s="4"/>
      <c r="BK831" s="4"/>
      <c r="BL831" s="4"/>
      <c r="BM831" s="4"/>
      <c r="BN831" s="4"/>
      <c r="BO831" s="4"/>
      <c r="BP831" s="4"/>
      <c r="BQ831" s="4"/>
      <c r="BR831" s="4"/>
      <c r="BS831" s="4"/>
    </row>
    <row r="832" spans="1:7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c r="AG832" s="3"/>
      <c r="AH832" s="4"/>
      <c r="AI832" s="4"/>
      <c r="AJ832" s="4"/>
      <c r="AK832" s="4"/>
      <c r="AL832" s="4"/>
      <c r="AM832" s="4"/>
      <c r="AN832" s="4"/>
      <c r="AO832" s="4"/>
      <c r="AP832" s="4"/>
      <c r="AQ832" s="4"/>
      <c r="AR832" s="4"/>
      <c r="AS832" s="4"/>
      <c r="AT832" s="4"/>
      <c r="AU832" s="4"/>
      <c r="AV832" s="4"/>
      <c r="AW832" s="4"/>
      <c r="AX832" s="4"/>
      <c r="AY832" s="4"/>
      <c r="AZ832" s="4"/>
      <c r="BA832" s="4"/>
      <c r="BB832" s="4"/>
      <c r="BC832" s="4"/>
      <c r="BD832" s="5"/>
      <c r="BE832" s="4"/>
      <c r="BF832" s="4"/>
      <c r="BG832" s="4"/>
      <c r="BH832" s="4"/>
      <c r="BI832" s="4"/>
      <c r="BJ832" s="4"/>
      <c r="BK832" s="4"/>
      <c r="BL832" s="4"/>
      <c r="BM832" s="4"/>
      <c r="BN832" s="4"/>
      <c r="BO832" s="4"/>
      <c r="BP832" s="4"/>
      <c r="BQ832" s="4"/>
      <c r="BR832" s="4"/>
      <c r="BS832" s="4"/>
    </row>
    <row r="833" spans="1:7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c r="AG833" s="3"/>
      <c r="AH833" s="4"/>
      <c r="AI833" s="4"/>
      <c r="AJ833" s="4"/>
      <c r="AK833" s="4"/>
      <c r="AL833" s="4"/>
      <c r="AM833" s="4"/>
      <c r="AN833" s="4"/>
      <c r="AO833" s="4"/>
      <c r="AP833" s="4"/>
      <c r="AQ833" s="4"/>
      <c r="AR833" s="4"/>
      <c r="AS833" s="4"/>
      <c r="AT833" s="4"/>
      <c r="AU833" s="4"/>
      <c r="AV833" s="4"/>
      <c r="AW833" s="4"/>
      <c r="AX833" s="4"/>
      <c r="AY833" s="4"/>
      <c r="AZ833" s="4"/>
      <c r="BA833" s="4"/>
      <c r="BB833" s="4"/>
      <c r="BC833" s="4"/>
      <c r="BD833" s="5"/>
      <c r="BE833" s="4"/>
      <c r="BF833" s="4"/>
      <c r="BG833" s="4"/>
      <c r="BH833" s="4"/>
      <c r="BI833" s="4"/>
      <c r="BJ833" s="4"/>
      <c r="BK833" s="4"/>
      <c r="BL833" s="4"/>
      <c r="BM833" s="4"/>
      <c r="BN833" s="4"/>
      <c r="BO833" s="4"/>
      <c r="BP833" s="4"/>
      <c r="BQ833" s="4"/>
      <c r="BR833" s="4"/>
      <c r="BS833" s="4"/>
    </row>
    <row r="834" spans="1:7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c r="AG834" s="3"/>
      <c r="AH834" s="4"/>
      <c r="AI834" s="4"/>
      <c r="AJ834" s="4"/>
      <c r="AK834" s="4"/>
      <c r="AL834" s="4"/>
      <c r="AM834" s="4"/>
      <c r="AN834" s="4"/>
      <c r="AO834" s="4"/>
      <c r="AP834" s="4"/>
      <c r="AQ834" s="4"/>
      <c r="AR834" s="4"/>
      <c r="AS834" s="4"/>
      <c r="AT834" s="4"/>
      <c r="AU834" s="4"/>
      <c r="AV834" s="4"/>
      <c r="AW834" s="4"/>
      <c r="AX834" s="4"/>
      <c r="AY834" s="4"/>
      <c r="AZ834" s="4"/>
      <c r="BA834" s="4"/>
      <c r="BB834" s="4"/>
      <c r="BC834" s="4"/>
      <c r="BD834" s="5"/>
      <c r="BE834" s="4"/>
      <c r="BF834" s="4"/>
      <c r="BG834" s="4"/>
      <c r="BH834" s="4"/>
      <c r="BI834" s="4"/>
      <c r="BJ834" s="4"/>
      <c r="BK834" s="4"/>
      <c r="BL834" s="4"/>
      <c r="BM834" s="4"/>
      <c r="BN834" s="4"/>
      <c r="BO834" s="4"/>
      <c r="BP834" s="4"/>
      <c r="BQ834" s="4"/>
      <c r="BR834" s="4"/>
      <c r="BS834" s="4"/>
    </row>
    <row r="835" spans="1:7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c r="AG835" s="3"/>
      <c r="AH835" s="4"/>
      <c r="AI835" s="4"/>
      <c r="AJ835" s="4"/>
      <c r="AK835" s="4"/>
      <c r="AL835" s="4"/>
      <c r="AM835" s="4"/>
      <c r="AN835" s="4"/>
      <c r="AO835" s="4"/>
      <c r="AP835" s="4"/>
      <c r="AQ835" s="4"/>
      <c r="AR835" s="4"/>
      <c r="AS835" s="4"/>
      <c r="AT835" s="4"/>
      <c r="AU835" s="4"/>
      <c r="AV835" s="4"/>
      <c r="AW835" s="4"/>
      <c r="AX835" s="4"/>
      <c r="AY835" s="4"/>
      <c r="AZ835" s="4"/>
      <c r="BA835" s="4"/>
      <c r="BB835" s="4"/>
      <c r="BC835" s="4"/>
      <c r="BD835" s="5"/>
      <c r="BE835" s="4"/>
      <c r="BF835" s="4"/>
      <c r="BG835" s="4"/>
      <c r="BH835" s="4"/>
      <c r="BI835" s="4"/>
      <c r="BJ835" s="4"/>
      <c r="BK835" s="4"/>
      <c r="BL835" s="4"/>
      <c r="BM835" s="4"/>
      <c r="BN835" s="4"/>
      <c r="BO835" s="4"/>
      <c r="BP835" s="4"/>
      <c r="BQ835" s="4"/>
      <c r="BR835" s="4"/>
      <c r="BS835" s="4"/>
    </row>
    <row r="836" spans="1:7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c r="AG836" s="3"/>
      <c r="AH836" s="4"/>
      <c r="AI836" s="4"/>
      <c r="AJ836" s="4"/>
      <c r="AK836" s="4"/>
      <c r="AL836" s="4"/>
      <c r="AM836" s="4"/>
      <c r="AN836" s="4"/>
      <c r="AO836" s="4"/>
      <c r="AP836" s="4"/>
      <c r="AQ836" s="4"/>
      <c r="AR836" s="4"/>
      <c r="AS836" s="4"/>
      <c r="AT836" s="4"/>
      <c r="AU836" s="4"/>
      <c r="AV836" s="4"/>
      <c r="AW836" s="4"/>
      <c r="AX836" s="4"/>
      <c r="AY836" s="4"/>
      <c r="AZ836" s="4"/>
      <c r="BA836" s="4"/>
      <c r="BB836" s="4"/>
      <c r="BC836" s="4"/>
      <c r="BD836" s="5"/>
      <c r="BE836" s="4"/>
      <c r="BF836" s="4"/>
      <c r="BG836" s="4"/>
      <c r="BH836" s="4"/>
      <c r="BI836" s="4"/>
      <c r="BJ836" s="4"/>
      <c r="BK836" s="4"/>
      <c r="BL836" s="4"/>
      <c r="BM836" s="4"/>
      <c r="BN836" s="4"/>
      <c r="BO836" s="4"/>
      <c r="BP836" s="4"/>
      <c r="BQ836" s="4"/>
      <c r="BR836" s="4"/>
      <c r="BS836" s="4"/>
    </row>
    <row r="837" spans="1:7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c r="AG837" s="3"/>
      <c r="AH837" s="4"/>
      <c r="AI837" s="4"/>
      <c r="AJ837" s="4"/>
      <c r="AK837" s="4"/>
      <c r="AL837" s="4"/>
      <c r="AM837" s="4"/>
      <c r="AN837" s="4"/>
      <c r="AO837" s="4"/>
      <c r="AP837" s="4"/>
      <c r="AQ837" s="4"/>
      <c r="AR837" s="4"/>
      <c r="AS837" s="4"/>
      <c r="AT837" s="4"/>
      <c r="AU837" s="4"/>
      <c r="AV837" s="4"/>
      <c r="AW837" s="4"/>
      <c r="AX837" s="4"/>
      <c r="AY837" s="4"/>
      <c r="AZ837" s="4"/>
      <c r="BA837" s="4"/>
      <c r="BB837" s="4"/>
      <c r="BC837" s="4"/>
      <c r="BD837" s="5"/>
      <c r="BE837" s="4"/>
      <c r="BF837" s="4"/>
      <c r="BG837" s="4"/>
      <c r="BH837" s="4"/>
      <c r="BI837" s="4"/>
      <c r="BJ837" s="4"/>
      <c r="BK837" s="4"/>
      <c r="BL837" s="4"/>
      <c r="BM837" s="4"/>
      <c r="BN837" s="4"/>
      <c r="BO837" s="4"/>
      <c r="BP837" s="4"/>
      <c r="BQ837" s="4"/>
      <c r="BR837" s="4"/>
      <c r="BS837" s="4"/>
    </row>
    <row r="838" spans="1:7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c r="AG838" s="3"/>
      <c r="AH838" s="4"/>
      <c r="AI838" s="4"/>
      <c r="AJ838" s="4"/>
      <c r="AK838" s="4"/>
      <c r="AL838" s="4"/>
      <c r="AM838" s="4"/>
      <c r="AN838" s="4"/>
      <c r="AO838" s="4"/>
      <c r="AP838" s="4"/>
      <c r="AQ838" s="4"/>
      <c r="AR838" s="4"/>
      <c r="AS838" s="4"/>
      <c r="AT838" s="4"/>
      <c r="AU838" s="4"/>
      <c r="AV838" s="4"/>
      <c r="AW838" s="4"/>
      <c r="AX838" s="4"/>
      <c r="AY838" s="4"/>
      <c r="AZ838" s="4"/>
      <c r="BA838" s="4"/>
      <c r="BB838" s="4"/>
      <c r="BC838" s="4"/>
      <c r="BD838" s="5"/>
      <c r="BE838" s="4"/>
      <c r="BF838" s="4"/>
      <c r="BG838" s="4"/>
      <c r="BH838" s="4"/>
      <c r="BI838" s="4"/>
      <c r="BJ838" s="4"/>
      <c r="BK838" s="4"/>
      <c r="BL838" s="4"/>
      <c r="BM838" s="4"/>
      <c r="BN838" s="4"/>
      <c r="BO838" s="4"/>
      <c r="BP838" s="4"/>
      <c r="BQ838" s="4"/>
      <c r="BR838" s="4"/>
      <c r="BS838" s="4"/>
    </row>
    <row r="839" spans="1:7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c r="AG839" s="3"/>
      <c r="AH839" s="4"/>
      <c r="AI839" s="4"/>
      <c r="AJ839" s="4"/>
      <c r="AK839" s="4"/>
      <c r="AL839" s="4"/>
      <c r="AM839" s="4"/>
      <c r="AN839" s="4"/>
      <c r="AO839" s="4"/>
      <c r="AP839" s="4"/>
      <c r="AQ839" s="4"/>
      <c r="AR839" s="4"/>
      <c r="AS839" s="4"/>
      <c r="AT839" s="4"/>
      <c r="AU839" s="4"/>
      <c r="AV839" s="4"/>
      <c r="AW839" s="4"/>
      <c r="AX839" s="4"/>
      <c r="AY839" s="4"/>
      <c r="AZ839" s="4"/>
      <c r="BA839" s="4"/>
      <c r="BB839" s="4"/>
      <c r="BC839" s="4"/>
      <c r="BD839" s="5"/>
      <c r="BE839" s="4"/>
      <c r="BF839" s="4"/>
      <c r="BG839" s="4"/>
      <c r="BH839" s="4"/>
      <c r="BI839" s="4"/>
      <c r="BJ839" s="4"/>
      <c r="BK839" s="4"/>
      <c r="BL839" s="4"/>
      <c r="BM839" s="4"/>
      <c r="BN839" s="4"/>
      <c r="BO839" s="4"/>
      <c r="BP839" s="4"/>
      <c r="BQ839" s="4"/>
      <c r="BR839" s="4"/>
      <c r="BS839" s="4"/>
    </row>
    <row r="840" spans="1:7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c r="AG840" s="3"/>
      <c r="AH840" s="4"/>
      <c r="AI840" s="4"/>
      <c r="AJ840" s="4"/>
      <c r="AK840" s="4"/>
      <c r="AL840" s="4"/>
      <c r="AM840" s="4"/>
      <c r="AN840" s="4"/>
      <c r="AO840" s="4"/>
      <c r="AP840" s="4"/>
      <c r="AQ840" s="4"/>
      <c r="AR840" s="4"/>
      <c r="AS840" s="4"/>
      <c r="AT840" s="4"/>
      <c r="AU840" s="4"/>
      <c r="AV840" s="4"/>
      <c r="AW840" s="4"/>
      <c r="AX840" s="4"/>
      <c r="AY840" s="4"/>
      <c r="AZ840" s="4"/>
      <c r="BA840" s="4"/>
      <c r="BB840" s="4"/>
      <c r="BC840" s="4"/>
      <c r="BD840" s="5"/>
      <c r="BE840" s="4"/>
      <c r="BF840" s="4"/>
      <c r="BG840" s="4"/>
      <c r="BH840" s="4"/>
      <c r="BI840" s="4"/>
      <c r="BJ840" s="4"/>
      <c r="BK840" s="4"/>
      <c r="BL840" s="4"/>
      <c r="BM840" s="4"/>
      <c r="BN840" s="4"/>
      <c r="BO840" s="4"/>
      <c r="BP840" s="4"/>
      <c r="BQ840" s="4"/>
      <c r="BR840" s="4"/>
      <c r="BS840" s="4"/>
    </row>
    <row r="841" spans="1:7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c r="AG841" s="3"/>
      <c r="AH841" s="4"/>
      <c r="AI841" s="4"/>
      <c r="AJ841" s="4"/>
      <c r="AK841" s="4"/>
      <c r="AL841" s="4"/>
      <c r="AM841" s="4"/>
      <c r="AN841" s="4"/>
      <c r="AO841" s="4"/>
      <c r="AP841" s="4"/>
      <c r="AQ841" s="4"/>
      <c r="AR841" s="4"/>
      <c r="AS841" s="4"/>
      <c r="AT841" s="4"/>
      <c r="AU841" s="4"/>
      <c r="AV841" s="4"/>
      <c r="AW841" s="4"/>
      <c r="AX841" s="4"/>
      <c r="AY841" s="4"/>
      <c r="AZ841" s="4"/>
      <c r="BA841" s="4"/>
      <c r="BB841" s="4"/>
      <c r="BC841" s="4"/>
      <c r="BD841" s="5"/>
      <c r="BE841" s="4"/>
      <c r="BF841" s="4"/>
      <c r="BG841" s="4"/>
      <c r="BH841" s="4"/>
      <c r="BI841" s="4"/>
      <c r="BJ841" s="4"/>
      <c r="BK841" s="4"/>
      <c r="BL841" s="4"/>
      <c r="BM841" s="4"/>
      <c r="BN841" s="4"/>
      <c r="BO841" s="4"/>
      <c r="BP841" s="4"/>
      <c r="BQ841" s="4"/>
      <c r="BR841" s="4"/>
      <c r="BS841" s="4"/>
    </row>
    <row r="842" spans="1:7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c r="AG842" s="3"/>
      <c r="AH842" s="4"/>
      <c r="AI842" s="4"/>
      <c r="AJ842" s="4"/>
      <c r="AK842" s="4"/>
      <c r="AL842" s="4"/>
      <c r="AM842" s="4"/>
      <c r="AN842" s="4"/>
      <c r="AO842" s="4"/>
      <c r="AP842" s="4"/>
      <c r="AQ842" s="4"/>
      <c r="AR842" s="4"/>
      <c r="AS842" s="4"/>
      <c r="AT842" s="4"/>
      <c r="AU842" s="4"/>
      <c r="AV842" s="4"/>
      <c r="AW842" s="4"/>
      <c r="AX842" s="4"/>
      <c r="AY842" s="4"/>
      <c r="AZ842" s="4"/>
      <c r="BA842" s="4"/>
      <c r="BB842" s="4"/>
      <c r="BC842" s="4"/>
      <c r="BD842" s="5"/>
      <c r="BE842" s="4"/>
      <c r="BF842" s="4"/>
      <c r="BG842" s="4"/>
      <c r="BH842" s="4"/>
      <c r="BI842" s="4"/>
      <c r="BJ842" s="4"/>
      <c r="BK842" s="4"/>
      <c r="BL842" s="4"/>
      <c r="BM842" s="4"/>
      <c r="BN842" s="4"/>
      <c r="BO842" s="4"/>
      <c r="BP842" s="4"/>
      <c r="BQ842" s="4"/>
      <c r="BR842" s="4"/>
      <c r="BS842" s="4"/>
    </row>
    <row r="843" spans="1:7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c r="AG843" s="3"/>
      <c r="AH843" s="4"/>
      <c r="AI843" s="4"/>
      <c r="AJ843" s="4"/>
      <c r="AK843" s="4"/>
      <c r="AL843" s="4"/>
      <c r="AM843" s="4"/>
      <c r="AN843" s="4"/>
      <c r="AO843" s="4"/>
      <c r="AP843" s="4"/>
      <c r="AQ843" s="4"/>
      <c r="AR843" s="4"/>
      <c r="AS843" s="4"/>
      <c r="AT843" s="4"/>
      <c r="AU843" s="4"/>
      <c r="AV843" s="4"/>
      <c r="AW843" s="4"/>
      <c r="AX843" s="4"/>
      <c r="AY843" s="4"/>
      <c r="AZ843" s="4"/>
      <c r="BA843" s="4"/>
      <c r="BB843" s="4"/>
      <c r="BC843" s="4"/>
      <c r="BD843" s="5"/>
      <c r="BE843" s="4"/>
      <c r="BF843" s="4"/>
      <c r="BG843" s="4"/>
      <c r="BH843" s="4"/>
      <c r="BI843" s="4"/>
      <c r="BJ843" s="4"/>
      <c r="BK843" s="4"/>
      <c r="BL843" s="4"/>
      <c r="BM843" s="4"/>
      <c r="BN843" s="4"/>
      <c r="BO843" s="4"/>
      <c r="BP843" s="4"/>
      <c r="BQ843" s="4"/>
      <c r="BR843" s="4"/>
      <c r="BS843" s="4"/>
    </row>
    <row r="844" spans="1:7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c r="AG844" s="3"/>
      <c r="AH844" s="4"/>
      <c r="AI844" s="4"/>
      <c r="AJ844" s="4"/>
      <c r="AK844" s="4"/>
      <c r="AL844" s="4"/>
      <c r="AM844" s="4"/>
      <c r="AN844" s="4"/>
      <c r="AO844" s="4"/>
      <c r="AP844" s="4"/>
      <c r="AQ844" s="4"/>
      <c r="AR844" s="4"/>
      <c r="AS844" s="4"/>
      <c r="AT844" s="4"/>
      <c r="AU844" s="4"/>
      <c r="AV844" s="4"/>
      <c r="AW844" s="4"/>
      <c r="AX844" s="4"/>
      <c r="AY844" s="4"/>
      <c r="AZ844" s="4"/>
      <c r="BA844" s="4"/>
      <c r="BB844" s="4"/>
      <c r="BC844" s="4"/>
      <c r="BD844" s="5"/>
      <c r="BE844" s="4"/>
      <c r="BF844" s="4"/>
      <c r="BG844" s="4"/>
      <c r="BH844" s="4"/>
      <c r="BI844" s="4"/>
      <c r="BJ844" s="4"/>
      <c r="BK844" s="4"/>
      <c r="BL844" s="4"/>
      <c r="BM844" s="4"/>
      <c r="BN844" s="4"/>
      <c r="BO844" s="4"/>
      <c r="BP844" s="4"/>
      <c r="BQ844" s="4"/>
      <c r="BR844" s="4"/>
      <c r="BS844" s="4"/>
    </row>
    <row r="845" spans="1:7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c r="AG845" s="3"/>
      <c r="AH845" s="4"/>
      <c r="AI845" s="4"/>
      <c r="AJ845" s="4"/>
      <c r="AK845" s="4"/>
      <c r="AL845" s="4"/>
      <c r="AM845" s="4"/>
      <c r="AN845" s="4"/>
      <c r="AO845" s="4"/>
      <c r="AP845" s="4"/>
      <c r="AQ845" s="4"/>
      <c r="AR845" s="4"/>
      <c r="AS845" s="4"/>
      <c r="AT845" s="4"/>
      <c r="AU845" s="4"/>
      <c r="AV845" s="4"/>
      <c r="AW845" s="4"/>
      <c r="AX845" s="4"/>
      <c r="AY845" s="4"/>
      <c r="AZ845" s="4"/>
      <c r="BA845" s="4"/>
      <c r="BB845" s="4"/>
      <c r="BC845" s="4"/>
      <c r="BD845" s="5"/>
      <c r="BE845" s="4"/>
      <c r="BF845" s="4"/>
      <c r="BG845" s="4"/>
      <c r="BH845" s="4"/>
      <c r="BI845" s="4"/>
      <c r="BJ845" s="4"/>
      <c r="BK845" s="4"/>
      <c r="BL845" s="4"/>
      <c r="BM845" s="4"/>
      <c r="BN845" s="4"/>
      <c r="BO845" s="4"/>
      <c r="BP845" s="4"/>
      <c r="BQ845" s="4"/>
      <c r="BR845" s="4"/>
      <c r="BS845" s="4"/>
    </row>
    <row r="846" spans="1:7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c r="AG846" s="3"/>
      <c r="AH846" s="4"/>
      <c r="AI846" s="4"/>
      <c r="AJ846" s="4"/>
      <c r="AK846" s="4"/>
      <c r="AL846" s="4"/>
      <c r="AM846" s="4"/>
      <c r="AN846" s="4"/>
      <c r="AO846" s="4"/>
      <c r="AP846" s="4"/>
      <c r="AQ846" s="4"/>
      <c r="AR846" s="4"/>
      <c r="AS846" s="4"/>
      <c r="AT846" s="4"/>
      <c r="AU846" s="4"/>
      <c r="AV846" s="4"/>
      <c r="AW846" s="4"/>
      <c r="AX846" s="4"/>
      <c r="AY846" s="4"/>
      <c r="AZ846" s="4"/>
      <c r="BA846" s="4"/>
      <c r="BB846" s="4"/>
      <c r="BC846" s="4"/>
      <c r="BD846" s="5"/>
      <c r="BE846" s="4"/>
      <c r="BF846" s="4"/>
      <c r="BG846" s="4"/>
      <c r="BH846" s="4"/>
      <c r="BI846" s="4"/>
      <c r="BJ846" s="4"/>
      <c r="BK846" s="4"/>
      <c r="BL846" s="4"/>
      <c r="BM846" s="4"/>
      <c r="BN846" s="4"/>
      <c r="BO846" s="4"/>
      <c r="BP846" s="4"/>
      <c r="BQ846" s="4"/>
      <c r="BR846" s="4"/>
      <c r="BS846" s="4"/>
    </row>
    <row r="847" spans="1:7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c r="AG847" s="3"/>
      <c r="AH847" s="4"/>
      <c r="AI847" s="4"/>
      <c r="AJ847" s="4"/>
      <c r="AK847" s="4"/>
      <c r="AL847" s="4"/>
      <c r="AM847" s="4"/>
      <c r="AN847" s="4"/>
      <c r="AO847" s="4"/>
      <c r="AP847" s="4"/>
      <c r="AQ847" s="4"/>
      <c r="AR847" s="4"/>
      <c r="AS847" s="4"/>
      <c r="AT847" s="4"/>
      <c r="AU847" s="4"/>
      <c r="AV847" s="4"/>
      <c r="AW847" s="4"/>
      <c r="AX847" s="4"/>
      <c r="AY847" s="4"/>
      <c r="AZ847" s="4"/>
      <c r="BA847" s="4"/>
      <c r="BB847" s="4"/>
      <c r="BC847" s="4"/>
      <c r="BD847" s="5"/>
      <c r="BE847" s="4"/>
      <c r="BF847" s="4"/>
      <c r="BG847" s="4"/>
      <c r="BH847" s="4"/>
      <c r="BI847" s="4"/>
      <c r="BJ847" s="4"/>
      <c r="BK847" s="4"/>
      <c r="BL847" s="4"/>
      <c r="BM847" s="4"/>
      <c r="BN847" s="4"/>
      <c r="BO847" s="4"/>
      <c r="BP847" s="4"/>
      <c r="BQ847" s="4"/>
      <c r="BR847" s="4"/>
      <c r="BS847" s="4"/>
    </row>
    <row r="848" spans="1:7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c r="AG848" s="3"/>
      <c r="AH848" s="4"/>
      <c r="AI848" s="4"/>
      <c r="AJ848" s="4"/>
      <c r="AK848" s="4"/>
      <c r="AL848" s="4"/>
      <c r="AM848" s="4"/>
      <c r="AN848" s="4"/>
      <c r="AO848" s="4"/>
      <c r="AP848" s="4"/>
      <c r="AQ848" s="4"/>
      <c r="AR848" s="4"/>
      <c r="AS848" s="4"/>
      <c r="AT848" s="4"/>
      <c r="AU848" s="4"/>
      <c r="AV848" s="4"/>
      <c r="AW848" s="4"/>
      <c r="AX848" s="4"/>
      <c r="AY848" s="4"/>
      <c r="AZ848" s="4"/>
      <c r="BA848" s="4"/>
      <c r="BB848" s="4"/>
      <c r="BC848" s="4"/>
      <c r="BD848" s="5"/>
      <c r="BE848" s="4"/>
      <c r="BF848" s="4"/>
      <c r="BG848" s="4"/>
      <c r="BH848" s="4"/>
      <c r="BI848" s="4"/>
      <c r="BJ848" s="4"/>
      <c r="BK848" s="4"/>
      <c r="BL848" s="4"/>
      <c r="BM848" s="4"/>
      <c r="BN848" s="4"/>
      <c r="BO848" s="4"/>
      <c r="BP848" s="4"/>
      <c r="BQ848" s="4"/>
      <c r="BR848" s="4"/>
      <c r="BS848" s="4"/>
    </row>
    <row r="849" spans="1:7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c r="AG849" s="3"/>
      <c r="AH849" s="4"/>
      <c r="AI849" s="4"/>
      <c r="AJ849" s="4"/>
      <c r="AK849" s="4"/>
      <c r="AL849" s="4"/>
      <c r="AM849" s="4"/>
      <c r="AN849" s="4"/>
      <c r="AO849" s="4"/>
      <c r="AP849" s="4"/>
      <c r="AQ849" s="4"/>
      <c r="AR849" s="4"/>
      <c r="AS849" s="4"/>
      <c r="AT849" s="4"/>
      <c r="AU849" s="4"/>
      <c r="AV849" s="4"/>
      <c r="AW849" s="4"/>
      <c r="AX849" s="4"/>
      <c r="AY849" s="4"/>
      <c r="AZ849" s="4"/>
      <c r="BA849" s="4"/>
      <c r="BB849" s="4"/>
      <c r="BC849" s="4"/>
      <c r="BD849" s="5"/>
      <c r="BE849" s="4"/>
      <c r="BF849" s="4"/>
      <c r="BG849" s="4"/>
      <c r="BH849" s="4"/>
      <c r="BI849" s="4"/>
      <c r="BJ849" s="4"/>
      <c r="BK849" s="4"/>
      <c r="BL849" s="4"/>
      <c r="BM849" s="4"/>
      <c r="BN849" s="4"/>
      <c r="BO849" s="4"/>
      <c r="BP849" s="4"/>
      <c r="BQ849" s="4"/>
      <c r="BR849" s="4"/>
      <c r="BS849" s="4"/>
    </row>
    <row r="850" spans="1:7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c r="AG850" s="3"/>
      <c r="AH850" s="4"/>
      <c r="AI850" s="4"/>
      <c r="AJ850" s="4"/>
      <c r="AK850" s="4"/>
      <c r="AL850" s="4"/>
      <c r="AM850" s="4"/>
      <c r="AN850" s="4"/>
      <c r="AO850" s="4"/>
      <c r="AP850" s="4"/>
      <c r="AQ850" s="4"/>
      <c r="AR850" s="4"/>
      <c r="AS850" s="4"/>
      <c r="AT850" s="4"/>
      <c r="AU850" s="4"/>
      <c r="AV850" s="4"/>
      <c r="AW850" s="4"/>
      <c r="AX850" s="4"/>
      <c r="AY850" s="4"/>
      <c r="AZ850" s="4"/>
      <c r="BA850" s="4"/>
      <c r="BB850" s="4"/>
      <c r="BC850" s="4"/>
      <c r="BD850" s="5"/>
      <c r="BE850" s="4"/>
      <c r="BF850" s="4"/>
      <c r="BG850" s="4"/>
      <c r="BH850" s="4"/>
      <c r="BI850" s="4"/>
      <c r="BJ850" s="4"/>
      <c r="BK850" s="4"/>
      <c r="BL850" s="4"/>
      <c r="BM850" s="4"/>
      <c r="BN850" s="4"/>
      <c r="BO850" s="4"/>
      <c r="BP850" s="4"/>
      <c r="BQ850" s="4"/>
      <c r="BR850" s="4"/>
      <c r="BS850" s="4"/>
    </row>
    <row r="851" spans="1:7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c r="AG851" s="3"/>
      <c r="AH851" s="4"/>
      <c r="AI851" s="4"/>
      <c r="AJ851" s="4"/>
      <c r="AK851" s="4"/>
      <c r="AL851" s="4"/>
      <c r="AM851" s="4"/>
      <c r="AN851" s="4"/>
      <c r="AO851" s="4"/>
      <c r="AP851" s="4"/>
      <c r="AQ851" s="4"/>
      <c r="AR851" s="4"/>
      <c r="AS851" s="4"/>
      <c r="AT851" s="4"/>
      <c r="AU851" s="4"/>
      <c r="AV851" s="4"/>
      <c r="AW851" s="4"/>
      <c r="AX851" s="4"/>
      <c r="AY851" s="4"/>
      <c r="AZ851" s="4"/>
      <c r="BA851" s="4"/>
      <c r="BB851" s="4"/>
      <c r="BC851" s="4"/>
      <c r="BD851" s="5"/>
      <c r="BE851" s="4"/>
      <c r="BF851" s="4"/>
      <c r="BG851" s="4"/>
      <c r="BH851" s="4"/>
      <c r="BI851" s="4"/>
      <c r="BJ851" s="4"/>
      <c r="BK851" s="4"/>
      <c r="BL851" s="4"/>
      <c r="BM851" s="4"/>
      <c r="BN851" s="4"/>
      <c r="BO851" s="4"/>
      <c r="BP851" s="4"/>
      <c r="BQ851" s="4"/>
      <c r="BR851" s="4"/>
      <c r="BS851" s="4"/>
    </row>
    <row r="852" spans="1:7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c r="AG852" s="3"/>
      <c r="AH852" s="4"/>
      <c r="AI852" s="4"/>
      <c r="AJ852" s="4"/>
      <c r="AK852" s="4"/>
      <c r="AL852" s="4"/>
      <c r="AM852" s="4"/>
      <c r="AN852" s="4"/>
      <c r="AO852" s="4"/>
      <c r="AP852" s="4"/>
      <c r="AQ852" s="4"/>
      <c r="AR852" s="4"/>
      <c r="AS852" s="4"/>
      <c r="AT852" s="4"/>
      <c r="AU852" s="4"/>
      <c r="AV852" s="4"/>
      <c r="AW852" s="4"/>
      <c r="AX852" s="4"/>
      <c r="AY852" s="4"/>
      <c r="AZ852" s="4"/>
      <c r="BA852" s="4"/>
      <c r="BB852" s="4"/>
      <c r="BC852" s="4"/>
      <c r="BD852" s="5"/>
      <c r="BE852" s="4"/>
      <c r="BF852" s="4"/>
      <c r="BG852" s="4"/>
      <c r="BH852" s="4"/>
      <c r="BI852" s="4"/>
      <c r="BJ852" s="4"/>
      <c r="BK852" s="4"/>
      <c r="BL852" s="4"/>
      <c r="BM852" s="4"/>
      <c r="BN852" s="4"/>
      <c r="BO852" s="4"/>
      <c r="BP852" s="4"/>
      <c r="BQ852" s="4"/>
      <c r="BR852" s="4"/>
      <c r="BS852" s="4"/>
    </row>
    <row r="853" spans="1:7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c r="AG853" s="3"/>
      <c r="AH853" s="4"/>
      <c r="AI853" s="4"/>
      <c r="AJ853" s="4"/>
      <c r="AK853" s="4"/>
      <c r="AL853" s="4"/>
      <c r="AM853" s="4"/>
      <c r="AN853" s="4"/>
      <c r="AO853" s="4"/>
      <c r="AP853" s="4"/>
      <c r="AQ853" s="4"/>
      <c r="AR853" s="4"/>
      <c r="AS853" s="4"/>
      <c r="AT853" s="4"/>
      <c r="AU853" s="4"/>
      <c r="AV853" s="4"/>
      <c r="AW853" s="4"/>
      <c r="AX853" s="4"/>
      <c r="AY853" s="4"/>
      <c r="AZ853" s="4"/>
      <c r="BA853" s="4"/>
      <c r="BB853" s="4"/>
      <c r="BC853" s="4"/>
      <c r="BD853" s="5"/>
      <c r="BE853" s="4"/>
      <c r="BF853" s="4"/>
      <c r="BG853" s="4"/>
      <c r="BH853" s="4"/>
      <c r="BI853" s="4"/>
      <c r="BJ853" s="4"/>
      <c r="BK853" s="4"/>
      <c r="BL853" s="4"/>
      <c r="BM853" s="4"/>
      <c r="BN853" s="4"/>
      <c r="BO853" s="4"/>
      <c r="BP853" s="4"/>
      <c r="BQ853" s="4"/>
      <c r="BR853" s="4"/>
      <c r="BS853" s="4"/>
    </row>
    <row r="854" spans="1:7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c r="AG854" s="3"/>
      <c r="AH854" s="4"/>
      <c r="AI854" s="4"/>
      <c r="AJ854" s="4"/>
      <c r="AK854" s="4"/>
      <c r="AL854" s="4"/>
      <c r="AM854" s="4"/>
      <c r="AN854" s="4"/>
      <c r="AO854" s="4"/>
      <c r="AP854" s="4"/>
      <c r="AQ854" s="4"/>
      <c r="AR854" s="4"/>
      <c r="AS854" s="4"/>
      <c r="AT854" s="4"/>
      <c r="AU854" s="4"/>
      <c r="AV854" s="4"/>
      <c r="AW854" s="4"/>
      <c r="AX854" s="4"/>
      <c r="AY854" s="4"/>
      <c r="AZ854" s="4"/>
      <c r="BA854" s="4"/>
      <c r="BB854" s="4"/>
      <c r="BC854" s="4"/>
      <c r="BD854" s="5"/>
      <c r="BE854" s="4"/>
      <c r="BF854" s="4"/>
      <c r="BG854" s="4"/>
      <c r="BH854" s="4"/>
      <c r="BI854" s="4"/>
      <c r="BJ854" s="4"/>
      <c r="BK854" s="4"/>
      <c r="BL854" s="4"/>
      <c r="BM854" s="4"/>
      <c r="BN854" s="4"/>
      <c r="BO854" s="4"/>
      <c r="BP854" s="4"/>
      <c r="BQ854" s="4"/>
      <c r="BR854" s="4"/>
      <c r="BS854" s="4"/>
    </row>
    <row r="855" spans="1:7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c r="AG855" s="3"/>
      <c r="AH855" s="4"/>
      <c r="AI855" s="4"/>
      <c r="AJ855" s="4"/>
      <c r="AK855" s="4"/>
      <c r="AL855" s="4"/>
      <c r="AM855" s="4"/>
      <c r="AN855" s="4"/>
      <c r="AO855" s="4"/>
      <c r="AP855" s="4"/>
      <c r="AQ855" s="4"/>
      <c r="AR855" s="4"/>
      <c r="AS855" s="4"/>
      <c r="AT855" s="4"/>
      <c r="AU855" s="4"/>
      <c r="AV855" s="4"/>
      <c r="AW855" s="4"/>
      <c r="AX855" s="4"/>
      <c r="AY855" s="4"/>
      <c r="AZ855" s="4"/>
      <c r="BA855" s="4"/>
      <c r="BB855" s="4"/>
      <c r="BC855" s="4"/>
      <c r="BD855" s="5"/>
      <c r="BE855" s="4"/>
      <c r="BF855" s="4"/>
      <c r="BG855" s="4"/>
      <c r="BH855" s="4"/>
      <c r="BI855" s="4"/>
      <c r="BJ855" s="4"/>
      <c r="BK855" s="4"/>
      <c r="BL855" s="4"/>
      <c r="BM855" s="4"/>
      <c r="BN855" s="4"/>
      <c r="BO855" s="4"/>
      <c r="BP855" s="4"/>
      <c r="BQ855" s="4"/>
      <c r="BR855" s="4"/>
      <c r="BS855" s="4"/>
    </row>
    <row r="856" spans="1:7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c r="AG856" s="3"/>
      <c r="AH856" s="4"/>
      <c r="AI856" s="4"/>
      <c r="AJ856" s="4"/>
      <c r="AK856" s="4"/>
      <c r="AL856" s="4"/>
      <c r="AM856" s="4"/>
      <c r="AN856" s="4"/>
      <c r="AO856" s="4"/>
      <c r="AP856" s="4"/>
      <c r="AQ856" s="4"/>
      <c r="AR856" s="4"/>
      <c r="AS856" s="4"/>
      <c r="AT856" s="4"/>
      <c r="AU856" s="4"/>
      <c r="AV856" s="4"/>
      <c r="AW856" s="4"/>
      <c r="AX856" s="4"/>
      <c r="AY856" s="4"/>
      <c r="AZ856" s="4"/>
      <c r="BA856" s="4"/>
      <c r="BB856" s="4"/>
      <c r="BC856" s="4"/>
      <c r="BD856" s="5"/>
      <c r="BE856" s="4"/>
      <c r="BF856" s="4"/>
      <c r="BG856" s="4"/>
      <c r="BH856" s="4"/>
      <c r="BI856" s="4"/>
      <c r="BJ856" s="4"/>
      <c r="BK856" s="4"/>
      <c r="BL856" s="4"/>
      <c r="BM856" s="4"/>
      <c r="BN856" s="4"/>
      <c r="BO856" s="4"/>
      <c r="BP856" s="4"/>
      <c r="BQ856" s="4"/>
      <c r="BR856" s="4"/>
      <c r="BS856" s="4"/>
    </row>
    <row r="857" spans="1:7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c r="AG857" s="3"/>
      <c r="AH857" s="4"/>
      <c r="AI857" s="4"/>
      <c r="AJ857" s="4"/>
      <c r="AK857" s="4"/>
      <c r="AL857" s="4"/>
      <c r="AM857" s="4"/>
      <c r="AN857" s="4"/>
      <c r="AO857" s="4"/>
      <c r="AP857" s="4"/>
      <c r="AQ857" s="4"/>
      <c r="AR857" s="4"/>
      <c r="AS857" s="4"/>
      <c r="AT857" s="4"/>
      <c r="AU857" s="4"/>
      <c r="AV857" s="4"/>
      <c r="AW857" s="4"/>
      <c r="AX857" s="4"/>
      <c r="AY857" s="4"/>
      <c r="AZ857" s="4"/>
      <c r="BA857" s="4"/>
      <c r="BB857" s="4"/>
      <c r="BC857" s="4"/>
      <c r="BD857" s="5"/>
      <c r="BE857" s="4"/>
      <c r="BF857" s="4"/>
      <c r="BG857" s="4"/>
      <c r="BH857" s="4"/>
      <c r="BI857" s="4"/>
      <c r="BJ857" s="4"/>
      <c r="BK857" s="4"/>
      <c r="BL857" s="4"/>
      <c r="BM857" s="4"/>
      <c r="BN857" s="4"/>
      <c r="BO857" s="4"/>
      <c r="BP857" s="4"/>
      <c r="BQ857" s="4"/>
      <c r="BR857" s="4"/>
      <c r="BS857" s="4"/>
    </row>
    <row r="858" spans="1:7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c r="AG858" s="3"/>
      <c r="AH858" s="4"/>
      <c r="AI858" s="4"/>
      <c r="AJ858" s="4"/>
      <c r="AK858" s="4"/>
      <c r="AL858" s="4"/>
      <c r="AM858" s="4"/>
      <c r="AN858" s="4"/>
      <c r="AO858" s="4"/>
      <c r="AP858" s="4"/>
      <c r="AQ858" s="4"/>
      <c r="AR858" s="4"/>
      <c r="AS858" s="4"/>
      <c r="AT858" s="4"/>
      <c r="AU858" s="4"/>
      <c r="AV858" s="4"/>
      <c r="AW858" s="4"/>
      <c r="AX858" s="4"/>
      <c r="AY858" s="4"/>
      <c r="AZ858" s="4"/>
      <c r="BA858" s="4"/>
      <c r="BB858" s="4"/>
      <c r="BC858" s="4"/>
      <c r="BD858" s="5"/>
      <c r="BE858" s="4"/>
      <c r="BF858" s="4"/>
      <c r="BG858" s="4"/>
      <c r="BH858" s="4"/>
      <c r="BI858" s="4"/>
      <c r="BJ858" s="4"/>
      <c r="BK858" s="4"/>
      <c r="BL858" s="4"/>
      <c r="BM858" s="4"/>
      <c r="BN858" s="4"/>
      <c r="BO858" s="4"/>
      <c r="BP858" s="4"/>
      <c r="BQ858" s="4"/>
      <c r="BR858" s="4"/>
      <c r="BS858" s="4"/>
    </row>
    <row r="859" spans="1:7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c r="AG859" s="3"/>
      <c r="AH859" s="4"/>
      <c r="AI859" s="4"/>
      <c r="AJ859" s="4"/>
      <c r="AK859" s="4"/>
      <c r="AL859" s="4"/>
      <c r="AM859" s="4"/>
      <c r="AN859" s="4"/>
      <c r="AO859" s="4"/>
      <c r="AP859" s="4"/>
      <c r="AQ859" s="4"/>
      <c r="AR859" s="4"/>
      <c r="AS859" s="4"/>
      <c r="AT859" s="4"/>
      <c r="AU859" s="4"/>
      <c r="AV859" s="4"/>
      <c r="AW859" s="4"/>
      <c r="AX859" s="4"/>
      <c r="AY859" s="4"/>
      <c r="AZ859" s="4"/>
      <c r="BA859" s="4"/>
      <c r="BB859" s="4"/>
      <c r="BC859" s="4"/>
      <c r="BD859" s="5"/>
      <c r="BE859" s="4"/>
      <c r="BF859" s="4"/>
      <c r="BG859" s="4"/>
      <c r="BH859" s="4"/>
      <c r="BI859" s="4"/>
      <c r="BJ859" s="4"/>
      <c r="BK859" s="4"/>
      <c r="BL859" s="4"/>
      <c r="BM859" s="4"/>
      <c r="BN859" s="4"/>
      <c r="BO859" s="4"/>
      <c r="BP859" s="4"/>
      <c r="BQ859" s="4"/>
      <c r="BR859" s="4"/>
      <c r="BS859" s="4"/>
    </row>
    <row r="860" spans="1:7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c r="AG860" s="3"/>
      <c r="AH860" s="4"/>
      <c r="AI860" s="4"/>
      <c r="AJ860" s="4"/>
      <c r="AK860" s="4"/>
      <c r="AL860" s="4"/>
      <c r="AM860" s="4"/>
      <c r="AN860" s="4"/>
      <c r="AO860" s="4"/>
      <c r="AP860" s="4"/>
      <c r="AQ860" s="4"/>
      <c r="AR860" s="4"/>
      <c r="AS860" s="4"/>
      <c r="AT860" s="4"/>
      <c r="AU860" s="4"/>
      <c r="AV860" s="4"/>
      <c r="AW860" s="4"/>
      <c r="AX860" s="4"/>
      <c r="AY860" s="4"/>
      <c r="AZ860" s="4"/>
      <c r="BA860" s="4"/>
      <c r="BB860" s="4"/>
      <c r="BC860" s="4"/>
      <c r="BD860" s="5"/>
      <c r="BE860" s="4"/>
      <c r="BF860" s="4"/>
      <c r="BG860" s="4"/>
      <c r="BH860" s="4"/>
      <c r="BI860" s="4"/>
      <c r="BJ860" s="4"/>
      <c r="BK860" s="4"/>
      <c r="BL860" s="4"/>
      <c r="BM860" s="4"/>
      <c r="BN860" s="4"/>
      <c r="BO860" s="4"/>
      <c r="BP860" s="4"/>
      <c r="BQ860" s="4"/>
      <c r="BR860" s="4"/>
      <c r="BS860" s="4"/>
    </row>
    <row r="861" spans="1:7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c r="AG861" s="3"/>
      <c r="AH861" s="4"/>
      <c r="AI861" s="4"/>
      <c r="AJ861" s="4"/>
      <c r="AK861" s="4"/>
      <c r="AL861" s="4"/>
      <c r="AM861" s="4"/>
      <c r="AN861" s="4"/>
      <c r="AO861" s="4"/>
      <c r="AP861" s="4"/>
      <c r="AQ861" s="4"/>
      <c r="AR861" s="4"/>
      <c r="AS861" s="4"/>
      <c r="AT861" s="4"/>
      <c r="AU861" s="4"/>
      <c r="AV861" s="4"/>
      <c r="AW861" s="4"/>
      <c r="AX861" s="4"/>
      <c r="AY861" s="4"/>
      <c r="AZ861" s="4"/>
      <c r="BA861" s="4"/>
      <c r="BB861" s="4"/>
      <c r="BC861" s="4"/>
      <c r="BD861" s="5"/>
      <c r="BE861" s="4"/>
      <c r="BF861" s="4"/>
      <c r="BG861" s="4"/>
      <c r="BH861" s="4"/>
      <c r="BI861" s="4"/>
      <c r="BJ861" s="4"/>
      <c r="BK861" s="4"/>
      <c r="BL861" s="4"/>
      <c r="BM861" s="4"/>
      <c r="BN861" s="4"/>
      <c r="BO861" s="4"/>
      <c r="BP861" s="4"/>
      <c r="BQ861" s="4"/>
      <c r="BR861" s="4"/>
      <c r="BS861" s="4"/>
    </row>
    <row r="862" spans="1:7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c r="AG862" s="3"/>
      <c r="AH862" s="4"/>
      <c r="AI862" s="4"/>
      <c r="AJ862" s="4"/>
      <c r="AK862" s="4"/>
      <c r="AL862" s="4"/>
      <c r="AM862" s="4"/>
      <c r="AN862" s="4"/>
      <c r="AO862" s="4"/>
      <c r="AP862" s="4"/>
      <c r="AQ862" s="4"/>
      <c r="AR862" s="4"/>
      <c r="AS862" s="4"/>
      <c r="AT862" s="4"/>
      <c r="AU862" s="4"/>
      <c r="AV862" s="4"/>
      <c r="AW862" s="4"/>
      <c r="AX862" s="4"/>
      <c r="AY862" s="4"/>
      <c r="AZ862" s="4"/>
      <c r="BA862" s="4"/>
      <c r="BB862" s="4"/>
      <c r="BC862" s="4"/>
      <c r="BD862" s="5"/>
      <c r="BE862" s="4"/>
      <c r="BF862" s="4"/>
      <c r="BG862" s="4"/>
      <c r="BH862" s="4"/>
      <c r="BI862" s="4"/>
      <c r="BJ862" s="4"/>
      <c r="BK862" s="4"/>
      <c r="BL862" s="4"/>
      <c r="BM862" s="4"/>
      <c r="BN862" s="4"/>
      <c r="BO862" s="4"/>
      <c r="BP862" s="4"/>
      <c r="BQ862" s="4"/>
      <c r="BR862" s="4"/>
      <c r="BS862" s="4"/>
    </row>
    <row r="863" spans="1:7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c r="AG863" s="3"/>
      <c r="AH863" s="4"/>
      <c r="AI863" s="4"/>
      <c r="AJ863" s="4"/>
      <c r="AK863" s="4"/>
      <c r="AL863" s="4"/>
      <c r="AM863" s="4"/>
      <c r="AN863" s="4"/>
      <c r="AO863" s="4"/>
      <c r="AP863" s="4"/>
      <c r="AQ863" s="4"/>
      <c r="AR863" s="4"/>
      <c r="AS863" s="4"/>
      <c r="AT863" s="4"/>
      <c r="AU863" s="4"/>
      <c r="AV863" s="4"/>
      <c r="AW863" s="4"/>
      <c r="AX863" s="4"/>
      <c r="AY863" s="4"/>
      <c r="AZ863" s="4"/>
      <c r="BA863" s="4"/>
      <c r="BB863" s="4"/>
      <c r="BC863" s="4"/>
      <c r="BD863" s="5"/>
      <c r="BE863" s="4"/>
      <c r="BF863" s="4"/>
      <c r="BG863" s="4"/>
      <c r="BH863" s="4"/>
      <c r="BI863" s="4"/>
      <c r="BJ863" s="4"/>
      <c r="BK863" s="4"/>
      <c r="BL863" s="4"/>
      <c r="BM863" s="4"/>
      <c r="BN863" s="4"/>
      <c r="BO863" s="4"/>
      <c r="BP863" s="4"/>
      <c r="BQ863" s="4"/>
      <c r="BR863" s="4"/>
      <c r="BS863" s="4"/>
    </row>
    <row r="864" spans="1:7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c r="AG864" s="3"/>
      <c r="AH864" s="4"/>
      <c r="AI864" s="4"/>
      <c r="AJ864" s="4"/>
      <c r="AK864" s="4"/>
      <c r="AL864" s="4"/>
      <c r="AM864" s="4"/>
      <c r="AN864" s="4"/>
      <c r="AO864" s="4"/>
      <c r="AP864" s="4"/>
      <c r="AQ864" s="4"/>
      <c r="AR864" s="4"/>
      <c r="AS864" s="4"/>
      <c r="AT864" s="4"/>
      <c r="AU864" s="4"/>
      <c r="AV864" s="4"/>
      <c r="AW864" s="4"/>
      <c r="AX864" s="4"/>
      <c r="AY864" s="4"/>
      <c r="AZ864" s="4"/>
      <c r="BA864" s="4"/>
      <c r="BB864" s="4"/>
      <c r="BC864" s="4"/>
      <c r="BD864" s="5"/>
      <c r="BE864" s="4"/>
      <c r="BF864" s="4"/>
      <c r="BG864" s="4"/>
      <c r="BH864" s="4"/>
      <c r="BI864" s="4"/>
      <c r="BJ864" s="4"/>
      <c r="BK864" s="4"/>
      <c r="BL864" s="4"/>
      <c r="BM864" s="4"/>
      <c r="BN864" s="4"/>
      <c r="BO864" s="4"/>
      <c r="BP864" s="4"/>
      <c r="BQ864" s="4"/>
      <c r="BR864" s="4"/>
      <c r="BS864" s="4"/>
    </row>
    <row r="865" spans="1:7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c r="AG865" s="3"/>
      <c r="AH865" s="4"/>
      <c r="AI865" s="4"/>
      <c r="AJ865" s="4"/>
      <c r="AK865" s="4"/>
      <c r="AL865" s="4"/>
      <c r="AM865" s="4"/>
      <c r="AN865" s="4"/>
      <c r="AO865" s="4"/>
      <c r="AP865" s="4"/>
      <c r="AQ865" s="4"/>
      <c r="AR865" s="4"/>
      <c r="AS865" s="4"/>
      <c r="AT865" s="4"/>
      <c r="AU865" s="4"/>
      <c r="AV865" s="4"/>
      <c r="AW865" s="4"/>
      <c r="AX865" s="4"/>
      <c r="AY865" s="4"/>
      <c r="AZ865" s="4"/>
      <c r="BA865" s="4"/>
      <c r="BB865" s="4"/>
      <c r="BC865" s="4"/>
      <c r="BD865" s="5"/>
      <c r="BE865" s="4"/>
      <c r="BF865" s="4"/>
      <c r="BG865" s="4"/>
      <c r="BH865" s="4"/>
      <c r="BI865" s="4"/>
      <c r="BJ865" s="4"/>
      <c r="BK865" s="4"/>
      <c r="BL865" s="4"/>
      <c r="BM865" s="4"/>
      <c r="BN865" s="4"/>
      <c r="BO865" s="4"/>
      <c r="BP865" s="4"/>
      <c r="BQ865" s="4"/>
      <c r="BR865" s="4"/>
      <c r="BS865" s="4"/>
    </row>
    <row r="866" spans="1:7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c r="AG866" s="3"/>
      <c r="AH866" s="4"/>
      <c r="AI866" s="4"/>
      <c r="AJ866" s="4"/>
      <c r="AK866" s="4"/>
      <c r="AL866" s="4"/>
      <c r="AM866" s="4"/>
      <c r="AN866" s="4"/>
      <c r="AO866" s="4"/>
      <c r="AP866" s="4"/>
      <c r="AQ866" s="4"/>
      <c r="AR866" s="4"/>
      <c r="AS866" s="4"/>
      <c r="AT866" s="4"/>
      <c r="AU866" s="4"/>
      <c r="AV866" s="4"/>
      <c r="AW866" s="4"/>
      <c r="AX866" s="4"/>
      <c r="AY866" s="4"/>
      <c r="AZ866" s="4"/>
      <c r="BA866" s="4"/>
      <c r="BB866" s="4"/>
      <c r="BC866" s="4"/>
      <c r="BD866" s="5"/>
      <c r="BE866" s="4"/>
      <c r="BF866" s="4"/>
      <c r="BG866" s="4"/>
      <c r="BH866" s="4"/>
      <c r="BI866" s="4"/>
      <c r="BJ866" s="4"/>
      <c r="BK866" s="4"/>
      <c r="BL866" s="4"/>
      <c r="BM866" s="4"/>
      <c r="BN866" s="4"/>
      <c r="BO866" s="4"/>
      <c r="BP866" s="4"/>
      <c r="BQ866" s="4"/>
      <c r="BR866" s="4"/>
      <c r="BS866" s="4"/>
    </row>
    <row r="867" spans="1:7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c r="AG867" s="3"/>
      <c r="AH867" s="4"/>
      <c r="AI867" s="4"/>
      <c r="AJ867" s="4"/>
      <c r="AK867" s="4"/>
      <c r="AL867" s="4"/>
      <c r="AM867" s="4"/>
      <c r="AN867" s="4"/>
      <c r="AO867" s="4"/>
      <c r="AP867" s="4"/>
      <c r="AQ867" s="4"/>
      <c r="AR867" s="4"/>
      <c r="AS867" s="4"/>
      <c r="AT867" s="4"/>
      <c r="AU867" s="4"/>
      <c r="AV867" s="4"/>
      <c r="AW867" s="4"/>
      <c r="AX867" s="4"/>
      <c r="AY867" s="4"/>
      <c r="AZ867" s="4"/>
      <c r="BA867" s="4"/>
      <c r="BB867" s="4"/>
      <c r="BC867" s="4"/>
      <c r="BD867" s="5"/>
      <c r="BE867" s="4"/>
      <c r="BF867" s="4"/>
      <c r="BG867" s="4"/>
      <c r="BH867" s="4"/>
      <c r="BI867" s="4"/>
      <c r="BJ867" s="4"/>
      <c r="BK867" s="4"/>
      <c r="BL867" s="4"/>
      <c r="BM867" s="4"/>
      <c r="BN867" s="4"/>
      <c r="BO867" s="4"/>
      <c r="BP867" s="4"/>
      <c r="BQ867" s="4"/>
      <c r="BR867" s="4"/>
      <c r="BS867" s="4"/>
    </row>
    <row r="868" spans="1:7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c r="AG868" s="3"/>
      <c r="AH868" s="4"/>
      <c r="AI868" s="4"/>
      <c r="AJ868" s="4"/>
      <c r="AK868" s="4"/>
      <c r="AL868" s="4"/>
      <c r="AM868" s="4"/>
      <c r="AN868" s="4"/>
      <c r="AO868" s="4"/>
      <c r="AP868" s="4"/>
      <c r="AQ868" s="4"/>
      <c r="AR868" s="4"/>
      <c r="AS868" s="4"/>
      <c r="AT868" s="4"/>
      <c r="AU868" s="4"/>
      <c r="AV868" s="4"/>
      <c r="AW868" s="4"/>
      <c r="AX868" s="4"/>
      <c r="AY868" s="4"/>
      <c r="AZ868" s="4"/>
      <c r="BA868" s="4"/>
      <c r="BB868" s="4"/>
      <c r="BC868" s="4"/>
      <c r="BD868" s="5"/>
      <c r="BE868" s="4"/>
      <c r="BF868" s="4"/>
      <c r="BG868" s="4"/>
      <c r="BH868" s="4"/>
      <c r="BI868" s="4"/>
      <c r="BJ868" s="4"/>
      <c r="BK868" s="4"/>
      <c r="BL868" s="4"/>
      <c r="BM868" s="4"/>
      <c r="BN868" s="4"/>
      <c r="BO868" s="4"/>
      <c r="BP868" s="4"/>
      <c r="BQ868" s="4"/>
      <c r="BR868" s="4"/>
      <c r="BS868" s="4"/>
    </row>
    <row r="869" spans="1:7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c r="AG869" s="3"/>
      <c r="AH869" s="4"/>
      <c r="AI869" s="4"/>
      <c r="AJ869" s="4"/>
      <c r="AK869" s="4"/>
      <c r="AL869" s="4"/>
      <c r="AM869" s="4"/>
      <c r="AN869" s="4"/>
      <c r="AO869" s="4"/>
      <c r="AP869" s="4"/>
      <c r="AQ869" s="4"/>
      <c r="AR869" s="4"/>
      <c r="AS869" s="4"/>
      <c r="AT869" s="4"/>
      <c r="AU869" s="4"/>
      <c r="AV869" s="4"/>
      <c r="AW869" s="4"/>
      <c r="AX869" s="4"/>
      <c r="AY869" s="4"/>
      <c r="AZ869" s="4"/>
      <c r="BA869" s="4"/>
      <c r="BB869" s="4"/>
      <c r="BC869" s="4"/>
      <c r="BD869" s="5"/>
      <c r="BE869" s="4"/>
      <c r="BF869" s="4"/>
      <c r="BG869" s="4"/>
      <c r="BH869" s="4"/>
      <c r="BI869" s="4"/>
      <c r="BJ869" s="4"/>
      <c r="BK869" s="4"/>
      <c r="BL869" s="4"/>
      <c r="BM869" s="4"/>
      <c r="BN869" s="4"/>
      <c r="BO869" s="4"/>
      <c r="BP869" s="4"/>
      <c r="BQ869" s="4"/>
      <c r="BR869" s="4"/>
      <c r="BS869" s="4"/>
    </row>
    <row r="870" spans="1:7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c r="AG870" s="3"/>
      <c r="AH870" s="4"/>
      <c r="AI870" s="4"/>
      <c r="AJ870" s="4"/>
      <c r="AK870" s="4"/>
      <c r="AL870" s="4"/>
      <c r="AM870" s="4"/>
      <c r="AN870" s="4"/>
      <c r="AO870" s="4"/>
      <c r="AP870" s="4"/>
      <c r="AQ870" s="4"/>
      <c r="AR870" s="4"/>
      <c r="AS870" s="4"/>
      <c r="AT870" s="4"/>
      <c r="AU870" s="4"/>
      <c r="AV870" s="4"/>
      <c r="AW870" s="4"/>
      <c r="AX870" s="4"/>
      <c r="AY870" s="4"/>
      <c r="AZ870" s="4"/>
      <c r="BA870" s="4"/>
      <c r="BB870" s="4"/>
      <c r="BC870" s="4"/>
      <c r="BD870" s="5"/>
      <c r="BE870" s="4"/>
      <c r="BF870" s="4"/>
      <c r="BG870" s="4"/>
      <c r="BH870" s="4"/>
      <c r="BI870" s="4"/>
      <c r="BJ870" s="4"/>
      <c r="BK870" s="4"/>
      <c r="BL870" s="4"/>
      <c r="BM870" s="4"/>
      <c r="BN870" s="4"/>
      <c r="BO870" s="4"/>
      <c r="BP870" s="4"/>
      <c r="BQ870" s="4"/>
      <c r="BR870" s="4"/>
      <c r="BS870" s="4"/>
    </row>
    <row r="871" spans="1: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c r="AG871" s="3"/>
      <c r="AH871" s="4"/>
      <c r="AI871" s="4"/>
      <c r="AJ871" s="4"/>
      <c r="AK871" s="4"/>
      <c r="AL871" s="4"/>
      <c r="AM871" s="4"/>
      <c r="AN871" s="4"/>
      <c r="AO871" s="4"/>
      <c r="AP871" s="4"/>
      <c r="AQ871" s="4"/>
      <c r="AR871" s="4"/>
      <c r="AS871" s="4"/>
      <c r="AT871" s="4"/>
      <c r="AU871" s="4"/>
      <c r="AV871" s="4"/>
      <c r="AW871" s="4"/>
      <c r="AX871" s="4"/>
      <c r="AY871" s="4"/>
      <c r="AZ871" s="4"/>
      <c r="BA871" s="4"/>
      <c r="BB871" s="4"/>
      <c r="BC871" s="4"/>
      <c r="BD871" s="5"/>
      <c r="BE871" s="4"/>
      <c r="BF871" s="4"/>
      <c r="BG871" s="4"/>
      <c r="BH871" s="4"/>
      <c r="BI871" s="4"/>
      <c r="BJ871" s="4"/>
      <c r="BK871" s="4"/>
      <c r="BL871" s="4"/>
      <c r="BM871" s="4"/>
      <c r="BN871" s="4"/>
      <c r="BO871" s="4"/>
      <c r="BP871" s="4"/>
      <c r="BQ871" s="4"/>
      <c r="BR871" s="4"/>
      <c r="BS871" s="4"/>
    </row>
    <row r="872" spans="1:7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c r="AG872" s="3"/>
      <c r="AH872" s="4"/>
      <c r="AI872" s="4"/>
      <c r="AJ872" s="4"/>
      <c r="AK872" s="4"/>
      <c r="AL872" s="4"/>
      <c r="AM872" s="4"/>
      <c r="AN872" s="4"/>
      <c r="AO872" s="4"/>
      <c r="AP872" s="4"/>
      <c r="AQ872" s="4"/>
      <c r="AR872" s="4"/>
      <c r="AS872" s="4"/>
      <c r="AT872" s="4"/>
      <c r="AU872" s="4"/>
      <c r="AV872" s="4"/>
      <c r="AW872" s="4"/>
      <c r="AX872" s="4"/>
      <c r="AY872" s="4"/>
      <c r="AZ872" s="4"/>
      <c r="BA872" s="4"/>
      <c r="BB872" s="4"/>
      <c r="BC872" s="4"/>
      <c r="BD872" s="5"/>
      <c r="BE872" s="4"/>
      <c r="BF872" s="4"/>
      <c r="BG872" s="4"/>
      <c r="BH872" s="4"/>
      <c r="BI872" s="4"/>
      <c r="BJ872" s="4"/>
      <c r="BK872" s="4"/>
      <c r="BL872" s="4"/>
      <c r="BM872" s="4"/>
      <c r="BN872" s="4"/>
      <c r="BO872" s="4"/>
      <c r="BP872" s="4"/>
      <c r="BQ872" s="4"/>
      <c r="BR872" s="4"/>
      <c r="BS872" s="4"/>
    </row>
    <row r="873" spans="1:7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c r="AG873" s="3"/>
      <c r="AH873" s="4"/>
      <c r="AI873" s="4"/>
      <c r="AJ873" s="4"/>
      <c r="AK873" s="4"/>
      <c r="AL873" s="4"/>
      <c r="AM873" s="4"/>
      <c r="AN873" s="4"/>
      <c r="AO873" s="4"/>
      <c r="AP873" s="4"/>
      <c r="AQ873" s="4"/>
      <c r="AR873" s="4"/>
      <c r="AS873" s="4"/>
      <c r="AT873" s="4"/>
      <c r="AU873" s="4"/>
      <c r="AV873" s="4"/>
      <c r="AW873" s="4"/>
      <c r="AX873" s="4"/>
      <c r="AY873" s="4"/>
      <c r="AZ873" s="4"/>
      <c r="BA873" s="4"/>
      <c r="BB873" s="4"/>
      <c r="BC873" s="4"/>
      <c r="BD873" s="5"/>
      <c r="BE873" s="4"/>
      <c r="BF873" s="4"/>
      <c r="BG873" s="4"/>
      <c r="BH873" s="4"/>
      <c r="BI873" s="4"/>
      <c r="BJ873" s="4"/>
      <c r="BK873" s="4"/>
      <c r="BL873" s="4"/>
      <c r="BM873" s="4"/>
      <c r="BN873" s="4"/>
      <c r="BO873" s="4"/>
      <c r="BP873" s="4"/>
      <c r="BQ873" s="4"/>
      <c r="BR873" s="4"/>
      <c r="BS873" s="4"/>
    </row>
    <row r="874" spans="1:7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c r="AG874" s="3"/>
      <c r="AH874" s="4"/>
      <c r="AI874" s="4"/>
      <c r="AJ874" s="4"/>
      <c r="AK874" s="4"/>
      <c r="AL874" s="4"/>
      <c r="AM874" s="4"/>
      <c r="AN874" s="4"/>
      <c r="AO874" s="4"/>
      <c r="AP874" s="4"/>
      <c r="AQ874" s="4"/>
      <c r="AR874" s="4"/>
      <c r="AS874" s="4"/>
      <c r="AT874" s="4"/>
      <c r="AU874" s="4"/>
      <c r="AV874" s="4"/>
      <c r="AW874" s="4"/>
      <c r="AX874" s="4"/>
      <c r="AY874" s="4"/>
      <c r="AZ874" s="4"/>
      <c r="BA874" s="4"/>
      <c r="BB874" s="4"/>
      <c r="BC874" s="4"/>
      <c r="BD874" s="5"/>
      <c r="BE874" s="4"/>
      <c r="BF874" s="4"/>
      <c r="BG874" s="4"/>
      <c r="BH874" s="4"/>
      <c r="BI874" s="4"/>
      <c r="BJ874" s="4"/>
      <c r="BK874" s="4"/>
      <c r="BL874" s="4"/>
      <c r="BM874" s="4"/>
      <c r="BN874" s="4"/>
      <c r="BO874" s="4"/>
      <c r="BP874" s="4"/>
      <c r="BQ874" s="4"/>
      <c r="BR874" s="4"/>
      <c r="BS874" s="4"/>
    </row>
    <row r="875" spans="1:7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c r="AG875" s="3"/>
      <c r="AH875" s="4"/>
      <c r="AI875" s="4"/>
      <c r="AJ875" s="4"/>
      <c r="AK875" s="4"/>
      <c r="AL875" s="4"/>
      <c r="AM875" s="4"/>
      <c r="AN875" s="4"/>
      <c r="AO875" s="4"/>
      <c r="AP875" s="4"/>
      <c r="AQ875" s="4"/>
      <c r="AR875" s="4"/>
      <c r="AS875" s="4"/>
      <c r="AT875" s="4"/>
      <c r="AU875" s="4"/>
      <c r="AV875" s="4"/>
      <c r="AW875" s="4"/>
      <c r="AX875" s="4"/>
      <c r="AY875" s="4"/>
      <c r="AZ875" s="4"/>
      <c r="BA875" s="4"/>
      <c r="BB875" s="4"/>
      <c r="BC875" s="4"/>
      <c r="BD875" s="5"/>
      <c r="BE875" s="4"/>
      <c r="BF875" s="4"/>
      <c r="BG875" s="4"/>
      <c r="BH875" s="4"/>
      <c r="BI875" s="4"/>
      <c r="BJ875" s="4"/>
      <c r="BK875" s="4"/>
      <c r="BL875" s="4"/>
      <c r="BM875" s="4"/>
      <c r="BN875" s="4"/>
      <c r="BO875" s="4"/>
      <c r="BP875" s="4"/>
      <c r="BQ875" s="4"/>
      <c r="BR875" s="4"/>
      <c r="BS875" s="4"/>
    </row>
    <row r="876" spans="1:7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c r="AG876" s="3"/>
      <c r="AH876" s="4"/>
      <c r="AI876" s="4"/>
      <c r="AJ876" s="4"/>
      <c r="AK876" s="4"/>
      <c r="AL876" s="4"/>
      <c r="AM876" s="4"/>
      <c r="AN876" s="4"/>
      <c r="AO876" s="4"/>
      <c r="AP876" s="4"/>
      <c r="AQ876" s="4"/>
      <c r="AR876" s="4"/>
      <c r="AS876" s="4"/>
      <c r="AT876" s="4"/>
      <c r="AU876" s="4"/>
      <c r="AV876" s="4"/>
      <c r="AW876" s="4"/>
      <c r="AX876" s="4"/>
      <c r="AY876" s="4"/>
      <c r="AZ876" s="4"/>
      <c r="BA876" s="4"/>
      <c r="BB876" s="4"/>
      <c r="BC876" s="4"/>
      <c r="BD876" s="5"/>
      <c r="BE876" s="4"/>
      <c r="BF876" s="4"/>
      <c r="BG876" s="4"/>
      <c r="BH876" s="4"/>
      <c r="BI876" s="4"/>
      <c r="BJ876" s="4"/>
      <c r="BK876" s="4"/>
      <c r="BL876" s="4"/>
      <c r="BM876" s="4"/>
      <c r="BN876" s="4"/>
      <c r="BO876" s="4"/>
      <c r="BP876" s="4"/>
      <c r="BQ876" s="4"/>
      <c r="BR876" s="4"/>
      <c r="BS876" s="4"/>
    </row>
    <row r="877" spans="1:7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c r="AG877" s="3"/>
      <c r="AH877" s="4"/>
      <c r="AI877" s="4"/>
      <c r="AJ877" s="4"/>
      <c r="AK877" s="4"/>
      <c r="AL877" s="4"/>
      <c r="AM877" s="4"/>
      <c r="AN877" s="4"/>
      <c r="AO877" s="4"/>
      <c r="AP877" s="4"/>
      <c r="AQ877" s="4"/>
      <c r="AR877" s="4"/>
      <c r="AS877" s="4"/>
      <c r="AT877" s="4"/>
      <c r="AU877" s="4"/>
      <c r="AV877" s="4"/>
      <c r="AW877" s="4"/>
      <c r="AX877" s="4"/>
      <c r="AY877" s="4"/>
      <c r="AZ877" s="4"/>
      <c r="BA877" s="4"/>
      <c r="BB877" s="4"/>
      <c r="BC877" s="4"/>
      <c r="BD877" s="5"/>
      <c r="BE877" s="4"/>
      <c r="BF877" s="4"/>
      <c r="BG877" s="4"/>
      <c r="BH877" s="4"/>
      <c r="BI877" s="4"/>
      <c r="BJ877" s="4"/>
      <c r="BK877" s="4"/>
      <c r="BL877" s="4"/>
      <c r="BM877" s="4"/>
      <c r="BN877" s="4"/>
      <c r="BO877" s="4"/>
      <c r="BP877" s="4"/>
      <c r="BQ877" s="4"/>
      <c r="BR877" s="4"/>
      <c r="BS877" s="4"/>
    </row>
    <row r="878" spans="1:7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c r="AG878" s="3"/>
      <c r="AH878" s="4"/>
      <c r="AI878" s="4"/>
      <c r="AJ878" s="4"/>
      <c r="AK878" s="4"/>
      <c r="AL878" s="4"/>
      <c r="AM878" s="4"/>
      <c r="AN878" s="4"/>
      <c r="AO878" s="4"/>
      <c r="AP878" s="4"/>
      <c r="AQ878" s="4"/>
      <c r="AR878" s="4"/>
      <c r="AS878" s="4"/>
      <c r="AT878" s="4"/>
      <c r="AU878" s="4"/>
      <c r="AV878" s="4"/>
      <c r="AW878" s="4"/>
      <c r="AX878" s="4"/>
      <c r="AY878" s="4"/>
      <c r="AZ878" s="4"/>
      <c r="BA878" s="4"/>
      <c r="BB878" s="4"/>
      <c r="BC878" s="4"/>
      <c r="BD878" s="5"/>
      <c r="BE878" s="4"/>
      <c r="BF878" s="4"/>
      <c r="BG878" s="4"/>
      <c r="BH878" s="4"/>
      <c r="BI878" s="4"/>
      <c r="BJ878" s="4"/>
      <c r="BK878" s="4"/>
      <c r="BL878" s="4"/>
      <c r="BM878" s="4"/>
      <c r="BN878" s="4"/>
      <c r="BO878" s="4"/>
      <c r="BP878" s="4"/>
      <c r="BQ878" s="4"/>
      <c r="BR878" s="4"/>
      <c r="BS878" s="4"/>
    </row>
    <row r="879" spans="1:7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c r="AG879" s="3"/>
      <c r="AH879" s="4"/>
      <c r="AI879" s="4"/>
      <c r="AJ879" s="4"/>
      <c r="AK879" s="4"/>
      <c r="AL879" s="4"/>
      <c r="AM879" s="4"/>
      <c r="AN879" s="4"/>
      <c r="AO879" s="4"/>
      <c r="AP879" s="4"/>
      <c r="AQ879" s="4"/>
      <c r="AR879" s="4"/>
      <c r="AS879" s="4"/>
      <c r="AT879" s="4"/>
      <c r="AU879" s="4"/>
      <c r="AV879" s="4"/>
      <c r="AW879" s="4"/>
      <c r="AX879" s="4"/>
      <c r="AY879" s="4"/>
      <c r="AZ879" s="4"/>
      <c r="BA879" s="4"/>
      <c r="BB879" s="4"/>
      <c r="BC879" s="4"/>
      <c r="BD879" s="5"/>
      <c r="BE879" s="4"/>
      <c r="BF879" s="4"/>
      <c r="BG879" s="4"/>
      <c r="BH879" s="4"/>
      <c r="BI879" s="4"/>
      <c r="BJ879" s="4"/>
      <c r="BK879" s="4"/>
      <c r="BL879" s="4"/>
      <c r="BM879" s="4"/>
      <c r="BN879" s="4"/>
      <c r="BO879" s="4"/>
      <c r="BP879" s="4"/>
      <c r="BQ879" s="4"/>
      <c r="BR879" s="4"/>
      <c r="BS879" s="4"/>
    </row>
    <row r="880" spans="1:7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c r="AG880" s="3"/>
      <c r="AH880" s="4"/>
      <c r="AI880" s="4"/>
      <c r="AJ880" s="4"/>
      <c r="AK880" s="4"/>
      <c r="AL880" s="4"/>
      <c r="AM880" s="4"/>
      <c r="AN880" s="4"/>
      <c r="AO880" s="4"/>
      <c r="AP880" s="4"/>
      <c r="AQ880" s="4"/>
      <c r="AR880" s="4"/>
      <c r="AS880" s="4"/>
      <c r="AT880" s="4"/>
      <c r="AU880" s="4"/>
      <c r="AV880" s="4"/>
      <c r="AW880" s="4"/>
      <c r="AX880" s="4"/>
      <c r="AY880" s="4"/>
      <c r="AZ880" s="4"/>
      <c r="BA880" s="4"/>
      <c r="BB880" s="4"/>
      <c r="BC880" s="4"/>
      <c r="BD880" s="5"/>
      <c r="BE880" s="4"/>
      <c r="BF880" s="4"/>
      <c r="BG880" s="4"/>
      <c r="BH880" s="4"/>
      <c r="BI880" s="4"/>
      <c r="BJ880" s="4"/>
      <c r="BK880" s="4"/>
      <c r="BL880" s="4"/>
      <c r="BM880" s="4"/>
      <c r="BN880" s="4"/>
      <c r="BO880" s="4"/>
      <c r="BP880" s="4"/>
      <c r="BQ880" s="4"/>
      <c r="BR880" s="4"/>
      <c r="BS880" s="4"/>
    </row>
    <row r="881" spans="1:7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c r="AG881" s="3"/>
      <c r="AH881" s="4"/>
      <c r="AI881" s="4"/>
      <c r="AJ881" s="4"/>
      <c r="AK881" s="4"/>
      <c r="AL881" s="4"/>
      <c r="AM881" s="4"/>
      <c r="AN881" s="4"/>
      <c r="AO881" s="4"/>
      <c r="AP881" s="4"/>
      <c r="AQ881" s="4"/>
      <c r="AR881" s="4"/>
      <c r="AS881" s="4"/>
      <c r="AT881" s="4"/>
      <c r="AU881" s="4"/>
      <c r="AV881" s="4"/>
      <c r="AW881" s="4"/>
      <c r="AX881" s="4"/>
      <c r="AY881" s="4"/>
      <c r="AZ881" s="4"/>
      <c r="BA881" s="4"/>
      <c r="BB881" s="4"/>
      <c r="BC881" s="4"/>
      <c r="BD881" s="5"/>
      <c r="BE881" s="4"/>
      <c r="BF881" s="4"/>
      <c r="BG881" s="4"/>
      <c r="BH881" s="4"/>
      <c r="BI881" s="4"/>
      <c r="BJ881" s="4"/>
      <c r="BK881" s="4"/>
      <c r="BL881" s="4"/>
      <c r="BM881" s="4"/>
      <c r="BN881" s="4"/>
      <c r="BO881" s="4"/>
      <c r="BP881" s="4"/>
      <c r="BQ881" s="4"/>
      <c r="BR881" s="4"/>
      <c r="BS881" s="4"/>
    </row>
    <row r="882" spans="1:7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c r="AG882" s="3"/>
      <c r="AH882" s="4"/>
      <c r="AI882" s="4"/>
      <c r="AJ882" s="4"/>
      <c r="AK882" s="4"/>
      <c r="AL882" s="4"/>
      <c r="AM882" s="4"/>
      <c r="AN882" s="4"/>
      <c r="AO882" s="4"/>
      <c r="AP882" s="4"/>
      <c r="AQ882" s="4"/>
      <c r="AR882" s="4"/>
      <c r="AS882" s="4"/>
      <c r="AT882" s="4"/>
      <c r="AU882" s="4"/>
      <c r="AV882" s="4"/>
      <c r="AW882" s="4"/>
      <c r="AX882" s="4"/>
      <c r="AY882" s="4"/>
      <c r="AZ882" s="4"/>
      <c r="BA882" s="4"/>
      <c r="BB882" s="4"/>
      <c r="BC882" s="4"/>
      <c r="BD882" s="5"/>
      <c r="BE882" s="4"/>
      <c r="BF882" s="4"/>
      <c r="BG882" s="4"/>
      <c r="BH882" s="4"/>
      <c r="BI882" s="4"/>
      <c r="BJ882" s="4"/>
      <c r="BK882" s="4"/>
      <c r="BL882" s="4"/>
      <c r="BM882" s="4"/>
      <c r="BN882" s="4"/>
      <c r="BO882" s="4"/>
      <c r="BP882" s="4"/>
      <c r="BQ882" s="4"/>
      <c r="BR882" s="4"/>
      <c r="BS882" s="4"/>
    </row>
    <row r="883" spans="1:7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c r="AG883" s="3"/>
      <c r="AH883" s="4"/>
      <c r="AI883" s="4"/>
      <c r="AJ883" s="4"/>
      <c r="AK883" s="4"/>
      <c r="AL883" s="4"/>
      <c r="AM883" s="4"/>
      <c r="AN883" s="4"/>
      <c r="AO883" s="4"/>
      <c r="AP883" s="4"/>
      <c r="AQ883" s="4"/>
      <c r="AR883" s="4"/>
      <c r="AS883" s="4"/>
      <c r="AT883" s="4"/>
      <c r="AU883" s="4"/>
      <c r="AV883" s="4"/>
      <c r="AW883" s="4"/>
      <c r="AX883" s="4"/>
      <c r="AY883" s="4"/>
      <c r="AZ883" s="4"/>
      <c r="BA883" s="4"/>
      <c r="BB883" s="4"/>
      <c r="BC883" s="4"/>
      <c r="BD883" s="5"/>
      <c r="BE883" s="4"/>
      <c r="BF883" s="4"/>
      <c r="BG883" s="4"/>
      <c r="BH883" s="4"/>
      <c r="BI883" s="4"/>
      <c r="BJ883" s="4"/>
      <c r="BK883" s="4"/>
      <c r="BL883" s="4"/>
      <c r="BM883" s="4"/>
      <c r="BN883" s="4"/>
      <c r="BO883" s="4"/>
      <c r="BP883" s="4"/>
      <c r="BQ883" s="4"/>
      <c r="BR883" s="4"/>
      <c r="BS883" s="4"/>
    </row>
    <row r="884" spans="1:7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c r="AG884" s="3"/>
      <c r="AH884" s="4"/>
      <c r="AI884" s="4"/>
      <c r="AJ884" s="4"/>
      <c r="AK884" s="4"/>
      <c r="AL884" s="4"/>
      <c r="AM884" s="4"/>
      <c r="AN884" s="4"/>
      <c r="AO884" s="4"/>
      <c r="AP884" s="4"/>
      <c r="AQ884" s="4"/>
      <c r="AR884" s="4"/>
      <c r="AS884" s="4"/>
      <c r="AT884" s="4"/>
      <c r="AU884" s="4"/>
      <c r="AV884" s="4"/>
      <c r="AW884" s="4"/>
      <c r="AX884" s="4"/>
      <c r="AY884" s="4"/>
      <c r="AZ884" s="4"/>
      <c r="BA884" s="4"/>
      <c r="BB884" s="4"/>
      <c r="BC884" s="4"/>
      <c r="BD884" s="5"/>
      <c r="BE884" s="4"/>
      <c r="BF884" s="4"/>
      <c r="BG884" s="4"/>
      <c r="BH884" s="4"/>
      <c r="BI884" s="4"/>
      <c r="BJ884" s="4"/>
      <c r="BK884" s="4"/>
      <c r="BL884" s="4"/>
      <c r="BM884" s="4"/>
      <c r="BN884" s="4"/>
      <c r="BO884" s="4"/>
      <c r="BP884" s="4"/>
      <c r="BQ884" s="4"/>
      <c r="BR884" s="4"/>
      <c r="BS884" s="4"/>
    </row>
    <row r="885" spans="1:7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c r="AG885" s="3"/>
      <c r="AH885" s="4"/>
      <c r="AI885" s="4"/>
      <c r="AJ885" s="4"/>
      <c r="AK885" s="4"/>
      <c r="AL885" s="4"/>
      <c r="AM885" s="4"/>
      <c r="AN885" s="4"/>
      <c r="AO885" s="4"/>
      <c r="AP885" s="4"/>
      <c r="AQ885" s="4"/>
      <c r="AR885" s="4"/>
      <c r="AS885" s="4"/>
      <c r="AT885" s="4"/>
      <c r="AU885" s="4"/>
      <c r="AV885" s="4"/>
      <c r="AW885" s="4"/>
      <c r="AX885" s="4"/>
      <c r="AY885" s="4"/>
      <c r="AZ885" s="4"/>
      <c r="BA885" s="4"/>
      <c r="BB885" s="4"/>
      <c r="BC885" s="4"/>
      <c r="BD885" s="5"/>
      <c r="BE885" s="4"/>
      <c r="BF885" s="4"/>
      <c r="BG885" s="4"/>
      <c r="BH885" s="4"/>
      <c r="BI885" s="4"/>
      <c r="BJ885" s="4"/>
      <c r="BK885" s="4"/>
      <c r="BL885" s="4"/>
      <c r="BM885" s="4"/>
      <c r="BN885" s="4"/>
      <c r="BO885" s="4"/>
      <c r="BP885" s="4"/>
      <c r="BQ885" s="4"/>
      <c r="BR885" s="4"/>
      <c r="BS885" s="4"/>
    </row>
    <row r="886" spans="1:7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c r="AG886" s="3"/>
      <c r="AH886" s="4"/>
      <c r="AI886" s="4"/>
      <c r="AJ886" s="4"/>
      <c r="AK886" s="4"/>
      <c r="AL886" s="4"/>
      <c r="AM886" s="4"/>
      <c r="AN886" s="4"/>
      <c r="AO886" s="4"/>
      <c r="AP886" s="4"/>
      <c r="AQ886" s="4"/>
      <c r="AR886" s="4"/>
      <c r="AS886" s="4"/>
      <c r="AT886" s="4"/>
      <c r="AU886" s="4"/>
      <c r="AV886" s="4"/>
      <c r="AW886" s="4"/>
      <c r="AX886" s="4"/>
      <c r="AY886" s="4"/>
      <c r="AZ886" s="4"/>
      <c r="BA886" s="4"/>
      <c r="BB886" s="4"/>
      <c r="BC886" s="4"/>
      <c r="BD886" s="5"/>
      <c r="BE886" s="4"/>
      <c r="BF886" s="4"/>
      <c r="BG886" s="4"/>
      <c r="BH886" s="4"/>
      <c r="BI886" s="4"/>
      <c r="BJ886" s="4"/>
      <c r="BK886" s="4"/>
      <c r="BL886" s="4"/>
      <c r="BM886" s="4"/>
      <c r="BN886" s="4"/>
      <c r="BO886" s="4"/>
      <c r="BP886" s="4"/>
      <c r="BQ886" s="4"/>
      <c r="BR886" s="4"/>
      <c r="BS886" s="4"/>
    </row>
    <row r="887" spans="1:7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c r="AG887" s="3"/>
      <c r="AH887" s="4"/>
      <c r="AI887" s="4"/>
      <c r="AJ887" s="4"/>
      <c r="AK887" s="4"/>
      <c r="AL887" s="4"/>
      <c r="AM887" s="4"/>
      <c r="AN887" s="4"/>
      <c r="AO887" s="4"/>
      <c r="AP887" s="4"/>
      <c r="AQ887" s="4"/>
      <c r="AR887" s="4"/>
      <c r="AS887" s="4"/>
      <c r="AT887" s="4"/>
      <c r="AU887" s="4"/>
      <c r="AV887" s="4"/>
      <c r="AW887" s="4"/>
      <c r="AX887" s="4"/>
      <c r="AY887" s="4"/>
      <c r="AZ887" s="4"/>
      <c r="BA887" s="4"/>
      <c r="BB887" s="4"/>
      <c r="BC887" s="4"/>
      <c r="BD887" s="5"/>
      <c r="BE887" s="4"/>
      <c r="BF887" s="4"/>
      <c r="BG887" s="4"/>
      <c r="BH887" s="4"/>
      <c r="BI887" s="4"/>
      <c r="BJ887" s="4"/>
      <c r="BK887" s="4"/>
      <c r="BL887" s="4"/>
      <c r="BM887" s="4"/>
      <c r="BN887" s="4"/>
      <c r="BO887" s="4"/>
      <c r="BP887" s="4"/>
      <c r="BQ887" s="4"/>
      <c r="BR887" s="4"/>
      <c r="BS887" s="4"/>
    </row>
    <row r="888" spans="1:7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c r="AG888" s="3"/>
      <c r="AH888" s="4"/>
      <c r="AI888" s="4"/>
      <c r="AJ888" s="4"/>
      <c r="AK888" s="4"/>
      <c r="AL888" s="4"/>
      <c r="AM888" s="4"/>
      <c r="AN888" s="4"/>
      <c r="AO888" s="4"/>
      <c r="AP888" s="4"/>
      <c r="AQ888" s="4"/>
      <c r="AR888" s="4"/>
      <c r="AS888" s="4"/>
      <c r="AT888" s="4"/>
      <c r="AU888" s="4"/>
      <c r="AV888" s="4"/>
      <c r="AW888" s="4"/>
      <c r="AX888" s="4"/>
      <c r="AY888" s="4"/>
      <c r="AZ888" s="4"/>
      <c r="BA888" s="4"/>
      <c r="BB888" s="4"/>
      <c r="BC888" s="4"/>
      <c r="BD888" s="5"/>
      <c r="BE888" s="4"/>
      <c r="BF888" s="4"/>
      <c r="BG888" s="4"/>
      <c r="BH888" s="4"/>
      <c r="BI888" s="4"/>
      <c r="BJ888" s="4"/>
      <c r="BK888" s="4"/>
      <c r="BL888" s="4"/>
      <c r="BM888" s="4"/>
      <c r="BN888" s="4"/>
      <c r="BO888" s="4"/>
      <c r="BP888" s="4"/>
      <c r="BQ888" s="4"/>
      <c r="BR888" s="4"/>
      <c r="BS888" s="4"/>
    </row>
    <row r="889" spans="1:7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c r="AG889" s="3"/>
      <c r="AH889" s="4"/>
      <c r="AI889" s="4"/>
      <c r="AJ889" s="4"/>
      <c r="AK889" s="4"/>
      <c r="AL889" s="4"/>
      <c r="AM889" s="4"/>
      <c r="AN889" s="4"/>
      <c r="AO889" s="4"/>
      <c r="AP889" s="4"/>
      <c r="AQ889" s="4"/>
      <c r="AR889" s="4"/>
      <c r="AS889" s="4"/>
      <c r="AT889" s="4"/>
      <c r="AU889" s="4"/>
      <c r="AV889" s="4"/>
      <c r="AW889" s="4"/>
      <c r="AX889" s="4"/>
      <c r="AY889" s="4"/>
      <c r="AZ889" s="4"/>
      <c r="BA889" s="4"/>
      <c r="BB889" s="4"/>
      <c r="BC889" s="4"/>
      <c r="BD889" s="5"/>
      <c r="BE889" s="4"/>
      <c r="BF889" s="4"/>
      <c r="BG889" s="4"/>
      <c r="BH889" s="4"/>
      <c r="BI889" s="4"/>
      <c r="BJ889" s="4"/>
      <c r="BK889" s="4"/>
      <c r="BL889" s="4"/>
      <c r="BM889" s="4"/>
      <c r="BN889" s="4"/>
      <c r="BO889" s="4"/>
      <c r="BP889" s="4"/>
      <c r="BQ889" s="4"/>
      <c r="BR889" s="4"/>
      <c r="BS889" s="4"/>
    </row>
    <row r="890" spans="1:7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c r="AG890" s="3"/>
      <c r="AH890" s="4"/>
      <c r="AI890" s="4"/>
      <c r="AJ890" s="4"/>
      <c r="AK890" s="4"/>
      <c r="AL890" s="4"/>
      <c r="AM890" s="4"/>
      <c r="AN890" s="4"/>
      <c r="AO890" s="4"/>
      <c r="AP890" s="4"/>
      <c r="AQ890" s="4"/>
      <c r="AR890" s="4"/>
      <c r="AS890" s="4"/>
      <c r="AT890" s="4"/>
      <c r="AU890" s="4"/>
      <c r="AV890" s="4"/>
      <c r="AW890" s="4"/>
      <c r="AX890" s="4"/>
      <c r="AY890" s="4"/>
      <c r="AZ890" s="4"/>
      <c r="BA890" s="4"/>
      <c r="BB890" s="4"/>
      <c r="BC890" s="4"/>
      <c r="BD890" s="5"/>
      <c r="BE890" s="4"/>
      <c r="BF890" s="4"/>
      <c r="BG890" s="4"/>
      <c r="BH890" s="4"/>
      <c r="BI890" s="4"/>
      <c r="BJ890" s="4"/>
      <c r="BK890" s="4"/>
      <c r="BL890" s="4"/>
      <c r="BM890" s="4"/>
      <c r="BN890" s="4"/>
      <c r="BO890" s="4"/>
      <c r="BP890" s="4"/>
      <c r="BQ890" s="4"/>
      <c r="BR890" s="4"/>
      <c r="BS890" s="4"/>
    </row>
    <row r="891" spans="1:7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c r="AG891" s="3"/>
      <c r="AH891" s="4"/>
      <c r="AI891" s="4"/>
      <c r="AJ891" s="4"/>
      <c r="AK891" s="4"/>
      <c r="AL891" s="4"/>
      <c r="AM891" s="4"/>
      <c r="AN891" s="4"/>
      <c r="AO891" s="4"/>
      <c r="AP891" s="4"/>
      <c r="AQ891" s="4"/>
      <c r="AR891" s="4"/>
      <c r="AS891" s="4"/>
      <c r="AT891" s="4"/>
      <c r="AU891" s="4"/>
      <c r="AV891" s="4"/>
      <c r="AW891" s="4"/>
      <c r="AX891" s="4"/>
      <c r="AY891" s="4"/>
      <c r="AZ891" s="4"/>
      <c r="BA891" s="4"/>
      <c r="BB891" s="4"/>
      <c r="BC891" s="4"/>
      <c r="BD891" s="5"/>
      <c r="BE891" s="4"/>
      <c r="BF891" s="4"/>
      <c r="BG891" s="4"/>
      <c r="BH891" s="4"/>
      <c r="BI891" s="4"/>
      <c r="BJ891" s="4"/>
      <c r="BK891" s="4"/>
      <c r="BL891" s="4"/>
      <c r="BM891" s="4"/>
      <c r="BN891" s="4"/>
      <c r="BO891" s="4"/>
      <c r="BP891" s="4"/>
      <c r="BQ891" s="4"/>
      <c r="BR891" s="4"/>
      <c r="BS891" s="4"/>
    </row>
    <row r="892" spans="1:7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c r="AG892" s="3"/>
      <c r="AH892" s="4"/>
      <c r="AI892" s="4"/>
      <c r="AJ892" s="4"/>
      <c r="AK892" s="4"/>
      <c r="AL892" s="4"/>
      <c r="AM892" s="4"/>
      <c r="AN892" s="4"/>
      <c r="AO892" s="4"/>
      <c r="AP892" s="4"/>
      <c r="AQ892" s="4"/>
      <c r="AR892" s="4"/>
      <c r="AS892" s="4"/>
      <c r="AT892" s="4"/>
      <c r="AU892" s="4"/>
      <c r="AV892" s="4"/>
      <c r="AW892" s="4"/>
      <c r="AX892" s="4"/>
      <c r="AY892" s="4"/>
      <c r="AZ892" s="4"/>
      <c r="BA892" s="4"/>
      <c r="BB892" s="4"/>
      <c r="BC892" s="4"/>
      <c r="BD892" s="5"/>
      <c r="BE892" s="4"/>
      <c r="BF892" s="4"/>
      <c r="BG892" s="4"/>
      <c r="BH892" s="4"/>
      <c r="BI892" s="4"/>
      <c r="BJ892" s="4"/>
      <c r="BK892" s="4"/>
      <c r="BL892" s="4"/>
      <c r="BM892" s="4"/>
      <c r="BN892" s="4"/>
      <c r="BO892" s="4"/>
      <c r="BP892" s="4"/>
      <c r="BQ892" s="4"/>
      <c r="BR892" s="4"/>
      <c r="BS892" s="4"/>
    </row>
    <row r="893" spans="1:7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c r="AG893" s="3"/>
      <c r="AH893" s="4"/>
      <c r="AI893" s="4"/>
      <c r="AJ893" s="4"/>
      <c r="AK893" s="4"/>
      <c r="AL893" s="4"/>
      <c r="AM893" s="4"/>
      <c r="AN893" s="4"/>
      <c r="AO893" s="4"/>
      <c r="AP893" s="4"/>
      <c r="AQ893" s="4"/>
      <c r="AR893" s="4"/>
      <c r="AS893" s="4"/>
      <c r="AT893" s="4"/>
      <c r="AU893" s="4"/>
      <c r="AV893" s="4"/>
      <c r="AW893" s="4"/>
      <c r="AX893" s="4"/>
      <c r="AY893" s="4"/>
      <c r="AZ893" s="4"/>
      <c r="BA893" s="4"/>
      <c r="BB893" s="4"/>
      <c r="BC893" s="4"/>
      <c r="BD893" s="5"/>
      <c r="BE893" s="4"/>
      <c r="BF893" s="4"/>
      <c r="BG893" s="4"/>
      <c r="BH893" s="4"/>
      <c r="BI893" s="4"/>
      <c r="BJ893" s="4"/>
      <c r="BK893" s="4"/>
      <c r="BL893" s="4"/>
      <c r="BM893" s="4"/>
      <c r="BN893" s="4"/>
      <c r="BO893" s="4"/>
      <c r="BP893" s="4"/>
      <c r="BQ893" s="4"/>
      <c r="BR893" s="4"/>
      <c r="BS893" s="4"/>
    </row>
    <row r="894" spans="1:7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c r="AG894" s="3"/>
      <c r="AH894" s="4"/>
      <c r="AI894" s="4"/>
      <c r="AJ894" s="4"/>
      <c r="AK894" s="4"/>
      <c r="AL894" s="4"/>
      <c r="AM894" s="4"/>
      <c r="AN894" s="4"/>
      <c r="AO894" s="4"/>
      <c r="AP894" s="4"/>
      <c r="AQ894" s="4"/>
      <c r="AR894" s="4"/>
      <c r="AS894" s="4"/>
      <c r="AT894" s="4"/>
      <c r="AU894" s="4"/>
      <c r="AV894" s="4"/>
      <c r="AW894" s="4"/>
      <c r="AX894" s="4"/>
      <c r="AY894" s="4"/>
      <c r="AZ894" s="4"/>
      <c r="BA894" s="4"/>
      <c r="BB894" s="4"/>
      <c r="BC894" s="4"/>
      <c r="BD894" s="5"/>
      <c r="BE894" s="4"/>
      <c r="BF894" s="4"/>
      <c r="BG894" s="4"/>
      <c r="BH894" s="4"/>
      <c r="BI894" s="4"/>
      <c r="BJ894" s="4"/>
      <c r="BK894" s="4"/>
      <c r="BL894" s="4"/>
      <c r="BM894" s="4"/>
      <c r="BN894" s="4"/>
      <c r="BO894" s="4"/>
      <c r="BP894" s="4"/>
      <c r="BQ894" s="4"/>
      <c r="BR894" s="4"/>
      <c r="BS894" s="4"/>
    </row>
    <row r="895" spans="1:7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c r="AG895" s="3"/>
      <c r="AH895" s="4"/>
      <c r="AI895" s="4"/>
      <c r="AJ895" s="4"/>
      <c r="AK895" s="4"/>
      <c r="AL895" s="4"/>
      <c r="AM895" s="4"/>
      <c r="AN895" s="4"/>
      <c r="AO895" s="4"/>
      <c r="AP895" s="4"/>
      <c r="AQ895" s="4"/>
      <c r="AR895" s="4"/>
      <c r="AS895" s="4"/>
      <c r="AT895" s="4"/>
      <c r="AU895" s="4"/>
      <c r="AV895" s="4"/>
      <c r="AW895" s="4"/>
      <c r="AX895" s="4"/>
      <c r="AY895" s="4"/>
      <c r="AZ895" s="4"/>
      <c r="BA895" s="4"/>
      <c r="BB895" s="4"/>
      <c r="BC895" s="4"/>
      <c r="BD895" s="5"/>
      <c r="BE895" s="4"/>
      <c r="BF895" s="4"/>
      <c r="BG895" s="4"/>
      <c r="BH895" s="4"/>
      <c r="BI895" s="4"/>
      <c r="BJ895" s="4"/>
      <c r="BK895" s="4"/>
      <c r="BL895" s="4"/>
      <c r="BM895" s="4"/>
      <c r="BN895" s="4"/>
      <c r="BO895" s="4"/>
      <c r="BP895" s="4"/>
      <c r="BQ895" s="4"/>
      <c r="BR895" s="4"/>
      <c r="BS895" s="4"/>
    </row>
    <row r="896" spans="1:7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c r="AG896" s="3"/>
      <c r="AH896" s="4"/>
      <c r="AI896" s="4"/>
      <c r="AJ896" s="4"/>
      <c r="AK896" s="4"/>
      <c r="AL896" s="4"/>
      <c r="AM896" s="4"/>
      <c r="AN896" s="4"/>
      <c r="AO896" s="4"/>
      <c r="AP896" s="4"/>
      <c r="AQ896" s="4"/>
      <c r="AR896" s="4"/>
      <c r="AS896" s="4"/>
      <c r="AT896" s="4"/>
      <c r="AU896" s="4"/>
      <c r="AV896" s="4"/>
      <c r="AW896" s="4"/>
      <c r="AX896" s="4"/>
      <c r="AY896" s="4"/>
      <c r="AZ896" s="4"/>
      <c r="BA896" s="4"/>
      <c r="BB896" s="4"/>
      <c r="BC896" s="4"/>
      <c r="BD896" s="5"/>
      <c r="BE896" s="4"/>
      <c r="BF896" s="4"/>
      <c r="BG896" s="4"/>
      <c r="BH896" s="4"/>
      <c r="BI896" s="4"/>
      <c r="BJ896" s="4"/>
      <c r="BK896" s="4"/>
      <c r="BL896" s="4"/>
      <c r="BM896" s="4"/>
      <c r="BN896" s="4"/>
      <c r="BO896" s="4"/>
      <c r="BP896" s="4"/>
      <c r="BQ896" s="4"/>
      <c r="BR896" s="4"/>
      <c r="BS896" s="4"/>
    </row>
    <row r="897" spans="1:7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c r="AG897" s="3"/>
      <c r="AH897" s="4"/>
      <c r="AI897" s="4"/>
      <c r="AJ897" s="4"/>
      <c r="AK897" s="4"/>
      <c r="AL897" s="4"/>
      <c r="AM897" s="4"/>
      <c r="AN897" s="4"/>
      <c r="AO897" s="4"/>
      <c r="AP897" s="4"/>
      <c r="AQ897" s="4"/>
      <c r="AR897" s="4"/>
      <c r="AS897" s="4"/>
      <c r="AT897" s="4"/>
      <c r="AU897" s="4"/>
      <c r="AV897" s="4"/>
      <c r="AW897" s="4"/>
      <c r="AX897" s="4"/>
      <c r="AY897" s="4"/>
      <c r="AZ897" s="4"/>
      <c r="BA897" s="4"/>
      <c r="BB897" s="4"/>
      <c r="BC897" s="4"/>
      <c r="BD897" s="5"/>
      <c r="BE897" s="4"/>
      <c r="BF897" s="4"/>
      <c r="BG897" s="4"/>
      <c r="BH897" s="4"/>
      <c r="BI897" s="4"/>
      <c r="BJ897" s="4"/>
      <c r="BK897" s="4"/>
      <c r="BL897" s="4"/>
      <c r="BM897" s="4"/>
      <c r="BN897" s="4"/>
      <c r="BO897" s="4"/>
      <c r="BP897" s="4"/>
      <c r="BQ897" s="4"/>
      <c r="BR897" s="4"/>
      <c r="BS897" s="4"/>
    </row>
    <row r="898" spans="1:7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c r="AG898" s="3"/>
      <c r="AH898" s="4"/>
      <c r="AI898" s="4"/>
      <c r="AJ898" s="4"/>
      <c r="AK898" s="4"/>
      <c r="AL898" s="4"/>
      <c r="AM898" s="4"/>
      <c r="AN898" s="4"/>
      <c r="AO898" s="4"/>
      <c r="AP898" s="4"/>
      <c r="AQ898" s="4"/>
      <c r="AR898" s="4"/>
      <c r="AS898" s="4"/>
      <c r="AT898" s="4"/>
      <c r="AU898" s="4"/>
      <c r="AV898" s="4"/>
      <c r="AW898" s="4"/>
      <c r="AX898" s="4"/>
      <c r="AY898" s="4"/>
      <c r="AZ898" s="4"/>
      <c r="BA898" s="4"/>
      <c r="BB898" s="4"/>
      <c r="BC898" s="4"/>
      <c r="BD898" s="5"/>
      <c r="BE898" s="4"/>
      <c r="BF898" s="4"/>
      <c r="BG898" s="4"/>
      <c r="BH898" s="4"/>
      <c r="BI898" s="4"/>
      <c r="BJ898" s="4"/>
      <c r="BK898" s="4"/>
      <c r="BL898" s="4"/>
      <c r="BM898" s="4"/>
      <c r="BN898" s="4"/>
      <c r="BO898" s="4"/>
      <c r="BP898" s="4"/>
      <c r="BQ898" s="4"/>
      <c r="BR898" s="4"/>
      <c r="BS898" s="4"/>
    </row>
    <row r="899" spans="1:7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c r="AG899" s="3"/>
      <c r="AH899" s="4"/>
      <c r="AI899" s="4"/>
      <c r="AJ899" s="4"/>
      <c r="AK899" s="4"/>
      <c r="AL899" s="4"/>
      <c r="AM899" s="4"/>
      <c r="AN899" s="4"/>
      <c r="AO899" s="4"/>
      <c r="AP899" s="4"/>
      <c r="AQ899" s="4"/>
      <c r="AR899" s="4"/>
      <c r="AS899" s="4"/>
      <c r="AT899" s="4"/>
      <c r="AU899" s="4"/>
      <c r="AV899" s="4"/>
      <c r="AW899" s="4"/>
      <c r="AX899" s="4"/>
      <c r="AY899" s="4"/>
      <c r="AZ899" s="4"/>
      <c r="BA899" s="4"/>
      <c r="BB899" s="4"/>
      <c r="BC899" s="4"/>
      <c r="BD899" s="5"/>
      <c r="BE899" s="4"/>
      <c r="BF899" s="4"/>
      <c r="BG899" s="4"/>
      <c r="BH899" s="4"/>
      <c r="BI899" s="4"/>
      <c r="BJ899" s="4"/>
      <c r="BK899" s="4"/>
      <c r="BL899" s="4"/>
      <c r="BM899" s="4"/>
      <c r="BN899" s="4"/>
      <c r="BO899" s="4"/>
      <c r="BP899" s="4"/>
      <c r="BQ899" s="4"/>
      <c r="BR899" s="4"/>
      <c r="BS899" s="4"/>
    </row>
    <row r="900" spans="1:7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c r="AG900" s="3"/>
      <c r="AH900" s="4"/>
      <c r="AI900" s="4"/>
      <c r="AJ900" s="4"/>
      <c r="AK900" s="4"/>
      <c r="AL900" s="4"/>
      <c r="AM900" s="4"/>
      <c r="AN900" s="4"/>
      <c r="AO900" s="4"/>
      <c r="AP900" s="4"/>
      <c r="AQ900" s="4"/>
      <c r="AR900" s="4"/>
      <c r="AS900" s="4"/>
      <c r="AT900" s="4"/>
      <c r="AU900" s="4"/>
      <c r="AV900" s="4"/>
      <c r="AW900" s="4"/>
      <c r="AX900" s="4"/>
      <c r="AY900" s="4"/>
      <c r="AZ900" s="4"/>
      <c r="BA900" s="4"/>
      <c r="BB900" s="4"/>
      <c r="BC900" s="4"/>
      <c r="BD900" s="5"/>
      <c r="BE900" s="4"/>
      <c r="BF900" s="4"/>
      <c r="BG900" s="4"/>
      <c r="BH900" s="4"/>
      <c r="BI900" s="4"/>
      <c r="BJ900" s="4"/>
      <c r="BK900" s="4"/>
      <c r="BL900" s="4"/>
      <c r="BM900" s="4"/>
      <c r="BN900" s="4"/>
      <c r="BO900" s="4"/>
      <c r="BP900" s="4"/>
      <c r="BQ900" s="4"/>
      <c r="BR900" s="4"/>
      <c r="BS900" s="4"/>
    </row>
    <row r="901" spans="1:7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c r="AG901" s="3"/>
      <c r="AH901" s="4"/>
      <c r="AI901" s="4"/>
      <c r="AJ901" s="4"/>
      <c r="AK901" s="4"/>
      <c r="AL901" s="4"/>
      <c r="AM901" s="4"/>
      <c r="AN901" s="4"/>
      <c r="AO901" s="4"/>
      <c r="AP901" s="4"/>
      <c r="AQ901" s="4"/>
      <c r="AR901" s="4"/>
      <c r="AS901" s="4"/>
      <c r="AT901" s="4"/>
      <c r="AU901" s="4"/>
      <c r="AV901" s="4"/>
      <c r="AW901" s="4"/>
      <c r="AX901" s="4"/>
      <c r="AY901" s="4"/>
      <c r="AZ901" s="4"/>
      <c r="BA901" s="4"/>
      <c r="BB901" s="4"/>
      <c r="BC901" s="4"/>
      <c r="BD901" s="5"/>
      <c r="BE901" s="4"/>
      <c r="BF901" s="4"/>
      <c r="BG901" s="4"/>
      <c r="BH901" s="4"/>
      <c r="BI901" s="4"/>
      <c r="BJ901" s="4"/>
      <c r="BK901" s="4"/>
      <c r="BL901" s="4"/>
      <c r="BM901" s="4"/>
      <c r="BN901" s="4"/>
      <c r="BO901" s="4"/>
      <c r="BP901" s="4"/>
      <c r="BQ901" s="4"/>
      <c r="BR901" s="4"/>
      <c r="BS901" s="4"/>
    </row>
    <row r="902" spans="1:7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c r="AG902" s="3"/>
      <c r="AH902" s="4"/>
      <c r="AI902" s="4"/>
      <c r="AJ902" s="4"/>
      <c r="AK902" s="4"/>
      <c r="AL902" s="4"/>
      <c r="AM902" s="4"/>
      <c r="AN902" s="4"/>
      <c r="AO902" s="4"/>
      <c r="AP902" s="4"/>
      <c r="AQ902" s="4"/>
      <c r="AR902" s="4"/>
      <c r="AS902" s="4"/>
      <c r="AT902" s="4"/>
      <c r="AU902" s="4"/>
      <c r="AV902" s="4"/>
      <c r="AW902" s="4"/>
      <c r="AX902" s="4"/>
      <c r="AY902" s="4"/>
      <c r="AZ902" s="4"/>
      <c r="BA902" s="4"/>
      <c r="BB902" s="4"/>
      <c r="BC902" s="4"/>
      <c r="BD902" s="5"/>
      <c r="BE902" s="4"/>
      <c r="BF902" s="4"/>
      <c r="BG902" s="4"/>
      <c r="BH902" s="4"/>
      <c r="BI902" s="4"/>
      <c r="BJ902" s="4"/>
      <c r="BK902" s="4"/>
      <c r="BL902" s="4"/>
      <c r="BM902" s="4"/>
      <c r="BN902" s="4"/>
      <c r="BO902" s="4"/>
      <c r="BP902" s="4"/>
      <c r="BQ902" s="4"/>
      <c r="BR902" s="4"/>
      <c r="BS902" s="4"/>
    </row>
    <row r="903" spans="1:7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c r="AG903" s="3"/>
      <c r="AH903" s="4"/>
      <c r="AI903" s="4"/>
      <c r="AJ903" s="4"/>
      <c r="AK903" s="4"/>
      <c r="AL903" s="4"/>
      <c r="AM903" s="4"/>
      <c r="AN903" s="4"/>
      <c r="AO903" s="4"/>
      <c r="AP903" s="4"/>
      <c r="AQ903" s="4"/>
      <c r="AR903" s="4"/>
      <c r="AS903" s="4"/>
      <c r="AT903" s="4"/>
      <c r="AU903" s="4"/>
      <c r="AV903" s="4"/>
      <c r="AW903" s="4"/>
      <c r="AX903" s="4"/>
      <c r="AY903" s="4"/>
      <c r="AZ903" s="4"/>
      <c r="BA903" s="4"/>
      <c r="BB903" s="4"/>
      <c r="BC903" s="4"/>
      <c r="BD903" s="5"/>
      <c r="BE903" s="4"/>
      <c r="BF903" s="4"/>
      <c r="BG903" s="4"/>
      <c r="BH903" s="4"/>
      <c r="BI903" s="4"/>
      <c r="BJ903" s="4"/>
      <c r="BK903" s="4"/>
      <c r="BL903" s="4"/>
      <c r="BM903" s="4"/>
      <c r="BN903" s="4"/>
      <c r="BO903" s="4"/>
      <c r="BP903" s="4"/>
      <c r="BQ903" s="4"/>
      <c r="BR903" s="4"/>
      <c r="BS903" s="4"/>
    </row>
    <row r="904" spans="1:7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c r="AG904" s="3"/>
      <c r="AH904" s="4"/>
      <c r="AI904" s="4"/>
      <c r="AJ904" s="4"/>
      <c r="AK904" s="4"/>
      <c r="AL904" s="4"/>
      <c r="AM904" s="4"/>
      <c r="AN904" s="4"/>
      <c r="AO904" s="4"/>
      <c r="AP904" s="4"/>
      <c r="AQ904" s="4"/>
      <c r="AR904" s="4"/>
      <c r="AS904" s="4"/>
      <c r="AT904" s="4"/>
      <c r="AU904" s="4"/>
      <c r="AV904" s="4"/>
      <c r="AW904" s="4"/>
      <c r="AX904" s="4"/>
      <c r="AY904" s="4"/>
      <c r="AZ904" s="4"/>
      <c r="BA904" s="4"/>
      <c r="BB904" s="4"/>
      <c r="BC904" s="4"/>
      <c r="BD904" s="5"/>
      <c r="BE904" s="4"/>
      <c r="BF904" s="4"/>
      <c r="BG904" s="4"/>
      <c r="BH904" s="4"/>
      <c r="BI904" s="4"/>
      <c r="BJ904" s="4"/>
      <c r="BK904" s="4"/>
      <c r="BL904" s="4"/>
      <c r="BM904" s="4"/>
      <c r="BN904" s="4"/>
      <c r="BO904" s="4"/>
      <c r="BP904" s="4"/>
      <c r="BQ904" s="4"/>
      <c r="BR904" s="4"/>
      <c r="BS904" s="4"/>
    </row>
    <row r="905" spans="1:7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c r="AG905" s="3"/>
      <c r="AH905" s="4"/>
      <c r="AI905" s="4"/>
      <c r="AJ905" s="4"/>
      <c r="AK905" s="4"/>
      <c r="AL905" s="4"/>
      <c r="AM905" s="4"/>
      <c r="AN905" s="4"/>
      <c r="AO905" s="4"/>
      <c r="AP905" s="4"/>
      <c r="AQ905" s="4"/>
      <c r="AR905" s="4"/>
      <c r="AS905" s="4"/>
      <c r="AT905" s="4"/>
      <c r="AU905" s="4"/>
      <c r="AV905" s="4"/>
      <c r="AW905" s="4"/>
      <c r="AX905" s="4"/>
      <c r="AY905" s="4"/>
      <c r="AZ905" s="4"/>
      <c r="BA905" s="4"/>
      <c r="BB905" s="4"/>
      <c r="BC905" s="4"/>
      <c r="BD905" s="5"/>
      <c r="BE905" s="4"/>
      <c r="BF905" s="4"/>
      <c r="BG905" s="4"/>
      <c r="BH905" s="4"/>
      <c r="BI905" s="4"/>
      <c r="BJ905" s="4"/>
      <c r="BK905" s="4"/>
      <c r="BL905" s="4"/>
      <c r="BM905" s="4"/>
      <c r="BN905" s="4"/>
      <c r="BO905" s="4"/>
      <c r="BP905" s="4"/>
      <c r="BQ905" s="4"/>
      <c r="BR905" s="4"/>
      <c r="BS905" s="4"/>
    </row>
    <row r="906" spans="1:7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c r="AG906" s="3"/>
      <c r="AH906" s="4"/>
      <c r="AI906" s="4"/>
      <c r="AJ906" s="4"/>
      <c r="AK906" s="4"/>
      <c r="AL906" s="4"/>
      <c r="AM906" s="4"/>
      <c r="AN906" s="4"/>
      <c r="AO906" s="4"/>
      <c r="AP906" s="4"/>
      <c r="AQ906" s="4"/>
      <c r="AR906" s="4"/>
      <c r="AS906" s="4"/>
      <c r="AT906" s="4"/>
      <c r="AU906" s="4"/>
      <c r="AV906" s="4"/>
      <c r="AW906" s="4"/>
      <c r="AX906" s="4"/>
      <c r="AY906" s="4"/>
      <c r="AZ906" s="4"/>
      <c r="BA906" s="4"/>
      <c r="BB906" s="4"/>
      <c r="BC906" s="4"/>
      <c r="BD906" s="5"/>
      <c r="BE906" s="4"/>
      <c r="BF906" s="4"/>
      <c r="BG906" s="4"/>
      <c r="BH906" s="4"/>
      <c r="BI906" s="4"/>
      <c r="BJ906" s="4"/>
      <c r="BK906" s="4"/>
      <c r="BL906" s="4"/>
      <c r="BM906" s="4"/>
      <c r="BN906" s="4"/>
      <c r="BO906" s="4"/>
      <c r="BP906" s="4"/>
      <c r="BQ906" s="4"/>
      <c r="BR906" s="4"/>
      <c r="BS906" s="4"/>
    </row>
    <row r="907" spans="1:7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c r="AG907" s="3"/>
      <c r="AH907" s="4"/>
      <c r="AI907" s="4"/>
      <c r="AJ907" s="4"/>
      <c r="AK907" s="4"/>
      <c r="AL907" s="4"/>
      <c r="AM907" s="4"/>
      <c r="AN907" s="4"/>
      <c r="AO907" s="4"/>
      <c r="AP907" s="4"/>
      <c r="AQ907" s="4"/>
      <c r="AR907" s="4"/>
      <c r="AS907" s="4"/>
      <c r="AT907" s="4"/>
      <c r="AU907" s="4"/>
      <c r="AV907" s="4"/>
      <c r="AW907" s="4"/>
      <c r="AX907" s="4"/>
      <c r="AY907" s="4"/>
      <c r="AZ907" s="4"/>
      <c r="BA907" s="4"/>
      <c r="BB907" s="4"/>
      <c r="BC907" s="4"/>
      <c r="BD907" s="5"/>
      <c r="BE907" s="4"/>
      <c r="BF907" s="4"/>
      <c r="BG907" s="4"/>
      <c r="BH907" s="4"/>
      <c r="BI907" s="4"/>
      <c r="BJ907" s="4"/>
      <c r="BK907" s="4"/>
      <c r="BL907" s="4"/>
      <c r="BM907" s="4"/>
      <c r="BN907" s="4"/>
      <c r="BO907" s="4"/>
      <c r="BP907" s="4"/>
      <c r="BQ907" s="4"/>
      <c r="BR907" s="4"/>
      <c r="BS907" s="4"/>
    </row>
    <row r="908" spans="1:7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c r="AG908" s="3"/>
      <c r="AH908" s="4"/>
      <c r="AI908" s="4"/>
      <c r="AJ908" s="4"/>
      <c r="AK908" s="4"/>
      <c r="AL908" s="4"/>
      <c r="AM908" s="4"/>
      <c r="AN908" s="4"/>
      <c r="AO908" s="4"/>
      <c r="AP908" s="4"/>
      <c r="AQ908" s="4"/>
      <c r="AR908" s="4"/>
      <c r="AS908" s="4"/>
      <c r="AT908" s="4"/>
      <c r="AU908" s="4"/>
      <c r="AV908" s="4"/>
      <c r="AW908" s="4"/>
      <c r="AX908" s="4"/>
      <c r="AY908" s="4"/>
      <c r="AZ908" s="4"/>
      <c r="BA908" s="4"/>
      <c r="BB908" s="4"/>
      <c r="BC908" s="4"/>
      <c r="BD908" s="5"/>
      <c r="BE908" s="4"/>
      <c r="BF908" s="4"/>
      <c r="BG908" s="4"/>
      <c r="BH908" s="4"/>
      <c r="BI908" s="4"/>
      <c r="BJ908" s="4"/>
      <c r="BK908" s="4"/>
      <c r="BL908" s="4"/>
      <c r="BM908" s="4"/>
      <c r="BN908" s="4"/>
      <c r="BO908" s="4"/>
      <c r="BP908" s="4"/>
      <c r="BQ908" s="4"/>
      <c r="BR908" s="4"/>
      <c r="BS908" s="4"/>
    </row>
    <row r="909" spans="1:7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c r="AG909" s="3"/>
      <c r="AH909" s="4"/>
      <c r="AI909" s="4"/>
      <c r="AJ909" s="4"/>
      <c r="AK909" s="4"/>
      <c r="AL909" s="4"/>
      <c r="AM909" s="4"/>
      <c r="AN909" s="4"/>
      <c r="AO909" s="4"/>
      <c r="AP909" s="4"/>
      <c r="AQ909" s="4"/>
      <c r="AR909" s="4"/>
      <c r="AS909" s="4"/>
      <c r="AT909" s="4"/>
      <c r="AU909" s="4"/>
      <c r="AV909" s="4"/>
      <c r="AW909" s="4"/>
      <c r="AX909" s="4"/>
      <c r="AY909" s="4"/>
      <c r="AZ909" s="4"/>
      <c r="BA909" s="4"/>
      <c r="BB909" s="4"/>
      <c r="BC909" s="4"/>
      <c r="BD909" s="5"/>
      <c r="BE909" s="4"/>
      <c r="BF909" s="4"/>
      <c r="BG909" s="4"/>
      <c r="BH909" s="4"/>
      <c r="BI909" s="4"/>
      <c r="BJ909" s="4"/>
      <c r="BK909" s="4"/>
      <c r="BL909" s="4"/>
      <c r="BM909" s="4"/>
      <c r="BN909" s="4"/>
      <c r="BO909" s="4"/>
      <c r="BP909" s="4"/>
      <c r="BQ909" s="4"/>
      <c r="BR909" s="4"/>
      <c r="BS909" s="4"/>
    </row>
    <row r="910" spans="1:7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c r="AG910" s="3"/>
      <c r="AH910" s="4"/>
      <c r="AI910" s="4"/>
      <c r="AJ910" s="4"/>
      <c r="AK910" s="4"/>
      <c r="AL910" s="4"/>
      <c r="AM910" s="4"/>
      <c r="AN910" s="4"/>
      <c r="AO910" s="4"/>
      <c r="AP910" s="4"/>
      <c r="AQ910" s="4"/>
      <c r="AR910" s="4"/>
      <c r="AS910" s="4"/>
      <c r="AT910" s="4"/>
      <c r="AU910" s="4"/>
      <c r="AV910" s="4"/>
      <c r="AW910" s="4"/>
      <c r="AX910" s="4"/>
      <c r="AY910" s="4"/>
      <c r="AZ910" s="4"/>
      <c r="BA910" s="4"/>
      <c r="BB910" s="4"/>
      <c r="BC910" s="4"/>
      <c r="BD910" s="5"/>
      <c r="BE910" s="4"/>
      <c r="BF910" s="4"/>
      <c r="BG910" s="4"/>
      <c r="BH910" s="4"/>
      <c r="BI910" s="4"/>
      <c r="BJ910" s="4"/>
      <c r="BK910" s="4"/>
      <c r="BL910" s="4"/>
      <c r="BM910" s="4"/>
      <c r="BN910" s="4"/>
      <c r="BO910" s="4"/>
      <c r="BP910" s="4"/>
      <c r="BQ910" s="4"/>
      <c r="BR910" s="4"/>
      <c r="BS910" s="4"/>
    </row>
    <row r="911" spans="1:7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c r="AG911" s="3"/>
      <c r="AH911" s="4"/>
      <c r="AI911" s="4"/>
      <c r="AJ911" s="4"/>
      <c r="AK911" s="4"/>
      <c r="AL911" s="4"/>
      <c r="AM911" s="4"/>
      <c r="AN911" s="4"/>
      <c r="AO911" s="4"/>
      <c r="AP911" s="4"/>
      <c r="AQ911" s="4"/>
      <c r="AR911" s="4"/>
      <c r="AS911" s="4"/>
      <c r="AT911" s="4"/>
      <c r="AU911" s="4"/>
      <c r="AV911" s="4"/>
      <c r="AW911" s="4"/>
      <c r="AX911" s="4"/>
      <c r="AY911" s="4"/>
      <c r="AZ911" s="4"/>
      <c r="BA911" s="4"/>
      <c r="BB911" s="4"/>
      <c r="BC911" s="4"/>
      <c r="BD911" s="5"/>
      <c r="BE911" s="4"/>
      <c r="BF911" s="4"/>
      <c r="BG911" s="4"/>
      <c r="BH911" s="4"/>
      <c r="BI911" s="4"/>
      <c r="BJ911" s="4"/>
      <c r="BK911" s="4"/>
      <c r="BL911" s="4"/>
      <c r="BM911" s="4"/>
      <c r="BN911" s="4"/>
      <c r="BO911" s="4"/>
      <c r="BP911" s="4"/>
      <c r="BQ911" s="4"/>
      <c r="BR911" s="4"/>
      <c r="BS911" s="4"/>
    </row>
    <row r="912" spans="1:7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c r="AG912" s="3"/>
      <c r="AH912" s="4"/>
      <c r="AI912" s="4"/>
      <c r="AJ912" s="4"/>
      <c r="AK912" s="4"/>
      <c r="AL912" s="4"/>
      <c r="AM912" s="4"/>
      <c r="AN912" s="4"/>
      <c r="AO912" s="4"/>
      <c r="AP912" s="4"/>
      <c r="AQ912" s="4"/>
      <c r="AR912" s="4"/>
      <c r="AS912" s="4"/>
      <c r="AT912" s="4"/>
      <c r="AU912" s="4"/>
      <c r="AV912" s="4"/>
      <c r="AW912" s="4"/>
      <c r="AX912" s="4"/>
      <c r="AY912" s="4"/>
      <c r="AZ912" s="4"/>
      <c r="BA912" s="4"/>
      <c r="BB912" s="4"/>
      <c r="BC912" s="4"/>
      <c r="BD912" s="5"/>
      <c r="BE912" s="4"/>
      <c r="BF912" s="4"/>
      <c r="BG912" s="4"/>
      <c r="BH912" s="4"/>
      <c r="BI912" s="4"/>
      <c r="BJ912" s="4"/>
      <c r="BK912" s="4"/>
      <c r="BL912" s="4"/>
      <c r="BM912" s="4"/>
      <c r="BN912" s="4"/>
      <c r="BO912" s="4"/>
      <c r="BP912" s="4"/>
      <c r="BQ912" s="4"/>
      <c r="BR912" s="4"/>
      <c r="BS912" s="4"/>
    </row>
    <row r="913" spans="1:7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c r="AG913" s="3"/>
      <c r="AH913" s="4"/>
      <c r="AI913" s="4"/>
      <c r="AJ913" s="4"/>
      <c r="AK913" s="4"/>
      <c r="AL913" s="4"/>
      <c r="AM913" s="4"/>
      <c r="AN913" s="4"/>
      <c r="AO913" s="4"/>
      <c r="AP913" s="4"/>
      <c r="AQ913" s="4"/>
      <c r="AR913" s="4"/>
      <c r="AS913" s="4"/>
      <c r="AT913" s="4"/>
      <c r="AU913" s="4"/>
      <c r="AV913" s="4"/>
      <c r="AW913" s="4"/>
      <c r="AX913" s="4"/>
      <c r="AY913" s="4"/>
      <c r="AZ913" s="4"/>
      <c r="BA913" s="4"/>
      <c r="BB913" s="4"/>
      <c r="BC913" s="4"/>
      <c r="BD913" s="5"/>
      <c r="BE913" s="4"/>
      <c r="BF913" s="4"/>
      <c r="BG913" s="4"/>
      <c r="BH913" s="4"/>
      <c r="BI913" s="4"/>
      <c r="BJ913" s="4"/>
      <c r="BK913" s="4"/>
      <c r="BL913" s="4"/>
      <c r="BM913" s="4"/>
      <c r="BN913" s="4"/>
      <c r="BO913" s="4"/>
      <c r="BP913" s="4"/>
      <c r="BQ913" s="4"/>
      <c r="BR913" s="4"/>
      <c r="BS913" s="4"/>
    </row>
    <row r="914" spans="1:7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c r="AG914" s="3"/>
      <c r="AH914" s="4"/>
      <c r="AI914" s="4"/>
      <c r="AJ914" s="4"/>
      <c r="AK914" s="4"/>
      <c r="AL914" s="4"/>
      <c r="AM914" s="4"/>
      <c r="AN914" s="4"/>
      <c r="AO914" s="4"/>
      <c r="AP914" s="4"/>
      <c r="AQ914" s="4"/>
      <c r="AR914" s="4"/>
      <c r="AS914" s="4"/>
      <c r="AT914" s="4"/>
      <c r="AU914" s="4"/>
      <c r="AV914" s="4"/>
      <c r="AW914" s="4"/>
      <c r="AX914" s="4"/>
      <c r="AY914" s="4"/>
      <c r="AZ914" s="4"/>
      <c r="BA914" s="4"/>
      <c r="BB914" s="4"/>
      <c r="BC914" s="4"/>
      <c r="BD914" s="5"/>
      <c r="BE914" s="4"/>
      <c r="BF914" s="4"/>
      <c r="BG914" s="4"/>
      <c r="BH914" s="4"/>
      <c r="BI914" s="4"/>
      <c r="BJ914" s="4"/>
      <c r="BK914" s="4"/>
      <c r="BL914" s="4"/>
      <c r="BM914" s="4"/>
      <c r="BN914" s="4"/>
      <c r="BO914" s="4"/>
      <c r="BP914" s="4"/>
      <c r="BQ914" s="4"/>
      <c r="BR914" s="4"/>
      <c r="BS914" s="4"/>
    </row>
    <row r="915" spans="1:7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c r="AG915" s="3"/>
      <c r="AH915" s="4"/>
      <c r="AI915" s="4"/>
      <c r="AJ915" s="4"/>
      <c r="AK915" s="4"/>
      <c r="AL915" s="4"/>
      <c r="AM915" s="4"/>
      <c r="AN915" s="4"/>
      <c r="AO915" s="4"/>
      <c r="AP915" s="4"/>
      <c r="AQ915" s="4"/>
      <c r="AR915" s="4"/>
      <c r="AS915" s="4"/>
      <c r="AT915" s="4"/>
      <c r="AU915" s="4"/>
      <c r="AV915" s="4"/>
      <c r="AW915" s="4"/>
      <c r="AX915" s="4"/>
      <c r="AY915" s="4"/>
      <c r="AZ915" s="4"/>
      <c r="BA915" s="4"/>
      <c r="BB915" s="4"/>
      <c r="BC915" s="4"/>
      <c r="BD915" s="5"/>
      <c r="BE915" s="4"/>
      <c r="BF915" s="4"/>
      <c r="BG915" s="4"/>
      <c r="BH915" s="4"/>
      <c r="BI915" s="4"/>
      <c r="BJ915" s="4"/>
      <c r="BK915" s="4"/>
      <c r="BL915" s="4"/>
      <c r="BM915" s="4"/>
      <c r="BN915" s="4"/>
      <c r="BO915" s="4"/>
      <c r="BP915" s="4"/>
      <c r="BQ915" s="4"/>
      <c r="BR915" s="4"/>
      <c r="BS915" s="4"/>
    </row>
    <row r="916" spans="1:7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c r="AG916" s="3"/>
      <c r="AH916" s="4"/>
      <c r="AI916" s="4"/>
      <c r="AJ916" s="4"/>
      <c r="AK916" s="4"/>
      <c r="AL916" s="4"/>
      <c r="AM916" s="4"/>
      <c r="AN916" s="4"/>
      <c r="AO916" s="4"/>
      <c r="AP916" s="4"/>
      <c r="AQ916" s="4"/>
      <c r="AR916" s="4"/>
      <c r="AS916" s="4"/>
      <c r="AT916" s="4"/>
      <c r="AU916" s="4"/>
      <c r="AV916" s="4"/>
      <c r="AW916" s="4"/>
      <c r="AX916" s="4"/>
      <c r="AY916" s="4"/>
      <c r="AZ916" s="4"/>
      <c r="BA916" s="4"/>
      <c r="BB916" s="4"/>
      <c r="BC916" s="4"/>
      <c r="BD916" s="5"/>
      <c r="BE916" s="4"/>
      <c r="BF916" s="4"/>
      <c r="BG916" s="4"/>
      <c r="BH916" s="4"/>
      <c r="BI916" s="4"/>
      <c r="BJ916" s="4"/>
      <c r="BK916" s="4"/>
      <c r="BL916" s="4"/>
      <c r="BM916" s="4"/>
      <c r="BN916" s="4"/>
      <c r="BO916" s="4"/>
      <c r="BP916" s="4"/>
      <c r="BQ916" s="4"/>
      <c r="BR916" s="4"/>
      <c r="BS916" s="4"/>
    </row>
    <row r="917" spans="1:7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c r="AG917" s="3"/>
      <c r="AH917" s="4"/>
      <c r="AI917" s="4"/>
      <c r="AJ917" s="4"/>
      <c r="AK917" s="4"/>
      <c r="AL917" s="4"/>
      <c r="AM917" s="4"/>
      <c r="AN917" s="4"/>
      <c r="AO917" s="4"/>
      <c r="AP917" s="4"/>
      <c r="AQ917" s="4"/>
      <c r="AR917" s="4"/>
      <c r="AS917" s="4"/>
      <c r="AT917" s="4"/>
      <c r="AU917" s="4"/>
      <c r="AV917" s="4"/>
      <c r="AW917" s="4"/>
      <c r="AX917" s="4"/>
      <c r="AY917" s="4"/>
      <c r="AZ917" s="4"/>
      <c r="BA917" s="4"/>
      <c r="BB917" s="4"/>
      <c r="BC917" s="4"/>
      <c r="BD917" s="5"/>
      <c r="BE917" s="4"/>
      <c r="BF917" s="4"/>
      <c r="BG917" s="4"/>
      <c r="BH917" s="4"/>
      <c r="BI917" s="4"/>
      <c r="BJ917" s="4"/>
      <c r="BK917" s="4"/>
      <c r="BL917" s="4"/>
      <c r="BM917" s="4"/>
      <c r="BN917" s="4"/>
      <c r="BO917" s="4"/>
      <c r="BP917" s="4"/>
      <c r="BQ917" s="4"/>
      <c r="BR917" s="4"/>
      <c r="BS917" s="4"/>
    </row>
    <row r="918" spans="1:7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c r="AG918" s="3"/>
      <c r="AH918" s="4"/>
      <c r="AI918" s="4"/>
      <c r="AJ918" s="4"/>
      <c r="AK918" s="4"/>
      <c r="AL918" s="4"/>
      <c r="AM918" s="4"/>
      <c r="AN918" s="4"/>
      <c r="AO918" s="4"/>
      <c r="AP918" s="4"/>
      <c r="AQ918" s="4"/>
      <c r="AR918" s="4"/>
      <c r="AS918" s="4"/>
      <c r="AT918" s="4"/>
      <c r="AU918" s="4"/>
      <c r="AV918" s="4"/>
      <c r="AW918" s="4"/>
      <c r="AX918" s="4"/>
      <c r="AY918" s="4"/>
      <c r="AZ918" s="4"/>
      <c r="BA918" s="4"/>
      <c r="BB918" s="4"/>
      <c r="BC918" s="4"/>
      <c r="BD918" s="5"/>
      <c r="BE918" s="4"/>
      <c r="BF918" s="4"/>
      <c r="BG918" s="4"/>
      <c r="BH918" s="4"/>
      <c r="BI918" s="4"/>
      <c r="BJ918" s="4"/>
      <c r="BK918" s="4"/>
      <c r="BL918" s="4"/>
      <c r="BM918" s="4"/>
      <c r="BN918" s="4"/>
      <c r="BO918" s="4"/>
      <c r="BP918" s="4"/>
      <c r="BQ918" s="4"/>
      <c r="BR918" s="4"/>
      <c r="BS918" s="4"/>
    </row>
    <row r="919" spans="1:7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c r="AG919" s="3"/>
      <c r="AH919" s="4"/>
      <c r="AI919" s="4"/>
      <c r="AJ919" s="4"/>
      <c r="AK919" s="4"/>
      <c r="AL919" s="4"/>
      <c r="AM919" s="4"/>
      <c r="AN919" s="4"/>
      <c r="AO919" s="4"/>
      <c r="AP919" s="4"/>
      <c r="AQ919" s="4"/>
      <c r="AR919" s="4"/>
      <c r="AS919" s="4"/>
      <c r="AT919" s="4"/>
      <c r="AU919" s="4"/>
      <c r="AV919" s="4"/>
      <c r="AW919" s="4"/>
      <c r="AX919" s="4"/>
      <c r="AY919" s="4"/>
      <c r="AZ919" s="4"/>
      <c r="BA919" s="4"/>
      <c r="BB919" s="4"/>
      <c r="BC919" s="4"/>
      <c r="BD919" s="5"/>
      <c r="BE919" s="4"/>
      <c r="BF919" s="4"/>
      <c r="BG919" s="4"/>
      <c r="BH919" s="4"/>
      <c r="BI919" s="4"/>
      <c r="BJ919" s="4"/>
      <c r="BK919" s="4"/>
      <c r="BL919" s="4"/>
      <c r="BM919" s="4"/>
      <c r="BN919" s="4"/>
      <c r="BO919" s="4"/>
      <c r="BP919" s="4"/>
      <c r="BQ919" s="4"/>
      <c r="BR919" s="4"/>
      <c r="BS919" s="4"/>
    </row>
    <row r="920" spans="1:7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c r="AG920" s="3"/>
      <c r="AH920" s="4"/>
      <c r="AI920" s="4"/>
      <c r="AJ920" s="4"/>
      <c r="AK920" s="4"/>
      <c r="AL920" s="4"/>
      <c r="AM920" s="4"/>
      <c r="AN920" s="4"/>
      <c r="AO920" s="4"/>
      <c r="AP920" s="4"/>
      <c r="AQ920" s="4"/>
      <c r="AR920" s="4"/>
      <c r="AS920" s="4"/>
      <c r="AT920" s="4"/>
      <c r="AU920" s="4"/>
      <c r="AV920" s="4"/>
      <c r="AW920" s="4"/>
      <c r="AX920" s="4"/>
      <c r="AY920" s="4"/>
      <c r="AZ920" s="4"/>
      <c r="BA920" s="4"/>
      <c r="BB920" s="4"/>
      <c r="BC920" s="4"/>
      <c r="BD920" s="5"/>
      <c r="BE920" s="4"/>
      <c r="BF920" s="4"/>
      <c r="BG920" s="4"/>
      <c r="BH920" s="4"/>
      <c r="BI920" s="4"/>
      <c r="BJ920" s="4"/>
      <c r="BK920" s="4"/>
      <c r="BL920" s="4"/>
      <c r="BM920" s="4"/>
      <c r="BN920" s="4"/>
      <c r="BO920" s="4"/>
      <c r="BP920" s="4"/>
      <c r="BQ920" s="4"/>
      <c r="BR920" s="4"/>
      <c r="BS920" s="4"/>
    </row>
    <row r="921" spans="1:7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c r="AG921" s="3"/>
      <c r="AH921" s="4"/>
      <c r="AI921" s="4"/>
      <c r="AJ921" s="4"/>
      <c r="AK921" s="4"/>
      <c r="AL921" s="4"/>
      <c r="AM921" s="4"/>
      <c r="AN921" s="4"/>
      <c r="AO921" s="4"/>
      <c r="AP921" s="4"/>
      <c r="AQ921" s="4"/>
      <c r="AR921" s="4"/>
      <c r="AS921" s="4"/>
      <c r="AT921" s="4"/>
      <c r="AU921" s="4"/>
      <c r="AV921" s="4"/>
      <c r="AW921" s="4"/>
      <c r="AX921" s="4"/>
      <c r="AY921" s="4"/>
      <c r="AZ921" s="4"/>
      <c r="BA921" s="4"/>
      <c r="BB921" s="4"/>
      <c r="BC921" s="4"/>
      <c r="BD921" s="5"/>
      <c r="BE921" s="4"/>
      <c r="BF921" s="4"/>
      <c r="BG921" s="4"/>
      <c r="BH921" s="4"/>
      <c r="BI921" s="4"/>
      <c r="BJ921" s="4"/>
      <c r="BK921" s="4"/>
      <c r="BL921" s="4"/>
      <c r="BM921" s="4"/>
      <c r="BN921" s="4"/>
      <c r="BO921" s="4"/>
      <c r="BP921" s="4"/>
      <c r="BQ921" s="4"/>
      <c r="BR921" s="4"/>
      <c r="BS921" s="4"/>
    </row>
    <row r="922" spans="1:7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c r="AG922" s="3"/>
      <c r="AH922" s="4"/>
      <c r="AI922" s="4"/>
      <c r="AJ922" s="4"/>
      <c r="AK922" s="4"/>
      <c r="AL922" s="4"/>
      <c r="AM922" s="4"/>
      <c r="AN922" s="4"/>
      <c r="AO922" s="4"/>
      <c r="AP922" s="4"/>
      <c r="AQ922" s="4"/>
      <c r="AR922" s="4"/>
      <c r="AS922" s="4"/>
      <c r="AT922" s="4"/>
      <c r="AU922" s="4"/>
      <c r="AV922" s="4"/>
      <c r="AW922" s="4"/>
      <c r="AX922" s="4"/>
      <c r="AY922" s="4"/>
      <c r="AZ922" s="4"/>
      <c r="BA922" s="4"/>
      <c r="BB922" s="4"/>
      <c r="BC922" s="4"/>
      <c r="BD922" s="5"/>
      <c r="BE922" s="4"/>
      <c r="BF922" s="4"/>
      <c r="BG922" s="4"/>
      <c r="BH922" s="4"/>
      <c r="BI922" s="4"/>
      <c r="BJ922" s="4"/>
      <c r="BK922" s="4"/>
      <c r="BL922" s="4"/>
      <c r="BM922" s="4"/>
      <c r="BN922" s="4"/>
      <c r="BO922" s="4"/>
      <c r="BP922" s="4"/>
      <c r="BQ922" s="4"/>
      <c r="BR922" s="4"/>
      <c r="BS922" s="4"/>
    </row>
    <row r="923" spans="1:7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c r="AG923" s="3"/>
      <c r="AH923" s="4"/>
      <c r="AI923" s="4"/>
      <c r="AJ923" s="4"/>
      <c r="AK923" s="4"/>
      <c r="AL923" s="4"/>
      <c r="AM923" s="4"/>
      <c r="AN923" s="4"/>
      <c r="AO923" s="4"/>
      <c r="AP923" s="4"/>
      <c r="AQ923" s="4"/>
      <c r="AR923" s="4"/>
      <c r="AS923" s="4"/>
      <c r="AT923" s="4"/>
      <c r="AU923" s="4"/>
      <c r="AV923" s="4"/>
      <c r="AW923" s="4"/>
      <c r="AX923" s="4"/>
      <c r="AY923" s="4"/>
      <c r="AZ923" s="4"/>
      <c r="BA923" s="4"/>
      <c r="BB923" s="4"/>
      <c r="BC923" s="4"/>
      <c r="BD923" s="5"/>
      <c r="BE923" s="4"/>
      <c r="BF923" s="4"/>
      <c r="BG923" s="4"/>
      <c r="BH923" s="4"/>
      <c r="BI923" s="4"/>
      <c r="BJ923" s="4"/>
      <c r="BK923" s="4"/>
      <c r="BL923" s="4"/>
      <c r="BM923" s="4"/>
      <c r="BN923" s="4"/>
      <c r="BO923" s="4"/>
      <c r="BP923" s="4"/>
      <c r="BQ923" s="4"/>
      <c r="BR923" s="4"/>
      <c r="BS923" s="4"/>
    </row>
    <row r="924" spans="1:7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c r="AG924" s="3"/>
      <c r="AH924" s="4"/>
      <c r="AI924" s="4"/>
      <c r="AJ924" s="4"/>
      <c r="AK924" s="4"/>
      <c r="AL924" s="4"/>
      <c r="AM924" s="4"/>
      <c r="AN924" s="4"/>
      <c r="AO924" s="4"/>
      <c r="AP924" s="4"/>
      <c r="AQ924" s="4"/>
      <c r="AR924" s="4"/>
      <c r="AS924" s="4"/>
      <c r="AT924" s="4"/>
      <c r="AU924" s="4"/>
      <c r="AV924" s="4"/>
      <c r="AW924" s="4"/>
      <c r="AX924" s="4"/>
      <c r="AY924" s="4"/>
      <c r="AZ924" s="4"/>
      <c r="BA924" s="4"/>
      <c r="BB924" s="4"/>
      <c r="BC924" s="4"/>
      <c r="BD924" s="5"/>
      <c r="BE924" s="4"/>
      <c r="BF924" s="4"/>
      <c r="BG924" s="4"/>
      <c r="BH924" s="4"/>
      <c r="BI924" s="4"/>
      <c r="BJ924" s="4"/>
      <c r="BK924" s="4"/>
      <c r="BL924" s="4"/>
      <c r="BM924" s="4"/>
      <c r="BN924" s="4"/>
      <c r="BO924" s="4"/>
      <c r="BP924" s="4"/>
      <c r="BQ924" s="4"/>
      <c r="BR924" s="4"/>
      <c r="BS924" s="4"/>
    </row>
    <row r="925" spans="1:7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c r="AG925" s="3"/>
      <c r="AH925" s="4"/>
      <c r="AI925" s="4"/>
      <c r="AJ925" s="4"/>
      <c r="AK925" s="4"/>
      <c r="AL925" s="4"/>
      <c r="AM925" s="4"/>
      <c r="AN925" s="4"/>
      <c r="AO925" s="4"/>
      <c r="AP925" s="4"/>
      <c r="AQ925" s="4"/>
      <c r="AR925" s="4"/>
      <c r="AS925" s="4"/>
      <c r="AT925" s="4"/>
      <c r="AU925" s="4"/>
      <c r="AV925" s="4"/>
      <c r="AW925" s="4"/>
      <c r="AX925" s="4"/>
      <c r="AY925" s="4"/>
      <c r="AZ925" s="4"/>
      <c r="BA925" s="4"/>
      <c r="BB925" s="4"/>
      <c r="BC925" s="4"/>
      <c r="BD925" s="5"/>
      <c r="BE925" s="4"/>
      <c r="BF925" s="4"/>
      <c r="BG925" s="4"/>
      <c r="BH925" s="4"/>
      <c r="BI925" s="4"/>
      <c r="BJ925" s="4"/>
      <c r="BK925" s="4"/>
      <c r="BL925" s="4"/>
      <c r="BM925" s="4"/>
      <c r="BN925" s="4"/>
      <c r="BO925" s="4"/>
      <c r="BP925" s="4"/>
      <c r="BQ925" s="4"/>
      <c r="BR925" s="4"/>
      <c r="BS925" s="4"/>
    </row>
    <row r="926" spans="1:7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c r="AG926" s="3"/>
      <c r="AH926" s="4"/>
      <c r="AI926" s="4"/>
      <c r="AJ926" s="4"/>
      <c r="AK926" s="4"/>
      <c r="AL926" s="4"/>
      <c r="AM926" s="4"/>
      <c r="AN926" s="4"/>
      <c r="AO926" s="4"/>
      <c r="AP926" s="4"/>
      <c r="AQ926" s="4"/>
      <c r="AR926" s="4"/>
      <c r="AS926" s="4"/>
      <c r="AT926" s="4"/>
      <c r="AU926" s="4"/>
      <c r="AV926" s="4"/>
      <c r="AW926" s="4"/>
      <c r="AX926" s="4"/>
      <c r="AY926" s="4"/>
      <c r="AZ926" s="4"/>
      <c r="BA926" s="4"/>
      <c r="BB926" s="4"/>
      <c r="BC926" s="4"/>
      <c r="BD926" s="5"/>
      <c r="BE926" s="4"/>
      <c r="BF926" s="4"/>
      <c r="BG926" s="4"/>
      <c r="BH926" s="4"/>
      <c r="BI926" s="4"/>
      <c r="BJ926" s="4"/>
      <c r="BK926" s="4"/>
      <c r="BL926" s="4"/>
      <c r="BM926" s="4"/>
      <c r="BN926" s="4"/>
      <c r="BO926" s="4"/>
      <c r="BP926" s="4"/>
      <c r="BQ926" s="4"/>
      <c r="BR926" s="4"/>
      <c r="BS926" s="4"/>
    </row>
    <row r="927" spans="1:7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c r="AG927" s="3"/>
      <c r="AH927" s="4"/>
      <c r="AI927" s="4"/>
      <c r="AJ927" s="4"/>
      <c r="AK927" s="4"/>
      <c r="AL927" s="4"/>
      <c r="AM927" s="4"/>
      <c r="AN927" s="4"/>
      <c r="AO927" s="4"/>
      <c r="AP927" s="4"/>
      <c r="AQ927" s="4"/>
      <c r="AR927" s="4"/>
      <c r="AS927" s="4"/>
      <c r="AT927" s="4"/>
      <c r="AU927" s="4"/>
      <c r="AV927" s="4"/>
      <c r="AW927" s="4"/>
      <c r="AX927" s="4"/>
      <c r="AY927" s="4"/>
      <c r="AZ927" s="4"/>
      <c r="BA927" s="4"/>
      <c r="BB927" s="4"/>
      <c r="BC927" s="4"/>
      <c r="BD927" s="5"/>
      <c r="BE927" s="4"/>
      <c r="BF927" s="4"/>
      <c r="BG927" s="4"/>
      <c r="BH927" s="4"/>
      <c r="BI927" s="4"/>
      <c r="BJ927" s="4"/>
      <c r="BK927" s="4"/>
      <c r="BL927" s="4"/>
      <c r="BM927" s="4"/>
      <c r="BN927" s="4"/>
      <c r="BO927" s="4"/>
      <c r="BP927" s="4"/>
      <c r="BQ927" s="4"/>
      <c r="BR927" s="4"/>
      <c r="BS927" s="4"/>
    </row>
    <row r="928" spans="1:7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c r="AG928" s="3"/>
      <c r="AH928" s="4"/>
      <c r="AI928" s="4"/>
      <c r="AJ928" s="4"/>
      <c r="AK928" s="4"/>
      <c r="AL928" s="4"/>
      <c r="AM928" s="4"/>
      <c r="AN928" s="4"/>
      <c r="AO928" s="4"/>
      <c r="AP928" s="4"/>
      <c r="AQ928" s="4"/>
      <c r="AR928" s="4"/>
      <c r="AS928" s="4"/>
      <c r="AT928" s="4"/>
      <c r="AU928" s="4"/>
      <c r="AV928" s="4"/>
      <c r="AW928" s="4"/>
      <c r="AX928" s="4"/>
      <c r="AY928" s="4"/>
      <c r="AZ928" s="4"/>
      <c r="BA928" s="4"/>
      <c r="BB928" s="4"/>
      <c r="BC928" s="4"/>
      <c r="BD928" s="5"/>
      <c r="BE928" s="4"/>
      <c r="BF928" s="4"/>
      <c r="BG928" s="4"/>
      <c r="BH928" s="4"/>
      <c r="BI928" s="4"/>
      <c r="BJ928" s="4"/>
      <c r="BK928" s="4"/>
      <c r="BL928" s="4"/>
      <c r="BM928" s="4"/>
      <c r="BN928" s="4"/>
      <c r="BO928" s="4"/>
      <c r="BP928" s="4"/>
      <c r="BQ928" s="4"/>
      <c r="BR928" s="4"/>
      <c r="BS928" s="4"/>
    </row>
    <row r="929" spans="1:7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c r="AG929" s="3"/>
      <c r="AH929" s="4"/>
      <c r="AI929" s="4"/>
      <c r="AJ929" s="4"/>
      <c r="AK929" s="4"/>
      <c r="AL929" s="4"/>
      <c r="AM929" s="4"/>
      <c r="AN929" s="4"/>
      <c r="AO929" s="4"/>
      <c r="AP929" s="4"/>
      <c r="AQ929" s="4"/>
      <c r="AR929" s="4"/>
      <c r="AS929" s="4"/>
      <c r="AT929" s="4"/>
      <c r="AU929" s="4"/>
      <c r="AV929" s="4"/>
      <c r="AW929" s="4"/>
      <c r="AX929" s="4"/>
      <c r="AY929" s="4"/>
      <c r="AZ929" s="4"/>
      <c r="BA929" s="4"/>
      <c r="BB929" s="4"/>
      <c r="BC929" s="4"/>
      <c r="BD929" s="5"/>
      <c r="BE929" s="4"/>
      <c r="BF929" s="4"/>
      <c r="BG929" s="4"/>
      <c r="BH929" s="4"/>
      <c r="BI929" s="4"/>
      <c r="BJ929" s="4"/>
      <c r="BK929" s="4"/>
      <c r="BL929" s="4"/>
      <c r="BM929" s="4"/>
      <c r="BN929" s="4"/>
      <c r="BO929" s="4"/>
      <c r="BP929" s="4"/>
      <c r="BQ929" s="4"/>
      <c r="BR929" s="4"/>
      <c r="BS929" s="4"/>
    </row>
    <row r="930" spans="1:7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c r="AG930" s="3"/>
      <c r="AH930" s="4"/>
      <c r="AI930" s="4"/>
      <c r="AJ930" s="4"/>
      <c r="AK930" s="4"/>
      <c r="AL930" s="4"/>
      <c r="AM930" s="4"/>
      <c r="AN930" s="4"/>
      <c r="AO930" s="4"/>
      <c r="AP930" s="4"/>
      <c r="AQ930" s="4"/>
      <c r="AR930" s="4"/>
      <c r="AS930" s="4"/>
      <c r="AT930" s="4"/>
      <c r="AU930" s="4"/>
      <c r="AV930" s="4"/>
      <c r="AW930" s="4"/>
      <c r="AX930" s="4"/>
      <c r="AY930" s="4"/>
      <c r="AZ930" s="4"/>
      <c r="BA930" s="4"/>
      <c r="BB930" s="4"/>
      <c r="BC930" s="4"/>
      <c r="BD930" s="5"/>
      <c r="BE930" s="4"/>
      <c r="BF930" s="4"/>
      <c r="BG930" s="4"/>
      <c r="BH930" s="4"/>
      <c r="BI930" s="4"/>
      <c r="BJ930" s="4"/>
      <c r="BK930" s="4"/>
      <c r="BL930" s="4"/>
      <c r="BM930" s="4"/>
      <c r="BN930" s="4"/>
      <c r="BO930" s="4"/>
      <c r="BP930" s="4"/>
      <c r="BQ930" s="4"/>
      <c r="BR930" s="4"/>
      <c r="BS930" s="4"/>
    </row>
    <row r="931" spans="1:7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c r="AG931" s="3"/>
      <c r="AH931" s="4"/>
      <c r="AI931" s="4"/>
      <c r="AJ931" s="4"/>
      <c r="AK931" s="4"/>
      <c r="AL931" s="4"/>
      <c r="AM931" s="4"/>
      <c r="AN931" s="4"/>
      <c r="AO931" s="4"/>
      <c r="AP931" s="4"/>
      <c r="AQ931" s="4"/>
      <c r="AR931" s="4"/>
      <c r="AS931" s="4"/>
      <c r="AT931" s="4"/>
      <c r="AU931" s="4"/>
      <c r="AV931" s="4"/>
      <c r="AW931" s="4"/>
      <c r="AX931" s="4"/>
      <c r="AY931" s="4"/>
      <c r="AZ931" s="4"/>
      <c r="BA931" s="4"/>
      <c r="BB931" s="4"/>
      <c r="BC931" s="4"/>
      <c r="BD931" s="5"/>
      <c r="BE931" s="4"/>
      <c r="BF931" s="4"/>
      <c r="BG931" s="4"/>
      <c r="BH931" s="4"/>
      <c r="BI931" s="4"/>
      <c r="BJ931" s="4"/>
      <c r="BK931" s="4"/>
      <c r="BL931" s="4"/>
      <c r="BM931" s="4"/>
      <c r="BN931" s="4"/>
      <c r="BO931" s="4"/>
      <c r="BP931" s="4"/>
      <c r="BQ931" s="4"/>
      <c r="BR931" s="4"/>
      <c r="BS931" s="4"/>
    </row>
    <row r="932" spans="1:7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c r="AG932" s="3"/>
      <c r="AH932" s="4"/>
      <c r="AI932" s="4"/>
      <c r="AJ932" s="4"/>
      <c r="AK932" s="4"/>
      <c r="AL932" s="4"/>
      <c r="AM932" s="4"/>
      <c r="AN932" s="4"/>
      <c r="AO932" s="4"/>
      <c r="AP932" s="4"/>
      <c r="AQ932" s="4"/>
      <c r="AR932" s="4"/>
      <c r="AS932" s="4"/>
      <c r="AT932" s="4"/>
      <c r="AU932" s="4"/>
      <c r="AV932" s="4"/>
      <c r="AW932" s="4"/>
      <c r="AX932" s="4"/>
      <c r="AY932" s="4"/>
      <c r="AZ932" s="4"/>
      <c r="BA932" s="4"/>
      <c r="BB932" s="4"/>
      <c r="BC932" s="4"/>
      <c r="BD932" s="5"/>
      <c r="BE932" s="4"/>
      <c r="BF932" s="4"/>
      <c r="BG932" s="4"/>
      <c r="BH932" s="4"/>
      <c r="BI932" s="4"/>
      <c r="BJ932" s="4"/>
      <c r="BK932" s="4"/>
      <c r="BL932" s="4"/>
      <c r="BM932" s="4"/>
      <c r="BN932" s="4"/>
      <c r="BO932" s="4"/>
      <c r="BP932" s="4"/>
      <c r="BQ932" s="4"/>
      <c r="BR932" s="4"/>
      <c r="BS932" s="4"/>
    </row>
    <row r="933" spans="1:7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c r="AG933" s="3"/>
      <c r="AH933" s="4"/>
      <c r="AI933" s="4"/>
      <c r="AJ933" s="4"/>
      <c r="AK933" s="4"/>
      <c r="AL933" s="4"/>
      <c r="AM933" s="4"/>
      <c r="AN933" s="4"/>
      <c r="AO933" s="4"/>
      <c r="AP933" s="4"/>
      <c r="AQ933" s="4"/>
      <c r="AR933" s="4"/>
      <c r="AS933" s="4"/>
      <c r="AT933" s="4"/>
      <c r="AU933" s="4"/>
      <c r="AV933" s="4"/>
      <c r="AW933" s="4"/>
      <c r="AX933" s="4"/>
      <c r="AY933" s="4"/>
      <c r="AZ933" s="4"/>
      <c r="BA933" s="4"/>
      <c r="BB933" s="4"/>
      <c r="BC933" s="4"/>
      <c r="BD933" s="5"/>
      <c r="BE933" s="4"/>
      <c r="BF933" s="4"/>
      <c r="BG933" s="4"/>
      <c r="BH933" s="4"/>
      <c r="BI933" s="4"/>
      <c r="BJ933" s="4"/>
      <c r="BK933" s="4"/>
      <c r="BL933" s="4"/>
      <c r="BM933" s="4"/>
      <c r="BN933" s="4"/>
      <c r="BO933" s="4"/>
      <c r="BP933" s="4"/>
      <c r="BQ933" s="4"/>
      <c r="BR933" s="4"/>
      <c r="BS933" s="4"/>
    </row>
    <row r="934" spans="1:7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c r="AG934" s="3"/>
      <c r="AH934" s="4"/>
      <c r="AI934" s="4"/>
      <c r="AJ934" s="4"/>
      <c r="AK934" s="4"/>
      <c r="AL934" s="4"/>
      <c r="AM934" s="4"/>
      <c r="AN934" s="4"/>
      <c r="AO934" s="4"/>
      <c r="AP934" s="4"/>
      <c r="AQ934" s="4"/>
      <c r="AR934" s="4"/>
      <c r="AS934" s="4"/>
      <c r="AT934" s="4"/>
      <c r="AU934" s="4"/>
      <c r="AV934" s="4"/>
      <c r="AW934" s="4"/>
      <c r="AX934" s="4"/>
      <c r="AY934" s="4"/>
      <c r="AZ934" s="4"/>
      <c r="BA934" s="4"/>
      <c r="BB934" s="4"/>
      <c r="BC934" s="4"/>
      <c r="BD934" s="5"/>
      <c r="BE934" s="4"/>
      <c r="BF934" s="4"/>
      <c r="BG934" s="4"/>
      <c r="BH934" s="4"/>
      <c r="BI934" s="4"/>
      <c r="BJ934" s="4"/>
      <c r="BK934" s="4"/>
      <c r="BL934" s="4"/>
      <c r="BM934" s="4"/>
      <c r="BN934" s="4"/>
      <c r="BO934" s="4"/>
      <c r="BP934" s="4"/>
      <c r="BQ934" s="4"/>
      <c r="BR934" s="4"/>
      <c r="BS934" s="4"/>
    </row>
    <row r="935" spans="1:7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c r="AG935" s="3"/>
      <c r="AH935" s="4"/>
      <c r="AI935" s="4"/>
      <c r="AJ935" s="4"/>
      <c r="AK935" s="4"/>
      <c r="AL935" s="4"/>
      <c r="AM935" s="4"/>
      <c r="AN935" s="4"/>
      <c r="AO935" s="4"/>
      <c r="AP935" s="4"/>
      <c r="AQ935" s="4"/>
      <c r="AR935" s="4"/>
      <c r="AS935" s="4"/>
      <c r="AT935" s="4"/>
      <c r="AU935" s="4"/>
      <c r="AV935" s="4"/>
      <c r="AW935" s="4"/>
      <c r="AX935" s="4"/>
      <c r="AY935" s="4"/>
      <c r="AZ935" s="4"/>
      <c r="BA935" s="4"/>
      <c r="BB935" s="4"/>
      <c r="BC935" s="4"/>
      <c r="BD935" s="5"/>
      <c r="BE935" s="4"/>
      <c r="BF935" s="4"/>
      <c r="BG935" s="4"/>
      <c r="BH935" s="4"/>
      <c r="BI935" s="4"/>
      <c r="BJ935" s="4"/>
      <c r="BK935" s="4"/>
      <c r="BL935" s="4"/>
      <c r="BM935" s="4"/>
      <c r="BN935" s="4"/>
      <c r="BO935" s="4"/>
      <c r="BP935" s="4"/>
      <c r="BQ935" s="4"/>
      <c r="BR935" s="4"/>
      <c r="BS935" s="4"/>
    </row>
    <row r="936" spans="1:7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c r="AG936" s="3"/>
      <c r="AH936" s="4"/>
      <c r="AI936" s="4"/>
      <c r="AJ936" s="4"/>
      <c r="AK936" s="4"/>
      <c r="AL936" s="4"/>
      <c r="AM936" s="4"/>
      <c r="AN936" s="4"/>
      <c r="AO936" s="4"/>
      <c r="AP936" s="4"/>
      <c r="AQ936" s="4"/>
      <c r="AR936" s="4"/>
      <c r="AS936" s="4"/>
      <c r="AT936" s="4"/>
      <c r="AU936" s="4"/>
      <c r="AV936" s="4"/>
      <c r="AW936" s="4"/>
      <c r="AX936" s="4"/>
      <c r="AY936" s="4"/>
      <c r="AZ936" s="4"/>
      <c r="BA936" s="4"/>
      <c r="BB936" s="4"/>
      <c r="BC936" s="4"/>
      <c r="BD936" s="5"/>
      <c r="BE936" s="4"/>
      <c r="BF936" s="4"/>
      <c r="BG936" s="4"/>
      <c r="BH936" s="4"/>
      <c r="BI936" s="4"/>
      <c r="BJ936" s="4"/>
      <c r="BK936" s="4"/>
      <c r="BL936" s="4"/>
      <c r="BM936" s="4"/>
      <c r="BN936" s="4"/>
      <c r="BO936" s="4"/>
      <c r="BP936" s="4"/>
      <c r="BQ936" s="4"/>
      <c r="BR936" s="4"/>
      <c r="BS936" s="4"/>
    </row>
    <row r="937" spans="1:7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c r="AG937" s="3"/>
      <c r="AH937" s="4"/>
      <c r="AI937" s="4"/>
      <c r="AJ937" s="4"/>
      <c r="AK937" s="4"/>
      <c r="AL937" s="4"/>
      <c r="AM937" s="4"/>
      <c r="AN937" s="4"/>
      <c r="AO937" s="4"/>
      <c r="AP937" s="4"/>
      <c r="AQ937" s="4"/>
      <c r="AR937" s="4"/>
      <c r="AS937" s="4"/>
      <c r="AT937" s="4"/>
      <c r="AU937" s="4"/>
      <c r="AV937" s="4"/>
      <c r="AW937" s="4"/>
      <c r="AX937" s="4"/>
      <c r="AY937" s="4"/>
      <c r="AZ937" s="4"/>
      <c r="BA937" s="4"/>
      <c r="BB937" s="4"/>
      <c r="BC937" s="4"/>
      <c r="BD937" s="5"/>
      <c r="BE937" s="4"/>
      <c r="BF937" s="4"/>
      <c r="BG937" s="4"/>
      <c r="BH937" s="4"/>
      <c r="BI937" s="4"/>
      <c r="BJ937" s="4"/>
      <c r="BK937" s="4"/>
      <c r="BL937" s="4"/>
      <c r="BM937" s="4"/>
      <c r="BN937" s="4"/>
      <c r="BO937" s="4"/>
      <c r="BP937" s="4"/>
      <c r="BQ937" s="4"/>
      <c r="BR937" s="4"/>
      <c r="BS937" s="4"/>
    </row>
    <row r="938" spans="1:7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c r="AG938" s="3"/>
      <c r="AH938" s="4"/>
      <c r="AI938" s="4"/>
      <c r="AJ938" s="4"/>
      <c r="AK938" s="4"/>
      <c r="AL938" s="4"/>
      <c r="AM938" s="4"/>
      <c r="AN938" s="4"/>
      <c r="AO938" s="4"/>
      <c r="AP938" s="4"/>
      <c r="AQ938" s="4"/>
      <c r="AR938" s="4"/>
      <c r="AS938" s="4"/>
      <c r="AT938" s="4"/>
      <c r="AU938" s="4"/>
      <c r="AV938" s="4"/>
      <c r="AW938" s="4"/>
      <c r="AX938" s="4"/>
      <c r="AY938" s="4"/>
      <c r="AZ938" s="4"/>
      <c r="BA938" s="4"/>
      <c r="BB938" s="4"/>
      <c r="BC938" s="4"/>
      <c r="BD938" s="5"/>
      <c r="BE938" s="4"/>
      <c r="BF938" s="4"/>
      <c r="BG938" s="4"/>
      <c r="BH938" s="4"/>
      <c r="BI938" s="4"/>
      <c r="BJ938" s="4"/>
      <c r="BK938" s="4"/>
      <c r="BL938" s="4"/>
      <c r="BM938" s="4"/>
      <c r="BN938" s="4"/>
      <c r="BO938" s="4"/>
      <c r="BP938" s="4"/>
      <c r="BQ938" s="4"/>
      <c r="BR938" s="4"/>
      <c r="BS938" s="4"/>
    </row>
    <row r="939" spans="1:7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c r="AG939" s="3"/>
      <c r="AH939" s="4"/>
      <c r="AI939" s="4"/>
      <c r="AJ939" s="4"/>
      <c r="AK939" s="4"/>
      <c r="AL939" s="4"/>
      <c r="AM939" s="4"/>
      <c r="AN939" s="4"/>
      <c r="AO939" s="4"/>
      <c r="AP939" s="4"/>
      <c r="AQ939" s="4"/>
      <c r="AR939" s="4"/>
      <c r="AS939" s="4"/>
      <c r="AT939" s="4"/>
      <c r="AU939" s="4"/>
      <c r="AV939" s="4"/>
      <c r="AW939" s="4"/>
      <c r="AX939" s="4"/>
      <c r="AY939" s="4"/>
      <c r="AZ939" s="4"/>
      <c r="BA939" s="4"/>
      <c r="BB939" s="4"/>
      <c r="BC939" s="4"/>
      <c r="BD939" s="5"/>
      <c r="BE939" s="4"/>
      <c r="BF939" s="4"/>
      <c r="BG939" s="4"/>
      <c r="BH939" s="4"/>
      <c r="BI939" s="4"/>
      <c r="BJ939" s="4"/>
      <c r="BK939" s="4"/>
      <c r="BL939" s="4"/>
      <c r="BM939" s="4"/>
      <c r="BN939" s="4"/>
      <c r="BO939" s="4"/>
      <c r="BP939" s="4"/>
      <c r="BQ939" s="4"/>
      <c r="BR939" s="4"/>
      <c r="BS939" s="4"/>
    </row>
    <row r="940" spans="1:7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c r="AG940" s="3"/>
      <c r="AH940" s="4"/>
      <c r="AI940" s="4"/>
      <c r="AJ940" s="4"/>
      <c r="AK940" s="4"/>
      <c r="AL940" s="4"/>
      <c r="AM940" s="4"/>
      <c r="AN940" s="4"/>
      <c r="AO940" s="4"/>
      <c r="AP940" s="4"/>
      <c r="AQ940" s="4"/>
      <c r="AR940" s="4"/>
      <c r="AS940" s="4"/>
      <c r="AT940" s="4"/>
      <c r="AU940" s="4"/>
      <c r="AV940" s="4"/>
      <c r="AW940" s="4"/>
      <c r="AX940" s="4"/>
      <c r="AY940" s="4"/>
      <c r="AZ940" s="4"/>
      <c r="BA940" s="4"/>
      <c r="BB940" s="4"/>
      <c r="BC940" s="4"/>
      <c r="BD940" s="5"/>
      <c r="BE940" s="4"/>
      <c r="BF940" s="4"/>
      <c r="BG940" s="4"/>
      <c r="BH940" s="4"/>
      <c r="BI940" s="4"/>
      <c r="BJ940" s="4"/>
      <c r="BK940" s="4"/>
      <c r="BL940" s="4"/>
      <c r="BM940" s="4"/>
      <c r="BN940" s="4"/>
      <c r="BO940" s="4"/>
      <c r="BP940" s="4"/>
      <c r="BQ940" s="4"/>
      <c r="BR940" s="4"/>
      <c r="BS940" s="4"/>
    </row>
    <row r="941" spans="1:7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c r="AG941" s="3"/>
      <c r="AH941" s="4"/>
      <c r="AI941" s="4"/>
      <c r="AJ941" s="4"/>
      <c r="AK941" s="4"/>
      <c r="AL941" s="4"/>
      <c r="AM941" s="4"/>
      <c r="AN941" s="4"/>
      <c r="AO941" s="4"/>
      <c r="AP941" s="4"/>
      <c r="AQ941" s="4"/>
      <c r="AR941" s="4"/>
      <c r="AS941" s="4"/>
      <c r="AT941" s="4"/>
      <c r="AU941" s="4"/>
      <c r="AV941" s="4"/>
      <c r="AW941" s="4"/>
      <c r="AX941" s="4"/>
      <c r="AY941" s="4"/>
      <c r="AZ941" s="4"/>
      <c r="BA941" s="4"/>
      <c r="BB941" s="4"/>
      <c r="BC941" s="4"/>
      <c r="BD941" s="5"/>
      <c r="BE941" s="4"/>
      <c r="BF941" s="4"/>
      <c r="BG941" s="4"/>
      <c r="BH941" s="4"/>
      <c r="BI941" s="4"/>
      <c r="BJ941" s="4"/>
      <c r="BK941" s="4"/>
      <c r="BL941" s="4"/>
      <c r="BM941" s="4"/>
      <c r="BN941" s="4"/>
      <c r="BO941" s="4"/>
      <c r="BP941" s="4"/>
      <c r="BQ941" s="4"/>
      <c r="BR941" s="4"/>
      <c r="BS941" s="4"/>
    </row>
    <row r="942" spans="1:7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c r="AG942" s="3"/>
      <c r="AH942" s="4"/>
      <c r="AI942" s="4"/>
      <c r="AJ942" s="4"/>
      <c r="AK942" s="4"/>
      <c r="AL942" s="4"/>
      <c r="AM942" s="4"/>
      <c r="AN942" s="4"/>
      <c r="AO942" s="4"/>
      <c r="AP942" s="4"/>
      <c r="AQ942" s="4"/>
      <c r="AR942" s="4"/>
      <c r="AS942" s="4"/>
      <c r="AT942" s="4"/>
      <c r="AU942" s="4"/>
      <c r="AV942" s="4"/>
      <c r="AW942" s="4"/>
      <c r="AX942" s="4"/>
      <c r="AY942" s="4"/>
      <c r="AZ942" s="4"/>
      <c r="BA942" s="4"/>
      <c r="BB942" s="4"/>
      <c r="BC942" s="4"/>
      <c r="BD942" s="5"/>
      <c r="BE942" s="4"/>
      <c r="BF942" s="4"/>
      <c r="BG942" s="4"/>
      <c r="BH942" s="4"/>
      <c r="BI942" s="4"/>
      <c r="BJ942" s="4"/>
      <c r="BK942" s="4"/>
      <c r="BL942" s="4"/>
      <c r="BM942" s="4"/>
      <c r="BN942" s="4"/>
      <c r="BO942" s="4"/>
      <c r="BP942" s="4"/>
      <c r="BQ942" s="4"/>
      <c r="BR942" s="4"/>
      <c r="BS942" s="4"/>
    </row>
    <row r="943" spans="1:7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c r="AG943" s="3"/>
      <c r="AH943" s="4"/>
      <c r="AI943" s="4"/>
      <c r="AJ943" s="4"/>
      <c r="AK943" s="4"/>
      <c r="AL943" s="4"/>
      <c r="AM943" s="4"/>
      <c r="AN943" s="4"/>
      <c r="AO943" s="4"/>
      <c r="AP943" s="4"/>
      <c r="AQ943" s="4"/>
      <c r="AR943" s="4"/>
      <c r="AS943" s="4"/>
      <c r="AT943" s="4"/>
      <c r="AU943" s="4"/>
      <c r="AV943" s="4"/>
      <c r="AW943" s="4"/>
      <c r="AX943" s="4"/>
      <c r="AY943" s="4"/>
      <c r="AZ943" s="4"/>
      <c r="BA943" s="4"/>
      <c r="BB943" s="4"/>
      <c r="BC943" s="4"/>
      <c r="BD943" s="5"/>
      <c r="BE943" s="4"/>
      <c r="BF943" s="4"/>
      <c r="BG943" s="4"/>
      <c r="BH943" s="4"/>
      <c r="BI943" s="4"/>
      <c r="BJ943" s="4"/>
      <c r="BK943" s="4"/>
      <c r="BL943" s="4"/>
      <c r="BM943" s="4"/>
      <c r="BN943" s="4"/>
      <c r="BO943" s="4"/>
      <c r="BP943" s="4"/>
      <c r="BQ943" s="4"/>
      <c r="BR943" s="4"/>
      <c r="BS943" s="4"/>
    </row>
    <row r="944" spans="1:7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c r="AG944" s="3"/>
      <c r="AH944" s="4"/>
      <c r="AI944" s="4"/>
      <c r="AJ944" s="4"/>
      <c r="AK944" s="4"/>
      <c r="AL944" s="4"/>
      <c r="AM944" s="4"/>
      <c r="AN944" s="4"/>
      <c r="AO944" s="4"/>
      <c r="AP944" s="4"/>
      <c r="AQ944" s="4"/>
      <c r="AR944" s="4"/>
      <c r="AS944" s="4"/>
      <c r="AT944" s="4"/>
      <c r="AU944" s="4"/>
      <c r="AV944" s="4"/>
      <c r="AW944" s="4"/>
      <c r="AX944" s="4"/>
      <c r="AY944" s="4"/>
      <c r="AZ944" s="4"/>
      <c r="BA944" s="4"/>
      <c r="BB944" s="4"/>
      <c r="BC944" s="4"/>
      <c r="BD944" s="5"/>
      <c r="BE944" s="4"/>
      <c r="BF944" s="4"/>
      <c r="BG944" s="4"/>
      <c r="BH944" s="4"/>
      <c r="BI944" s="4"/>
      <c r="BJ944" s="4"/>
      <c r="BK944" s="4"/>
      <c r="BL944" s="4"/>
      <c r="BM944" s="4"/>
      <c r="BN944" s="4"/>
      <c r="BO944" s="4"/>
      <c r="BP944" s="4"/>
      <c r="BQ944" s="4"/>
      <c r="BR944" s="4"/>
      <c r="BS944" s="4"/>
    </row>
    <row r="945" spans="1:7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c r="AG945" s="3"/>
      <c r="AH945" s="4"/>
      <c r="AI945" s="4"/>
      <c r="AJ945" s="4"/>
      <c r="AK945" s="4"/>
      <c r="AL945" s="4"/>
      <c r="AM945" s="4"/>
      <c r="AN945" s="4"/>
      <c r="AO945" s="4"/>
      <c r="AP945" s="4"/>
      <c r="AQ945" s="4"/>
      <c r="AR945" s="4"/>
      <c r="AS945" s="4"/>
      <c r="AT945" s="4"/>
      <c r="AU945" s="4"/>
      <c r="AV945" s="4"/>
      <c r="AW945" s="4"/>
      <c r="AX945" s="4"/>
      <c r="AY945" s="4"/>
      <c r="AZ945" s="4"/>
      <c r="BA945" s="4"/>
      <c r="BB945" s="4"/>
      <c r="BC945" s="4"/>
      <c r="BD945" s="5"/>
      <c r="BE945" s="4"/>
      <c r="BF945" s="4"/>
      <c r="BG945" s="4"/>
      <c r="BH945" s="4"/>
      <c r="BI945" s="4"/>
      <c r="BJ945" s="4"/>
      <c r="BK945" s="4"/>
      <c r="BL945" s="4"/>
      <c r="BM945" s="4"/>
      <c r="BN945" s="4"/>
      <c r="BO945" s="4"/>
      <c r="BP945" s="4"/>
      <c r="BQ945" s="4"/>
      <c r="BR945" s="4"/>
      <c r="BS945" s="4"/>
    </row>
    <row r="946" spans="1:7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c r="AG946" s="3"/>
      <c r="AH946" s="4"/>
      <c r="AI946" s="4"/>
      <c r="AJ946" s="4"/>
      <c r="AK946" s="4"/>
      <c r="AL946" s="4"/>
      <c r="AM946" s="4"/>
      <c r="AN946" s="4"/>
      <c r="AO946" s="4"/>
      <c r="AP946" s="4"/>
      <c r="AQ946" s="4"/>
      <c r="AR946" s="4"/>
      <c r="AS946" s="4"/>
      <c r="AT946" s="4"/>
      <c r="AU946" s="4"/>
      <c r="AV946" s="4"/>
      <c r="AW946" s="4"/>
      <c r="AX946" s="4"/>
      <c r="AY946" s="4"/>
      <c r="AZ946" s="4"/>
      <c r="BA946" s="4"/>
      <c r="BB946" s="4"/>
      <c r="BC946" s="4"/>
      <c r="BD946" s="5"/>
      <c r="BE946" s="4"/>
      <c r="BF946" s="4"/>
      <c r="BG946" s="4"/>
      <c r="BH946" s="4"/>
      <c r="BI946" s="4"/>
      <c r="BJ946" s="4"/>
      <c r="BK946" s="4"/>
      <c r="BL946" s="4"/>
      <c r="BM946" s="4"/>
      <c r="BN946" s="4"/>
      <c r="BO946" s="4"/>
      <c r="BP946" s="4"/>
      <c r="BQ946" s="4"/>
      <c r="BR946" s="4"/>
      <c r="BS946" s="4"/>
    </row>
    <row r="947" spans="1:7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c r="AG947" s="3"/>
      <c r="AH947" s="4"/>
      <c r="AI947" s="4"/>
      <c r="AJ947" s="4"/>
      <c r="AK947" s="4"/>
      <c r="AL947" s="4"/>
      <c r="AM947" s="4"/>
      <c r="AN947" s="4"/>
      <c r="AO947" s="4"/>
      <c r="AP947" s="4"/>
      <c r="AQ947" s="4"/>
      <c r="AR947" s="4"/>
      <c r="AS947" s="4"/>
      <c r="AT947" s="4"/>
      <c r="AU947" s="4"/>
      <c r="AV947" s="4"/>
      <c r="AW947" s="4"/>
      <c r="AX947" s="4"/>
      <c r="AY947" s="4"/>
      <c r="AZ947" s="4"/>
      <c r="BA947" s="4"/>
      <c r="BB947" s="4"/>
      <c r="BC947" s="4"/>
      <c r="BD947" s="5"/>
      <c r="BE947" s="4"/>
      <c r="BF947" s="4"/>
      <c r="BG947" s="4"/>
      <c r="BH947" s="4"/>
      <c r="BI947" s="4"/>
      <c r="BJ947" s="4"/>
      <c r="BK947" s="4"/>
      <c r="BL947" s="4"/>
      <c r="BM947" s="4"/>
      <c r="BN947" s="4"/>
      <c r="BO947" s="4"/>
      <c r="BP947" s="4"/>
      <c r="BQ947" s="4"/>
      <c r="BR947" s="4"/>
      <c r="BS947" s="4"/>
    </row>
    <row r="948" spans="1:7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c r="AG948" s="3"/>
      <c r="AH948" s="4"/>
      <c r="AI948" s="4"/>
      <c r="AJ948" s="4"/>
      <c r="AK948" s="4"/>
      <c r="AL948" s="4"/>
      <c r="AM948" s="4"/>
      <c r="AN948" s="4"/>
      <c r="AO948" s="4"/>
      <c r="AP948" s="4"/>
      <c r="AQ948" s="4"/>
      <c r="AR948" s="4"/>
      <c r="AS948" s="4"/>
      <c r="AT948" s="4"/>
      <c r="AU948" s="4"/>
      <c r="AV948" s="4"/>
      <c r="AW948" s="4"/>
      <c r="AX948" s="4"/>
      <c r="AY948" s="4"/>
      <c r="AZ948" s="4"/>
      <c r="BA948" s="4"/>
      <c r="BB948" s="4"/>
      <c r="BC948" s="4"/>
      <c r="BD948" s="5"/>
      <c r="BE948" s="4"/>
      <c r="BF948" s="4"/>
      <c r="BG948" s="4"/>
      <c r="BH948" s="4"/>
      <c r="BI948" s="4"/>
      <c r="BJ948" s="4"/>
      <c r="BK948" s="4"/>
      <c r="BL948" s="4"/>
      <c r="BM948" s="4"/>
      <c r="BN948" s="4"/>
      <c r="BO948" s="4"/>
      <c r="BP948" s="4"/>
      <c r="BQ948" s="4"/>
      <c r="BR948" s="4"/>
      <c r="BS948" s="4"/>
    </row>
    <row r="949" spans="1:7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c r="AG949" s="3"/>
      <c r="AH949" s="4"/>
      <c r="AI949" s="4"/>
      <c r="AJ949" s="4"/>
      <c r="AK949" s="4"/>
      <c r="AL949" s="4"/>
      <c r="AM949" s="4"/>
      <c r="AN949" s="4"/>
      <c r="AO949" s="4"/>
      <c r="AP949" s="4"/>
      <c r="AQ949" s="4"/>
      <c r="AR949" s="4"/>
      <c r="AS949" s="4"/>
      <c r="AT949" s="4"/>
      <c r="AU949" s="4"/>
      <c r="AV949" s="4"/>
      <c r="AW949" s="4"/>
      <c r="AX949" s="4"/>
      <c r="AY949" s="4"/>
      <c r="AZ949" s="4"/>
      <c r="BA949" s="4"/>
      <c r="BB949" s="4"/>
      <c r="BC949" s="4"/>
      <c r="BD949" s="5"/>
      <c r="BE949" s="4"/>
      <c r="BF949" s="4"/>
      <c r="BG949" s="4"/>
      <c r="BH949" s="4"/>
      <c r="BI949" s="4"/>
      <c r="BJ949" s="4"/>
      <c r="BK949" s="4"/>
      <c r="BL949" s="4"/>
      <c r="BM949" s="4"/>
      <c r="BN949" s="4"/>
      <c r="BO949" s="4"/>
      <c r="BP949" s="4"/>
      <c r="BQ949" s="4"/>
      <c r="BR949" s="4"/>
      <c r="BS949" s="4"/>
    </row>
    <row r="950" spans="1:7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c r="AF950" s="3"/>
      <c r="AG950" s="3"/>
      <c r="AH950" s="4"/>
      <c r="AI950" s="4"/>
      <c r="AJ950" s="4"/>
      <c r="AK950" s="4"/>
      <c r="AL950" s="4"/>
      <c r="AM950" s="4"/>
      <c r="AN950" s="4"/>
      <c r="AO950" s="4"/>
      <c r="AP950" s="4"/>
      <c r="AQ950" s="4"/>
      <c r="AR950" s="4"/>
      <c r="AS950" s="4"/>
      <c r="AT950" s="4"/>
      <c r="AU950" s="4"/>
      <c r="AV950" s="4"/>
      <c r="AW950" s="4"/>
      <c r="AX950" s="4"/>
      <c r="AY950" s="4"/>
      <c r="AZ950" s="4"/>
      <c r="BA950" s="4"/>
      <c r="BB950" s="4"/>
      <c r="BC950" s="4"/>
      <c r="BD950" s="5"/>
      <c r="BE950" s="4"/>
      <c r="BF950" s="4"/>
      <c r="BG950" s="4"/>
      <c r="BH950" s="4"/>
      <c r="BI950" s="4"/>
      <c r="BJ950" s="4"/>
      <c r="BK950" s="4"/>
      <c r="BL950" s="4"/>
      <c r="BM950" s="4"/>
      <c r="BN950" s="4"/>
      <c r="BO950" s="4"/>
      <c r="BP950" s="4"/>
      <c r="BQ950" s="4"/>
      <c r="BR950" s="4"/>
      <c r="BS950" s="4"/>
    </row>
    <row r="951" spans="1:7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c r="AF951" s="3"/>
      <c r="AG951" s="3"/>
      <c r="AH951" s="4"/>
      <c r="AI951" s="4"/>
      <c r="AJ951" s="4"/>
      <c r="AK951" s="4"/>
      <c r="AL951" s="4"/>
      <c r="AM951" s="4"/>
      <c r="AN951" s="4"/>
      <c r="AO951" s="4"/>
      <c r="AP951" s="4"/>
      <c r="AQ951" s="4"/>
      <c r="AR951" s="4"/>
      <c r="AS951" s="4"/>
      <c r="AT951" s="4"/>
      <c r="AU951" s="4"/>
      <c r="AV951" s="4"/>
      <c r="AW951" s="4"/>
      <c r="AX951" s="4"/>
      <c r="AY951" s="4"/>
      <c r="AZ951" s="4"/>
      <c r="BA951" s="4"/>
      <c r="BB951" s="4"/>
      <c r="BC951" s="4"/>
      <c r="BD951" s="5"/>
      <c r="BE951" s="4"/>
      <c r="BF951" s="4"/>
      <c r="BG951" s="4"/>
      <c r="BH951" s="4"/>
      <c r="BI951" s="4"/>
      <c r="BJ951" s="4"/>
      <c r="BK951" s="4"/>
      <c r="BL951" s="4"/>
      <c r="BM951" s="4"/>
      <c r="BN951" s="4"/>
      <c r="BO951" s="4"/>
      <c r="BP951" s="4"/>
      <c r="BQ951" s="4"/>
      <c r="BR951" s="4"/>
      <c r="BS951" s="4"/>
    </row>
    <row r="952" spans="1:7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c r="AF952" s="3"/>
      <c r="AG952" s="3"/>
      <c r="AH952" s="4"/>
      <c r="AI952" s="4"/>
      <c r="AJ952" s="4"/>
      <c r="AK952" s="4"/>
      <c r="AL952" s="4"/>
      <c r="AM952" s="4"/>
      <c r="AN952" s="4"/>
      <c r="AO952" s="4"/>
      <c r="AP952" s="4"/>
      <c r="AQ952" s="4"/>
      <c r="AR952" s="4"/>
      <c r="AS952" s="4"/>
      <c r="AT952" s="4"/>
      <c r="AU952" s="4"/>
      <c r="AV952" s="4"/>
      <c r="AW952" s="4"/>
      <c r="AX952" s="4"/>
      <c r="AY952" s="4"/>
      <c r="AZ952" s="4"/>
      <c r="BA952" s="4"/>
      <c r="BB952" s="4"/>
      <c r="BC952" s="4"/>
      <c r="BD952" s="5"/>
      <c r="BE952" s="4"/>
      <c r="BF952" s="4"/>
      <c r="BG952" s="4"/>
      <c r="BH952" s="4"/>
      <c r="BI952" s="4"/>
      <c r="BJ952" s="4"/>
      <c r="BK952" s="4"/>
      <c r="BL952" s="4"/>
      <c r="BM952" s="4"/>
      <c r="BN952" s="4"/>
      <c r="BO952" s="4"/>
      <c r="BP952" s="4"/>
      <c r="BQ952" s="4"/>
      <c r="BR952" s="4"/>
      <c r="BS952" s="4"/>
    </row>
    <row r="953" spans="1:7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c r="AG953" s="3"/>
      <c r="AH953" s="4"/>
      <c r="AI953" s="4"/>
      <c r="AJ953" s="4"/>
      <c r="AK953" s="4"/>
      <c r="AL953" s="4"/>
      <c r="AM953" s="4"/>
      <c r="AN953" s="4"/>
      <c r="AO953" s="4"/>
      <c r="AP953" s="4"/>
      <c r="AQ953" s="4"/>
      <c r="AR953" s="4"/>
      <c r="AS953" s="4"/>
      <c r="AT953" s="4"/>
      <c r="AU953" s="4"/>
      <c r="AV953" s="4"/>
      <c r="AW953" s="4"/>
      <c r="AX953" s="4"/>
      <c r="AY953" s="4"/>
      <c r="AZ953" s="4"/>
      <c r="BA953" s="4"/>
      <c r="BB953" s="4"/>
      <c r="BC953" s="4"/>
      <c r="BD953" s="5"/>
      <c r="BE953" s="4"/>
      <c r="BF953" s="4"/>
      <c r="BG953" s="4"/>
      <c r="BH953" s="4"/>
      <c r="BI953" s="4"/>
      <c r="BJ953" s="4"/>
      <c r="BK953" s="4"/>
      <c r="BL953" s="4"/>
      <c r="BM953" s="4"/>
      <c r="BN953" s="4"/>
      <c r="BO953" s="4"/>
      <c r="BP953" s="4"/>
      <c r="BQ953" s="4"/>
      <c r="BR953" s="4"/>
      <c r="BS953" s="4"/>
    </row>
    <row r="954" spans="1:7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c r="AF954" s="3"/>
      <c r="AG954" s="3"/>
      <c r="AH954" s="4"/>
      <c r="AI954" s="4"/>
      <c r="AJ954" s="4"/>
      <c r="AK954" s="4"/>
      <c r="AL954" s="4"/>
      <c r="AM954" s="4"/>
      <c r="AN954" s="4"/>
      <c r="AO954" s="4"/>
      <c r="AP954" s="4"/>
      <c r="AQ954" s="4"/>
      <c r="AR954" s="4"/>
      <c r="AS954" s="4"/>
      <c r="AT954" s="4"/>
      <c r="AU954" s="4"/>
      <c r="AV954" s="4"/>
      <c r="AW954" s="4"/>
      <c r="AX954" s="4"/>
      <c r="AY954" s="4"/>
      <c r="AZ954" s="4"/>
      <c r="BA954" s="4"/>
      <c r="BB954" s="4"/>
      <c r="BC954" s="4"/>
      <c r="BD954" s="5"/>
      <c r="BE954" s="4"/>
      <c r="BF954" s="4"/>
      <c r="BG954" s="4"/>
      <c r="BH954" s="4"/>
      <c r="BI954" s="4"/>
      <c r="BJ954" s="4"/>
      <c r="BK954" s="4"/>
      <c r="BL954" s="4"/>
      <c r="BM954" s="4"/>
      <c r="BN954" s="4"/>
      <c r="BO954" s="4"/>
      <c r="BP954" s="4"/>
      <c r="BQ954" s="4"/>
      <c r="BR954" s="4"/>
      <c r="BS954" s="4"/>
    </row>
    <row r="955" spans="1:7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c r="AF955" s="3"/>
      <c r="AG955" s="3"/>
      <c r="AH955" s="4"/>
      <c r="AI955" s="4"/>
      <c r="AJ955" s="4"/>
      <c r="AK955" s="4"/>
      <c r="AL955" s="4"/>
      <c r="AM955" s="4"/>
      <c r="AN955" s="4"/>
      <c r="AO955" s="4"/>
      <c r="AP955" s="4"/>
      <c r="AQ955" s="4"/>
      <c r="AR955" s="4"/>
      <c r="AS955" s="4"/>
      <c r="AT955" s="4"/>
      <c r="AU955" s="4"/>
      <c r="AV955" s="4"/>
      <c r="AW955" s="4"/>
      <c r="AX955" s="4"/>
      <c r="AY955" s="4"/>
      <c r="AZ955" s="4"/>
      <c r="BA955" s="4"/>
      <c r="BB955" s="4"/>
      <c r="BC955" s="4"/>
      <c r="BD955" s="5"/>
      <c r="BE955" s="4"/>
      <c r="BF955" s="4"/>
      <c r="BG955" s="4"/>
      <c r="BH955" s="4"/>
      <c r="BI955" s="4"/>
      <c r="BJ955" s="4"/>
      <c r="BK955" s="4"/>
      <c r="BL955" s="4"/>
      <c r="BM955" s="4"/>
      <c r="BN955" s="4"/>
      <c r="BO955" s="4"/>
      <c r="BP955" s="4"/>
      <c r="BQ955" s="4"/>
      <c r="BR955" s="4"/>
      <c r="BS955" s="4"/>
    </row>
    <row r="956" spans="1:7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c r="AF956" s="3"/>
      <c r="AG956" s="3"/>
      <c r="AH956" s="4"/>
      <c r="AI956" s="4"/>
      <c r="AJ956" s="4"/>
      <c r="AK956" s="4"/>
      <c r="AL956" s="4"/>
      <c r="AM956" s="4"/>
      <c r="AN956" s="4"/>
      <c r="AO956" s="4"/>
      <c r="AP956" s="4"/>
      <c r="AQ956" s="4"/>
      <c r="AR956" s="4"/>
      <c r="AS956" s="4"/>
      <c r="AT956" s="4"/>
      <c r="AU956" s="4"/>
      <c r="AV956" s="4"/>
      <c r="AW956" s="4"/>
      <c r="AX956" s="4"/>
      <c r="AY956" s="4"/>
      <c r="AZ956" s="4"/>
      <c r="BA956" s="4"/>
      <c r="BB956" s="4"/>
      <c r="BC956" s="4"/>
      <c r="BD956" s="5"/>
      <c r="BE956" s="4"/>
      <c r="BF956" s="4"/>
      <c r="BG956" s="4"/>
      <c r="BH956" s="4"/>
      <c r="BI956" s="4"/>
      <c r="BJ956" s="4"/>
      <c r="BK956" s="4"/>
      <c r="BL956" s="4"/>
      <c r="BM956" s="4"/>
      <c r="BN956" s="4"/>
      <c r="BO956" s="4"/>
      <c r="BP956" s="4"/>
      <c r="BQ956" s="4"/>
      <c r="BR956" s="4"/>
      <c r="BS956" s="4"/>
    </row>
    <row r="957" spans="1:7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c r="AF957" s="3"/>
      <c r="AG957" s="3"/>
      <c r="AH957" s="4"/>
      <c r="AI957" s="4"/>
      <c r="AJ957" s="4"/>
      <c r="AK957" s="4"/>
      <c r="AL957" s="4"/>
      <c r="AM957" s="4"/>
      <c r="AN957" s="4"/>
      <c r="AO957" s="4"/>
      <c r="AP957" s="4"/>
      <c r="AQ957" s="4"/>
      <c r="AR957" s="4"/>
      <c r="AS957" s="4"/>
      <c r="AT957" s="4"/>
      <c r="AU957" s="4"/>
      <c r="AV957" s="4"/>
      <c r="AW957" s="4"/>
      <c r="AX957" s="4"/>
      <c r="AY957" s="4"/>
      <c r="AZ957" s="4"/>
      <c r="BA957" s="4"/>
      <c r="BB957" s="4"/>
      <c r="BC957" s="4"/>
      <c r="BD957" s="5"/>
      <c r="BE957" s="4"/>
      <c r="BF957" s="4"/>
      <c r="BG957" s="4"/>
      <c r="BH957" s="4"/>
      <c r="BI957" s="4"/>
      <c r="BJ957" s="4"/>
      <c r="BK957" s="4"/>
      <c r="BL957" s="4"/>
      <c r="BM957" s="4"/>
      <c r="BN957" s="4"/>
      <c r="BO957" s="4"/>
      <c r="BP957" s="4"/>
      <c r="BQ957" s="4"/>
      <c r="BR957" s="4"/>
      <c r="BS957" s="4"/>
    </row>
    <row r="958" spans="1:7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c r="AF958" s="3"/>
      <c r="AG958" s="3"/>
      <c r="AH958" s="4"/>
      <c r="AI958" s="4"/>
      <c r="AJ958" s="4"/>
      <c r="AK958" s="4"/>
      <c r="AL958" s="4"/>
      <c r="AM958" s="4"/>
      <c r="AN958" s="4"/>
      <c r="AO958" s="4"/>
      <c r="AP958" s="4"/>
      <c r="AQ958" s="4"/>
      <c r="AR958" s="4"/>
      <c r="AS958" s="4"/>
      <c r="AT958" s="4"/>
      <c r="AU958" s="4"/>
      <c r="AV958" s="4"/>
      <c r="AW958" s="4"/>
      <c r="AX958" s="4"/>
      <c r="AY958" s="4"/>
      <c r="AZ958" s="4"/>
      <c r="BA958" s="4"/>
      <c r="BB958" s="4"/>
      <c r="BC958" s="4"/>
      <c r="BD958" s="5"/>
      <c r="BE958" s="4"/>
      <c r="BF958" s="4"/>
      <c r="BG958" s="4"/>
      <c r="BH958" s="4"/>
      <c r="BI958" s="4"/>
      <c r="BJ958" s="4"/>
      <c r="BK958" s="4"/>
      <c r="BL958" s="4"/>
      <c r="BM958" s="4"/>
      <c r="BN958" s="4"/>
      <c r="BO958" s="4"/>
      <c r="BP958" s="4"/>
      <c r="BQ958" s="4"/>
      <c r="BR958" s="4"/>
      <c r="BS958" s="4"/>
    </row>
    <row r="959" spans="1:7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c r="AF959" s="3"/>
      <c r="AG959" s="3"/>
      <c r="AH959" s="4"/>
      <c r="AI959" s="4"/>
      <c r="AJ959" s="4"/>
      <c r="AK959" s="4"/>
      <c r="AL959" s="4"/>
      <c r="AM959" s="4"/>
      <c r="AN959" s="4"/>
      <c r="AO959" s="4"/>
      <c r="AP959" s="4"/>
      <c r="AQ959" s="4"/>
      <c r="AR959" s="4"/>
      <c r="AS959" s="4"/>
      <c r="AT959" s="4"/>
      <c r="AU959" s="4"/>
      <c r="AV959" s="4"/>
      <c r="AW959" s="4"/>
      <c r="AX959" s="4"/>
      <c r="AY959" s="4"/>
      <c r="AZ959" s="4"/>
      <c r="BA959" s="4"/>
      <c r="BB959" s="4"/>
      <c r="BC959" s="4"/>
      <c r="BD959" s="5"/>
      <c r="BE959" s="4"/>
      <c r="BF959" s="4"/>
      <c r="BG959" s="4"/>
      <c r="BH959" s="4"/>
      <c r="BI959" s="4"/>
      <c r="BJ959" s="4"/>
      <c r="BK959" s="4"/>
      <c r="BL959" s="4"/>
      <c r="BM959" s="4"/>
      <c r="BN959" s="4"/>
      <c r="BO959" s="4"/>
      <c r="BP959" s="4"/>
      <c r="BQ959" s="4"/>
      <c r="BR959" s="4"/>
      <c r="BS959" s="4"/>
    </row>
    <row r="960" spans="1:7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c r="AF960" s="3"/>
      <c r="AG960" s="3"/>
      <c r="AH960" s="4"/>
      <c r="AI960" s="4"/>
      <c r="AJ960" s="4"/>
      <c r="AK960" s="4"/>
      <c r="AL960" s="4"/>
      <c r="AM960" s="4"/>
      <c r="AN960" s="4"/>
      <c r="AO960" s="4"/>
      <c r="AP960" s="4"/>
      <c r="AQ960" s="4"/>
      <c r="AR960" s="4"/>
      <c r="AS960" s="4"/>
      <c r="AT960" s="4"/>
      <c r="AU960" s="4"/>
      <c r="AV960" s="4"/>
      <c r="AW960" s="4"/>
      <c r="AX960" s="4"/>
      <c r="AY960" s="4"/>
      <c r="AZ960" s="4"/>
      <c r="BA960" s="4"/>
      <c r="BB960" s="4"/>
      <c r="BC960" s="4"/>
      <c r="BD960" s="5"/>
      <c r="BE960" s="4"/>
      <c r="BF960" s="4"/>
      <c r="BG960" s="4"/>
      <c r="BH960" s="4"/>
      <c r="BI960" s="4"/>
      <c r="BJ960" s="4"/>
      <c r="BK960" s="4"/>
      <c r="BL960" s="4"/>
      <c r="BM960" s="4"/>
      <c r="BN960" s="4"/>
      <c r="BO960" s="4"/>
      <c r="BP960" s="4"/>
      <c r="BQ960" s="4"/>
      <c r="BR960" s="4"/>
      <c r="BS960" s="4"/>
    </row>
    <row r="961" spans="1:7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c r="AF961" s="3"/>
      <c r="AG961" s="3"/>
      <c r="AH961" s="4"/>
      <c r="AI961" s="4"/>
      <c r="AJ961" s="4"/>
      <c r="AK961" s="4"/>
      <c r="AL961" s="4"/>
      <c r="AM961" s="4"/>
      <c r="AN961" s="4"/>
      <c r="AO961" s="4"/>
      <c r="AP961" s="4"/>
      <c r="AQ961" s="4"/>
      <c r="AR961" s="4"/>
      <c r="AS961" s="4"/>
      <c r="AT961" s="4"/>
      <c r="AU961" s="4"/>
      <c r="AV961" s="4"/>
      <c r="AW961" s="4"/>
      <c r="AX961" s="4"/>
      <c r="AY961" s="4"/>
      <c r="AZ961" s="4"/>
      <c r="BA961" s="4"/>
      <c r="BB961" s="4"/>
      <c r="BC961" s="4"/>
      <c r="BD961" s="5"/>
      <c r="BE961" s="4"/>
      <c r="BF961" s="4"/>
      <c r="BG961" s="4"/>
      <c r="BH961" s="4"/>
      <c r="BI961" s="4"/>
      <c r="BJ961" s="4"/>
      <c r="BK961" s="4"/>
      <c r="BL961" s="4"/>
      <c r="BM961" s="4"/>
      <c r="BN961" s="4"/>
      <c r="BO961" s="4"/>
      <c r="BP961" s="4"/>
      <c r="BQ961" s="4"/>
      <c r="BR961" s="4"/>
      <c r="BS961" s="4"/>
    </row>
    <row r="962" spans="1:7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c r="AF962" s="3"/>
      <c r="AG962" s="3"/>
      <c r="AH962" s="4"/>
      <c r="AI962" s="4"/>
      <c r="AJ962" s="4"/>
      <c r="AK962" s="4"/>
      <c r="AL962" s="4"/>
      <c r="AM962" s="4"/>
      <c r="AN962" s="4"/>
      <c r="AO962" s="4"/>
      <c r="AP962" s="4"/>
      <c r="AQ962" s="4"/>
      <c r="AR962" s="4"/>
      <c r="AS962" s="4"/>
      <c r="AT962" s="4"/>
      <c r="AU962" s="4"/>
      <c r="AV962" s="4"/>
      <c r="AW962" s="4"/>
      <c r="AX962" s="4"/>
      <c r="AY962" s="4"/>
      <c r="AZ962" s="4"/>
      <c r="BA962" s="4"/>
      <c r="BB962" s="4"/>
      <c r="BC962" s="4"/>
      <c r="BD962" s="5"/>
      <c r="BE962" s="4"/>
      <c r="BF962" s="4"/>
      <c r="BG962" s="4"/>
      <c r="BH962" s="4"/>
      <c r="BI962" s="4"/>
      <c r="BJ962" s="4"/>
      <c r="BK962" s="4"/>
      <c r="BL962" s="4"/>
      <c r="BM962" s="4"/>
      <c r="BN962" s="4"/>
      <c r="BO962" s="4"/>
      <c r="BP962" s="4"/>
      <c r="BQ962" s="4"/>
      <c r="BR962" s="4"/>
      <c r="BS962" s="4"/>
    </row>
    <row r="963" spans="1:7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c r="AF963" s="3"/>
      <c r="AG963" s="3"/>
      <c r="AH963" s="4"/>
      <c r="AI963" s="4"/>
      <c r="AJ963" s="4"/>
      <c r="AK963" s="4"/>
      <c r="AL963" s="4"/>
      <c r="AM963" s="4"/>
      <c r="AN963" s="4"/>
      <c r="AO963" s="4"/>
      <c r="AP963" s="4"/>
      <c r="AQ963" s="4"/>
      <c r="AR963" s="4"/>
      <c r="AS963" s="4"/>
      <c r="AT963" s="4"/>
      <c r="AU963" s="4"/>
      <c r="AV963" s="4"/>
      <c r="AW963" s="4"/>
      <c r="AX963" s="4"/>
      <c r="AY963" s="4"/>
      <c r="AZ963" s="4"/>
      <c r="BA963" s="4"/>
      <c r="BB963" s="4"/>
      <c r="BC963" s="4"/>
      <c r="BD963" s="5"/>
      <c r="BE963" s="4"/>
      <c r="BF963" s="4"/>
      <c r="BG963" s="4"/>
      <c r="BH963" s="4"/>
      <c r="BI963" s="4"/>
      <c r="BJ963" s="4"/>
      <c r="BK963" s="4"/>
      <c r="BL963" s="4"/>
      <c r="BM963" s="4"/>
      <c r="BN963" s="4"/>
      <c r="BO963" s="4"/>
      <c r="BP963" s="4"/>
      <c r="BQ963" s="4"/>
      <c r="BR963" s="4"/>
      <c r="BS963" s="4"/>
    </row>
    <row r="964" spans="1:7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c r="AF964" s="3"/>
      <c r="AG964" s="3"/>
      <c r="AH964" s="4"/>
      <c r="AI964" s="4"/>
      <c r="AJ964" s="4"/>
      <c r="AK964" s="4"/>
      <c r="AL964" s="4"/>
      <c r="AM964" s="4"/>
      <c r="AN964" s="4"/>
      <c r="AO964" s="4"/>
      <c r="AP964" s="4"/>
      <c r="AQ964" s="4"/>
      <c r="AR964" s="4"/>
      <c r="AS964" s="4"/>
      <c r="AT964" s="4"/>
      <c r="AU964" s="4"/>
      <c r="AV964" s="4"/>
      <c r="AW964" s="4"/>
      <c r="AX964" s="4"/>
      <c r="AY964" s="4"/>
      <c r="AZ964" s="4"/>
      <c r="BA964" s="4"/>
      <c r="BB964" s="4"/>
      <c r="BC964" s="4"/>
      <c r="BD964" s="5"/>
      <c r="BE964" s="4"/>
      <c r="BF964" s="4"/>
      <c r="BG964" s="4"/>
      <c r="BH964" s="4"/>
      <c r="BI964" s="4"/>
      <c r="BJ964" s="4"/>
      <c r="BK964" s="4"/>
      <c r="BL964" s="4"/>
      <c r="BM964" s="4"/>
      <c r="BN964" s="4"/>
      <c r="BO964" s="4"/>
      <c r="BP964" s="4"/>
      <c r="BQ964" s="4"/>
      <c r="BR964" s="4"/>
      <c r="BS964" s="4"/>
    </row>
    <row r="965" spans="1:7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c r="AF965" s="3"/>
      <c r="AG965" s="3"/>
      <c r="AH965" s="4"/>
      <c r="AI965" s="4"/>
      <c r="AJ965" s="4"/>
      <c r="AK965" s="4"/>
      <c r="AL965" s="4"/>
      <c r="AM965" s="4"/>
      <c r="AN965" s="4"/>
      <c r="AO965" s="4"/>
      <c r="AP965" s="4"/>
      <c r="AQ965" s="4"/>
      <c r="AR965" s="4"/>
      <c r="AS965" s="4"/>
      <c r="AT965" s="4"/>
      <c r="AU965" s="4"/>
      <c r="AV965" s="4"/>
      <c r="AW965" s="4"/>
      <c r="AX965" s="4"/>
      <c r="AY965" s="4"/>
      <c r="AZ965" s="4"/>
      <c r="BA965" s="4"/>
      <c r="BB965" s="4"/>
      <c r="BC965" s="4"/>
      <c r="BD965" s="5"/>
      <c r="BE965" s="4"/>
      <c r="BF965" s="4"/>
      <c r="BG965" s="4"/>
      <c r="BH965" s="4"/>
      <c r="BI965" s="4"/>
      <c r="BJ965" s="4"/>
      <c r="BK965" s="4"/>
      <c r="BL965" s="4"/>
      <c r="BM965" s="4"/>
      <c r="BN965" s="4"/>
      <c r="BO965" s="4"/>
      <c r="BP965" s="4"/>
      <c r="BQ965" s="4"/>
      <c r="BR965" s="4"/>
      <c r="BS965" s="4"/>
    </row>
    <row r="966" spans="1:7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c r="AF966" s="3"/>
      <c r="AG966" s="3"/>
      <c r="AH966" s="4"/>
      <c r="AI966" s="4"/>
      <c r="AJ966" s="4"/>
      <c r="AK966" s="4"/>
      <c r="AL966" s="4"/>
      <c r="AM966" s="4"/>
      <c r="AN966" s="4"/>
      <c r="AO966" s="4"/>
      <c r="AP966" s="4"/>
      <c r="AQ966" s="4"/>
      <c r="AR966" s="4"/>
      <c r="AS966" s="4"/>
      <c r="AT966" s="4"/>
      <c r="AU966" s="4"/>
      <c r="AV966" s="4"/>
      <c r="AW966" s="4"/>
      <c r="AX966" s="4"/>
      <c r="AY966" s="4"/>
      <c r="AZ966" s="4"/>
      <c r="BA966" s="4"/>
      <c r="BB966" s="4"/>
      <c r="BC966" s="4"/>
      <c r="BD966" s="5"/>
      <c r="BE966" s="4"/>
      <c r="BF966" s="4"/>
      <c r="BG966" s="4"/>
      <c r="BH966" s="4"/>
      <c r="BI966" s="4"/>
      <c r="BJ966" s="4"/>
      <c r="BK966" s="4"/>
      <c r="BL966" s="4"/>
      <c r="BM966" s="4"/>
      <c r="BN966" s="4"/>
      <c r="BO966" s="4"/>
      <c r="BP966" s="4"/>
      <c r="BQ966" s="4"/>
      <c r="BR966" s="4"/>
      <c r="BS966" s="4"/>
    </row>
    <row r="967" spans="1:7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c r="AF967" s="3"/>
      <c r="AG967" s="3"/>
      <c r="AH967" s="4"/>
      <c r="AI967" s="4"/>
      <c r="AJ967" s="4"/>
      <c r="AK967" s="4"/>
      <c r="AL967" s="4"/>
      <c r="AM967" s="4"/>
      <c r="AN967" s="4"/>
      <c r="AO967" s="4"/>
      <c r="AP967" s="4"/>
      <c r="AQ967" s="4"/>
      <c r="AR967" s="4"/>
      <c r="AS967" s="4"/>
      <c r="AT967" s="4"/>
      <c r="AU967" s="4"/>
      <c r="AV967" s="4"/>
      <c r="AW967" s="4"/>
      <c r="AX967" s="4"/>
      <c r="AY967" s="4"/>
      <c r="AZ967" s="4"/>
      <c r="BA967" s="4"/>
      <c r="BB967" s="4"/>
      <c r="BC967" s="4"/>
      <c r="BD967" s="5"/>
      <c r="BE967" s="4"/>
      <c r="BF967" s="4"/>
      <c r="BG967" s="4"/>
      <c r="BH967" s="4"/>
      <c r="BI967" s="4"/>
      <c r="BJ967" s="4"/>
      <c r="BK967" s="4"/>
      <c r="BL967" s="4"/>
      <c r="BM967" s="4"/>
      <c r="BN967" s="4"/>
      <c r="BO967" s="4"/>
      <c r="BP967" s="4"/>
      <c r="BQ967" s="4"/>
      <c r="BR967" s="4"/>
      <c r="BS967" s="4"/>
    </row>
    <row r="968" spans="1:7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c r="AG968" s="3"/>
      <c r="AH968" s="4"/>
      <c r="AI968" s="4"/>
      <c r="AJ968" s="4"/>
      <c r="AK968" s="4"/>
      <c r="AL968" s="4"/>
      <c r="AM968" s="4"/>
      <c r="AN968" s="4"/>
      <c r="AO968" s="4"/>
      <c r="AP968" s="4"/>
      <c r="AQ968" s="4"/>
      <c r="AR968" s="4"/>
      <c r="AS968" s="4"/>
      <c r="AT968" s="4"/>
      <c r="AU968" s="4"/>
      <c r="AV968" s="4"/>
      <c r="AW968" s="4"/>
      <c r="AX968" s="4"/>
      <c r="AY968" s="4"/>
      <c r="AZ968" s="4"/>
      <c r="BA968" s="4"/>
      <c r="BB968" s="4"/>
      <c r="BC968" s="4"/>
      <c r="BD968" s="5"/>
      <c r="BE968" s="4"/>
      <c r="BF968" s="4"/>
      <c r="BG968" s="4"/>
      <c r="BH968" s="4"/>
      <c r="BI968" s="4"/>
      <c r="BJ968" s="4"/>
      <c r="BK968" s="4"/>
      <c r="BL968" s="4"/>
      <c r="BM968" s="4"/>
      <c r="BN968" s="4"/>
      <c r="BO968" s="4"/>
      <c r="BP968" s="4"/>
      <c r="BQ968" s="4"/>
      <c r="BR968" s="4"/>
      <c r="BS968" s="4"/>
    </row>
    <row r="969" spans="1:7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c r="AF969" s="3"/>
      <c r="AG969" s="3"/>
      <c r="AH969" s="4"/>
      <c r="AI969" s="4"/>
      <c r="AJ969" s="4"/>
      <c r="AK969" s="4"/>
      <c r="AL969" s="4"/>
      <c r="AM969" s="4"/>
      <c r="AN969" s="4"/>
      <c r="AO969" s="4"/>
      <c r="AP969" s="4"/>
      <c r="AQ969" s="4"/>
      <c r="AR969" s="4"/>
      <c r="AS969" s="4"/>
      <c r="AT969" s="4"/>
      <c r="AU969" s="4"/>
      <c r="AV969" s="4"/>
      <c r="AW969" s="4"/>
      <c r="AX969" s="4"/>
      <c r="AY969" s="4"/>
      <c r="AZ969" s="4"/>
      <c r="BA969" s="4"/>
      <c r="BB969" s="4"/>
      <c r="BC969" s="4"/>
      <c r="BD969" s="5"/>
      <c r="BE969" s="4"/>
      <c r="BF969" s="4"/>
      <c r="BG969" s="4"/>
      <c r="BH969" s="4"/>
      <c r="BI969" s="4"/>
      <c r="BJ969" s="4"/>
      <c r="BK969" s="4"/>
      <c r="BL969" s="4"/>
      <c r="BM969" s="4"/>
      <c r="BN969" s="4"/>
      <c r="BO969" s="4"/>
      <c r="BP969" s="4"/>
      <c r="BQ969" s="4"/>
      <c r="BR969" s="4"/>
      <c r="BS969" s="4"/>
    </row>
    <row r="970" spans="1:7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c r="AF970" s="3"/>
      <c r="AG970" s="3"/>
      <c r="AH970" s="4"/>
      <c r="AI970" s="4"/>
      <c r="AJ970" s="4"/>
      <c r="AK970" s="4"/>
      <c r="AL970" s="4"/>
      <c r="AM970" s="4"/>
      <c r="AN970" s="4"/>
      <c r="AO970" s="4"/>
      <c r="AP970" s="4"/>
      <c r="AQ970" s="4"/>
      <c r="AR970" s="4"/>
      <c r="AS970" s="4"/>
      <c r="AT970" s="4"/>
      <c r="AU970" s="4"/>
      <c r="AV970" s="4"/>
      <c r="AW970" s="4"/>
      <c r="AX970" s="4"/>
      <c r="AY970" s="4"/>
      <c r="AZ970" s="4"/>
      <c r="BA970" s="4"/>
      <c r="BB970" s="4"/>
      <c r="BC970" s="4"/>
      <c r="BD970" s="5"/>
      <c r="BE970" s="4"/>
      <c r="BF970" s="4"/>
      <c r="BG970" s="4"/>
      <c r="BH970" s="4"/>
      <c r="BI970" s="4"/>
      <c r="BJ970" s="4"/>
      <c r="BK970" s="4"/>
      <c r="BL970" s="4"/>
      <c r="BM970" s="4"/>
      <c r="BN970" s="4"/>
      <c r="BO970" s="4"/>
      <c r="BP970" s="4"/>
      <c r="BQ970" s="4"/>
      <c r="BR970" s="4"/>
      <c r="BS970" s="4"/>
    </row>
    <row r="971" spans="1: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c r="AF971" s="3"/>
      <c r="AG971" s="3"/>
      <c r="AH971" s="4"/>
      <c r="AI971" s="4"/>
      <c r="AJ971" s="4"/>
      <c r="AK971" s="4"/>
      <c r="AL971" s="4"/>
      <c r="AM971" s="4"/>
      <c r="AN971" s="4"/>
      <c r="AO971" s="4"/>
      <c r="AP971" s="4"/>
      <c r="AQ971" s="4"/>
      <c r="AR971" s="4"/>
      <c r="AS971" s="4"/>
      <c r="AT971" s="4"/>
      <c r="AU971" s="4"/>
      <c r="AV971" s="4"/>
      <c r="AW971" s="4"/>
      <c r="AX971" s="4"/>
      <c r="AY971" s="4"/>
      <c r="AZ971" s="4"/>
      <c r="BA971" s="4"/>
      <c r="BB971" s="4"/>
      <c r="BC971" s="4"/>
      <c r="BD971" s="5"/>
      <c r="BE971" s="4"/>
      <c r="BF971" s="4"/>
      <c r="BG971" s="4"/>
      <c r="BH971" s="4"/>
      <c r="BI971" s="4"/>
      <c r="BJ971" s="4"/>
      <c r="BK971" s="4"/>
      <c r="BL971" s="4"/>
      <c r="BM971" s="4"/>
      <c r="BN971" s="4"/>
      <c r="BO971" s="4"/>
      <c r="BP971" s="4"/>
      <c r="BQ971" s="4"/>
      <c r="BR971" s="4"/>
      <c r="BS971" s="4"/>
    </row>
    <row r="972" spans="1:7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c r="AF972" s="3"/>
      <c r="AG972" s="3"/>
      <c r="AH972" s="4"/>
      <c r="AI972" s="4"/>
      <c r="AJ972" s="4"/>
      <c r="AK972" s="4"/>
      <c r="AL972" s="4"/>
      <c r="AM972" s="4"/>
      <c r="AN972" s="4"/>
      <c r="AO972" s="4"/>
      <c r="AP972" s="4"/>
      <c r="AQ972" s="4"/>
      <c r="AR972" s="4"/>
      <c r="AS972" s="4"/>
      <c r="AT972" s="4"/>
      <c r="AU972" s="4"/>
      <c r="AV972" s="4"/>
      <c r="AW972" s="4"/>
      <c r="AX972" s="4"/>
      <c r="AY972" s="4"/>
      <c r="AZ972" s="4"/>
      <c r="BA972" s="4"/>
      <c r="BB972" s="4"/>
      <c r="BC972" s="4"/>
      <c r="BD972" s="5"/>
      <c r="BE972" s="4"/>
      <c r="BF972" s="4"/>
      <c r="BG972" s="4"/>
      <c r="BH972" s="4"/>
      <c r="BI972" s="4"/>
      <c r="BJ972" s="4"/>
      <c r="BK972" s="4"/>
      <c r="BL972" s="4"/>
      <c r="BM972" s="4"/>
      <c r="BN972" s="4"/>
      <c r="BO972" s="4"/>
      <c r="BP972" s="4"/>
      <c r="BQ972" s="4"/>
      <c r="BR972" s="4"/>
      <c r="BS972" s="4"/>
    </row>
    <row r="973" spans="1:7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c r="AF973" s="3"/>
      <c r="AG973" s="3"/>
      <c r="AH973" s="4"/>
      <c r="AI973" s="4"/>
      <c r="AJ973" s="4"/>
      <c r="AK973" s="4"/>
      <c r="AL973" s="4"/>
      <c r="AM973" s="4"/>
      <c r="AN973" s="4"/>
      <c r="AO973" s="4"/>
      <c r="AP973" s="4"/>
      <c r="AQ973" s="4"/>
      <c r="AR973" s="4"/>
      <c r="AS973" s="4"/>
      <c r="AT973" s="4"/>
      <c r="AU973" s="4"/>
      <c r="AV973" s="4"/>
      <c r="AW973" s="4"/>
      <c r="AX973" s="4"/>
      <c r="AY973" s="4"/>
      <c r="AZ973" s="4"/>
      <c r="BA973" s="4"/>
      <c r="BB973" s="4"/>
      <c r="BC973" s="4"/>
      <c r="BD973" s="5"/>
      <c r="BE973" s="4"/>
      <c r="BF973" s="4"/>
      <c r="BG973" s="4"/>
      <c r="BH973" s="4"/>
      <c r="BI973" s="4"/>
      <c r="BJ973" s="4"/>
      <c r="BK973" s="4"/>
      <c r="BL973" s="4"/>
      <c r="BM973" s="4"/>
      <c r="BN973" s="4"/>
      <c r="BO973" s="4"/>
      <c r="BP973" s="4"/>
      <c r="BQ973" s="4"/>
      <c r="BR973" s="4"/>
      <c r="BS973" s="4"/>
    </row>
    <row r="974" spans="1:7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c r="AF974" s="3"/>
      <c r="AG974" s="3"/>
      <c r="AH974" s="4"/>
      <c r="AI974" s="4"/>
      <c r="AJ974" s="4"/>
      <c r="AK974" s="4"/>
      <c r="AL974" s="4"/>
      <c r="AM974" s="4"/>
      <c r="AN974" s="4"/>
      <c r="AO974" s="4"/>
      <c r="AP974" s="4"/>
      <c r="AQ974" s="4"/>
      <c r="AR974" s="4"/>
      <c r="AS974" s="4"/>
      <c r="AT974" s="4"/>
      <c r="AU974" s="4"/>
      <c r="AV974" s="4"/>
      <c r="AW974" s="4"/>
      <c r="AX974" s="4"/>
      <c r="AY974" s="4"/>
      <c r="AZ974" s="4"/>
      <c r="BA974" s="4"/>
      <c r="BB974" s="4"/>
      <c r="BC974" s="4"/>
      <c r="BD974" s="5"/>
      <c r="BE974" s="4"/>
      <c r="BF974" s="4"/>
      <c r="BG974" s="4"/>
      <c r="BH974" s="4"/>
      <c r="BI974" s="4"/>
      <c r="BJ974" s="4"/>
      <c r="BK974" s="4"/>
      <c r="BL974" s="4"/>
      <c r="BM974" s="4"/>
      <c r="BN974" s="4"/>
      <c r="BO974" s="4"/>
      <c r="BP974" s="4"/>
      <c r="BQ974" s="4"/>
      <c r="BR974" s="4"/>
      <c r="BS974" s="4"/>
    </row>
    <row r="975" spans="1:7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c r="AF975" s="3"/>
      <c r="AG975" s="3"/>
      <c r="AH975" s="4"/>
      <c r="AI975" s="4"/>
      <c r="AJ975" s="4"/>
      <c r="AK975" s="4"/>
      <c r="AL975" s="4"/>
      <c r="AM975" s="4"/>
      <c r="AN975" s="4"/>
      <c r="AO975" s="4"/>
      <c r="AP975" s="4"/>
      <c r="AQ975" s="4"/>
      <c r="AR975" s="4"/>
      <c r="AS975" s="4"/>
      <c r="AT975" s="4"/>
      <c r="AU975" s="4"/>
      <c r="AV975" s="4"/>
      <c r="AW975" s="4"/>
      <c r="AX975" s="4"/>
      <c r="AY975" s="4"/>
      <c r="AZ975" s="4"/>
      <c r="BA975" s="4"/>
      <c r="BB975" s="4"/>
      <c r="BC975" s="4"/>
      <c r="BD975" s="5"/>
      <c r="BE975" s="4"/>
      <c r="BF975" s="4"/>
      <c r="BG975" s="4"/>
      <c r="BH975" s="4"/>
      <c r="BI975" s="4"/>
      <c r="BJ975" s="4"/>
      <c r="BK975" s="4"/>
      <c r="BL975" s="4"/>
      <c r="BM975" s="4"/>
      <c r="BN975" s="4"/>
      <c r="BO975" s="4"/>
      <c r="BP975" s="4"/>
      <c r="BQ975" s="4"/>
      <c r="BR975" s="4"/>
      <c r="BS975" s="4"/>
    </row>
    <row r="976" spans="1:7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c r="AF976" s="3"/>
      <c r="AG976" s="3"/>
      <c r="AH976" s="4"/>
      <c r="AI976" s="4"/>
      <c r="AJ976" s="4"/>
      <c r="AK976" s="4"/>
      <c r="AL976" s="4"/>
      <c r="AM976" s="4"/>
      <c r="AN976" s="4"/>
      <c r="AO976" s="4"/>
      <c r="AP976" s="4"/>
      <c r="AQ976" s="4"/>
      <c r="AR976" s="4"/>
      <c r="AS976" s="4"/>
      <c r="AT976" s="4"/>
      <c r="AU976" s="4"/>
      <c r="AV976" s="4"/>
      <c r="AW976" s="4"/>
      <c r="AX976" s="4"/>
      <c r="AY976" s="4"/>
      <c r="AZ976" s="4"/>
      <c r="BA976" s="4"/>
      <c r="BB976" s="4"/>
      <c r="BC976" s="4"/>
      <c r="BD976" s="5"/>
      <c r="BE976" s="4"/>
      <c r="BF976" s="4"/>
      <c r="BG976" s="4"/>
      <c r="BH976" s="4"/>
      <c r="BI976" s="4"/>
      <c r="BJ976" s="4"/>
      <c r="BK976" s="4"/>
      <c r="BL976" s="4"/>
      <c r="BM976" s="4"/>
      <c r="BN976" s="4"/>
      <c r="BO976" s="4"/>
      <c r="BP976" s="4"/>
      <c r="BQ976" s="4"/>
      <c r="BR976" s="4"/>
      <c r="BS976" s="4"/>
    </row>
    <row r="977" spans="1:7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c r="AF977" s="3"/>
      <c r="AG977" s="3"/>
      <c r="AH977" s="4"/>
      <c r="AI977" s="4"/>
      <c r="AJ977" s="4"/>
      <c r="AK977" s="4"/>
      <c r="AL977" s="4"/>
      <c r="AM977" s="4"/>
      <c r="AN977" s="4"/>
      <c r="AO977" s="4"/>
      <c r="AP977" s="4"/>
      <c r="AQ977" s="4"/>
      <c r="AR977" s="4"/>
      <c r="AS977" s="4"/>
      <c r="AT977" s="4"/>
      <c r="AU977" s="4"/>
      <c r="AV977" s="4"/>
      <c r="AW977" s="4"/>
      <c r="AX977" s="4"/>
      <c r="AY977" s="4"/>
      <c r="AZ977" s="4"/>
      <c r="BA977" s="4"/>
      <c r="BB977" s="4"/>
      <c r="BC977" s="4"/>
      <c r="BD977" s="5"/>
      <c r="BE977" s="4"/>
      <c r="BF977" s="4"/>
      <c r="BG977" s="4"/>
      <c r="BH977" s="4"/>
      <c r="BI977" s="4"/>
      <c r="BJ977" s="4"/>
      <c r="BK977" s="4"/>
      <c r="BL977" s="4"/>
      <c r="BM977" s="4"/>
      <c r="BN977" s="4"/>
      <c r="BO977" s="4"/>
      <c r="BP977" s="4"/>
      <c r="BQ977" s="4"/>
      <c r="BR977" s="4"/>
      <c r="BS977" s="4"/>
    </row>
    <row r="978" spans="1:7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c r="AF978" s="3"/>
      <c r="AG978" s="3"/>
      <c r="AH978" s="4"/>
      <c r="AI978" s="4"/>
      <c r="AJ978" s="4"/>
      <c r="AK978" s="4"/>
      <c r="AL978" s="4"/>
      <c r="AM978" s="4"/>
      <c r="AN978" s="4"/>
      <c r="AO978" s="4"/>
      <c r="AP978" s="4"/>
      <c r="AQ978" s="4"/>
      <c r="AR978" s="4"/>
      <c r="AS978" s="4"/>
      <c r="AT978" s="4"/>
      <c r="AU978" s="4"/>
      <c r="AV978" s="4"/>
      <c r="AW978" s="4"/>
      <c r="AX978" s="4"/>
      <c r="AY978" s="4"/>
      <c r="AZ978" s="4"/>
      <c r="BA978" s="4"/>
      <c r="BB978" s="4"/>
      <c r="BC978" s="4"/>
      <c r="BD978" s="5"/>
      <c r="BE978" s="4"/>
      <c r="BF978" s="4"/>
      <c r="BG978" s="4"/>
      <c r="BH978" s="4"/>
      <c r="BI978" s="4"/>
      <c r="BJ978" s="4"/>
      <c r="BK978" s="4"/>
      <c r="BL978" s="4"/>
      <c r="BM978" s="4"/>
      <c r="BN978" s="4"/>
      <c r="BO978" s="4"/>
      <c r="BP978" s="4"/>
      <c r="BQ978" s="4"/>
      <c r="BR978" s="4"/>
      <c r="BS978" s="4"/>
    </row>
    <row r="979" spans="1:7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c r="AF979" s="3"/>
      <c r="AG979" s="3"/>
      <c r="AH979" s="4"/>
      <c r="AI979" s="4"/>
      <c r="AJ979" s="4"/>
      <c r="AK979" s="4"/>
      <c r="AL979" s="4"/>
      <c r="AM979" s="4"/>
      <c r="AN979" s="4"/>
      <c r="AO979" s="4"/>
      <c r="AP979" s="4"/>
      <c r="AQ979" s="4"/>
      <c r="AR979" s="4"/>
      <c r="AS979" s="4"/>
      <c r="AT979" s="4"/>
      <c r="AU979" s="4"/>
      <c r="AV979" s="4"/>
      <c r="AW979" s="4"/>
      <c r="AX979" s="4"/>
      <c r="AY979" s="4"/>
      <c r="AZ979" s="4"/>
      <c r="BA979" s="4"/>
      <c r="BB979" s="4"/>
      <c r="BC979" s="4"/>
      <c r="BD979" s="5"/>
      <c r="BE979" s="4"/>
      <c r="BF979" s="4"/>
      <c r="BG979" s="4"/>
      <c r="BH979" s="4"/>
      <c r="BI979" s="4"/>
      <c r="BJ979" s="4"/>
      <c r="BK979" s="4"/>
      <c r="BL979" s="4"/>
      <c r="BM979" s="4"/>
      <c r="BN979" s="4"/>
      <c r="BO979" s="4"/>
      <c r="BP979" s="4"/>
      <c r="BQ979" s="4"/>
      <c r="BR979" s="4"/>
      <c r="BS979" s="4"/>
    </row>
    <row r="980" spans="1:7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c r="AF980" s="3"/>
      <c r="AG980" s="3"/>
      <c r="AH980" s="4"/>
      <c r="AI980" s="4"/>
      <c r="AJ980" s="4"/>
      <c r="AK980" s="4"/>
      <c r="AL980" s="4"/>
      <c r="AM980" s="4"/>
      <c r="AN980" s="4"/>
      <c r="AO980" s="4"/>
      <c r="AP980" s="4"/>
      <c r="AQ980" s="4"/>
      <c r="AR980" s="4"/>
      <c r="AS980" s="4"/>
      <c r="AT980" s="4"/>
      <c r="AU980" s="4"/>
      <c r="AV980" s="4"/>
      <c r="AW980" s="4"/>
      <c r="AX980" s="4"/>
      <c r="AY980" s="4"/>
      <c r="AZ980" s="4"/>
      <c r="BA980" s="4"/>
      <c r="BB980" s="4"/>
      <c r="BC980" s="4"/>
      <c r="BD980" s="5"/>
      <c r="BE980" s="4"/>
      <c r="BF980" s="4"/>
      <c r="BG980" s="4"/>
      <c r="BH980" s="4"/>
      <c r="BI980" s="4"/>
      <c r="BJ980" s="4"/>
      <c r="BK980" s="4"/>
      <c r="BL980" s="4"/>
      <c r="BM980" s="4"/>
      <c r="BN980" s="4"/>
      <c r="BO980" s="4"/>
      <c r="BP980" s="4"/>
      <c r="BQ980" s="4"/>
      <c r="BR980" s="4"/>
      <c r="BS980" s="4"/>
    </row>
    <row r="981" spans="1:7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c r="AF981" s="3"/>
      <c r="AG981" s="3"/>
      <c r="AH981" s="4"/>
      <c r="AI981" s="4"/>
      <c r="AJ981" s="4"/>
      <c r="AK981" s="4"/>
      <c r="AL981" s="4"/>
      <c r="AM981" s="4"/>
      <c r="AN981" s="4"/>
      <c r="AO981" s="4"/>
      <c r="AP981" s="4"/>
      <c r="AQ981" s="4"/>
      <c r="AR981" s="4"/>
      <c r="AS981" s="4"/>
      <c r="AT981" s="4"/>
      <c r="AU981" s="4"/>
      <c r="AV981" s="4"/>
      <c r="AW981" s="4"/>
      <c r="AX981" s="4"/>
      <c r="AY981" s="4"/>
      <c r="AZ981" s="4"/>
      <c r="BA981" s="4"/>
      <c r="BB981" s="4"/>
      <c r="BC981" s="4"/>
      <c r="BD981" s="5"/>
      <c r="BE981" s="4"/>
      <c r="BF981" s="4"/>
      <c r="BG981" s="4"/>
      <c r="BH981" s="4"/>
      <c r="BI981" s="4"/>
      <c r="BJ981" s="4"/>
      <c r="BK981" s="4"/>
      <c r="BL981" s="4"/>
      <c r="BM981" s="4"/>
      <c r="BN981" s="4"/>
      <c r="BO981" s="4"/>
      <c r="BP981" s="4"/>
      <c r="BQ981" s="4"/>
      <c r="BR981" s="4"/>
      <c r="BS981" s="4"/>
    </row>
    <row r="982" spans="1:7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c r="AF982" s="3"/>
      <c r="AG982" s="3"/>
      <c r="AH982" s="4"/>
      <c r="AI982" s="4"/>
      <c r="AJ982" s="4"/>
      <c r="AK982" s="4"/>
      <c r="AL982" s="4"/>
      <c r="AM982" s="4"/>
      <c r="AN982" s="4"/>
      <c r="AO982" s="4"/>
      <c r="AP982" s="4"/>
      <c r="AQ982" s="4"/>
      <c r="AR982" s="4"/>
      <c r="AS982" s="4"/>
      <c r="AT982" s="4"/>
      <c r="AU982" s="4"/>
      <c r="AV982" s="4"/>
      <c r="AW982" s="4"/>
      <c r="AX982" s="4"/>
      <c r="AY982" s="4"/>
      <c r="AZ982" s="4"/>
      <c r="BA982" s="4"/>
      <c r="BB982" s="4"/>
      <c r="BC982" s="4"/>
      <c r="BD982" s="5"/>
      <c r="BE982" s="4"/>
      <c r="BF982" s="4"/>
      <c r="BG982" s="4"/>
      <c r="BH982" s="4"/>
      <c r="BI982" s="4"/>
      <c r="BJ982" s="4"/>
      <c r="BK982" s="4"/>
      <c r="BL982" s="4"/>
      <c r="BM982" s="4"/>
      <c r="BN982" s="4"/>
      <c r="BO982" s="4"/>
      <c r="BP982" s="4"/>
      <c r="BQ982" s="4"/>
      <c r="BR982" s="4"/>
      <c r="BS982" s="4"/>
    </row>
    <row r="983" spans="1:7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c r="AF983" s="3"/>
      <c r="AG983" s="3"/>
      <c r="AH983" s="4"/>
      <c r="AI983" s="4"/>
      <c r="AJ983" s="4"/>
      <c r="AK983" s="4"/>
      <c r="AL983" s="4"/>
      <c r="AM983" s="4"/>
      <c r="AN983" s="4"/>
      <c r="AO983" s="4"/>
      <c r="AP983" s="4"/>
      <c r="AQ983" s="4"/>
      <c r="AR983" s="4"/>
      <c r="AS983" s="4"/>
      <c r="AT983" s="4"/>
      <c r="AU983" s="4"/>
      <c r="AV983" s="4"/>
      <c r="AW983" s="4"/>
      <c r="AX983" s="4"/>
      <c r="AY983" s="4"/>
      <c r="AZ983" s="4"/>
      <c r="BA983" s="4"/>
      <c r="BB983" s="4"/>
      <c r="BC983" s="4"/>
      <c r="BD983" s="5"/>
      <c r="BE983" s="4"/>
      <c r="BF983" s="4"/>
      <c r="BG983" s="4"/>
      <c r="BH983" s="4"/>
      <c r="BI983" s="4"/>
      <c r="BJ983" s="4"/>
      <c r="BK983" s="4"/>
      <c r="BL983" s="4"/>
      <c r="BM983" s="4"/>
      <c r="BN983" s="4"/>
      <c r="BO983" s="4"/>
      <c r="BP983" s="4"/>
      <c r="BQ983" s="4"/>
      <c r="BR983" s="4"/>
      <c r="BS983" s="4"/>
    </row>
    <row r="984" spans="1:7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c r="AF984" s="3"/>
      <c r="AG984" s="3"/>
      <c r="AH984" s="4"/>
      <c r="AI984" s="4"/>
      <c r="AJ984" s="4"/>
      <c r="AK984" s="4"/>
      <c r="AL984" s="4"/>
      <c r="AM984" s="4"/>
      <c r="AN984" s="4"/>
      <c r="AO984" s="4"/>
      <c r="AP984" s="4"/>
      <c r="AQ984" s="4"/>
      <c r="AR984" s="4"/>
      <c r="AS984" s="4"/>
      <c r="AT984" s="4"/>
      <c r="AU984" s="4"/>
      <c r="AV984" s="4"/>
      <c r="AW984" s="4"/>
      <c r="AX984" s="4"/>
      <c r="AY984" s="4"/>
      <c r="AZ984" s="4"/>
      <c r="BA984" s="4"/>
      <c r="BB984" s="4"/>
      <c r="BC984" s="4"/>
      <c r="BD984" s="5"/>
      <c r="BE984" s="4"/>
      <c r="BF984" s="4"/>
      <c r="BG984" s="4"/>
      <c r="BH984" s="4"/>
      <c r="BI984" s="4"/>
      <c r="BJ984" s="4"/>
      <c r="BK984" s="4"/>
      <c r="BL984" s="4"/>
      <c r="BM984" s="4"/>
      <c r="BN984" s="4"/>
      <c r="BO984" s="4"/>
      <c r="BP984" s="4"/>
      <c r="BQ984" s="4"/>
      <c r="BR984" s="4"/>
      <c r="BS984" s="4"/>
    </row>
    <row r="985" spans="1:7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c r="AF985" s="3"/>
      <c r="AG985" s="3"/>
      <c r="AH985" s="4"/>
      <c r="AI985" s="4"/>
      <c r="AJ985" s="4"/>
      <c r="AK985" s="4"/>
      <c r="AL985" s="4"/>
      <c r="AM985" s="4"/>
      <c r="AN985" s="4"/>
      <c r="AO985" s="4"/>
      <c r="AP985" s="4"/>
      <c r="AQ985" s="4"/>
      <c r="AR985" s="4"/>
      <c r="AS985" s="4"/>
      <c r="AT985" s="4"/>
      <c r="AU985" s="4"/>
      <c r="AV985" s="4"/>
      <c r="AW985" s="4"/>
      <c r="AX985" s="4"/>
      <c r="AY985" s="4"/>
      <c r="AZ985" s="4"/>
      <c r="BA985" s="4"/>
      <c r="BB985" s="4"/>
      <c r="BC985" s="4"/>
      <c r="BD985" s="5"/>
      <c r="BE985" s="4"/>
      <c r="BF985" s="4"/>
      <c r="BG985" s="4"/>
      <c r="BH985" s="4"/>
      <c r="BI985" s="4"/>
      <c r="BJ985" s="4"/>
      <c r="BK985" s="4"/>
      <c r="BL985" s="4"/>
      <c r="BM985" s="4"/>
      <c r="BN985" s="4"/>
      <c r="BO985" s="4"/>
      <c r="BP985" s="4"/>
      <c r="BQ985" s="4"/>
      <c r="BR985" s="4"/>
      <c r="BS985" s="4"/>
    </row>
    <row r="986" spans="1:7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c r="AF986" s="3"/>
      <c r="AG986" s="3"/>
      <c r="AH986" s="4"/>
      <c r="AI986" s="4"/>
      <c r="AJ986" s="4"/>
      <c r="AK986" s="4"/>
      <c r="AL986" s="4"/>
      <c r="AM986" s="4"/>
      <c r="AN986" s="4"/>
      <c r="AO986" s="4"/>
      <c r="AP986" s="4"/>
      <c r="AQ986" s="4"/>
      <c r="AR986" s="4"/>
      <c r="AS986" s="4"/>
      <c r="AT986" s="4"/>
      <c r="AU986" s="4"/>
      <c r="AV986" s="4"/>
      <c r="AW986" s="4"/>
      <c r="AX986" s="4"/>
      <c r="AY986" s="4"/>
      <c r="AZ986" s="4"/>
      <c r="BA986" s="4"/>
      <c r="BB986" s="4"/>
      <c r="BC986" s="4"/>
      <c r="BD986" s="5"/>
      <c r="BE986" s="4"/>
      <c r="BF986" s="4"/>
      <c r="BG986" s="4"/>
      <c r="BH986" s="4"/>
      <c r="BI986" s="4"/>
      <c r="BJ986" s="4"/>
      <c r="BK986" s="4"/>
      <c r="BL986" s="4"/>
      <c r="BM986" s="4"/>
      <c r="BN986" s="4"/>
      <c r="BO986" s="4"/>
      <c r="BP986" s="4"/>
      <c r="BQ986" s="4"/>
      <c r="BR986" s="4"/>
      <c r="BS986" s="4"/>
    </row>
    <row r="987" spans="1:7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c r="AF987" s="3"/>
      <c r="AG987" s="3"/>
      <c r="AH987" s="4"/>
      <c r="AI987" s="4"/>
      <c r="AJ987" s="4"/>
      <c r="AK987" s="4"/>
      <c r="AL987" s="4"/>
      <c r="AM987" s="4"/>
      <c r="AN987" s="4"/>
      <c r="AO987" s="4"/>
      <c r="AP987" s="4"/>
      <c r="AQ987" s="4"/>
      <c r="AR987" s="4"/>
      <c r="AS987" s="4"/>
      <c r="AT987" s="4"/>
      <c r="AU987" s="4"/>
      <c r="AV987" s="4"/>
      <c r="AW987" s="4"/>
      <c r="AX987" s="4"/>
      <c r="AY987" s="4"/>
      <c r="AZ987" s="4"/>
      <c r="BA987" s="4"/>
      <c r="BB987" s="4"/>
      <c r="BC987" s="4"/>
      <c r="BD987" s="5"/>
      <c r="BE987" s="4"/>
      <c r="BF987" s="4"/>
      <c r="BG987" s="4"/>
      <c r="BH987" s="4"/>
      <c r="BI987" s="4"/>
      <c r="BJ987" s="4"/>
      <c r="BK987" s="4"/>
      <c r="BL987" s="4"/>
      <c r="BM987" s="4"/>
      <c r="BN987" s="4"/>
      <c r="BO987" s="4"/>
      <c r="BP987" s="4"/>
      <c r="BQ987" s="4"/>
      <c r="BR987" s="4"/>
      <c r="BS987" s="4"/>
    </row>
    <row r="988" spans="1:7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c r="AF988" s="3"/>
      <c r="AG988" s="3"/>
      <c r="AH988" s="4"/>
      <c r="AI988" s="4"/>
      <c r="AJ988" s="4"/>
      <c r="AK988" s="4"/>
      <c r="AL988" s="4"/>
      <c r="AM988" s="4"/>
      <c r="AN988" s="4"/>
      <c r="AO988" s="4"/>
      <c r="AP988" s="4"/>
      <c r="AQ988" s="4"/>
      <c r="AR988" s="4"/>
      <c r="AS988" s="4"/>
      <c r="AT988" s="4"/>
      <c r="AU988" s="4"/>
      <c r="AV988" s="4"/>
      <c r="AW988" s="4"/>
      <c r="AX988" s="4"/>
      <c r="AY988" s="4"/>
      <c r="AZ988" s="4"/>
      <c r="BA988" s="4"/>
      <c r="BB988" s="4"/>
      <c r="BC988" s="4"/>
      <c r="BD988" s="5"/>
      <c r="BE988" s="4"/>
      <c r="BF988" s="4"/>
      <c r="BG988" s="4"/>
      <c r="BH988" s="4"/>
      <c r="BI988" s="4"/>
      <c r="BJ988" s="4"/>
      <c r="BK988" s="4"/>
      <c r="BL988" s="4"/>
      <c r="BM988" s="4"/>
      <c r="BN988" s="4"/>
      <c r="BO988" s="4"/>
      <c r="BP988" s="4"/>
      <c r="BQ988" s="4"/>
      <c r="BR988" s="4"/>
      <c r="BS988" s="4"/>
    </row>
    <row r="989" spans="1:7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c r="AF989" s="3"/>
      <c r="AG989" s="3"/>
      <c r="AH989" s="4"/>
      <c r="AI989" s="4"/>
      <c r="AJ989" s="4"/>
      <c r="AK989" s="4"/>
      <c r="AL989" s="4"/>
      <c r="AM989" s="4"/>
      <c r="AN989" s="4"/>
      <c r="AO989" s="4"/>
      <c r="AP989" s="4"/>
      <c r="AQ989" s="4"/>
      <c r="AR989" s="4"/>
      <c r="AS989" s="4"/>
      <c r="AT989" s="4"/>
      <c r="AU989" s="4"/>
      <c r="AV989" s="4"/>
      <c r="AW989" s="4"/>
      <c r="AX989" s="4"/>
      <c r="AY989" s="4"/>
      <c r="AZ989" s="4"/>
      <c r="BA989" s="4"/>
      <c r="BB989" s="4"/>
      <c r="BC989" s="4"/>
      <c r="BD989" s="5"/>
      <c r="BE989" s="4"/>
      <c r="BF989" s="4"/>
      <c r="BG989" s="4"/>
      <c r="BH989" s="4"/>
      <c r="BI989" s="4"/>
      <c r="BJ989" s="4"/>
      <c r="BK989" s="4"/>
      <c r="BL989" s="4"/>
      <c r="BM989" s="4"/>
      <c r="BN989" s="4"/>
      <c r="BO989" s="4"/>
      <c r="BP989" s="4"/>
      <c r="BQ989" s="4"/>
      <c r="BR989" s="4"/>
      <c r="BS989" s="4"/>
    </row>
    <row r="990" spans="1:7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c r="AF990" s="3"/>
      <c r="AG990" s="3"/>
      <c r="AH990" s="4"/>
      <c r="AI990" s="4"/>
      <c r="AJ990" s="4"/>
      <c r="AK990" s="4"/>
      <c r="AL990" s="4"/>
      <c r="AM990" s="4"/>
      <c r="AN990" s="4"/>
      <c r="AO990" s="4"/>
      <c r="AP990" s="4"/>
      <c r="AQ990" s="4"/>
      <c r="AR990" s="4"/>
      <c r="AS990" s="4"/>
      <c r="AT990" s="4"/>
      <c r="AU990" s="4"/>
      <c r="AV990" s="4"/>
      <c r="AW990" s="4"/>
      <c r="AX990" s="4"/>
      <c r="AY990" s="4"/>
      <c r="AZ990" s="4"/>
      <c r="BA990" s="4"/>
      <c r="BB990" s="4"/>
      <c r="BC990" s="4"/>
      <c r="BD990" s="5"/>
      <c r="BE990" s="4"/>
      <c r="BF990" s="4"/>
      <c r="BG990" s="4"/>
      <c r="BH990" s="4"/>
      <c r="BI990" s="4"/>
      <c r="BJ990" s="4"/>
      <c r="BK990" s="4"/>
      <c r="BL990" s="4"/>
      <c r="BM990" s="4"/>
      <c r="BN990" s="4"/>
      <c r="BO990" s="4"/>
      <c r="BP990" s="4"/>
      <c r="BQ990" s="4"/>
      <c r="BR990" s="4"/>
      <c r="BS990" s="4"/>
    </row>
    <row r="991" spans="1:7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c r="AF991" s="3"/>
      <c r="AG991" s="3"/>
      <c r="AH991" s="4"/>
      <c r="AI991" s="4"/>
      <c r="AJ991" s="4"/>
      <c r="AK991" s="4"/>
      <c r="AL991" s="4"/>
      <c r="AM991" s="4"/>
      <c r="AN991" s="4"/>
      <c r="AO991" s="4"/>
      <c r="AP991" s="4"/>
      <c r="AQ991" s="4"/>
      <c r="AR991" s="4"/>
      <c r="AS991" s="4"/>
      <c r="AT991" s="4"/>
      <c r="AU991" s="4"/>
      <c r="AV991" s="4"/>
      <c r="AW991" s="4"/>
      <c r="AX991" s="4"/>
      <c r="AY991" s="4"/>
      <c r="AZ991" s="4"/>
      <c r="BA991" s="4"/>
      <c r="BB991" s="4"/>
      <c r="BC991" s="4"/>
      <c r="BD991" s="5"/>
      <c r="BE991" s="4"/>
      <c r="BF991" s="4"/>
      <c r="BG991" s="4"/>
      <c r="BH991" s="4"/>
      <c r="BI991" s="4"/>
      <c r="BJ991" s="4"/>
      <c r="BK991" s="4"/>
      <c r="BL991" s="4"/>
      <c r="BM991" s="4"/>
      <c r="BN991" s="4"/>
      <c r="BO991" s="4"/>
      <c r="BP991" s="4"/>
      <c r="BQ991" s="4"/>
      <c r="BR991" s="4"/>
      <c r="BS991" s="4"/>
    </row>
    <row r="992" spans="1:7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c r="AF992" s="3"/>
      <c r="AG992" s="3"/>
      <c r="AH992" s="4"/>
      <c r="AI992" s="4"/>
      <c r="AJ992" s="4"/>
      <c r="AK992" s="4"/>
      <c r="AL992" s="4"/>
      <c r="AM992" s="4"/>
      <c r="AN992" s="4"/>
      <c r="AO992" s="4"/>
      <c r="AP992" s="4"/>
      <c r="AQ992" s="4"/>
      <c r="AR992" s="4"/>
      <c r="AS992" s="4"/>
      <c r="AT992" s="4"/>
      <c r="AU992" s="4"/>
      <c r="AV992" s="4"/>
      <c r="AW992" s="4"/>
      <c r="AX992" s="4"/>
      <c r="AY992" s="4"/>
      <c r="AZ992" s="4"/>
      <c r="BA992" s="4"/>
      <c r="BB992" s="4"/>
      <c r="BC992" s="4"/>
      <c r="BD992" s="5"/>
      <c r="BE992" s="4"/>
      <c r="BF992" s="4"/>
      <c r="BG992" s="4"/>
      <c r="BH992" s="4"/>
      <c r="BI992" s="4"/>
      <c r="BJ992" s="4"/>
      <c r="BK992" s="4"/>
      <c r="BL992" s="4"/>
      <c r="BM992" s="4"/>
      <c r="BN992" s="4"/>
      <c r="BO992" s="4"/>
      <c r="BP992" s="4"/>
      <c r="BQ992" s="4"/>
      <c r="BR992" s="4"/>
      <c r="BS992" s="4"/>
    </row>
    <row r="993" spans="1:7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c r="AF993" s="3"/>
      <c r="AG993" s="3"/>
      <c r="AH993" s="4"/>
      <c r="AI993" s="4"/>
      <c r="AJ993" s="4"/>
      <c r="AK993" s="4"/>
      <c r="AL993" s="4"/>
      <c r="AM993" s="4"/>
      <c r="AN993" s="4"/>
      <c r="AO993" s="4"/>
      <c r="AP993" s="4"/>
      <c r="AQ993" s="4"/>
      <c r="AR993" s="4"/>
      <c r="AS993" s="4"/>
      <c r="AT993" s="4"/>
      <c r="AU993" s="4"/>
      <c r="AV993" s="4"/>
      <c r="AW993" s="4"/>
      <c r="AX993" s="4"/>
      <c r="AY993" s="4"/>
      <c r="AZ993" s="4"/>
      <c r="BA993" s="4"/>
      <c r="BB993" s="4"/>
      <c r="BC993" s="4"/>
      <c r="BD993" s="5"/>
      <c r="BE993" s="4"/>
      <c r="BF993" s="4"/>
      <c r="BG993" s="4"/>
      <c r="BH993" s="4"/>
      <c r="BI993" s="4"/>
      <c r="BJ993" s="4"/>
      <c r="BK993" s="4"/>
      <c r="BL993" s="4"/>
      <c r="BM993" s="4"/>
      <c r="BN993" s="4"/>
      <c r="BO993" s="4"/>
      <c r="BP993" s="4"/>
      <c r="BQ993" s="4"/>
      <c r="BR993" s="4"/>
      <c r="BS993" s="4"/>
    </row>
    <row r="994" spans="1:7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c r="AF994" s="3"/>
      <c r="AG994" s="3"/>
      <c r="AH994" s="4"/>
      <c r="AI994" s="4"/>
      <c r="AJ994" s="4"/>
      <c r="AK994" s="4"/>
      <c r="AL994" s="4"/>
      <c r="AM994" s="4"/>
      <c r="AN994" s="4"/>
      <c r="AO994" s="4"/>
      <c r="AP994" s="4"/>
      <c r="AQ994" s="4"/>
      <c r="AR994" s="4"/>
      <c r="AS994" s="4"/>
      <c r="AT994" s="4"/>
      <c r="AU994" s="4"/>
      <c r="AV994" s="4"/>
      <c r="AW994" s="4"/>
      <c r="AX994" s="4"/>
      <c r="AY994" s="4"/>
      <c r="AZ994" s="4"/>
      <c r="BA994" s="4"/>
      <c r="BB994" s="4"/>
      <c r="BC994" s="4"/>
      <c r="BD994" s="5"/>
      <c r="BE994" s="4"/>
      <c r="BF994" s="4"/>
      <c r="BG994" s="4"/>
      <c r="BH994" s="4"/>
      <c r="BI994" s="4"/>
      <c r="BJ994" s="4"/>
      <c r="BK994" s="4"/>
      <c r="BL994" s="4"/>
      <c r="BM994" s="4"/>
      <c r="BN994" s="4"/>
      <c r="BO994" s="4"/>
      <c r="BP994" s="4"/>
      <c r="BQ994" s="4"/>
      <c r="BR994" s="4"/>
      <c r="BS994" s="4"/>
    </row>
    <row r="995" spans="1:7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c r="AF995" s="3"/>
      <c r="AG995" s="3"/>
      <c r="AH995" s="4"/>
      <c r="AI995" s="4"/>
      <c r="AJ995" s="4"/>
      <c r="AK995" s="4"/>
      <c r="AL995" s="4"/>
      <c r="AM995" s="4"/>
      <c r="AN995" s="4"/>
      <c r="AO995" s="4"/>
      <c r="AP995" s="4"/>
      <c r="AQ995" s="4"/>
      <c r="AR995" s="4"/>
      <c r="AS995" s="4"/>
      <c r="AT995" s="4"/>
      <c r="AU995" s="4"/>
      <c r="AV995" s="4"/>
      <c r="AW995" s="4"/>
      <c r="AX995" s="4"/>
      <c r="AY995" s="4"/>
      <c r="AZ995" s="4"/>
      <c r="BA995" s="4"/>
      <c r="BB995" s="4"/>
      <c r="BC995" s="4"/>
      <c r="BD995" s="5"/>
      <c r="BE995" s="4"/>
      <c r="BF995" s="4"/>
      <c r="BG995" s="4"/>
      <c r="BH995" s="4"/>
      <c r="BI995" s="4"/>
      <c r="BJ995" s="4"/>
      <c r="BK995" s="4"/>
      <c r="BL995" s="4"/>
      <c r="BM995" s="4"/>
      <c r="BN995" s="4"/>
      <c r="BO995" s="4"/>
      <c r="BP995" s="4"/>
      <c r="BQ995" s="4"/>
      <c r="BR995" s="4"/>
      <c r="BS995" s="4"/>
    </row>
    <row r="996" spans="1:7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c r="AF996" s="3"/>
      <c r="AG996" s="3"/>
      <c r="AH996" s="4"/>
      <c r="AI996" s="4"/>
      <c r="AJ996" s="4"/>
      <c r="AK996" s="4"/>
      <c r="AL996" s="4"/>
      <c r="AM996" s="4"/>
      <c r="AN996" s="4"/>
      <c r="AO996" s="4"/>
      <c r="AP996" s="4"/>
      <c r="AQ996" s="4"/>
      <c r="AR996" s="4"/>
      <c r="AS996" s="4"/>
      <c r="AT996" s="4"/>
      <c r="AU996" s="4"/>
      <c r="AV996" s="4"/>
      <c r="AW996" s="4"/>
      <c r="AX996" s="4"/>
      <c r="AY996" s="4"/>
      <c r="AZ996" s="4"/>
      <c r="BA996" s="4"/>
      <c r="BB996" s="4"/>
      <c r="BC996" s="4"/>
      <c r="BD996" s="5"/>
      <c r="BE996" s="4"/>
      <c r="BF996" s="4"/>
      <c r="BG996" s="4"/>
      <c r="BH996" s="4"/>
      <c r="BI996" s="4"/>
      <c r="BJ996" s="4"/>
      <c r="BK996" s="4"/>
      <c r="BL996" s="4"/>
      <c r="BM996" s="4"/>
      <c r="BN996" s="4"/>
      <c r="BO996" s="4"/>
      <c r="BP996" s="4"/>
      <c r="BQ996" s="4"/>
      <c r="BR996" s="4"/>
      <c r="BS996" s="4"/>
    </row>
    <row r="997" spans="1:7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c r="AF997" s="3"/>
      <c r="AG997" s="3"/>
      <c r="AH997" s="4"/>
      <c r="AI997" s="4"/>
      <c r="AJ997" s="4"/>
      <c r="AK997" s="4"/>
      <c r="AL997" s="4"/>
      <c r="AM997" s="4"/>
      <c r="AN997" s="4"/>
      <c r="AO997" s="4"/>
      <c r="AP997" s="4"/>
      <c r="AQ997" s="4"/>
      <c r="AR997" s="4"/>
      <c r="AS997" s="4"/>
      <c r="AT997" s="4"/>
      <c r="AU997" s="4"/>
      <c r="AV997" s="4"/>
      <c r="AW997" s="4"/>
      <c r="AX997" s="4"/>
      <c r="AY997" s="4"/>
      <c r="AZ997" s="4"/>
      <c r="BA997" s="4"/>
      <c r="BB997" s="4"/>
      <c r="BC997" s="4"/>
      <c r="BD997" s="5"/>
      <c r="BE997" s="4"/>
      <c r="BF997" s="4"/>
      <c r="BG997" s="4"/>
      <c r="BH997" s="4"/>
      <c r="BI997" s="4"/>
      <c r="BJ997" s="4"/>
      <c r="BK997" s="4"/>
      <c r="BL997" s="4"/>
      <c r="BM997" s="4"/>
      <c r="BN997" s="4"/>
      <c r="BO997" s="4"/>
      <c r="BP997" s="4"/>
      <c r="BQ997" s="4"/>
      <c r="BR997" s="4"/>
      <c r="BS997" s="4"/>
    </row>
    <row r="998" spans="1:7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c r="AF998" s="3"/>
      <c r="AG998" s="3"/>
      <c r="AH998" s="4"/>
      <c r="AI998" s="4"/>
      <c r="AJ998" s="4"/>
      <c r="AK998" s="4"/>
      <c r="AL998" s="4"/>
      <c r="AM998" s="4"/>
      <c r="AN998" s="4"/>
      <c r="AO998" s="4"/>
      <c r="AP998" s="4"/>
      <c r="AQ998" s="4"/>
      <c r="AR998" s="4"/>
      <c r="AS998" s="4"/>
      <c r="AT998" s="4"/>
      <c r="AU998" s="4"/>
      <c r="AV998" s="4"/>
      <c r="AW998" s="4"/>
      <c r="AX998" s="4"/>
      <c r="AY998" s="4"/>
      <c r="AZ998" s="4"/>
      <c r="BA998" s="4"/>
      <c r="BB998" s="4"/>
      <c r="BC998" s="4"/>
      <c r="BD998" s="5"/>
      <c r="BE998" s="4"/>
      <c r="BF998" s="4"/>
      <c r="BG998" s="4"/>
      <c r="BH998" s="4"/>
      <c r="BI998" s="4"/>
      <c r="BJ998" s="4"/>
      <c r="BK998" s="4"/>
      <c r="BL998" s="4"/>
      <c r="BM998" s="4"/>
      <c r="BN998" s="4"/>
      <c r="BO998" s="4"/>
      <c r="BP998" s="4"/>
      <c r="BQ998" s="4"/>
      <c r="BR998" s="4"/>
      <c r="BS998" s="4"/>
    </row>
    <row r="999" spans="1:7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c r="AF999" s="3"/>
      <c r="AG999" s="3"/>
      <c r="AH999" s="4"/>
      <c r="AI999" s="4"/>
      <c r="AJ999" s="4"/>
      <c r="AK999" s="4"/>
      <c r="AL999" s="4"/>
      <c r="AM999" s="4"/>
      <c r="AN999" s="4"/>
      <c r="AO999" s="4"/>
      <c r="AP999" s="4"/>
      <c r="AQ999" s="4"/>
      <c r="AR999" s="4"/>
      <c r="AS999" s="4"/>
      <c r="AT999" s="4"/>
      <c r="AU999" s="4"/>
      <c r="AV999" s="4"/>
      <c r="AW999" s="4"/>
      <c r="AX999" s="4"/>
      <c r="AY999" s="4"/>
      <c r="AZ999" s="4"/>
      <c r="BA999" s="4"/>
      <c r="BB999" s="4"/>
      <c r="BC999" s="4"/>
      <c r="BD999" s="5"/>
      <c r="BE999" s="4"/>
      <c r="BF999" s="4"/>
      <c r="BG999" s="4"/>
      <c r="BH999" s="4"/>
      <c r="BI999" s="4"/>
      <c r="BJ999" s="4"/>
      <c r="BK999" s="4"/>
      <c r="BL999" s="4"/>
      <c r="BM999" s="4"/>
      <c r="BN999" s="4"/>
      <c r="BO999" s="4"/>
      <c r="BP999" s="4"/>
      <c r="BQ999" s="4"/>
      <c r="BR999" s="4"/>
      <c r="BS999" s="4"/>
    </row>
    <row r="1000" spans="1:7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c r="AE1000" s="3"/>
      <c r="AF1000" s="3"/>
      <c r="AG1000" s="3"/>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5"/>
      <c r="BE1000" s="4"/>
      <c r="BF1000" s="4"/>
      <c r="BG1000" s="4"/>
      <c r="BH1000" s="4"/>
      <c r="BI1000" s="4"/>
      <c r="BJ1000" s="4"/>
      <c r="BK1000" s="4"/>
      <c r="BL1000" s="4"/>
      <c r="BM1000" s="4"/>
      <c r="BN1000" s="4"/>
      <c r="BO1000" s="4"/>
      <c r="BP1000" s="4"/>
      <c r="BQ1000" s="4"/>
      <c r="BR1000" s="4"/>
      <c r="BS1000" s="4"/>
    </row>
    <row r="1001" spans="1:7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c r="AB1001" s="3"/>
      <c r="AC1001" s="3"/>
      <c r="AD1001" s="3"/>
      <c r="AE1001" s="3"/>
      <c r="AF1001" s="3"/>
      <c r="AG1001" s="3"/>
      <c r="AH1001" s="4"/>
      <c r="AI1001" s="4"/>
      <c r="AJ1001" s="4"/>
      <c r="AK1001" s="4"/>
      <c r="AL1001" s="4"/>
      <c r="AM1001" s="4"/>
      <c r="AN1001" s="4"/>
      <c r="AO1001" s="4"/>
      <c r="AP1001" s="4"/>
      <c r="AQ1001" s="4"/>
      <c r="AR1001" s="4"/>
      <c r="AS1001" s="4"/>
      <c r="AT1001" s="4"/>
      <c r="AU1001" s="4"/>
      <c r="AV1001" s="4"/>
      <c r="AW1001" s="4"/>
      <c r="AX1001" s="4"/>
      <c r="AY1001" s="4"/>
      <c r="AZ1001" s="4"/>
      <c r="BA1001" s="4"/>
      <c r="BB1001" s="4"/>
      <c r="BC1001" s="4"/>
      <c r="BD1001" s="5"/>
      <c r="BE1001" s="4"/>
      <c r="BF1001" s="4"/>
      <c r="BG1001" s="4"/>
      <c r="BH1001" s="4"/>
      <c r="BI1001" s="4"/>
      <c r="BJ1001" s="4"/>
      <c r="BK1001" s="4"/>
      <c r="BL1001" s="4"/>
      <c r="BM1001" s="4"/>
      <c r="BN1001" s="4"/>
      <c r="BO1001" s="4"/>
      <c r="BP1001" s="4"/>
      <c r="BQ1001" s="4"/>
      <c r="BR1001" s="4"/>
      <c r="BS1001" s="4"/>
    </row>
    <row r="1002" spans="1:71">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c r="AA1002" s="3"/>
      <c r="AB1002" s="3"/>
      <c r="AC1002" s="3"/>
      <c r="AD1002" s="3"/>
      <c r="AE1002" s="3"/>
      <c r="AF1002" s="3"/>
      <c r="AG1002" s="3"/>
      <c r="AH1002" s="4"/>
      <c r="AI1002" s="4"/>
      <c r="AJ1002" s="4"/>
      <c r="AK1002" s="4"/>
      <c r="AL1002" s="4"/>
      <c r="AM1002" s="4"/>
      <c r="AN1002" s="4"/>
      <c r="AO1002" s="4"/>
      <c r="AP1002" s="4"/>
      <c r="AQ1002" s="4"/>
      <c r="AR1002" s="4"/>
      <c r="AS1002" s="4"/>
      <c r="AT1002" s="4"/>
      <c r="AU1002" s="4"/>
      <c r="AV1002" s="4"/>
      <c r="AW1002" s="4"/>
      <c r="AX1002" s="4"/>
      <c r="AY1002" s="4"/>
      <c r="AZ1002" s="4"/>
      <c r="BA1002" s="4"/>
      <c r="BB1002" s="4"/>
      <c r="BC1002" s="4"/>
      <c r="BD1002" s="5"/>
      <c r="BE1002" s="4"/>
      <c r="BF1002" s="4"/>
      <c r="BG1002" s="4"/>
      <c r="BH1002" s="4"/>
      <c r="BI1002" s="4"/>
      <c r="BJ1002" s="4"/>
      <c r="BK1002" s="4"/>
      <c r="BL1002" s="4"/>
      <c r="BM1002" s="4"/>
      <c r="BN1002" s="4"/>
      <c r="BO1002" s="4"/>
      <c r="BP1002" s="4"/>
      <c r="BQ1002" s="4"/>
      <c r="BR1002" s="4"/>
      <c r="BS1002" s="4"/>
    </row>
    <row r="1003" spans="1:71">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c r="AA1003" s="3"/>
      <c r="AB1003" s="3"/>
      <c r="AC1003" s="3"/>
      <c r="AD1003" s="3"/>
      <c r="AE1003" s="3"/>
      <c r="AF1003" s="3"/>
      <c r="AG1003" s="3"/>
      <c r="AH1003" s="4"/>
      <c r="AI1003" s="4"/>
      <c r="AJ1003" s="4"/>
      <c r="AK1003" s="4"/>
      <c r="AL1003" s="4"/>
      <c r="AM1003" s="4"/>
      <c r="AN1003" s="4"/>
      <c r="AO1003" s="4"/>
      <c r="AP1003" s="4"/>
      <c r="AQ1003" s="4"/>
      <c r="AR1003" s="4"/>
      <c r="AS1003" s="4"/>
      <c r="AT1003" s="4"/>
      <c r="AU1003" s="4"/>
      <c r="AV1003" s="4"/>
      <c r="AW1003" s="4"/>
      <c r="AX1003" s="4"/>
      <c r="AY1003" s="4"/>
      <c r="AZ1003" s="4"/>
      <c r="BA1003" s="4"/>
      <c r="BB1003" s="4"/>
      <c r="BC1003" s="4"/>
      <c r="BD1003" s="5"/>
      <c r="BE1003" s="4"/>
      <c r="BF1003" s="4"/>
      <c r="BG1003" s="4"/>
      <c r="BH1003" s="4"/>
      <c r="BI1003" s="4"/>
      <c r="BJ1003" s="4"/>
      <c r="BK1003" s="4"/>
      <c r="BL1003" s="4"/>
      <c r="BM1003" s="4"/>
      <c r="BN1003" s="4"/>
      <c r="BO1003" s="4"/>
      <c r="BP1003" s="4"/>
      <c r="BQ1003" s="4"/>
      <c r="BR1003" s="4"/>
      <c r="BS1003" s="4"/>
    </row>
    <row r="1004" spans="1:71">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c r="AA1004" s="3"/>
      <c r="AB1004" s="3"/>
      <c r="AC1004" s="3"/>
      <c r="AD1004" s="3"/>
      <c r="AE1004" s="3"/>
      <c r="AF1004" s="3"/>
      <c r="AG1004" s="3"/>
      <c r="AH1004" s="4"/>
      <c r="AI1004" s="4"/>
      <c r="AJ1004" s="4"/>
      <c r="AK1004" s="4"/>
      <c r="AL1004" s="4"/>
      <c r="AM1004" s="4"/>
      <c r="AN1004" s="4"/>
      <c r="AO1004" s="4"/>
      <c r="AP1004" s="4"/>
      <c r="AQ1004" s="4"/>
      <c r="AR1004" s="4"/>
      <c r="AS1004" s="4"/>
      <c r="AT1004" s="4"/>
      <c r="AU1004" s="4"/>
      <c r="AV1004" s="4"/>
      <c r="AW1004" s="4"/>
      <c r="AX1004" s="4"/>
      <c r="AY1004" s="4"/>
      <c r="AZ1004" s="4"/>
      <c r="BA1004" s="4"/>
      <c r="BB1004" s="4"/>
      <c r="BC1004" s="4"/>
      <c r="BD1004" s="5"/>
      <c r="BE1004" s="4"/>
      <c r="BF1004" s="4"/>
      <c r="BG1004" s="4"/>
      <c r="BH1004" s="4"/>
      <c r="BI1004" s="4"/>
      <c r="BJ1004" s="4"/>
      <c r="BK1004" s="4"/>
      <c r="BL1004" s="4"/>
      <c r="BM1004" s="4"/>
      <c r="BN1004" s="4"/>
      <c r="BO1004" s="4"/>
      <c r="BP1004" s="4"/>
      <c r="BQ1004" s="4"/>
      <c r="BR1004" s="4"/>
      <c r="BS1004" s="4"/>
    </row>
    <row r="1005" spans="1:71">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c r="AA1005" s="3"/>
      <c r="AB1005" s="3"/>
      <c r="AC1005" s="3"/>
      <c r="AD1005" s="3"/>
      <c r="AE1005" s="3"/>
      <c r="AF1005" s="3"/>
      <c r="AG1005" s="3"/>
      <c r="AH1005" s="4"/>
      <c r="AI1005" s="4"/>
      <c r="AJ1005" s="4"/>
      <c r="AK1005" s="4"/>
      <c r="AL1005" s="4"/>
      <c r="AM1005" s="4"/>
      <c r="AN1005" s="4"/>
      <c r="AO1005" s="4"/>
      <c r="AP1005" s="4"/>
      <c r="AQ1005" s="4"/>
      <c r="AR1005" s="4"/>
      <c r="AS1005" s="4"/>
      <c r="AT1005" s="4"/>
      <c r="AU1005" s="4"/>
      <c r="AV1005" s="4"/>
      <c r="AW1005" s="4"/>
      <c r="AX1005" s="4"/>
      <c r="AY1005" s="4"/>
      <c r="AZ1005" s="4"/>
      <c r="BA1005" s="4"/>
      <c r="BB1005" s="4"/>
      <c r="BC1005" s="4"/>
      <c r="BD1005" s="5"/>
      <c r="BE1005" s="4"/>
      <c r="BF1005" s="4"/>
      <c r="BG1005" s="4"/>
      <c r="BH1005" s="4"/>
      <c r="BI1005" s="4"/>
      <c r="BJ1005" s="4"/>
      <c r="BK1005" s="4"/>
      <c r="BL1005" s="4"/>
      <c r="BM1005" s="4"/>
      <c r="BN1005" s="4"/>
      <c r="BO1005" s="4"/>
      <c r="BP1005" s="4"/>
      <c r="BQ1005" s="4"/>
      <c r="BR1005" s="4"/>
      <c r="BS1005" s="4"/>
    </row>
    <row r="1006" spans="1:71">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c r="AA1006" s="3"/>
      <c r="AB1006" s="3"/>
      <c r="AC1006" s="3"/>
      <c r="AD1006" s="3"/>
      <c r="AE1006" s="3"/>
      <c r="AF1006" s="3"/>
      <c r="AG1006" s="3"/>
      <c r="AH1006" s="4"/>
      <c r="AI1006" s="4"/>
      <c r="AJ1006" s="4"/>
      <c r="AK1006" s="4"/>
      <c r="AL1006" s="4"/>
      <c r="AM1006" s="4"/>
      <c r="AN1006" s="4"/>
      <c r="AO1006" s="4"/>
      <c r="AP1006" s="4"/>
      <c r="AQ1006" s="4"/>
      <c r="AR1006" s="4"/>
      <c r="AS1006" s="4"/>
      <c r="AT1006" s="4"/>
      <c r="AU1006" s="4"/>
      <c r="AV1006" s="4"/>
      <c r="AW1006" s="4"/>
      <c r="AX1006" s="4"/>
      <c r="AY1006" s="4"/>
      <c r="AZ1006" s="4"/>
      <c r="BA1006" s="4"/>
      <c r="BB1006" s="4"/>
      <c r="BC1006" s="4"/>
      <c r="BD1006" s="5"/>
      <c r="BE1006" s="4"/>
      <c r="BF1006" s="4"/>
      <c r="BG1006" s="4"/>
      <c r="BH1006" s="4"/>
      <c r="BI1006" s="4"/>
      <c r="BJ1006" s="4"/>
      <c r="BK1006" s="4"/>
      <c r="BL1006" s="4"/>
      <c r="BM1006" s="4"/>
      <c r="BN1006" s="4"/>
      <c r="BO1006" s="4"/>
      <c r="BP1006" s="4"/>
      <c r="BQ1006" s="4"/>
      <c r="BR1006" s="4"/>
      <c r="BS1006" s="4"/>
    </row>
    <row r="1007" spans="1:71">
      <c r="A1007" s="3"/>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c r="AA1007" s="3"/>
      <c r="AB1007" s="3"/>
      <c r="AC1007" s="3"/>
      <c r="AD1007" s="3"/>
      <c r="AE1007" s="3"/>
      <c r="AF1007" s="3"/>
      <c r="AG1007" s="3"/>
      <c r="AH1007" s="4"/>
      <c r="AI1007" s="4"/>
      <c r="AJ1007" s="4"/>
      <c r="AK1007" s="4"/>
      <c r="AL1007" s="4"/>
      <c r="AM1007" s="4"/>
      <c r="AN1007" s="4"/>
      <c r="AO1007" s="4"/>
      <c r="AP1007" s="4"/>
      <c r="AQ1007" s="4"/>
      <c r="AR1007" s="4"/>
      <c r="AS1007" s="4"/>
      <c r="AT1007" s="4"/>
      <c r="AU1007" s="4"/>
      <c r="AV1007" s="4"/>
      <c r="AW1007" s="4"/>
      <c r="AX1007" s="4"/>
      <c r="AY1007" s="4"/>
      <c r="AZ1007" s="4"/>
      <c r="BA1007" s="4"/>
      <c r="BB1007" s="4"/>
      <c r="BC1007" s="4"/>
      <c r="BD1007" s="5"/>
      <c r="BE1007" s="4"/>
      <c r="BF1007" s="4"/>
      <c r="BG1007" s="4"/>
      <c r="BH1007" s="4"/>
      <c r="BI1007" s="4"/>
      <c r="BJ1007" s="4"/>
      <c r="BK1007" s="4"/>
      <c r="BL1007" s="4"/>
      <c r="BM1007" s="4"/>
      <c r="BN1007" s="4"/>
      <c r="BO1007" s="4"/>
      <c r="BP1007" s="4"/>
      <c r="BQ1007" s="4"/>
      <c r="BR1007" s="4"/>
      <c r="BS1007" s="4"/>
    </row>
    <row r="1008" spans="1:71">
      <c r="A1008" s="3"/>
      <c r="B1008" s="3"/>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c r="AA1008" s="3"/>
      <c r="AB1008" s="3"/>
      <c r="AC1008" s="3"/>
      <c r="AD1008" s="3"/>
      <c r="AE1008" s="3"/>
      <c r="AF1008" s="3"/>
      <c r="AG1008" s="3"/>
      <c r="AH1008" s="4"/>
      <c r="AI1008" s="4"/>
      <c r="AJ1008" s="4"/>
      <c r="AK1008" s="4"/>
      <c r="AL1008" s="4"/>
      <c r="AM1008" s="4"/>
      <c r="AN1008" s="4"/>
      <c r="AO1008" s="4"/>
      <c r="AP1008" s="4"/>
      <c r="AQ1008" s="4"/>
      <c r="AR1008" s="4"/>
      <c r="AS1008" s="4"/>
      <c r="AT1008" s="4"/>
      <c r="AU1008" s="4"/>
      <c r="AV1008" s="4"/>
      <c r="AW1008" s="4"/>
      <c r="AX1008" s="4"/>
      <c r="AY1008" s="4"/>
      <c r="AZ1008" s="4"/>
      <c r="BA1008" s="4"/>
      <c r="BB1008" s="4"/>
      <c r="BC1008" s="4"/>
      <c r="BD1008" s="5"/>
      <c r="BE1008" s="4"/>
      <c r="BF1008" s="4"/>
      <c r="BG1008" s="4"/>
      <c r="BH1008" s="4"/>
      <c r="BI1008" s="4"/>
      <c r="BJ1008" s="4"/>
      <c r="BK1008" s="4"/>
      <c r="BL1008" s="4"/>
      <c r="BM1008" s="4"/>
      <c r="BN1008" s="4"/>
      <c r="BO1008" s="4"/>
      <c r="BP1008" s="4"/>
      <c r="BQ1008" s="4"/>
      <c r="BR1008" s="4"/>
      <c r="BS1008" s="4"/>
    </row>
    <row r="1009" spans="1:71">
      <c r="A1009" s="3"/>
      <c r="B1009" s="3"/>
      <c r="C1009" s="3"/>
      <c r="D1009" s="3"/>
      <c r="E1009" s="3"/>
      <c r="F1009" s="3"/>
      <c r="G1009" s="3"/>
      <c r="H1009" s="3"/>
      <c r="I1009" s="3"/>
      <c r="J1009" s="3"/>
      <c r="K1009" s="3"/>
      <c r="L1009" s="3"/>
      <c r="M1009" s="3"/>
      <c r="N1009" s="3"/>
      <c r="O1009" s="3"/>
      <c r="P1009" s="3"/>
      <c r="Q1009" s="3"/>
      <c r="R1009" s="3"/>
      <c r="S1009" s="3"/>
      <c r="T1009" s="3"/>
      <c r="U1009" s="3"/>
      <c r="V1009" s="3"/>
      <c r="W1009" s="3"/>
      <c r="X1009" s="3"/>
      <c r="Y1009" s="3"/>
      <c r="Z1009" s="3"/>
      <c r="AA1009" s="3"/>
      <c r="AB1009" s="3"/>
      <c r="AC1009" s="3"/>
      <c r="AD1009" s="3"/>
      <c r="AE1009" s="3"/>
      <c r="AF1009" s="3"/>
      <c r="AG1009" s="3"/>
      <c r="AH1009" s="4"/>
      <c r="AI1009" s="4"/>
      <c r="AJ1009" s="4"/>
      <c r="AK1009" s="4"/>
      <c r="AL1009" s="4"/>
      <c r="AM1009" s="4"/>
      <c r="AN1009" s="4"/>
      <c r="AO1009" s="4"/>
      <c r="AP1009" s="4"/>
      <c r="AQ1009" s="4"/>
      <c r="AR1009" s="4"/>
      <c r="AS1009" s="4"/>
      <c r="AT1009" s="4"/>
      <c r="AU1009" s="4"/>
      <c r="AV1009" s="4"/>
      <c r="AW1009" s="4"/>
      <c r="AX1009" s="4"/>
      <c r="AY1009" s="4"/>
      <c r="AZ1009" s="4"/>
      <c r="BA1009" s="4"/>
      <c r="BB1009" s="4"/>
      <c r="BC1009" s="4"/>
      <c r="BD1009" s="5"/>
      <c r="BE1009" s="4"/>
      <c r="BF1009" s="4"/>
      <c r="BG1009" s="4"/>
      <c r="BH1009" s="4"/>
      <c r="BI1009" s="4"/>
      <c r="BJ1009" s="4"/>
      <c r="BK1009" s="4"/>
      <c r="BL1009" s="4"/>
      <c r="BM1009" s="4"/>
      <c r="BN1009" s="4"/>
      <c r="BO1009" s="4"/>
      <c r="BP1009" s="4"/>
      <c r="BQ1009" s="4"/>
      <c r="BR1009" s="4"/>
      <c r="BS1009" s="4"/>
    </row>
    <row r="1010" spans="1:71">
      <c r="A1010" s="3"/>
      <c r="B1010" s="3"/>
      <c r="C1010" s="3"/>
      <c r="D1010" s="3"/>
      <c r="E1010" s="3"/>
      <c r="F1010" s="3"/>
      <c r="G1010" s="3"/>
      <c r="H1010" s="3"/>
      <c r="I1010" s="3"/>
      <c r="J1010" s="3"/>
      <c r="K1010" s="3"/>
      <c r="L1010" s="3"/>
      <c r="M1010" s="3"/>
      <c r="N1010" s="3"/>
      <c r="O1010" s="3"/>
      <c r="P1010" s="3"/>
      <c r="Q1010" s="3"/>
      <c r="R1010" s="3"/>
      <c r="S1010" s="3"/>
      <c r="T1010" s="3"/>
      <c r="U1010" s="3"/>
      <c r="V1010" s="3"/>
      <c r="W1010" s="3"/>
      <c r="X1010" s="3"/>
      <c r="Y1010" s="3"/>
      <c r="Z1010" s="3"/>
      <c r="AA1010" s="3"/>
      <c r="AB1010" s="3"/>
      <c r="AC1010" s="3"/>
      <c r="AD1010" s="3"/>
      <c r="AE1010" s="3"/>
      <c r="AF1010" s="3"/>
      <c r="AG1010" s="3"/>
      <c r="AH1010" s="4"/>
      <c r="AI1010" s="4"/>
      <c r="AJ1010" s="4"/>
      <c r="AK1010" s="4"/>
      <c r="AL1010" s="4"/>
      <c r="AM1010" s="4"/>
      <c r="AN1010" s="4"/>
      <c r="AO1010" s="4"/>
      <c r="AP1010" s="4"/>
      <c r="AQ1010" s="4"/>
      <c r="AR1010" s="4"/>
      <c r="AS1010" s="4"/>
      <c r="AT1010" s="4"/>
      <c r="AU1010" s="4"/>
      <c r="AV1010" s="4"/>
      <c r="AW1010" s="4"/>
      <c r="AX1010" s="4"/>
      <c r="AY1010" s="4"/>
      <c r="AZ1010" s="4"/>
      <c r="BA1010" s="4"/>
      <c r="BB1010" s="4"/>
      <c r="BC1010" s="4"/>
      <c r="BD1010" s="5"/>
      <c r="BE1010" s="4"/>
      <c r="BF1010" s="4"/>
      <c r="BG1010" s="4"/>
      <c r="BH1010" s="4"/>
      <c r="BI1010" s="4"/>
      <c r="BJ1010" s="4"/>
      <c r="BK1010" s="4"/>
      <c r="BL1010" s="4"/>
      <c r="BM1010" s="4"/>
      <c r="BN1010" s="4"/>
      <c r="BO1010" s="4"/>
      <c r="BP1010" s="4"/>
      <c r="BQ1010" s="4"/>
      <c r="BR1010" s="4"/>
      <c r="BS1010" s="4"/>
    </row>
  </sheetData>
  <mergeCells count="43">
    <mergeCell ref="D1:AA1"/>
    <mergeCell ref="G4:H4"/>
    <mergeCell ref="I4:J4"/>
    <mergeCell ref="K4:K5"/>
    <mergeCell ref="M4:M5"/>
    <mergeCell ref="N4:N5"/>
    <mergeCell ref="O4:O5"/>
    <mergeCell ref="R4:R5"/>
    <mergeCell ref="T4:T5"/>
    <mergeCell ref="V4:AF4"/>
    <mergeCell ref="L4:L5"/>
    <mergeCell ref="BE4:BE5"/>
    <mergeCell ref="BF4:BG4"/>
    <mergeCell ref="BH4:BI4"/>
    <mergeCell ref="AR4:AS4"/>
    <mergeCell ref="AU4:AU5"/>
    <mergeCell ref="AV4:AV5"/>
    <mergeCell ref="AW4:AW5"/>
    <mergeCell ref="AX4:AY4"/>
    <mergeCell ref="AZ4:BA4"/>
    <mergeCell ref="BC4:BC5"/>
    <mergeCell ref="BD4:BD5"/>
    <mergeCell ref="G83:H83"/>
    <mergeCell ref="I83:J83"/>
    <mergeCell ref="E95:G95"/>
    <mergeCell ref="B118:D118"/>
    <mergeCell ref="B127:D127"/>
    <mergeCell ref="G84:H84"/>
    <mergeCell ref="I84:J84"/>
    <mergeCell ref="D92:U92"/>
    <mergeCell ref="D83:D84"/>
    <mergeCell ref="E83:E84"/>
    <mergeCell ref="F83:F84"/>
    <mergeCell ref="W92:AG92"/>
    <mergeCell ref="AI92:AP92"/>
    <mergeCell ref="P4:P5"/>
    <mergeCell ref="Q4:Q5"/>
    <mergeCell ref="X33:X35"/>
    <mergeCell ref="X38:X42"/>
    <mergeCell ref="AM4:AM5"/>
    <mergeCell ref="AN4:AN5"/>
    <mergeCell ref="AO4:AO5"/>
    <mergeCell ref="AP4:AQ4"/>
  </mergeCells>
  <conditionalFormatting sqref="B58:O58">
    <cfRule type="notContainsBlanks" dxfId="3" priority="1">
      <formula>LEN(TRIM(B58))&gt;0</formula>
    </cfRule>
  </conditionalFormatting>
  <hyperlinks>
    <hyperlink ref="M6" r:id="rId1" xr:uid="{00000000-0004-0000-0000-000000000000}"/>
    <hyperlink ref="N6" r:id="rId2" xr:uid="{00000000-0004-0000-0000-000001000000}"/>
    <hyperlink ref="M7" r:id="rId3" xr:uid="{00000000-0004-0000-0000-000002000000}"/>
    <hyperlink ref="N7" r:id="rId4" xr:uid="{00000000-0004-0000-0000-000003000000}"/>
    <hyperlink ref="M8" r:id="rId5" xr:uid="{00000000-0004-0000-0000-000004000000}"/>
    <hyperlink ref="N8" r:id="rId6" xr:uid="{00000000-0004-0000-0000-000005000000}"/>
    <hyperlink ref="M9" r:id="rId7" xr:uid="{00000000-0004-0000-0000-000006000000}"/>
    <hyperlink ref="N9" r:id="rId8" xr:uid="{00000000-0004-0000-0000-000007000000}"/>
    <hyperlink ref="M10" r:id="rId9" xr:uid="{00000000-0004-0000-0000-000008000000}"/>
    <hyperlink ref="N10" r:id="rId10" xr:uid="{00000000-0004-0000-0000-000009000000}"/>
    <hyperlink ref="M11" r:id="rId11" xr:uid="{00000000-0004-0000-0000-00000A000000}"/>
    <hyperlink ref="N11" r:id="rId12" xr:uid="{00000000-0004-0000-0000-00000B000000}"/>
    <hyperlink ref="N12" r:id="rId13" xr:uid="{00000000-0004-0000-0000-00000C000000}"/>
    <hyperlink ref="M13" r:id="rId14" xr:uid="{00000000-0004-0000-0000-00000D000000}"/>
    <hyperlink ref="N13" r:id="rId15" xr:uid="{00000000-0004-0000-0000-00000E000000}"/>
    <hyperlink ref="M14" r:id="rId16" xr:uid="{00000000-0004-0000-0000-00000F000000}"/>
    <hyperlink ref="N14" r:id="rId17" xr:uid="{00000000-0004-0000-0000-000010000000}"/>
    <hyperlink ref="M15" r:id="rId18" xr:uid="{00000000-0004-0000-0000-000011000000}"/>
    <hyperlink ref="N15" r:id="rId19" xr:uid="{00000000-0004-0000-0000-000012000000}"/>
    <hyperlink ref="M16" r:id="rId20" xr:uid="{00000000-0004-0000-0000-000013000000}"/>
    <hyperlink ref="N16" r:id="rId21" xr:uid="{00000000-0004-0000-0000-000014000000}"/>
    <hyperlink ref="M17" r:id="rId22" xr:uid="{00000000-0004-0000-0000-000015000000}"/>
    <hyperlink ref="N17" r:id="rId23" xr:uid="{00000000-0004-0000-0000-000016000000}"/>
    <hyperlink ref="M18" r:id="rId24" xr:uid="{00000000-0004-0000-0000-000017000000}"/>
    <hyperlink ref="N18" r:id="rId25" xr:uid="{00000000-0004-0000-0000-000018000000}"/>
    <hyperlink ref="M19" r:id="rId26" xr:uid="{00000000-0004-0000-0000-000019000000}"/>
    <hyperlink ref="N19" r:id="rId27" xr:uid="{00000000-0004-0000-0000-00001A000000}"/>
    <hyperlink ref="M20" r:id="rId28" xr:uid="{00000000-0004-0000-0000-00001B000000}"/>
    <hyperlink ref="N20" r:id="rId29" xr:uid="{00000000-0004-0000-0000-00001C000000}"/>
    <hyperlink ref="M21" r:id="rId30" xr:uid="{00000000-0004-0000-0000-00001D000000}"/>
    <hyperlink ref="N21" r:id="rId31" xr:uid="{00000000-0004-0000-0000-00001E000000}"/>
    <hyperlink ref="M22" r:id="rId32" xr:uid="{00000000-0004-0000-0000-00001F000000}"/>
    <hyperlink ref="N22" r:id="rId33" xr:uid="{00000000-0004-0000-0000-000020000000}"/>
    <hyperlink ref="M23" r:id="rId34" xr:uid="{00000000-0004-0000-0000-000021000000}"/>
    <hyperlink ref="N23" r:id="rId35" xr:uid="{00000000-0004-0000-0000-000022000000}"/>
    <hyperlink ref="O23" r:id="rId36" xr:uid="{00000000-0004-0000-0000-000023000000}"/>
    <hyperlink ref="M24" r:id="rId37" xr:uid="{00000000-0004-0000-0000-000024000000}"/>
    <hyperlink ref="N24" r:id="rId38" xr:uid="{00000000-0004-0000-0000-000025000000}"/>
    <hyperlink ref="O24" r:id="rId39" xr:uid="{00000000-0004-0000-0000-000026000000}"/>
    <hyperlink ref="M25" r:id="rId40" xr:uid="{00000000-0004-0000-0000-000027000000}"/>
    <hyperlink ref="N25" r:id="rId41" xr:uid="{00000000-0004-0000-0000-000028000000}"/>
    <hyperlink ref="M26" r:id="rId42" xr:uid="{00000000-0004-0000-0000-000029000000}"/>
    <hyperlink ref="N26" r:id="rId43" xr:uid="{00000000-0004-0000-0000-00002A000000}"/>
    <hyperlink ref="M27" r:id="rId44" xr:uid="{00000000-0004-0000-0000-00002B000000}"/>
    <hyperlink ref="N27" r:id="rId45" xr:uid="{00000000-0004-0000-0000-00002C000000}"/>
    <hyperlink ref="M28" r:id="rId46" xr:uid="{00000000-0004-0000-0000-00002D000000}"/>
    <hyperlink ref="N28" r:id="rId47" xr:uid="{00000000-0004-0000-0000-00002E000000}"/>
    <hyperlink ref="M29" r:id="rId48" xr:uid="{00000000-0004-0000-0000-00002F000000}"/>
    <hyperlink ref="N29" r:id="rId49" xr:uid="{00000000-0004-0000-0000-000030000000}"/>
    <hyperlink ref="M30" r:id="rId50" xr:uid="{00000000-0004-0000-0000-000031000000}"/>
    <hyperlink ref="N30" r:id="rId51" xr:uid="{00000000-0004-0000-0000-000032000000}"/>
    <hyperlink ref="M31" r:id="rId52" xr:uid="{00000000-0004-0000-0000-000033000000}"/>
    <hyperlink ref="N31" r:id="rId53" xr:uid="{00000000-0004-0000-0000-000034000000}"/>
    <hyperlink ref="M32" r:id="rId54" xr:uid="{00000000-0004-0000-0000-000035000000}"/>
    <hyperlink ref="N32" r:id="rId55" xr:uid="{00000000-0004-0000-0000-000036000000}"/>
    <hyperlink ref="M33" r:id="rId56" xr:uid="{00000000-0004-0000-0000-000037000000}"/>
    <hyperlink ref="N33" r:id="rId57" xr:uid="{00000000-0004-0000-0000-000038000000}"/>
    <hyperlink ref="M34" r:id="rId58" xr:uid="{00000000-0004-0000-0000-000039000000}"/>
    <hyperlink ref="N34" r:id="rId59" xr:uid="{00000000-0004-0000-0000-00003A000000}"/>
    <hyperlink ref="M35" r:id="rId60" xr:uid="{00000000-0004-0000-0000-00003B000000}"/>
    <hyperlink ref="N35" r:id="rId61" xr:uid="{00000000-0004-0000-0000-00003C000000}"/>
    <hyperlink ref="M36" r:id="rId62" xr:uid="{00000000-0004-0000-0000-00003D000000}"/>
    <hyperlink ref="N36" r:id="rId63" xr:uid="{00000000-0004-0000-0000-00003E000000}"/>
    <hyperlink ref="M37" r:id="rId64" xr:uid="{00000000-0004-0000-0000-00003F000000}"/>
    <hyperlink ref="N37" r:id="rId65" xr:uid="{00000000-0004-0000-0000-000040000000}"/>
    <hyperlink ref="M38" r:id="rId66" xr:uid="{00000000-0004-0000-0000-000041000000}"/>
    <hyperlink ref="N38" r:id="rId67" xr:uid="{00000000-0004-0000-0000-000042000000}"/>
    <hyperlink ref="M39" r:id="rId68" xr:uid="{00000000-0004-0000-0000-000043000000}"/>
    <hyperlink ref="N39" r:id="rId69" xr:uid="{00000000-0004-0000-0000-000044000000}"/>
    <hyperlink ref="M40" r:id="rId70" xr:uid="{00000000-0004-0000-0000-000045000000}"/>
    <hyperlink ref="N40" r:id="rId71" xr:uid="{00000000-0004-0000-0000-000046000000}"/>
    <hyperlink ref="M41" r:id="rId72" xr:uid="{00000000-0004-0000-0000-000047000000}"/>
    <hyperlink ref="N41" r:id="rId73" xr:uid="{00000000-0004-0000-0000-000048000000}"/>
    <hyperlink ref="M42" r:id="rId74" xr:uid="{00000000-0004-0000-0000-000049000000}"/>
    <hyperlink ref="N42" r:id="rId75" xr:uid="{00000000-0004-0000-0000-00004A000000}"/>
    <hyperlink ref="M43" r:id="rId76" xr:uid="{00000000-0004-0000-0000-00004B000000}"/>
    <hyperlink ref="N43" r:id="rId77" xr:uid="{00000000-0004-0000-0000-00004C000000}"/>
    <hyperlink ref="M44" r:id="rId78" xr:uid="{00000000-0004-0000-0000-00004D000000}"/>
    <hyperlink ref="N44" r:id="rId79" xr:uid="{00000000-0004-0000-0000-00004E000000}"/>
    <hyperlink ref="M45" r:id="rId80" xr:uid="{00000000-0004-0000-0000-00004F000000}"/>
    <hyperlink ref="N45" r:id="rId81" xr:uid="{00000000-0004-0000-0000-000050000000}"/>
    <hyperlink ref="M46" r:id="rId82" xr:uid="{00000000-0004-0000-0000-000051000000}"/>
    <hyperlink ref="N46" r:id="rId83" xr:uid="{00000000-0004-0000-0000-000052000000}"/>
    <hyperlink ref="N47" r:id="rId84" xr:uid="{00000000-0004-0000-0000-000053000000}"/>
    <hyperlink ref="N48" r:id="rId85" xr:uid="{00000000-0004-0000-0000-000054000000}"/>
    <hyperlink ref="N49" r:id="rId86" xr:uid="{00000000-0004-0000-0000-000055000000}"/>
    <hyperlink ref="N50" r:id="rId87" xr:uid="{00000000-0004-0000-0000-000056000000}"/>
    <hyperlink ref="M51" r:id="rId88" xr:uid="{00000000-0004-0000-0000-000057000000}"/>
    <hyperlink ref="N51" r:id="rId89" xr:uid="{00000000-0004-0000-0000-000058000000}"/>
    <hyperlink ref="M52" r:id="rId90" xr:uid="{00000000-0004-0000-0000-000059000000}"/>
    <hyperlink ref="N52" r:id="rId91" xr:uid="{00000000-0004-0000-0000-00005A000000}"/>
    <hyperlink ref="M53" r:id="rId92" xr:uid="{00000000-0004-0000-0000-00005B000000}"/>
    <hyperlink ref="N53" r:id="rId93" xr:uid="{00000000-0004-0000-0000-00005C000000}"/>
    <hyperlink ref="M54" r:id="rId94" xr:uid="{00000000-0004-0000-0000-00005D000000}"/>
    <hyperlink ref="N54" r:id="rId95" xr:uid="{00000000-0004-0000-0000-00005E000000}"/>
    <hyperlink ref="M55" r:id="rId96" xr:uid="{00000000-0004-0000-0000-00005F000000}"/>
    <hyperlink ref="N55" r:id="rId97" xr:uid="{00000000-0004-0000-0000-000060000000}"/>
    <hyperlink ref="M56" r:id="rId98" xr:uid="{00000000-0004-0000-0000-000061000000}"/>
    <hyperlink ref="N56" r:id="rId99" xr:uid="{00000000-0004-0000-0000-000062000000}"/>
    <hyperlink ref="M57" r:id="rId100" xr:uid="{00000000-0004-0000-0000-000063000000}"/>
    <hyperlink ref="N57" r:id="rId101" xr:uid="{00000000-0004-0000-0000-000064000000}"/>
    <hyperlink ref="M58" r:id="rId102" xr:uid="{00000000-0004-0000-0000-000065000000}"/>
    <hyperlink ref="N58" r:id="rId103" xr:uid="{00000000-0004-0000-0000-000066000000}"/>
    <hyperlink ref="M59" r:id="rId104" xr:uid="{00000000-0004-0000-0000-000067000000}"/>
    <hyperlink ref="N59" r:id="rId105" xr:uid="{00000000-0004-0000-0000-000068000000}"/>
    <hyperlink ref="M60" r:id="rId106" xr:uid="{00000000-0004-0000-0000-000069000000}"/>
    <hyperlink ref="N60" r:id="rId107" xr:uid="{00000000-0004-0000-0000-00006A000000}"/>
    <hyperlink ref="M61" r:id="rId108" xr:uid="{00000000-0004-0000-0000-00006B000000}"/>
    <hyperlink ref="N61" r:id="rId109" xr:uid="{00000000-0004-0000-0000-00006C000000}"/>
    <hyperlink ref="M62" r:id="rId110" xr:uid="{00000000-0004-0000-0000-00006D000000}"/>
    <hyperlink ref="N62" r:id="rId111" xr:uid="{00000000-0004-0000-0000-00006E000000}"/>
    <hyperlink ref="M63" r:id="rId112" xr:uid="{00000000-0004-0000-0000-00006F000000}"/>
    <hyperlink ref="N63" r:id="rId113" xr:uid="{00000000-0004-0000-0000-000070000000}"/>
    <hyperlink ref="M64" r:id="rId114" xr:uid="{00000000-0004-0000-0000-000071000000}"/>
    <hyperlink ref="N64" r:id="rId115" xr:uid="{00000000-0004-0000-0000-000072000000}"/>
    <hyperlink ref="M65" r:id="rId116" xr:uid="{00000000-0004-0000-0000-000073000000}"/>
    <hyperlink ref="N65" r:id="rId117" xr:uid="{00000000-0004-0000-0000-000074000000}"/>
    <hyperlink ref="M66" r:id="rId118" xr:uid="{00000000-0004-0000-0000-000075000000}"/>
    <hyperlink ref="N66" r:id="rId119" xr:uid="{00000000-0004-0000-0000-000076000000}"/>
    <hyperlink ref="M67" r:id="rId120" xr:uid="{00000000-0004-0000-0000-000077000000}"/>
    <hyperlink ref="N67" r:id="rId121" xr:uid="{00000000-0004-0000-0000-000078000000}"/>
    <hyperlink ref="M68" r:id="rId122" xr:uid="{00000000-0004-0000-0000-000079000000}"/>
    <hyperlink ref="N68" r:id="rId123" xr:uid="{00000000-0004-0000-0000-00007A000000}"/>
    <hyperlink ref="M69" r:id="rId124" xr:uid="{00000000-0004-0000-0000-00007B000000}"/>
    <hyperlink ref="N69" r:id="rId125" xr:uid="{00000000-0004-0000-0000-00007C000000}"/>
    <hyperlink ref="M70" r:id="rId126" xr:uid="{00000000-0004-0000-0000-00007D000000}"/>
    <hyperlink ref="N70" r:id="rId127" xr:uid="{00000000-0004-0000-0000-00007E000000}"/>
    <hyperlink ref="M71" r:id="rId128" xr:uid="{00000000-0004-0000-0000-00007F000000}"/>
    <hyperlink ref="N71" r:id="rId129" xr:uid="{00000000-0004-0000-0000-000080000000}"/>
    <hyperlink ref="M72" r:id="rId130" xr:uid="{00000000-0004-0000-0000-000081000000}"/>
    <hyperlink ref="N72" r:id="rId131" xr:uid="{00000000-0004-0000-0000-000082000000}"/>
    <hyperlink ref="M73" r:id="rId132" xr:uid="{00000000-0004-0000-0000-000083000000}"/>
    <hyperlink ref="N73" r:id="rId133" xr:uid="{00000000-0004-0000-0000-000084000000}"/>
    <hyperlink ref="M74" r:id="rId134" xr:uid="{00000000-0004-0000-0000-000085000000}"/>
    <hyperlink ref="N74" r:id="rId135" xr:uid="{00000000-0004-0000-0000-000086000000}"/>
    <hyperlink ref="M75" r:id="rId136" xr:uid="{00000000-0004-0000-0000-000087000000}"/>
    <hyperlink ref="N75" r:id="rId137" xr:uid="{00000000-0004-0000-0000-000088000000}"/>
    <hyperlink ref="M76" r:id="rId138" xr:uid="{00000000-0004-0000-0000-000089000000}"/>
    <hyperlink ref="N76" r:id="rId139" xr:uid="{00000000-0004-0000-0000-00008A000000}"/>
    <hyperlink ref="M77" r:id="rId140" xr:uid="{00000000-0004-0000-0000-00008B000000}"/>
    <hyperlink ref="M78" r:id="rId141" xr:uid="{00000000-0004-0000-0000-00008C000000}"/>
    <hyperlink ref="N78" r:id="rId142" xr:uid="{00000000-0004-0000-0000-00008D000000}"/>
    <hyperlink ref="M81" r:id="rId143" xr:uid="{00000000-0004-0000-0000-00008E000000}"/>
    <hyperlink ref="N81" r:id="rId144" xr:uid="{00000000-0004-0000-0000-00008F000000}"/>
    <hyperlink ref="M82" r:id="rId145" display="https://bankbnitbk.sharepoint.com/sites/TEST212/Shared%20Documents/Forms/AllItems.aspx?id=%2Fsites%2FTEST212%2FShared%20Documents%2FGeneral%2FScripting%20Report%2FDigisales%20New%202026&amp;viewid=5f45ee7e%2D4c73%2D41ad%2Dab32%2Dcf02db1420df&amp;csf=1&amp;CID=8c8ced04%2D801f%2D433a%2Da151%2Da1ae2c72e4a6&amp;FolderCTID=0x01200013C42440C0BE0446A84C2940AA0E2843" xr:uid="{530B7786-B539-4362-86F4-EEAD08385310}"/>
    <hyperlink ref="O82" r:id="rId146" display="https://bankbnitbk.sharepoint.com/:x:/r/sites/COETeam/_layouts/15/doc2.aspx?sourcedoc=%7Bd174dcaa-5001-4c31-acf0-3b3d63f86bcf%7D&amp;action=edit&amp;wdinitialsession=3f27e13e-2ca5-3928-dbd5-a5c05144c407&amp;wdrldsc=3&amp;wdrldc=1&amp;wdrldr=RefreshingExpiredAccessToken&amp;wdenableroaming=1&amp;wdlcid=en-US&amp;wdorigin=Other&amp;wdredirectionreason=Force_SingleStepBoot" xr:uid="{E4834C87-F438-4C86-9303-53EC6A151109}"/>
    <hyperlink ref="N79" r:id="rId147" xr:uid="{D2485118-5F48-4D1E-BBFA-E644A86BF73D}"/>
    <hyperlink ref="N80" r:id="rId148" xr:uid="{BF930190-FBB6-4A96-8145-B50030DFE9CA}"/>
    <hyperlink ref="M79" r:id="rId149" display="https://bankbnitbk.sharepoint.com/sites/TEST212/Shared%20Documents/Forms/AllItems.aspx?csf=1&amp;web=1&amp;e=aydZGo&amp;CID=fffa208b%2D4f53%2D44d4%2Da03b%2D4372838d0eab&amp;FolderCTID=0x01200013C42440C0BE0446A84C2940AA0E2843&amp;id=%2Fsites%2FTEST212%2FShared%20Documents%2FGeneral%2FScripting%20Report%2FWeb%20Digisales%2FDigisales%20MVP%208b%20Phase%201" xr:uid="{48DD5DA5-F617-4C9A-B364-B2FFB7B258DC}"/>
    <hyperlink ref="M80" r:id="rId150" display="https://bankbnitbk.sharepoint.com/sites/TEST212/Shared%20Documents/Forms/AllItems.aspx?csf=1&amp;web=1&amp;e=aydZGo&amp;CID=fffa208b%2D4f53%2D44d4%2Da03b%2D4372838d0eab&amp;FolderCTID=0x01200013C42440C0BE0446A84C2940AA0E2843&amp;id=%2Fsites%2FTEST212%2FShared%20Documents%2FGeneral%2FScripting%20Report%2FWeb%20Digisales%2FDigisales%20MVP%208b%20Phase%201" xr:uid="{D62F81E2-60E0-4DD9-A0E9-05C4C5607C19}"/>
  </hyperlinks>
  <pageMargins left="0" right="0" top="0" bottom="0" header="0" footer="0"/>
  <drawing r:id="rId151"/>
  <tableParts count="1">
    <tablePart r:id="rId15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282317-C57D-4FD1-B670-DD3175536557}">
  <sheetPr>
    <outlinePr summaryBelow="0" summaryRight="0"/>
  </sheetPr>
  <dimension ref="A1:Q820"/>
  <sheetViews>
    <sheetView showGridLines="0" workbookViewId="0">
      <pane ySplit="1" topLeftCell="A2" activePane="bottomLeft" state="frozen"/>
      <selection pane="bottomLeft" activeCell="L16" sqref="L16"/>
    </sheetView>
  </sheetViews>
  <sheetFormatPr defaultColWidth="12.5703125" defaultRowHeight="15.75" customHeight="1"/>
  <cols>
    <col min="1" max="1" width="5.42578125" customWidth="1"/>
    <col min="2" max="2" width="6.42578125" customWidth="1"/>
    <col min="3" max="3" width="15.28515625" customWidth="1"/>
    <col min="4" max="4" width="31.140625" customWidth="1"/>
    <col min="5" max="5" width="20.5703125" customWidth="1"/>
    <col min="6" max="13" width="9.42578125" customWidth="1"/>
    <col min="14" max="14" width="11.7109375" customWidth="1"/>
    <col min="15" max="15" width="9.42578125" customWidth="1"/>
    <col min="16" max="16" width="10.5703125" customWidth="1"/>
    <col min="17" max="17" width="10.28515625" customWidth="1"/>
  </cols>
  <sheetData>
    <row r="1" spans="1:17" ht="12.75">
      <c r="A1" s="4"/>
      <c r="B1" s="662" t="str">
        <f ca="1">"Last Update "&amp;TEXT(NOW(),"DD MMMM YYYY HH:MM")&amp;" WIB"</f>
        <v>Last Update 28 July 2026 16:18 WIB</v>
      </c>
      <c r="C1" s="769"/>
      <c r="D1" s="769"/>
      <c r="E1" s="769"/>
      <c r="F1" s="769"/>
      <c r="G1" s="769"/>
      <c r="H1" s="4"/>
      <c r="I1" s="4"/>
      <c r="J1" s="4"/>
      <c r="K1" s="4"/>
      <c r="L1" s="4"/>
      <c r="M1" s="4"/>
      <c r="N1" s="4"/>
      <c r="O1" s="4"/>
      <c r="P1" s="4"/>
      <c r="Q1" s="4"/>
    </row>
    <row r="2" spans="1:17" ht="12.75">
      <c r="A2" s="4"/>
      <c r="B2" s="3"/>
      <c r="C2" s="3"/>
      <c r="D2" s="4"/>
      <c r="E2" s="4"/>
      <c r="F2" s="4"/>
      <c r="G2" s="4"/>
      <c r="H2" s="4"/>
      <c r="I2" s="4"/>
      <c r="J2" s="4"/>
      <c r="K2" s="4"/>
      <c r="L2" s="4"/>
      <c r="M2" s="4"/>
      <c r="N2" s="4"/>
      <c r="O2" s="4"/>
      <c r="P2" s="4"/>
      <c r="Q2" s="4"/>
    </row>
    <row r="3" spans="1:17" ht="12.75">
      <c r="A3" s="4"/>
      <c r="B3" s="667" t="s">
        <v>461</v>
      </c>
      <c r="C3" s="775"/>
      <c r="D3" s="775"/>
      <c r="E3" s="775"/>
      <c r="F3" s="775"/>
      <c r="G3" s="775"/>
      <c r="H3" s="775"/>
      <c r="I3" s="775"/>
      <c r="J3" s="775"/>
      <c r="K3" s="775"/>
      <c r="L3" s="775"/>
      <c r="M3" s="775"/>
      <c r="N3" s="775"/>
      <c r="O3" s="775"/>
      <c r="P3" s="775"/>
      <c r="Q3" s="775"/>
    </row>
    <row r="4" spans="1:17" ht="12.75">
      <c r="A4" s="4"/>
      <c r="B4" s="102" t="s">
        <v>462</v>
      </c>
      <c r="C4" s="102" t="s">
        <v>463</v>
      </c>
      <c r="D4" s="103" t="s">
        <v>464</v>
      </c>
      <c r="E4" s="103" t="s">
        <v>465</v>
      </c>
      <c r="F4" s="103" t="s">
        <v>466</v>
      </c>
      <c r="G4" s="104" t="s">
        <v>467</v>
      </c>
      <c r="H4" s="102" t="s">
        <v>468</v>
      </c>
      <c r="I4" s="102" t="s">
        <v>59</v>
      </c>
      <c r="J4" s="102" t="s">
        <v>376</v>
      </c>
      <c r="K4" s="102" t="s">
        <v>469</v>
      </c>
      <c r="L4" s="102" t="s">
        <v>470</v>
      </c>
      <c r="M4" s="102" t="s">
        <v>471</v>
      </c>
      <c r="N4" s="102" t="s">
        <v>472</v>
      </c>
      <c r="O4" s="102" t="s">
        <v>473</v>
      </c>
      <c r="P4" s="102" t="s">
        <v>474</v>
      </c>
      <c r="Q4" s="102" t="s">
        <v>475</v>
      </c>
    </row>
    <row r="5" spans="1:17" ht="12.75">
      <c r="A5" s="4"/>
      <c r="B5" s="18">
        <v>1</v>
      </c>
      <c r="C5" s="18" t="s">
        <v>476</v>
      </c>
      <c r="D5" s="22" t="s">
        <v>477</v>
      </c>
      <c r="E5" s="25"/>
      <c r="F5" s="23"/>
      <c r="G5" s="23"/>
      <c r="H5" s="23"/>
      <c r="I5" s="23"/>
      <c r="J5" s="23"/>
      <c r="K5" s="23"/>
      <c r="L5" s="23"/>
      <c r="M5" s="23"/>
      <c r="N5" s="23"/>
      <c r="O5" s="23"/>
      <c r="P5" s="23"/>
      <c r="Q5" s="23"/>
    </row>
    <row r="6" spans="1:17" ht="12.75" customHeight="1">
      <c r="A6" s="4"/>
      <c r="B6" s="105">
        <v>2</v>
      </c>
      <c r="C6" s="105" t="s">
        <v>478</v>
      </c>
      <c r="D6" s="66" t="s">
        <v>479</v>
      </c>
      <c r="E6" s="106"/>
      <c r="F6" s="107"/>
      <c r="G6" s="23"/>
      <c r="H6" s="23"/>
      <c r="I6" s="23"/>
      <c r="J6" s="23"/>
      <c r="K6" s="23"/>
      <c r="L6" s="23"/>
      <c r="M6" s="23"/>
      <c r="N6" s="23"/>
      <c r="O6" s="23"/>
      <c r="P6" s="23"/>
      <c r="Q6" s="23"/>
    </row>
    <row r="7" spans="1:17" ht="12.75" customHeight="1">
      <c r="A7" s="4"/>
      <c r="B7" s="105">
        <v>3</v>
      </c>
      <c r="C7" s="105" t="s">
        <v>480</v>
      </c>
      <c r="D7" s="66" t="s">
        <v>481</v>
      </c>
      <c r="E7" s="25"/>
      <c r="F7" s="23"/>
      <c r="G7" s="23"/>
      <c r="H7" s="23"/>
      <c r="I7" s="23"/>
      <c r="J7" s="23"/>
      <c r="K7" s="23"/>
      <c r="L7" s="23"/>
      <c r="M7" s="23"/>
      <c r="N7" s="23"/>
      <c r="O7" s="23"/>
      <c r="P7" s="23"/>
      <c r="Q7" s="23"/>
    </row>
    <row r="8" spans="1:17" ht="12.75" customHeight="1">
      <c r="A8" s="4"/>
      <c r="B8" s="105">
        <v>4</v>
      </c>
      <c r="C8" s="105" t="s">
        <v>482</v>
      </c>
      <c r="D8" s="66" t="s">
        <v>483</v>
      </c>
      <c r="E8" s="25"/>
      <c r="F8" s="23"/>
      <c r="G8" s="23"/>
      <c r="H8" s="23"/>
      <c r="I8" s="23"/>
      <c r="J8" s="23"/>
      <c r="K8" s="23"/>
      <c r="L8" s="23"/>
      <c r="M8" s="23"/>
      <c r="N8" s="23"/>
      <c r="O8" s="23"/>
      <c r="P8" s="23"/>
      <c r="Q8" s="23"/>
    </row>
    <row r="9" spans="1:17" ht="12.75">
      <c r="A9" s="4"/>
      <c r="B9" s="18">
        <v>5</v>
      </c>
      <c r="C9" s="18">
        <v>821905</v>
      </c>
      <c r="D9" s="22" t="s">
        <v>484</v>
      </c>
      <c r="E9" s="477"/>
      <c r="F9" s="23"/>
      <c r="G9" s="23"/>
      <c r="H9" s="23"/>
      <c r="I9" s="23"/>
      <c r="J9" s="23"/>
      <c r="K9" s="23"/>
      <c r="L9" s="23"/>
      <c r="M9" s="23"/>
      <c r="N9" s="23"/>
      <c r="O9" s="23"/>
      <c r="P9" s="23"/>
      <c r="Q9" s="23"/>
    </row>
    <row r="10" spans="1:17" ht="12.75">
      <c r="A10" s="4"/>
      <c r="B10" s="18">
        <v>6</v>
      </c>
      <c r="C10" s="18">
        <v>900654</v>
      </c>
      <c r="D10" s="22" t="s">
        <v>485</v>
      </c>
      <c r="E10" s="477"/>
      <c r="F10" s="23"/>
      <c r="G10" s="23"/>
      <c r="H10" s="23"/>
      <c r="I10" s="23"/>
      <c r="J10" s="23"/>
      <c r="K10" s="23"/>
      <c r="L10" s="23"/>
      <c r="M10" s="23"/>
      <c r="N10" s="23"/>
      <c r="O10" s="23"/>
      <c r="P10" s="23"/>
      <c r="Q10" s="23"/>
    </row>
    <row r="11" spans="1:17" ht="12.75">
      <c r="A11" s="4"/>
      <c r="B11" s="18">
        <v>7</v>
      </c>
      <c r="C11" s="18">
        <v>900800</v>
      </c>
      <c r="D11" s="479" t="s">
        <v>486</v>
      </c>
      <c r="E11" s="477"/>
      <c r="F11" s="23"/>
      <c r="G11" s="23"/>
      <c r="H11" s="23"/>
      <c r="I11" s="23"/>
      <c r="J11" s="23"/>
      <c r="K11" s="23"/>
      <c r="L11" s="23"/>
      <c r="M11" s="23"/>
      <c r="N11" s="23"/>
      <c r="O11" s="23"/>
      <c r="P11" s="23"/>
      <c r="Q11" s="23"/>
    </row>
    <row r="12" spans="1:17" ht="12.75">
      <c r="A12" s="4"/>
      <c r="B12" s="18">
        <v>8</v>
      </c>
      <c r="C12" s="18">
        <v>901164</v>
      </c>
      <c r="D12" s="478" t="s">
        <v>487</v>
      </c>
      <c r="E12" s="477"/>
      <c r="F12" s="23"/>
      <c r="G12" s="23"/>
      <c r="H12" s="23"/>
      <c r="I12" s="23"/>
      <c r="J12" s="23"/>
      <c r="K12" s="23"/>
      <c r="L12" s="23"/>
      <c r="M12" s="23"/>
      <c r="N12" s="23"/>
      <c r="O12" s="23"/>
      <c r="P12" s="23"/>
      <c r="Q12" s="23"/>
    </row>
    <row r="13" spans="1:17" ht="12.75">
      <c r="A13" s="4"/>
      <c r="B13" s="18">
        <v>9</v>
      </c>
      <c r="C13" s="18">
        <v>901232</v>
      </c>
      <c r="D13" s="478" t="s">
        <v>488</v>
      </c>
      <c r="E13" s="477"/>
      <c r="F13" s="23"/>
      <c r="G13" s="23"/>
      <c r="H13" s="23"/>
      <c r="I13" s="23"/>
      <c r="J13" s="23"/>
      <c r="K13" s="23"/>
      <c r="L13" s="23"/>
      <c r="M13" s="23"/>
      <c r="N13" s="23"/>
      <c r="O13" s="23"/>
      <c r="P13" s="23"/>
      <c r="Q13" s="23"/>
    </row>
    <row r="14" spans="1:17" ht="12.75">
      <c r="A14" s="4"/>
      <c r="B14" s="18">
        <v>10</v>
      </c>
      <c r="C14" s="18">
        <v>901233</v>
      </c>
      <c r="D14" s="478" t="s">
        <v>489</v>
      </c>
      <c r="E14" s="477"/>
      <c r="F14" s="23"/>
      <c r="G14" s="23"/>
      <c r="H14" s="23"/>
      <c r="I14" s="23"/>
      <c r="J14" s="23"/>
      <c r="K14" s="23"/>
      <c r="L14" s="23"/>
      <c r="M14" s="23"/>
      <c r="N14" s="23"/>
      <c r="O14" s="23"/>
      <c r="P14" s="23"/>
      <c r="Q14" s="23"/>
    </row>
    <row r="15" spans="1:17" ht="12.75">
      <c r="A15" s="4"/>
      <c r="B15" s="18">
        <v>11</v>
      </c>
      <c r="C15" s="18">
        <v>901244</v>
      </c>
      <c r="D15" s="478" t="s">
        <v>490</v>
      </c>
      <c r="E15" s="477"/>
      <c r="F15" s="23"/>
      <c r="G15" s="23"/>
      <c r="H15" s="23"/>
      <c r="I15" s="23"/>
      <c r="J15" s="23"/>
      <c r="K15" s="23"/>
      <c r="L15" s="23"/>
      <c r="M15" s="23"/>
      <c r="N15" s="23"/>
      <c r="O15" s="23"/>
      <c r="P15" s="23"/>
      <c r="Q15" s="23"/>
    </row>
    <row r="16" spans="1:17" ht="12.75">
      <c r="A16" s="4"/>
      <c r="B16" s="18">
        <v>12</v>
      </c>
      <c r="C16" s="18">
        <v>901450</v>
      </c>
      <c r="D16" s="478" t="s">
        <v>491</v>
      </c>
      <c r="E16" s="477"/>
      <c r="F16" s="23"/>
      <c r="G16" s="23"/>
      <c r="H16" s="23"/>
      <c r="I16" s="23"/>
      <c r="J16" s="23"/>
      <c r="K16" s="23"/>
      <c r="L16" s="23"/>
      <c r="M16" s="23"/>
      <c r="N16" s="23"/>
      <c r="O16" s="23"/>
      <c r="P16" s="23"/>
      <c r="Q16" s="23"/>
    </row>
    <row r="17" spans="1:17" ht="12.75">
      <c r="A17" s="4"/>
      <c r="B17" s="18">
        <v>13</v>
      </c>
      <c r="C17" s="18">
        <v>901742</v>
      </c>
      <c r="D17" s="478" t="s">
        <v>492</v>
      </c>
      <c r="E17" s="477"/>
      <c r="F17" s="23"/>
      <c r="G17" s="23"/>
      <c r="H17" s="23"/>
      <c r="I17" s="23"/>
      <c r="J17" s="23"/>
      <c r="K17" s="23"/>
      <c r="L17" s="23"/>
      <c r="M17" s="23"/>
      <c r="N17" s="23"/>
      <c r="O17" s="23"/>
      <c r="P17" s="23"/>
      <c r="Q17" s="23"/>
    </row>
    <row r="18" spans="1:17" ht="12.75">
      <c r="A18" s="4"/>
      <c r="B18" s="18">
        <v>14</v>
      </c>
      <c r="C18" s="18">
        <v>901779</v>
      </c>
      <c r="D18" s="478" t="s">
        <v>493</v>
      </c>
      <c r="E18" s="477"/>
      <c r="F18" s="23"/>
      <c r="G18" s="23"/>
      <c r="H18" s="23"/>
      <c r="I18" s="23"/>
      <c r="J18" s="23"/>
      <c r="K18" s="23"/>
      <c r="L18" s="23"/>
      <c r="M18" s="23"/>
      <c r="N18" s="23"/>
      <c r="O18" s="23"/>
      <c r="P18" s="23"/>
      <c r="Q18" s="23"/>
    </row>
    <row r="19" spans="1:17" ht="12.75">
      <c r="A19" s="4"/>
      <c r="B19" s="18">
        <v>15</v>
      </c>
      <c r="C19" s="18">
        <v>901780</v>
      </c>
      <c r="D19" s="478" t="s">
        <v>494</v>
      </c>
      <c r="E19" s="477"/>
      <c r="F19" s="23"/>
      <c r="G19" s="23"/>
      <c r="H19" s="23"/>
      <c r="I19" s="23"/>
      <c r="J19" s="23"/>
      <c r="K19" s="23"/>
      <c r="L19" s="23"/>
      <c r="M19" s="23"/>
      <c r="N19" s="23"/>
      <c r="O19" s="23"/>
      <c r="P19" s="23"/>
      <c r="Q19" s="23"/>
    </row>
    <row r="20" spans="1:17" ht="12.75">
      <c r="A20" s="4"/>
      <c r="B20" s="105">
        <v>16</v>
      </c>
      <c r="C20" s="105">
        <v>901856</v>
      </c>
      <c r="D20" s="480" t="s">
        <v>495</v>
      </c>
      <c r="E20" s="481"/>
      <c r="F20" s="482"/>
      <c r="G20" s="482"/>
      <c r="H20" s="482"/>
      <c r="I20" s="482"/>
      <c r="J20" s="482"/>
      <c r="K20" s="482"/>
      <c r="L20" s="482"/>
      <c r="M20" s="482"/>
      <c r="N20" s="482"/>
      <c r="O20" s="482"/>
      <c r="P20" s="482"/>
      <c r="Q20" s="482"/>
    </row>
    <row r="21" spans="1:17" ht="12.75">
      <c r="A21" s="4"/>
      <c r="B21" s="108">
        <v>17</v>
      </c>
      <c r="C21" s="99">
        <v>901885</v>
      </c>
      <c r="D21" s="479" t="s">
        <v>496</v>
      </c>
      <c r="E21" s="106"/>
      <c r="F21" s="106"/>
      <c r="G21" s="106"/>
      <c r="H21" s="106"/>
      <c r="I21" s="106"/>
      <c r="J21" s="106"/>
      <c r="K21" s="106"/>
      <c r="L21" s="106"/>
      <c r="M21" s="106"/>
      <c r="N21" s="106"/>
      <c r="O21" s="106"/>
      <c r="P21" s="106"/>
      <c r="Q21" s="106"/>
    </row>
    <row r="22" spans="1:17" ht="12.75">
      <c r="A22" s="4"/>
      <c r="B22" s="108">
        <v>18</v>
      </c>
      <c r="C22" s="99">
        <v>901894</v>
      </c>
      <c r="D22" s="479" t="s">
        <v>497</v>
      </c>
      <c r="E22" s="106"/>
      <c r="F22" s="106"/>
      <c r="G22" s="106"/>
      <c r="H22" s="106"/>
      <c r="I22" s="106"/>
      <c r="J22" s="106"/>
      <c r="K22" s="106"/>
      <c r="L22" s="106"/>
      <c r="M22" s="106"/>
      <c r="N22" s="106"/>
      <c r="O22" s="106"/>
      <c r="P22" s="106"/>
      <c r="Q22" s="106"/>
    </row>
    <row r="23" spans="1:17" ht="12.75">
      <c r="A23" s="4"/>
      <c r="B23" s="108">
        <v>19</v>
      </c>
      <c r="C23" s="99">
        <v>901895</v>
      </c>
      <c r="D23" s="479" t="s">
        <v>498</v>
      </c>
      <c r="E23" s="106"/>
      <c r="F23" s="106"/>
      <c r="G23" s="106"/>
      <c r="H23" s="106"/>
      <c r="I23" s="106"/>
      <c r="J23" s="106"/>
      <c r="K23" s="106"/>
      <c r="L23" s="106"/>
      <c r="M23" s="106"/>
      <c r="N23" s="106"/>
      <c r="O23" s="106"/>
      <c r="P23" s="106"/>
      <c r="Q23" s="106"/>
    </row>
    <row r="24" spans="1:17" ht="12.75">
      <c r="A24" s="4"/>
      <c r="B24" s="5"/>
      <c r="C24" s="3"/>
      <c r="D24" s="4"/>
      <c r="E24" s="4"/>
      <c r="F24" s="4"/>
      <c r="G24" s="4"/>
      <c r="H24" s="4"/>
      <c r="I24" s="4"/>
      <c r="J24" s="4"/>
      <c r="K24" s="4"/>
      <c r="L24" s="4"/>
      <c r="M24" s="4"/>
      <c r="N24" s="4"/>
      <c r="O24" s="4"/>
      <c r="P24" s="4"/>
      <c r="Q24" s="4"/>
    </row>
    <row r="25" spans="1:17" ht="12.75">
      <c r="A25" s="4"/>
      <c r="B25" s="4"/>
      <c r="C25" s="3"/>
      <c r="D25" s="4"/>
      <c r="E25" s="4"/>
      <c r="F25" s="4"/>
      <c r="G25" s="4"/>
      <c r="H25" s="4"/>
      <c r="I25" s="4"/>
      <c r="J25" s="4"/>
      <c r="K25" s="4"/>
      <c r="L25" s="4"/>
      <c r="M25" s="4"/>
      <c r="N25" s="4"/>
      <c r="O25" s="4"/>
      <c r="P25" s="4"/>
      <c r="Q25" s="4"/>
    </row>
    <row r="26" spans="1:17" ht="12.75">
      <c r="A26" s="4"/>
      <c r="B26" s="3"/>
      <c r="C26" s="3"/>
      <c r="D26" s="4"/>
      <c r="E26" s="4"/>
      <c r="F26" s="4"/>
      <c r="G26" s="4"/>
      <c r="H26" s="4"/>
      <c r="I26" s="4"/>
      <c r="J26" s="4"/>
      <c r="K26" s="4"/>
      <c r="L26" s="4"/>
      <c r="M26" s="4"/>
      <c r="N26" s="4"/>
      <c r="O26" s="4"/>
      <c r="P26" s="4"/>
      <c r="Q26" s="4"/>
    </row>
    <row r="27" spans="1:17" ht="12.75">
      <c r="A27" s="4"/>
      <c r="B27" s="3"/>
      <c r="C27" s="3"/>
      <c r="D27" s="4"/>
      <c r="E27" s="4"/>
      <c r="F27" s="4"/>
      <c r="G27" s="4"/>
      <c r="H27" s="4"/>
      <c r="I27" s="4"/>
      <c r="J27" s="4"/>
      <c r="K27" s="4"/>
      <c r="L27" s="4"/>
      <c r="M27" s="4"/>
      <c r="N27" s="4"/>
      <c r="O27" s="4"/>
      <c r="P27" s="4"/>
      <c r="Q27" s="4"/>
    </row>
    <row r="28" spans="1:17" ht="12.75">
      <c r="A28" s="4"/>
      <c r="B28" s="3"/>
      <c r="C28" s="3"/>
      <c r="D28" s="4"/>
      <c r="E28" s="4"/>
      <c r="F28" s="4"/>
      <c r="G28" s="4"/>
      <c r="H28" s="4"/>
      <c r="I28" s="4"/>
      <c r="J28" s="4"/>
      <c r="K28" s="4"/>
      <c r="L28" s="4"/>
      <c r="M28" s="4"/>
      <c r="N28" s="4"/>
      <c r="O28" s="4"/>
      <c r="P28" s="4"/>
      <c r="Q28" s="4"/>
    </row>
    <row r="29" spans="1:17" ht="12.75">
      <c r="A29" s="4"/>
      <c r="B29" s="3"/>
      <c r="C29" s="3"/>
      <c r="D29" s="4"/>
      <c r="E29" s="4"/>
      <c r="F29" s="4"/>
      <c r="G29" s="4"/>
      <c r="H29" s="4"/>
      <c r="I29" s="4"/>
      <c r="J29" s="4"/>
      <c r="K29" s="4"/>
      <c r="L29" s="4"/>
      <c r="M29" s="4"/>
      <c r="N29" s="4"/>
      <c r="O29" s="4"/>
      <c r="P29" s="4"/>
      <c r="Q29" s="4"/>
    </row>
    <row r="30" spans="1:17" ht="12.75">
      <c r="A30" s="4"/>
      <c r="B30" s="3"/>
      <c r="C30" s="3"/>
      <c r="D30" s="4"/>
      <c r="E30" s="4"/>
      <c r="F30" s="4"/>
      <c r="G30" s="4"/>
      <c r="H30" s="4"/>
      <c r="I30" s="4"/>
      <c r="J30" s="4"/>
      <c r="K30" s="4"/>
      <c r="L30" s="4"/>
      <c r="M30" s="4"/>
      <c r="N30" s="4"/>
      <c r="O30" s="4"/>
      <c r="P30" s="4"/>
      <c r="Q30" s="4"/>
    </row>
    <row r="31" spans="1:17" ht="12.75">
      <c r="A31" s="4"/>
      <c r="B31" s="3"/>
      <c r="C31" s="3"/>
      <c r="D31" s="4"/>
      <c r="E31" s="4"/>
      <c r="F31" s="4"/>
      <c r="G31" s="4"/>
      <c r="H31" s="4"/>
      <c r="I31" s="4"/>
      <c r="J31" s="4"/>
      <c r="K31" s="4"/>
      <c r="L31" s="4"/>
      <c r="M31" s="4"/>
      <c r="N31" s="4"/>
      <c r="O31" s="4"/>
      <c r="P31" s="4"/>
      <c r="Q31" s="4"/>
    </row>
    <row r="32" spans="1:17" ht="12.75">
      <c r="A32" s="4"/>
      <c r="B32" s="3"/>
      <c r="C32" s="3"/>
      <c r="D32" s="4"/>
      <c r="E32" s="4"/>
      <c r="F32" s="4"/>
      <c r="G32" s="4"/>
      <c r="H32" s="4"/>
      <c r="I32" s="4"/>
      <c r="J32" s="4"/>
      <c r="K32" s="4"/>
      <c r="L32" s="4"/>
      <c r="M32" s="4"/>
      <c r="N32" s="4"/>
      <c r="O32" s="4"/>
      <c r="P32" s="4"/>
      <c r="Q32" s="4"/>
    </row>
    <row r="33" spans="1:17" ht="12.75">
      <c r="A33" s="4"/>
      <c r="B33" s="3"/>
      <c r="C33" s="3"/>
      <c r="D33" s="4"/>
      <c r="E33" s="4"/>
      <c r="F33" s="4"/>
      <c r="G33" s="4"/>
      <c r="H33" s="4"/>
      <c r="I33" s="4"/>
      <c r="J33" s="4"/>
      <c r="K33" s="4"/>
      <c r="L33" s="4"/>
      <c r="M33" s="4"/>
      <c r="N33" s="4"/>
      <c r="O33" s="4"/>
      <c r="P33" s="4"/>
      <c r="Q33" s="4"/>
    </row>
    <row r="34" spans="1:17" ht="12.75">
      <c r="A34" s="4"/>
      <c r="B34" s="3"/>
      <c r="C34" s="3"/>
      <c r="D34" s="4"/>
      <c r="E34" s="4"/>
      <c r="F34" s="4"/>
      <c r="G34" s="4"/>
      <c r="H34" s="4"/>
      <c r="I34" s="4"/>
      <c r="J34" s="4"/>
      <c r="K34" s="4"/>
      <c r="L34" s="4"/>
      <c r="M34" s="4"/>
      <c r="N34" s="4"/>
      <c r="O34" s="4"/>
      <c r="P34" s="4"/>
      <c r="Q34" s="4"/>
    </row>
    <row r="35" spans="1:17" ht="12.75">
      <c r="A35" s="4"/>
      <c r="B35" s="3"/>
      <c r="C35" s="3"/>
      <c r="D35" s="4"/>
      <c r="E35" s="4"/>
      <c r="F35" s="4"/>
      <c r="G35" s="4"/>
      <c r="H35" s="4"/>
      <c r="I35" s="4"/>
      <c r="J35" s="4"/>
      <c r="K35" s="4"/>
      <c r="L35" s="4"/>
      <c r="M35" s="4"/>
      <c r="N35" s="4"/>
      <c r="O35" s="4"/>
      <c r="P35" s="4"/>
      <c r="Q35" s="4"/>
    </row>
    <row r="36" spans="1:17" ht="12.75">
      <c r="A36" s="4"/>
      <c r="B36" s="3"/>
      <c r="C36" s="3"/>
      <c r="D36" s="4"/>
      <c r="E36" s="4"/>
      <c r="F36" s="4"/>
      <c r="G36" s="4"/>
      <c r="H36" s="4"/>
      <c r="I36" s="4"/>
      <c r="J36" s="4"/>
      <c r="K36" s="4"/>
      <c r="L36" s="4"/>
      <c r="M36" s="4"/>
      <c r="N36" s="4"/>
      <c r="O36" s="4"/>
      <c r="P36" s="4"/>
      <c r="Q36" s="4"/>
    </row>
    <row r="37" spans="1:17" ht="12.75">
      <c r="A37" s="4"/>
      <c r="B37" s="3"/>
      <c r="C37" s="3"/>
      <c r="D37" s="4"/>
      <c r="E37" s="4"/>
      <c r="F37" s="4"/>
      <c r="G37" s="4"/>
      <c r="H37" s="4"/>
      <c r="I37" s="4"/>
      <c r="J37" s="4"/>
      <c r="K37" s="4"/>
      <c r="L37" s="4"/>
      <c r="M37" s="4"/>
      <c r="N37" s="4"/>
      <c r="O37" s="4"/>
      <c r="P37" s="4"/>
      <c r="Q37" s="4"/>
    </row>
    <row r="38" spans="1:17" ht="12.75">
      <c r="A38" s="4"/>
      <c r="B38" s="3"/>
      <c r="C38" s="3"/>
      <c r="D38" s="4"/>
      <c r="E38" s="4"/>
      <c r="F38" s="4"/>
      <c r="G38" s="4"/>
      <c r="H38" s="4"/>
      <c r="I38" s="4"/>
      <c r="J38" s="4"/>
      <c r="K38" s="4"/>
      <c r="L38" s="4"/>
      <c r="M38" s="4"/>
      <c r="N38" s="4"/>
      <c r="O38" s="4"/>
      <c r="P38" s="4"/>
      <c r="Q38" s="4"/>
    </row>
    <row r="39" spans="1:17" ht="12.75">
      <c r="A39" s="4"/>
      <c r="B39" s="3"/>
      <c r="C39" s="3"/>
      <c r="D39" s="4"/>
      <c r="E39" s="4"/>
      <c r="F39" s="4"/>
      <c r="G39" s="4"/>
      <c r="H39" s="4"/>
      <c r="I39" s="4"/>
      <c r="J39" s="4"/>
      <c r="K39" s="4"/>
      <c r="L39" s="4"/>
      <c r="M39" s="4"/>
      <c r="N39" s="4"/>
      <c r="O39" s="4"/>
      <c r="P39" s="4"/>
      <c r="Q39" s="4"/>
    </row>
    <row r="40" spans="1:17" ht="12.75">
      <c r="A40" s="4"/>
      <c r="B40" s="3"/>
      <c r="C40" s="3"/>
      <c r="D40" s="4"/>
      <c r="E40" s="4"/>
      <c r="F40" s="4"/>
      <c r="G40" s="4"/>
      <c r="H40" s="4"/>
      <c r="I40" s="4"/>
      <c r="J40" s="4"/>
      <c r="K40" s="4"/>
      <c r="L40" s="4"/>
      <c r="M40" s="4"/>
      <c r="N40" s="4"/>
      <c r="O40" s="4"/>
      <c r="P40" s="4"/>
      <c r="Q40" s="4"/>
    </row>
    <row r="41" spans="1:17" ht="12.75">
      <c r="A41" s="4"/>
      <c r="B41" s="3"/>
      <c r="C41" s="3"/>
      <c r="D41" s="4"/>
      <c r="E41" s="4"/>
      <c r="F41" s="4"/>
      <c r="G41" s="4"/>
      <c r="H41" s="4"/>
      <c r="I41" s="4"/>
      <c r="J41" s="4"/>
      <c r="K41" s="4"/>
      <c r="L41" s="4"/>
      <c r="M41" s="4"/>
      <c r="N41" s="4"/>
      <c r="O41" s="4"/>
      <c r="P41" s="4"/>
      <c r="Q41" s="4"/>
    </row>
    <row r="42" spans="1:17" ht="12.75">
      <c r="A42" s="4"/>
      <c r="B42" s="3"/>
      <c r="C42" s="3"/>
      <c r="D42" s="4"/>
      <c r="E42" s="4"/>
      <c r="F42" s="4"/>
      <c r="G42" s="4"/>
      <c r="H42" s="4"/>
      <c r="I42" s="4"/>
      <c r="J42" s="4"/>
      <c r="K42" s="4"/>
      <c r="L42" s="4"/>
      <c r="M42" s="4"/>
      <c r="N42" s="4"/>
      <c r="O42" s="4"/>
      <c r="P42" s="4"/>
      <c r="Q42" s="4"/>
    </row>
    <row r="43" spans="1:17" ht="12.75">
      <c r="A43" s="4"/>
      <c r="B43" s="3"/>
      <c r="C43" s="3"/>
      <c r="D43" s="4"/>
      <c r="E43" s="4"/>
      <c r="F43" s="4"/>
      <c r="G43" s="4"/>
      <c r="H43" s="4"/>
      <c r="I43" s="4"/>
      <c r="J43" s="4"/>
      <c r="K43" s="4"/>
      <c r="L43" s="4"/>
      <c r="M43" s="4"/>
      <c r="N43" s="4"/>
      <c r="O43" s="4"/>
      <c r="P43" s="4"/>
      <c r="Q43" s="4"/>
    </row>
    <row r="44" spans="1:17" ht="12.75">
      <c r="A44" s="4"/>
      <c r="B44" s="3"/>
      <c r="C44" s="3"/>
      <c r="D44" s="4"/>
      <c r="E44" s="4"/>
      <c r="F44" s="4"/>
      <c r="G44" s="4"/>
      <c r="H44" s="4"/>
      <c r="I44" s="4"/>
      <c r="J44" s="4"/>
      <c r="K44" s="4"/>
      <c r="L44" s="4"/>
      <c r="M44" s="4"/>
      <c r="N44" s="4"/>
      <c r="O44" s="4"/>
      <c r="P44" s="4"/>
      <c r="Q44" s="4"/>
    </row>
    <row r="45" spans="1:17" ht="12.75">
      <c r="A45" s="4"/>
      <c r="B45" s="3"/>
      <c r="C45" s="3"/>
      <c r="D45" s="4"/>
      <c r="E45" s="4"/>
      <c r="F45" s="4"/>
      <c r="G45" s="4"/>
      <c r="H45" s="4"/>
      <c r="I45" s="4"/>
      <c r="J45" s="4"/>
      <c r="K45" s="4"/>
      <c r="L45" s="4"/>
      <c r="M45" s="4"/>
      <c r="N45" s="4"/>
      <c r="O45" s="4"/>
      <c r="P45" s="4"/>
      <c r="Q45" s="4"/>
    </row>
    <row r="46" spans="1:17" ht="12.75">
      <c r="A46" s="4"/>
      <c r="B46" s="3"/>
      <c r="C46" s="3"/>
      <c r="D46" s="4"/>
      <c r="E46" s="4"/>
      <c r="F46" s="4"/>
      <c r="G46" s="4"/>
      <c r="H46" s="4"/>
      <c r="I46" s="4"/>
      <c r="J46" s="4"/>
      <c r="K46" s="4"/>
      <c r="L46" s="4"/>
      <c r="M46" s="4"/>
      <c r="N46" s="4"/>
      <c r="O46" s="4"/>
      <c r="P46" s="4"/>
      <c r="Q46" s="4"/>
    </row>
    <row r="47" spans="1:17" ht="12.75">
      <c r="A47" s="4"/>
      <c r="B47" s="3"/>
      <c r="C47" s="3"/>
      <c r="D47" s="4"/>
      <c r="E47" s="4"/>
      <c r="F47" s="4"/>
      <c r="G47" s="4"/>
      <c r="H47" s="4"/>
      <c r="I47" s="4"/>
      <c r="J47" s="4"/>
      <c r="K47" s="4"/>
      <c r="L47" s="4"/>
      <c r="M47" s="4"/>
      <c r="N47" s="4"/>
      <c r="O47" s="4"/>
      <c r="P47" s="4"/>
      <c r="Q47" s="4"/>
    </row>
    <row r="48" spans="1:17" ht="12.75">
      <c r="A48" s="4"/>
      <c r="B48" s="3"/>
      <c r="C48" s="3"/>
      <c r="D48" s="4"/>
      <c r="E48" s="4"/>
      <c r="F48" s="4"/>
      <c r="G48" s="4"/>
      <c r="H48" s="4"/>
      <c r="I48" s="4"/>
      <c r="J48" s="4"/>
      <c r="K48" s="4"/>
      <c r="L48" s="4"/>
      <c r="M48" s="4"/>
      <c r="N48" s="4"/>
      <c r="O48" s="4"/>
      <c r="P48" s="4"/>
      <c r="Q48" s="4"/>
    </row>
    <row r="49" spans="1:17" ht="12.75">
      <c r="A49" s="4"/>
      <c r="B49" s="3"/>
      <c r="C49" s="3"/>
      <c r="D49" s="4"/>
      <c r="E49" s="4"/>
      <c r="F49" s="4"/>
      <c r="G49" s="4"/>
      <c r="H49" s="4"/>
      <c r="I49" s="4"/>
      <c r="J49" s="4"/>
      <c r="K49" s="4"/>
      <c r="L49" s="4"/>
      <c r="M49" s="4"/>
      <c r="N49" s="4"/>
      <c r="O49" s="4"/>
      <c r="P49" s="4"/>
      <c r="Q49" s="4"/>
    </row>
    <row r="50" spans="1:17" ht="12.75">
      <c r="A50" s="4"/>
      <c r="B50" s="3"/>
      <c r="C50" s="3"/>
      <c r="D50" s="4"/>
      <c r="E50" s="4"/>
      <c r="F50" s="4"/>
      <c r="G50" s="4"/>
      <c r="H50" s="4"/>
      <c r="I50" s="4"/>
      <c r="J50" s="4"/>
      <c r="K50" s="4"/>
      <c r="L50" s="4"/>
      <c r="M50" s="4"/>
      <c r="N50" s="4"/>
      <c r="O50" s="4"/>
      <c r="P50" s="4"/>
      <c r="Q50" s="4"/>
    </row>
    <row r="51" spans="1:17" ht="12.75">
      <c r="A51" s="4"/>
      <c r="B51" s="3"/>
      <c r="C51" s="3"/>
      <c r="D51" s="4"/>
      <c r="E51" s="4"/>
      <c r="F51" s="4"/>
      <c r="G51" s="4"/>
      <c r="H51" s="4"/>
      <c r="I51" s="4"/>
      <c r="J51" s="4"/>
      <c r="K51" s="4"/>
      <c r="L51" s="4"/>
      <c r="M51" s="4"/>
      <c r="N51" s="4"/>
      <c r="O51" s="4"/>
      <c r="P51" s="4"/>
      <c r="Q51" s="4"/>
    </row>
    <row r="52" spans="1:17" ht="12.75">
      <c r="A52" s="4"/>
      <c r="B52" s="3"/>
      <c r="C52" s="3"/>
      <c r="D52" s="4"/>
      <c r="E52" s="4"/>
      <c r="F52" s="4"/>
      <c r="G52" s="4"/>
      <c r="H52" s="4"/>
      <c r="I52" s="4"/>
      <c r="J52" s="4"/>
      <c r="K52" s="4"/>
      <c r="L52" s="4"/>
      <c r="M52" s="4"/>
      <c r="N52" s="4"/>
      <c r="O52" s="4"/>
      <c r="P52" s="4"/>
      <c r="Q52" s="4"/>
    </row>
    <row r="53" spans="1:17" ht="12.75">
      <c r="A53" s="4"/>
      <c r="B53" s="3"/>
      <c r="C53" s="3"/>
      <c r="D53" s="4"/>
      <c r="E53" s="4"/>
      <c r="F53" s="4"/>
      <c r="G53" s="4"/>
      <c r="H53" s="4"/>
      <c r="I53" s="4"/>
      <c r="J53" s="4"/>
      <c r="K53" s="4"/>
      <c r="L53" s="4"/>
      <c r="M53" s="4"/>
      <c r="N53" s="4"/>
      <c r="O53" s="4"/>
      <c r="P53" s="4"/>
      <c r="Q53" s="4"/>
    </row>
    <row r="54" spans="1:17" ht="12.75">
      <c r="A54" s="4"/>
      <c r="B54" s="3"/>
      <c r="C54" s="3"/>
      <c r="D54" s="4"/>
      <c r="E54" s="4"/>
      <c r="F54" s="4"/>
      <c r="G54" s="4"/>
      <c r="H54" s="4"/>
      <c r="I54" s="4"/>
      <c r="J54" s="4"/>
      <c r="K54" s="4"/>
      <c r="L54" s="4"/>
      <c r="M54" s="4"/>
      <c r="N54" s="4"/>
      <c r="O54" s="4"/>
      <c r="P54" s="4"/>
      <c r="Q54" s="4"/>
    </row>
    <row r="55" spans="1:17" ht="12.75">
      <c r="A55" s="4"/>
      <c r="B55" s="3"/>
      <c r="C55" s="3"/>
      <c r="D55" s="4"/>
      <c r="E55" s="4"/>
      <c r="F55" s="4"/>
      <c r="G55" s="4"/>
      <c r="H55" s="4"/>
      <c r="I55" s="4"/>
      <c r="J55" s="4"/>
      <c r="K55" s="4"/>
      <c r="L55" s="4"/>
      <c r="M55" s="4"/>
      <c r="N55" s="4"/>
      <c r="O55" s="4"/>
      <c r="P55" s="4"/>
      <c r="Q55" s="4"/>
    </row>
    <row r="56" spans="1:17" ht="12.75">
      <c r="A56" s="4"/>
      <c r="B56" s="3"/>
      <c r="C56" s="3"/>
      <c r="D56" s="4"/>
      <c r="E56" s="4"/>
      <c r="F56" s="4"/>
      <c r="G56" s="4"/>
      <c r="H56" s="4"/>
      <c r="I56" s="4"/>
      <c r="J56" s="4"/>
      <c r="K56" s="4"/>
      <c r="L56" s="4"/>
      <c r="M56" s="4"/>
      <c r="N56" s="4"/>
      <c r="O56" s="4"/>
      <c r="P56" s="4"/>
      <c r="Q56" s="4"/>
    </row>
    <row r="57" spans="1:17" ht="12.75">
      <c r="A57" s="4"/>
      <c r="B57" s="3"/>
      <c r="C57" s="3"/>
      <c r="D57" s="4"/>
      <c r="E57" s="4"/>
      <c r="F57" s="4"/>
      <c r="G57" s="4"/>
      <c r="H57" s="4"/>
      <c r="I57" s="4"/>
      <c r="J57" s="4"/>
      <c r="K57" s="4"/>
      <c r="L57" s="4"/>
      <c r="M57" s="4"/>
      <c r="N57" s="4"/>
      <c r="O57" s="4"/>
      <c r="P57" s="4"/>
      <c r="Q57" s="4"/>
    </row>
    <row r="58" spans="1:17" ht="12.75">
      <c r="A58" s="4"/>
      <c r="B58" s="3"/>
      <c r="C58" s="3"/>
      <c r="D58" s="4"/>
      <c r="E58" s="4"/>
      <c r="F58" s="4"/>
      <c r="G58" s="4"/>
      <c r="H58" s="4"/>
      <c r="I58" s="4"/>
      <c r="J58" s="4"/>
      <c r="K58" s="4"/>
      <c r="L58" s="4"/>
      <c r="M58" s="4"/>
      <c r="N58" s="4"/>
      <c r="O58" s="4"/>
      <c r="P58" s="4"/>
      <c r="Q58" s="4"/>
    </row>
    <row r="59" spans="1:17" ht="12.75">
      <c r="A59" s="4"/>
      <c r="B59" s="3"/>
      <c r="C59" s="3"/>
      <c r="D59" s="4"/>
      <c r="E59" s="4"/>
      <c r="F59" s="4"/>
      <c r="G59" s="4"/>
      <c r="H59" s="4"/>
      <c r="I59" s="4"/>
      <c r="J59" s="4"/>
      <c r="K59" s="4"/>
      <c r="L59" s="4"/>
      <c r="M59" s="4"/>
      <c r="N59" s="4"/>
      <c r="O59" s="4"/>
      <c r="P59" s="4"/>
      <c r="Q59" s="4"/>
    </row>
    <row r="60" spans="1:17" ht="12.75">
      <c r="A60" s="4"/>
      <c r="B60" s="3"/>
      <c r="C60" s="3"/>
      <c r="D60" s="4"/>
      <c r="E60" s="4"/>
      <c r="F60" s="4"/>
      <c r="G60" s="4"/>
      <c r="H60" s="4"/>
      <c r="I60" s="4"/>
      <c r="J60" s="4"/>
      <c r="K60" s="4"/>
      <c r="L60" s="4"/>
      <c r="M60" s="4"/>
      <c r="N60" s="4"/>
      <c r="O60" s="4"/>
      <c r="P60" s="4"/>
      <c r="Q60" s="4"/>
    </row>
    <row r="61" spans="1:17" ht="12.75">
      <c r="A61" s="4"/>
      <c r="B61" s="3"/>
      <c r="C61" s="3"/>
      <c r="D61" s="4"/>
      <c r="E61" s="4"/>
      <c r="F61" s="4"/>
      <c r="G61" s="4"/>
      <c r="H61" s="4"/>
      <c r="I61" s="4"/>
      <c r="J61" s="4"/>
      <c r="K61" s="4"/>
      <c r="L61" s="4"/>
      <c r="M61" s="4"/>
      <c r="N61" s="4"/>
      <c r="O61" s="4"/>
      <c r="P61" s="4"/>
      <c r="Q61" s="4"/>
    </row>
    <row r="62" spans="1:17" ht="12.75">
      <c r="A62" s="4"/>
      <c r="B62" s="3"/>
      <c r="C62" s="3"/>
      <c r="D62" s="4"/>
      <c r="E62" s="4"/>
      <c r="F62" s="4"/>
      <c r="G62" s="4"/>
      <c r="H62" s="4"/>
      <c r="I62" s="4"/>
      <c r="J62" s="4"/>
      <c r="K62" s="4"/>
      <c r="L62" s="4"/>
      <c r="M62" s="4"/>
      <c r="N62" s="4"/>
      <c r="O62" s="4"/>
      <c r="P62" s="4"/>
      <c r="Q62" s="4"/>
    </row>
    <row r="63" spans="1:17" ht="12.75">
      <c r="A63" s="4"/>
      <c r="B63" s="3"/>
      <c r="C63" s="3"/>
      <c r="D63" s="4"/>
      <c r="E63" s="4"/>
      <c r="F63" s="4"/>
      <c r="G63" s="4"/>
      <c r="H63" s="4"/>
      <c r="I63" s="4"/>
      <c r="J63" s="4"/>
      <c r="K63" s="4"/>
      <c r="L63" s="4"/>
      <c r="M63" s="4"/>
      <c r="N63" s="4"/>
      <c r="O63" s="4"/>
      <c r="P63" s="4"/>
      <c r="Q63" s="4"/>
    </row>
    <row r="64" spans="1:17" ht="12.75">
      <c r="A64" s="4"/>
      <c r="B64" s="3"/>
      <c r="C64" s="3"/>
      <c r="D64" s="4"/>
      <c r="E64" s="4"/>
      <c r="F64" s="4"/>
      <c r="G64" s="4"/>
      <c r="H64" s="4"/>
      <c r="I64" s="4"/>
      <c r="J64" s="4"/>
      <c r="K64" s="4"/>
      <c r="L64" s="4"/>
      <c r="M64" s="4"/>
      <c r="N64" s="4"/>
      <c r="O64" s="4"/>
      <c r="P64" s="4"/>
      <c r="Q64" s="4"/>
    </row>
    <row r="65" spans="1:17" ht="12.75">
      <c r="A65" s="4"/>
      <c r="B65" s="3"/>
      <c r="C65" s="3"/>
      <c r="D65" s="4"/>
      <c r="E65" s="4"/>
      <c r="F65" s="4"/>
      <c r="G65" s="4"/>
      <c r="H65" s="4"/>
      <c r="I65" s="4"/>
      <c r="J65" s="4"/>
      <c r="K65" s="4"/>
      <c r="L65" s="4"/>
      <c r="M65" s="4"/>
      <c r="N65" s="4"/>
      <c r="O65" s="4"/>
      <c r="P65" s="4"/>
      <c r="Q65" s="4"/>
    </row>
    <row r="66" spans="1:17" ht="12.75">
      <c r="A66" s="4"/>
      <c r="B66" s="3"/>
      <c r="C66" s="3"/>
      <c r="D66" s="4"/>
      <c r="E66" s="4"/>
      <c r="F66" s="4"/>
      <c r="G66" s="4"/>
      <c r="H66" s="4"/>
      <c r="I66" s="4"/>
      <c r="J66" s="4"/>
      <c r="K66" s="4"/>
      <c r="L66" s="4"/>
      <c r="M66" s="4"/>
      <c r="N66" s="4"/>
      <c r="O66" s="4"/>
      <c r="P66" s="4"/>
      <c r="Q66" s="4"/>
    </row>
    <row r="67" spans="1:17" ht="12.75">
      <c r="A67" s="4"/>
      <c r="B67" s="3"/>
      <c r="C67" s="3"/>
      <c r="D67" s="4"/>
      <c r="E67" s="4"/>
      <c r="F67" s="4"/>
      <c r="G67" s="4"/>
      <c r="H67" s="4"/>
      <c r="I67" s="4"/>
      <c r="J67" s="4"/>
      <c r="K67" s="4"/>
      <c r="L67" s="4"/>
      <c r="M67" s="4"/>
      <c r="N67" s="4"/>
      <c r="O67" s="4"/>
      <c r="P67" s="4"/>
      <c r="Q67" s="4"/>
    </row>
    <row r="68" spans="1:17" ht="12.75">
      <c r="A68" s="4"/>
      <c r="B68" s="3"/>
      <c r="C68" s="3"/>
      <c r="D68" s="4"/>
      <c r="E68" s="4"/>
      <c r="F68" s="4"/>
      <c r="G68" s="4"/>
      <c r="H68" s="4"/>
      <c r="I68" s="4"/>
      <c r="J68" s="4"/>
      <c r="K68" s="4"/>
      <c r="L68" s="4"/>
      <c r="M68" s="4"/>
      <c r="N68" s="4"/>
      <c r="O68" s="4"/>
      <c r="P68" s="4"/>
      <c r="Q68" s="4"/>
    </row>
    <row r="69" spans="1:17" ht="12.75">
      <c r="A69" s="4"/>
      <c r="B69" s="3"/>
      <c r="C69" s="3"/>
      <c r="D69" s="4"/>
      <c r="E69" s="4"/>
      <c r="F69" s="4"/>
      <c r="G69" s="4"/>
      <c r="H69" s="4"/>
      <c r="I69" s="4"/>
      <c r="J69" s="4"/>
      <c r="K69" s="4"/>
      <c r="L69" s="4"/>
      <c r="M69" s="4"/>
      <c r="N69" s="4"/>
      <c r="O69" s="4"/>
      <c r="P69" s="4"/>
      <c r="Q69" s="4"/>
    </row>
    <row r="70" spans="1:17" ht="12.75">
      <c r="A70" s="4"/>
      <c r="B70" s="3"/>
      <c r="C70" s="3"/>
      <c r="D70" s="4"/>
      <c r="E70" s="4"/>
      <c r="F70" s="4"/>
      <c r="G70" s="4"/>
      <c r="H70" s="4"/>
      <c r="I70" s="4"/>
      <c r="J70" s="4"/>
      <c r="K70" s="4"/>
      <c r="L70" s="4"/>
      <c r="M70" s="4"/>
      <c r="N70" s="4"/>
      <c r="O70" s="4"/>
      <c r="P70" s="4"/>
      <c r="Q70" s="4"/>
    </row>
    <row r="71" spans="1:17" ht="12.75">
      <c r="A71" s="4"/>
      <c r="B71" s="3"/>
      <c r="C71" s="3"/>
      <c r="D71" s="4"/>
      <c r="E71" s="4"/>
      <c r="F71" s="4"/>
      <c r="G71" s="4"/>
      <c r="H71" s="4"/>
      <c r="I71" s="4"/>
      <c r="J71" s="4"/>
      <c r="K71" s="4"/>
      <c r="L71" s="4"/>
      <c r="M71" s="4"/>
      <c r="N71" s="4"/>
      <c r="O71" s="4"/>
      <c r="P71" s="4"/>
      <c r="Q71" s="4"/>
    </row>
    <row r="72" spans="1:17" ht="12.75">
      <c r="A72" s="4"/>
      <c r="B72" s="3"/>
      <c r="C72" s="3"/>
      <c r="D72" s="4"/>
      <c r="E72" s="4"/>
      <c r="F72" s="4"/>
      <c r="G72" s="4"/>
      <c r="H72" s="4"/>
      <c r="I72" s="4"/>
      <c r="J72" s="4"/>
      <c r="K72" s="4"/>
      <c r="L72" s="4"/>
      <c r="M72" s="4"/>
      <c r="N72" s="4"/>
      <c r="O72" s="4"/>
      <c r="P72" s="4"/>
      <c r="Q72" s="4"/>
    </row>
    <row r="73" spans="1:17" ht="12.75">
      <c r="A73" s="4"/>
      <c r="B73" s="3"/>
      <c r="C73" s="3"/>
      <c r="D73" s="4"/>
      <c r="E73" s="4"/>
      <c r="F73" s="4"/>
      <c r="G73" s="4"/>
      <c r="H73" s="4"/>
      <c r="I73" s="4"/>
      <c r="J73" s="4"/>
      <c r="K73" s="4"/>
      <c r="L73" s="4"/>
      <c r="M73" s="4"/>
      <c r="N73" s="4"/>
      <c r="O73" s="4"/>
      <c r="P73" s="4"/>
      <c r="Q73" s="4"/>
    </row>
    <row r="74" spans="1:17" ht="12.75">
      <c r="A74" s="4"/>
      <c r="B74" s="3"/>
      <c r="C74" s="3"/>
      <c r="D74" s="4"/>
      <c r="E74" s="4"/>
      <c r="F74" s="4"/>
      <c r="G74" s="4"/>
      <c r="H74" s="4"/>
      <c r="I74" s="4"/>
      <c r="J74" s="4"/>
      <c r="K74" s="4"/>
      <c r="L74" s="4"/>
      <c r="M74" s="4"/>
      <c r="N74" s="4"/>
      <c r="O74" s="4"/>
      <c r="P74" s="4"/>
      <c r="Q74" s="4"/>
    </row>
    <row r="75" spans="1:17" ht="12.75">
      <c r="A75" s="4"/>
      <c r="B75" s="3"/>
      <c r="C75" s="3"/>
      <c r="D75" s="4"/>
      <c r="E75" s="4"/>
      <c r="F75" s="4"/>
      <c r="G75" s="4"/>
      <c r="H75" s="4"/>
      <c r="I75" s="4"/>
      <c r="J75" s="4"/>
      <c r="K75" s="4"/>
      <c r="L75" s="4"/>
      <c r="M75" s="4"/>
      <c r="N75" s="4"/>
      <c r="O75" s="4"/>
      <c r="P75" s="4"/>
      <c r="Q75" s="4"/>
    </row>
    <row r="76" spans="1:17" ht="12.75">
      <c r="A76" s="4"/>
      <c r="B76" s="3"/>
      <c r="C76" s="3"/>
      <c r="D76" s="4"/>
      <c r="E76" s="4"/>
      <c r="F76" s="4"/>
      <c r="G76" s="4"/>
      <c r="H76" s="4"/>
      <c r="I76" s="4"/>
      <c r="J76" s="4"/>
      <c r="K76" s="4"/>
      <c r="L76" s="4"/>
      <c r="M76" s="4"/>
      <c r="N76" s="4"/>
      <c r="O76" s="4"/>
      <c r="P76" s="4"/>
      <c r="Q76" s="4"/>
    </row>
    <row r="77" spans="1:17" ht="12.75">
      <c r="A77" s="4"/>
      <c r="B77" s="3"/>
      <c r="C77" s="3"/>
      <c r="D77" s="4"/>
      <c r="E77" s="4"/>
      <c r="F77" s="4"/>
      <c r="G77" s="4"/>
      <c r="H77" s="4"/>
      <c r="I77" s="4"/>
      <c r="J77" s="4"/>
      <c r="K77" s="4"/>
      <c r="L77" s="4"/>
      <c r="M77" s="4"/>
      <c r="N77" s="4"/>
      <c r="O77" s="4"/>
      <c r="P77" s="4"/>
      <c r="Q77" s="4"/>
    </row>
    <row r="78" spans="1:17" ht="12.75">
      <c r="A78" s="4"/>
      <c r="B78" s="3"/>
      <c r="C78" s="3"/>
      <c r="D78" s="4"/>
      <c r="E78" s="4"/>
      <c r="F78" s="4"/>
      <c r="G78" s="4"/>
      <c r="H78" s="4"/>
      <c r="I78" s="4"/>
      <c r="J78" s="4"/>
      <c r="K78" s="4"/>
      <c r="L78" s="4"/>
      <c r="M78" s="4"/>
      <c r="N78" s="4"/>
      <c r="O78" s="4"/>
      <c r="P78" s="4"/>
      <c r="Q78" s="4"/>
    </row>
    <row r="79" spans="1:17" ht="12.75">
      <c r="A79" s="4"/>
      <c r="B79" s="3"/>
      <c r="C79" s="3"/>
      <c r="D79" s="4"/>
      <c r="E79" s="4"/>
      <c r="F79" s="4"/>
      <c r="G79" s="4"/>
      <c r="H79" s="4"/>
      <c r="I79" s="4"/>
      <c r="J79" s="4"/>
      <c r="K79" s="4"/>
      <c r="L79" s="4"/>
      <c r="M79" s="4"/>
      <c r="N79" s="4"/>
      <c r="O79" s="4"/>
      <c r="P79" s="4"/>
      <c r="Q79" s="4"/>
    </row>
    <row r="80" spans="1:17" ht="12.75">
      <c r="A80" s="4"/>
      <c r="B80" s="3"/>
      <c r="C80" s="3"/>
      <c r="D80" s="4"/>
      <c r="E80" s="4"/>
      <c r="F80" s="4"/>
      <c r="G80" s="4"/>
      <c r="H80" s="4"/>
      <c r="I80" s="4"/>
      <c r="J80" s="4"/>
      <c r="K80" s="4"/>
      <c r="L80" s="4"/>
      <c r="M80" s="4"/>
      <c r="N80" s="4"/>
      <c r="O80" s="4"/>
      <c r="P80" s="4"/>
      <c r="Q80" s="4"/>
    </row>
    <row r="81" spans="1:17" ht="12.75">
      <c r="A81" s="4"/>
      <c r="B81" s="3"/>
      <c r="C81" s="3"/>
      <c r="D81" s="4"/>
      <c r="E81" s="4"/>
      <c r="F81" s="4"/>
      <c r="G81" s="4"/>
      <c r="H81" s="4"/>
      <c r="I81" s="4"/>
      <c r="J81" s="4"/>
      <c r="K81" s="4"/>
      <c r="L81" s="4"/>
      <c r="M81" s="4"/>
      <c r="N81" s="4"/>
      <c r="O81" s="4"/>
      <c r="P81" s="4"/>
      <c r="Q81" s="4"/>
    </row>
    <row r="82" spans="1:17" ht="12.75">
      <c r="A82" s="4"/>
      <c r="B82" s="3"/>
      <c r="C82" s="3"/>
      <c r="D82" s="4"/>
      <c r="E82" s="4"/>
      <c r="F82" s="4"/>
      <c r="G82" s="4"/>
      <c r="H82" s="4"/>
      <c r="I82" s="4"/>
      <c r="J82" s="4"/>
      <c r="K82" s="4"/>
      <c r="L82" s="4"/>
      <c r="M82" s="4"/>
      <c r="N82" s="4"/>
      <c r="O82" s="4"/>
      <c r="P82" s="4"/>
      <c r="Q82" s="4"/>
    </row>
    <row r="83" spans="1:17" ht="12.75">
      <c r="A83" s="4"/>
      <c r="B83" s="3"/>
      <c r="C83" s="3"/>
      <c r="D83" s="4"/>
      <c r="E83" s="4"/>
      <c r="F83" s="4"/>
      <c r="G83" s="4"/>
      <c r="H83" s="4"/>
      <c r="I83" s="4"/>
      <c r="J83" s="4"/>
      <c r="K83" s="4"/>
      <c r="L83" s="4"/>
      <c r="M83" s="4"/>
      <c r="N83" s="4"/>
      <c r="O83" s="4"/>
      <c r="P83" s="4"/>
      <c r="Q83" s="4"/>
    </row>
    <row r="84" spans="1:17" ht="12.75">
      <c r="A84" s="4"/>
      <c r="B84" s="3"/>
      <c r="C84" s="3"/>
      <c r="D84" s="4"/>
      <c r="E84" s="4"/>
      <c r="F84" s="4"/>
      <c r="G84" s="4"/>
      <c r="H84" s="4"/>
      <c r="I84" s="4"/>
      <c r="J84" s="4"/>
      <c r="K84" s="4"/>
      <c r="L84" s="4"/>
      <c r="M84" s="4"/>
      <c r="N84" s="4"/>
      <c r="O84" s="4"/>
      <c r="P84" s="4"/>
      <c r="Q84" s="4"/>
    </row>
    <row r="85" spans="1:17" ht="12.75">
      <c r="A85" s="4"/>
      <c r="B85" s="3"/>
      <c r="C85" s="3"/>
      <c r="D85" s="4"/>
      <c r="E85" s="4"/>
      <c r="F85" s="4"/>
      <c r="G85" s="4"/>
      <c r="H85" s="4"/>
      <c r="I85" s="4"/>
      <c r="J85" s="4"/>
      <c r="K85" s="4"/>
      <c r="L85" s="4"/>
      <c r="M85" s="4"/>
      <c r="N85" s="4"/>
      <c r="O85" s="4"/>
      <c r="P85" s="4"/>
      <c r="Q85" s="4"/>
    </row>
    <row r="86" spans="1:17" ht="12.75">
      <c r="A86" s="4"/>
      <c r="B86" s="3"/>
      <c r="C86" s="3"/>
      <c r="D86" s="4"/>
      <c r="E86" s="4"/>
      <c r="F86" s="4"/>
      <c r="G86" s="4"/>
      <c r="H86" s="4"/>
      <c r="I86" s="4"/>
      <c r="J86" s="4"/>
      <c r="K86" s="4"/>
      <c r="L86" s="4"/>
      <c r="M86" s="4"/>
      <c r="N86" s="4"/>
      <c r="O86" s="4"/>
      <c r="P86" s="4"/>
      <c r="Q86" s="4"/>
    </row>
    <row r="87" spans="1:17" ht="12.75">
      <c r="A87" s="4"/>
      <c r="B87" s="3"/>
      <c r="C87" s="3"/>
      <c r="D87" s="4"/>
      <c r="E87" s="4"/>
      <c r="F87" s="4"/>
      <c r="G87" s="4"/>
      <c r="H87" s="4"/>
      <c r="I87" s="4"/>
      <c r="J87" s="4"/>
      <c r="K87" s="4"/>
      <c r="L87" s="4"/>
      <c r="M87" s="4"/>
      <c r="N87" s="4"/>
      <c r="O87" s="4"/>
      <c r="P87" s="4"/>
      <c r="Q87" s="4"/>
    </row>
    <row r="88" spans="1:17" ht="12.75">
      <c r="A88" s="4"/>
      <c r="B88" s="3"/>
      <c r="C88" s="3"/>
      <c r="D88" s="4"/>
      <c r="E88" s="4"/>
      <c r="F88" s="4"/>
      <c r="G88" s="4"/>
      <c r="H88" s="4"/>
      <c r="I88" s="4"/>
      <c r="J88" s="4"/>
      <c r="K88" s="4"/>
      <c r="L88" s="4"/>
      <c r="M88" s="4"/>
      <c r="N88" s="4"/>
      <c r="O88" s="4"/>
      <c r="P88" s="4"/>
      <c r="Q88" s="4"/>
    </row>
    <row r="89" spans="1:17" ht="12.75">
      <c r="A89" s="4"/>
      <c r="B89" s="3"/>
      <c r="C89" s="3"/>
      <c r="D89" s="4"/>
      <c r="E89" s="4"/>
      <c r="F89" s="4"/>
      <c r="G89" s="4"/>
      <c r="H89" s="4"/>
      <c r="I89" s="4"/>
      <c r="J89" s="4"/>
      <c r="K89" s="4"/>
      <c r="L89" s="4"/>
      <c r="M89" s="4"/>
      <c r="N89" s="4"/>
      <c r="O89" s="4"/>
      <c r="P89" s="4"/>
      <c r="Q89" s="4"/>
    </row>
    <row r="90" spans="1:17" ht="12.75">
      <c r="A90" s="4"/>
      <c r="B90" s="3"/>
      <c r="C90" s="3"/>
      <c r="D90" s="4"/>
      <c r="E90" s="4"/>
      <c r="F90" s="4"/>
      <c r="G90" s="4"/>
      <c r="H90" s="4"/>
      <c r="I90" s="4"/>
      <c r="J90" s="4"/>
      <c r="K90" s="4"/>
      <c r="L90" s="4"/>
      <c r="M90" s="4"/>
      <c r="N90" s="4"/>
      <c r="O90" s="4"/>
      <c r="P90" s="4"/>
      <c r="Q90" s="4"/>
    </row>
    <row r="91" spans="1:17" ht="12.75">
      <c r="A91" s="4"/>
      <c r="B91" s="3"/>
      <c r="C91" s="3"/>
      <c r="D91" s="4"/>
      <c r="E91" s="4"/>
      <c r="F91" s="4"/>
      <c r="G91" s="4"/>
      <c r="H91" s="4"/>
      <c r="I91" s="4"/>
      <c r="J91" s="4"/>
      <c r="K91" s="4"/>
      <c r="L91" s="4"/>
      <c r="M91" s="4"/>
      <c r="N91" s="4"/>
      <c r="O91" s="4"/>
      <c r="P91" s="4"/>
      <c r="Q91" s="4"/>
    </row>
    <row r="92" spans="1:17" ht="12.75">
      <c r="A92" s="4"/>
      <c r="B92" s="3"/>
      <c r="C92" s="3"/>
      <c r="D92" s="4"/>
      <c r="E92" s="4"/>
      <c r="F92" s="4"/>
      <c r="G92" s="4"/>
      <c r="H92" s="4"/>
      <c r="I92" s="4"/>
      <c r="J92" s="4"/>
      <c r="K92" s="4"/>
      <c r="L92" s="4"/>
      <c r="M92" s="4"/>
      <c r="N92" s="4"/>
      <c r="O92" s="4"/>
      <c r="P92" s="4"/>
      <c r="Q92" s="4"/>
    </row>
    <row r="93" spans="1:17" ht="12.75">
      <c r="A93" s="4"/>
      <c r="B93" s="3"/>
      <c r="C93" s="3"/>
      <c r="D93" s="4"/>
      <c r="E93" s="4"/>
      <c r="F93" s="4"/>
      <c r="G93" s="4"/>
      <c r="H93" s="4"/>
      <c r="I93" s="4"/>
      <c r="J93" s="4"/>
      <c r="K93" s="4"/>
      <c r="L93" s="4"/>
      <c r="M93" s="4"/>
      <c r="N93" s="4"/>
      <c r="O93" s="4"/>
      <c r="P93" s="4"/>
      <c r="Q93" s="4"/>
    </row>
    <row r="94" spans="1:17" ht="12.75">
      <c r="A94" s="4"/>
      <c r="B94" s="3"/>
      <c r="C94" s="3"/>
      <c r="D94" s="4"/>
      <c r="E94" s="4"/>
      <c r="F94" s="4"/>
      <c r="G94" s="4"/>
      <c r="H94" s="4"/>
      <c r="I94" s="4"/>
      <c r="J94" s="4"/>
      <c r="K94" s="4"/>
      <c r="L94" s="4"/>
      <c r="M94" s="4"/>
      <c r="N94" s="4"/>
      <c r="O94" s="4"/>
      <c r="P94" s="4"/>
      <c r="Q94" s="4"/>
    </row>
    <row r="95" spans="1:17" ht="12.75">
      <c r="A95" s="4"/>
      <c r="B95" s="3"/>
      <c r="C95" s="3"/>
      <c r="D95" s="4"/>
      <c r="E95" s="4"/>
      <c r="F95" s="4"/>
      <c r="G95" s="4"/>
      <c r="H95" s="4"/>
      <c r="I95" s="4"/>
      <c r="J95" s="4"/>
      <c r="K95" s="4"/>
      <c r="L95" s="4"/>
      <c r="M95" s="4"/>
      <c r="N95" s="4"/>
      <c r="O95" s="4"/>
      <c r="P95" s="4"/>
      <c r="Q95" s="4"/>
    </row>
    <row r="96" spans="1:17" ht="12.75">
      <c r="A96" s="4"/>
      <c r="B96" s="3"/>
      <c r="C96" s="3"/>
      <c r="D96" s="4"/>
      <c r="E96" s="4"/>
      <c r="F96" s="4"/>
      <c r="G96" s="4"/>
      <c r="H96" s="4"/>
      <c r="I96" s="4"/>
      <c r="J96" s="4"/>
      <c r="K96" s="4"/>
      <c r="L96" s="4"/>
      <c r="M96" s="4"/>
      <c r="N96" s="4"/>
      <c r="O96" s="4"/>
      <c r="P96" s="4"/>
      <c r="Q96" s="4"/>
    </row>
    <row r="97" spans="1:17" ht="12.75">
      <c r="A97" s="4"/>
      <c r="B97" s="3"/>
      <c r="C97" s="3"/>
      <c r="D97" s="4"/>
      <c r="E97" s="4"/>
      <c r="F97" s="4"/>
      <c r="G97" s="4"/>
      <c r="H97" s="4"/>
      <c r="I97" s="4"/>
      <c r="J97" s="4"/>
      <c r="K97" s="4"/>
      <c r="L97" s="4"/>
      <c r="M97" s="4"/>
      <c r="N97" s="4"/>
      <c r="O97" s="4"/>
      <c r="P97" s="4"/>
      <c r="Q97" s="4"/>
    </row>
    <row r="98" spans="1:17" ht="12.75">
      <c r="A98" s="4"/>
      <c r="B98" s="3"/>
      <c r="C98" s="3"/>
      <c r="D98" s="4"/>
      <c r="E98" s="4"/>
      <c r="F98" s="4"/>
      <c r="G98" s="4"/>
      <c r="H98" s="4"/>
      <c r="I98" s="4"/>
      <c r="J98" s="4"/>
      <c r="K98" s="4"/>
      <c r="L98" s="4"/>
      <c r="M98" s="4"/>
      <c r="N98" s="4"/>
      <c r="O98" s="4"/>
      <c r="P98" s="4"/>
      <c r="Q98" s="4"/>
    </row>
    <row r="99" spans="1:17" ht="12.75">
      <c r="A99" s="4"/>
      <c r="B99" s="3"/>
      <c r="C99" s="3"/>
      <c r="D99" s="4"/>
      <c r="E99" s="4"/>
      <c r="F99" s="4"/>
      <c r="G99" s="4"/>
      <c r="H99" s="4"/>
      <c r="I99" s="4"/>
      <c r="J99" s="4"/>
      <c r="K99" s="4"/>
      <c r="L99" s="4"/>
      <c r="M99" s="4"/>
      <c r="N99" s="4"/>
      <c r="O99" s="4"/>
      <c r="P99" s="4"/>
      <c r="Q99" s="4"/>
    </row>
    <row r="100" spans="1:17" ht="12.75">
      <c r="A100" s="4"/>
      <c r="B100" s="3"/>
      <c r="C100" s="3"/>
      <c r="D100" s="4"/>
      <c r="E100" s="4"/>
      <c r="F100" s="4"/>
      <c r="G100" s="4"/>
      <c r="H100" s="4"/>
      <c r="I100" s="4"/>
      <c r="J100" s="4"/>
      <c r="K100" s="4"/>
      <c r="L100" s="4"/>
      <c r="M100" s="4"/>
      <c r="N100" s="4"/>
      <c r="O100" s="4"/>
      <c r="P100" s="4"/>
      <c r="Q100" s="4"/>
    </row>
    <row r="101" spans="1:17" ht="12.75">
      <c r="A101" s="4"/>
      <c r="B101" s="3"/>
      <c r="C101" s="3"/>
      <c r="D101" s="4"/>
      <c r="E101" s="4"/>
      <c r="F101" s="4"/>
      <c r="G101" s="4"/>
      <c r="H101" s="4"/>
      <c r="I101" s="4"/>
      <c r="J101" s="4"/>
      <c r="K101" s="4"/>
      <c r="L101" s="4"/>
      <c r="M101" s="4"/>
      <c r="N101" s="4"/>
      <c r="O101" s="4"/>
      <c r="P101" s="4"/>
      <c r="Q101" s="4"/>
    </row>
    <row r="102" spans="1:17" ht="12.75">
      <c r="A102" s="4"/>
      <c r="B102" s="3"/>
      <c r="C102" s="3"/>
      <c r="D102" s="4"/>
      <c r="E102" s="4"/>
      <c r="F102" s="4"/>
      <c r="G102" s="4"/>
      <c r="H102" s="4"/>
      <c r="I102" s="4"/>
      <c r="J102" s="4"/>
      <c r="K102" s="4"/>
      <c r="L102" s="4"/>
      <c r="M102" s="4"/>
      <c r="N102" s="4"/>
      <c r="O102" s="4"/>
      <c r="P102" s="4"/>
      <c r="Q102" s="4"/>
    </row>
    <row r="103" spans="1:17" ht="12.75">
      <c r="A103" s="4"/>
      <c r="B103" s="3"/>
      <c r="C103" s="3"/>
      <c r="D103" s="4"/>
      <c r="E103" s="4"/>
      <c r="F103" s="4"/>
      <c r="G103" s="4"/>
      <c r="H103" s="4"/>
      <c r="I103" s="4"/>
      <c r="J103" s="4"/>
      <c r="K103" s="4"/>
      <c r="L103" s="4"/>
      <c r="M103" s="4"/>
      <c r="N103" s="4"/>
      <c r="O103" s="4"/>
      <c r="P103" s="4"/>
      <c r="Q103" s="4"/>
    </row>
    <row r="104" spans="1:17" ht="12.75">
      <c r="A104" s="4"/>
      <c r="B104" s="3"/>
      <c r="C104" s="3"/>
      <c r="D104" s="4"/>
      <c r="E104" s="4"/>
      <c r="F104" s="4"/>
      <c r="G104" s="4"/>
      <c r="H104" s="4"/>
      <c r="I104" s="4"/>
      <c r="J104" s="4"/>
      <c r="K104" s="4"/>
      <c r="L104" s="4"/>
      <c r="M104" s="4"/>
      <c r="N104" s="4"/>
      <c r="O104" s="4"/>
      <c r="P104" s="4"/>
      <c r="Q104" s="4"/>
    </row>
    <row r="105" spans="1:17" ht="12.75">
      <c r="A105" s="4"/>
      <c r="B105" s="3"/>
      <c r="C105" s="3"/>
      <c r="D105" s="4"/>
      <c r="E105" s="4"/>
      <c r="F105" s="4"/>
      <c r="G105" s="4"/>
      <c r="H105" s="4"/>
      <c r="I105" s="4"/>
      <c r="J105" s="4"/>
      <c r="K105" s="4"/>
      <c r="L105" s="4"/>
      <c r="M105" s="4"/>
      <c r="N105" s="4"/>
      <c r="O105" s="4"/>
      <c r="P105" s="4"/>
      <c r="Q105" s="4"/>
    </row>
    <row r="106" spans="1:17" ht="12.75">
      <c r="A106" s="4"/>
      <c r="B106" s="3"/>
      <c r="C106" s="3"/>
      <c r="D106" s="4"/>
      <c r="E106" s="4"/>
      <c r="F106" s="4"/>
      <c r="G106" s="4"/>
      <c r="H106" s="4"/>
      <c r="I106" s="4"/>
      <c r="J106" s="4"/>
      <c r="K106" s="4"/>
      <c r="L106" s="4"/>
      <c r="M106" s="4"/>
      <c r="N106" s="4"/>
      <c r="O106" s="4"/>
      <c r="P106" s="4"/>
      <c r="Q106" s="4"/>
    </row>
    <row r="107" spans="1:17" ht="12.75">
      <c r="A107" s="4"/>
      <c r="B107" s="3"/>
      <c r="C107" s="3"/>
      <c r="D107" s="4"/>
      <c r="E107" s="4"/>
      <c r="F107" s="4"/>
      <c r="G107" s="4"/>
      <c r="H107" s="4"/>
      <c r="I107" s="4"/>
      <c r="J107" s="4"/>
      <c r="K107" s="4"/>
      <c r="L107" s="4"/>
      <c r="M107" s="4"/>
      <c r="N107" s="4"/>
      <c r="O107" s="4"/>
      <c r="P107" s="4"/>
      <c r="Q107" s="4"/>
    </row>
    <row r="108" spans="1:17" ht="12.75">
      <c r="A108" s="4"/>
      <c r="B108" s="3"/>
      <c r="C108" s="3"/>
      <c r="D108" s="4"/>
      <c r="E108" s="4"/>
      <c r="F108" s="4"/>
      <c r="G108" s="4"/>
      <c r="H108" s="4"/>
      <c r="I108" s="4"/>
      <c r="J108" s="4"/>
      <c r="K108" s="4"/>
      <c r="L108" s="4"/>
      <c r="M108" s="4"/>
      <c r="N108" s="4"/>
      <c r="O108" s="4"/>
      <c r="P108" s="4"/>
      <c r="Q108" s="4"/>
    </row>
    <row r="109" spans="1:17" ht="12.75">
      <c r="A109" s="4"/>
      <c r="B109" s="3"/>
      <c r="C109" s="3"/>
      <c r="D109" s="4"/>
      <c r="E109" s="4"/>
      <c r="F109" s="4"/>
      <c r="G109" s="4"/>
      <c r="H109" s="4"/>
      <c r="I109" s="4"/>
      <c r="J109" s="4"/>
      <c r="K109" s="4"/>
      <c r="L109" s="4"/>
      <c r="M109" s="4"/>
      <c r="N109" s="4"/>
      <c r="O109" s="4"/>
      <c r="P109" s="4"/>
      <c r="Q109" s="4"/>
    </row>
    <row r="110" spans="1:17" ht="12.75">
      <c r="A110" s="4"/>
      <c r="B110" s="3"/>
      <c r="C110" s="3"/>
      <c r="D110" s="4"/>
      <c r="E110" s="4"/>
      <c r="F110" s="4"/>
      <c r="G110" s="4"/>
      <c r="H110" s="4"/>
      <c r="I110" s="4"/>
      <c r="J110" s="4"/>
      <c r="K110" s="4"/>
      <c r="L110" s="4"/>
      <c r="M110" s="4"/>
      <c r="N110" s="4"/>
      <c r="O110" s="4"/>
      <c r="P110" s="4"/>
      <c r="Q110" s="4"/>
    </row>
    <row r="111" spans="1:17" ht="12.75">
      <c r="A111" s="4"/>
      <c r="B111" s="3"/>
      <c r="C111" s="3"/>
      <c r="D111" s="4"/>
      <c r="E111" s="4"/>
      <c r="F111" s="4"/>
      <c r="G111" s="4"/>
      <c r="H111" s="4"/>
      <c r="I111" s="4"/>
      <c r="J111" s="4"/>
      <c r="K111" s="4"/>
      <c r="L111" s="4"/>
      <c r="M111" s="4"/>
      <c r="N111" s="4"/>
      <c r="O111" s="4"/>
      <c r="P111" s="4"/>
      <c r="Q111" s="4"/>
    </row>
    <row r="112" spans="1:17" ht="12.75">
      <c r="A112" s="4"/>
      <c r="B112" s="3"/>
      <c r="C112" s="3"/>
      <c r="D112" s="4"/>
      <c r="E112" s="4"/>
      <c r="F112" s="4"/>
      <c r="G112" s="4"/>
      <c r="H112" s="4"/>
      <c r="I112" s="4"/>
      <c r="J112" s="4"/>
      <c r="K112" s="4"/>
      <c r="L112" s="4"/>
      <c r="M112" s="4"/>
      <c r="N112" s="4"/>
      <c r="O112" s="4"/>
      <c r="P112" s="4"/>
      <c r="Q112" s="4"/>
    </row>
    <row r="113" spans="1:17" ht="12.75">
      <c r="A113" s="4"/>
      <c r="B113" s="3"/>
      <c r="C113" s="3"/>
      <c r="D113" s="4"/>
      <c r="E113" s="4"/>
      <c r="F113" s="4"/>
      <c r="G113" s="4"/>
      <c r="H113" s="4"/>
      <c r="I113" s="4"/>
      <c r="J113" s="4"/>
      <c r="K113" s="4"/>
      <c r="L113" s="4"/>
      <c r="M113" s="4"/>
      <c r="N113" s="4"/>
      <c r="O113" s="4"/>
      <c r="P113" s="4"/>
      <c r="Q113" s="4"/>
    </row>
    <row r="114" spans="1:17" ht="12.75">
      <c r="A114" s="4"/>
      <c r="B114" s="3"/>
      <c r="C114" s="3"/>
      <c r="D114" s="4"/>
      <c r="E114" s="4"/>
      <c r="F114" s="4"/>
      <c r="G114" s="4"/>
      <c r="H114" s="4"/>
      <c r="I114" s="4"/>
      <c r="J114" s="4"/>
      <c r="K114" s="4"/>
      <c r="L114" s="4"/>
      <c r="M114" s="4"/>
      <c r="N114" s="4"/>
      <c r="O114" s="4"/>
      <c r="P114" s="4"/>
      <c r="Q114" s="4"/>
    </row>
    <row r="115" spans="1:17" ht="12.75">
      <c r="A115" s="4"/>
      <c r="B115" s="3"/>
      <c r="C115" s="3"/>
      <c r="D115" s="4"/>
      <c r="E115" s="4"/>
      <c r="F115" s="4"/>
      <c r="G115" s="4"/>
      <c r="H115" s="4"/>
      <c r="I115" s="4"/>
      <c r="J115" s="4"/>
      <c r="K115" s="4"/>
      <c r="L115" s="4"/>
      <c r="M115" s="4"/>
      <c r="N115" s="4"/>
      <c r="O115" s="4"/>
      <c r="P115" s="4"/>
      <c r="Q115" s="4"/>
    </row>
    <row r="116" spans="1:17" ht="12.75">
      <c r="A116" s="4"/>
      <c r="B116" s="3"/>
      <c r="C116" s="3"/>
      <c r="D116" s="4"/>
      <c r="E116" s="4"/>
      <c r="F116" s="4"/>
      <c r="G116" s="4"/>
      <c r="H116" s="4"/>
      <c r="I116" s="4"/>
      <c r="J116" s="4"/>
      <c r="K116" s="4"/>
      <c r="L116" s="4"/>
      <c r="M116" s="4"/>
      <c r="N116" s="4"/>
      <c r="O116" s="4"/>
      <c r="P116" s="4"/>
      <c r="Q116" s="4"/>
    </row>
    <row r="117" spans="1:17" ht="12.75">
      <c r="A117" s="4"/>
      <c r="B117" s="3"/>
      <c r="C117" s="3"/>
      <c r="D117" s="4"/>
      <c r="E117" s="4"/>
      <c r="F117" s="4"/>
      <c r="G117" s="4"/>
      <c r="H117" s="4"/>
      <c r="I117" s="4"/>
      <c r="J117" s="4"/>
      <c r="K117" s="4"/>
      <c r="L117" s="4"/>
      <c r="M117" s="4"/>
      <c r="N117" s="4"/>
      <c r="O117" s="4"/>
      <c r="P117" s="4"/>
      <c r="Q117" s="4"/>
    </row>
    <row r="118" spans="1:17" ht="12.75">
      <c r="A118" s="4"/>
      <c r="B118" s="3"/>
      <c r="C118" s="3"/>
      <c r="D118" s="4"/>
      <c r="E118" s="4"/>
      <c r="F118" s="4"/>
      <c r="G118" s="4"/>
      <c r="H118" s="4"/>
      <c r="I118" s="4"/>
      <c r="J118" s="4"/>
      <c r="K118" s="4"/>
      <c r="L118" s="4"/>
      <c r="M118" s="4"/>
      <c r="N118" s="4"/>
      <c r="O118" s="4"/>
      <c r="P118" s="4"/>
      <c r="Q118" s="4"/>
    </row>
    <row r="119" spans="1:17" ht="12.75">
      <c r="A119" s="4"/>
      <c r="B119" s="3"/>
      <c r="C119" s="3"/>
      <c r="D119" s="4"/>
      <c r="E119" s="4"/>
      <c r="F119" s="4"/>
      <c r="G119" s="4"/>
      <c r="H119" s="4"/>
      <c r="I119" s="4"/>
      <c r="J119" s="4"/>
      <c r="K119" s="4"/>
      <c r="L119" s="4"/>
      <c r="M119" s="4"/>
      <c r="N119" s="4"/>
      <c r="O119" s="4"/>
      <c r="P119" s="4"/>
      <c r="Q119" s="4"/>
    </row>
    <row r="120" spans="1:17" ht="12.75">
      <c r="A120" s="4"/>
      <c r="B120" s="3"/>
      <c r="C120" s="3"/>
      <c r="D120" s="4"/>
      <c r="E120" s="4"/>
      <c r="F120" s="4"/>
      <c r="G120" s="4"/>
      <c r="H120" s="4"/>
      <c r="I120" s="4"/>
      <c r="J120" s="4"/>
      <c r="K120" s="4"/>
      <c r="L120" s="4"/>
      <c r="M120" s="4"/>
      <c r="N120" s="4"/>
      <c r="O120" s="4"/>
      <c r="P120" s="4"/>
      <c r="Q120" s="4"/>
    </row>
    <row r="121" spans="1:17" ht="12.75">
      <c r="A121" s="4"/>
      <c r="B121" s="3"/>
      <c r="C121" s="3"/>
      <c r="D121" s="4"/>
      <c r="E121" s="4"/>
      <c r="F121" s="4"/>
      <c r="G121" s="4"/>
      <c r="H121" s="4"/>
      <c r="I121" s="4"/>
      <c r="J121" s="4"/>
      <c r="K121" s="4"/>
      <c r="L121" s="4"/>
      <c r="M121" s="4"/>
      <c r="N121" s="4"/>
      <c r="O121" s="4"/>
      <c r="P121" s="4"/>
      <c r="Q121" s="4"/>
    </row>
    <row r="122" spans="1:17" ht="12.75">
      <c r="A122" s="4"/>
      <c r="B122" s="3"/>
      <c r="C122" s="3"/>
      <c r="D122" s="4"/>
      <c r="E122" s="4"/>
      <c r="F122" s="4"/>
      <c r="G122" s="4"/>
      <c r="H122" s="4"/>
      <c r="I122" s="4"/>
      <c r="J122" s="4"/>
      <c r="K122" s="4"/>
      <c r="L122" s="4"/>
      <c r="M122" s="4"/>
      <c r="N122" s="4"/>
      <c r="O122" s="4"/>
      <c r="P122" s="4"/>
      <c r="Q122" s="4"/>
    </row>
    <row r="123" spans="1:17" ht="12.75">
      <c r="A123" s="4"/>
      <c r="B123" s="3"/>
      <c r="C123" s="3"/>
      <c r="D123" s="4"/>
      <c r="E123" s="4"/>
      <c r="F123" s="4"/>
      <c r="G123" s="4"/>
      <c r="H123" s="4"/>
      <c r="I123" s="4"/>
      <c r="J123" s="4"/>
      <c r="K123" s="4"/>
      <c r="L123" s="4"/>
      <c r="M123" s="4"/>
      <c r="N123" s="4"/>
      <c r="O123" s="4"/>
      <c r="P123" s="4"/>
      <c r="Q123" s="4"/>
    </row>
    <row r="124" spans="1:17" ht="12.75">
      <c r="A124" s="4"/>
      <c r="B124" s="3"/>
      <c r="C124" s="3"/>
      <c r="D124" s="4"/>
      <c r="E124" s="4"/>
      <c r="F124" s="4"/>
      <c r="G124" s="4"/>
      <c r="H124" s="4"/>
      <c r="I124" s="4"/>
      <c r="J124" s="4"/>
      <c r="K124" s="4"/>
      <c r="L124" s="4"/>
      <c r="M124" s="4"/>
      <c r="N124" s="4"/>
      <c r="O124" s="4"/>
      <c r="P124" s="4"/>
      <c r="Q124" s="4"/>
    </row>
    <row r="125" spans="1:17" ht="12.75">
      <c r="A125" s="4"/>
      <c r="B125" s="3"/>
      <c r="C125" s="3"/>
      <c r="D125" s="4"/>
      <c r="E125" s="4"/>
      <c r="F125" s="4"/>
      <c r="G125" s="4"/>
      <c r="H125" s="4"/>
      <c r="I125" s="4"/>
      <c r="J125" s="4"/>
      <c r="K125" s="4"/>
      <c r="L125" s="4"/>
      <c r="M125" s="4"/>
      <c r="N125" s="4"/>
      <c r="O125" s="4"/>
      <c r="P125" s="4"/>
      <c r="Q125" s="4"/>
    </row>
    <row r="126" spans="1:17" ht="12.75">
      <c r="A126" s="4"/>
      <c r="B126" s="3"/>
      <c r="C126" s="3"/>
      <c r="D126" s="4"/>
      <c r="E126" s="4"/>
      <c r="F126" s="4"/>
      <c r="G126" s="4"/>
      <c r="H126" s="4"/>
      <c r="I126" s="4"/>
      <c r="J126" s="4"/>
      <c r="K126" s="4"/>
      <c r="L126" s="4"/>
      <c r="M126" s="4"/>
      <c r="N126" s="4"/>
      <c r="O126" s="4"/>
      <c r="P126" s="4"/>
      <c r="Q126" s="4"/>
    </row>
    <row r="127" spans="1:17" ht="12.75">
      <c r="A127" s="4"/>
      <c r="B127" s="3"/>
      <c r="C127" s="3"/>
      <c r="D127" s="4"/>
      <c r="E127" s="4"/>
      <c r="F127" s="4"/>
      <c r="G127" s="4"/>
      <c r="H127" s="4"/>
      <c r="I127" s="4"/>
      <c r="J127" s="4"/>
      <c r="K127" s="4"/>
      <c r="L127" s="4"/>
      <c r="M127" s="4"/>
      <c r="N127" s="4"/>
      <c r="O127" s="4"/>
      <c r="P127" s="4"/>
      <c r="Q127" s="4"/>
    </row>
    <row r="128" spans="1:17" ht="12.75">
      <c r="A128" s="4"/>
      <c r="B128" s="3"/>
      <c r="C128" s="3"/>
      <c r="D128" s="4"/>
      <c r="E128" s="4"/>
      <c r="F128" s="4"/>
      <c r="G128" s="4"/>
      <c r="H128" s="4"/>
      <c r="I128" s="4"/>
      <c r="J128" s="4"/>
      <c r="K128" s="4"/>
      <c r="L128" s="4"/>
      <c r="M128" s="4"/>
      <c r="N128" s="4"/>
      <c r="O128" s="4"/>
      <c r="P128" s="4"/>
      <c r="Q128" s="4"/>
    </row>
    <row r="129" spans="1:17" ht="12.75">
      <c r="A129" s="4"/>
      <c r="B129" s="3"/>
      <c r="C129" s="3"/>
      <c r="D129" s="4"/>
      <c r="E129" s="4"/>
      <c r="F129" s="4"/>
      <c r="G129" s="4"/>
      <c r="H129" s="4"/>
      <c r="I129" s="4"/>
      <c r="J129" s="4"/>
      <c r="K129" s="4"/>
      <c r="L129" s="4"/>
      <c r="M129" s="4"/>
      <c r="N129" s="4"/>
      <c r="O129" s="4"/>
      <c r="P129" s="4"/>
      <c r="Q129" s="4"/>
    </row>
    <row r="130" spans="1:17" ht="12.75">
      <c r="A130" s="4"/>
      <c r="B130" s="3"/>
      <c r="C130" s="3"/>
      <c r="D130" s="4"/>
      <c r="E130" s="4"/>
      <c r="F130" s="4"/>
      <c r="G130" s="4"/>
      <c r="H130" s="4"/>
      <c r="I130" s="4"/>
      <c r="J130" s="4"/>
      <c r="K130" s="4"/>
      <c r="L130" s="4"/>
      <c r="M130" s="4"/>
      <c r="N130" s="4"/>
      <c r="O130" s="4"/>
      <c r="P130" s="4"/>
      <c r="Q130" s="4"/>
    </row>
    <row r="131" spans="1:17" ht="12.75">
      <c r="A131" s="4"/>
      <c r="B131" s="3"/>
      <c r="C131" s="3"/>
      <c r="D131" s="4"/>
      <c r="E131" s="4"/>
      <c r="F131" s="4"/>
      <c r="G131" s="4"/>
      <c r="H131" s="4"/>
      <c r="I131" s="4"/>
      <c r="J131" s="4"/>
      <c r="K131" s="4"/>
      <c r="L131" s="4"/>
      <c r="M131" s="4"/>
      <c r="N131" s="4"/>
      <c r="O131" s="4"/>
      <c r="P131" s="4"/>
      <c r="Q131" s="4"/>
    </row>
    <row r="132" spans="1:17" ht="12.75">
      <c r="A132" s="4"/>
      <c r="B132" s="3"/>
      <c r="C132" s="3"/>
      <c r="D132" s="4"/>
      <c r="E132" s="4"/>
      <c r="F132" s="4"/>
      <c r="G132" s="4"/>
      <c r="H132" s="4"/>
      <c r="I132" s="4"/>
      <c r="J132" s="4"/>
      <c r="K132" s="4"/>
      <c r="L132" s="4"/>
      <c r="M132" s="4"/>
      <c r="N132" s="4"/>
      <c r="O132" s="4"/>
      <c r="P132" s="4"/>
      <c r="Q132" s="4"/>
    </row>
    <row r="133" spans="1:17" ht="12.75">
      <c r="A133" s="4"/>
      <c r="B133" s="3"/>
      <c r="C133" s="3"/>
      <c r="D133" s="4"/>
      <c r="E133" s="4"/>
      <c r="F133" s="4"/>
      <c r="G133" s="4"/>
      <c r="H133" s="4"/>
      <c r="I133" s="4"/>
      <c r="J133" s="4"/>
      <c r="K133" s="4"/>
      <c r="L133" s="4"/>
      <c r="M133" s="4"/>
      <c r="N133" s="4"/>
      <c r="O133" s="4"/>
      <c r="P133" s="4"/>
      <c r="Q133" s="4"/>
    </row>
    <row r="134" spans="1:17" ht="12.75">
      <c r="A134" s="4"/>
      <c r="B134" s="3"/>
      <c r="C134" s="3"/>
      <c r="D134" s="4"/>
      <c r="E134" s="4"/>
      <c r="F134" s="4"/>
      <c r="G134" s="4"/>
      <c r="H134" s="4"/>
      <c r="I134" s="4"/>
      <c r="J134" s="4"/>
      <c r="K134" s="4"/>
      <c r="L134" s="4"/>
      <c r="M134" s="4"/>
      <c r="N134" s="4"/>
      <c r="O134" s="4"/>
      <c r="P134" s="4"/>
      <c r="Q134" s="4"/>
    </row>
    <row r="135" spans="1:17" ht="12.75">
      <c r="A135" s="4"/>
      <c r="B135" s="3"/>
      <c r="C135" s="3"/>
      <c r="D135" s="4"/>
      <c r="E135" s="4"/>
      <c r="F135" s="4"/>
      <c r="G135" s="4"/>
      <c r="H135" s="4"/>
      <c r="I135" s="4"/>
      <c r="J135" s="4"/>
      <c r="K135" s="4"/>
      <c r="L135" s="4"/>
      <c r="M135" s="4"/>
      <c r="N135" s="4"/>
      <c r="O135" s="4"/>
      <c r="P135" s="4"/>
      <c r="Q135" s="4"/>
    </row>
    <row r="136" spans="1:17" ht="12.75">
      <c r="A136" s="4"/>
      <c r="B136" s="3"/>
      <c r="C136" s="3"/>
      <c r="D136" s="4"/>
      <c r="E136" s="4"/>
      <c r="F136" s="4"/>
      <c r="G136" s="4"/>
      <c r="H136" s="4"/>
      <c r="I136" s="4"/>
      <c r="J136" s="4"/>
      <c r="K136" s="4"/>
      <c r="L136" s="4"/>
      <c r="M136" s="4"/>
      <c r="N136" s="4"/>
      <c r="O136" s="4"/>
      <c r="P136" s="4"/>
      <c r="Q136" s="4"/>
    </row>
    <row r="137" spans="1:17" ht="12.75">
      <c r="A137" s="4"/>
      <c r="B137" s="3"/>
      <c r="C137" s="3"/>
      <c r="D137" s="4"/>
      <c r="E137" s="4"/>
      <c r="F137" s="4"/>
      <c r="G137" s="4"/>
      <c r="H137" s="4"/>
      <c r="I137" s="4"/>
      <c r="J137" s="4"/>
      <c r="K137" s="4"/>
      <c r="L137" s="4"/>
      <c r="M137" s="4"/>
      <c r="N137" s="4"/>
      <c r="O137" s="4"/>
      <c r="P137" s="4"/>
      <c r="Q137" s="4"/>
    </row>
    <row r="138" spans="1:17" ht="12.75">
      <c r="A138" s="4"/>
      <c r="B138" s="3"/>
      <c r="C138" s="3"/>
      <c r="D138" s="4"/>
      <c r="E138" s="4"/>
      <c r="F138" s="4"/>
      <c r="G138" s="4"/>
      <c r="H138" s="4"/>
      <c r="I138" s="4"/>
      <c r="J138" s="4"/>
      <c r="K138" s="4"/>
      <c r="L138" s="4"/>
      <c r="M138" s="4"/>
      <c r="N138" s="4"/>
      <c r="O138" s="4"/>
      <c r="P138" s="4"/>
      <c r="Q138" s="4"/>
    </row>
    <row r="139" spans="1:17" ht="12.75">
      <c r="A139" s="4"/>
      <c r="B139" s="3"/>
      <c r="C139" s="3"/>
      <c r="D139" s="4"/>
      <c r="E139" s="4"/>
      <c r="F139" s="4"/>
      <c r="G139" s="4"/>
      <c r="H139" s="4"/>
      <c r="I139" s="4"/>
      <c r="J139" s="4"/>
      <c r="K139" s="4"/>
      <c r="L139" s="4"/>
      <c r="M139" s="4"/>
      <c r="N139" s="4"/>
      <c r="O139" s="4"/>
      <c r="P139" s="4"/>
      <c r="Q139" s="4"/>
    </row>
    <row r="140" spans="1:17" ht="12.75">
      <c r="A140" s="4"/>
      <c r="B140" s="3"/>
      <c r="C140" s="3"/>
      <c r="D140" s="4"/>
      <c r="E140" s="4"/>
      <c r="F140" s="4"/>
      <c r="G140" s="4"/>
      <c r="H140" s="4"/>
      <c r="I140" s="4"/>
      <c r="J140" s="4"/>
      <c r="K140" s="4"/>
      <c r="L140" s="4"/>
      <c r="M140" s="4"/>
      <c r="N140" s="4"/>
      <c r="O140" s="4"/>
      <c r="P140" s="4"/>
      <c r="Q140" s="4"/>
    </row>
    <row r="141" spans="1:17" ht="12.75">
      <c r="A141" s="4"/>
      <c r="B141" s="3"/>
      <c r="C141" s="3"/>
      <c r="D141" s="4"/>
      <c r="E141" s="4"/>
      <c r="F141" s="4"/>
      <c r="G141" s="4"/>
      <c r="H141" s="4"/>
      <c r="I141" s="4"/>
      <c r="J141" s="4"/>
      <c r="K141" s="4"/>
      <c r="L141" s="4"/>
      <c r="M141" s="4"/>
      <c r="N141" s="4"/>
      <c r="O141" s="4"/>
      <c r="P141" s="4"/>
      <c r="Q141" s="4"/>
    </row>
    <row r="142" spans="1:17" ht="12.75">
      <c r="A142" s="4"/>
      <c r="B142" s="3"/>
      <c r="C142" s="3"/>
      <c r="D142" s="4"/>
      <c r="E142" s="4"/>
      <c r="F142" s="4"/>
      <c r="G142" s="4"/>
      <c r="H142" s="4"/>
      <c r="I142" s="4"/>
      <c r="J142" s="4"/>
      <c r="K142" s="4"/>
      <c r="L142" s="4"/>
      <c r="M142" s="4"/>
      <c r="N142" s="4"/>
      <c r="O142" s="4"/>
      <c r="P142" s="4"/>
      <c r="Q142" s="4"/>
    </row>
    <row r="143" spans="1:17" ht="12.75">
      <c r="A143" s="4"/>
      <c r="B143" s="3"/>
      <c r="C143" s="3"/>
      <c r="D143" s="4"/>
      <c r="E143" s="4"/>
      <c r="F143" s="4"/>
      <c r="G143" s="4"/>
      <c r="H143" s="4"/>
      <c r="I143" s="4"/>
      <c r="J143" s="4"/>
      <c r="K143" s="4"/>
      <c r="L143" s="4"/>
      <c r="M143" s="4"/>
      <c r="N143" s="4"/>
      <c r="O143" s="4"/>
      <c r="P143" s="4"/>
      <c r="Q143" s="4"/>
    </row>
    <row r="144" spans="1:17" ht="12.75">
      <c r="A144" s="4"/>
      <c r="B144" s="3"/>
      <c r="C144" s="3"/>
      <c r="D144" s="4"/>
      <c r="E144" s="4"/>
      <c r="F144" s="4"/>
      <c r="G144" s="4"/>
      <c r="H144" s="4"/>
      <c r="I144" s="4"/>
      <c r="J144" s="4"/>
      <c r="K144" s="4"/>
      <c r="L144" s="4"/>
      <c r="M144" s="4"/>
      <c r="N144" s="4"/>
      <c r="O144" s="4"/>
      <c r="P144" s="4"/>
      <c r="Q144" s="4"/>
    </row>
    <row r="145" spans="1:17" ht="12.75">
      <c r="A145" s="4"/>
      <c r="B145" s="3"/>
      <c r="C145" s="3"/>
      <c r="D145" s="4"/>
      <c r="E145" s="4"/>
      <c r="F145" s="4"/>
      <c r="G145" s="4"/>
      <c r="H145" s="4"/>
      <c r="I145" s="4"/>
      <c r="J145" s="4"/>
      <c r="K145" s="4"/>
      <c r="L145" s="4"/>
      <c r="M145" s="4"/>
      <c r="N145" s="4"/>
      <c r="O145" s="4"/>
      <c r="P145" s="4"/>
      <c r="Q145" s="4"/>
    </row>
    <row r="146" spans="1:17" ht="12.75">
      <c r="A146" s="4"/>
      <c r="B146" s="3"/>
      <c r="C146" s="3"/>
      <c r="D146" s="4"/>
      <c r="E146" s="4"/>
      <c r="F146" s="4"/>
      <c r="G146" s="4"/>
      <c r="H146" s="4"/>
      <c r="I146" s="4"/>
      <c r="J146" s="4"/>
      <c r="K146" s="4"/>
      <c r="L146" s="4"/>
      <c r="M146" s="4"/>
      <c r="N146" s="4"/>
      <c r="O146" s="4"/>
      <c r="P146" s="4"/>
      <c r="Q146" s="4"/>
    </row>
    <row r="147" spans="1:17" ht="12.75">
      <c r="A147" s="4"/>
      <c r="B147" s="3"/>
      <c r="C147" s="3"/>
      <c r="D147" s="4"/>
      <c r="E147" s="4"/>
      <c r="F147" s="4"/>
      <c r="G147" s="4"/>
      <c r="H147" s="4"/>
      <c r="I147" s="4"/>
      <c r="J147" s="4"/>
      <c r="K147" s="4"/>
      <c r="L147" s="4"/>
      <c r="M147" s="4"/>
      <c r="N147" s="4"/>
      <c r="O147" s="4"/>
      <c r="P147" s="4"/>
      <c r="Q147" s="4"/>
    </row>
    <row r="148" spans="1:17" ht="12.75">
      <c r="A148" s="4"/>
      <c r="B148" s="3"/>
      <c r="C148" s="3"/>
      <c r="D148" s="4"/>
      <c r="E148" s="4"/>
      <c r="F148" s="4"/>
      <c r="G148" s="4"/>
      <c r="H148" s="4"/>
      <c r="I148" s="4"/>
      <c r="J148" s="4"/>
      <c r="K148" s="4"/>
      <c r="L148" s="4"/>
      <c r="M148" s="4"/>
      <c r="N148" s="4"/>
      <c r="O148" s="4"/>
      <c r="P148" s="4"/>
      <c r="Q148" s="4"/>
    </row>
    <row r="149" spans="1:17" ht="12.75">
      <c r="A149" s="4"/>
      <c r="B149" s="3"/>
      <c r="C149" s="3"/>
      <c r="D149" s="4"/>
      <c r="E149" s="4"/>
      <c r="F149" s="4"/>
      <c r="G149" s="4"/>
      <c r="H149" s="4"/>
      <c r="I149" s="4"/>
      <c r="J149" s="4"/>
      <c r="K149" s="4"/>
      <c r="L149" s="4"/>
      <c r="M149" s="4"/>
      <c r="N149" s="4"/>
      <c r="O149" s="4"/>
      <c r="P149" s="4"/>
      <c r="Q149" s="4"/>
    </row>
    <row r="150" spans="1:17" ht="12.75">
      <c r="A150" s="4"/>
      <c r="B150" s="3"/>
      <c r="C150" s="3"/>
      <c r="D150" s="4"/>
      <c r="E150" s="4"/>
      <c r="F150" s="4"/>
      <c r="G150" s="4"/>
      <c r="H150" s="4"/>
      <c r="I150" s="4"/>
      <c r="J150" s="4"/>
      <c r="K150" s="4"/>
      <c r="L150" s="4"/>
      <c r="M150" s="4"/>
      <c r="N150" s="4"/>
      <c r="O150" s="4"/>
      <c r="P150" s="4"/>
      <c r="Q150" s="4"/>
    </row>
    <row r="151" spans="1:17" ht="12.75">
      <c r="A151" s="4"/>
      <c r="B151" s="3"/>
      <c r="C151" s="3"/>
      <c r="D151" s="4"/>
      <c r="E151" s="4"/>
      <c r="F151" s="4"/>
      <c r="G151" s="4"/>
      <c r="H151" s="4"/>
      <c r="I151" s="4"/>
      <c r="J151" s="4"/>
      <c r="K151" s="4"/>
      <c r="L151" s="4"/>
      <c r="M151" s="4"/>
      <c r="N151" s="4"/>
      <c r="O151" s="4"/>
      <c r="P151" s="4"/>
      <c r="Q151" s="4"/>
    </row>
    <row r="152" spans="1:17" ht="12.75">
      <c r="A152" s="4"/>
      <c r="B152" s="3"/>
      <c r="C152" s="3"/>
      <c r="D152" s="4"/>
      <c r="E152" s="4"/>
      <c r="F152" s="4"/>
      <c r="G152" s="4"/>
      <c r="H152" s="4"/>
      <c r="I152" s="4"/>
      <c r="J152" s="4"/>
      <c r="K152" s="4"/>
      <c r="L152" s="4"/>
      <c r="M152" s="4"/>
      <c r="N152" s="4"/>
      <c r="O152" s="4"/>
      <c r="P152" s="4"/>
      <c r="Q152" s="4"/>
    </row>
    <row r="153" spans="1:17" ht="12.75">
      <c r="A153" s="4"/>
      <c r="B153" s="3"/>
      <c r="C153" s="3"/>
      <c r="D153" s="4"/>
      <c r="E153" s="4"/>
      <c r="F153" s="4"/>
      <c r="G153" s="4"/>
      <c r="H153" s="4"/>
      <c r="I153" s="4"/>
      <c r="J153" s="4"/>
      <c r="K153" s="4"/>
      <c r="L153" s="4"/>
      <c r="M153" s="4"/>
      <c r="N153" s="4"/>
      <c r="O153" s="4"/>
      <c r="P153" s="4"/>
      <c r="Q153" s="4"/>
    </row>
    <row r="154" spans="1:17" ht="12.75">
      <c r="A154" s="4"/>
      <c r="B154" s="3"/>
      <c r="C154" s="3"/>
      <c r="D154" s="4"/>
      <c r="E154" s="4"/>
      <c r="F154" s="4"/>
      <c r="G154" s="4"/>
      <c r="H154" s="4"/>
      <c r="I154" s="4"/>
      <c r="J154" s="4"/>
      <c r="K154" s="4"/>
      <c r="L154" s="4"/>
      <c r="M154" s="4"/>
      <c r="N154" s="4"/>
      <c r="O154" s="4"/>
      <c r="P154" s="4"/>
      <c r="Q154" s="4"/>
    </row>
    <row r="155" spans="1:17" ht="12.75">
      <c r="A155" s="4"/>
      <c r="B155" s="3"/>
      <c r="C155" s="3"/>
      <c r="D155" s="4"/>
      <c r="E155" s="4"/>
      <c r="F155" s="4"/>
      <c r="G155" s="4"/>
      <c r="H155" s="4"/>
      <c r="I155" s="4"/>
      <c r="J155" s="4"/>
      <c r="K155" s="4"/>
      <c r="L155" s="4"/>
      <c r="M155" s="4"/>
      <c r="N155" s="4"/>
      <c r="O155" s="4"/>
      <c r="P155" s="4"/>
      <c r="Q155" s="4"/>
    </row>
    <row r="156" spans="1:17" ht="12.75">
      <c r="A156" s="4"/>
      <c r="B156" s="3"/>
      <c r="C156" s="3"/>
      <c r="D156" s="4"/>
      <c r="E156" s="4"/>
      <c r="F156" s="4"/>
      <c r="G156" s="4"/>
      <c r="H156" s="4"/>
      <c r="I156" s="4"/>
      <c r="J156" s="4"/>
      <c r="K156" s="4"/>
      <c r="L156" s="4"/>
      <c r="M156" s="4"/>
      <c r="N156" s="4"/>
      <c r="O156" s="4"/>
      <c r="P156" s="4"/>
      <c r="Q156" s="4"/>
    </row>
    <row r="157" spans="1:17" ht="12.75">
      <c r="A157" s="4"/>
      <c r="B157" s="3"/>
      <c r="C157" s="3"/>
      <c r="D157" s="4"/>
      <c r="E157" s="4"/>
      <c r="F157" s="4"/>
      <c r="G157" s="4"/>
      <c r="H157" s="4"/>
      <c r="I157" s="4"/>
      <c r="J157" s="4"/>
      <c r="K157" s="4"/>
      <c r="L157" s="4"/>
      <c r="M157" s="4"/>
      <c r="N157" s="4"/>
      <c r="O157" s="4"/>
      <c r="P157" s="4"/>
      <c r="Q157" s="4"/>
    </row>
    <row r="158" spans="1:17" ht="12.75">
      <c r="A158" s="4"/>
      <c r="B158" s="3"/>
      <c r="C158" s="3"/>
      <c r="D158" s="4"/>
      <c r="E158" s="4"/>
      <c r="F158" s="4"/>
      <c r="G158" s="4"/>
      <c r="H158" s="4"/>
      <c r="I158" s="4"/>
      <c r="J158" s="4"/>
      <c r="K158" s="4"/>
      <c r="L158" s="4"/>
      <c r="M158" s="4"/>
      <c r="N158" s="4"/>
      <c r="O158" s="4"/>
      <c r="P158" s="4"/>
      <c r="Q158" s="4"/>
    </row>
    <row r="159" spans="1:17" ht="12.75">
      <c r="A159" s="4"/>
      <c r="B159" s="3"/>
      <c r="C159" s="3"/>
      <c r="D159" s="4"/>
      <c r="E159" s="4"/>
      <c r="F159" s="4"/>
      <c r="G159" s="4"/>
      <c r="H159" s="4"/>
      <c r="I159" s="4"/>
      <c r="J159" s="4"/>
      <c r="K159" s="4"/>
      <c r="L159" s="4"/>
      <c r="M159" s="4"/>
      <c r="N159" s="4"/>
      <c r="O159" s="4"/>
      <c r="P159" s="4"/>
      <c r="Q159" s="4"/>
    </row>
    <row r="160" spans="1:17" ht="12.75">
      <c r="A160" s="4"/>
      <c r="B160" s="3"/>
      <c r="C160" s="3"/>
      <c r="D160" s="4"/>
      <c r="E160" s="4"/>
      <c r="F160" s="4"/>
      <c r="G160" s="4"/>
      <c r="H160" s="4"/>
      <c r="I160" s="4"/>
      <c r="J160" s="4"/>
      <c r="K160" s="4"/>
      <c r="L160" s="4"/>
      <c r="M160" s="4"/>
      <c r="N160" s="4"/>
      <c r="O160" s="4"/>
      <c r="P160" s="4"/>
      <c r="Q160" s="4"/>
    </row>
    <row r="161" spans="1:17" ht="12.75">
      <c r="A161" s="4"/>
      <c r="B161" s="3"/>
      <c r="C161" s="3"/>
      <c r="D161" s="4"/>
      <c r="E161" s="4"/>
      <c r="F161" s="4"/>
      <c r="G161" s="4"/>
      <c r="H161" s="4"/>
      <c r="I161" s="4"/>
      <c r="J161" s="4"/>
      <c r="K161" s="4"/>
      <c r="L161" s="4"/>
      <c r="M161" s="4"/>
      <c r="N161" s="4"/>
      <c r="O161" s="4"/>
      <c r="P161" s="4"/>
      <c r="Q161" s="4"/>
    </row>
    <row r="162" spans="1:17" ht="12.75">
      <c r="A162" s="4"/>
      <c r="B162" s="3"/>
      <c r="C162" s="3"/>
      <c r="D162" s="4"/>
      <c r="E162" s="4"/>
      <c r="F162" s="4"/>
      <c r="G162" s="4"/>
      <c r="H162" s="4"/>
      <c r="I162" s="4"/>
      <c r="J162" s="4"/>
      <c r="K162" s="4"/>
      <c r="L162" s="4"/>
      <c r="M162" s="4"/>
      <c r="N162" s="4"/>
      <c r="O162" s="4"/>
      <c r="P162" s="4"/>
      <c r="Q162" s="4"/>
    </row>
    <row r="163" spans="1:17" ht="12.75">
      <c r="A163" s="4"/>
      <c r="B163" s="3"/>
      <c r="C163" s="3"/>
      <c r="D163" s="4"/>
      <c r="E163" s="4"/>
      <c r="F163" s="4"/>
      <c r="G163" s="4"/>
      <c r="H163" s="4"/>
      <c r="I163" s="4"/>
      <c r="J163" s="4"/>
      <c r="K163" s="4"/>
      <c r="L163" s="4"/>
      <c r="M163" s="4"/>
      <c r="N163" s="4"/>
      <c r="O163" s="4"/>
      <c r="P163" s="4"/>
      <c r="Q163" s="4"/>
    </row>
    <row r="164" spans="1:17" ht="12.75">
      <c r="A164" s="4"/>
      <c r="B164" s="3"/>
      <c r="C164" s="3"/>
      <c r="D164" s="4"/>
      <c r="E164" s="4"/>
      <c r="F164" s="4"/>
      <c r="G164" s="4"/>
      <c r="H164" s="4"/>
      <c r="I164" s="4"/>
      <c r="J164" s="4"/>
      <c r="K164" s="4"/>
      <c r="L164" s="4"/>
      <c r="M164" s="4"/>
      <c r="N164" s="4"/>
      <c r="O164" s="4"/>
      <c r="P164" s="4"/>
      <c r="Q164" s="4"/>
    </row>
    <row r="165" spans="1:17" ht="12.75">
      <c r="A165" s="4"/>
      <c r="B165" s="3"/>
      <c r="C165" s="3"/>
      <c r="D165" s="4"/>
      <c r="E165" s="4"/>
      <c r="F165" s="4"/>
      <c r="G165" s="4"/>
      <c r="H165" s="4"/>
      <c r="I165" s="4"/>
      <c r="J165" s="4"/>
      <c r="K165" s="4"/>
      <c r="L165" s="4"/>
      <c r="M165" s="4"/>
      <c r="N165" s="4"/>
      <c r="O165" s="4"/>
      <c r="P165" s="4"/>
      <c r="Q165" s="4"/>
    </row>
    <row r="166" spans="1:17" ht="12.75">
      <c r="A166" s="4"/>
      <c r="B166" s="3"/>
      <c r="C166" s="3"/>
      <c r="D166" s="4"/>
      <c r="E166" s="4"/>
      <c r="F166" s="4"/>
      <c r="G166" s="4"/>
      <c r="H166" s="4"/>
      <c r="I166" s="4"/>
      <c r="J166" s="4"/>
      <c r="K166" s="4"/>
      <c r="L166" s="4"/>
      <c r="M166" s="4"/>
      <c r="N166" s="4"/>
      <c r="O166" s="4"/>
      <c r="P166" s="4"/>
      <c r="Q166" s="4"/>
    </row>
    <row r="167" spans="1:17" ht="12.75">
      <c r="A167" s="4"/>
      <c r="B167" s="3"/>
      <c r="C167" s="3"/>
      <c r="D167" s="4"/>
      <c r="E167" s="4"/>
      <c r="F167" s="4"/>
      <c r="G167" s="4"/>
      <c r="H167" s="4"/>
      <c r="I167" s="4"/>
      <c r="J167" s="4"/>
      <c r="K167" s="4"/>
      <c r="L167" s="4"/>
      <c r="M167" s="4"/>
      <c r="N167" s="4"/>
      <c r="O167" s="4"/>
      <c r="P167" s="4"/>
      <c r="Q167" s="4"/>
    </row>
    <row r="168" spans="1:17" ht="12.75">
      <c r="A168" s="4"/>
      <c r="B168" s="3"/>
      <c r="C168" s="3"/>
      <c r="D168" s="4"/>
      <c r="E168" s="4"/>
      <c r="F168" s="4"/>
      <c r="G168" s="4"/>
      <c r="H168" s="4"/>
      <c r="I168" s="4"/>
      <c r="J168" s="4"/>
      <c r="K168" s="4"/>
      <c r="L168" s="4"/>
      <c r="M168" s="4"/>
      <c r="N168" s="4"/>
      <c r="O168" s="4"/>
      <c r="P168" s="4"/>
      <c r="Q168" s="4"/>
    </row>
    <row r="169" spans="1:17" ht="12.75">
      <c r="A169" s="4"/>
      <c r="B169" s="3"/>
      <c r="C169" s="3"/>
      <c r="D169" s="4"/>
      <c r="E169" s="4"/>
      <c r="F169" s="4"/>
      <c r="G169" s="4"/>
      <c r="H169" s="4"/>
      <c r="I169" s="4"/>
      <c r="J169" s="4"/>
      <c r="K169" s="4"/>
      <c r="L169" s="4"/>
      <c r="M169" s="4"/>
      <c r="N169" s="4"/>
      <c r="O169" s="4"/>
      <c r="P169" s="4"/>
      <c r="Q169" s="4"/>
    </row>
    <row r="170" spans="1:17" ht="12.75">
      <c r="A170" s="4"/>
      <c r="B170" s="3"/>
      <c r="C170" s="3"/>
      <c r="D170" s="4"/>
      <c r="E170" s="4"/>
      <c r="F170" s="4"/>
      <c r="G170" s="4"/>
      <c r="H170" s="4"/>
      <c r="I170" s="4"/>
      <c r="J170" s="4"/>
      <c r="K170" s="4"/>
      <c r="L170" s="4"/>
      <c r="M170" s="4"/>
      <c r="N170" s="4"/>
      <c r="O170" s="4"/>
      <c r="P170" s="4"/>
      <c r="Q170" s="4"/>
    </row>
    <row r="171" spans="1:17" ht="12.75">
      <c r="A171" s="4"/>
      <c r="B171" s="3"/>
      <c r="C171" s="3"/>
      <c r="D171" s="4"/>
      <c r="E171" s="4"/>
      <c r="F171" s="4"/>
      <c r="G171" s="4"/>
      <c r="H171" s="4"/>
      <c r="I171" s="4"/>
      <c r="J171" s="4"/>
      <c r="K171" s="4"/>
      <c r="L171" s="4"/>
      <c r="M171" s="4"/>
      <c r="N171" s="4"/>
      <c r="O171" s="4"/>
      <c r="P171" s="4"/>
      <c r="Q171" s="4"/>
    </row>
    <row r="172" spans="1:17" ht="12.75">
      <c r="A172" s="4"/>
      <c r="B172" s="3"/>
      <c r="C172" s="3"/>
      <c r="D172" s="4"/>
      <c r="E172" s="4"/>
      <c r="F172" s="4"/>
      <c r="G172" s="4"/>
      <c r="H172" s="4"/>
      <c r="I172" s="4"/>
      <c r="J172" s="4"/>
      <c r="K172" s="4"/>
      <c r="L172" s="4"/>
      <c r="M172" s="4"/>
      <c r="N172" s="4"/>
      <c r="O172" s="4"/>
      <c r="P172" s="4"/>
      <c r="Q172" s="4"/>
    </row>
    <row r="173" spans="1:17" ht="12.75">
      <c r="A173" s="4"/>
      <c r="B173" s="3"/>
      <c r="C173" s="3"/>
      <c r="D173" s="4"/>
      <c r="E173" s="4"/>
      <c r="F173" s="4"/>
      <c r="G173" s="4"/>
      <c r="H173" s="4"/>
      <c r="I173" s="4"/>
      <c r="J173" s="4"/>
      <c r="K173" s="4"/>
      <c r="L173" s="4"/>
      <c r="M173" s="4"/>
      <c r="N173" s="4"/>
      <c r="O173" s="4"/>
      <c r="P173" s="4"/>
      <c r="Q173" s="4"/>
    </row>
    <row r="174" spans="1:17" ht="12.75">
      <c r="A174" s="4"/>
      <c r="B174" s="3"/>
      <c r="C174" s="3"/>
      <c r="D174" s="4"/>
      <c r="E174" s="4"/>
      <c r="F174" s="4"/>
      <c r="G174" s="4"/>
      <c r="H174" s="4"/>
      <c r="I174" s="4"/>
      <c r="J174" s="4"/>
      <c r="K174" s="4"/>
      <c r="L174" s="4"/>
      <c r="M174" s="4"/>
      <c r="N174" s="4"/>
      <c r="O174" s="4"/>
      <c r="P174" s="4"/>
      <c r="Q174" s="4"/>
    </row>
    <row r="175" spans="1:17" ht="12.75">
      <c r="A175" s="4"/>
      <c r="B175" s="3"/>
      <c r="C175" s="3"/>
      <c r="D175" s="4"/>
      <c r="E175" s="4"/>
      <c r="F175" s="4"/>
      <c r="G175" s="4"/>
      <c r="H175" s="4"/>
      <c r="I175" s="4"/>
      <c r="J175" s="4"/>
      <c r="K175" s="4"/>
      <c r="L175" s="4"/>
      <c r="M175" s="4"/>
      <c r="N175" s="4"/>
      <c r="O175" s="4"/>
      <c r="P175" s="4"/>
      <c r="Q175" s="4"/>
    </row>
    <row r="176" spans="1:17" ht="12.75">
      <c r="A176" s="4"/>
      <c r="B176" s="3"/>
      <c r="C176" s="3"/>
      <c r="D176" s="4"/>
      <c r="E176" s="4"/>
      <c r="F176" s="4"/>
      <c r="G176" s="4"/>
      <c r="H176" s="4"/>
      <c r="I176" s="4"/>
      <c r="J176" s="4"/>
      <c r="K176" s="4"/>
      <c r="L176" s="4"/>
      <c r="M176" s="4"/>
      <c r="N176" s="4"/>
      <c r="O176" s="4"/>
      <c r="P176" s="4"/>
      <c r="Q176" s="4"/>
    </row>
    <row r="177" spans="1:17" ht="12.75">
      <c r="A177" s="4"/>
      <c r="B177" s="3"/>
      <c r="C177" s="3"/>
      <c r="D177" s="4"/>
      <c r="E177" s="4"/>
      <c r="F177" s="4"/>
      <c r="G177" s="4"/>
      <c r="H177" s="4"/>
      <c r="I177" s="4"/>
      <c r="J177" s="4"/>
      <c r="K177" s="4"/>
      <c r="L177" s="4"/>
      <c r="M177" s="4"/>
      <c r="N177" s="4"/>
      <c r="O177" s="4"/>
      <c r="P177" s="4"/>
      <c r="Q177" s="4"/>
    </row>
    <row r="178" spans="1:17" ht="12.75">
      <c r="A178" s="4"/>
      <c r="B178" s="3"/>
      <c r="C178" s="3"/>
      <c r="D178" s="4"/>
      <c r="E178" s="4"/>
      <c r="F178" s="4"/>
      <c r="G178" s="4"/>
      <c r="H178" s="4"/>
      <c r="I178" s="4"/>
      <c r="J178" s="4"/>
      <c r="K178" s="4"/>
      <c r="L178" s="4"/>
      <c r="M178" s="4"/>
      <c r="N178" s="4"/>
      <c r="O178" s="4"/>
      <c r="P178" s="4"/>
      <c r="Q178" s="4"/>
    </row>
    <row r="179" spans="1:17" ht="12.75">
      <c r="A179" s="4"/>
      <c r="B179" s="3"/>
      <c r="C179" s="3"/>
      <c r="D179" s="4"/>
      <c r="E179" s="4"/>
      <c r="F179" s="4"/>
      <c r="G179" s="4"/>
      <c r="H179" s="4"/>
      <c r="I179" s="4"/>
      <c r="J179" s="4"/>
      <c r="K179" s="4"/>
      <c r="L179" s="4"/>
      <c r="M179" s="4"/>
      <c r="N179" s="4"/>
      <c r="O179" s="4"/>
      <c r="P179" s="4"/>
      <c r="Q179" s="4"/>
    </row>
    <row r="180" spans="1:17" ht="12.75">
      <c r="A180" s="4"/>
      <c r="B180" s="3"/>
      <c r="C180" s="3"/>
      <c r="D180" s="4"/>
      <c r="E180" s="4"/>
      <c r="F180" s="4"/>
      <c r="G180" s="4"/>
      <c r="H180" s="4"/>
      <c r="I180" s="4"/>
      <c r="J180" s="4"/>
      <c r="K180" s="4"/>
      <c r="L180" s="4"/>
      <c r="M180" s="4"/>
      <c r="N180" s="4"/>
      <c r="O180" s="4"/>
      <c r="P180" s="4"/>
      <c r="Q180" s="4"/>
    </row>
    <row r="181" spans="1:17" ht="12.75">
      <c r="A181" s="4"/>
      <c r="B181" s="3"/>
      <c r="C181" s="3"/>
      <c r="D181" s="4"/>
      <c r="E181" s="4"/>
      <c r="F181" s="4"/>
      <c r="G181" s="4"/>
      <c r="H181" s="4"/>
      <c r="I181" s="4"/>
      <c r="J181" s="4"/>
      <c r="K181" s="4"/>
      <c r="L181" s="4"/>
      <c r="M181" s="4"/>
      <c r="N181" s="4"/>
      <c r="O181" s="4"/>
      <c r="P181" s="4"/>
      <c r="Q181" s="4"/>
    </row>
    <row r="182" spans="1:17" ht="12.75">
      <c r="A182" s="4"/>
      <c r="B182" s="3"/>
      <c r="C182" s="3"/>
      <c r="D182" s="4"/>
      <c r="E182" s="4"/>
      <c r="F182" s="4"/>
      <c r="G182" s="4"/>
      <c r="H182" s="4"/>
      <c r="I182" s="4"/>
      <c r="J182" s="4"/>
      <c r="K182" s="4"/>
      <c r="L182" s="4"/>
      <c r="M182" s="4"/>
      <c r="N182" s="4"/>
      <c r="O182" s="4"/>
      <c r="P182" s="4"/>
      <c r="Q182" s="4"/>
    </row>
    <row r="183" spans="1:17" ht="12.75">
      <c r="A183" s="4"/>
      <c r="B183" s="3"/>
      <c r="C183" s="3"/>
      <c r="D183" s="4"/>
      <c r="E183" s="4"/>
      <c r="F183" s="4"/>
      <c r="G183" s="4"/>
      <c r="H183" s="4"/>
      <c r="I183" s="4"/>
      <c r="J183" s="4"/>
      <c r="K183" s="4"/>
      <c r="L183" s="4"/>
      <c r="M183" s="4"/>
      <c r="N183" s="4"/>
      <c r="O183" s="4"/>
      <c r="P183" s="4"/>
      <c r="Q183" s="4"/>
    </row>
    <row r="184" spans="1:17" ht="12.75">
      <c r="A184" s="4"/>
      <c r="B184" s="3"/>
      <c r="C184" s="3"/>
      <c r="D184" s="4"/>
      <c r="E184" s="4"/>
      <c r="F184" s="4"/>
      <c r="G184" s="4"/>
      <c r="H184" s="4"/>
      <c r="I184" s="4"/>
      <c r="J184" s="4"/>
      <c r="K184" s="4"/>
      <c r="L184" s="4"/>
      <c r="M184" s="4"/>
      <c r="N184" s="4"/>
      <c r="O184" s="4"/>
      <c r="P184" s="4"/>
      <c r="Q184" s="4"/>
    </row>
    <row r="185" spans="1:17" ht="12.75">
      <c r="A185" s="4"/>
      <c r="B185" s="3"/>
      <c r="C185" s="3"/>
      <c r="D185" s="4"/>
      <c r="E185" s="4"/>
      <c r="F185" s="4"/>
      <c r="G185" s="4"/>
      <c r="H185" s="4"/>
      <c r="I185" s="4"/>
      <c r="J185" s="4"/>
      <c r="K185" s="4"/>
      <c r="L185" s="4"/>
      <c r="M185" s="4"/>
      <c r="N185" s="4"/>
      <c r="O185" s="4"/>
      <c r="P185" s="4"/>
      <c r="Q185" s="4"/>
    </row>
    <row r="186" spans="1:17" ht="12.75">
      <c r="A186" s="4"/>
      <c r="B186" s="3"/>
      <c r="C186" s="3"/>
      <c r="D186" s="4"/>
      <c r="E186" s="4"/>
      <c r="F186" s="4"/>
      <c r="G186" s="4"/>
      <c r="H186" s="4"/>
      <c r="I186" s="4"/>
      <c r="J186" s="4"/>
      <c r="K186" s="4"/>
      <c r="L186" s="4"/>
      <c r="M186" s="4"/>
      <c r="N186" s="4"/>
      <c r="O186" s="4"/>
      <c r="P186" s="4"/>
      <c r="Q186" s="4"/>
    </row>
    <row r="187" spans="1:17" ht="12.75">
      <c r="A187" s="4"/>
      <c r="B187" s="3"/>
      <c r="C187" s="3"/>
      <c r="D187" s="4"/>
      <c r="E187" s="4"/>
      <c r="F187" s="4"/>
      <c r="G187" s="4"/>
      <c r="H187" s="4"/>
      <c r="I187" s="4"/>
      <c r="J187" s="4"/>
      <c r="K187" s="4"/>
      <c r="L187" s="4"/>
      <c r="M187" s="4"/>
      <c r="N187" s="4"/>
      <c r="O187" s="4"/>
      <c r="P187" s="4"/>
      <c r="Q187" s="4"/>
    </row>
    <row r="188" spans="1:17" ht="12.75">
      <c r="A188" s="4"/>
      <c r="B188" s="3"/>
      <c r="C188" s="3"/>
      <c r="D188" s="4"/>
      <c r="E188" s="4"/>
      <c r="F188" s="4"/>
      <c r="G188" s="4"/>
      <c r="H188" s="4"/>
      <c r="I188" s="4"/>
      <c r="J188" s="4"/>
      <c r="K188" s="4"/>
      <c r="L188" s="4"/>
      <c r="M188" s="4"/>
      <c r="N188" s="4"/>
      <c r="O188" s="4"/>
      <c r="P188" s="4"/>
      <c r="Q188" s="4"/>
    </row>
    <row r="189" spans="1:17" ht="12.75">
      <c r="A189" s="4"/>
      <c r="B189" s="3"/>
      <c r="C189" s="3"/>
      <c r="D189" s="4"/>
      <c r="E189" s="4"/>
      <c r="F189" s="4"/>
      <c r="G189" s="4"/>
      <c r="H189" s="4"/>
      <c r="I189" s="4"/>
      <c r="J189" s="4"/>
      <c r="K189" s="4"/>
      <c r="L189" s="4"/>
      <c r="M189" s="4"/>
      <c r="N189" s="4"/>
      <c r="O189" s="4"/>
      <c r="P189" s="4"/>
      <c r="Q189" s="4"/>
    </row>
    <row r="190" spans="1:17" ht="12.75">
      <c r="A190" s="4"/>
      <c r="B190" s="3"/>
      <c r="C190" s="3"/>
      <c r="D190" s="4"/>
      <c r="E190" s="4"/>
      <c r="F190" s="4"/>
      <c r="G190" s="4"/>
      <c r="H190" s="4"/>
      <c r="I190" s="4"/>
      <c r="J190" s="4"/>
      <c r="K190" s="4"/>
      <c r="L190" s="4"/>
      <c r="M190" s="4"/>
      <c r="N190" s="4"/>
      <c r="O190" s="4"/>
      <c r="P190" s="4"/>
      <c r="Q190" s="4"/>
    </row>
    <row r="191" spans="1:17" ht="12.75">
      <c r="A191" s="4"/>
      <c r="B191" s="3"/>
      <c r="C191" s="3"/>
      <c r="D191" s="4"/>
      <c r="E191" s="4"/>
      <c r="F191" s="4"/>
      <c r="G191" s="4"/>
      <c r="H191" s="4"/>
      <c r="I191" s="4"/>
      <c r="J191" s="4"/>
      <c r="K191" s="4"/>
      <c r="L191" s="4"/>
      <c r="M191" s="4"/>
      <c r="N191" s="4"/>
      <c r="O191" s="4"/>
      <c r="P191" s="4"/>
      <c r="Q191" s="4"/>
    </row>
    <row r="192" spans="1:17" ht="12.75">
      <c r="A192" s="4"/>
      <c r="B192" s="3"/>
      <c r="C192" s="3"/>
      <c r="D192" s="4"/>
      <c r="E192" s="4"/>
      <c r="F192" s="4"/>
      <c r="G192" s="4"/>
      <c r="H192" s="4"/>
      <c r="I192" s="4"/>
      <c r="J192" s="4"/>
      <c r="K192" s="4"/>
      <c r="L192" s="4"/>
      <c r="M192" s="4"/>
      <c r="N192" s="4"/>
      <c r="O192" s="4"/>
      <c r="P192" s="4"/>
      <c r="Q192" s="4"/>
    </row>
    <row r="193" spans="1:17" ht="12.75">
      <c r="A193" s="4"/>
      <c r="B193" s="3"/>
      <c r="C193" s="3"/>
      <c r="D193" s="4"/>
      <c r="E193" s="4"/>
      <c r="F193" s="4"/>
      <c r="G193" s="4"/>
      <c r="H193" s="4"/>
      <c r="I193" s="4"/>
      <c r="J193" s="4"/>
      <c r="K193" s="4"/>
      <c r="L193" s="4"/>
      <c r="M193" s="4"/>
      <c r="N193" s="4"/>
      <c r="O193" s="4"/>
      <c r="P193" s="4"/>
      <c r="Q193" s="4"/>
    </row>
    <row r="194" spans="1:17" ht="12.75">
      <c r="A194" s="4"/>
      <c r="B194" s="3"/>
      <c r="C194" s="3"/>
      <c r="D194" s="4"/>
      <c r="E194" s="4"/>
      <c r="F194" s="4"/>
      <c r="G194" s="4"/>
      <c r="H194" s="4"/>
      <c r="I194" s="4"/>
      <c r="J194" s="4"/>
      <c r="K194" s="4"/>
      <c r="L194" s="4"/>
      <c r="M194" s="4"/>
      <c r="N194" s="4"/>
      <c r="O194" s="4"/>
      <c r="P194" s="4"/>
      <c r="Q194" s="4"/>
    </row>
    <row r="195" spans="1:17" ht="12.75">
      <c r="A195" s="4"/>
      <c r="B195" s="3"/>
      <c r="C195" s="3"/>
      <c r="D195" s="4"/>
      <c r="E195" s="4"/>
      <c r="F195" s="4"/>
      <c r="G195" s="4"/>
      <c r="H195" s="4"/>
      <c r="I195" s="4"/>
      <c r="J195" s="4"/>
      <c r="K195" s="4"/>
      <c r="L195" s="4"/>
      <c r="M195" s="4"/>
      <c r="N195" s="4"/>
      <c r="O195" s="4"/>
      <c r="P195" s="4"/>
      <c r="Q195" s="4"/>
    </row>
    <row r="196" spans="1:17" ht="12.75">
      <c r="A196" s="4"/>
      <c r="B196" s="3"/>
      <c r="C196" s="3"/>
      <c r="D196" s="4"/>
      <c r="E196" s="4"/>
      <c r="F196" s="4"/>
      <c r="G196" s="4"/>
      <c r="H196" s="4"/>
      <c r="I196" s="4"/>
      <c r="J196" s="4"/>
      <c r="K196" s="4"/>
      <c r="L196" s="4"/>
      <c r="M196" s="4"/>
      <c r="N196" s="4"/>
      <c r="O196" s="4"/>
      <c r="P196" s="4"/>
      <c r="Q196" s="4"/>
    </row>
    <row r="197" spans="1:17" ht="12.75">
      <c r="A197" s="4"/>
      <c r="B197" s="3"/>
      <c r="C197" s="3"/>
      <c r="D197" s="4"/>
      <c r="E197" s="4"/>
      <c r="F197" s="4"/>
      <c r="G197" s="4"/>
      <c r="H197" s="4"/>
      <c r="I197" s="4"/>
      <c r="J197" s="4"/>
      <c r="K197" s="4"/>
      <c r="L197" s="4"/>
      <c r="M197" s="4"/>
      <c r="N197" s="4"/>
      <c r="O197" s="4"/>
      <c r="P197" s="4"/>
      <c r="Q197" s="4"/>
    </row>
    <row r="198" spans="1:17" ht="12.75">
      <c r="A198" s="4"/>
      <c r="B198" s="3"/>
      <c r="C198" s="3"/>
      <c r="D198" s="4"/>
      <c r="E198" s="4"/>
      <c r="F198" s="4"/>
      <c r="G198" s="4"/>
      <c r="H198" s="4"/>
      <c r="I198" s="4"/>
      <c r="J198" s="4"/>
      <c r="K198" s="4"/>
      <c r="L198" s="4"/>
      <c r="M198" s="4"/>
      <c r="N198" s="4"/>
      <c r="O198" s="4"/>
      <c r="P198" s="4"/>
      <c r="Q198" s="4"/>
    </row>
    <row r="199" spans="1:17" ht="12.75">
      <c r="A199" s="4"/>
      <c r="B199" s="3"/>
      <c r="C199" s="3"/>
      <c r="D199" s="4"/>
      <c r="E199" s="4"/>
      <c r="F199" s="4"/>
      <c r="G199" s="4"/>
      <c r="H199" s="4"/>
      <c r="I199" s="4"/>
      <c r="J199" s="4"/>
      <c r="K199" s="4"/>
      <c r="L199" s="4"/>
      <c r="M199" s="4"/>
      <c r="N199" s="4"/>
      <c r="O199" s="4"/>
      <c r="P199" s="4"/>
      <c r="Q199" s="4"/>
    </row>
    <row r="200" spans="1:17" ht="12.75">
      <c r="A200" s="4"/>
      <c r="B200" s="3"/>
      <c r="C200" s="3"/>
      <c r="D200" s="4"/>
      <c r="E200" s="4"/>
      <c r="F200" s="4"/>
      <c r="G200" s="4"/>
      <c r="H200" s="4"/>
      <c r="I200" s="4"/>
      <c r="J200" s="4"/>
      <c r="K200" s="4"/>
      <c r="L200" s="4"/>
      <c r="M200" s="4"/>
      <c r="N200" s="4"/>
      <c r="O200" s="4"/>
      <c r="P200" s="4"/>
      <c r="Q200" s="4"/>
    </row>
    <row r="201" spans="1:17" ht="12.75">
      <c r="A201" s="4"/>
      <c r="B201" s="3"/>
      <c r="C201" s="3"/>
      <c r="D201" s="4"/>
      <c r="E201" s="4"/>
      <c r="F201" s="4"/>
      <c r="G201" s="4"/>
      <c r="H201" s="4"/>
      <c r="I201" s="4"/>
      <c r="J201" s="4"/>
      <c r="K201" s="4"/>
      <c r="L201" s="4"/>
      <c r="M201" s="4"/>
      <c r="N201" s="4"/>
      <c r="O201" s="4"/>
      <c r="P201" s="4"/>
      <c r="Q201" s="4"/>
    </row>
    <row r="202" spans="1:17" ht="12.75">
      <c r="A202" s="4"/>
      <c r="B202" s="3"/>
      <c r="C202" s="3"/>
      <c r="D202" s="4"/>
      <c r="E202" s="4"/>
      <c r="F202" s="4"/>
      <c r="G202" s="4"/>
      <c r="H202" s="4"/>
      <c r="I202" s="4"/>
      <c r="J202" s="4"/>
      <c r="K202" s="4"/>
      <c r="L202" s="4"/>
      <c r="M202" s="4"/>
      <c r="N202" s="4"/>
      <c r="O202" s="4"/>
      <c r="P202" s="4"/>
      <c r="Q202" s="4"/>
    </row>
    <row r="203" spans="1:17" ht="12.75">
      <c r="A203" s="4"/>
      <c r="B203" s="3"/>
      <c r="C203" s="3"/>
      <c r="D203" s="4"/>
      <c r="E203" s="4"/>
      <c r="F203" s="4"/>
      <c r="G203" s="4"/>
      <c r="H203" s="4"/>
      <c r="I203" s="4"/>
      <c r="J203" s="4"/>
      <c r="K203" s="4"/>
      <c r="L203" s="4"/>
      <c r="M203" s="4"/>
      <c r="N203" s="4"/>
      <c r="O203" s="4"/>
      <c r="P203" s="4"/>
      <c r="Q203" s="4"/>
    </row>
    <row r="204" spans="1:17" ht="12.75">
      <c r="A204" s="4"/>
      <c r="B204" s="3"/>
      <c r="C204" s="3"/>
      <c r="D204" s="4"/>
      <c r="E204" s="4"/>
      <c r="F204" s="4"/>
      <c r="G204" s="4"/>
      <c r="H204" s="4"/>
      <c r="I204" s="4"/>
      <c r="J204" s="4"/>
      <c r="K204" s="4"/>
      <c r="L204" s="4"/>
      <c r="M204" s="4"/>
      <c r="N204" s="4"/>
      <c r="O204" s="4"/>
      <c r="P204" s="4"/>
      <c r="Q204" s="4"/>
    </row>
    <row r="205" spans="1:17" ht="12.75">
      <c r="A205" s="4"/>
      <c r="B205" s="3"/>
      <c r="C205" s="3"/>
      <c r="D205" s="4"/>
      <c r="E205" s="4"/>
      <c r="F205" s="4"/>
      <c r="G205" s="4"/>
      <c r="H205" s="4"/>
      <c r="I205" s="4"/>
      <c r="J205" s="4"/>
      <c r="K205" s="4"/>
      <c r="L205" s="4"/>
      <c r="M205" s="4"/>
      <c r="N205" s="4"/>
      <c r="O205" s="4"/>
      <c r="P205" s="4"/>
      <c r="Q205" s="4"/>
    </row>
    <row r="206" spans="1:17" ht="12.75">
      <c r="A206" s="4"/>
      <c r="B206" s="3"/>
      <c r="C206" s="3"/>
      <c r="D206" s="4"/>
      <c r="E206" s="4"/>
      <c r="F206" s="4"/>
      <c r="G206" s="4"/>
      <c r="H206" s="4"/>
      <c r="I206" s="4"/>
      <c r="J206" s="4"/>
      <c r="K206" s="4"/>
      <c r="L206" s="4"/>
      <c r="M206" s="4"/>
      <c r="N206" s="4"/>
      <c r="O206" s="4"/>
      <c r="P206" s="4"/>
      <c r="Q206" s="4"/>
    </row>
    <row r="207" spans="1:17" ht="12.75">
      <c r="A207" s="4"/>
      <c r="B207" s="3"/>
      <c r="C207" s="3"/>
      <c r="D207" s="4"/>
      <c r="E207" s="4"/>
      <c r="F207" s="4"/>
      <c r="G207" s="4"/>
      <c r="H207" s="4"/>
      <c r="I207" s="4"/>
      <c r="J207" s="4"/>
      <c r="K207" s="4"/>
      <c r="L207" s="4"/>
      <c r="M207" s="4"/>
      <c r="N207" s="4"/>
      <c r="O207" s="4"/>
      <c r="P207" s="4"/>
      <c r="Q207" s="4"/>
    </row>
    <row r="208" spans="1:17" ht="12.75">
      <c r="A208" s="4"/>
      <c r="B208" s="3"/>
      <c r="C208" s="3"/>
      <c r="D208" s="4"/>
      <c r="E208" s="4"/>
      <c r="F208" s="4"/>
      <c r="G208" s="4"/>
      <c r="H208" s="4"/>
      <c r="I208" s="4"/>
      <c r="J208" s="4"/>
      <c r="K208" s="4"/>
      <c r="L208" s="4"/>
      <c r="M208" s="4"/>
      <c r="N208" s="4"/>
      <c r="O208" s="4"/>
      <c r="P208" s="4"/>
      <c r="Q208" s="4"/>
    </row>
    <row r="209" spans="1:17" ht="12.75">
      <c r="A209" s="4"/>
      <c r="B209" s="3"/>
      <c r="C209" s="3"/>
      <c r="D209" s="4"/>
      <c r="E209" s="4"/>
      <c r="F209" s="4"/>
      <c r="G209" s="4"/>
      <c r="H209" s="4"/>
      <c r="I209" s="4"/>
      <c r="J209" s="4"/>
      <c r="K209" s="4"/>
      <c r="L209" s="4"/>
      <c r="M209" s="4"/>
      <c r="N209" s="4"/>
      <c r="O209" s="4"/>
      <c r="P209" s="4"/>
      <c r="Q209" s="4"/>
    </row>
    <row r="210" spans="1:17" ht="12.75">
      <c r="A210" s="4"/>
      <c r="B210" s="3"/>
      <c r="C210" s="3"/>
      <c r="D210" s="4"/>
      <c r="E210" s="4"/>
      <c r="F210" s="4"/>
      <c r="G210" s="4"/>
      <c r="H210" s="4"/>
      <c r="I210" s="4"/>
      <c r="J210" s="4"/>
      <c r="K210" s="4"/>
      <c r="L210" s="4"/>
      <c r="M210" s="4"/>
      <c r="N210" s="4"/>
      <c r="O210" s="4"/>
      <c r="P210" s="4"/>
      <c r="Q210" s="4"/>
    </row>
    <row r="211" spans="1:17" ht="12.75">
      <c r="A211" s="4"/>
      <c r="B211" s="3"/>
      <c r="C211" s="3"/>
      <c r="D211" s="4"/>
      <c r="E211" s="4"/>
      <c r="F211" s="4"/>
      <c r="G211" s="4"/>
      <c r="H211" s="4"/>
      <c r="I211" s="4"/>
      <c r="J211" s="4"/>
      <c r="K211" s="4"/>
      <c r="L211" s="4"/>
      <c r="M211" s="4"/>
      <c r="N211" s="4"/>
      <c r="O211" s="4"/>
      <c r="P211" s="4"/>
      <c r="Q211" s="4"/>
    </row>
    <row r="212" spans="1:17" ht="12.75">
      <c r="A212" s="4"/>
      <c r="B212" s="3"/>
      <c r="C212" s="3"/>
      <c r="D212" s="4"/>
      <c r="E212" s="4"/>
      <c r="F212" s="4"/>
      <c r="G212" s="4"/>
      <c r="H212" s="4"/>
      <c r="I212" s="4"/>
      <c r="J212" s="4"/>
      <c r="K212" s="4"/>
      <c r="L212" s="4"/>
      <c r="M212" s="4"/>
      <c r="N212" s="4"/>
      <c r="O212" s="4"/>
      <c r="P212" s="4"/>
      <c r="Q212" s="4"/>
    </row>
    <row r="213" spans="1:17" ht="12.75">
      <c r="A213" s="4"/>
      <c r="B213" s="3"/>
      <c r="C213" s="3"/>
      <c r="D213" s="4"/>
      <c r="E213" s="4"/>
      <c r="F213" s="4"/>
      <c r="G213" s="4"/>
      <c r="H213" s="4"/>
      <c r="I213" s="4"/>
      <c r="J213" s="4"/>
      <c r="K213" s="4"/>
      <c r="L213" s="4"/>
      <c r="M213" s="4"/>
      <c r="N213" s="4"/>
      <c r="O213" s="4"/>
      <c r="P213" s="4"/>
      <c r="Q213" s="4"/>
    </row>
    <row r="214" spans="1:17" ht="12.75">
      <c r="A214" s="4"/>
      <c r="B214" s="3"/>
      <c r="C214" s="3"/>
      <c r="D214" s="4"/>
      <c r="E214" s="4"/>
      <c r="F214" s="4"/>
      <c r="G214" s="4"/>
      <c r="H214" s="4"/>
      <c r="I214" s="4"/>
      <c r="J214" s="4"/>
      <c r="K214" s="4"/>
      <c r="L214" s="4"/>
      <c r="M214" s="4"/>
      <c r="N214" s="4"/>
      <c r="O214" s="4"/>
      <c r="P214" s="4"/>
      <c r="Q214" s="4"/>
    </row>
    <row r="215" spans="1:17" ht="12.75">
      <c r="A215" s="4"/>
      <c r="B215" s="3"/>
      <c r="C215" s="3"/>
      <c r="D215" s="4"/>
      <c r="E215" s="4"/>
      <c r="F215" s="4"/>
      <c r="G215" s="4"/>
      <c r="H215" s="4"/>
      <c r="I215" s="4"/>
      <c r="J215" s="4"/>
      <c r="K215" s="4"/>
      <c r="L215" s="4"/>
      <c r="M215" s="4"/>
      <c r="N215" s="4"/>
      <c r="O215" s="4"/>
      <c r="P215" s="4"/>
      <c r="Q215" s="4"/>
    </row>
    <row r="216" spans="1:17" ht="12.75">
      <c r="A216" s="4"/>
      <c r="B216" s="3"/>
      <c r="C216" s="3"/>
      <c r="D216" s="4"/>
      <c r="E216" s="4"/>
      <c r="F216" s="4"/>
      <c r="G216" s="4"/>
      <c r="H216" s="4"/>
      <c r="I216" s="4"/>
      <c r="J216" s="4"/>
      <c r="K216" s="4"/>
      <c r="L216" s="4"/>
      <c r="M216" s="4"/>
      <c r="N216" s="4"/>
      <c r="O216" s="4"/>
      <c r="P216" s="4"/>
      <c r="Q216" s="4"/>
    </row>
    <row r="217" spans="1:17" ht="12.75">
      <c r="A217" s="4"/>
      <c r="B217" s="3"/>
      <c r="C217" s="3"/>
      <c r="D217" s="4"/>
      <c r="E217" s="4"/>
      <c r="F217" s="4"/>
      <c r="G217" s="4"/>
      <c r="H217" s="4"/>
      <c r="I217" s="4"/>
      <c r="J217" s="4"/>
      <c r="K217" s="4"/>
      <c r="L217" s="4"/>
      <c r="M217" s="4"/>
      <c r="N217" s="4"/>
      <c r="O217" s="4"/>
      <c r="P217" s="4"/>
      <c r="Q217" s="4"/>
    </row>
    <row r="218" spans="1:17" ht="12.75">
      <c r="A218" s="4"/>
      <c r="B218" s="3"/>
      <c r="C218" s="3"/>
      <c r="D218" s="4"/>
      <c r="E218" s="4"/>
      <c r="F218" s="4"/>
      <c r="G218" s="4"/>
      <c r="H218" s="4"/>
      <c r="I218" s="4"/>
      <c r="J218" s="4"/>
      <c r="K218" s="4"/>
      <c r="L218" s="4"/>
      <c r="M218" s="4"/>
      <c r="N218" s="4"/>
      <c r="O218" s="4"/>
      <c r="P218" s="4"/>
      <c r="Q218" s="4"/>
    </row>
    <row r="219" spans="1:17" ht="12.75">
      <c r="A219" s="4"/>
      <c r="B219" s="3"/>
      <c r="C219" s="3"/>
      <c r="D219" s="4"/>
      <c r="E219" s="4"/>
      <c r="F219" s="4"/>
      <c r="G219" s="4"/>
      <c r="H219" s="4"/>
      <c r="I219" s="4"/>
      <c r="J219" s="4"/>
      <c r="K219" s="4"/>
      <c r="L219" s="4"/>
      <c r="M219" s="4"/>
      <c r="N219" s="4"/>
      <c r="O219" s="4"/>
      <c r="P219" s="4"/>
      <c r="Q219" s="4"/>
    </row>
    <row r="220" spans="1:17" ht="12.75">
      <c r="A220" s="4"/>
      <c r="B220" s="3"/>
      <c r="C220" s="3"/>
      <c r="D220" s="4"/>
      <c r="E220" s="4"/>
      <c r="F220" s="4"/>
      <c r="G220" s="4"/>
      <c r="H220" s="4"/>
      <c r="I220" s="4"/>
      <c r="J220" s="4"/>
      <c r="K220" s="4"/>
      <c r="L220" s="4"/>
      <c r="M220" s="4"/>
      <c r="N220" s="4"/>
      <c r="O220" s="4"/>
      <c r="P220" s="4"/>
      <c r="Q220" s="4"/>
    </row>
    <row r="221" spans="1:17" ht="12.75">
      <c r="A221" s="4"/>
      <c r="B221" s="3"/>
      <c r="C221" s="3"/>
      <c r="D221" s="4"/>
      <c r="E221" s="4"/>
      <c r="F221" s="4"/>
      <c r="G221" s="4"/>
      <c r="H221" s="4"/>
      <c r="I221" s="4"/>
      <c r="J221" s="4"/>
      <c r="K221" s="4"/>
      <c r="L221" s="4"/>
      <c r="M221" s="4"/>
      <c r="N221" s="4"/>
      <c r="O221" s="4"/>
      <c r="P221" s="4"/>
      <c r="Q221" s="4"/>
    </row>
    <row r="222" spans="1:17" ht="12.75">
      <c r="A222" s="4"/>
      <c r="B222" s="3"/>
      <c r="C222" s="3"/>
      <c r="D222" s="4"/>
      <c r="E222" s="4"/>
      <c r="F222" s="4"/>
      <c r="G222" s="4"/>
      <c r="H222" s="4"/>
      <c r="I222" s="4"/>
      <c r="J222" s="4"/>
      <c r="K222" s="4"/>
      <c r="L222" s="4"/>
      <c r="M222" s="4"/>
      <c r="N222" s="4"/>
      <c r="O222" s="4"/>
      <c r="P222" s="4"/>
      <c r="Q222" s="4"/>
    </row>
    <row r="223" spans="1:17" ht="12.75">
      <c r="A223" s="4"/>
      <c r="B223" s="3"/>
      <c r="C223" s="3"/>
      <c r="D223" s="4"/>
      <c r="E223" s="4"/>
      <c r="F223" s="4"/>
      <c r="G223" s="4"/>
      <c r="H223" s="4"/>
      <c r="I223" s="4"/>
      <c r="J223" s="4"/>
      <c r="K223" s="4"/>
      <c r="L223" s="4"/>
      <c r="M223" s="4"/>
      <c r="N223" s="4"/>
      <c r="O223" s="4"/>
      <c r="P223" s="4"/>
      <c r="Q223" s="4"/>
    </row>
    <row r="224" spans="1:17" ht="12.75">
      <c r="A224" s="4"/>
      <c r="B224" s="3"/>
      <c r="C224" s="3"/>
      <c r="D224" s="4"/>
      <c r="E224" s="4"/>
      <c r="F224" s="4"/>
      <c r="G224" s="4"/>
      <c r="H224" s="4"/>
      <c r="I224" s="4"/>
      <c r="J224" s="4"/>
      <c r="K224" s="4"/>
      <c r="L224" s="4"/>
      <c r="M224" s="4"/>
      <c r="N224" s="4"/>
      <c r="O224" s="4"/>
      <c r="P224" s="4"/>
      <c r="Q224" s="4"/>
    </row>
    <row r="225" spans="1:17" ht="12.75">
      <c r="A225" s="4"/>
      <c r="B225" s="3"/>
      <c r="C225" s="3"/>
      <c r="D225" s="4"/>
      <c r="E225" s="4"/>
      <c r="F225" s="4"/>
      <c r="G225" s="4"/>
      <c r="H225" s="4"/>
      <c r="I225" s="4"/>
      <c r="J225" s="4"/>
      <c r="K225" s="4"/>
      <c r="L225" s="4"/>
      <c r="M225" s="4"/>
      <c r="N225" s="4"/>
      <c r="O225" s="4"/>
      <c r="P225" s="4"/>
      <c r="Q225" s="4"/>
    </row>
    <row r="226" spans="1:17" ht="12.75">
      <c r="A226" s="4"/>
      <c r="B226" s="3"/>
      <c r="C226" s="3"/>
      <c r="D226" s="4"/>
      <c r="E226" s="4"/>
      <c r="F226" s="4"/>
      <c r="G226" s="4"/>
      <c r="H226" s="4"/>
      <c r="I226" s="4"/>
      <c r="J226" s="4"/>
      <c r="K226" s="4"/>
      <c r="L226" s="4"/>
      <c r="M226" s="4"/>
      <c r="N226" s="4"/>
      <c r="O226" s="4"/>
      <c r="P226" s="4"/>
      <c r="Q226" s="4"/>
    </row>
    <row r="227" spans="1:17" ht="12.75">
      <c r="A227" s="4"/>
      <c r="B227" s="3"/>
      <c r="C227" s="3"/>
      <c r="D227" s="4"/>
      <c r="E227" s="4"/>
      <c r="F227" s="4"/>
      <c r="G227" s="4"/>
      <c r="H227" s="4"/>
      <c r="I227" s="4"/>
      <c r="J227" s="4"/>
      <c r="K227" s="4"/>
      <c r="L227" s="4"/>
      <c r="M227" s="4"/>
      <c r="N227" s="4"/>
      <c r="O227" s="4"/>
      <c r="P227" s="4"/>
      <c r="Q227" s="4"/>
    </row>
    <row r="228" spans="1:17" ht="12.75">
      <c r="A228" s="4"/>
      <c r="B228" s="3"/>
      <c r="C228" s="3"/>
      <c r="D228" s="4"/>
      <c r="E228" s="4"/>
      <c r="F228" s="4"/>
      <c r="G228" s="4"/>
      <c r="H228" s="4"/>
      <c r="I228" s="4"/>
      <c r="J228" s="4"/>
      <c r="K228" s="4"/>
      <c r="L228" s="4"/>
      <c r="M228" s="4"/>
      <c r="N228" s="4"/>
      <c r="O228" s="4"/>
      <c r="P228" s="4"/>
      <c r="Q228" s="4"/>
    </row>
    <row r="229" spans="1:17" ht="12.75">
      <c r="A229" s="4"/>
      <c r="B229" s="3"/>
      <c r="C229" s="3"/>
      <c r="D229" s="4"/>
      <c r="E229" s="4"/>
      <c r="F229" s="4"/>
      <c r="G229" s="4"/>
      <c r="H229" s="4"/>
      <c r="I229" s="4"/>
      <c r="J229" s="4"/>
      <c r="K229" s="4"/>
      <c r="L229" s="4"/>
      <c r="M229" s="4"/>
      <c r="N229" s="4"/>
      <c r="O229" s="4"/>
      <c r="P229" s="4"/>
      <c r="Q229" s="4"/>
    </row>
    <row r="230" spans="1:17" ht="12.75">
      <c r="A230" s="4"/>
      <c r="B230" s="3"/>
      <c r="C230" s="3"/>
      <c r="D230" s="4"/>
      <c r="E230" s="4"/>
      <c r="F230" s="4"/>
      <c r="G230" s="4"/>
      <c r="H230" s="4"/>
      <c r="I230" s="4"/>
      <c r="J230" s="4"/>
      <c r="K230" s="4"/>
      <c r="L230" s="4"/>
      <c r="M230" s="4"/>
      <c r="N230" s="4"/>
      <c r="O230" s="4"/>
      <c r="P230" s="4"/>
      <c r="Q230" s="4"/>
    </row>
    <row r="231" spans="1:17" ht="12.75">
      <c r="A231" s="4"/>
      <c r="B231" s="3"/>
      <c r="C231" s="3"/>
      <c r="D231" s="4"/>
      <c r="E231" s="4"/>
      <c r="F231" s="4"/>
      <c r="G231" s="4"/>
      <c r="H231" s="4"/>
      <c r="I231" s="4"/>
      <c r="J231" s="4"/>
      <c r="K231" s="4"/>
      <c r="L231" s="4"/>
      <c r="M231" s="4"/>
      <c r="N231" s="4"/>
      <c r="O231" s="4"/>
      <c r="P231" s="4"/>
      <c r="Q231" s="4"/>
    </row>
    <row r="232" spans="1:17" ht="12.75">
      <c r="A232" s="4"/>
      <c r="B232" s="3"/>
      <c r="C232" s="3"/>
      <c r="D232" s="4"/>
      <c r="E232" s="4"/>
      <c r="F232" s="4"/>
      <c r="G232" s="4"/>
      <c r="H232" s="4"/>
      <c r="I232" s="4"/>
      <c r="J232" s="4"/>
      <c r="K232" s="4"/>
      <c r="L232" s="4"/>
      <c r="M232" s="4"/>
      <c r="N232" s="4"/>
      <c r="O232" s="4"/>
      <c r="P232" s="4"/>
      <c r="Q232" s="4"/>
    </row>
    <row r="233" spans="1:17" ht="12.75">
      <c r="A233" s="4"/>
      <c r="B233" s="3"/>
      <c r="C233" s="3"/>
      <c r="D233" s="4"/>
      <c r="E233" s="4"/>
      <c r="F233" s="4"/>
      <c r="G233" s="4"/>
      <c r="H233" s="4"/>
      <c r="I233" s="4"/>
      <c r="J233" s="4"/>
      <c r="K233" s="4"/>
      <c r="L233" s="4"/>
      <c r="M233" s="4"/>
      <c r="N233" s="4"/>
      <c r="O233" s="4"/>
      <c r="P233" s="4"/>
      <c r="Q233" s="4"/>
    </row>
    <row r="234" spans="1:17" ht="12.75">
      <c r="A234" s="4"/>
      <c r="B234" s="3"/>
      <c r="C234" s="3"/>
      <c r="D234" s="4"/>
      <c r="E234" s="4"/>
      <c r="F234" s="4"/>
      <c r="G234" s="4"/>
      <c r="H234" s="4"/>
      <c r="I234" s="4"/>
      <c r="J234" s="4"/>
      <c r="K234" s="4"/>
      <c r="L234" s="4"/>
      <c r="M234" s="4"/>
      <c r="N234" s="4"/>
      <c r="O234" s="4"/>
      <c r="P234" s="4"/>
      <c r="Q234" s="4"/>
    </row>
    <row r="235" spans="1:17" ht="12.75">
      <c r="A235" s="4"/>
      <c r="B235" s="3"/>
      <c r="C235" s="3"/>
      <c r="D235" s="4"/>
      <c r="E235" s="4"/>
      <c r="F235" s="4"/>
      <c r="G235" s="4"/>
      <c r="H235" s="4"/>
      <c r="I235" s="4"/>
      <c r="J235" s="4"/>
      <c r="K235" s="4"/>
      <c r="L235" s="4"/>
      <c r="M235" s="4"/>
      <c r="N235" s="4"/>
      <c r="O235" s="4"/>
      <c r="P235" s="4"/>
      <c r="Q235" s="4"/>
    </row>
    <row r="236" spans="1:17" ht="12.75">
      <c r="A236" s="4"/>
      <c r="B236" s="3"/>
      <c r="C236" s="3"/>
      <c r="D236" s="4"/>
      <c r="E236" s="4"/>
      <c r="F236" s="4"/>
      <c r="G236" s="4"/>
      <c r="H236" s="4"/>
      <c r="I236" s="4"/>
      <c r="J236" s="4"/>
      <c r="K236" s="4"/>
      <c r="L236" s="4"/>
      <c r="M236" s="4"/>
      <c r="N236" s="4"/>
      <c r="O236" s="4"/>
      <c r="P236" s="4"/>
      <c r="Q236" s="4"/>
    </row>
    <row r="237" spans="1:17" ht="12.75">
      <c r="A237" s="4"/>
      <c r="B237" s="3"/>
      <c r="C237" s="3"/>
      <c r="D237" s="4"/>
      <c r="E237" s="4"/>
      <c r="F237" s="4"/>
      <c r="G237" s="4"/>
      <c r="H237" s="4"/>
      <c r="I237" s="4"/>
      <c r="J237" s="4"/>
      <c r="K237" s="4"/>
      <c r="L237" s="4"/>
      <c r="M237" s="4"/>
      <c r="N237" s="4"/>
      <c r="O237" s="4"/>
      <c r="P237" s="4"/>
      <c r="Q237" s="4"/>
    </row>
    <row r="238" spans="1:17" ht="12.75">
      <c r="A238" s="4"/>
      <c r="B238" s="3"/>
      <c r="C238" s="3"/>
      <c r="D238" s="4"/>
      <c r="E238" s="4"/>
      <c r="F238" s="4"/>
      <c r="G238" s="4"/>
      <c r="H238" s="4"/>
      <c r="I238" s="4"/>
      <c r="J238" s="4"/>
      <c r="K238" s="4"/>
      <c r="L238" s="4"/>
      <c r="M238" s="4"/>
      <c r="N238" s="4"/>
      <c r="O238" s="4"/>
      <c r="P238" s="4"/>
      <c r="Q238" s="4"/>
    </row>
    <row r="239" spans="1:17" ht="12.75">
      <c r="A239" s="4"/>
      <c r="B239" s="3"/>
      <c r="C239" s="3"/>
      <c r="D239" s="4"/>
      <c r="E239" s="4"/>
      <c r="F239" s="4"/>
      <c r="G239" s="4"/>
      <c r="H239" s="4"/>
      <c r="I239" s="4"/>
      <c r="J239" s="4"/>
      <c r="K239" s="4"/>
      <c r="L239" s="4"/>
      <c r="M239" s="4"/>
      <c r="N239" s="4"/>
      <c r="O239" s="4"/>
      <c r="P239" s="4"/>
      <c r="Q239" s="4"/>
    </row>
    <row r="240" spans="1:17" ht="12.75">
      <c r="A240" s="4"/>
      <c r="B240" s="3"/>
      <c r="C240" s="3"/>
      <c r="D240" s="4"/>
      <c r="E240" s="4"/>
      <c r="F240" s="4"/>
      <c r="G240" s="4"/>
      <c r="H240" s="4"/>
      <c r="I240" s="4"/>
      <c r="J240" s="4"/>
      <c r="K240" s="4"/>
      <c r="L240" s="4"/>
      <c r="M240" s="4"/>
      <c r="N240" s="4"/>
      <c r="O240" s="4"/>
      <c r="P240" s="4"/>
      <c r="Q240" s="4"/>
    </row>
    <row r="241" spans="1:17" ht="12.75">
      <c r="A241" s="4"/>
      <c r="B241" s="3"/>
      <c r="C241" s="3"/>
      <c r="D241" s="4"/>
      <c r="E241" s="4"/>
      <c r="F241" s="4"/>
      <c r="G241" s="4"/>
      <c r="H241" s="4"/>
      <c r="I241" s="4"/>
      <c r="J241" s="4"/>
      <c r="K241" s="4"/>
      <c r="L241" s="4"/>
      <c r="M241" s="4"/>
      <c r="N241" s="4"/>
      <c r="O241" s="4"/>
      <c r="P241" s="4"/>
      <c r="Q241" s="4"/>
    </row>
    <row r="242" spans="1:17" ht="12.75">
      <c r="A242" s="4"/>
      <c r="B242" s="3"/>
      <c r="C242" s="3"/>
      <c r="D242" s="4"/>
      <c r="E242" s="4"/>
      <c r="F242" s="4"/>
      <c r="G242" s="4"/>
      <c r="H242" s="4"/>
      <c r="I242" s="4"/>
      <c r="J242" s="4"/>
      <c r="K242" s="4"/>
      <c r="L242" s="4"/>
      <c r="M242" s="4"/>
      <c r="N242" s="4"/>
      <c r="O242" s="4"/>
      <c r="P242" s="4"/>
      <c r="Q242" s="4"/>
    </row>
    <row r="243" spans="1:17" ht="12.75">
      <c r="A243" s="4"/>
      <c r="B243" s="3"/>
      <c r="C243" s="3"/>
      <c r="D243" s="4"/>
      <c r="E243" s="4"/>
      <c r="F243" s="4"/>
      <c r="G243" s="4"/>
      <c r="H243" s="4"/>
      <c r="I243" s="4"/>
      <c r="J243" s="4"/>
      <c r="K243" s="4"/>
      <c r="L243" s="4"/>
      <c r="M243" s="4"/>
      <c r="N243" s="4"/>
      <c r="O243" s="4"/>
      <c r="P243" s="4"/>
      <c r="Q243" s="4"/>
    </row>
    <row r="244" spans="1:17" ht="12.75">
      <c r="A244" s="4"/>
      <c r="B244" s="3"/>
      <c r="C244" s="3"/>
      <c r="D244" s="4"/>
      <c r="E244" s="4"/>
      <c r="F244" s="4"/>
      <c r="G244" s="4"/>
      <c r="H244" s="4"/>
      <c r="I244" s="4"/>
      <c r="J244" s="4"/>
      <c r="K244" s="4"/>
      <c r="L244" s="4"/>
      <c r="M244" s="4"/>
      <c r="N244" s="4"/>
      <c r="O244" s="4"/>
      <c r="P244" s="4"/>
      <c r="Q244" s="4"/>
    </row>
    <row r="245" spans="1:17" ht="12.75">
      <c r="A245" s="4"/>
      <c r="B245" s="3"/>
      <c r="C245" s="3"/>
      <c r="D245" s="4"/>
      <c r="E245" s="4"/>
      <c r="F245" s="4"/>
      <c r="G245" s="4"/>
      <c r="H245" s="4"/>
      <c r="I245" s="4"/>
      <c r="J245" s="4"/>
      <c r="K245" s="4"/>
      <c r="L245" s="4"/>
      <c r="M245" s="4"/>
      <c r="N245" s="4"/>
      <c r="O245" s="4"/>
      <c r="P245" s="4"/>
      <c r="Q245" s="4"/>
    </row>
    <row r="246" spans="1:17" ht="12.75">
      <c r="A246" s="4"/>
      <c r="B246" s="3"/>
      <c r="C246" s="3"/>
      <c r="D246" s="4"/>
      <c r="E246" s="4"/>
      <c r="F246" s="4"/>
      <c r="G246" s="4"/>
      <c r="H246" s="4"/>
      <c r="I246" s="4"/>
      <c r="J246" s="4"/>
      <c r="K246" s="4"/>
      <c r="L246" s="4"/>
      <c r="M246" s="4"/>
      <c r="N246" s="4"/>
      <c r="O246" s="4"/>
      <c r="P246" s="4"/>
      <c r="Q246" s="4"/>
    </row>
    <row r="247" spans="1:17" ht="12.75">
      <c r="A247" s="4"/>
      <c r="B247" s="3"/>
      <c r="C247" s="3"/>
      <c r="D247" s="4"/>
      <c r="E247" s="4"/>
      <c r="F247" s="4"/>
      <c r="G247" s="4"/>
      <c r="H247" s="4"/>
      <c r="I247" s="4"/>
      <c r="J247" s="4"/>
      <c r="K247" s="4"/>
      <c r="L247" s="4"/>
      <c r="M247" s="4"/>
      <c r="N247" s="4"/>
      <c r="O247" s="4"/>
      <c r="P247" s="4"/>
      <c r="Q247" s="4"/>
    </row>
    <row r="248" spans="1:17" ht="12.75">
      <c r="A248" s="4"/>
      <c r="B248" s="3"/>
      <c r="C248" s="3"/>
      <c r="D248" s="4"/>
      <c r="E248" s="4"/>
      <c r="F248" s="4"/>
      <c r="G248" s="4"/>
      <c r="H248" s="4"/>
      <c r="I248" s="4"/>
      <c r="J248" s="4"/>
      <c r="K248" s="4"/>
      <c r="L248" s="4"/>
      <c r="M248" s="4"/>
      <c r="N248" s="4"/>
      <c r="O248" s="4"/>
      <c r="P248" s="4"/>
      <c r="Q248" s="4"/>
    </row>
    <row r="249" spans="1:17" ht="12.75">
      <c r="A249" s="4"/>
      <c r="B249" s="3"/>
      <c r="C249" s="3"/>
      <c r="D249" s="4"/>
      <c r="E249" s="4"/>
      <c r="F249" s="4"/>
      <c r="G249" s="4"/>
      <c r="H249" s="4"/>
      <c r="I249" s="4"/>
      <c r="J249" s="4"/>
      <c r="K249" s="4"/>
      <c r="L249" s="4"/>
      <c r="M249" s="4"/>
      <c r="N249" s="4"/>
      <c r="O249" s="4"/>
      <c r="P249" s="4"/>
      <c r="Q249" s="4"/>
    </row>
    <row r="250" spans="1:17" ht="12.75">
      <c r="A250" s="4"/>
      <c r="B250" s="3"/>
      <c r="C250" s="3"/>
      <c r="D250" s="4"/>
      <c r="E250" s="4"/>
      <c r="F250" s="4"/>
      <c r="G250" s="4"/>
      <c r="H250" s="4"/>
      <c r="I250" s="4"/>
      <c r="J250" s="4"/>
      <c r="K250" s="4"/>
      <c r="L250" s="4"/>
      <c r="M250" s="4"/>
      <c r="N250" s="4"/>
      <c r="O250" s="4"/>
      <c r="P250" s="4"/>
      <c r="Q250" s="4"/>
    </row>
    <row r="251" spans="1:17" ht="12.75">
      <c r="A251" s="4"/>
      <c r="B251" s="3"/>
      <c r="C251" s="3"/>
      <c r="D251" s="4"/>
      <c r="E251" s="4"/>
      <c r="F251" s="4"/>
      <c r="G251" s="4"/>
      <c r="H251" s="4"/>
      <c r="I251" s="4"/>
      <c r="J251" s="4"/>
      <c r="K251" s="4"/>
      <c r="L251" s="4"/>
      <c r="M251" s="4"/>
      <c r="N251" s="4"/>
      <c r="O251" s="4"/>
      <c r="P251" s="4"/>
      <c r="Q251" s="4"/>
    </row>
    <row r="252" spans="1:17" ht="12.75">
      <c r="A252" s="4"/>
      <c r="B252" s="3"/>
      <c r="C252" s="3"/>
      <c r="D252" s="4"/>
      <c r="E252" s="4"/>
      <c r="F252" s="4"/>
      <c r="G252" s="4"/>
      <c r="H252" s="4"/>
      <c r="I252" s="4"/>
      <c r="J252" s="4"/>
      <c r="K252" s="4"/>
      <c r="L252" s="4"/>
      <c r="M252" s="4"/>
      <c r="N252" s="4"/>
      <c r="O252" s="4"/>
      <c r="P252" s="4"/>
      <c r="Q252" s="4"/>
    </row>
    <row r="253" spans="1:17" ht="12.75">
      <c r="A253" s="4"/>
      <c r="B253" s="3"/>
      <c r="C253" s="3"/>
      <c r="D253" s="4"/>
      <c r="E253" s="4"/>
      <c r="F253" s="4"/>
      <c r="G253" s="4"/>
      <c r="H253" s="4"/>
      <c r="I253" s="4"/>
      <c r="J253" s="4"/>
      <c r="K253" s="4"/>
      <c r="L253" s="4"/>
      <c r="M253" s="4"/>
      <c r="N253" s="4"/>
      <c r="O253" s="4"/>
      <c r="P253" s="4"/>
      <c r="Q253" s="4"/>
    </row>
    <row r="254" spans="1:17" ht="12.75">
      <c r="A254" s="4"/>
      <c r="B254" s="3"/>
      <c r="C254" s="3"/>
      <c r="D254" s="4"/>
      <c r="E254" s="4"/>
      <c r="F254" s="4"/>
      <c r="G254" s="4"/>
      <c r="H254" s="4"/>
      <c r="I254" s="4"/>
      <c r="J254" s="4"/>
      <c r="K254" s="4"/>
      <c r="L254" s="4"/>
      <c r="M254" s="4"/>
      <c r="N254" s="4"/>
      <c r="O254" s="4"/>
      <c r="P254" s="4"/>
      <c r="Q254" s="4"/>
    </row>
    <row r="255" spans="1:17" ht="12.75">
      <c r="A255" s="4"/>
      <c r="B255" s="3"/>
      <c r="C255" s="3"/>
      <c r="D255" s="4"/>
      <c r="E255" s="4"/>
      <c r="F255" s="4"/>
      <c r="G255" s="4"/>
      <c r="H255" s="4"/>
      <c r="I255" s="4"/>
      <c r="J255" s="4"/>
      <c r="K255" s="4"/>
      <c r="L255" s="4"/>
      <c r="M255" s="4"/>
      <c r="N255" s="4"/>
      <c r="O255" s="4"/>
      <c r="P255" s="4"/>
      <c r="Q255" s="4"/>
    </row>
    <row r="256" spans="1:17" ht="12.75">
      <c r="A256" s="4"/>
      <c r="B256" s="3"/>
      <c r="C256" s="3"/>
      <c r="D256" s="4"/>
      <c r="E256" s="4"/>
      <c r="F256" s="4"/>
      <c r="G256" s="4"/>
      <c r="H256" s="4"/>
      <c r="I256" s="4"/>
      <c r="J256" s="4"/>
      <c r="K256" s="4"/>
      <c r="L256" s="4"/>
      <c r="M256" s="4"/>
      <c r="N256" s="4"/>
      <c r="O256" s="4"/>
      <c r="P256" s="4"/>
      <c r="Q256" s="4"/>
    </row>
    <row r="257" spans="1:17" ht="12.75">
      <c r="A257" s="4"/>
      <c r="B257" s="3"/>
      <c r="C257" s="3"/>
      <c r="D257" s="4"/>
      <c r="E257" s="4"/>
      <c r="F257" s="4"/>
      <c r="G257" s="4"/>
      <c r="H257" s="4"/>
      <c r="I257" s="4"/>
      <c r="J257" s="4"/>
      <c r="K257" s="4"/>
      <c r="L257" s="4"/>
      <c r="M257" s="4"/>
      <c r="N257" s="4"/>
      <c r="O257" s="4"/>
      <c r="P257" s="4"/>
      <c r="Q257" s="4"/>
    </row>
    <row r="258" spans="1:17" ht="12.75">
      <c r="A258" s="4"/>
      <c r="B258" s="3"/>
      <c r="C258" s="3"/>
      <c r="D258" s="4"/>
      <c r="E258" s="4"/>
      <c r="F258" s="4"/>
      <c r="G258" s="4"/>
      <c r="H258" s="4"/>
      <c r="I258" s="4"/>
      <c r="J258" s="4"/>
      <c r="K258" s="4"/>
      <c r="L258" s="4"/>
      <c r="M258" s="4"/>
      <c r="N258" s="4"/>
      <c r="O258" s="4"/>
      <c r="P258" s="4"/>
      <c r="Q258" s="4"/>
    </row>
    <row r="259" spans="1:17" ht="12.75">
      <c r="A259" s="4"/>
      <c r="B259" s="3"/>
      <c r="C259" s="3"/>
      <c r="D259" s="4"/>
      <c r="E259" s="4"/>
      <c r="F259" s="4"/>
      <c r="G259" s="4"/>
      <c r="H259" s="4"/>
      <c r="I259" s="4"/>
      <c r="J259" s="4"/>
      <c r="K259" s="4"/>
      <c r="L259" s="4"/>
      <c r="M259" s="4"/>
      <c r="N259" s="4"/>
      <c r="O259" s="4"/>
      <c r="P259" s="4"/>
      <c r="Q259" s="4"/>
    </row>
    <row r="260" spans="1:17" ht="12.75">
      <c r="A260" s="4"/>
      <c r="B260" s="3"/>
      <c r="C260" s="3"/>
      <c r="D260" s="4"/>
      <c r="E260" s="4"/>
      <c r="F260" s="4"/>
      <c r="G260" s="4"/>
      <c r="H260" s="4"/>
      <c r="I260" s="4"/>
      <c r="J260" s="4"/>
      <c r="K260" s="4"/>
      <c r="L260" s="4"/>
      <c r="M260" s="4"/>
      <c r="N260" s="4"/>
      <c r="O260" s="4"/>
      <c r="P260" s="4"/>
      <c r="Q260" s="4"/>
    </row>
    <row r="261" spans="1:17" ht="12.75">
      <c r="A261" s="4"/>
      <c r="B261" s="3"/>
      <c r="C261" s="3"/>
      <c r="D261" s="4"/>
      <c r="E261" s="4"/>
      <c r="F261" s="4"/>
      <c r="G261" s="4"/>
      <c r="H261" s="4"/>
      <c r="I261" s="4"/>
      <c r="J261" s="4"/>
      <c r="K261" s="4"/>
      <c r="L261" s="4"/>
      <c r="M261" s="4"/>
      <c r="N261" s="4"/>
      <c r="O261" s="4"/>
      <c r="P261" s="4"/>
      <c r="Q261" s="4"/>
    </row>
    <row r="262" spans="1:17" ht="12.75">
      <c r="A262" s="4"/>
      <c r="B262" s="3"/>
      <c r="C262" s="3"/>
      <c r="D262" s="4"/>
      <c r="E262" s="4"/>
      <c r="F262" s="4"/>
      <c r="G262" s="4"/>
      <c r="H262" s="4"/>
      <c r="I262" s="4"/>
      <c r="J262" s="4"/>
      <c r="K262" s="4"/>
      <c r="L262" s="4"/>
      <c r="M262" s="4"/>
      <c r="N262" s="4"/>
      <c r="O262" s="4"/>
      <c r="P262" s="4"/>
      <c r="Q262" s="4"/>
    </row>
    <row r="263" spans="1:17" ht="12.75">
      <c r="A263" s="4"/>
      <c r="B263" s="3"/>
      <c r="C263" s="3"/>
      <c r="D263" s="4"/>
      <c r="E263" s="4"/>
      <c r="F263" s="4"/>
      <c r="G263" s="4"/>
      <c r="H263" s="4"/>
      <c r="I263" s="4"/>
      <c r="J263" s="4"/>
      <c r="K263" s="4"/>
      <c r="L263" s="4"/>
      <c r="M263" s="4"/>
      <c r="N263" s="4"/>
      <c r="O263" s="4"/>
      <c r="P263" s="4"/>
      <c r="Q263" s="4"/>
    </row>
    <row r="264" spans="1:17" ht="12.75">
      <c r="A264" s="4"/>
      <c r="B264" s="3"/>
      <c r="C264" s="3"/>
      <c r="D264" s="4"/>
      <c r="E264" s="4"/>
      <c r="F264" s="4"/>
      <c r="G264" s="4"/>
      <c r="H264" s="4"/>
      <c r="I264" s="4"/>
      <c r="J264" s="4"/>
      <c r="K264" s="4"/>
      <c r="L264" s="4"/>
      <c r="M264" s="4"/>
      <c r="N264" s="4"/>
      <c r="O264" s="4"/>
      <c r="P264" s="4"/>
      <c r="Q264" s="4"/>
    </row>
    <row r="265" spans="1:17" ht="12.75">
      <c r="A265" s="4"/>
      <c r="B265" s="3"/>
      <c r="C265" s="3"/>
      <c r="D265" s="4"/>
      <c r="E265" s="4"/>
      <c r="F265" s="4"/>
      <c r="G265" s="4"/>
      <c r="H265" s="4"/>
      <c r="I265" s="4"/>
      <c r="J265" s="4"/>
      <c r="K265" s="4"/>
      <c r="L265" s="4"/>
      <c r="M265" s="4"/>
      <c r="N265" s="4"/>
      <c r="O265" s="4"/>
      <c r="P265" s="4"/>
      <c r="Q265" s="4"/>
    </row>
    <row r="266" spans="1:17" ht="12.75">
      <c r="A266" s="4"/>
      <c r="B266" s="3"/>
      <c r="C266" s="3"/>
      <c r="D266" s="4"/>
      <c r="E266" s="4"/>
      <c r="F266" s="4"/>
      <c r="G266" s="4"/>
      <c r="H266" s="4"/>
      <c r="I266" s="4"/>
      <c r="J266" s="4"/>
      <c r="K266" s="4"/>
      <c r="L266" s="4"/>
      <c r="M266" s="4"/>
      <c r="N266" s="4"/>
      <c r="O266" s="4"/>
      <c r="P266" s="4"/>
      <c r="Q266" s="4"/>
    </row>
    <row r="267" spans="1:17" ht="12.75">
      <c r="A267" s="4"/>
      <c r="B267" s="3"/>
      <c r="C267" s="3"/>
      <c r="D267" s="4"/>
      <c r="E267" s="4"/>
      <c r="F267" s="4"/>
      <c r="G267" s="4"/>
      <c r="H267" s="4"/>
      <c r="I267" s="4"/>
      <c r="J267" s="4"/>
      <c r="K267" s="4"/>
      <c r="L267" s="4"/>
      <c r="M267" s="4"/>
      <c r="N267" s="4"/>
      <c r="O267" s="4"/>
      <c r="P267" s="4"/>
      <c r="Q267" s="4"/>
    </row>
    <row r="268" spans="1:17" ht="12.75">
      <c r="A268" s="4"/>
      <c r="B268" s="3"/>
      <c r="C268" s="3"/>
      <c r="D268" s="4"/>
      <c r="E268" s="4"/>
      <c r="F268" s="4"/>
      <c r="G268" s="4"/>
      <c r="H268" s="4"/>
      <c r="I268" s="4"/>
      <c r="J268" s="4"/>
      <c r="K268" s="4"/>
      <c r="L268" s="4"/>
      <c r="M268" s="4"/>
      <c r="N268" s="4"/>
      <c r="O268" s="4"/>
      <c r="P268" s="4"/>
      <c r="Q268" s="4"/>
    </row>
    <row r="269" spans="1:17" ht="12.75">
      <c r="A269" s="4"/>
      <c r="B269" s="3"/>
      <c r="C269" s="3"/>
      <c r="D269" s="4"/>
      <c r="E269" s="4"/>
      <c r="F269" s="4"/>
      <c r="G269" s="4"/>
      <c r="H269" s="4"/>
      <c r="I269" s="4"/>
      <c r="J269" s="4"/>
      <c r="K269" s="4"/>
      <c r="L269" s="4"/>
      <c r="M269" s="4"/>
      <c r="N269" s="4"/>
      <c r="O269" s="4"/>
      <c r="P269" s="4"/>
      <c r="Q269" s="4"/>
    </row>
    <row r="270" spans="1:17" ht="12.75">
      <c r="A270" s="4"/>
      <c r="B270" s="3"/>
      <c r="C270" s="3"/>
      <c r="D270" s="4"/>
      <c r="E270" s="4"/>
      <c r="F270" s="4"/>
      <c r="G270" s="4"/>
      <c r="H270" s="4"/>
      <c r="I270" s="4"/>
      <c r="J270" s="4"/>
      <c r="K270" s="4"/>
      <c r="L270" s="4"/>
      <c r="M270" s="4"/>
      <c r="N270" s="4"/>
      <c r="O270" s="4"/>
      <c r="P270" s="4"/>
      <c r="Q270" s="4"/>
    </row>
    <row r="271" spans="1:17" ht="12.75">
      <c r="A271" s="4"/>
      <c r="B271" s="3"/>
      <c r="C271" s="3"/>
      <c r="D271" s="4"/>
      <c r="E271" s="4"/>
      <c r="F271" s="4"/>
      <c r="G271" s="4"/>
      <c r="H271" s="4"/>
      <c r="I271" s="4"/>
      <c r="J271" s="4"/>
      <c r="K271" s="4"/>
      <c r="L271" s="4"/>
      <c r="M271" s="4"/>
      <c r="N271" s="4"/>
      <c r="O271" s="4"/>
      <c r="P271" s="4"/>
      <c r="Q271" s="4"/>
    </row>
    <row r="272" spans="1:17" ht="12.75">
      <c r="A272" s="4"/>
      <c r="B272" s="3"/>
      <c r="C272" s="3"/>
      <c r="D272" s="4"/>
      <c r="E272" s="4"/>
      <c r="F272" s="4"/>
      <c r="G272" s="4"/>
      <c r="H272" s="4"/>
      <c r="I272" s="4"/>
      <c r="J272" s="4"/>
      <c r="K272" s="4"/>
      <c r="L272" s="4"/>
      <c r="M272" s="4"/>
      <c r="N272" s="4"/>
      <c r="O272" s="4"/>
      <c r="P272" s="4"/>
      <c r="Q272" s="4"/>
    </row>
    <row r="273" spans="1:17" ht="12.75">
      <c r="A273" s="4"/>
      <c r="B273" s="3"/>
      <c r="C273" s="3"/>
      <c r="D273" s="4"/>
      <c r="E273" s="4"/>
      <c r="F273" s="4"/>
      <c r="G273" s="4"/>
      <c r="H273" s="4"/>
      <c r="I273" s="4"/>
      <c r="J273" s="4"/>
      <c r="K273" s="4"/>
      <c r="L273" s="4"/>
      <c r="M273" s="4"/>
      <c r="N273" s="4"/>
      <c r="O273" s="4"/>
      <c r="P273" s="4"/>
      <c r="Q273" s="4"/>
    </row>
    <row r="274" spans="1:17" ht="12.75">
      <c r="A274" s="4"/>
      <c r="B274" s="3"/>
      <c r="C274" s="3"/>
      <c r="D274" s="4"/>
      <c r="E274" s="4"/>
      <c r="F274" s="4"/>
      <c r="G274" s="4"/>
      <c r="H274" s="4"/>
      <c r="I274" s="4"/>
      <c r="J274" s="4"/>
      <c r="K274" s="4"/>
      <c r="L274" s="4"/>
      <c r="M274" s="4"/>
      <c r="N274" s="4"/>
      <c r="O274" s="4"/>
      <c r="P274" s="4"/>
      <c r="Q274" s="4"/>
    </row>
    <row r="275" spans="1:17" ht="12.75">
      <c r="A275" s="4"/>
      <c r="B275" s="3"/>
      <c r="C275" s="3"/>
      <c r="D275" s="4"/>
      <c r="E275" s="4"/>
      <c r="F275" s="4"/>
      <c r="G275" s="4"/>
      <c r="H275" s="4"/>
      <c r="I275" s="4"/>
      <c r="J275" s="4"/>
      <c r="K275" s="4"/>
      <c r="L275" s="4"/>
      <c r="M275" s="4"/>
      <c r="N275" s="4"/>
      <c r="O275" s="4"/>
      <c r="P275" s="4"/>
      <c r="Q275" s="4"/>
    </row>
    <row r="276" spans="1:17" ht="12.75">
      <c r="A276" s="4"/>
      <c r="B276" s="3"/>
      <c r="C276" s="3"/>
      <c r="D276" s="4"/>
      <c r="E276" s="4"/>
      <c r="F276" s="4"/>
      <c r="G276" s="4"/>
      <c r="H276" s="4"/>
      <c r="I276" s="4"/>
      <c r="J276" s="4"/>
      <c r="K276" s="4"/>
      <c r="L276" s="4"/>
      <c r="M276" s="4"/>
      <c r="N276" s="4"/>
      <c r="O276" s="4"/>
      <c r="P276" s="4"/>
      <c r="Q276" s="4"/>
    </row>
    <row r="277" spans="1:17" ht="12.75">
      <c r="A277" s="4"/>
      <c r="B277" s="3"/>
      <c r="C277" s="3"/>
      <c r="D277" s="4"/>
      <c r="E277" s="4"/>
      <c r="F277" s="4"/>
      <c r="G277" s="4"/>
      <c r="H277" s="4"/>
      <c r="I277" s="4"/>
      <c r="J277" s="4"/>
      <c r="K277" s="4"/>
      <c r="L277" s="4"/>
      <c r="M277" s="4"/>
      <c r="N277" s="4"/>
      <c r="O277" s="4"/>
      <c r="P277" s="4"/>
      <c r="Q277" s="4"/>
    </row>
    <row r="278" spans="1:17" ht="12.75">
      <c r="A278" s="4"/>
      <c r="B278" s="3"/>
      <c r="C278" s="3"/>
      <c r="D278" s="4"/>
      <c r="E278" s="4"/>
      <c r="F278" s="4"/>
      <c r="G278" s="4"/>
      <c r="H278" s="4"/>
      <c r="I278" s="4"/>
      <c r="J278" s="4"/>
      <c r="K278" s="4"/>
      <c r="L278" s="4"/>
      <c r="M278" s="4"/>
      <c r="N278" s="4"/>
      <c r="O278" s="4"/>
      <c r="P278" s="4"/>
      <c r="Q278" s="4"/>
    </row>
    <row r="279" spans="1:17" ht="12.75">
      <c r="A279" s="4"/>
      <c r="B279" s="3"/>
      <c r="C279" s="3"/>
      <c r="D279" s="4"/>
      <c r="E279" s="4"/>
      <c r="F279" s="4"/>
      <c r="G279" s="4"/>
      <c r="H279" s="4"/>
      <c r="I279" s="4"/>
      <c r="J279" s="4"/>
      <c r="K279" s="4"/>
      <c r="L279" s="4"/>
      <c r="M279" s="4"/>
      <c r="N279" s="4"/>
      <c r="O279" s="4"/>
      <c r="P279" s="4"/>
      <c r="Q279" s="4"/>
    </row>
    <row r="280" spans="1:17" ht="12.75">
      <c r="A280" s="4"/>
      <c r="B280" s="3"/>
      <c r="C280" s="3"/>
      <c r="D280" s="4"/>
      <c r="E280" s="4"/>
      <c r="F280" s="4"/>
      <c r="G280" s="4"/>
      <c r="H280" s="4"/>
      <c r="I280" s="4"/>
      <c r="J280" s="4"/>
      <c r="K280" s="4"/>
      <c r="L280" s="4"/>
      <c r="M280" s="4"/>
      <c r="N280" s="4"/>
      <c r="O280" s="4"/>
      <c r="P280" s="4"/>
      <c r="Q280" s="4"/>
    </row>
    <row r="281" spans="1:17" ht="12.75">
      <c r="A281" s="4"/>
      <c r="B281" s="3"/>
      <c r="C281" s="3"/>
      <c r="D281" s="4"/>
      <c r="E281" s="4"/>
      <c r="F281" s="4"/>
      <c r="G281" s="4"/>
      <c r="H281" s="4"/>
      <c r="I281" s="4"/>
      <c r="J281" s="4"/>
      <c r="K281" s="4"/>
      <c r="L281" s="4"/>
      <c r="M281" s="4"/>
      <c r="N281" s="4"/>
      <c r="O281" s="4"/>
      <c r="P281" s="4"/>
      <c r="Q281" s="4"/>
    </row>
    <row r="282" spans="1:17" ht="12.75">
      <c r="A282" s="4"/>
      <c r="B282" s="3"/>
      <c r="C282" s="3"/>
      <c r="D282" s="4"/>
      <c r="E282" s="4"/>
      <c r="F282" s="4"/>
      <c r="G282" s="4"/>
      <c r="H282" s="4"/>
      <c r="I282" s="4"/>
      <c r="J282" s="4"/>
      <c r="K282" s="4"/>
      <c r="L282" s="4"/>
      <c r="M282" s="4"/>
      <c r="N282" s="4"/>
      <c r="O282" s="4"/>
      <c r="P282" s="4"/>
      <c r="Q282" s="4"/>
    </row>
    <row r="283" spans="1:17" ht="12.75">
      <c r="A283" s="4"/>
      <c r="B283" s="3"/>
      <c r="C283" s="3"/>
      <c r="D283" s="4"/>
      <c r="E283" s="4"/>
      <c r="F283" s="4"/>
      <c r="G283" s="4"/>
      <c r="H283" s="4"/>
      <c r="I283" s="4"/>
      <c r="J283" s="4"/>
      <c r="K283" s="4"/>
      <c r="L283" s="4"/>
      <c r="M283" s="4"/>
      <c r="N283" s="4"/>
      <c r="O283" s="4"/>
      <c r="P283" s="4"/>
      <c r="Q283" s="4"/>
    </row>
    <row r="284" spans="1:17" ht="12.75">
      <c r="A284" s="4"/>
      <c r="B284" s="3"/>
      <c r="C284" s="3"/>
      <c r="D284" s="4"/>
      <c r="E284" s="4"/>
      <c r="F284" s="4"/>
      <c r="G284" s="4"/>
      <c r="H284" s="4"/>
      <c r="I284" s="4"/>
      <c r="J284" s="4"/>
      <c r="K284" s="4"/>
      <c r="L284" s="4"/>
      <c r="M284" s="4"/>
      <c r="N284" s="4"/>
      <c r="O284" s="4"/>
      <c r="P284" s="4"/>
      <c r="Q284" s="4"/>
    </row>
    <row r="285" spans="1:17" ht="12.75">
      <c r="A285" s="4"/>
      <c r="B285" s="3"/>
      <c r="C285" s="3"/>
      <c r="D285" s="4"/>
      <c r="E285" s="4"/>
      <c r="F285" s="4"/>
      <c r="G285" s="4"/>
      <c r="H285" s="4"/>
      <c r="I285" s="4"/>
      <c r="J285" s="4"/>
      <c r="K285" s="4"/>
      <c r="L285" s="4"/>
      <c r="M285" s="4"/>
      <c r="N285" s="4"/>
      <c r="O285" s="4"/>
      <c r="P285" s="4"/>
      <c r="Q285" s="4"/>
    </row>
    <row r="286" spans="1:17" ht="12.75">
      <c r="A286" s="4"/>
      <c r="B286" s="3"/>
      <c r="C286" s="3"/>
      <c r="D286" s="4"/>
      <c r="E286" s="4"/>
      <c r="F286" s="4"/>
      <c r="G286" s="4"/>
      <c r="H286" s="4"/>
      <c r="I286" s="4"/>
      <c r="J286" s="4"/>
      <c r="K286" s="4"/>
      <c r="L286" s="4"/>
      <c r="M286" s="4"/>
      <c r="N286" s="4"/>
      <c r="O286" s="4"/>
      <c r="P286" s="4"/>
      <c r="Q286" s="4"/>
    </row>
    <row r="287" spans="1:17" ht="12.75">
      <c r="A287" s="4"/>
      <c r="B287" s="3"/>
      <c r="C287" s="3"/>
      <c r="D287" s="4"/>
      <c r="E287" s="4"/>
      <c r="F287" s="4"/>
      <c r="G287" s="4"/>
      <c r="H287" s="4"/>
      <c r="I287" s="4"/>
      <c r="J287" s="4"/>
      <c r="K287" s="4"/>
      <c r="L287" s="4"/>
      <c r="M287" s="4"/>
      <c r="N287" s="4"/>
      <c r="O287" s="4"/>
      <c r="P287" s="4"/>
      <c r="Q287" s="4"/>
    </row>
    <row r="288" spans="1:17" ht="12.75">
      <c r="A288" s="4"/>
      <c r="B288" s="3"/>
      <c r="C288" s="3"/>
      <c r="D288" s="4"/>
      <c r="E288" s="4"/>
      <c r="F288" s="4"/>
      <c r="G288" s="4"/>
      <c r="H288" s="4"/>
      <c r="I288" s="4"/>
      <c r="J288" s="4"/>
      <c r="K288" s="4"/>
      <c r="L288" s="4"/>
      <c r="M288" s="4"/>
      <c r="N288" s="4"/>
      <c r="O288" s="4"/>
      <c r="P288" s="4"/>
      <c r="Q288" s="4"/>
    </row>
    <row r="289" spans="1:17" ht="12.75">
      <c r="A289" s="4"/>
      <c r="B289" s="3"/>
      <c r="C289" s="3"/>
      <c r="D289" s="4"/>
      <c r="E289" s="4"/>
      <c r="F289" s="4"/>
      <c r="G289" s="4"/>
      <c r="H289" s="4"/>
      <c r="I289" s="4"/>
      <c r="J289" s="4"/>
      <c r="K289" s="4"/>
      <c r="L289" s="4"/>
      <c r="M289" s="4"/>
      <c r="N289" s="4"/>
      <c r="O289" s="4"/>
      <c r="P289" s="4"/>
      <c r="Q289" s="4"/>
    </row>
    <row r="290" spans="1:17" ht="12.75">
      <c r="A290" s="4"/>
      <c r="B290" s="3"/>
      <c r="C290" s="3"/>
      <c r="D290" s="4"/>
      <c r="E290" s="4"/>
      <c r="F290" s="4"/>
      <c r="G290" s="4"/>
      <c r="H290" s="4"/>
      <c r="I290" s="4"/>
      <c r="J290" s="4"/>
      <c r="K290" s="4"/>
      <c r="L290" s="4"/>
      <c r="M290" s="4"/>
      <c r="N290" s="4"/>
      <c r="O290" s="4"/>
      <c r="P290" s="4"/>
      <c r="Q290" s="4"/>
    </row>
    <row r="291" spans="1:17" ht="12.75">
      <c r="A291" s="4"/>
      <c r="B291" s="3"/>
      <c r="C291" s="3"/>
      <c r="D291" s="4"/>
      <c r="E291" s="4"/>
      <c r="F291" s="4"/>
      <c r="G291" s="4"/>
      <c r="H291" s="4"/>
      <c r="I291" s="4"/>
      <c r="J291" s="4"/>
      <c r="K291" s="4"/>
      <c r="L291" s="4"/>
      <c r="M291" s="4"/>
      <c r="N291" s="4"/>
      <c r="O291" s="4"/>
      <c r="P291" s="4"/>
      <c r="Q291" s="4"/>
    </row>
    <row r="292" spans="1:17" ht="12.75">
      <c r="A292" s="4"/>
      <c r="B292" s="3"/>
      <c r="C292" s="3"/>
      <c r="D292" s="4"/>
      <c r="E292" s="4"/>
      <c r="F292" s="4"/>
      <c r="G292" s="4"/>
      <c r="H292" s="4"/>
      <c r="I292" s="4"/>
      <c r="J292" s="4"/>
      <c r="K292" s="4"/>
      <c r="L292" s="4"/>
      <c r="M292" s="4"/>
      <c r="N292" s="4"/>
      <c r="O292" s="4"/>
      <c r="P292" s="4"/>
      <c r="Q292" s="4"/>
    </row>
    <row r="293" spans="1:17" ht="12.75">
      <c r="A293" s="4"/>
      <c r="B293" s="3"/>
      <c r="C293" s="3"/>
      <c r="D293" s="4"/>
      <c r="E293" s="4"/>
      <c r="F293" s="4"/>
      <c r="G293" s="4"/>
      <c r="H293" s="4"/>
      <c r="I293" s="4"/>
      <c r="J293" s="4"/>
      <c r="K293" s="4"/>
      <c r="L293" s="4"/>
      <c r="M293" s="4"/>
      <c r="N293" s="4"/>
      <c r="O293" s="4"/>
      <c r="P293" s="4"/>
      <c r="Q293" s="4"/>
    </row>
    <row r="294" spans="1:17" ht="12.75">
      <c r="A294" s="4"/>
      <c r="B294" s="3"/>
      <c r="C294" s="3"/>
      <c r="D294" s="4"/>
      <c r="E294" s="4"/>
      <c r="F294" s="4"/>
      <c r="G294" s="4"/>
      <c r="H294" s="4"/>
      <c r="I294" s="4"/>
      <c r="J294" s="4"/>
      <c r="K294" s="4"/>
      <c r="L294" s="4"/>
      <c r="M294" s="4"/>
      <c r="N294" s="4"/>
      <c r="O294" s="4"/>
      <c r="P294" s="4"/>
      <c r="Q294" s="4"/>
    </row>
    <row r="295" spans="1:17" ht="12.75">
      <c r="A295" s="4"/>
      <c r="B295" s="3"/>
      <c r="C295" s="3"/>
      <c r="D295" s="4"/>
      <c r="E295" s="4"/>
      <c r="F295" s="4"/>
      <c r="G295" s="4"/>
      <c r="H295" s="4"/>
      <c r="I295" s="4"/>
      <c r="J295" s="4"/>
      <c r="K295" s="4"/>
      <c r="L295" s="4"/>
      <c r="M295" s="4"/>
      <c r="N295" s="4"/>
      <c r="O295" s="4"/>
      <c r="P295" s="4"/>
      <c r="Q295" s="4"/>
    </row>
    <row r="296" spans="1:17" ht="12.75">
      <c r="A296" s="4"/>
      <c r="B296" s="3"/>
      <c r="C296" s="3"/>
      <c r="D296" s="4"/>
      <c r="E296" s="4"/>
      <c r="F296" s="4"/>
      <c r="G296" s="4"/>
      <c r="H296" s="4"/>
      <c r="I296" s="4"/>
      <c r="J296" s="4"/>
      <c r="K296" s="4"/>
      <c r="L296" s="4"/>
      <c r="M296" s="4"/>
      <c r="N296" s="4"/>
      <c r="O296" s="4"/>
      <c r="P296" s="4"/>
      <c r="Q296" s="4"/>
    </row>
    <row r="297" spans="1:17" ht="12.75">
      <c r="A297" s="4"/>
      <c r="B297" s="3"/>
      <c r="C297" s="3"/>
      <c r="D297" s="4"/>
      <c r="E297" s="4"/>
      <c r="F297" s="4"/>
      <c r="G297" s="4"/>
      <c r="H297" s="4"/>
      <c r="I297" s="4"/>
      <c r="J297" s="4"/>
      <c r="K297" s="4"/>
      <c r="L297" s="4"/>
      <c r="M297" s="4"/>
      <c r="N297" s="4"/>
      <c r="O297" s="4"/>
      <c r="P297" s="4"/>
      <c r="Q297" s="4"/>
    </row>
    <row r="298" spans="1:17" ht="12.75">
      <c r="A298" s="4"/>
      <c r="B298" s="3"/>
      <c r="C298" s="3"/>
      <c r="D298" s="4"/>
      <c r="E298" s="4"/>
      <c r="F298" s="4"/>
      <c r="G298" s="4"/>
      <c r="H298" s="4"/>
      <c r="I298" s="4"/>
      <c r="J298" s="4"/>
      <c r="K298" s="4"/>
      <c r="L298" s="4"/>
      <c r="M298" s="4"/>
      <c r="N298" s="4"/>
      <c r="O298" s="4"/>
      <c r="P298" s="4"/>
      <c r="Q298" s="4"/>
    </row>
    <row r="299" spans="1:17" ht="12.75">
      <c r="A299" s="4"/>
      <c r="B299" s="3"/>
      <c r="C299" s="3"/>
      <c r="D299" s="4"/>
      <c r="E299" s="4"/>
      <c r="F299" s="4"/>
      <c r="G299" s="4"/>
      <c r="H299" s="4"/>
      <c r="I299" s="4"/>
      <c r="J299" s="4"/>
      <c r="K299" s="4"/>
      <c r="L299" s="4"/>
      <c r="M299" s="4"/>
      <c r="N299" s="4"/>
      <c r="O299" s="4"/>
      <c r="P299" s="4"/>
      <c r="Q299" s="4"/>
    </row>
    <row r="300" spans="1:17" ht="12.75">
      <c r="A300" s="4"/>
      <c r="B300" s="3"/>
      <c r="C300" s="3"/>
      <c r="D300" s="4"/>
      <c r="E300" s="4"/>
      <c r="F300" s="4"/>
      <c r="G300" s="4"/>
      <c r="H300" s="4"/>
      <c r="I300" s="4"/>
      <c r="J300" s="4"/>
      <c r="K300" s="4"/>
      <c r="L300" s="4"/>
      <c r="M300" s="4"/>
      <c r="N300" s="4"/>
      <c r="O300" s="4"/>
      <c r="P300" s="4"/>
      <c r="Q300" s="4"/>
    </row>
    <row r="301" spans="1:17" ht="12.75">
      <c r="A301" s="4"/>
      <c r="B301" s="3"/>
      <c r="C301" s="3"/>
      <c r="D301" s="4"/>
      <c r="E301" s="4"/>
      <c r="F301" s="4"/>
      <c r="G301" s="4"/>
      <c r="H301" s="4"/>
      <c r="I301" s="4"/>
      <c r="J301" s="4"/>
      <c r="K301" s="4"/>
      <c r="L301" s="4"/>
      <c r="M301" s="4"/>
      <c r="N301" s="4"/>
      <c r="O301" s="4"/>
      <c r="P301" s="4"/>
      <c r="Q301" s="4"/>
    </row>
    <row r="302" spans="1:17" ht="12.75">
      <c r="A302" s="4"/>
      <c r="B302" s="3"/>
      <c r="C302" s="3"/>
      <c r="D302" s="4"/>
      <c r="E302" s="4"/>
      <c r="F302" s="4"/>
      <c r="G302" s="4"/>
      <c r="H302" s="4"/>
      <c r="I302" s="4"/>
      <c r="J302" s="4"/>
      <c r="K302" s="4"/>
      <c r="L302" s="4"/>
      <c r="M302" s="4"/>
      <c r="N302" s="4"/>
      <c r="O302" s="4"/>
      <c r="P302" s="4"/>
      <c r="Q302" s="4"/>
    </row>
    <row r="303" spans="1:17" ht="12.75">
      <c r="A303" s="4"/>
      <c r="B303" s="3"/>
      <c r="C303" s="3"/>
      <c r="D303" s="4"/>
      <c r="E303" s="4"/>
      <c r="F303" s="4"/>
      <c r="G303" s="4"/>
      <c r="H303" s="4"/>
      <c r="I303" s="4"/>
      <c r="J303" s="4"/>
      <c r="K303" s="4"/>
      <c r="L303" s="4"/>
      <c r="M303" s="4"/>
      <c r="N303" s="4"/>
      <c r="O303" s="4"/>
      <c r="P303" s="4"/>
      <c r="Q303" s="4"/>
    </row>
    <row r="304" spans="1:17" ht="12.75">
      <c r="A304" s="4"/>
      <c r="B304" s="3"/>
      <c r="C304" s="3"/>
      <c r="D304" s="4"/>
      <c r="E304" s="4"/>
      <c r="F304" s="4"/>
      <c r="G304" s="4"/>
      <c r="H304" s="4"/>
      <c r="I304" s="4"/>
      <c r="J304" s="4"/>
      <c r="K304" s="4"/>
      <c r="L304" s="4"/>
      <c r="M304" s="4"/>
      <c r="N304" s="4"/>
      <c r="O304" s="4"/>
      <c r="P304" s="4"/>
      <c r="Q304" s="4"/>
    </row>
    <row r="305" spans="1:17" ht="12.75">
      <c r="A305" s="4"/>
      <c r="B305" s="3"/>
      <c r="C305" s="3"/>
      <c r="D305" s="4"/>
      <c r="E305" s="4"/>
      <c r="F305" s="4"/>
      <c r="G305" s="4"/>
      <c r="H305" s="4"/>
      <c r="I305" s="4"/>
      <c r="J305" s="4"/>
      <c r="K305" s="4"/>
      <c r="L305" s="4"/>
      <c r="M305" s="4"/>
      <c r="N305" s="4"/>
      <c r="O305" s="4"/>
      <c r="P305" s="4"/>
      <c r="Q305" s="4"/>
    </row>
    <row r="306" spans="1:17" ht="12.75">
      <c r="A306" s="4"/>
      <c r="B306" s="3"/>
      <c r="C306" s="3"/>
      <c r="D306" s="4"/>
      <c r="E306" s="4"/>
      <c r="F306" s="4"/>
      <c r="G306" s="4"/>
      <c r="H306" s="4"/>
      <c r="I306" s="4"/>
      <c r="J306" s="4"/>
      <c r="K306" s="4"/>
      <c r="L306" s="4"/>
      <c r="M306" s="4"/>
      <c r="N306" s="4"/>
      <c r="O306" s="4"/>
      <c r="P306" s="4"/>
      <c r="Q306" s="4"/>
    </row>
    <row r="307" spans="1:17" ht="12.75">
      <c r="A307" s="4"/>
      <c r="B307" s="3"/>
      <c r="C307" s="3"/>
      <c r="D307" s="4"/>
      <c r="E307" s="4"/>
      <c r="F307" s="4"/>
      <c r="G307" s="4"/>
      <c r="H307" s="4"/>
      <c r="I307" s="4"/>
      <c r="J307" s="4"/>
      <c r="K307" s="4"/>
      <c r="L307" s="4"/>
      <c r="M307" s="4"/>
      <c r="N307" s="4"/>
      <c r="O307" s="4"/>
      <c r="P307" s="4"/>
      <c r="Q307" s="4"/>
    </row>
    <row r="308" spans="1:17" ht="12.75">
      <c r="A308" s="4"/>
      <c r="B308" s="3"/>
      <c r="C308" s="3"/>
      <c r="D308" s="4"/>
      <c r="E308" s="4"/>
      <c r="F308" s="4"/>
      <c r="G308" s="4"/>
      <c r="H308" s="4"/>
      <c r="I308" s="4"/>
      <c r="J308" s="4"/>
      <c r="K308" s="4"/>
      <c r="L308" s="4"/>
      <c r="M308" s="4"/>
      <c r="N308" s="4"/>
      <c r="O308" s="4"/>
      <c r="P308" s="4"/>
      <c r="Q308" s="4"/>
    </row>
    <row r="309" spans="1:17" ht="12.75">
      <c r="A309" s="4"/>
      <c r="B309" s="3"/>
      <c r="C309" s="3"/>
      <c r="D309" s="4"/>
      <c r="E309" s="4"/>
      <c r="F309" s="4"/>
      <c r="G309" s="4"/>
      <c r="H309" s="4"/>
      <c r="I309" s="4"/>
      <c r="J309" s="4"/>
      <c r="K309" s="4"/>
      <c r="L309" s="4"/>
      <c r="M309" s="4"/>
      <c r="N309" s="4"/>
      <c r="O309" s="4"/>
      <c r="P309" s="4"/>
      <c r="Q309" s="4"/>
    </row>
    <row r="310" spans="1:17" ht="12.75">
      <c r="A310" s="4"/>
      <c r="B310" s="3"/>
      <c r="C310" s="3"/>
      <c r="D310" s="4"/>
      <c r="E310" s="4"/>
      <c r="F310" s="4"/>
      <c r="G310" s="4"/>
      <c r="H310" s="4"/>
      <c r="I310" s="4"/>
      <c r="J310" s="4"/>
      <c r="K310" s="4"/>
      <c r="L310" s="4"/>
      <c r="M310" s="4"/>
      <c r="N310" s="4"/>
      <c r="O310" s="4"/>
      <c r="P310" s="4"/>
      <c r="Q310" s="4"/>
    </row>
    <row r="311" spans="1:17" ht="12.75">
      <c r="A311" s="4"/>
      <c r="B311" s="3"/>
      <c r="C311" s="3"/>
      <c r="D311" s="4"/>
      <c r="E311" s="4"/>
      <c r="F311" s="4"/>
      <c r="G311" s="4"/>
      <c r="H311" s="4"/>
      <c r="I311" s="4"/>
      <c r="J311" s="4"/>
      <c r="K311" s="4"/>
      <c r="L311" s="4"/>
      <c r="M311" s="4"/>
      <c r="N311" s="4"/>
      <c r="O311" s="4"/>
      <c r="P311" s="4"/>
      <c r="Q311" s="4"/>
    </row>
    <row r="312" spans="1:17" ht="12.75">
      <c r="A312" s="4"/>
      <c r="B312" s="3"/>
      <c r="C312" s="3"/>
      <c r="D312" s="4"/>
      <c r="E312" s="4"/>
      <c r="F312" s="4"/>
      <c r="G312" s="4"/>
      <c r="H312" s="4"/>
      <c r="I312" s="4"/>
      <c r="J312" s="4"/>
      <c r="K312" s="4"/>
      <c r="L312" s="4"/>
      <c r="M312" s="4"/>
      <c r="N312" s="4"/>
      <c r="O312" s="4"/>
      <c r="P312" s="4"/>
      <c r="Q312" s="4"/>
    </row>
    <row r="313" spans="1:17" ht="12.75">
      <c r="A313" s="4"/>
      <c r="B313" s="3"/>
      <c r="C313" s="3"/>
      <c r="D313" s="4"/>
      <c r="E313" s="4"/>
      <c r="F313" s="4"/>
      <c r="G313" s="4"/>
      <c r="H313" s="4"/>
      <c r="I313" s="4"/>
      <c r="J313" s="4"/>
      <c r="K313" s="4"/>
      <c r="L313" s="4"/>
      <c r="M313" s="4"/>
      <c r="N313" s="4"/>
      <c r="O313" s="4"/>
      <c r="P313" s="4"/>
      <c r="Q313" s="4"/>
    </row>
    <row r="314" spans="1:17" ht="12.75">
      <c r="A314" s="4"/>
      <c r="B314" s="3"/>
      <c r="C314" s="3"/>
      <c r="D314" s="4"/>
      <c r="E314" s="4"/>
      <c r="F314" s="4"/>
      <c r="G314" s="4"/>
      <c r="H314" s="4"/>
      <c r="I314" s="4"/>
      <c r="J314" s="4"/>
      <c r="K314" s="4"/>
      <c r="L314" s="4"/>
      <c r="M314" s="4"/>
      <c r="N314" s="4"/>
      <c r="O314" s="4"/>
      <c r="P314" s="4"/>
      <c r="Q314" s="4"/>
    </row>
    <row r="315" spans="1:17" ht="12.75">
      <c r="A315" s="4"/>
      <c r="B315" s="3"/>
      <c r="C315" s="3"/>
      <c r="D315" s="4"/>
      <c r="E315" s="4"/>
      <c r="F315" s="4"/>
      <c r="G315" s="4"/>
      <c r="H315" s="4"/>
      <c r="I315" s="4"/>
      <c r="J315" s="4"/>
      <c r="K315" s="4"/>
      <c r="L315" s="4"/>
      <c r="M315" s="4"/>
      <c r="N315" s="4"/>
      <c r="O315" s="4"/>
      <c r="P315" s="4"/>
      <c r="Q315" s="4"/>
    </row>
    <row r="316" spans="1:17" ht="12.75">
      <c r="A316" s="4"/>
      <c r="B316" s="3"/>
      <c r="C316" s="3"/>
      <c r="D316" s="4"/>
      <c r="E316" s="4"/>
      <c r="F316" s="4"/>
      <c r="G316" s="4"/>
      <c r="H316" s="4"/>
      <c r="I316" s="4"/>
      <c r="J316" s="4"/>
      <c r="K316" s="4"/>
      <c r="L316" s="4"/>
      <c r="M316" s="4"/>
      <c r="N316" s="4"/>
      <c r="O316" s="4"/>
      <c r="P316" s="4"/>
      <c r="Q316" s="4"/>
    </row>
    <row r="317" spans="1:17" ht="12.75">
      <c r="A317" s="4"/>
      <c r="B317" s="3"/>
      <c r="C317" s="3"/>
      <c r="D317" s="4"/>
      <c r="E317" s="4"/>
      <c r="F317" s="4"/>
      <c r="G317" s="4"/>
      <c r="H317" s="4"/>
      <c r="I317" s="4"/>
      <c r="J317" s="4"/>
      <c r="K317" s="4"/>
      <c r="L317" s="4"/>
      <c r="M317" s="4"/>
      <c r="N317" s="4"/>
      <c r="O317" s="4"/>
      <c r="P317" s="4"/>
      <c r="Q317" s="4"/>
    </row>
    <row r="318" spans="1:17" ht="12.75">
      <c r="A318" s="4"/>
      <c r="B318" s="3"/>
      <c r="C318" s="3"/>
      <c r="D318" s="4"/>
      <c r="E318" s="4"/>
      <c r="F318" s="4"/>
      <c r="G318" s="4"/>
      <c r="H318" s="4"/>
      <c r="I318" s="4"/>
      <c r="J318" s="4"/>
      <c r="K318" s="4"/>
      <c r="L318" s="4"/>
      <c r="M318" s="4"/>
      <c r="N318" s="4"/>
      <c r="O318" s="4"/>
      <c r="P318" s="4"/>
      <c r="Q318" s="4"/>
    </row>
    <row r="319" spans="1:17" ht="12.75">
      <c r="A319" s="4"/>
      <c r="B319" s="3"/>
      <c r="C319" s="3"/>
      <c r="D319" s="4"/>
      <c r="E319" s="4"/>
      <c r="F319" s="4"/>
      <c r="G319" s="4"/>
      <c r="H319" s="4"/>
      <c r="I319" s="4"/>
      <c r="J319" s="4"/>
      <c r="K319" s="4"/>
      <c r="L319" s="4"/>
      <c r="M319" s="4"/>
      <c r="N319" s="4"/>
      <c r="O319" s="4"/>
      <c r="P319" s="4"/>
      <c r="Q319" s="4"/>
    </row>
    <row r="320" spans="1:17" ht="12.75">
      <c r="A320" s="4"/>
      <c r="B320" s="3"/>
      <c r="C320" s="3"/>
      <c r="D320" s="4"/>
      <c r="E320" s="4"/>
      <c r="F320" s="4"/>
      <c r="G320" s="4"/>
      <c r="H320" s="4"/>
      <c r="I320" s="4"/>
      <c r="J320" s="4"/>
      <c r="K320" s="4"/>
      <c r="L320" s="4"/>
      <c r="M320" s="4"/>
      <c r="N320" s="4"/>
      <c r="O320" s="4"/>
      <c r="P320" s="4"/>
      <c r="Q320" s="4"/>
    </row>
    <row r="321" spans="1:17" ht="12.75">
      <c r="A321" s="4"/>
      <c r="B321" s="3"/>
      <c r="C321" s="3"/>
      <c r="D321" s="4"/>
      <c r="E321" s="4"/>
      <c r="F321" s="4"/>
      <c r="G321" s="4"/>
      <c r="H321" s="4"/>
      <c r="I321" s="4"/>
      <c r="J321" s="4"/>
      <c r="K321" s="4"/>
      <c r="L321" s="4"/>
      <c r="M321" s="4"/>
      <c r="N321" s="4"/>
      <c r="O321" s="4"/>
      <c r="P321" s="4"/>
      <c r="Q321" s="4"/>
    </row>
    <row r="322" spans="1:17" ht="12.75">
      <c r="A322" s="4"/>
      <c r="B322" s="3"/>
      <c r="C322" s="3"/>
      <c r="D322" s="4"/>
      <c r="E322" s="4"/>
      <c r="F322" s="4"/>
      <c r="G322" s="4"/>
      <c r="H322" s="4"/>
      <c r="I322" s="4"/>
      <c r="J322" s="4"/>
      <c r="K322" s="4"/>
      <c r="L322" s="4"/>
      <c r="M322" s="4"/>
      <c r="N322" s="4"/>
      <c r="O322" s="4"/>
      <c r="P322" s="4"/>
      <c r="Q322" s="4"/>
    </row>
    <row r="323" spans="1:17" ht="12.75">
      <c r="A323" s="4"/>
      <c r="B323" s="3"/>
      <c r="C323" s="3"/>
      <c r="D323" s="4"/>
      <c r="E323" s="4"/>
      <c r="F323" s="4"/>
      <c r="G323" s="4"/>
      <c r="H323" s="4"/>
      <c r="I323" s="4"/>
      <c r="J323" s="4"/>
      <c r="K323" s="4"/>
      <c r="L323" s="4"/>
      <c r="M323" s="4"/>
      <c r="N323" s="4"/>
      <c r="O323" s="4"/>
      <c r="P323" s="4"/>
      <c r="Q323" s="4"/>
    </row>
    <row r="324" spans="1:17" ht="12.75">
      <c r="A324" s="4"/>
      <c r="B324" s="3"/>
      <c r="C324" s="3"/>
      <c r="D324" s="4"/>
      <c r="E324" s="4"/>
      <c r="F324" s="4"/>
      <c r="G324" s="4"/>
      <c r="H324" s="4"/>
      <c r="I324" s="4"/>
      <c r="J324" s="4"/>
      <c r="K324" s="4"/>
      <c r="L324" s="4"/>
      <c r="M324" s="4"/>
      <c r="N324" s="4"/>
      <c r="O324" s="4"/>
      <c r="P324" s="4"/>
      <c r="Q324" s="4"/>
    </row>
    <row r="325" spans="1:17" ht="12.75">
      <c r="A325" s="4"/>
      <c r="B325" s="3"/>
      <c r="C325" s="3"/>
      <c r="D325" s="4"/>
      <c r="E325" s="4"/>
      <c r="F325" s="4"/>
      <c r="G325" s="4"/>
      <c r="H325" s="4"/>
      <c r="I325" s="4"/>
      <c r="J325" s="4"/>
      <c r="K325" s="4"/>
      <c r="L325" s="4"/>
      <c r="M325" s="4"/>
      <c r="N325" s="4"/>
      <c r="O325" s="4"/>
      <c r="P325" s="4"/>
      <c r="Q325" s="4"/>
    </row>
    <row r="326" spans="1:17" ht="12.75">
      <c r="A326" s="4"/>
      <c r="B326" s="3"/>
      <c r="C326" s="3"/>
      <c r="D326" s="4"/>
      <c r="E326" s="4"/>
      <c r="F326" s="4"/>
      <c r="G326" s="4"/>
      <c r="H326" s="4"/>
      <c r="I326" s="4"/>
      <c r="J326" s="4"/>
      <c r="K326" s="4"/>
      <c r="L326" s="4"/>
      <c r="M326" s="4"/>
      <c r="N326" s="4"/>
      <c r="O326" s="4"/>
      <c r="P326" s="4"/>
      <c r="Q326" s="4"/>
    </row>
    <row r="327" spans="1:17" ht="12.75">
      <c r="A327" s="4"/>
      <c r="B327" s="3"/>
      <c r="C327" s="3"/>
      <c r="D327" s="4"/>
      <c r="E327" s="4"/>
      <c r="F327" s="4"/>
      <c r="G327" s="4"/>
      <c r="H327" s="4"/>
      <c r="I327" s="4"/>
      <c r="J327" s="4"/>
      <c r="K327" s="4"/>
      <c r="L327" s="4"/>
      <c r="M327" s="4"/>
      <c r="N327" s="4"/>
      <c r="O327" s="4"/>
      <c r="P327" s="4"/>
      <c r="Q327" s="4"/>
    </row>
    <row r="328" spans="1:17" ht="12.75">
      <c r="A328" s="4"/>
      <c r="B328" s="3"/>
      <c r="C328" s="3"/>
      <c r="D328" s="4"/>
      <c r="E328" s="4"/>
      <c r="F328" s="4"/>
      <c r="G328" s="4"/>
      <c r="H328" s="4"/>
      <c r="I328" s="4"/>
      <c r="J328" s="4"/>
      <c r="K328" s="4"/>
      <c r="L328" s="4"/>
      <c r="M328" s="4"/>
      <c r="N328" s="4"/>
      <c r="O328" s="4"/>
      <c r="P328" s="4"/>
      <c r="Q328" s="4"/>
    </row>
    <row r="329" spans="1:17" ht="12.75">
      <c r="A329" s="4"/>
      <c r="B329" s="3"/>
      <c r="C329" s="3"/>
      <c r="D329" s="4"/>
      <c r="E329" s="4"/>
      <c r="F329" s="4"/>
      <c r="G329" s="4"/>
      <c r="H329" s="4"/>
      <c r="I329" s="4"/>
      <c r="J329" s="4"/>
      <c r="K329" s="4"/>
      <c r="L329" s="4"/>
      <c r="M329" s="4"/>
      <c r="N329" s="4"/>
      <c r="O329" s="4"/>
      <c r="P329" s="4"/>
      <c r="Q329" s="4"/>
    </row>
    <row r="330" spans="1:17" ht="12.75">
      <c r="A330" s="4"/>
      <c r="B330" s="3"/>
      <c r="C330" s="3"/>
      <c r="D330" s="4"/>
      <c r="E330" s="4"/>
      <c r="F330" s="4"/>
      <c r="G330" s="4"/>
      <c r="H330" s="4"/>
      <c r="I330" s="4"/>
      <c r="J330" s="4"/>
      <c r="K330" s="4"/>
      <c r="L330" s="4"/>
      <c r="M330" s="4"/>
      <c r="N330" s="4"/>
      <c r="O330" s="4"/>
      <c r="P330" s="4"/>
      <c r="Q330" s="4"/>
    </row>
    <row r="331" spans="1:17" ht="12.75">
      <c r="A331" s="4"/>
      <c r="B331" s="3"/>
      <c r="C331" s="3"/>
      <c r="D331" s="4"/>
      <c r="E331" s="4"/>
      <c r="F331" s="4"/>
      <c r="G331" s="4"/>
      <c r="H331" s="4"/>
      <c r="I331" s="4"/>
      <c r="J331" s="4"/>
      <c r="K331" s="4"/>
      <c r="L331" s="4"/>
      <c r="M331" s="4"/>
      <c r="N331" s="4"/>
      <c r="O331" s="4"/>
      <c r="P331" s="4"/>
      <c r="Q331" s="4"/>
    </row>
    <row r="332" spans="1:17" ht="12.75">
      <c r="A332" s="4"/>
      <c r="B332" s="3"/>
      <c r="C332" s="3"/>
      <c r="D332" s="4"/>
      <c r="E332" s="4"/>
      <c r="F332" s="4"/>
      <c r="G332" s="4"/>
      <c r="H332" s="4"/>
      <c r="I332" s="4"/>
      <c r="J332" s="4"/>
      <c r="K332" s="4"/>
      <c r="L332" s="4"/>
      <c r="M332" s="4"/>
      <c r="N332" s="4"/>
      <c r="O332" s="4"/>
      <c r="P332" s="4"/>
      <c r="Q332" s="4"/>
    </row>
    <row r="333" spans="1:17" ht="12.75">
      <c r="A333" s="4"/>
      <c r="B333" s="3"/>
      <c r="C333" s="3"/>
      <c r="D333" s="4"/>
      <c r="E333" s="4"/>
      <c r="F333" s="4"/>
      <c r="G333" s="4"/>
      <c r="H333" s="4"/>
      <c r="I333" s="4"/>
      <c r="J333" s="4"/>
      <c r="K333" s="4"/>
      <c r="L333" s="4"/>
      <c r="M333" s="4"/>
      <c r="N333" s="4"/>
      <c r="O333" s="4"/>
      <c r="P333" s="4"/>
      <c r="Q333" s="4"/>
    </row>
    <row r="334" spans="1:17" ht="12.75">
      <c r="A334" s="4"/>
      <c r="B334" s="3"/>
      <c r="C334" s="3"/>
      <c r="D334" s="4"/>
      <c r="E334" s="4"/>
      <c r="F334" s="4"/>
      <c r="G334" s="4"/>
      <c r="H334" s="4"/>
      <c r="I334" s="4"/>
      <c r="J334" s="4"/>
      <c r="K334" s="4"/>
      <c r="L334" s="4"/>
      <c r="M334" s="4"/>
      <c r="N334" s="4"/>
      <c r="O334" s="4"/>
      <c r="P334" s="4"/>
      <c r="Q334" s="4"/>
    </row>
    <row r="335" spans="1:17" ht="12.75">
      <c r="A335" s="4"/>
      <c r="B335" s="3"/>
      <c r="C335" s="3"/>
      <c r="D335" s="4"/>
      <c r="E335" s="4"/>
      <c r="F335" s="4"/>
      <c r="G335" s="4"/>
      <c r="H335" s="4"/>
      <c r="I335" s="4"/>
      <c r="J335" s="4"/>
      <c r="K335" s="4"/>
      <c r="L335" s="4"/>
      <c r="M335" s="4"/>
      <c r="N335" s="4"/>
      <c r="O335" s="4"/>
      <c r="P335" s="4"/>
      <c r="Q335" s="4"/>
    </row>
    <row r="336" spans="1:17" ht="12.75">
      <c r="A336" s="4"/>
      <c r="B336" s="3"/>
      <c r="C336" s="3"/>
      <c r="D336" s="4"/>
      <c r="E336" s="4"/>
      <c r="F336" s="4"/>
      <c r="G336" s="4"/>
      <c r="H336" s="4"/>
      <c r="I336" s="4"/>
      <c r="J336" s="4"/>
      <c r="K336" s="4"/>
      <c r="L336" s="4"/>
      <c r="M336" s="4"/>
      <c r="N336" s="4"/>
      <c r="O336" s="4"/>
      <c r="P336" s="4"/>
      <c r="Q336" s="4"/>
    </row>
    <row r="337" spans="1:17" ht="12.75">
      <c r="A337" s="4"/>
      <c r="B337" s="3"/>
      <c r="C337" s="3"/>
      <c r="D337" s="4"/>
      <c r="E337" s="4"/>
      <c r="F337" s="4"/>
      <c r="G337" s="4"/>
      <c r="H337" s="4"/>
      <c r="I337" s="4"/>
      <c r="J337" s="4"/>
      <c r="K337" s="4"/>
      <c r="L337" s="4"/>
      <c r="M337" s="4"/>
      <c r="N337" s="4"/>
      <c r="O337" s="4"/>
      <c r="P337" s="4"/>
      <c r="Q337" s="4"/>
    </row>
    <row r="338" spans="1:17" ht="12.75">
      <c r="A338" s="4"/>
      <c r="B338" s="3"/>
      <c r="C338" s="3"/>
      <c r="D338" s="4"/>
      <c r="E338" s="4"/>
      <c r="F338" s="4"/>
      <c r="G338" s="4"/>
      <c r="H338" s="4"/>
      <c r="I338" s="4"/>
      <c r="J338" s="4"/>
      <c r="K338" s="4"/>
      <c r="L338" s="4"/>
      <c r="M338" s="4"/>
      <c r="N338" s="4"/>
      <c r="O338" s="4"/>
      <c r="P338" s="4"/>
      <c r="Q338" s="4"/>
    </row>
    <row r="339" spans="1:17" ht="12.75">
      <c r="A339" s="4"/>
      <c r="B339" s="3"/>
      <c r="C339" s="3"/>
      <c r="D339" s="4"/>
      <c r="E339" s="4"/>
      <c r="F339" s="4"/>
      <c r="G339" s="4"/>
      <c r="H339" s="4"/>
      <c r="I339" s="4"/>
      <c r="J339" s="4"/>
      <c r="K339" s="4"/>
      <c r="L339" s="4"/>
      <c r="M339" s="4"/>
      <c r="N339" s="4"/>
      <c r="O339" s="4"/>
      <c r="P339" s="4"/>
      <c r="Q339" s="4"/>
    </row>
    <row r="340" spans="1:17" ht="12.75">
      <c r="A340" s="4"/>
      <c r="B340" s="3"/>
      <c r="C340" s="3"/>
      <c r="D340" s="4"/>
      <c r="E340" s="4"/>
      <c r="F340" s="4"/>
      <c r="G340" s="4"/>
      <c r="H340" s="4"/>
      <c r="I340" s="4"/>
      <c r="J340" s="4"/>
      <c r="K340" s="4"/>
      <c r="L340" s="4"/>
      <c r="M340" s="4"/>
      <c r="N340" s="4"/>
      <c r="O340" s="4"/>
      <c r="P340" s="4"/>
      <c r="Q340" s="4"/>
    </row>
    <row r="341" spans="1:17" ht="12.75">
      <c r="A341" s="4"/>
      <c r="B341" s="3"/>
      <c r="C341" s="3"/>
      <c r="D341" s="4"/>
      <c r="E341" s="4"/>
      <c r="F341" s="4"/>
      <c r="G341" s="4"/>
      <c r="H341" s="4"/>
      <c r="I341" s="4"/>
      <c r="J341" s="4"/>
      <c r="K341" s="4"/>
      <c r="L341" s="4"/>
      <c r="M341" s="4"/>
      <c r="N341" s="4"/>
      <c r="O341" s="4"/>
      <c r="P341" s="4"/>
      <c r="Q341" s="4"/>
    </row>
    <row r="342" spans="1:17" ht="12.75">
      <c r="A342" s="4"/>
      <c r="B342" s="3"/>
      <c r="C342" s="3"/>
      <c r="D342" s="4"/>
      <c r="E342" s="4"/>
      <c r="F342" s="4"/>
      <c r="G342" s="4"/>
      <c r="H342" s="4"/>
      <c r="I342" s="4"/>
      <c r="J342" s="4"/>
      <c r="K342" s="4"/>
      <c r="L342" s="4"/>
      <c r="M342" s="4"/>
      <c r="N342" s="4"/>
      <c r="O342" s="4"/>
      <c r="P342" s="4"/>
      <c r="Q342" s="4"/>
    </row>
    <row r="343" spans="1:17" ht="12.75">
      <c r="A343" s="4"/>
      <c r="B343" s="3"/>
      <c r="C343" s="3"/>
      <c r="D343" s="4"/>
      <c r="E343" s="4"/>
      <c r="F343" s="4"/>
      <c r="G343" s="4"/>
      <c r="H343" s="4"/>
      <c r="I343" s="4"/>
      <c r="J343" s="4"/>
      <c r="K343" s="4"/>
      <c r="L343" s="4"/>
      <c r="M343" s="4"/>
      <c r="N343" s="4"/>
      <c r="O343" s="4"/>
      <c r="P343" s="4"/>
      <c r="Q343" s="4"/>
    </row>
    <row r="344" spans="1:17" ht="12.75">
      <c r="A344" s="4"/>
      <c r="B344" s="3"/>
      <c r="C344" s="3"/>
      <c r="D344" s="4"/>
      <c r="E344" s="4"/>
      <c r="F344" s="4"/>
      <c r="G344" s="4"/>
      <c r="H344" s="4"/>
      <c r="I344" s="4"/>
      <c r="J344" s="4"/>
      <c r="K344" s="4"/>
      <c r="L344" s="4"/>
      <c r="M344" s="4"/>
      <c r="N344" s="4"/>
      <c r="O344" s="4"/>
      <c r="P344" s="4"/>
      <c r="Q344" s="4"/>
    </row>
    <row r="345" spans="1:17" ht="12.75">
      <c r="A345" s="4"/>
      <c r="B345" s="3"/>
      <c r="C345" s="3"/>
      <c r="D345" s="4"/>
      <c r="E345" s="4"/>
      <c r="F345" s="4"/>
      <c r="G345" s="4"/>
      <c r="H345" s="4"/>
      <c r="I345" s="4"/>
      <c r="J345" s="4"/>
      <c r="K345" s="4"/>
      <c r="L345" s="4"/>
      <c r="M345" s="4"/>
      <c r="N345" s="4"/>
      <c r="O345" s="4"/>
      <c r="P345" s="4"/>
      <c r="Q345" s="4"/>
    </row>
    <row r="346" spans="1:17" ht="12.75">
      <c r="A346" s="4"/>
      <c r="B346" s="3"/>
      <c r="C346" s="3"/>
      <c r="D346" s="4"/>
      <c r="E346" s="4"/>
      <c r="F346" s="4"/>
      <c r="G346" s="4"/>
      <c r="H346" s="4"/>
      <c r="I346" s="4"/>
      <c r="J346" s="4"/>
      <c r="K346" s="4"/>
      <c r="L346" s="4"/>
      <c r="M346" s="4"/>
      <c r="N346" s="4"/>
      <c r="O346" s="4"/>
      <c r="P346" s="4"/>
      <c r="Q346" s="4"/>
    </row>
    <row r="347" spans="1:17" ht="12.75">
      <c r="A347" s="4"/>
      <c r="B347" s="3"/>
      <c r="C347" s="3"/>
      <c r="D347" s="4"/>
      <c r="E347" s="4"/>
      <c r="F347" s="4"/>
      <c r="G347" s="4"/>
      <c r="H347" s="4"/>
      <c r="I347" s="4"/>
      <c r="J347" s="4"/>
      <c r="K347" s="4"/>
      <c r="L347" s="4"/>
      <c r="M347" s="4"/>
      <c r="N347" s="4"/>
      <c r="O347" s="4"/>
      <c r="P347" s="4"/>
      <c r="Q347" s="4"/>
    </row>
    <row r="348" spans="1:17" ht="12.75">
      <c r="A348" s="4"/>
      <c r="B348" s="3"/>
      <c r="C348" s="3"/>
      <c r="D348" s="4"/>
      <c r="E348" s="4"/>
      <c r="F348" s="4"/>
      <c r="G348" s="4"/>
      <c r="H348" s="4"/>
      <c r="I348" s="4"/>
      <c r="J348" s="4"/>
      <c r="K348" s="4"/>
      <c r="L348" s="4"/>
      <c r="M348" s="4"/>
      <c r="N348" s="4"/>
      <c r="O348" s="4"/>
      <c r="P348" s="4"/>
      <c r="Q348" s="4"/>
    </row>
    <row r="349" spans="1:17" ht="12.75">
      <c r="A349" s="4"/>
      <c r="B349" s="3"/>
      <c r="C349" s="3"/>
      <c r="D349" s="4"/>
      <c r="E349" s="4"/>
      <c r="F349" s="4"/>
      <c r="G349" s="4"/>
      <c r="H349" s="4"/>
      <c r="I349" s="4"/>
      <c r="J349" s="4"/>
      <c r="K349" s="4"/>
      <c r="L349" s="4"/>
      <c r="M349" s="4"/>
      <c r="N349" s="4"/>
      <c r="O349" s="4"/>
      <c r="P349" s="4"/>
      <c r="Q349" s="4"/>
    </row>
    <row r="350" spans="1:17" ht="12.75">
      <c r="A350" s="4"/>
      <c r="B350" s="3"/>
      <c r="C350" s="3"/>
      <c r="D350" s="4"/>
      <c r="E350" s="4"/>
      <c r="F350" s="4"/>
      <c r="G350" s="4"/>
      <c r="H350" s="4"/>
      <c r="I350" s="4"/>
      <c r="J350" s="4"/>
      <c r="K350" s="4"/>
      <c r="L350" s="4"/>
      <c r="M350" s="4"/>
      <c r="N350" s="4"/>
      <c r="O350" s="4"/>
      <c r="P350" s="4"/>
      <c r="Q350" s="4"/>
    </row>
    <row r="351" spans="1:17" ht="12.75">
      <c r="A351" s="4"/>
      <c r="B351" s="3"/>
      <c r="C351" s="3"/>
      <c r="D351" s="4"/>
      <c r="E351" s="4"/>
      <c r="F351" s="4"/>
      <c r="G351" s="4"/>
      <c r="H351" s="4"/>
      <c r="I351" s="4"/>
      <c r="J351" s="4"/>
      <c r="K351" s="4"/>
      <c r="L351" s="4"/>
      <c r="M351" s="4"/>
      <c r="N351" s="4"/>
      <c r="O351" s="4"/>
      <c r="P351" s="4"/>
      <c r="Q351" s="4"/>
    </row>
    <row r="352" spans="1:17" ht="12.75">
      <c r="A352" s="4"/>
      <c r="B352" s="3"/>
      <c r="C352" s="3"/>
      <c r="D352" s="4"/>
      <c r="E352" s="4"/>
      <c r="F352" s="4"/>
      <c r="G352" s="4"/>
      <c r="H352" s="4"/>
      <c r="I352" s="4"/>
      <c r="J352" s="4"/>
      <c r="K352" s="4"/>
      <c r="L352" s="4"/>
      <c r="M352" s="4"/>
      <c r="N352" s="4"/>
      <c r="O352" s="4"/>
      <c r="P352" s="4"/>
      <c r="Q352" s="4"/>
    </row>
    <row r="353" spans="1:17" ht="12.75">
      <c r="A353" s="4"/>
      <c r="B353" s="3"/>
      <c r="C353" s="3"/>
      <c r="D353" s="4"/>
      <c r="E353" s="4"/>
      <c r="F353" s="4"/>
      <c r="G353" s="4"/>
      <c r="H353" s="4"/>
      <c r="I353" s="4"/>
      <c r="J353" s="4"/>
      <c r="K353" s="4"/>
      <c r="L353" s="4"/>
      <c r="M353" s="4"/>
      <c r="N353" s="4"/>
      <c r="O353" s="4"/>
      <c r="P353" s="4"/>
      <c r="Q353" s="4"/>
    </row>
    <row r="354" spans="1:17" ht="12.75">
      <c r="A354" s="4"/>
      <c r="B354" s="3"/>
      <c r="C354" s="3"/>
      <c r="D354" s="4"/>
      <c r="E354" s="4"/>
      <c r="F354" s="4"/>
      <c r="G354" s="4"/>
      <c r="H354" s="4"/>
      <c r="I354" s="4"/>
      <c r="J354" s="4"/>
      <c r="K354" s="4"/>
      <c r="L354" s="4"/>
      <c r="M354" s="4"/>
      <c r="N354" s="4"/>
      <c r="O354" s="4"/>
      <c r="P354" s="4"/>
      <c r="Q354" s="4"/>
    </row>
    <row r="355" spans="1:17" ht="12.75">
      <c r="A355" s="4"/>
      <c r="B355" s="3"/>
      <c r="C355" s="3"/>
      <c r="D355" s="4"/>
      <c r="E355" s="4"/>
      <c r="F355" s="4"/>
      <c r="G355" s="4"/>
      <c r="H355" s="4"/>
      <c r="I355" s="4"/>
      <c r="J355" s="4"/>
      <c r="K355" s="4"/>
      <c r="L355" s="4"/>
      <c r="M355" s="4"/>
      <c r="N355" s="4"/>
      <c r="O355" s="4"/>
      <c r="P355" s="4"/>
      <c r="Q355" s="4"/>
    </row>
    <row r="356" spans="1:17" ht="12.75">
      <c r="A356" s="4"/>
      <c r="B356" s="3"/>
      <c r="C356" s="3"/>
      <c r="D356" s="4"/>
      <c r="E356" s="4"/>
      <c r="F356" s="4"/>
      <c r="G356" s="4"/>
      <c r="H356" s="4"/>
      <c r="I356" s="4"/>
      <c r="J356" s="4"/>
      <c r="K356" s="4"/>
      <c r="L356" s="4"/>
      <c r="M356" s="4"/>
      <c r="N356" s="4"/>
      <c r="O356" s="4"/>
      <c r="P356" s="4"/>
      <c r="Q356" s="4"/>
    </row>
    <row r="357" spans="1:17" ht="12.75">
      <c r="A357" s="4"/>
      <c r="B357" s="3"/>
      <c r="C357" s="3"/>
      <c r="D357" s="4"/>
      <c r="E357" s="4"/>
      <c r="F357" s="4"/>
      <c r="G357" s="4"/>
      <c r="H357" s="4"/>
      <c r="I357" s="4"/>
      <c r="J357" s="4"/>
      <c r="K357" s="4"/>
      <c r="L357" s="4"/>
      <c r="M357" s="4"/>
      <c r="N357" s="4"/>
      <c r="O357" s="4"/>
      <c r="P357" s="4"/>
      <c r="Q357" s="4"/>
    </row>
    <row r="358" spans="1:17" ht="12.75">
      <c r="A358" s="4"/>
      <c r="B358" s="3"/>
      <c r="C358" s="3"/>
      <c r="D358" s="4"/>
      <c r="E358" s="4"/>
      <c r="F358" s="4"/>
      <c r="G358" s="4"/>
      <c r="H358" s="4"/>
      <c r="I358" s="4"/>
      <c r="J358" s="4"/>
      <c r="K358" s="4"/>
      <c r="L358" s="4"/>
      <c r="M358" s="4"/>
      <c r="N358" s="4"/>
      <c r="O358" s="4"/>
      <c r="P358" s="4"/>
      <c r="Q358" s="4"/>
    </row>
    <row r="359" spans="1:17" ht="12.75">
      <c r="A359" s="4"/>
      <c r="B359" s="3"/>
      <c r="C359" s="3"/>
      <c r="D359" s="4"/>
      <c r="E359" s="4"/>
      <c r="F359" s="4"/>
      <c r="G359" s="4"/>
      <c r="H359" s="4"/>
      <c r="I359" s="4"/>
      <c r="J359" s="4"/>
      <c r="K359" s="4"/>
      <c r="L359" s="4"/>
      <c r="M359" s="4"/>
      <c r="N359" s="4"/>
      <c r="O359" s="4"/>
      <c r="P359" s="4"/>
      <c r="Q359" s="4"/>
    </row>
    <row r="360" spans="1:17" ht="12.75">
      <c r="A360" s="4"/>
      <c r="B360" s="3"/>
      <c r="C360" s="3"/>
      <c r="D360" s="4"/>
      <c r="E360" s="4"/>
      <c r="F360" s="4"/>
      <c r="G360" s="4"/>
      <c r="H360" s="4"/>
      <c r="I360" s="4"/>
      <c r="J360" s="4"/>
      <c r="K360" s="4"/>
      <c r="L360" s="4"/>
      <c r="M360" s="4"/>
      <c r="N360" s="4"/>
      <c r="O360" s="4"/>
      <c r="P360" s="4"/>
      <c r="Q360" s="4"/>
    </row>
    <row r="361" spans="1:17" ht="12.75">
      <c r="A361" s="4"/>
      <c r="B361" s="3"/>
      <c r="C361" s="3"/>
      <c r="D361" s="4"/>
      <c r="E361" s="4"/>
      <c r="F361" s="4"/>
      <c r="G361" s="4"/>
      <c r="H361" s="4"/>
      <c r="I361" s="4"/>
      <c r="J361" s="4"/>
      <c r="K361" s="4"/>
      <c r="L361" s="4"/>
      <c r="M361" s="4"/>
      <c r="N361" s="4"/>
      <c r="O361" s="4"/>
      <c r="P361" s="4"/>
      <c r="Q361" s="4"/>
    </row>
    <row r="362" spans="1:17" ht="12.75">
      <c r="A362" s="4"/>
      <c r="B362" s="3"/>
      <c r="C362" s="3"/>
      <c r="D362" s="4"/>
      <c r="E362" s="4"/>
      <c r="F362" s="4"/>
      <c r="G362" s="4"/>
      <c r="H362" s="4"/>
      <c r="I362" s="4"/>
      <c r="J362" s="4"/>
      <c r="K362" s="4"/>
      <c r="L362" s="4"/>
      <c r="M362" s="4"/>
      <c r="N362" s="4"/>
      <c r="O362" s="4"/>
      <c r="P362" s="4"/>
      <c r="Q362" s="4"/>
    </row>
    <row r="363" spans="1:17" ht="12.75">
      <c r="A363" s="4"/>
      <c r="B363" s="3"/>
      <c r="C363" s="3"/>
      <c r="D363" s="4"/>
      <c r="E363" s="4"/>
      <c r="F363" s="4"/>
      <c r="G363" s="4"/>
      <c r="H363" s="4"/>
      <c r="I363" s="4"/>
      <c r="J363" s="4"/>
      <c r="K363" s="4"/>
      <c r="L363" s="4"/>
      <c r="M363" s="4"/>
      <c r="N363" s="4"/>
      <c r="O363" s="4"/>
      <c r="P363" s="4"/>
      <c r="Q363" s="4"/>
    </row>
    <row r="364" spans="1:17" ht="12.75">
      <c r="A364" s="4"/>
      <c r="B364" s="3"/>
      <c r="C364" s="3"/>
      <c r="D364" s="4"/>
      <c r="E364" s="4"/>
      <c r="F364" s="4"/>
      <c r="G364" s="4"/>
      <c r="H364" s="4"/>
      <c r="I364" s="4"/>
      <c r="J364" s="4"/>
      <c r="K364" s="4"/>
      <c r="L364" s="4"/>
      <c r="M364" s="4"/>
      <c r="N364" s="4"/>
      <c r="O364" s="4"/>
      <c r="P364" s="4"/>
      <c r="Q364" s="4"/>
    </row>
    <row r="365" spans="1:17" ht="12.75">
      <c r="A365" s="4"/>
      <c r="B365" s="3"/>
      <c r="C365" s="3"/>
      <c r="D365" s="4"/>
      <c r="E365" s="4"/>
      <c r="F365" s="4"/>
      <c r="G365" s="4"/>
      <c r="H365" s="4"/>
      <c r="I365" s="4"/>
      <c r="J365" s="4"/>
      <c r="K365" s="4"/>
      <c r="L365" s="4"/>
      <c r="M365" s="4"/>
      <c r="N365" s="4"/>
      <c r="O365" s="4"/>
      <c r="P365" s="4"/>
      <c r="Q365" s="4"/>
    </row>
    <row r="366" spans="1:17" ht="12.75">
      <c r="A366" s="4"/>
      <c r="B366" s="3"/>
      <c r="C366" s="3"/>
      <c r="D366" s="4"/>
      <c r="E366" s="4"/>
      <c r="F366" s="4"/>
      <c r="G366" s="4"/>
      <c r="H366" s="4"/>
      <c r="I366" s="4"/>
      <c r="J366" s="4"/>
      <c r="K366" s="4"/>
      <c r="L366" s="4"/>
      <c r="M366" s="4"/>
      <c r="N366" s="4"/>
      <c r="O366" s="4"/>
      <c r="P366" s="4"/>
      <c r="Q366" s="4"/>
    </row>
    <row r="367" spans="1:17" ht="12.75">
      <c r="A367" s="4"/>
      <c r="B367" s="3"/>
      <c r="C367" s="3"/>
      <c r="D367" s="4"/>
      <c r="E367" s="4"/>
      <c r="F367" s="4"/>
      <c r="G367" s="4"/>
      <c r="H367" s="4"/>
      <c r="I367" s="4"/>
      <c r="J367" s="4"/>
      <c r="K367" s="4"/>
      <c r="L367" s="4"/>
      <c r="M367" s="4"/>
      <c r="N367" s="4"/>
      <c r="O367" s="4"/>
      <c r="P367" s="4"/>
      <c r="Q367" s="4"/>
    </row>
    <row r="368" spans="1:17" ht="12.75">
      <c r="A368" s="4"/>
      <c r="B368" s="3"/>
      <c r="C368" s="3"/>
      <c r="D368" s="4"/>
      <c r="E368" s="4"/>
      <c r="F368" s="4"/>
      <c r="G368" s="4"/>
      <c r="H368" s="4"/>
      <c r="I368" s="4"/>
      <c r="J368" s="4"/>
      <c r="K368" s="4"/>
      <c r="L368" s="4"/>
      <c r="M368" s="4"/>
      <c r="N368" s="4"/>
      <c r="O368" s="4"/>
      <c r="P368" s="4"/>
      <c r="Q368" s="4"/>
    </row>
    <row r="369" spans="1:17" ht="12.75">
      <c r="A369" s="4"/>
      <c r="B369" s="3"/>
      <c r="C369" s="3"/>
      <c r="D369" s="4"/>
      <c r="E369" s="4"/>
      <c r="F369" s="4"/>
      <c r="G369" s="4"/>
      <c r="H369" s="4"/>
      <c r="I369" s="4"/>
      <c r="J369" s="4"/>
      <c r="K369" s="4"/>
      <c r="L369" s="4"/>
      <c r="M369" s="4"/>
      <c r="N369" s="4"/>
      <c r="O369" s="4"/>
      <c r="P369" s="4"/>
      <c r="Q369" s="4"/>
    </row>
    <row r="370" spans="1:17" ht="12.75">
      <c r="A370" s="4"/>
      <c r="B370" s="3"/>
      <c r="C370" s="3"/>
      <c r="D370" s="4"/>
      <c r="E370" s="4"/>
      <c r="F370" s="4"/>
      <c r="G370" s="4"/>
      <c r="H370" s="4"/>
      <c r="I370" s="4"/>
      <c r="J370" s="4"/>
      <c r="K370" s="4"/>
      <c r="L370" s="4"/>
      <c r="M370" s="4"/>
      <c r="N370" s="4"/>
      <c r="O370" s="4"/>
      <c r="P370" s="4"/>
      <c r="Q370" s="4"/>
    </row>
    <row r="371" spans="1:17" ht="12.75">
      <c r="A371" s="4"/>
      <c r="B371" s="3"/>
      <c r="C371" s="3"/>
      <c r="D371" s="4"/>
      <c r="E371" s="4"/>
      <c r="F371" s="4"/>
      <c r="G371" s="4"/>
      <c r="H371" s="4"/>
      <c r="I371" s="4"/>
      <c r="J371" s="4"/>
      <c r="K371" s="4"/>
      <c r="L371" s="4"/>
      <c r="M371" s="4"/>
      <c r="N371" s="4"/>
      <c r="O371" s="4"/>
      <c r="P371" s="4"/>
      <c r="Q371" s="4"/>
    </row>
    <row r="372" spans="1:17" ht="12.75">
      <c r="A372" s="4"/>
      <c r="B372" s="3"/>
      <c r="C372" s="3"/>
      <c r="D372" s="4"/>
      <c r="E372" s="4"/>
      <c r="F372" s="4"/>
      <c r="G372" s="4"/>
      <c r="H372" s="4"/>
      <c r="I372" s="4"/>
      <c r="J372" s="4"/>
      <c r="K372" s="4"/>
      <c r="L372" s="4"/>
      <c r="M372" s="4"/>
      <c r="N372" s="4"/>
      <c r="O372" s="4"/>
      <c r="P372" s="4"/>
      <c r="Q372" s="4"/>
    </row>
    <row r="373" spans="1:17" ht="12.75">
      <c r="A373" s="4"/>
      <c r="B373" s="3"/>
      <c r="C373" s="3"/>
      <c r="D373" s="4"/>
      <c r="E373" s="4"/>
      <c r="F373" s="4"/>
      <c r="G373" s="4"/>
      <c r="H373" s="4"/>
      <c r="I373" s="4"/>
      <c r="J373" s="4"/>
      <c r="K373" s="4"/>
      <c r="L373" s="4"/>
      <c r="M373" s="4"/>
      <c r="N373" s="4"/>
      <c r="O373" s="4"/>
      <c r="P373" s="4"/>
      <c r="Q373" s="4"/>
    </row>
    <row r="374" spans="1:17" ht="12.75">
      <c r="A374" s="4"/>
      <c r="B374" s="3"/>
      <c r="C374" s="3"/>
      <c r="D374" s="4"/>
      <c r="E374" s="4"/>
      <c r="F374" s="4"/>
      <c r="G374" s="4"/>
      <c r="H374" s="4"/>
      <c r="I374" s="4"/>
      <c r="J374" s="4"/>
      <c r="K374" s="4"/>
      <c r="L374" s="4"/>
      <c r="M374" s="4"/>
      <c r="N374" s="4"/>
      <c r="O374" s="4"/>
      <c r="P374" s="4"/>
      <c r="Q374" s="4"/>
    </row>
    <row r="375" spans="1:17" ht="12.75">
      <c r="A375" s="4"/>
      <c r="B375" s="3"/>
      <c r="C375" s="3"/>
      <c r="D375" s="4"/>
      <c r="E375" s="4"/>
      <c r="F375" s="4"/>
      <c r="G375" s="4"/>
      <c r="H375" s="4"/>
      <c r="I375" s="4"/>
      <c r="J375" s="4"/>
      <c r="K375" s="4"/>
      <c r="L375" s="4"/>
      <c r="M375" s="4"/>
      <c r="N375" s="4"/>
      <c r="O375" s="4"/>
      <c r="P375" s="4"/>
      <c r="Q375" s="4"/>
    </row>
    <row r="376" spans="1:17" ht="12.75">
      <c r="A376" s="4"/>
      <c r="B376" s="3"/>
      <c r="C376" s="3"/>
      <c r="D376" s="4"/>
      <c r="E376" s="4"/>
      <c r="F376" s="4"/>
      <c r="G376" s="4"/>
      <c r="H376" s="4"/>
      <c r="I376" s="4"/>
      <c r="J376" s="4"/>
      <c r="K376" s="4"/>
      <c r="L376" s="4"/>
      <c r="M376" s="4"/>
      <c r="N376" s="4"/>
      <c r="O376" s="4"/>
      <c r="P376" s="4"/>
      <c r="Q376" s="4"/>
    </row>
    <row r="377" spans="1:17" ht="12.75">
      <c r="A377" s="4"/>
      <c r="B377" s="3"/>
      <c r="C377" s="3"/>
      <c r="D377" s="4"/>
      <c r="E377" s="4"/>
      <c r="F377" s="4"/>
      <c r="G377" s="4"/>
      <c r="H377" s="4"/>
      <c r="I377" s="4"/>
      <c r="J377" s="4"/>
      <c r="K377" s="4"/>
      <c r="L377" s="4"/>
      <c r="M377" s="4"/>
      <c r="N377" s="4"/>
      <c r="O377" s="4"/>
      <c r="P377" s="4"/>
      <c r="Q377" s="4"/>
    </row>
    <row r="378" spans="1:17" ht="12.75">
      <c r="A378" s="4"/>
      <c r="B378" s="3"/>
      <c r="C378" s="3"/>
      <c r="D378" s="4"/>
      <c r="E378" s="4"/>
      <c r="F378" s="4"/>
      <c r="G378" s="4"/>
      <c r="H378" s="4"/>
      <c r="I378" s="4"/>
      <c r="J378" s="4"/>
      <c r="K378" s="4"/>
      <c r="L378" s="4"/>
      <c r="M378" s="4"/>
      <c r="N378" s="4"/>
      <c r="O378" s="4"/>
      <c r="P378" s="4"/>
      <c r="Q378" s="4"/>
    </row>
    <row r="379" spans="1:17" ht="12.75">
      <c r="A379" s="4"/>
      <c r="B379" s="3"/>
      <c r="C379" s="3"/>
      <c r="D379" s="4"/>
      <c r="E379" s="4"/>
      <c r="F379" s="4"/>
      <c r="G379" s="4"/>
      <c r="H379" s="4"/>
      <c r="I379" s="4"/>
      <c r="J379" s="4"/>
      <c r="K379" s="4"/>
      <c r="L379" s="4"/>
      <c r="M379" s="4"/>
      <c r="N379" s="4"/>
      <c r="O379" s="4"/>
      <c r="P379" s="4"/>
      <c r="Q379" s="4"/>
    </row>
    <row r="380" spans="1:17" ht="12.75">
      <c r="A380" s="4"/>
      <c r="B380" s="3"/>
      <c r="C380" s="3"/>
      <c r="D380" s="4"/>
      <c r="E380" s="4"/>
      <c r="F380" s="4"/>
      <c r="G380" s="4"/>
      <c r="H380" s="4"/>
      <c r="I380" s="4"/>
      <c r="J380" s="4"/>
      <c r="K380" s="4"/>
      <c r="L380" s="4"/>
      <c r="M380" s="4"/>
      <c r="N380" s="4"/>
      <c r="O380" s="4"/>
      <c r="P380" s="4"/>
      <c r="Q380" s="4"/>
    </row>
    <row r="381" spans="1:17" ht="12.75">
      <c r="A381" s="4"/>
      <c r="B381" s="3"/>
      <c r="C381" s="3"/>
      <c r="D381" s="4"/>
      <c r="E381" s="4"/>
      <c r="F381" s="4"/>
      <c r="G381" s="4"/>
      <c r="H381" s="4"/>
      <c r="I381" s="4"/>
      <c r="J381" s="4"/>
      <c r="K381" s="4"/>
      <c r="L381" s="4"/>
      <c r="M381" s="4"/>
      <c r="N381" s="4"/>
      <c r="O381" s="4"/>
      <c r="P381" s="4"/>
      <c r="Q381" s="4"/>
    </row>
    <row r="382" spans="1:17" ht="12.75">
      <c r="A382" s="4"/>
      <c r="B382" s="3"/>
      <c r="C382" s="3"/>
      <c r="D382" s="4"/>
      <c r="E382" s="4"/>
      <c r="F382" s="4"/>
      <c r="G382" s="4"/>
      <c r="H382" s="4"/>
      <c r="I382" s="4"/>
      <c r="J382" s="4"/>
      <c r="K382" s="4"/>
      <c r="L382" s="4"/>
      <c r="M382" s="4"/>
      <c r="N382" s="4"/>
      <c r="O382" s="4"/>
      <c r="P382" s="4"/>
      <c r="Q382" s="4"/>
    </row>
    <row r="383" spans="1:17" ht="12.75">
      <c r="A383" s="4"/>
      <c r="B383" s="3"/>
      <c r="C383" s="3"/>
      <c r="D383" s="4"/>
      <c r="E383" s="4"/>
      <c r="F383" s="4"/>
      <c r="G383" s="4"/>
      <c r="H383" s="4"/>
      <c r="I383" s="4"/>
      <c r="J383" s="4"/>
      <c r="K383" s="4"/>
      <c r="L383" s="4"/>
      <c r="M383" s="4"/>
      <c r="N383" s="4"/>
      <c r="O383" s="4"/>
      <c r="P383" s="4"/>
      <c r="Q383" s="4"/>
    </row>
    <row r="384" spans="1:17" ht="12.75">
      <c r="A384" s="4"/>
      <c r="B384" s="3"/>
      <c r="C384" s="3"/>
      <c r="D384" s="4"/>
      <c r="E384" s="4"/>
      <c r="F384" s="4"/>
      <c r="G384" s="4"/>
      <c r="H384" s="4"/>
      <c r="I384" s="4"/>
      <c r="J384" s="4"/>
      <c r="K384" s="4"/>
      <c r="L384" s="4"/>
      <c r="M384" s="4"/>
      <c r="N384" s="4"/>
      <c r="O384" s="4"/>
      <c r="P384" s="4"/>
      <c r="Q384" s="4"/>
    </row>
    <row r="385" spans="1:17" ht="12.75">
      <c r="A385" s="4"/>
      <c r="B385" s="3"/>
      <c r="C385" s="3"/>
      <c r="D385" s="4"/>
      <c r="E385" s="4"/>
      <c r="F385" s="4"/>
      <c r="G385" s="4"/>
      <c r="H385" s="4"/>
      <c r="I385" s="4"/>
      <c r="J385" s="4"/>
      <c r="K385" s="4"/>
      <c r="L385" s="4"/>
      <c r="M385" s="4"/>
      <c r="N385" s="4"/>
      <c r="O385" s="4"/>
      <c r="P385" s="4"/>
      <c r="Q385" s="4"/>
    </row>
    <row r="386" spans="1:17" ht="12.75">
      <c r="A386" s="4"/>
      <c r="B386" s="3"/>
      <c r="C386" s="3"/>
      <c r="D386" s="4"/>
      <c r="E386" s="4"/>
      <c r="F386" s="4"/>
      <c r="G386" s="4"/>
      <c r="H386" s="4"/>
      <c r="I386" s="4"/>
      <c r="J386" s="4"/>
      <c r="K386" s="4"/>
      <c r="L386" s="4"/>
      <c r="M386" s="4"/>
      <c r="N386" s="4"/>
      <c r="O386" s="4"/>
      <c r="P386" s="4"/>
      <c r="Q386" s="4"/>
    </row>
    <row r="387" spans="1:17" ht="12.75">
      <c r="A387" s="4"/>
      <c r="B387" s="3"/>
      <c r="C387" s="3"/>
      <c r="D387" s="4"/>
      <c r="E387" s="4"/>
      <c r="F387" s="4"/>
      <c r="G387" s="4"/>
      <c r="H387" s="4"/>
      <c r="I387" s="4"/>
      <c r="J387" s="4"/>
      <c r="K387" s="4"/>
      <c r="L387" s="4"/>
      <c r="M387" s="4"/>
      <c r="N387" s="4"/>
      <c r="O387" s="4"/>
      <c r="P387" s="4"/>
      <c r="Q387" s="4"/>
    </row>
    <row r="388" spans="1:17" ht="12.75">
      <c r="A388" s="4"/>
      <c r="B388" s="3"/>
      <c r="C388" s="3"/>
      <c r="D388" s="4"/>
      <c r="E388" s="4"/>
      <c r="F388" s="4"/>
      <c r="G388" s="4"/>
      <c r="H388" s="4"/>
      <c r="I388" s="4"/>
      <c r="J388" s="4"/>
      <c r="K388" s="4"/>
      <c r="L388" s="4"/>
      <c r="M388" s="4"/>
      <c r="N388" s="4"/>
      <c r="O388" s="4"/>
      <c r="P388" s="4"/>
      <c r="Q388" s="4"/>
    </row>
    <row r="389" spans="1:17" ht="12.75">
      <c r="A389" s="4"/>
      <c r="B389" s="3"/>
      <c r="C389" s="3"/>
      <c r="D389" s="4"/>
      <c r="E389" s="4"/>
      <c r="F389" s="4"/>
      <c r="G389" s="4"/>
      <c r="H389" s="4"/>
      <c r="I389" s="4"/>
      <c r="J389" s="4"/>
      <c r="K389" s="4"/>
      <c r="L389" s="4"/>
      <c r="M389" s="4"/>
      <c r="N389" s="4"/>
      <c r="O389" s="4"/>
      <c r="P389" s="4"/>
      <c r="Q389" s="4"/>
    </row>
    <row r="390" spans="1:17" ht="12.75">
      <c r="A390" s="4"/>
      <c r="B390" s="3"/>
      <c r="C390" s="3"/>
      <c r="D390" s="4"/>
      <c r="E390" s="4"/>
      <c r="F390" s="4"/>
      <c r="G390" s="4"/>
      <c r="H390" s="4"/>
      <c r="I390" s="4"/>
      <c r="J390" s="4"/>
      <c r="K390" s="4"/>
      <c r="L390" s="4"/>
      <c r="M390" s="4"/>
      <c r="N390" s="4"/>
      <c r="O390" s="4"/>
      <c r="P390" s="4"/>
      <c r="Q390" s="4"/>
    </row>
    <row r="391" spans="1:17" ht="12.75">
      <c r="A391" s="4"/>
      <c r="B391" s="3"/>
      <c r="C391" s="3"/>
      <c r="D391" s="4"/>
      <c r="E391" s="4"/>
      <c r="F391" s="4"/>
      <c r="G391" s="4"/>
      <c r="H391" s="4"/>
      <c r="I391" s="4"/>
      <c r="J391" s="4"/>
      <c r="K391" s="4"/>
      <c r="L391" s="4"/>
      <c r="M391" s="4"/>
      <c r="N391" s="4"/>
      <c r="O391" s="4"/>
      <c r="P391" s="4"/>
      <c r="Q391" s="4"/>
    </row>
    <row r="392" spans="1:17" ht="12.75">
      <c r="A392" s="4"/>
      <c r="B392" s="3"/>
      <c r="C392" s="3"/>
      <c r="D392" s="4"/>
      <c r="E392" s="4"/>
      <c r="F392" s="4"/>
      <c r="G392" s="4"/>
      <c r="H392" s="4"/>
      <c r="I392" s="4"/>
      <c r="J392" s="4"/>
      <c r="K392" s="4"/>
      <c r="L392" s="4"/>
      <c r="M392" s="4"/>
      <c r="N392" s="4"/>
      <c r="O392" s="4"/>
      <c r="P392" s="4"/>
      <c r="Q392" s="4"/>
    </row>
    <row r="393" spans="1:17" ht="12.75">
      <c r="A393" s="4"/>
      <c r="B393" s="3"/>
      <c r="C393" s="3"/>
      <c r="D393" s="4"/>
      <c r="E393" s="4"/>
      <c r="F393" s="4"/>
      <c r="G393" s="4"/>
      <c r="H393" s="4"/>
      <c r="I393" s="4"/>
      <c r="J393" s="4"/>
      <c r="K393" s="4"/>
      <c r="L393" s="4"/>
      <c r="M393" s="4"/>
      <c r="N393" s="4"/>
      <c r="O393" s="4"/>
      <c r="P393" s="4"/>
      <c r="Q393" s="4"/>
    </row>
    <row r="394" spans="1:17" ht="12.75">
      <c r="A394" s="4"/>
      <c r="B394" s="3"/>
      <c r="C394" s="3"/>
      <c r="D394" s="4"/>
      <c r="E394" s="4"/>
      <c r="F394" s="4"/>
      <c r="G394" s="4"/>
      <c r="H394" s="4"/>
      <c r="I394" s="4"/>
      <c r="J394" s="4"/>
      <c r="K394" s="4"/>
      <c r="L394" s="4"/>
      <c r="M394" s="4"/>
      <c r="N394" s="4"/>
      <c r="O394" s="4"/>
      <c r="P394" s="4"/>
      <c r="Q394" s="4"/>
    </row>
    <row r="395" spans="1:17" ht="12.75">
      <c r="A395" s="4"/>
      <c r="B395" s="3"/>
      <c r="C395" s="3"/>
      <c r="D395" s="4"/>
      <c r="E395" s="4"/>
      <c r="F395" s="4"/>
      <c r="G395" s="4"/>
      <c r="H395" s="4"/>
      <c r="I395" s="4"/>
      <c r="J395" s="4"/>
      <c r="K395" s="4"/>
      <c r="L395" s="4"/>
      <c r="M395" s="4"/>
      <c r="N395" s="4"/>
      <c r="O395" s="4"/>
      <c r="P395" s="4"/>
      <c r="Q395" s="4"/>
    </row>
    <row r="396" spans="1:17" ht="12.75">
      <c r="A396" s="4"/>
      <c r="B396" s="3"/>
      <c r="C396" s="3"/>
      <c r="D396" s="4"/>
      <c r="E396" s="4"/>
      <c r="F396" s="4"/>
      <c r="G396" s="4"/>
      <c r="H396" s="4"/>
      <c r="I396" s="4"/>
      <c r="J396" s="4"/>
      <c r="K396" s="4"/>
      <c r="L396" s="4"/>
      <c r="M396" s="4"/>
      <c r="N396" s="4"/>
      <c r="O396" s="4"/>
      <c r="P396" s="4"/>
      <c r="Q396" s="4"/>
    </row>
    <row r="397" spans="1:17" ht="12.75">
      <c r="A397" s="4"/>
      <c r="B397" s="3"/>
      <c r="C397" s="3"/>
      <c r="D397" s="4"/>
      <c r="E397" s="4"/>
      <c r="F397" s="4"/>
      <c r="G397" s="4"/>
      <c r="H397" s="4"/>
      <c r="I397" s="4"/>
      <c r="J397" s="4"/>
      <c r="K397" s="4"/>
      <c r="L397" s="4"/>
      <c r="M397" s="4"/>
      <c r="N397" s="4"/>
      <c r="O397" s="4"/>
      <c r="P397" s="4"/>
      <c r="Q397" s="4"/>
    </row>
    <row r="398" spans="1:17" ht="12.75">
      <c r="A398" s="4"/>
      <c r="B398" s="3"/>
      <c r="C398" s="3"/>
      <c r="D398" s="4"/>
      <c r="E398" s="4"/>
      <c r="F398" s="4"/>
      <c r="G398" s="4"/>
      <c r="H398" s="4"/>
      <c r="I398" s="4"/>
      <c r="J398" s="4"/>
      <c r="K398" s="4"/>
      <c r="L398" s="4"/>
      <c r="M398" s="4"/>
      <c r="N398" s="4"/>
      <c r="O398" s="4"/>
      <c r="P398" s="4"/>
      <c r="Q398" s="4"/>
    </row>
    <row r="399" spans="1:17" ht="12.75">
      <c r="A399" s="4"/>
      <c r="B399" s="3"/>
      <c r="C399" s="3"/>
      <c r="D399" s="4"/>
      <c r="E399" s="4"/>
      <c r="F399" s="4"/>
      <c r="G399" s="4"/>
      <c r="H399" s="4"/>
      <c r="I399" s="4"/>
      <c r="J399" s="4"/>
      <c r="K399" s="4"/>
      <c r="L399" s="4"/>
      <c r="M399" s="4"/>
      <c r="N399" s="4"/>
      <c r="O399" s="4"/>
      <c r="P399" s="4"/>
      <c r="Q399" s="4"/>
    </row>
    <row r="400" spans="1:17" ht="12.75">
      <c r="A400" s="4"/>
      <c r="B400" s="3"/>
      <c r="C400" s="3"/>
      <c r="D400" s="4"/>
      <c r="E400" s="4"/>
      <c r="F400" s="4"/>
      <c r="G400" s="4"/>
      <c r="H400" s="4"/>
      <c r="I400" s="4"/>
      <c r="J400" s="4"/>
      <c r="K400" s="4"/>
      <c r="L400" s="4"/>
      <c r="M400" s="4"/>
      <c r="N400" s="4"/>
      <c r="O400" s="4"/>
      <c r="P400" s="4"/>
      <c r="Q400" s="4"/>
    </row>
    <row r="401" spans="1:17" ht="12.75">
      <c r="A401" s="4"/>
      <c r="B401" s="3"/>
      <c r="C401" s="3"/>
      <c r="D401" s="4"/>
      <c r="E401" s="4"/>
      <c r="F401" s="4"/>
      <c r="G401" s="4"/>
      <c r="H401" s="4"/>
      <c r="I401" s="4"/>
      <c r="J401" s="4"/>
      <c r="K401" s="4"/>
      <c r="L401" s="4"/>
      <c r="M401" s="4"/>
      <c r="N401" s="4"/>
      <c r="O401" s="4"/>
      <c r="P401" s="4"/>
      <c r="Q401" s="4"/>
    </row>
    <row r="402" spans="1:17" ht="12.75">
      <c r="A402" s="4"/>
      <c r="B402" s="3"/>
      <c r="C402" s="3"/>
      <c r="D402" s="4"/>
      <c r="E402" s="4"/>
      <c r="F402" s="4"/>
      <c r="G402" s="4"/>
      <c r="H402" s="4"/>
      <c r="I402" s="4"/>
      <c r="J402" s="4"/>
      <c r="K402" s="4"/>
      <c r="L402" s="4"/>
      <c r="M402" s="4"/>
      <c r="N402" s="4"/>
      <c r="O402" s="4"/>
      <c r="P402" s="4"/>
      <c r="Q402" s="4"/>
    </row>
    <row r="403" spans="1:17" ht="12.75">
      <c r="A403" s="4"/>
      <c r="B403" s="3"/>
      <c r="C403" s="3"/>
      <c r="D403" s="4"/>
      <c r="E403" s="4"/>
      <c r="F403" s="4"/>
      <c r="G403" s="4"/>
      <c r="H403" s="4"/>
      <c r="I403" s="4"/>
      <c r="J403" s="4"/>
      <c r="K403" s="4"/>
      <c r="L403" s="4"/>
      <c r="M403" s="4"/>
      <c r="N403" s="4"/>
      <c r="O403" s="4"/>
      <c r="P403" s="4"/>
      <c r="Q403" s="4"/>
    </row>
    <row r="404" spans="1:17" ht="12.75">
      <c r="A404" s="4"/>
      <c r="B404" s="3"/>
      <c r="C404" s="3"/>
      <c r="D404" s="4"/>
      <c r="E404" s="4"/>
      <c r="F404" s="4"/>
      <c r="G404" s="4"/>
      <c r="H404" s="4"/>
      <c r="I404" s="4"/>
      <c r="J404" s="4"/>
      <c r="K404" s="4"/>
      <c r="L404" s="4"/>
      <c r="M404" s="4"/>
      <c r="N404" s="4"/>
      <c r="O404" s="4"/>
      <c r="P404" s="4"/>
      <c r="Q404" s="4"/>
    </row>
    <row r="405" spans="1:17" ht="12.75">
      <c r="A405" s="4"/>
      <c r="B405" s="3"/>
      <c r="C405" s="3"/>
      <c r="D405" s="4"/>
      <c r="E405" s="4"/>
      <c r="F405" s="4"/>
      <c r="G405" s="4"/>
      <c r="H405" s="4"/>
      <c r="I405" s="4"/>
      <c r="J405" s="4"/>
      <c r="K405" s="4"/>
      <c r="L405" s="4"/>
      <c r="M405" s="4"/>
      <c r="N405" s="4"/>
      <c r="O405" s="4"/>
      <c r="P405" s="4"/>
      <c r="Q405" s="4"/>
    </row>
    <row r="406" spans="1:17" ht="12.75">
      <c r="A406" s="4"/>
      <c r="B406" s="3"/>
      <c r="C406" s="3"/>
      <c r="D406" s="4"/>
      <c r="E406" s="4"/>
      <c r="F406" s="4"/>
      <c r="G406" s="4"/>
      <c r="H406" s="4"/>
      <c r="I406" s="4"/>
      <c r="J406" s="4"/>
      <c r="K406" s="4"/>
      <c r="L406" s="4"/>
      <c r="M406" s="4"/>
      <c r="N406" s="4"/>
      <c r="O406" s="4"/>
      <c r="P406" s="4"/>
      <c r="Q406" s="4"/>
    </row>
    <row r="407" spans="1:17" ht="12.75">
      <c r="A407" s="4"/>
      <c r="B407" s="3"/>
      <c r="C407" s="3"/>
      <c r="D407" s="4"/>
      <c r="E407" s="4"/>
      <c r="F407" s="4"/>
      <c r="G407" s="4"/>
      <c r="H407" s="4"/>
      <c r="I407" s="4"/>
      <c r="J407" s="4"/>
      <c r="K407" s="4"/>
      <c r="L407" s="4"/>
      <c r="M407" s="4"/>
      <c r="N407" s="4"/>
      <c r="O407" s="4"/>
      <c r="P407" s="4"/>
      <c r="Q407" s="4"/>
    </row>
    <row r="408" spans="1:17" ht="12.75">
      <c r="A408" s="4"/>
      <c r="B408" s="3"/>
      <c r="C408" s="3"/>
      <c r="D408" s="4"/>
      <c r="E408" s="4"/>
      <c r="F408" s="4"/>
      <c r="G408" s="4"/>
      <c r="H408" s="4"/>
      <c r="I408" s="4"/>
      <c r="J408" s="4"/>
      <c r="K408" s="4"/>
      <c r="L408" s="4"/>
      <c r="M408" s="4"/>
      <c r="N408" s="4"/>
      <c r="O408" s="4"/>
      <c r="P408" s="4"/>
      <c r="Q408" s="4"/>
    </row>
    <row r="409" spans="1:17" ht="12.75">
      <c r="A409" s="4"/>
      <c r="B409" s="3"/>
      <c r="C409" s="3"/>
      <c r="D409" s="4"/>
      <c r="E409" s="4"/>
      <c r="F409" s="4"/>
      <c r="G409" s="4"/>
      <c r="H409" s="4"/>
      <c r="I409" s="4"/>
      <c r="J409" s="4"/>
      <c r="K409" s="4"/>
      <c r="L409" s="4"/>
      <c r="M409" s="4"/>
      <c r="N409" s="4"/>
      <c r="O409" s="4"/>
      <c r="P409" s="4"/>
      <c r="Q409" s="4"/>
    </row>
    <row r="410" spans="1:17" ht="12.75">
      <c r="A410" s="4"/>
      <c r="B410" s="3"/>
      <c r="C410" s="3"/>
      <c r="D410" s="4"/>
      <c r="E410" s="4"/>
      <c r="F410" s="4"/>
      <c r="G410" s="4"/>
      <c r="H410" s="4"/>
      <c r="I410" s="4"/>
      <c r="J410" s="4"/>
      <c r="K410" s="4"/>
      <c r="L410" s="4"/>
      <c r="M410" s="4"/>
      <c r="N410" s="4"/>
      <c r="O410" s="4"/>
      <c r="P410" s="4"/>
      <c r="Q410" s="4"/>
    </row>
    <row r="411" spans="1:17" ht="12.75">
      <c r="A411" s="4"/>
      <c r="B411" s="3"/>
      <c r="C411" s="3"/>
      <c r="D411" s="4"/>
      <c r="E411" s="4"/>
      <c r="F411" s="4"/>
      <c r="G411" s="4"/>
      <c r="H411" s="4"/>
      <c r="I411" s="4"/>
      <c r="J411" s="4"/>
      <c r="K411" s="4"/>
      <c r="L411" s="4"/>
      <c r="M411" s="4"/>
      <c r="N411" s="4"/>
      <c r="O411" s="4"/>
      <c r="P411" s="4"/>
      <c r="Q411" s="4"/>
    </row>
    <row r="412" spans="1:17" ht="12.75">
      <c r="A412" s="4"/>
      <c r="B412" s="3"/>
      <c r="C412" s="3"/>
      <c r="D412" s="4"/>
      <c r="E412" s="4"/>
      <c r="F412" s="4"/>
      <c r="G412" s="4"/>
      <c r="H412" s="4"/>
      <c r="I412" s="4"/>
      <c r="J412" s="4"/>
      <c r="K412" s="4"/>
      <c r="L412" s="4"/>
      <c r="M412" s="4"/>
      <c r="N412" s="4"/>
      <c r="O412" s="4"/>
      <c r="P412" s="4"/>
      <c r="Q412" s="4"/>
    </row>
    <row r="413" spans="1:17" ht="12.75">
      <c r="A413" s="4"/>
      <c r="B413" s="3"/>
      <c r="C413" s="3"/>
      <c r="D413" s="4"/>
      <c r="E413" s="4"/>
      <c r="F413" s="4"/>
      <c r="G413" s="4"/>
      <c r="H413" s="4"/>
      <c r="I413" s="4"/>
      <c r="J413" s="4"/>
      <c r="K413" s="4"/>
      <c r="L413" s="4"/>
      <c r="M413" s="4"/>
      <c r="N413" s="4"/>
      <c r="O413" s="4"/>
      <c r="P413" s="4"/>
      <c r="Q413" s="4"/>
    </row>
    <row r="414" spans="1:17" ht="12.75">
      <c r="A414" s="4"/>
      <c r="B414" s="3"/>
      <c r="C414" s="3"/>
      <c r="D414" s="4"/>
      <c r="E414" s="4"/>
      <c r="F414" s="4"/>
      <c r="G414" s="4"/>
      <c r="H414" s="4"/>
      <c r="I414" s="4"/>
      <c r="J414" s="4"/>
      <c r="K414" s="4"/>
      <c r="L414" s="4"/>
      <c r="M414" s="4"/>
      <c r="N414" s="4"/>
      <c r="O414" s="4"/>
      <c r="P414" s="4"/>
      <c r="Q414" s="4"/>
    </row>
    <row r="415" spans="1:17" ht="12.75">
      <c r="A415" s="4"/>
      <c r="B415" s="3"/>
      <c r="C415" s="3"/>
      <c r="D415" s="4"/>
      <c r="E415" s="4"/>
      <c r="F415" s="4"/>
      <c r="G415" s="4"/>
      <c r="H415" s="4"/>
      <c r="I415" s="4"/>
      <c r="J415" s="4"/>
      <c r="K415" s="4"/>
      <c r="L415" s="4"/>
      <c r="M415" s="4"/>
      <c r="N415" s="4"/>
      <c r="O415" s="4"/>
      <c r="P415" s="4"/>
      <c r="Q415" s="4"/>
    </row>
    <row r="416" spans="1:17" ht="12.75">
      <c r="A416" s="4"/>
      <c r="B416" s="3"/>
      <c r="C416" s="3"/>
      <c r="D416" s="4"/>
      <c r="E416" s="4"/>
      <c r="F416" s="4"/>
      <c r="G416" s="4"/>
      <c r="H416" s="4"/>
      <c r="I416" s="4"/>
      <c r="J416" s="4"/>
      <c r="K416" s="4"/>
      <c r="L416" s="4"/>
      <c r="M416" s="4"/>
      <c r="N416" s="4"/>
      <c r="O416" s="4"/>
      <c r="P416" s="4"/>
      <c r="Q416" s="4"/>
    </row>
    <row r="417" spans="1:17" ht="12.75">
      <c r="A417" s="4"/>
      <c r="B417" s="3"/>
      <c r="C417" s="3"/>
      <c r="D417" s="4"/>
      <c r="E417" s="4"/>
      <c r="F417" s="4"/>
      <c r="G417" s="4"/>
      <c r="H417" s="4"/>
      <c r="I417" s="4"/>
      <c r="J417" s="4"/>
      <c r="K417" s="4"/>
      <c r="L417" s="4"/>
      <c r="M417" s="4"/>
      <c r="N417" s="4"/>
      <c r="O417" s="4"/>
      <c r="P417" s="4"/>
      <c r="Q417" s="4"/>
    </row>
    <row r="418" spans="1:17" ht="12.75">
      <c r="A418" s="4"/>
      <c r="B418" s="3"/>
      <c r="C418" s="3"/>
      <c r="D418" s="4"/>
      <c r="E418" s="4"/>
      <c r="F418" s="4"/>
      <c r="G418" s="4"/>
      <c r="H418" s="4"/>
      <c r="I418" s="4"/>
      <c r="J418" s="4"/>
      <c r="K418" s="4"/>
      <c r="L418" s="4"/>
      <c r="M418" s="4"/>
      <c r="N418" s="4"/>
      <c r="O418" s="4"/>
      <c r="P418" s="4"/>
      <c r="Q418" s="4"/>
    </row>
    <row r="419" spans="1:17" ht="12.75">
      <c r="A419" s="4"/>
      <c r="B419" s="3"/>
      <c r="C419" s="3"/>
      <c r="D419" s="4"/>
      <c r="E419" s="4"/>
      <c r="F419" s="4"/>
      <c r="G419" s="4"/>
      <c r="H419" s="4"/>
      <c r="I419" s="4"/>
      <c r="J419" s="4"/>
      <c r="K419" s="4"/>
      <c r="L419" s="4"/>
      <c r="M419" s="4"/>
      <c r="N419" s="4"/>
      <c r="O419" s="4"/>
      <c r="P419" s="4"/>
      <c r="Q419" s="4"/>
    </row>
    <row r="420" spans="1:17" ht="12.75">
      <c r="A420" s="4"/>
      <c r="B420" s="3"/>
      <c r="C420" s="3"/>
      <c r="D420" s="4"/>
      <c r="E420" s="4"/>
      <c r="F420" s="4"/>
      <c r="G420" s="4"/>
      <c r="H420" s="4"/>
      <c r="I420" s="4"/>
      <c r="J420" s="4"/>
      <c r="K420" s="4"/>
      <c r="L420" s="4"/>
      <c r="M420" s="4"/>
      <c r="N420" s="4"/>
      <c r="O420" s="4"/>
      <c r="P420" s="4"/>
      <c r="Q420" s="4"/>
    </row>
    <row r="421" spans="1:17" ht="12.75">
      <c r="A421" s="4"/>
      <c r="B421" s="3"/>
      <c r="C421" s="3"/>
      <c r="D421" s="4"/>
      <c r="E421" s="4"/>
      <c r="F421" s="4"/>
      <c r="G421" s="4"/>
      <c r="H421" s="4"/>
      <c r="I421" s="4"/>
      <c r="J421" s="4"/>
      <c r="K421" s="4"/>
      <c r="L421" s="4"/>
      <c r="M421" s="4"/>
      <c r="N421" s="4"/>
      <c r="O421" s="4"/>
      <c r="P421" s="4"/>
      <c r="Q421" s="4"/>
    </row>
    <row r="422" spans="1:17" ht="12.75">
      <c r="A422" s="4"/>
      <c r="B422" s="3"/>
      <c r="C422" s="3"/>
      <c r="D422" s="4"/>
      <c r="E422" s="4"/>
      <c r="F422" s="4"/>
      <c r="G422" s="4"/>
      <c r="H422" s="4"/>
      <c r="I422" s="4"/>
      <c r="J422" s="4"/>
      <c r="K422" s="4"/>
      <c r="L422" s="4"/>
      <c r="M422" s="4"/>
      <c r="N422" s="4"/>
      <c r="O422" s="4"/>
      <c r="P422" s="4"/>
      <c r="Q422" s="4"/>
    </row>
    <row r="423" spans="1:17" ht="12.75">
      <c r="A423" s="4"/>
      <c r="B423" s="3"/>
      <c r="C423" s="3"/>
      <c r="D423" s="4"/>
      <c r="E423" s="4"/>
      <c r="F423" s="4"/>
      <c r="G423" s="4"/>
      <c r="H423" s="4"/>
      <c r="I423" s="4"/>
      <c r="J423" s="4"/>
      <c r="K423" s="4"/>
      <c r="L423" s="4"/>
      <c r="M423" s="4"/>
      <c r="N423" s="4"/>
      <c r="O423" s="4"/>
      <c r="P423" s="4"/>
      <c r="Q423" s="4"/>
    </row>
    <row r="424" spans="1:17" ht="12.75">
      <c r="A424" s="4"/>
      <c r="B424" s="3"/>
      <c r="C424" s="3"/>
      <c r="D424" s="4"/>
      <c r="E424" s="4"/>
      <c r="F424" s="4"/>
      <c r="G424" s="4"/>
      <c r="H424" s="4"/>
      <c r="I424" s="4"/>
      <c r="J424" s="4"/>
      <c r="K424" s="4"/>
      <c r="L424" s="4"/>
      <c r="M424" s="4"/>
      <c r="N424" s="4"/>
      <c r="O424" s="4"/>
      <c r="P424" s="4"/>
      <c r="Q424" s="4"/>
    </row>
    <row r="425" spans="1:17" ht="12.75">
      <c r="A425" s="4"/>
      <c r="B425" s="3"/>
      <c r="C425" s="3"/>
      <c r="D425" s="4"/>
      <c r="E425" s="4"/>
      <c r="F425" s="4"/>
      <c r="G425" s="4"/>
      <c r="H425" s="4"/>
      <c r="I425" s="4"/>
      <c r="J425" s="4"/>
      <c r="K425" s="4"/>
      <c r="L425" s="4"/>
      <c r="M425" s="4"/>
      <c r="N425" s="4"/>
      <c r="O425" s="4"/>
      <c r="P425" s="4"/>
      <c r="Q425" s="4"/>
    </row>
    <row r="426" spans="1:17" ht="12.75">
      <c r="A426" s="4"/>
      <c r="B426" s="3"/>
      <c r="C426" s="3"/>
      <c r="D426" s="4"/>
      <c r="E426" s="4"/>
      <c r="F426" s="4"/>
      <c r="G426" s="4"/>
      <c r="H426" s="4"/>
      <c r="I426" s="4"/>
      <c r="J426" s="4"/>
      <c r="K426" s="4"/>
      <c r="L426" s="4"/>
      <c r="M426" s="4"/>
      <c r="N426" s="4"/>
      <c r="O426" s="4"/>
      <c r="P426" s="4"/>
      <c r="Q426" s="4"/>
    </row>
    <row r="427" spans="1:17" ht="12.75">
      <c r="A427" s="4"/>
      <c r="B427" s="3"/>
      <c r="C427" s="3"/>
      <c r="D427" s="4"/>
      <c r="E427" s="4"/>
      <c r="F427" s="4"/>
      <c r="G427" s="4"/>
      <c r="H427" s="4"/>
      <c r="I427" s="4"/>
      <c r="J427" s="4"/>
      <c r="K427" s="4"/>
      <c r="L427" s="4"/>
      <c r="M427" s="4"/>
      <c r="N427" s="4"/>
      <c r="O427" s="4"/>
      <c r="P427" s="4"/>
      <c r="Q427" s="4"/>
    </row>
    <row r="428" spans="1:17" ht="12.75">
      <c r="A428" s="4"/>
      <c r="B428" s="3"/>
      <c r="C428" s="3"/>
      <c r="D428" s="4"/>
      <c r="E428" s="4"/>
      <c r="F428" s="4"/>
      <c r="G428" s="4"/>
      <c r="H428" s="4"/>
      <c r="I428" s="4"/>
      <c r="J428" s="4"/>
      <c r="K428" s="4"/>
      <c r="L428" s="4"/>
      <c r="M428" s="4"/>
      <c r="N428" s="4"/>
      <c r="O428" s="4"/>
      <c r="P428" s="4"/>
      <c r="Q428" s="4"/>
    </row>
    <row r="429" spans="1:17" ht="12.75">
      <c r="A429" s="4"/>
      <c r="B429" s="3"/>
      <c r="C429" s="3"/>
      <c r="D429" s="4"/>
      <c r="E429" s="4"/>
      <c r="F429" s="4"/>
      <c r="G429" s="4"/>
      <c r="H429" s="4"/>
      <c r="I429" s="4"/>
      <c r="J429" s="4"/>
      <c r="K429" s="4"/>
      <c r="L429" s="4"/>
      <c r="M429" s="4"/>
      <c r="N429" s="4"/>
      <c r="O429" s="4"/>
      <c r="P429" s="4"/>
      <c r="Q429" s="4"/>
    </row>
    <row r="430" spans="1:17" ht="12.75">
      <c r="A430" s="4"/>
      <c r="B430" s="3"/>
      <c r="C430" s="3"/>
      <c r="D430" s="4"/>
      <c r="E430" s="4"/>
      <c r="F430" s="4"/>
      <c r="G430" s="4"/>
      <c r="H430" s="4"/>
      <c r="I430" s="4"/>
      <c r="J430" s="4"/>
      <c r="K430" s="4"/>
      <c r="L430" s="4"/>
      <c r="M430" s="4"/>
      <c r="N430" s="4"/>
      <c r="O430" s="4"/>
      <c r="P430" s="4"/>
      <c r="Q430" s="4"/>
    </row>
    <row r="431" spans="1:17" ht="12.75">
      <c r="A431" s="4"/>
      <c r="B431" s="3"/>
      <c r="C431" s="3"/>
      <c r="D431" s="4"/>
      <c r="E431" s="4"/>
      <c r="F431" s="4"/>
      <c r="G431" s="4"/>
      <c r="H431" s="4"/>
      <c r="I431" s="4"/>
      <c r="J431" s="4"/>
      <c r="K431" s="4"/>
      <c r="L431" s="4"/>
      <c r="M431" s="4"/>
      <c r="N431" s="4"/>
      <c r="O431" s="4"/>
      <c r="P431" s="4"/>
      <c r="Q431" s="4"/>
    </row>
    <row r="432" spans="1:17" ht="12.75">
      <c r="A432" s="4"/>
      <c r="B432" s="3"/>
      <c r="C432" s="3"/>
      <c r="D432" s="4"/>
      <c r="E432" s="4"/>
      <c r="F432" s="4"/>
      <c r="G432" s="4"/>
      <c r="H432" s="4"/>
      <c r="I432" s="4"/>
      <c r="J432" s="4"/>
      <c r="K432" s="4"/>
      <c r="L432" s="4"/>
      <c r="M432" s="4"/>
      <c r="N432" s="4"/>
      <c r="O432" s="4"/>
      <c r="P432" s="4"/>
      <c r="Q432" s="4"/>
    </row>
    <row r="433" spans="1:17" ht="12.75">
      <c r="A433" s="4"/>
      <c r="B433" s="3"/>
      <c r="C433" s="3"/>
      <c r="D433" s="4"/>
      <c r="E433" s="4"/>
      <c r="F433" s="4"/>
      <c r="G433" s="4"/>
      <c r="H433" s="4"/>
      <c r="I433" s="4"/>
      <c r="J433" s="4"/>
      <c r="K433" s="4"/>
      <c r="L433" s="4"/>
      <c r="M433" s="4"/>
      <c r="N433" s="4"/>
      <c r="O433" s="4"/>
      <c r="P433" s="4"/>
      <c r="Q433" s="4"/>
    </row>
    <row r="434" spans="1:17" ht="12.75">
      <c r="A434" s="4"/>
      <c r="B434" s="3"/>
      <c r="C434" s="3"/>
      <c r="D434" s="4"/>
      <c r="E434" s="4"/>
      <c r="F434" s="4"/>
      <c r="G434" s="4"/>
      <c r="H434" s="4"/>
      <c r="I434" s="4"/>
      <c r="J434" s="4"/>
      <c r="K434" s="4"/>
      <c r="L434" s="4"/>
      <c r="M434" s="4"/>
      <c r="N434" s="4"/>
      <c r="O434" s="4"/>
      <c r="P434" s="4"/>
      <c r="Q434" s="4"/>
    </row>
    <row r="435" spans="1:17" ht="12.75">
      <c r="A435" s="4"/>
      <c r="B435" s="3"/>
      <c r="C435" s="3"/>
      <c r="D435" s="4"/>
      <c r="E435" s="4"/>
      <c r="F435" s="4"/>
      <c r="G435" s="4"/>
      <c r="H435" s="4"/>
      <c r="I435" s="4"/>
      <c r="J435" s="4"/>
      <c r="K435" s="4"/>
      <c r="L435" s="4"/>
      <c r="M435" s="4"/>
      <c r="N435" s="4"/>
      <c r="O435" s="4"/>
      <c r="P435" s="4"/>
      <c r="Q435" s="4"/>
    </row>
    <row r="436" spans="1:17" ht="12.75">
      <c r="A436" s="4"/>
      <c r="B436" s="3"/>
      <c r="C436" s="3"/>
      <c r="D436" s="4"/>
      <c r="E436" s="4"/>
      <c r="F436" s="4"/>
      <c r="G436" s="4"/>
      <c r="H436" s="4"/>
      <c r="I436" s="4"/>
      <c r="J436" s="4"/>
      <c r="K436" s="4"/>
      <c r="L436" s="4"/>
      <c r="M436" s="4"/>
      <c r="N436" s="4"/>
      <c r="O436" s="4"/>
      <c r="P436" s="4"/>
      <c r="Q436" s="4"/>
    </row>
    <row r="437" spans="1:17" ht="12.75">
      <c r="A437" s="4"/>
      <c r="B437" s="3"/>
      <c r="C437" s="3"/>
      <c r="D437" s="4"/>
      <c r="E437" s="4"/>
      <c r="F437" s="4"/>
      <c r="G437" s="4"/>
      <c r="H437" s="4"/>
      <c r="I437" s="4"/>
      <c r="J437" s="4"/>
      <c r="K437" s="4"/>
      <c r="L437" s="4"/>
      <c r="M437" s="4"/>
      <c r="N437" s="4"/>
      <c r="O437" s="4"/>
      <c r="P437" s="4"/>
      <c r="Q437" s="4"/>
    </row>
    <row r="438" spans="1:17" ht="12.75">
      <c r="A438" s="4"/>
      <c r="B438" s="3"/>
      <c r="C438" s="3"/>
      <c r="D438" s="4"/>
      <c r="E438" s="4"/>
      <c r="F438" s="4"/>
      <c r="G438" s="4"/>
      <c r="H438" s="4"/>
      <c r="I438" s="4"/>
      <c r="J438" s="4"/>
      <c r="K438" s="4"/>
      <c r="L438" s="4"/>
      <c r="M438" s="4"/>
      <c r="N438" s="4"/>
      <c r="O438" s="4"/>
      <c r="P438" s="4"/>
      <c r="Q438" s="4"/>
    </row>
    <row r="439" spans="1:17" ht="12.75">
      <c r="A439" s="4"/>
      <c r="B439" s="3"/>
      <c r="C439" s="3"/>
      <c r="D439" s="4"/>
      <c r="E439" s="4"/>
      <c r="F439" s="4"/>
      <c r="G439" s="4"/>
      <c r="H439" s="4"/>
      <c r="I439" s="4"/>
      <c r="J439" s="4"/>
      <c r="K439" s="4"/>
      <c r="L439" s="4"/>
      <c r="M439" s="4"/>
      <c r="N439" s="4"/>
      <c r="O439" s="4"/>
      <c r="P439" s="4"/>
      <c r="Q439" s="4"/>
    </row>
    <row r="440" spans="1:17" ht="12.75">
      <c r="A440" s="4"/>
      <c r="B440" s="3"/>
      <c r="C440" s="3"/>
      <c r="D440" s="4"/>
      <c r="E440" s="4"/>
      <c r="F440" s="4"/>
      <c r="G440" s="4"/>
      <c r="H440" s="4"/>
      <c r="I440" s="4"/>
      <c r="J440" s="4"/>
      <c r="K440" s="4"/>
      <c r="L440" s="4"/>
      <c r="M440" s="4"/>
      <c r="N440" s="4"/>
      <c r="O440" s="4"/>
      <c r="P440" s="4"/>
      <c r="Q440" s="4"/>
    </row>
    <row r="441" spans="1:17" ht="12.75">
      <c r="A441" s="4"/>
      <c r="B441" s="3"/>
      <c r="C441" s="3"/>
      <c r="D441" s="4"/>
      <c r="E441" s="4"/>
      <c r="F441" s="4"/>
      <c r="G441" s="4"/>
      <c r="H441" s="4"/>
      <c r="I441" s="4"/>
      <c r="J441" s="4"/>
      <c r="K441" s="4"/>
      <c r="L441" s="4"/>
      <c r="M441" s="4"/>
      <c r="N441" s="4"/>
      <c r="O441" s="4"/>
      <c r="P441" s="4"/>
      <c r="Q441" s="4"/>
    </row>
    <row r="442" spans="1:17" ht="12.75">
      <c r="A442" s="4"/>
      <c r="B442" s="3"/>
      <c r="C442" s="3"/>
      <c r="D442" s="4"/>
      <c r="E442" s="4"/>
      <c r="F442" s="4"/>
      <c r="G442" s="4"/>
      <c r="H442" s="4"/>
      <c r="I442" s="4"/>
      <c r="J442" s="4"/>
      <c r="K442" s="4"/>
      <c r="L442" s="4"/>
      <c r="M442" s="4"/>
      <c r="N442" s="4"/>
      <c r="O442" s="4"/>
      <c r="P442" s="4"/>
      <c r="Q442" s="4"/>
    </row>
    <row r="443" spans="1:17" ht="12.75">
      <c r="A443" s="4"/>
      <c r="B443" s="3"/>
      <c r="C443" s="3"/>
      <c r="D443" s="4"/>
      <c r="E443" s="4"/>
      <c r="F443" s="4"/>
      <c r="G443" s="4"/>
      <c r="H443" s="4"/>
      <c r="I443" s="4"/>
      <c r="J443" s="4"/>
      <c r="K443" s="4"/>
      <c r="L443" s="4"/>
      <c r="M443" s="4"/>
      <c r="N443" s="4"/>
      <c r="O443" s="4"/>
      <c r="P443" s="4"/>
      <c r="Q443" s="4"/>
    </row>
    <row r="444" spans="1:17" ht="12.75">
      <c r="A444" s="4"/>
      <c r="B444" s="3"/>
      <c r="C444" s="3"/>
      <c r="D444" s="4"/>
      <c r="E444" s="4"/>
      <c r="F444" s="4"/>
      <c r="G444" s="4"/>
      <c r="H444" s="4"/>
      <c r="I444" s="4"/>
      <c r="J444" s="4"/>
      <c r="K444" s="4"/>
      <c r="L444" s="4"/>
      <c r="M444" s="4"/>
      <c r="N444" s="4"/>
      <c r="O444" s="4"/>
      <c r="P444" s="4"/>
      <c r="Q444" s="4"/>
    </row>
    <row r="445" spans="1:17" ht="12.75">
      <c r="A445" s="4"/>
      <c r="B445" s="3"/>
      <c r="C445" s="3"/>
      <c r="D445" s="4"/>
      <c r="E445" s="4"/>
      <c r="F445" s="4"/>
      <c r="G445" s="4"/>
      <c r="H445" s="4"/>
      <c r="I445" s="4"/>
      <c r="J445" s="4"/>
      <c r="K445" s="4"/>
      <c r="L445" s="4"/>
      <c r="M445" s="4"/>
      <c r="N445" s="4"/>
      <c r="O445" s="4"/>
      <c r="P445" s="4"/>
      <c r="Q445" s="4"/>
    </row>
    <row r="446" spans="1:17" ht="12.75">
      <c r="A446" s="4"/>
      <c r="B446" s="3"/>
      <c r="C446" s="3"/>
      <c r="D446" s="4"/>
      <c r="E446" s="4"/>
      <c r="F446" s="4"/>
      <c r="G446" s="4"/>
      <c r="H446" s="4"/>
      <c r="I446" s="4"/>
      <c r="J446" s="4"/>
      <c r="K446" s="4"/>
      <c r="L446" s="4"/>
      <c r="M446" s="4"/>
      <c r="N446" s="4"/>
      <c r="O446" s="4"/>
      <c r="P446" s="4"/>
      <c r="Q446" s="4"/>
    </row>
    <row r="447" spans="1:17" ht="12.75">
      <c r="A447" s="4"/>
      <c r="B447" s="3"/>
      <c r="C447" s="3"/>
      <c r="D447" s="4"/>
      <c r="E447" s="4"/>
      <c r="F447" s="4"/>
      <c r="G447" s="4"/>
      <c r="H447" s="4"/>
      <c r="I447" s="4"/>
      <c r="J447" s="4"/>
      <c r="K447" s="4"/>
      <c r="L447" s="4"/>
      <c r="M447" s="4"/>
      <c r="N447" s="4"/>
      <c r="O447" s="4"/>
      <c r="P447" s="4"/>
      <c r="Q447" s="4"/>
    </row>
    <row r="448" spans="1:17" ht="12.75">
      <c r="A448" s="4"/>
      <c r="B448" s="3"/>
      <c r="C448" s="3"/>
      <c r="D448" s="4"/>
      <c r="E448" s="4"/>
      <c r="F448" s="4"/>
      <c r="G448" s="4"/>
      <c r="H448" s="4"/>
      <c r="I448" s="4"/>
      <c r="J448" s="4"/>
      <c r="K448" s="4"/>
      <c r="L448" s="4"/>
      <c r="M448" s="4"/>
      <c r="N448" s="4"/>
      <c r="O448" s="4"/>
      <c r="P448" s="4"/>
      <c r="Q448" s="4"/>
    </row>
    <row r="449" spans="1:17" ht="12.75">
      <c r="A449" s="4"/>
      <c r="B449" s="3"/>
      <c r="C449" s="3"/>
      <c r="D449" s="4"/>
      <c r="E449" s="4"/>
      <c r="F449" s="4"/>
      <c r="G449" s="4"/>
      <c r="H449" s="4"/>
      <c r="I449" s="4"/>
      <c r="J449" s="4"/>
      <c r="K449" s="4"/>
      <c r="L449" s="4"/>
      <c r="M449" s="4"/>
      <c r="N449" s="4"/>
      <c r="O449" s="4"/>
      <c r="P449" s="4"/>
      <c r="Q449" s="4"/>
    </row>
    <row r="450" spans="1:17" ht="12.75">
      <c r="A450" s="4"/>
      <c r="B450" s="3"/>
      <c r="C450" s="3"/>
      <c r="D450" s="4"/>
      <c r="E450" s="4"/>
      <c r="F450" s="4"/>
      <c r="G450" s="4"/>
      <c r="H450" s="4"/>
      <c r="I450" s="4"/>
      <c r="J450" s="4"/>
      <c r="K450" s="4"/>
      <c r="L450" s="4"/>
      <c r="M450" s="4"/>
      <c r="N450" s="4"/>
      <c r="O450" s="4"/>
      <c r="P450" s="4"/>
      <c r="Q450" s="4"/>
    </row>
    <row r="451" spans="1:17" ht="12.75">
      <c r="A451" s="4"/>
      <c r="B451" s="3"/>
      <c r="C451" s="3"/>
      <c r="D451" s="4"/>
      <c r="E451" s="4"/>
      <c r="F451" s="4"/>
      <c r="G451" s="4"/>
      <c r="H451" s="4"/>
      <c r="I451" s="4"/>
      <c r="J451" s="4"/>
      <c r="K451" s="4"/>
      <c r="L451" s="4"/>
      <c r="M451" s="4"/>
      <c r="N451" s="4"/>
      <c r="O451" s="4"/>
      <c r="P451" s="4"/>
      <c r="Q451" s="4"/>
    </row>
    <row r="452" spans="1:17" ht="12.75">
      <c r="A452" s="4"/>
      <c r="B452" s="3"/>
      <c r="C452" s="3"/>
      <c r="D452" s="4"/>
      <c r="E452" s="4"/>
      <c r="F452" s="4"/>
      <c r="G452" s="4"/>
      <c r="H452" s="4"/>
      <c r="I452" s="4"/>
      <c r="J452" s="4"/>
      <c r="K452" s="4"/>
      <c r="L452" s="4"/>
      <c r="M452" s="4"/>
      <c r="N452" s="4"/>
      <c r="O452" s="4"/>
      <c r="P452" s="4"/>
      <c r="Q452" s="4"/>
    </row>
    <row r="453" spans="1:17" ht="12.75">
      <c r="A453" s="4"/>
      <c r="B453" s="3"/>
      <c r="C453" s="3"/>
      <c r="D453" s="4"/>
      <c r="E453" s="4"/>
      <c r="F453" s="4"/>
      <c r="G453" s="4"/>
      <c r="H453" s="4"/>
      <c r="I453" s="4"/>
      <c r="J453" s="4"/>
      <c r="K453" s="4"/>
      <c r="L453" s="4"/>
      <c r="M453" s="4"/>
      <c r="N453" s="4"/>
      <c r="O453" s="4"/>
      <c r="P453" s="4"/>
      <c r="Q453" s="4"/>
    </row>
    <row r="454" spans="1:17" ht="12.75">
      <c r="A454" s="4"/>
      <c r="B454" s="3"/>
      <c r="C454" s="3"/>
      <c r="D454" s="4"/>
      <c r="E454" s="4"/>
      <c r="F454" s="4"/>
      <c r="G454" s="4"/>
      <c r="H454" s="4"/>
      <c r="I454" s="4"/>
      <c r="J454" s="4"/>
      <c r="K454" s="4"/>
      <c r="L454" s="4"/>
      <c r="M454" s="4"/>
      <c r="N454" s="4"/>
      <c r="O454" s="4"/>
      <c r="P454" s="4"/>
      <c r="Q454" s="4"/>
    </row>
    <row r="455" spans="1:17" ht="12.75">
      <c r="A455" s="4"/>
      <c r="B455" s="3"/>
      <c r="C455" s="3"/>
      <c r="D455" s="4"/>
      <c r="E455" s="4"/>
      <c r="F455" s="4"/>
      <c r="G455" s="4"/>
      <c r="H455" s="4"/>
      <c r="I455" s="4"/>
      <c r="J455" s="4"/>
      <c r="K455" s="4"/>
      <c r="L455" s="4"/>
      <c r="M455" s="4"/>
      <c r="N455" s="4"/>
      <c r="O455" s="4"/>
      <c r="P455" s="4"/>
      <c r="Q455" s="4"/>
    </row>
    <row r="456" spans="1:17" ht="12.75">
      <c r="A456" s="4"/>
      <c r="B456" s="3"/>
      <c r="C456" s="3"/>
      <c r="D456" s="4"/>
      <c r="E456" s="4"/>
      <c r="F456" s="4"/>
      <c r="G456" s="4"/>
      <c r="H456" s="4"/>
      <c r="I456" s="4"/>
      <c r="J456" s="4"/>
      <c r="K456" s="4"/>
      <c r="L456" s="4"/>
      <c r="M456" s="4"/>
      <c r="N456" s="4"/>
      <c r="O456" s="4"/>
      <c r="P456" s="4"/>
      <c r="Q456" s="4"/>
    </row>
    <row r="457" spans="1:17" ht="12.75">
      <c r="A457" s="4"/>
      <c r="B457" s="3"/>
      <c r="C457" s="3"/>
      <c r="D457" s="4"/>
      <c r="E457" s="4"/>
      <c r="F457" s="4"/>
      <c r="G457" s="4"/>
      <c r="H457" s="4"/>
      <c r="I457" s="4"/>
      <c r="J457" s="4"/>
      <c r="K457" s="4"/>
      <c r="L457" s="4"/>
      <c r="M457" s="4"/>
      <c r="N457" s="4"/>
      <c r="O457" s="4"/>
      <c r="P457" s="4"/>
      <c r="Q457" s="4"/>
    </row>
    <row r="458" spans="1:17" ht="12.75">
      <c r="A458" s="4"/>
      <c r="B458" s="3"/>
      <c r="C458" s="3"/>
      <c r="D458" s="4"/>
      <c r="E458" s="4"/>
      <c r="F458" s="4"/>
      <c r="G458" s="4"/>
      <c r="H458" s="4"/>
      <c r="I458" s="4"/>
      <c r="J458" s="4"/>
      <c r="K458" s="4"/>
      <c r="L458" s="4"/>
      <c r="M458" s="4"/>
      <c r="N458" s="4"/>
      <c r="O458" s="4"/>
      <c r="P458" s="4"/>
      <c r="Q458" s="4"/>
    </row>
    <row r="459" spans="1:17" ht="12.75">
      <c r="A459" s="4"/>
      <c r="B459" s="3"/>
      <c r="C459" s="3"/>
      <c r="D459" s="4"/>
      <c r="E459" s="4"/>
      <c r="F459" s="4"/>
      <c r="G459" s="4"/>
      <c r="H459" s="4"/>
      <c r="I459" s="4"/>
      <c r="J459" s="4"/>
      <c r="K459" s="4"/>
      <c r="L459" s="4"/>
      <c r="M459" s="4"/>
      <c r="N459" s="4"/>
      <c r="O459" s="4"/>
      <c r="P459" s="4"/>
      <c r="Q459" s="4"/>
    </row>
    <row r="460" spans="1:17" ht="12.75">
      <c r="A460" s="4"/>
      <c r="B460" s="3"/>
      <c r="C460" s="3"/>
      <c r="D460" s="4"/>
      <c r="E460" s="4"/>
      <c r="F460" s="4"/>
      <c r="G460" s="4"/>
      <c r="H460" s="4"/>
      <c r="I460" s="4"/>
      <c r="J460" s="4"/>
      <c r="K460" s="4"/>
      <c r="L460" s="4"/>
      <c r="M460" s="4"/>
      <c r="N460" s="4"/>
      <c r="O460" s="4"/>
      <c r="P460" s="4"/>
      <c r="Q460" s="4"/>
    </row>
    <row r="461" spans="1:17" ht="12.75">
      <c r="A461" s="4"/>
      <c r="B461" s="3"/>
      <c r="C461" s="3"/>
      <c r="D461" s="4"/>
      <c r="E461" s="4"/>
      <c r="F461" s="4"/>
      <c r="G461" s="4"/>
      <c r="H461" s="4"/>
      <c r="I461" s="4"/>
      <c r="J461" s="4"/>
      <c r="K461" s="4"/>
      <c r="L461" s="4"/>
      <c r="M461" s="4"/>
      <c r="N461" s="4"/>
      <c r="O461" s="4"/>
      <c r="P461" s="4"/>
      <c r="Q461" s="4"/>
    </row>
    <row r="462" spans="1:17" ht="12.75">
      <c r="A462" s="4"/>
      <c r="B462" s="3"/>
      <c r="C462" s="3"/>
      <c r="D462" s="4"/>
      <c r="E462" s="4"/>
      <c r="F462" s="4"/>
      <c r="G462" s="4"/>
      <c r="H462" s="4"/>
      <c r="I462" s="4"/>
      <c r="J462" s="4"/>
      <c r="K462" s="4"/>
      <c r="L462" s="4"/>
      <c r="M462" s="4"/>
      <c r="N462" s="4"/>
      <c r="O462" s="4"/>
      <c r="P462" s="4"/>
      <c r="Q462" s="4"/>
    </row>
    <row r="463" spans="1:17" ht="12.75">
      <c r="A463" s="4"/>
      <c r="B463" s="3"/>
      <c r="C463" s="3"/>
      <c r="D463" s="4"/>
      <c r="E463" s="4"/>
      <c r="F463" s="4"/>
      <c r="G463" s="4"/>
      <c r="H463" s="4"/>
      <c r="I463" s="4"/>
      <c r="J463" s="4"/>
      <c r="K463" s="4"/>
      <c r="L463" s="4"/>
      <c r="M463" s="4"/>
      <c r="N463" s="4"/>
      <c r="O463" s="4"/>
      <c r="P463" s="4"/>
      <c r="Q463" s="4"/>
    </row>
    <row r="464" spans="1:17" ht="12.75">
      <c r="A464" s="4"/>
      <c r="B464" s="3"/>
      <c r="C464" s="3"/>
      <c r="D464" s="4"/>
      <c r="E464" s="4"/>
      <c r="F464" s="4"/>
      <c r="G464" s="4"/>
      <c r="H464" s="4"/>
      <c r="I464" s="4"/>
      <c r="J464" s="4"/>
      <c r="K464" s="4"/>
      <c r="L464" s="4"/>
      <c r="M464" s="4"/>
      <c r="N464" s="4"/>
      <c r="O464" s="4"/>
      <c r="P464" s="4"/>
      <c r="Q464" s="4"/>
    </row>
    <row r="465" spans="1:17" ht="12.75">
      <c r="A465" s="4"/>
      <c r="B465" s="3"/>
      <c r="C465" s="3"/>
      <c r="D465" s="4"/>
      <c r="E465" s="4"/>
      <c r="F465" s="4"/>
      <c r="G465" s="4"/>
      <c r="H465" s="4"/>
      <c r="I465" s="4"/>
      <c r="J465" s="4"/>
      <c r="K465" s="4"/>
      <c r="L465" s="4"/>
      <c r="M465" s="4"/>
      <c r="N465" s="4"/>
      <c r="O465" s="4"/>
      <c r="P465" s="4"/>
      <c r="Q465" s="4"/>
    </row>
    <row r="466" spans="1:17" ht="12.75">
      <c r="A466" s="4"/>
      <c r="B466" s="3"/>
      <c r="C466" s="3"/>
      <c r="D466" s="4"/>
      <c r="E466" s="4"/>
      <c r="F466" s="4"/>
      <c r="G466" s="4"/>
      <c r="H466" s="4"/>
      <c r="I466" s="4"/>
      <c r="J466" s="4"/>
      <c r="K466" s="4"/>
      <c r="L466" s="4"/>
      <c r="M466" s="4"/>
      <c r="N466" s="4"/>
      <c r="O466" s="4"/>
      <c r="P466" s="4"/>
      <c r="Q466" s="4"/>
    </row>
    <row r="467" spans="1:17" ht="12.75">
      <c r="A467" s="4"/>
      <c r="B467" s="3"/>
      <c r="C467" s="3"/>
      <c r="D467" s="4"/>
      <c r="E467" s="4"/>
      <c r="F467" s="4"/>
      <c r="G467" s="4"/>
      <c r="H467" s="4"/>
      <c r="I467" s="4"/>
      <c r="J467" s="4"/>
      <c r="K467" s="4"/>
      <c r="L467" s="4"/>
      <c r="M467" s="4"/>
      <c r="N467" s="4"/>
      <c r="O467" s="4"/>
      <c r="P467" s="4"/>
      <c r="Q467" s="4"/>
    </row>
    <row r="468" spans="1:17" ht="12.75">
      <c r="A468" s="4"/>
      <c r="B468" s="3"/>
      <c r="C468" s="3"/>
      <c r="D468" s="4"/>
      <c r="E468" s="4"/>
      <c r="F468" s="4"/>
      <c r="G468" s="4"/>
      <c r="H468" s="4"/>
      <c r="I468" s="4"/>
      <c r="J468" s="4"/>
      <c r="K468" s="4"/>
      <c r="L468" s="4"/>
      <c r="M468" s="4"/>
      <c r="N468" s="4"/>
      <c r="O468" s="4"/>
      <c r="P468" s="4"/>
      <c r="Q468" s="4"/>
    </row>
    <row r="469" spans="1:17" ht="12.75">
      <c r="A469" s="4"/>
      <c r="B469" s="3"/>
      <c r="C469" s="3"/>
      <c r="D469" s="4"/>
      <c r="E469" s="4"/>
      <c r="F469" s="4"/>
      <c r="G469" s="4"/>
      <c r="H469" s="4"/>
      <c r="I469" s="4"/>
      <c r="J469" s="4"/>
      <c r="K469" s="4"/>
      <c r="L469" s="4"/>
      <c r="M469" s="4"/>
      <c r="N469" s="4"/>
      <c r="O469" s="4"/>
      <c r="P469" s="4"/>
      <c r="Q469" s="4"/>
    </row>
    <row r="470" spans="1:17" ht="12.75">
      <c r="A470" s="4"/>
      <c r="B470" s="3"/>
      <c r="C470" s="3"/>
      <c r="D470" s="4"/>
      <c r="E470" s="4"/>
      <c r="F470" s="4"/>
      <c r="G470" s="4"/>
      <c r="H470" s="4"/>
      <c r="I470" s="4"/>
      <c r="J470" s="4"/>
      <c r="K470" s="4"/>
      <c r="L470" s="4"/>
      <c r="M470" s="4"/>
      <c r="N470" s="4"/>
      <c r="O470" s="4"/>
      <c r="P470" s="4"/>
      <c r="Q470" s="4"/>
    </row>
    <row r="471" spans="1:17" ht="12.75">
      <c r="A471" s="4"/>
      <c r="B471" s="3"/>
      <c r="C471" s="3"/>
      <c r="D471" s="4"/>
      <c r="E471" s="4"/>
      <c r="F471" s="4"/>
      <c r="G471" s="4"/>
      <c r="H471" s="4"/>
      <c r="I471" s="4"/>
      <c r="J471" s="4"/>
      <c r="K471" s="4"/>
      <c r="L471" s="4"/>
      <c r="M471" s="4"/>
      <c r="N471" s="4"/>
      <c r="O471" s="4"/>
      <c r="P471" s="4"/>
      <c r="Q471" s="4"/>
    </row>
    <row r="472" spans="1:17" ht="12.75">
      <c r="A472" s="4"/>
      <c r="B472" s="3"/>
      <c r="C472" s="3"/>
      <c r="D472" s="4"/>
      <c r="E472" s="4"/>
      <c r="F472" s="4"/>
      <c r="G472" s="4"/>
      <c r="H472" s="4"/>
      <c r="I472" s="4"/>
      <c r="J472" s="4"/>
      <c r="K472" s="4"/>
      <c r="L472" s="4"/>
      <c r="M472" s="4"/>
      <c r="N472" s="4"/>
      <c r="O472" s="4"/>
      <c r="P472" s="4"/>
      <c r="Q472" s="4"/>
    </row>
    <row r="473" spans="1:17" ht="12.75">
      <c r="A473" s="4"/>
      <c r="B473" s="3"/>
      <c r="C473" s="3"/>
      <c r="D473" s="4"/>
      <c r="E473" s="4"/>
      <c r="F473" s="4"/>
      <c r="G473" s="4"/>
      <c r="H473" s="4"/>
      <c r="I473" s="4"/>
      <c r="J473" s="4"/>
      <c r="K473" s="4"/>
      <c r="L473" s="4"/>
      <c r="M473" s="4"/>
      <c r="N473" s="4"/>
      <c r="O473" s="4"/>
      <c r="P473" s="4"/>
      <c r="Q473" s="4"/>
    </row>
    <row r="474" spans="1:17" ht="12.75">
      <c r="A474" s="4"/>
      <c r="B474" s="3"/>
      <c r="C474" s="3"/>
      <c r="D474" s="4"/>
      <c r="E474" s="4"/>
      <c r="F474" s="4"/>
      <c r="G474" s="4"/>
      <c r="H474" s="4"/>
      <c r="I474" s="4"/>
      <c r="J474" s="4"/>
      <c r="K474" s="4"/>
      <c r="L474" s="4"/>
      <c r="M474" s="4"/>
      <c r="N474" s="4"/>
      <c r="O474" s="4"/>
      <c r="P474" s="4"/>
      <c r="Q474" s="4"/>
    </row>
    <row r="475" spans="1:17" ht="12.75">
      <c r="A475" s="4"/>
      <c r="B475" s="3"/>
      <c r="C475" s="3"/>
      <c r="D475" s="4"/>
      <c r="E475" s="4"/>
      <c r="F475" s="4"/>
      <c r="G475" s="4"/>
      <c r="H475" s="4"/>
      <c r="I475" s="4"/>
      <c r="J475" s="4"/>
      <c r="K475" s="4"/>
      <c r="L475" s="4"/>
      <c r="M475" s="4"/>
      <c r="N475" s="4"/>
      <c r="O475" s="4"/>
      <c r="P475" s="4"/>
      <c r="Q475" s="4"/>
    </row>
    <row r="476" spans="1:17" ht="12.75">
      <c r="A476" s="4"/>
      <c r="B476" s="3"/>
      <c r="C476" s="3"/>
      <c r="D476" s="4"/>
      <c r="E476" s="4"/>
      <c r="F476" s="4"/>
      <c r="G476" s="4"/>
      <c r="H476" s="4"/>
      <c r="I476" s="4"/>
      <c r="J476" s="4"/>
      <c r="K476" s="4"/>
      <c r="L476" s="4"/>
      <c r="M476" s="4"/>
      <c r="N476" s="4"/>
      <c r="O476" s="4"/>
      <c r="P476" s="4"/>
      <c r="Q476" s="4"/>
    </row>
    <row r="477" spans="1:17" ht="12.75">
      <c r="A477" s="4"/>
      <c r="B477" s="3"/>
      <c r="C477" s="3"/>
      <c r="D477" s="4"/>
      <c r="E477" s="4"/>
      <c r="F477" s="4"/>
      <c r="G477" s="4"/>
      <c r="H477" s="4"/>
      <c r="I477" s="4"/>
      <c r="J477" s="4"/>
      <c r="K477" s="4"/>
      <c r="L477" s="4"/>
      <c r="M477" s="4"/>
      <c r="N477" s="4"/>
      <c r="O477" s="4"/>
      <c r="P477" s="4"/>
      <c r="Q477" s="4"/>
    </row>
    <row r="478" spans="1:17" ht="12.75">
      <c r="A478" s="4"/>
      <c r="B478" s="3"/>
      <c r="C478" s="3"/>
      <c r="D478" s="4"/>
      <c r="E478" s="4"/>
      <c r="F478" s="4"/>
      <c r="G478" s="4"/>
      <c r="H478" s="4"/>
      <c r="I478" s="4"/>
      <c r="J478" s="4"/>
      <c r="K478" s="4"/>
      <c r="L478" s="4"/>
      <c r="M478" s="4"/>
      <c r="N478" s="4"/>
      <c r="O478" s="4"/>
      <c r="P478" s="4"/>
      <c r="Q478" s="4"/>
    </row>
    <row r="479" spans="1:17" ht="12.75">
      <c r="A479" s="4"/>
      <c r="B479" s="3"/>
      <c r="C479" s="3"/>
      <c r="D479" s="4"/>
      <c r="E479" s="4"/>
      <c r="F479" s="4"/>
      <c r="G479" s="4"/>
      <c r="H479" s="4"/>
      <c r="I479" s="4"/>
      <c r="J479" s="4"/>
      <c r="K479" s="4"/>
      <c r="L479" s="4"/>
      <c r="M479" s="4"/>
      <c r="N479" s="4"/>
      <c r="O479" s="4"/>
      <c r="P479" s="4"/>
      <c r="Q479" s="4"/>
    </row>
    <row r="480" spans="1:17" ht="12.75">
      <c r="A480" s="4"/>
      <c r="B480" s="3"/>
      <c r="C480" s="3"/>
      <c r="D480" s="4"/>
      <c r="E480" s="4"/>
      <c r="F480" s="4"/>
      <c r="G480" s="4"/>
      <c r="H480" s="4"/>
      <c r="I480" s="4"/>
      <c r="J480" s="4"/>
      <c r="K480" s="4"/>
      <c r="L480" s="4"/>
      <c r="M480" s="4"/>
      <c r="N480" s="4"/>
      <c r="O480" s="4"/>
      <c r="P480" s="4"/>
      <c r="Q480" s="4"/>
    </row>
    <row r="481" spans="1:17" ht="12.75">
      <c r="A481" s="4"/>
      <c r="B481" s="3"/>
      <c r="C481" s="3"/>
      <c r="D481" s="4"/>
      <c r="E481" s="4"/>
      <c r="F481" s="4"/>
      <c r="G481" s="4"/>
      <c r="H481" s="4"/>
      <c r="I481" s="4"/>
      <c r="J481" s="4"/>
      <c r="K481" s="4"/>
      <c r="L481" s="4"/>
      <c r="M481" s="4"/>
      <c r="N481" s="4"/>
      <c r="O481" s="4"/>
      <c r="P481" s="4"/>
      <c r="Q481" s="4"/>
    </row>
    <row r="482" spans="1:17" ht="12.75">
      <c r="A482" s="4"/>
      <c r="B482" s="3"/>
      <c r="C482" s="3"/>
      <c r="D482" s="4"/>
      <c r="E482" s="4"/>
      <c r="F482" s="4"/>
      <c r="G482" s="4"/>
      <c r="H482" s="4"/>
      <c r="I482" s="4"/>
      <c r="J482" s="4"/>
      <c r="K482" s="4"/>
      <c r="L482" s="4"/>
      <c r="M482" s="4"/>
      <c r="N482" s="4"/>
      <c r="O482" s="4"/>
      <c r="P482" s="4"/>
      <c r="Q482" s="4"/>
    </row>
    <row r="483" spans="1:17" ht="12.75">
      <c r="A483" s="4"/>
      <c r="B483" s="3"/>
      <c r="C483" s="3"/>
      <c r="D483" s="4"/>
      <c r="E483" s="4"/>
      <c r="F483" s="4"/>
      <c r="G483" s="4"/>
      <c r="H483" s="4"/>
      <c r="I483" s="4"/>
      <c r="J483" s="4"/>
      <c r="K483" s="4"/>
      <c r="L483" s="4"/>
      <c r="M483" s="4"/>
      <c r="N483" s="4"/>
      <c r="O483" s="4"/>
      <c r="P483" s="4"/>
      <c r="Q483" s="4"/>
    </row>
    <row r="484" spans="1:17" ht="12.75">
      <c r="A484" s="4"/>
      <c r="B484" s="3"/>
      <c r="C484" s="3"/>
      <c r="D484" s="4"/>
      <c r="E484" s="4"/>
      <c r="F484" s="4"/>
      <c r="G484" s="4"/>
      <c r="H484" s="4"/>
      <c r="I484" s="4"/>
      <c r="J484" s="4"/>
      <c r="K484" s="4"/>
      <c r="L484" s="4"/>
      <c r="M484" s="4"/>
      <c r="N484" s="4"/>
      <c r="O484" s="4"/>
      <c r="P484" s="4"/>
      <c r="Q484" s="4"/>
    </row>
    <row r="485" spans="1:17" ht="12.75">
      <c r="A485" s="4"/>
      <c r="B485" s="3"/>
      <c r="C485" s="3"/>
      <c r="D485" s="4"/>
      <c r="E485" s="4"/>
      <c r="F485" s="4"/>
      <c r="G485" s="4"/>
      <c r="H485" s="4"/>
      <c r="I485" s="4"/>
      <c r="J485" s="4"/>
      <c r="K485" s="4"/>
      <c r="L485" s="4"/>
      <c r="M485" s="4"/>
      <c r="N485" s="4"/>
      <c r="O485" s="4"/>
      <c r="P485" s="4"/>
      <c r="Q485" s="4"/>
    </row>
    <row r="486" spans="1:17" ht="12.75">
      <c r="A486" s="4"/>
      <c r="B486" s="3"/>
      <c r="C486" s="3"/>
      <c r="D486" s="4"/>
      <c r="E486" s="4"/>
      <c r="F486" s="4"/>
      <c r="G486" s="4"/>
      <c r="H486" s="4"/>
      <c r="I486" s="4"/>
      <c r="J486" s="4"/>
      <c r="K486" s="4"/>
      <c r="L486" s="4"/>
      <c r="M486" s="4"/>
      <c r="N486" s="4"/>
      <c r="O486" s="4"/>
      <c r="P486" s="4"/>
      <c r="Q486" s="4"/>
    </row>
    <row r="487" spans="1:17" ht="12.75">
      <c r="A487" s="4"/>
      <c r="B487" s="3"/>
      <c r="C487" s="3"/>
      <c r="D487" s="4"/>
      <c r="E487" s="4"/>
      <c r="F487" s="4"/>
      <c r="G487" s="4"/>
      <c r="H487" s="4"/>
      <c r="I487" s="4"/>
      <c r="J487" s="4"/>
      <c r="K487" s="4"/>
      <c r="L487" s="4"/>
      <c r="M487" s="4"/>
      <c r="N487" s="4"/>
      <c r="O487" s="4"/>
      <c r="P487" s="4"/>
      <c r="Q487" s="4"/>
    </row>
    <row r="488" spans="1:17" ht="12.75">
      <c r="A488" s="4"/>
      <c r="B488" s="3"/>
      <c r="C488" s="3"/>
      <c r="D488" s="4"/>
      <c r="E488" s="4"/>
      <c r="F488" s="4"/>
      <c r="G488" s="4"/>
      <c r="H488" s="4"/>
      <c r="I488" s="4"/>
      <c r="J488" s="4"/>
      <c r="K488" s="4"/>
      <c r="L488" s="4"/>
      <c r="M488" s="4"/>
      <c r="N488" s="4"/>
      <c r="O488" s="4"/>
      <c r="P488" s="4"/>
      <c r="Q488" s="4"/>
    </row>
    <row r="489" spans="1:17" ht="12.75">
      <c r="A489" s="4"/>
      <c r="B489" s="3"/>
      <c r="C489" s="3"/>
      <c r="D489" s="4"/>
      <c r="E489" s="4"/>
      <c r="F489" s="4"/>
      <c r="G489" s="4"/>
      <c r="H489" s="4"/>
      <c r="I489" s="4"/>
      <c r="J489" s="4"/>
      <c r="K489" s="4"/>
      <c r="L489" s="4"/>
      <c r="M489" s="4"/>
      <c r="N489" s="4"/>
      <c r="O489" s="4"/>
      <c r="P489" s="4"/>
      <c r="Q489" s="4"/>
    </row>
    <row r="490" spans="1:17" ht="12.75">
      <c r="A490" s="4"/>
      <c r="B490" s="3"/>
      <c r="C490" s="3"/>
      <c r="D490" s="4"/>
      <c r="E490" s="4"/>
      <c r="F490" s="4"/>
      <c r="G490" s="4"/>
      <c r="H490" s="4"/>
      <c r="I490" s="4"/>
      <c r="J490" s="4"/>
      <c r="K490" s="4"/>
      <c r="L490" s="4"/>
      <c r="M490" s="4"/>
      <c r="N490" s="4"/>
      <c r="O490" s="4"/>
      <c r="P490" s="4"/>
      <c r="Q490" s="4"/>
    </row>
    <row r="491" spans="1:17" ht="12.75">
      <c r="A491" s="4"/>
      <c r="B491" s="3"/>
      <c r="C491" s="3"/>
      <c r="D491" s="4"/>
      <c r="E491" s="4"/>
      <c r="F491" s="4"/>
      <c r="G491" s="4"/>
      <c r="H491" s="4"/>
      <c r="I491" s="4"/>
      <c r="J491" s="4"/>
      <c r="K491" s="4"/>
      <c r="L491" s="4"/>
      <c r="M491" s="4"/>
      <c r="N491" s="4"/>
      <c r="O491" s="4"/>
      <c r="P491" s="4"/>
      <c r="Q491" s="4"/>
    </row>
    <row r="492" spans="1:17" ht="12.75">
      <c r="A492" s="4"/>
      <c r="B492" s="3"/>
      <c r="C492" s="3"/>
      <c r="D492" s="4"/>
      <c r="E492" s="4"/>
      <c r="F492" s="4"/>
      <c r="G492" s="4"/>
      <c r="H492" s="4"/>
      <c r="I492" s="4"/>
      <c r="J492" s="4"/>
      <c r="K492" s="4"/>
      <c r="L492" s="4"/>
      <c r="M492" s="4"/>
      <c r="N492" s="4"/>
      <c r="O492" s="4"/>
      <c r="P492" s="4"/>
      <c r="Q492" s="4"/>
    </row>
    <row r="493" spans="1:17" ht="12.75">
      <c r="A493" s="4"/>
      <c r="B493" s="3"/>
      <c r="C493" s="3"/>
      <c r="D493" s="4"/>
      <c r="E493" s="4"/>
      <c r="F493" s="4"/>
      <c r="G493" s="4"/>
      <c r="H493" s="4"/>
      <c r="I493" s="4"/>
      <c r="J493" s="4"/>
      <c r="K493" s="4"/>
      <c r="L493" s="4"/>
      <c r="M493" s="4"/>
      <c r="N493" s="4"/>
      <c r="O493" s="4"/>
      <c r="P493" s="4"/>
      <c r="Q493" s="4"/>
    </row>
    <row r="494" spans="1:17" ht="12.75">
      <c r="A494" s="4"/>
      <c r="B494" s="3"/>
      <c r="C494" s="3"/>
      <c r="D494" s="4"/>
      <c r="E494" s="4"/>
      <c r="F494" s="4"/>
      <c r="G494" s="4"/>
      <c r="H494" s="4"/>
      <c r="I494" s="4"/>
      <c r="J494" s="4"/>
      <c r="K494" s="4"/>
      <c r="L494" s="4"/>
      <c r="M494" s="4"/>
      <c r="N494" s="4"/>
      <c r="O494" s="4"/>
      <c r="P494" s="4"/>
      <c r="Q494" s="4"/>
    </row>
    <row r="495" spans="1:17" ht="12.75">
      <c r="A495" s="4"/>
      <c r="B495" s="3"/>
      <c r="C495" s="3"/>
      <c r="D495" s="4"/>
      <c r="E495" s="4"/>
      <c r="F495" s="4"/>
      <c r="G495" s="4"/>
      <c r="H495" s="4"/>
      <c r="I495" s="4"/>
      <c r="J495" s="4"/>
      <c r="K495" s="4"/>
      <c r="L495" s="4"/>
      <c r="M495" s="4"/>
      <c r="N495" s="4"/>
      <c r="O495" s="4"/>
      <c r="P495" s="4"/>
      <c r="Q495" s="4"/>
    </row>
    <row r="496" spans="1:17" ht="12.75">
      <c r="A496" s="4"/>
      <c r="B496" s="3"/>
      <c r="C496" s="3"/>
      <c r="D496" s="4"/>
      <c r="E496" s="4"/>
      <c r="F496" s="4"/>
      <c r="G496" s="4"/>
      <c r="H496" s="4"/>
      <c r="I496" s="4"/>
      <c r="J496" s="4"/>
      <c r="K496" s="4"/>
      <c r="L496" s="4"/>
      <c r="M496" s="4"/>
      <c r="N496" s="4"/>
      <c r="O496" s="4"/>
      <c r="P496" s="4"/>
      <c r="Q496" s="4"/>
    </row>
    <row r="497" spans="1:17" ht="12.75">
      <c r="A497" s="4"/>
      <c r="B497" s="3"/>
      <c r="C497" s="3"/>
      <c r="D497" s="4"/>
      <c r="E497" s="4"/>
      <c r="F497" s="4"/>
      <c r="G497" s="4"/>
      <c r="H497" s="4"/>
      <c r="I497" s="4"/>
      <c r="J497" s="4"/>
      <c r="K497" s="4"/>
      <c r="L497" s="4"/>
      <c r="M497" s="4"/>
      <c r="N497" s="4"/>
      <c r="O497" s="4"/>
      <c r="P497" s="4"/>
      <c r="Q497" s="4"/>
    </row>
    <row r="498" spans="1:17" ht="12.75">
      <c r="A498" s="4"/>
      <c r="B498" s="3"/>
      <c r="C498" s="3"/>
      <c r="D498" s="4"/>
      <c r="E498" s="4"/>
      <c r="F498" s="4"/>
      <c r="G498" s="4"/>
      <c r="H498" s="4"/>
      <c r="I498" s="4"/>
      <c r="J498" s="4"/>
      <c r="K498" s="4"/>
      <c r="L498" s="4"/>
      <c r="M498" s="4"/>
      <c r="N498" s="4"/>
      <c r="O498" s="4"/>
      <c r="P498" s="4"/>
      <c r="Q498" s="4"/>
    </row>
    <row r="499" spans="1:17" ht="12.75">
      <c r="A499" s="4"/>
      <c r="B499" s="3"/>
      <c r="C499" s="3"/>
      <c r="D499" s="4"/>
      <c r="E499" s="4"/>
      <c r="F499" s="4"/>
      <c r="G499" s="4"/>
      <c r="H499" s="4"/>
      <c r="I499" s="4"/>
      <c r="J499" s="4"/>
      <c r="K499" s="4"/>
      <c r="L499" s="4"/>
      <c r="M499" s="4"/>
      <c r="N499" s="4"/>
      <c r="O499" s="4"/>
      <c r="P499" s="4"/>
      <c r="Q499" s="4"/>
    </row>
    <row r="500" spans="1:17" ht="12.75">
      <c r="A500" s="4"/>
      <c r="B500" s="3"/>
      <c r="C500" s="3"/>
      <c r="D500" s="4"/>
      <c r="E500" s="4"/>
      <c r="F500" s="4"/>
      <c r="G500" s="4"/>
      <c r="H500" s="4"/>
      <c r="I500" s="4"/>
      <c r="J500" s="4"/>
      <c r="K500" s="4"/>
      <c r="L500" s="4"/>
      <c r="M500" s="4"/>
      <c r="N500" s="4"/>
      <c r="O500" s="4"/>
      <c r="P500" s="4"/>
      <c r="Q500" s="4"/>
    </row>
    <row r="501" spans="1:17" ht="12.75">
      <c r="A501" s="4"/>
      <c r="B501" s="3"/>
      <c r="C501" s="3"/>
      <c r="D501" s="4"/>
      <c r="E501" s="4"/>
      <c r="F501" s="4"/>
      <c r="G501" s="4"/>
      <c r="H501" s="4"/>
      <c r="I501" s="4"/>
      <c r="J501" s="4"/>
      <c r="K501" s="4"/>
      <c r="L501" s="4"/>
      <c r="M501" s="4"/>
      <c r="N501" s="4"/>
      <c r="O501" s="4"/>
      <c r="P501" s="4"/>
      <c r="Q501" s="4"/>
    </row>
    <row r="502" spans="1:17" ht="12.75">
      <c r="A502" s="4"/>
      <c r="B502" s="3"/>
      <c r="C502" s="3"/>
      <c r="D502" s="4"/>
      <c r="E502" s="4"/>
      <c r="F502" s="4"/>
      <c r="G502" s="4"/>
      <c r="H502" s="4"/>
      <c r="I502" s="4"/>
      <c r="J502" s="4"/>
      <c r="K502" s="4"/>
      <c r="L502" s="4"/>
      <c r="M502" s="4"/>
      <c r="N502" s="4"/>
      <c r="O502" s="4"/>
      <c r="P502" s="4"/>
      <c r="Q502" s="4"/>
    </row>
    <row r="503" spans="1:17" ht="12.75">
      <c r="A503" s="4"/>
      <c r="B503" s="3"/>
      <c r="C503" s="3"/>
      <c r="D503" s="4"/>
      <c r="E503" s="4"/>
      <c r="F503" s="4"/>
      <c r="G503" s="4"/>
      <c r="H503" s="4"/>
      <c r="I503" s="4"/>
      <c r="J503" s="4"/>
      <c r="K503" s="4"/>
      <c r="L503" s="4"/>
      <c r="M503" s="4"/>
      <c r="N503" s="4"/>
      <c r="O503" s="4"/>
      <c r="P503" s="4"/>
      <c r="Q503" s="4"/>
    </row>
    <row r="504" spans="1:17" ht="12.75">
      <c r="A504" s="4"/>
      <c r="B504" s="3"/>
      <c r="C504" s="3"/>
      <c r="D504" s="4"/>
      <c r="E504" s="4"/>
      <c r="F504" s="4"/>
      <c r="G504" s="4"/>
      <c r="H504" s="4"/>
      <c r="I504" s="4"/>
      <c r="J504" s="4"/>
      <c r="K504" s="4"/>
      <c r="L504" s="4"/>
      <c r="M504" s="4"/>
      <c r="N504" s="4"/>
      <c r="O504" s="4"/>
      <c r="P504" s="4"/>
      <c r="Q504" s="4"/>
    </row>
    <row r="505" spans="1:17" ht="12.75">
      <c r="A505" s="4"/>
      <c r="B505" s="3"/>
      <c r="C505" s="3"/>
      <c r="D505" s="4"/>
      <c r="E505" s="4"/>
      <c r="F505" s="4"/>
      <c r="G505" s="4"/>
      <c r="H505" s="4"/>
      <c r="I505" s="4"/>
      <c r="J505" s="4"/>
      <c r="K505" s="4"/>
      <c r="L505" s="4"/>
      <c r="M505" s="4"/>
      <c r="N505" s="4"/>
      <c r="O505" s="4"/>
      <c r="P505" s="4"/>
      <c r="Q505" s="4"/>
    </row>
    <row r="506" spans="1:17" ht="12.75">
      <c r="A506" s="4"/>
      <c r="B506" s="3"/>
      <c r="C506" s="3"/>
      <c r="D506" s="4"/>
      <c r="E506" s="4"/>
      <c r="F506" s="4"/>
      <c r="G506" s="4"/>
      <c r="H506" s="4"/>
      <c r="I506" s="4"/>
      <c r="J506" s="4"/>
      <c r="K506" s="4"/>
      <c r="L506" s="4"/>
      <c r="M506" s="4"/>
      <c r="N506" s="4"/>
      <c r="O506" s="4"/>
      <c r="P506" s="4"/>
      <c r="Q506" s="4"/>
    </row>
    <row r="507" spans="1:17" ht="12.75">
      <c r="A507" s="4"/>
      <c r="B507" s="3"/>
      <c r="C507" s="3"/>
      <c r="D507" s="4"/>
      <c r="E507" s="4"/>
      <c r="F507" s="4"/>
      <c r="G507" s="4"/>
      <c r="H507" s="4"/>
      <c r="I507" s="4"/>
      <c r="J507" s="4"/>
      <c r="K507" s="4"/>
      <c r="L507" s="4"/>
      <c r="M507" s="4"/>
      <c r="N507" s="4"/>
      <c r="O507" s="4"/>
      <c r="P507" s="4"/>
      <c r="Q507" s="4"/>
    </row>
    <row r="508" spans="1:17" ht="12.75">
      <c r="A508" s="4"/>
      <c r="B508" s="3"/>
      <c r="C508" s="3"/>
      <c r="D508" s="4"/>
      <c r="E508" s="4"/>
      <c r="F508" s="4"/>
      <c r="G508" s="4"/>
      <c r="H508" s="4"/>
      <c r="I508" s="4"/>
      <c r="J508" s="4"/>
      <c r="K508" s="4"/>
      <c r="L508" s="4"/>
      <c r="M508" s="4"/>
      <c r="N508" s="4"/>
      <c r="O508" s="4"/>
      <c r="P508" s="4"/>
      <c r="Q508" s="4"/>
    </row>
    <row r="509" spans="1:17" ht="12.75">
      <c r="A509" s="4"/>
      <c r="B509" s="3"/>
      <c r="C509" s="3"/>
      <c r="D509" s="4"/>
      <c r="E509" s="4"/>
      <c r="F509" s="4"/>
      <c r="G509" s="4"/>
      <c r="H509" s="4"/>
      <c r="I509" s="4"/>
      <c r="J509" s="4"/>
      <c r="K509" s="4"/>
      <c r="L509" s="4"/>
      <c r="M509" s="4"/>
      <c r="N509" s="4"/>
      <c r="O509" s="4"/>
      <c r="P509" s="4"/>
      <c r="Q509" s="4"/>
    </row>
    <row r="510" spans="1:17" ht="12.75">
      <c r="A510" s="4"/>
      <c r="B510" s="3"/>
      <c r="C510" s="3"/>
      <c r="D510" s="4"/>
      <c r="E510" s="4"/>
      <c r="F510" s="4"/>
      <c r="G510" s="4"/>
      <c r="H510" s="4"/>
      <c r="I510" s="4"/>
      <c r="J510" s="4"/>
      <c r="K510" s="4"/>
      <c r="L510" s="4"/>
      <c r="M510" s="4"/>
      <c r="N510" s="4"/>
      <c r="O510" s="4"/>
      <c r="P510" s="4"/>
      <c r="Q510" s="4"/>
    </row>
    <row r="511" spans="1:17" ht="12.75">
      <c r="A511" s="4"/>
      <c r="B511" s="3"/>
      <c r="C511" s="3"/>
      <c r="D511" s="4"/>
      <c r="E511" s="4"/>
      <c r="F511" s="4"/>
      <c r="G511" s="4"/>
      <c r="H511" s="4"/>
      <c r="I511" s="4"/>
      <c r="J511" s="4"/>
      <c r="K511" s="4"/>
      <c r="L511" s="4"/>
      <c r="M511" s="4"/>
      <c r="N511" s="4"/>
      <c r="O511" s="4"/>
      <c r="P511" s="4"/>
      <c r="Q511" s="4"/>
    </row>
    <row r="512" spans="1:17" ht="12.75">
      <c r="A512" s="4"/>
      <c r="B512" s="3"/>
      <c r="C512" s="3"/>
      <c r="D512" s="4"/>
      <c r="E512" s="4"/>
      <c r="F512" s="4"/>
      <c r="G512" s="4"/>
      <c r="H512" s="4"/>
      <c r="I512" s="4"/>
      <c r="J512" s="4"/>
      <c r="K512" s="4"/>
      <c r="L512" s="4"/>
      <c r="M512" s="4"/>
      <c r="N512" s="4"/>
      <c r="O512" s="4"/>
      <c r="P512" s="4"/>
      <c r="Q512" s="4"/>
    </row>
    <row r="513" spans="1:17" ht="12.75">
      <c r="A513" s="4"/>
      <c r="B513" s="3"/>
      <c r="C513" s="3"/>
      <c r="D513" s="4"/>
      <c r="E513" s="4"/>
      <c r="F513" s="4"/>
      <c r="G513" s="4"/>
      <c r="H513" s="4"/>
      <c r="I513" s="4"/>
      <c r="J513" s="4"/>
      <c r="K513" s="4"/>
      <c r="L513" s="4"/>
      <c r="M513" s="4"/>
      <c r="N513" s="4"/>
      <c r="O513" s="4"/>
      <c r="P513" s="4"/>
      <c r="Q513" s="4"/>
    </row>
    <row r="514" spans="1:17" ht="12.75">
      <c r="A514" s="4"/>
      <c r="B514" s="3"/>
      <c r="C514" s="3"/>
      <c r="D514" s="4"/>
      <c r="E514" s="4"/>
      <c r="F514" s="4"/>
      <c r="G514" s="4"/>
      <c r="H514" s="4"/>
      <c r="I514" s="4"/>
      <c r="J514" s="4"/>
      <c r="K514" s="4"/>
      <c r="L514" s="4"/>
      <c r="M514" s="4"/>
      <c r="N514" s="4"/>
      <c r="O514" s="4"/>
      <c r="P514" s="4"/>
      <c r="Q514" s="4"/>
    </row>
    <row r="515" spans="1:17" ht="12.75">
      <c r="A515" s="4"/>
      <c r="B515" s="3"/>
      <c r="C515" s="3"/>
      <c r="D515" s="4"/>
      <c r="E515" s="4"/>
      <c r="F515" s="4"/>
      <c r="G515" s="4"/>
      <c r="H515" s="4"/>
      <c r="I515" s="4"/>
      <c r="J515" s="4"/>
      <c r="K515" s="4"/>
      <c r="L515" s="4"/>
      <c r="M515" s="4"/>
      <c r="N515" s="4"/>
      <c r="O515" s="4"/>
      <c r="P515" s="4"/>
      <c r="Q515" s="4"/>
    </row>
    <row r="516" spans="1:17" ht="12.75">
      <c r="A516" s="4"/>
      <c r="B516" s="3"/>
      <c r="C516" s="3"/>
      <c r="D516" s="4"/>
      <c r="E516" s="4"/>
      <c r="F516" s="4"/>
      <c r="G516" s="4"/>
      <c r="H516" s="4"/>
      <c r="I516" s="4"/>
      <c r="J516" s="4"/>
      <c r="K516" s="4"/>
      <c r="L516" s="4"/>
      <c r="M516" s="4"/>
      <c r="N516" s="4"/>
      <c r="O516" s="4"/>
      <c r="P516" s="4"/>
      <c r="Q516" s="4"/>
    </row>
    <row r="517" spans="1:17" ht="12.75">
      <c r="A517" s="4"/>
      <c r="B517" s="3"/>
      <c r="C517" s="3"/>
      <c r="D517" s="4"/>
      <c r="E517" s="4"/>
      <c r="F517" s="4"/>
      <c r="G517" s="4"/>
      <c r="H517" s="4"/>
      <c r="I517" s="4"/>
      <c r="J517" s="4"/>
      <c r="K517" s="4"/>
      <c r="L517" s="4"/>
      <c r="M517" s="4"/>
      <c r="N517" s="4"/>
      <c r="O517" s="4"/>
      <c r="P517" s="4"/>
      <c r="Q517" s="4"/>
    </row>
    <row r="518" spans="1:17" ht="12.75">
      <c r="A518" s="4"/>
      <c r="B518" s="3"/>
      <c r="C518" s="3"/>
      <c r="D518" s="4"/>
      <c r="E518" s="4"/>
      <c r="F518" s="4"/>
      <c r="G518" s="4"/>
      <c r="H518" s="4"/>
      <c r="I518" s="4"/>
      <c r="J518" s="4"/>
      <c r="K518" s="4"/>
      <c r="L518" s="4"/>
      <c r="M518" s="4"/>
      <c r="N518" s="4"/>
      <c r="O518" s="4"/>
      <c r="P518" s="4"/>
      <c r="Q518" s="4"/>
    </row>
    <row r="519" spans="1:17" ht="12.75">
      <c r="A519" s="4"/>
      <c r="B519" s="3"/>
      <c r="C519" s="3"/>
      <c r="D519" s="4"/>
      <c r="E519" s="4"/>
      <c r="F519" s="4"/>
      <c r="G519" s="4"/>
      <c r="H519" s="4"/>
      <c r="I519" s="4"/>
      <c r="J519" s="4"/>
      <c r="K519" s="4"/>
      <c r="L519" s="4"/>
      <c r="M519" s="4"/>
      <c r="N519" s="4"/>
      <c r="O519" s="4"/>
      <c r="P519" s="4"/>
      <c r="Q519" s="4"/>
    </row>
    <row r="520" spans="1:17" ht="12.75">
      <c r="A520" s="4"/>
      <c r="B520" s="3"/>
      <c r="C520" s="3"/>
      <c r="D520" s="4"/>
      <c r="E520" s="4"/>
      <c r="F520" s="4"/>
      <c r="G520" s="4"/>
      <c r="H520" s="4"/>
      <c r="I520" s="4"/>
      <c r="J520" s="4"/>
      <c r="K520" s="4"/>
      <c r="L520" s="4"/>
      <c r="M520" s="4"/>
      <c r="N520" s="4"/>
      <c r="O520" s="4"/>
      <c r="P520" s="4"/>
      <c r="Q520" s="4"/>
    </row>
    <row r="521" spans="1:17" ht="12.75">
      <c r="A521" s="4"/>
      <c r="B521" s="3"/>
      <c r="C521" s="3"/>
      <c r="D521" s="4"/>
      <c r="E521" s="4"/>
      <c r="F521" s="4"/>
      <c r="G521" s="4"/>
      <c r="H521" s="4"/>
      <c r="I521" s="4"/>
      <c r="J521" s="4"/>
      <c r="K521" s="4"/>
      <c r="L521" s="4"/>
      <c r="M521" s="4"/>
      <c r="N521" s="4"/>
      <c r="O521" s="4"/>
      <c r="P521" s="4"/>
      <c r="Q521" s="4"/>
    </row>
    <row r="522" spans="1:17" ht="12.75">
      <c r="A522" s="4"/>
      <c r="B522" s="3"/>
      <c r="C522" s="3"/>
      <c r="D522" s="4"/>
      <c r="E522" s="4"/>
      <c r="F522" s="4"/>
      <c r="G522" s="4"/>
      <c r="H522" s="4"/>
      <c r="I522" s="4"/>
      <c r="J522" s="4"/>
      <c r="K522" s="4"/>
      <c r="L522" s="4"/>
      <c r="M522" s="4"/>
      <c r="N522" s="4"/>
      <c r="O522" s="4"/>
      <c r="P522" s="4"/>
      <c r="Q522" s="4"/>
    </row>
    <row r="523" spans="1:17" ht="12.75">
      <c r="A523" s="4"/>
      <c r="B523" s="3"/>
      <c r="C523" s="3"/>
      <c r="D523" s="4"/>
      <c r="E523" s="4"/>
      <c r="F523" s="4"/>
      <c r="G523" s="4"/>
      <c r="H523" s="4"/>
      <c r="I523" s="4"/>
      <c r="J523" s="4"/>
      <c r="K523" s="4"/>
      <c r="L523" s="4"/>
      <c r="M523" s="4"/>
      <c r="N523" s="4"/>
      <c r="O523" s="4"/>
      <c r="P523" s="4"/>
      <c r="Q523" s="4"/>
    </row>
    <row r="524" spans="1:17" ht="12.75">
      <c r="A524" s="4"/>
      <c r="B524" s="3"/>
      <c r="C524" s="3"/>
      <c r="D524" s="4"/>
      <c r="E524" s="4"/>
      <c r="F524" s="4"/>
      <c r="G524" s="4"/>
      <c r="H524" s="4"/>
      <c r="I524" s="4"/>
      <c r="J524" s="4"/>
      <c r="K524" s="4"/>
      <c r="L524" s="4"/>
      <c r="M524" s="4"/>
      <c r="N524" s="4"/>
      <c r="O524" s="4"/>
      <c r="P524" s="4"/>
      <c r="Q524" s="4"/>
    </row>
    <row r="525" spans="1:17" ht="12.75">
      <c r="A525" s="4"/>
      <c r="B525" s="3"/>
      <c r="C525" s="3"/>
      <c r="D525" s="4"/>
      <c r="E525" s="4"/>
      <c r="F525" s="4"/>
      <c r="G525" s="4"/>
      <c r="H525" s="4"/>
      <c r="I525" s="4"/>
      <c r="J525" s="4"/>
      <c r="K525" s="4"/>
      <c r="L525" s="4"/>
      <c r="M525" s="4"/>
      <c r="N525" s="4"/>
      <c r="O525" s="4"/>
      <c r="P525" s="4"/>
      <c r="Q525" s="4"/>
    </row>
    <row r="526" spans="1:17" ht="12.75">
      <c r="A526" s="4"/>
      <c r="B526" s="3"/>
      <c r="C526" s="3"/>
      <c r="D526" s="4"/>
      <c r="E526" s="4"/>
      <c r="F526" s="4"/>
      <c r="G526" s="4"/>
      <c r="H526" s="4"/>
      <c r="I526" s="4"/>
      <c r="J526" s="4"/>
      <c r="K526" s="4"/>
      <c r="L526" s="4"/>
      <c r="M526" s="4"/>
      <c r="N526" s="4"/>
      <c r="O526" s="4"/>
      <c r="P526" s="4"/>
      <c r="Q526" s="4"/>
    </row>
    <row r="527" spans="1:17" ht="12.75">
      <c r="A527" s="4"/>
      <c r="B527" s="3"/>
      <c r="C527" s="3"/>
      <c r="D527" s="4"/>
      <c r="E527" s="4"/>
      <c r="F527" s="4"/>
      <c r="G527" s="4"/>
      <c r="H527" s="4"/>
      <c r="I527" s="4"/>
      <c r="J527" s="4"/>
      <c r="K527" s="4"/>
      <c r="L527" s="4"/>
      <c r="M527" s="4"/>
      <c r="N527" s="4"/>
      <c r="O527" s="4"/>
      <c r="P527" s="4"/>
      <c r="Q527" s="4"/>
    </row>
    <row r="528" spans="1:17" ht="12.75">
      <c r="A528" s="4"/>
      <c r="B528" s="3"/>
      <c r="C528" s="3"/>
      <c r="D528" s="4"/>
      <c r="E528" s="4"/>
      <c r="F528" s="4"/>
      <c r="G528" s="4"/>
      <c r="H528" s="4"/>
      <c r="I528" s="4"/>
      <c r="J528" s="4"/>
      <c r="K528" s="4"/>
      <c r="L528" s="4"/>
      <c r="M528" s="4"/>
      <c r="N528" s="4"/>
      <c r="O528" s="4"/>
      <c r="P528" s="4"/>
      <c r="Q528" s="4"/>
    </row>
    <row r="529" spans="1:17" ht="12.75">
      <c r="A529" s="4"/>
      <c r="B529" s="3"/>
      <c r="C529" s="3"/>
      <c r="D529" s="4"/>
      <c r="E529" s="4"/>
      <c r="F529" s="4"/>
      <c r="G529" s="4"/>
      <c r="H529" s="4"/>
      <c r="I529" s="4"/>
      <c r="J529" s="4"/>
      <c r="K529" s="4"/>
      <c r="L529" s="4"/>
      <c r="M529" s="4"/>
      <c r="N529" s="4"/>
      <c r="O529" s="4"/>
      <c r="P529" s="4"/>
      <c r="Q529" s="4"/>
    </row>
    <row r="530" spans="1:17" ht="12.75">
      <c r="A530" s="4"/>
      <c r="B530" s="3"/>
      <c r="C530" s="3"/>
      <c r="D530" s="4"/>
      <c r="E530" s="4"/>
      <c r="F530" s="4"/>
      <c r="G530" s="4"/>
      <c r="H530" s="4"/>
      <c r="I530" s="4"/>
      <c r="J530" s="4"/>
      <c r="K530" s="4"/>
      <c r="L530" s="4"/>
      <c r="M530" s="4"/>
      <c r="N530" s="4"/>
      <c r="O530" s="4"/>
      <c r="P530" s="4"/>
      <c r="Q530" s="4"/>
    </row>
    <row r="531" spans="1:17" ht="12.75">
      <c r="A531" s="4"/>
      <c r="B531" s="3"/>
      <c r="C531" s="3"/>
      <c r="D531" s="4"/>
      <c r="E531" s="4"/>
      <c r="F531" s="4"/>
      <c r="G531" s="4"/>
      <c r="H531" s="4"/>
      <c r="I531" s="4"/>
      <c r="J531" s="4"/>
      <c r="K531" s="4"/>
      <c r="L531" s="4"/>
      <c r="M531" s="4"/>
      <c r="N531" s="4"/>
      <c r="O531" s="4"/>
      <c r="P531" s="4"/>
      <c r="Q531" s="4"/>
    </row>
    <row r="532" spans="1:17" ht="12.75">
      <c r="A532" s="4"/>
      <c r="B532" s="3"/>
      <c r="C532" s="3"/>
      <c r="D532" s="4"/>
      <c r="E532" s="4"/>
      <c r="F532" s="4"/>
      <c r="G532" s="4"/>
      <c r="H532" s="4"/>
      <c r="I532" s="4"/>
      <c r="J532" s="4"/>
      <c r="K532" s="4"/>
      <c r="L532" s="4"/>
      <c r="M532" s="4"/>
      <c r="N532" s="4"/>
      <c r="O532" s="4"/>
      <c r="P532" s="4"/>
      <c r="Q532" s="4"/>
    </row>
    <row r="533" spans="1:17" ht="12.75">
      <c r="A533" s="4"/>
      <c r="B533" s="3"/>
      <c r="C533" s="3"/>
      <c r="D533" s="4"/>
      <c r="E533" s="4"/>
      <c r="F533" s="4"/>
      <c r="G533" s="4"/>
      <c r="H533" s="4"/>
      <c r="I533" s="4"/>
      <c r="J533" s="4"/>
      <c r="K533" s="4"/>
      <c r="L533" s="4"/>
      <c r="M533" s="4"/>
      <c r="N533" s="4"/>
      <c r="O533" s="4"/>
      <c r="P533" s="4"/>
      <c r="Q533" s="4"/>
    </row>
    <row r="534" spans="1:17" ht="12.75">
      <c r="A534" s="4"/>
      <c r="B534" s="3"/>
      <c r="C534" s="3"/>
      <c r="D534" s="4"/>
      <c r="E534" s="4"/>
      <c r="F534" s="4"/>
      <c r="G534" s="4"/>
      <c r="H534" s="4"/>
      <c r="I534" s="4"/>
      <c r="J534" s="4"/>
      <c r="K534" s="4"/>
      <c r="L534" s="4"/>
      <c r="M534" s="4"/>
      <c r="N534" s="4"/>
      <c r="O534" s="4"/>
      <c r="P534" s="4"/>
      <c r="Q534" s="4"/>
    </row>
    <row r="535" spans="1:17" ht="12.75">
      <c r="A535" s="4"/>
      <c r="B535" s="3"/>
      <c r="C535" s="3"/>
      <c r="D535" s="4"/>
      <c r="E535" s="4"/>
      <c r="F535" s="4"/>
      <c r="G535" s="4"/>
      <c r="H535" s="4"/>
      <c r="I535" s="4"/>
      <c r="J535" s="4"/>
      <c r="K535" s="4"/>
      <c r="L535" s="4"/>
      <c r="M535" s="4"/>
      <c r="N535" s="4"/>
      <c r="O535" s="4"/>
      <c r="P535" s="4"/>
      <c r="Q535" s="4"/>
    </row>
    <row r="536" spans="1:17" ht="12.75">
      <c r="A536" s="4"/>
      <c r="B536" s="3"/>
      <c r="C536" s="3"/>
      <c r="D536" s="4"/>
      <c r="E536" s="4"/>
      <c r="F536" s="4"/>
      <c r="G536" s="4"/>
      <c r="H536" s="4"/>
      <c r="I536" s="4"/>
      <c r="J536" s="4"/>
      <c r="K536" s="4"/>
      <c r="L536" s="4"/>
      <c r="M536" s="4"/>
      <c r="N536" s="4"/>
      <c r="O536" s="4"/>
      <c r="P536" s="4"/>
      <c r="Q536" s="4"/>
    </row>
    <row r="537" spans="1:17" ht="12.75">
      <c r="A537" s="4"/>
      <c r="B537" s="3"/>
      <c r="C537" s="3"/>
      <c r="D537" s="4"/>
      <c r="E537" s="4"/>
      <c r="F537" s="4"/>
      <c r="G537" s="4"/>
      <c r="H537" s="4"/>
      <c r="I537" s="4"/>
      <c r="J537" s="4"/>
      <c r="K537" s="4"/>
      <c r="L537" s="4"/>
      <c r="M537" s="4"/>
      <c r="N537" s="4"/>
      <c r="O537" s="4"/>
      <c r="P537" s="4"/>
      <c r="Q537" s="4"/>
    </row>
    <row r="538" spans="1:17" ht="12.75">
      <c r="A538" s="4"/>
      <c r="B538" s="3"/>
      <c r="C538" s="3"/>
      <c r="D538" s="4"/>
      <c r="E538" s="4"/>
      <c r="F538" s="4"/>
      <c r="G538" s="4"/>
      <c r="H538" s="4"/>
      <c r="I538" s="4"/>
      <c r="J538" s="4"/>
      <c r="K538" s="4"/>
      <c r="L538" s="4"/>
      <c r="M538" s="4"/>
      <c r="N538" s="4"/>
      <c r="O538" s="4"/>
      <c r="P538" s="4"/>
      <c r="Q538" s="4"/>
    </row>
    <row r="539" spans="1:17" ht="12.75">
      <c r="A539" s="4"/>
      <c r="B539" s="3"/>
      <c r="C539" s="3"/>
      <c r="D539" s="4"/>
      <c r="E539" s="4"/>
      <c r="F539" s="4"/>
      <c r="G539" s="4"/>
      <c r="H539" s="4"/>
      <c r="I539" s="4"/>
      <c r="J539" s="4"/>
      <c r="K539" s="4"/>
      <c r="L539" s="4"/>
      <c r="M539" s="4"/>
      <c r="N539" s="4"/>
      <c r="O539" s="4"/>
      <c r="P539" s="4"/>
      <c r="Q539" s="4"/>
    </row>
    <row r="540" spans="1:17" ht="12.75">
      <c r="A540" s="4"/>
      <c r="B540" s="3"/>
      <c r="C540" s="3"/>
      <c r="D540" s="4"/>
      <c r="E540" s="4"/>
      <c r="F540" s="4"/>
      <c r="G540" s="4"/>
      <c r="H540" s="4"/>
      <c r="I540" s="4"/>
      <c r="J540" s="4"/>
      <c r="K540" s="4"/>
      <c r="L540" s="4"/>
      <c r="M540" s="4"/>
      <c r="N540" s="4"/>
      <c r="O540" s="4"/>
      <c r="P540" s="4"/>
      <c r="Q540" s="4"/>
    </row>
    <row r="541" spans="1:17" ht="12.75">
      <c r="A541" s="4"/>
      <c r="B541" s="3"/>
      <c r="C541" s="3"/>
      <c r="D541" s="4"/>
      <c r="E541" s="4"/>
      <c r="F541" s="4"/>
      <c r="G541" s="4"/>
      <c r="H541" s="4"/>
      <c r="I541" s="4"/>
      <c r="J541" s="4"/>
      <c r="K541" s="4"/>
      <c r="L541" s="4"/>
      <c r="M541" s="4"/>
      <c r="N541" s="4"/>
      <c r="O541" s="4"/>
      <c r="P541" s="4"/>
      <c r="Q541" s="4"/>
    </row>
    <row r="542" spans="1:17" ht="12.75">
      <c r="A542" s="4"/>
      <c r="B542" s="3"/>
      <c r="C542" s="3"/>
      <c r="D542" s="4"/>
      <c r="E542" s="4"/>
      <c r="F542" s="4"/>
      <c r="G542" s="4"/>
      <c r="H542" s="4"/>
      <c r="I542" s="4"/>
      <c r="J542" s="4"/>
      <c r="K542" s="4"/>
      <c r="L542" s="4"/>
      <c r="M542" s="4"/>
      <c r="N542" s="4"/>
      <c r="O542" s="4"/>
      <c r="P542" s="4"/>
      <c r="Q542" s="4"/>
    </row>
    <row r="543" spans="1:17" ht="12.75">
      <c r="A543" s="4"/>
      <c r="B543" s="3"/>
      <c r="C543" s="3"/>
      <c r="D543" s="4"/>
      <c r="E543" s="4"/>
      <c r="F543" s="4"/>
      <c r="G543" s="4"/>
      <c r="H543" s="4"/>
      <c r="I543" s="4"/>
      <c r="J543" s="4"/>
      <c r="K543" s="4"/>
      <c r="L543" s="4"/>
      <c r="M543" s="4"/>
      <c r="N543" s="4"/>
      <c r="O543" s="4"/>
      <c r="P543" s="4"/>
      <c r="Q543" s="4"/>
    </row>
    <row r="544" spans="1:17" ht="12.75">
      <c r="A544" s="4"/>
      <c r="B544" s="3"/>
      <c r="C544" s="3"/>
      <c r="D544" s="4"/>
      <c r="E544" s="4"/>
      <c r="F544" s="4"/>
      <c r="G544" s="4"/>
      <c r="H544" s="4"/>
      <c r="I544" s="4"/>
      <c r="J544" s="4"/>
      <c r="K544" s="4"/>
      <c r="L544" s="4"/>
      <c r="M544" s="4"/>
      <c r="N544" s="4"/>
      <c r="O544" s="4"/>
      <c r="P544" s="4"/>
      <c r="Q544" s="4"/>
    </row>
    <row r="545" spans="1:17" ht="12.75">
      <c r="A545" s="4"/>
      <c r="B545" s="3"/>
      <c r="C545" s="3"/>
      <c r="D545" s="4"/>
      <c r="E545" s="4"/>
      <c r="F545" s="4"/>
      <c r="G545" s="4"/>
      <c r="H545" s="4"/>
      <c r="I545" s="4"/>
      <c r="J545" s="4"/>
      <c r="K545" s="4"/>
      <c r="L545" s="4"/>
      <c r="M545" s="4"/>
      <c r="N545" s="4"/>
      <c r="O545" s="4"/>
      <c r="P545" s="4"/>
      <c r="Q545" s="4"/>
    </row>
    <row r="546" spans="1:17" ht="12.75">
      <c r="A546" s="4"/>
      <c r="B546" s="3"/>
      <c r="C546" s="3"/>
      <c r="D546" s="4"/>
      <c r="E546" s="4"/>
      <c r="F546" s="4"/>
      <c r="G546" s="4"/>
      <c r="H546" s="4"/>
      <c r="I546" s="4"/>
      <c r="J546" s="4"/>
      <c r="K546" s="4"/>
      <c r="L546" s="4"/>
      <c r="M546" s="4"/>
      <c r="N546" s="4"/>
      <c r="O546" s="4"/>
      <c r="P546" s="4"/>
      <c r="Q546" s="4"/>
    </row>
    <row r="547" spans="1:17" ht="12.75">
      <c r="A547" s="4"/>
      <c r="B547" s="3"/>
      <c r="C547" s="3"/>
      <c r="D547" s="4"/>
      <c r="E547" s="4"/>
      <c r="F547" s="4"/>
      <c r="G547" s="4"/>
      <c r="H547" s="4"/>
      <c r="I547" s="4"/>
      <c r="J547" s="4"/>
      <c r="K547" s="4"/>
      <c r="L547" s="4"/>
      <c r="M547" s="4"/>
      <c r="N547" s="4"/>
      <c r="O547" s="4"/>
      <c r="P547" s="4"/>
      <c r="Q547" s="4"/>
    </row>
    <row r="548" spans="1:17" ht="12.75">
      <c r="A548" s="4"/>
      <c r="B548" s="3"/>
      <c r="C548" s="3"/>
      <c r="D548" s="4"/>
      <c r="E548" s="4"/>
      <c r="F548" s="4"/>
      <c r="G548" s="4"/>
      <c r="H548" s="4"/>
      <c r="I548" s="4"/>
      <c r="J548" s="4"/>
      <c r="K548" s="4"/>
      <c r="L548" s="4"/>
      <c r="M548" s="4"/>
      <c r="N548" s="4"/>
      <c r="O548" s="4"/>
      <c r="P548" s="4"/>
      <c r="Q548" s="4"/>
    </row>
    <row r="549" spans="1:17" ht="12.75">
      <c r="A549" s="4"/>
      <c r="B549" s="3"/>
      <c r="C549" s="3"/>
      <c r="D549" s="4"/>
      <c r="E549" s="4"/>
      <c r="F549" s="4"/>
      <c r="G549" s="4"/>
      <c r="H549" s="4"/>
      <c r="I549" s="4"/>
      <c r="J549" s="4"/>
      <c r="K549" s="4"/>
      <c r="L549" s="4"/>
      <c r="M549" s="4"/>
      <c r="N549" s="4"/>
      <c r="O549" s="4"/>
      <c r="P549" s="4"/>
      <c r="Q549" s="4"/>
    </row>
    <row r="550" spans="1:17" ht="12.75">
      <c r="A550" s="4"/>
      <c r="B550" s="3"/>
      <c r="C550" s="3"/>
      <c r="D550" s="4"/>
      <c r="E550" s="4"/>
      <c r="F550" s="4"/>
      <c r="G550" s="4"/>
      <c r="H550" s="4"/>
      <c r="I550" s="4"/>
      <c r="J550" s="4"/>
      <c r="K550" s="4"/>
      <c r="L550" s="4"/>
      <c r="M550" s="4"/>
      <c r="N550" s="4"/>
      <c r="O550" s="4"/>
      <c r="P550" s="4"/>
      <c r="Q550" s="4"/>
    </row>
    <row r="551" spans="1:17" ht="12.75">
      <c r="A551" s="4"/>
      <c r="B551" s="3"/>
      <c r="C551" s="3"/>
      <c r="D551" s="4"/>
      <c r="E551" s="4"/>
      <c r="F551" s="4"/>
      <c r="G551" s="4"/>
      <c r="H551" s="4"/>
      <c r="I551" s="4"/>
      <c r="J551" s="4"/>
      <c r="K551" s="4"/>
      <c r="L551" s="4"/>
      <c r="M551" s="4"/>
      <c r="N551" s="4"/>
      <c r="O551" s="4"/>
      <c r="P551" s="4"/>
      <c r="Q551" s="4"/>
    </row>
    <row r="552" spans="1:17" ht="12.75">
      <c r="A552" s="4"/>
      <c r="B552" s="3"/>
      <c r="C552" s="3"/>
      <c r="D552" s="4"/>
      <c r="E552" s="4"/>
      <c r="F552" s="4"/>
      <c r="G552" s="4"/>
      <c r="H552" s="4"/>
      <c r="I552" s="4"/>
      <c r="J552" s="4"/>
      <c r="K552" s="4"/>
      <c r="L552" s="4"/>
      <c r="M552" s="4"/>
      <c r="N552" s="4"/>
      <c r="O552" s="4"/>
      <c r="P552" s="4"/>
      <c r="Q552" s="4"/>
    </row>
    <row r="553" spans="1:17" ht="12.75">
      <c r="A553" s="4"/>
      <c r="B553" s="3"/>
      <c r="C553" s="3"/>
      <c r="D553" s="4"/>
      <c r="E553" s="4"/>
      <c r="F553" s="4"/>
      <c r="G553" s="4"/>
      <c r="H553" s="4"/>
      <c r="I553" s="4"/>
      <c r="J553" s="4"/>
      <c r="K553" s="4"/>
      <c r="L553" s="4"/>
      <c r="M553" s="4"/>
      <c r="N553" s="4"/>
      <c r="O553" s="4"/>
      <c r="P553" s="4"/>
      <c r="Q553" s="4"/>
    </row>
    <row r="554" spans="1:17" ht="12.75">
      <c r="A554" s="4"/>
      <c r="B554" s="3"/>
      <c r="C554" s="3"/>
      <c r="D554" s="4"/>
      <c r="E554" s="4"/>
      <c r="F554" s="4"/>
      <c r="G554" s="4"/>
      <c r="H554" s="4"/>
      <c r="I554" s="4"/>
      <c r="J554" s="4"/>
      <c r="K554" s="4"/>
      <c r="L554" s="4"/>
      <c r="M554" s="4"/>
      <c r="N554" s="4"/>
      <c r="O554" s="4"/>
      <c r="P554" s="4"/>
      <c r="Q554" s="4"/>
    </row>
    <row r="555" spans="1:17" ht="12.75">
      <c r="A555" s="4"/>
      <c r="B555" s="3"/>
      <c r="C555" s="3"/>
      <c r="D555" s="4"/>
      <c r="E555" s="4"/>
      <c r="F555" s="4"/>
      <c r="G555" s="4"/>
      <c r="H555" s="4"/>
      <c r="I555" s="4"/>
      <c r="J555" s="4"/>
      <c r="K555" s="4"/>
      <c r="L555" s="4"/>
      <c r="M555" s="4"/>
      <c r="N555" s="4"/>
      <c r="O555" s="4"/>
      <c r="P555" s="4"/>
      <c r="Q555" s="4"/>
    </row>
    <row r="556" spans="1:17" ht="12.75">
      <c r="A556" s="4"/>
      <c r="B556" s="3"/>
      <c r="C556" s="3"/>
      <c r="D556" s="4"/>
      <c r="E556" s="4"/>
      <c r="F556" s="4"/>
      <c r="G556" s="4"/>
      <c r="H556" s="4"/>
      <c r="I556" s="4"/>
      <c r="J556" s="4"/>
      <c r="K556" s="4"/>
      <c r="L556" s="4"/>
      <c r="M556" s="4"/>
      <c r="N556" s="4"/>
      <c r="O556" s="4"/>
      <c r="P556" s="4"/>
      <c r="Q556" s="4"/>
    </row>
    <row r="557" spans="1:17" ht="12.75">
      <c r="A557" s="4"/>
      <c r="B557" s="3"/>
      <c r="C557" s="3"/>
      <c r="D557" s="4"/>
      <c r="E557" s="4"/>
      <c r="F557" s="4"/>
      <c r="G557" s="4"/>
      <c r="H557" s="4"/>
      <c r="I557" s="4"/>
      <c r="J557" s="4"/>
      <c r="K557" s="4"/>
      <c r="L557" s="4"/>
      <c r="M557" s="4"/>
      <c r="N557" s="4"/>
      <c r="O557" s="4"/>
      <c r="P557" s="4"/>
      <c r="Q557" s="4"/>
    </row>
    <row r="558" spans="1:17" ht="12.75">
      <c r="A558" s="4"/>
      <c r="B558" s="3"/>
      <c r="C558" s="3"/>
      <c r="D558" s="4"/>
      <c r="E558" s="4"/>
      <c r="F558" s="4"/>
      <c r="G558" s="4"/>
      <c r="H558" s="4"/>
      <c r="I558" s="4"/>
      <c r="J558" s="4"/>
      <c r="K558" s="4"/>
      <c r="L558" s="4"/>
      <c r="M558" s="4"/>
      <c r="N558" s="4"/>
      <c r="O558" s="4"/>
      <c r="P558" s="4"/>
      <c r="Q558" s="4"/>
    </row>
    <row r="559" spans="1:17" ht="12.75">
      <c r="A559" s="4"/>
      <c r="B559" s="3"/>
      <c r="C559" s="3"/>
      <c r="D559" s="4"/>
      <c r="E559" s="4"/>
      <c r="F559" s="4"/>
      <c r="G559" s="4"/>
      <c r="H559" s="4"/>
      <c r="I559" s="4"/>
      <c r="J559" s="4"/>
      <c r="K559" s="4"/>
      <c r="L559" s="4"/>
      <c r="M559" s="4"/>
      <c r="N559" s="4"/>
      <c r="O559" s="4"/>
      <c r="P559" s="4"/>
      <c r="Q559" s="4"/>
    </row>
    <row r="560" spans="1:17" ht="12.75">
      <c r="A560" s="4"/>
      <c r="B560" s="3"/>
      <c r="C560" s="3"/>
      <c r="D560" s="4"/>
      <c r="E560" s="4"/>
      <c r="F560" s="4"/>
      <c r="G560" s="4"/>
      <c r="H560" s="4"/>
      <c r="I560" s="4"/>
      <c r="J560" s="4"/>
      <c r="K560" s="4"/>
      <c r="L560" s="4"/>
      <c r="M560" s="4"/>
      <c r="N560" s="4"/>
      <c r="O560" s="4"/>
      <c r="P560" s="4"/>
      <c r="Q560" s="4"/>
    </row>
    <row r="561" spans="1:17" ht="12.75">
      <c r="A561" s="4"/>
      <c r="B561" s="3"/>
      <c r="C561" s="3"/>
      <c r="D561" s="4"/>
      <c r="E561" s="4"/>
      <c r="F561" s="4"/>
      <c r="G561" s="4"/>
      <c r="H561" s="4"/>
      <c r="I561" s="4"/>
      <c r="J561" s="4"/>
      <c r="K561" s="4"/>
      <c r="L561" s="4"/>
      <c r="M561" s="4"/>
      <c r="N561" s="4"/>
      <c r="O561" s="4"/>
      <c r="P561" s="4"/>
      <c r="Q561" s="4"/>
    </row>
    <row r="562" spans="1:17" ht="12.75">
      <c r="A562" s="4"/>
      <c r="B562" s="3"/>
      <c r="C562" s="3"/>
      <c r="D562" s="4"/>
      <c r="E562" s="4"/>
      <c r="F562" s="4"/>
      <c r="G562" s="4"/>
      <c r="H562" s="4"/>
      <c r="I562" s="4"/>
      <c r="J562" s="4"/>
      <c r="K562" s="4"/>
      <c r="L562" s="4"/>
      <c r="M562" s="4"/>
      <c r="N562" s="4"/>
      <c r="O562" s="4"/>
      <c r="P562" s="4"/>
      <c r="Q562" s="4"/>
    </row>
    <row r="563" spans="1:17" ht="12.75">
      <c r="A563" s="4"/>
      <c r="B563" s="3"/>
      <c r="C563" s="3"/>
      <c r="D563" s="4"/>
      <c r="E563" s="4"/>
      <c r="F563" s="4"/>
      <c r="G563" s="4"/>
      <c r="H563" s="4"/>
      <c r="I563" s="4"/>
      <c r="J563" s="4"/>
      <c r="K563" s="4"/>
      <c r="L563" s="4"/>
      <c r="M563" s="4"/>
      <c r="N563" s="4"/>
      <c r="O563" s="4"/>
      <c r="P563" s="4"/>
      <c r="Q563" s="4"/>
    </row>
    <row r="564" spans="1:17" ht="12.75">
      <c r="A564" s="4"/>
      <c r="B564" s="3"/>
      <c r="C564" s="3"/>
      <c r="D564" s="4"/>
      <c r="E564" s="4"/>
      <c r="F564" s="4"/>
      <c r="G564" s="4"/>
      <c r="H564" s="4"/>
      <c r="I564" s="4"/>
      <c r="J564" s="4"/>
      <c r="K564" s="4"/>
      <c r="L564" s="4"/>
      <c r="M564" s="4"/>
      <c r="N564" s="4"/>
      <c r="O564" s="4"/>
      <c r="P564" s="4"/>
      <c r="Q564" s="4"/>
    </row>
    <row r="565" spans="1:17" ht="12.75">
      <c r="A565" s="4"/>
      <c r="B565" s="3"/>
      <c r="C565" s="3"/>
      <c r="D565" s="4"/>
      <c r="E565" s="4"/>
      <c r="F565" s="4"/>
      <c r="G565" s="4"/>
      <c r="H565" s="4"/>
      <c r="I565" s="4"/>
      <c r="J565" s="4"/>
      <c r="K565" s="4"/>
      <c r="L565" s="4"/>
      <c r="M565" s="4"/>
      <c r="N565" s="4"/>
      <c r="O565" s="4"/>
      <c r="P565" s="4"/>
      <c r="Q565" s="4"/>
    </row>
    <row r="566" spans="1:17" ht="12.75">
      <c r="A566" s="4"/>
      <c r="B566" s="3"/>
      <c r="C566" s="3"/>
      <c r="D566" s="4"/>
      <c r="E566" s="4"/>
      <c r="F566" s="4"/>
      <c r="G566" s="4"/>
      <c r="H566" s="4"/>
      <c r="I566" s="4"/>
      <c r="J566" s="4"/>
      <c r="K566" s="4"/>
      <c r="L566" s="4"/>
      <c r="M566" s="4"/>
      <c r="N566" s="4"/>
      <c r="O566" s="4"/>
      <c r="P566" s="4"/>
      <c r="Q566" s="4"/>
    </row>
    <row r="567" spans="1:17" ht="12.75">
      <c r="A567" s="4"/>
      <c r="B567" s="3"/>
      <c r="C567" s="3"/>
      <c r="D567" s="4"/>
      <c r="E567" s="4"/>
      <c r="F567" s="4"/>
      <c r="G567" s="4"/>
      <c r="H567" s="4"/>
      <c r="I567" s="4"/>
      <c r="J567" s="4"/>
      <c r="K567" s="4"/>
      <c r="L567" s="4"/>
      <c r="M567" s="4"/>
      <c r="N567" s="4"/>
      <c r="O567" s="4"/>
      <c r="P567" s="4"/>
      <c r="Q567" s="4"/>
    </row>
    <row r="568" spans="1:17" ht="12.75">
      <c r="A568" s="4"/>
      <c r="B568" s="3"/>
      <c r="C568" s="3"/>
      <c r="D568" s="4"/>
      <c r="E568" s="4"/>
      <c r="F568" s="4"/>
      <c r="G568" s="4"/>
      <c r="H568" s="4"/>
      <c r="I568" s="4"/>
      <c r="J568" s="4"/>
      <c r="K568" s="4"/>
      <c r="L568" s="4"/>
      <c r="M568" s="4"/>
      <c r="N568" s="4"/>
      <c r="O568" s="4"/>
      <c r="P568" s="4"/>
      <c r="Q568" s="4"/>
    </row>
    <row r="569" spans="1:17" ht="12.75">
      <c r="A569" s="4"/>
      <c r="B569" s="3"/>
      <c r="C569" s="3"/>
      <c r="D569" s="4"/>
      <c r="E569" s="4"/>
      <c r="F569" s="4"/>
      <c r="G569" s="4"/>
      <c r="H569" s="4"/>
      <c r="I569" s="4"/>
      <c r="J569" s="4"/>
      <c r="K569" s="4"/>
      <c r="L569" s="4"/>
      <c r="M569" s="4"/>
      <c r="N569" s="4"/>
      <c r="O569" s="4"/>
      <c r="P569" s="4"/>
      <c r="Q569" s="4"/>
    </row>
    <row r="570" spans="1:17" ht="12.75">
      <c r="A570" s="4"/>
      <c r="B570" s="3"/>
      <c r="C570" s="3"/>
      <c r="D570" s="4"/>
      <c r="E570" s="4"/>
      <c r="F570" s="4"/>
      <c r="G570" s="4"/>
      <c r="H570" s="4"/>
      <c r="I570" s="4"/>
      <c r="J570" s="4"/>
      <c r="K570" s="4"/>
      <c r="L570" s="4"/>
      <c r="M570" s="4"/>
      <c r="N570" s="4"/>
      <c r="O570" s="4"/>
      <c r="P570" s="4"/>
      <c r="Q570" s="4"/>
    </row>
    <row r="571" spans="1:17" ht="12.75">
      <c r="A571" s="4"/>
      <c r="B571" s="3"/>
      <c r="C571" s="3"/>
      <c r="D571" s="4"/>
      <c r="E571" s="4"/>
      <c r="F571" s="4"/>
      <c r="G571" s="4"/>
      <c r="H571" s="4"/>
      <c r="I571" s="4"/>
      <c r="J571" s="4"/>
      <c r="K571" s="4"/>
      <c r="L571" s="4"/>
      <c r="M571" s="4"/>
      <c r="N571" s="4"/>
      <c r="O571" s="4"/>
      <c r="P571" s="4"/>
      <c r="Q571" s="4"/>
    </row>
    <row r="572" spans="1:17" ht="12.75">
      <c r="A572" s="4"/>
      <c r="B572" s="3"/>
      <c r="C572" s="3"/>
      <c r="D572" s="4"/>
      <c r="E572" s="4"/>
      <c r="F572" s="4"/>
      <c r="G572" s="4"/>
      <c r="H572" s="4"/>
      <c r="I572" s="4"/>
      <c r="J572" s="4"/>
      <c r="K572" s="4"/>
      <c r="L572" s="4"/>
      <c r="M572" s="4"/>
      <c r="N572" s="4"/>
      <c r="O572" s="4"/>
      <c r="P572" s="4"/>
      <c r="Q572" s="4"/>
    </row>
    <row r="573" spans="1:17" ht="12.75">
      <c r="A573" s="4"/>
      <c r="B573" s="3"/>
      <c r="C573" s="3"/>
      <c r="D573" s="4"/>
      <c r="E573" s="4"/>
      <c r="F573" s="4"/>
      <c r="G573" s="4"/>
      <c r="H573" s="4"/>
      <c r="I573" s="4"/>
      <c r="J573" s="4"/>
      <c r="K573" s="4"/>
      <c r="L573" s="4"/>
      <c r="M573" s="4"/>
      <c r="N573" s="4"/>
      <c r="O573" s="4"/>
      <c r="P573" s="4"/>
      <c r="Q573" s="4"/>
    </row>
    <row r="574" spans="1:17" ht="12.75">
      <c r="A574" s="4"/>
      <c r="B574" s="3"/>
      <c r="C574" s="3"/>
      <c r="D574" s="4"/>
      <c r="E574" s="4"/>
      <c r="F574" s="4"/>
      <c r="G574" s="4"/>
      <c r="H574" s="4"/>
      <c r="I574" s="4"/>
      <c r="J574" s="4"/>
      <c r="K574" s="4"/>
      <c r="L574" s="4"/>
      <c r="M574" s="4"/>
      <c r="N574" s="4"/>
      <c r="O574" s="4"/>
      <c r="P574" s="4"/>
      <c r="Q574" s="4"/>
    </row>
    <row r="575" spans="1:17" ht="12.75">
      <c r="A575" s="4"/>
      <c r="B575" s="3"/>
      <c r="C575" s="3"/>
      <c r="D575" s="4"/>
      <c r="E575" s="4"/>
      <c r="F575" s="4"/>
      <c r="G575" s="4"/>
      <c r="H575" s="4"/>
      <c r="I575" s="4"/>
      <c r="J575" s="4"/>
      <c r="K575" s="4"/>
      <c r="L575" s="4"/>
      <c r="M575" s="4"/>
      <c r="N575" s="4"/>
      <c r="O575" s="4"/>
      <c r="P575" s="4"/>
      <c r="Q575" s="4"/>
    </row>
    <row r="576" spans="1:17" ht="12.75">
      <c r="A576" s="4"/>
      <c r="B576" s="3"/>
      <c r="C576" s="3"/>
      <c r="D576" s="4"/>
      <c r="E576" s="4"/>
      <c r="F576" s="4"/>
      <c r="G576" s="4"/>
      <c r="H576" s="4"/>
      <c r="I576" s="4"/>
      <c r="J576" s="4"/>
      <c r="K576" s="4"/>
      <c r="L576" s="4"/>
      <c r="M576" s="4"/>
      <c r="N576" s="4"/>
      <c r="O576" s="4"/>
      <c r="P576" s="4"/>
      <c r="Q576" s="4"/>
    </row>
    <row r="577" spans="1:17" ht="12.75">
      <c r="A577" s="4"/>
      <c r="B577" s="3"/>
      <c r="C577" s="3"/>
      <c r="D577" s="4"/>
      <c r="E577" s="4"/>
      <c r="F577" s="4"/>
      <c r="G577" s="4"/>
      <c r="H577" s="4"/>
      <c r="I577" s="4"/>
      <c r="J577" s="4"/>
      <c r="K577" s="4"/>
      <c r="L577" s="4"/>
      <c r="M577" s="4"/>
      <c r="N577" s="4"/>
      <c r="O577" s="4"/>
      <c r="P577" s="4"/>
      <c r="Q577" s="4"/>
    </row>
    <row r="578" spans="1:17" ht="12.75">
      <c r="A578" s="4"/>
      <c r="B578" s="3"/>
      <c r="C578" s="3"/>
      <c r="D578" s="4"/>
      <c r="E578" s="4"/>
      <c r="F578" s="4"/>
      <c r="G578" s="4"/>
      <c r="H578" s="4"/>
      <c r="I578" s="4"/>
      <c r="J578" s="4"/>
      <c r="K578" s="4"/>
      <c r="L578" s="4"/>
      <c r="M578" s="4"/>
      <c r="N578" s="4"/>
      <c r="O578" s="4"/>
      <c r="P578" s="4"/>
      <c r="Q578" s="4"/>
    </row>
    <row r="579" spans="1:17" ht="12.75">
      <c r="A579" s="4"/>
      <c r="B579" s="3"/>
      <c r="C579" s="3"/>
      <c r="D579" s="4"/>
      <c r="E579" s="4"/>
      <c r="F579" s="4"/>
      <c r="G579" s="4"/>
      <c r="H579" s="4"/>
      <c r="I579" s="4"/>
      <c r="J579" s="4"/>
      <c r="K579" s="4"/>
      <c r="L579" s="4"/>
      <c r="M579" s="4"/>
      <c r="N579" s="4"/>
      <c r="O579" s="4"/>
      <c r="P579" s="4"/>
      <c r="Q579" s="4"/>
    </row>
    <row r="580" spans="1:17" ht="12.75">
      <c r="A580" s="4"/>
      <c r="B580" s="3"/>
      <c r="C580" s="3"/>
      <c r="D580" s="4"/>
      <c r="E580" s="4"/>
      <c r="F580" s="4"/>
      <c r="G580" s="4"/>
      <c r="H580" s="4"/>
      <c r="I580" s="4"/>
      <c r="J580" s="4"/>
      <c r="K580" s="4"/>
      <c r="L580" s="4"/>
      <c r="M580" s="4"/>
      <c r="N580" s="4"/>
      <c r="O580" s="4"/>
      <c r="P580" s="4"/>
      <c r="Q580" s="4"/>
    </row>
    <row r="581" spans="1:17" ht="12.75">
      <c r="A581" s="4"/>
      <c r="B581" s="3"/>
      <c r="C581" s="3"/>
      <c r="D581" s="4"/>
      <c r="E581" s="4"/>
      <c r="F581" s="4"/>
      <c r="G581" s="4"/>
      <c r="H581" s="4"/>
      <c r="I581" s="4"/>
      <c r="J581" s="4"/>
      <c r="K581" s="4"/>
      <c r="L581" s="4"/>
      <c r="M581" s="4"/>
      <c r="N581" s="4"/>
      <c r="O581" s="4"/>
      <c r="P581" s="4"/>
      <c r="Q581" s="4"/>
    </row>
    <row r="582" spans="1:17" ht="12.75">
      <c r="A582" s="4"/>
      <c r="B582" s="3"/>
      <c r="C582" s="3"/>
      <c r="D582" s="4"/>
      <c r="E582" s="4"/>
      <c r="F582" s="4"/>
      <c r="G582" s="4"/>
      <c r="H582" s="4"/>
      <c r="I582" s="4"/>
      <c r="J582" s="4"/>
      <c r="K582" s="4"/>
      <c r="L582" s="4"/>
      <c r="M582" s="4"/>
      <c r="N582" s="4"/>
      <c r="O582" s="4"/>
      <c r="P582" s="4"/>
      <c r="Q582" s="4"/>
    </row>
    <row r="583" spans="1:17" ht="12.75">
      <c r="A583" s="4"/>
      <c r="B583" s="3"/>
      <c r="C583" s="3"/>
      <c r="D583" s="4"/>
      <c r="E583" s="4"/>
      <c r="F583" s="4"/>
      <c r="G583" s="4"/>
      <c r="H583" s="4"/>
      <c r="I583" s="4"/>
      <c r="J583" s="4"/>
      <c r="K583" s="4"/>
      <c r="L583" s="4"/>
      <c r="M583" s="4"/>
      <c r="N583" s="4"/>
      <c r="O583" s="4"/>
      <c r="P583" s="4"/>
      <c r="Q583" s="4"/>
    </row>
    <row r="584" spans="1:17" ht="12.75">
      <c r="A584" s="4"/>
      <c r="B584" s="3"/>
      <c r="C584" s="3"/>
      <c r="D584" s="4"/>
      <c r="E584" s="4"/>
      <c r="F584" s="4"/>
      <c r="G584" s="4"/>
      <c r="H584" s="4"/>
      <c r="I584" s="4"/>
      <c r="J584" s="4"/>
      <c r="K584" s="4"/>
      <c r="L584" s="4"/>
      <c r="M584" s="4"/>
      <c r="N584" s="4"/>
      <c r="O584" s="4"/>
      <c r="P584" s="4"/>
      <c r="Q584" s="4"/>
    </row>
    <row r="585" spans="1:17" ht="12.75">
      <c r="A585" s="4"/>
      <c r="B585" s="3"/>
      <c r="C585" s="3"/>
      <c r="D585" s="4"/>
      <c r="E585" s="4"/>
      <c r="F585" s="4"/>
      <c r="G585" s="4"/>
      <c r="H585" s="4"/>
      <c r="I585" s="4"/>
      <c r="J585" s="4"/>
      <c r="K585" s="4"/>
      <c r="L585" s="4"/>
      <c r="M585" s="4"/>
      <c r="N585" s="4"/>
      <c r="O585" s="4"/>
      <c r="P585" s="4"/>
      <c r="Q585" s="4"/>
    </row>
    <row r="586" spans="1:17" ht="12.75">
      <c r="A586" s="4"/>
      <c r="B586" s="3"/>
      <c r="C586" s="3"/>
      <c r="D586" s="4"/>
      <c r="E586" s="4"/>
      <c r="F586" s="4"/>
      <c r="G586" s="4"/>
      <c r="H586" s="4"/>
      <c r="I586" s="4"/>
      <c r="J586" s="4"/>
      <c r="K586" s="4"/>
      <c r="L586" s="4"/>
      <c r="M586" s="4"/>
      <c r="N586" s="4"/>
      <c r="O586" s="4"/>
      <c r="P586" s="4"/>
      <c r="Q586" s="4"/>
    </row>
    <row r="587" spans="1:17" ht="12.75">
      <c r="A587" s="4"/>
      <c r="B587" s="3"/>
      <c r="C587" s="3"/>
      <c r="D587" s="4"/>
      <c r="E587" s="4"/>
      <c r="F587" s="4"/>
      <c r="G587" s="4"/>
      <c r="H587" s="4"/>
      <c r="I587" s="4"/>
      <c r="J587" s="4"/>
      <c r="K587" s="4"/>
      <c r="L587" s="4"/>
      <c r="M587" s="4"/>
      <c r="N587" s="4"/>
      <c r="O587" s="4"/>
      <c r="P587" s="4"/>
      <c r="Q587" s="4"/>
    </row>
    <row r="588" spans="1:17" ht="12.75">
      <c r="A588" s="4"/>
      <c r="B588" s="3"/>
      <c r="C588" s="3"/>
      <c r="D588" s="4"/>
      <c r="E588" s="4"/>
      <c r="F588" s="4"/>
      <c r="G588" s="4"/>
      <c r="H588" s="4"/>
      <c r="I588" s="4"/>
      <c r="J588" s="4"/>
      <c r="K588" s="4"/>
      <c r="L588" s="4"/>
      <c r="M588" s="4"/>
      <c r="N588" s="4"/>
      <c r="O588" s="4"/>
      <c r="P588" s="4"/>
      <c r="Q588" s="4"/>
    </row>
    <row r="589" spans="1:17" ht="12.75">
      <c r="A589" s="4"/>
      <c r="B589" s="3"/>
      <c r="C589" s="3"/>
      <c r="D589" s="4"/>
      <c r="E589" s="4"/>
      <c r="F589" s="4"/>
      <c r="G589" s="4"/>
      <c r="H589" s="4"/>
      <c r="I589" s="4"/>
      <c r="J589" s="4"/>
      <c r="K589" s="4"/>
      <c r="L589" s="4"/>
      <c r="M589" s="4"/>
      <c r="N589" s="4"/>
      <c r="O589" s="4"/>
      <c r="P589" s="4"/>
      <c r="Q589" s="4"/>
    </row>
    <row r="590" spans="1:17" ht="12.75">
      <c r="A590" s="4"/>
      <c r="B590" s="3"/>
      <c r="C590" s="3"/>
      <c r="D590" s="4"/>
      <c r="E590" s="4"/>
      <c r="F590" s="4"/>
      <c r="G590" s="4"/>
      <c r="H590" s="4"/>
      <c r="I590" s="4"/>
      <c r="J590" s="4"/>
      <c r="K590" s="4"/>
      <c r="L590" s="4"/>
      <c r="M590" s="4"/>
      <c r="N590" s="4"/>
      <c r="O590" s="4"/>
      <c r="P590" s="4"/>
      <c r="Q590" s="4"/>
    </row>
    <row r="591" spans="1:17" ht="12.75">
      <c r="A591" s="4"/>
      <c r="B591" s="3"/>
      <c r="C591" s="3"/>
      <c r="D591" s="4"/>
      <c r="E591" s="4"/>
      <c r="F591" s="4"/>
      <c r="G591" s="4"/>
      <c r="H591" s="4"/>
      <c r="I591" s="4"/>
      <c r="J591" s="4"/>
      <c r="K591" s="4"/>
      <c r="L591" s="4"/>
      <c r="M591" s="4"/>
      <c r="N591" s="4"/>
      <c r="O591" s="4"/>
      <c r="P591" s="4"/>
      <c r="Q591" s="4"/>
    </row>
    <row r="592" spans="1:17" ht="12.75">
      <c r="A592" s="4"/>
      <c r="B592" s="3"/>
      <c r="C592" s="3"/>
      <c r="D592" s="4"/>
      <c r="E592" s="4"/>
      <c r="F592" s="4"/>
      <c r="G592" s="4"/>
      <c r="H592" s="4"/>
      <c r="I592" s="4"/>
      <c r="J592" s="4"/>
      <c r="K592" s="4"/>
      <c r="L592" s="4"/>
      <c r="M592" s="4"/>
      <c r="N592" s="4"/>
      <c r="O592" s="4"/>
      <c r="P592" s="4"/>
      <c r="Q592" s="4"/>
    </row>
    <row r="593" spans="1:17" ht="12.75">
      <c r="A593" s="4"/>
      <c r="B593" s="3"/>
      <c r="C593" s="3"/>
      <c r="D593" s="4"/>
      <c r="E593" s="4"/>
      <c r="F593" s="4"/>
      <c r="G593" s="4"/>
      <c r="H593" s="4"/>
      <c r="I593" s="4"/>
      <c r="J593" s="4"/>
      <c r="K593" s="4"/>
      <c r="L593" s="4"/>
      <c r="M593" s="4"/>
      <c r="N593" s="4"/>
      <c r="O593" s="4"/>
      <c r="P593" s="4"/>
      <c r="Q593" s="4"/>
    </row>
    <row r="594" spans="1:17" ht="12.75">
      <c r="A594" s="4"/>
      <c r="B594" s="3"/>
      <c r="C594" s="3"/>
      <c r="D594" s="4"/>
      <c r="E594" s="4"/>
      <c r="F594" s="4"/>
      <c r="G594" s="4"/>
      <c r="H594" s="4"/>
      <c r="I594" s="4"/>
      <c r="J594" s="4"/>
      <c r="K594" s="4"/>
      <c r="L594" s="4"/>
      <c r="M594" s="4"/>
      <c r="N594" s="4"/>
      <c r="O594" s="4"/>
      <c r="P594" s="4"/>
      <c r="Q594" s="4"/>
    </row>
    <row r="595" spans="1:17" ht="12.75">
      <c r="A595" s="4"/>
      <c r="B595" s="3"/>
      <c r="C595" s="3"/>
      <c r="D595" s="4"/>
      <c r="E595" s="4"/>
      <c r="F595" s="4"/>
      <c r="G595" s="4"/>
      <c r="H595" s="4"/>
      <c r="I595" s="4"/>
      <c r="J595" s="4"/>
      <c r="K595" s="4"/>
      <c r="L595" s="4"/>
      <c r="M595" s="4"/>
      <c r="N595" s="4"/>
      <c r="O595" s="4"/>
      <c r="P595" s="4"/>
      <c r="Q595" s="4"/>
    </row>
    <row r="596" spans="1:17" ht="12.75">
      <c r="A596" s="4"/>
      <c r="B596" s="3"/>
      <c r="C596" s="3"/>
      <c r="D596" s="4"/>
      <c r="E596" s="4"/>
      <c r="F596" s="4"/>
      <c r="G596" s="4"/>
      <c r="H596" s="4"/>
      <c r="I596" s="4"/>
      <c r="J596" s="4"/>
      <c r="K596" s="4"/>
      <c r="L596" s="4"/>
      <c r="M596" s="4"/>
      <c r="N596" s="4"/>
      <c r="O596" s="4"/>
      <c r="P596" s="4"/>
      <c r="Q596" s="4"/>
    </row>
    <row r="597" spans="1:17" ht="12.75">
      <c r="A597" s="4"/>
      <c r="B597" s="3"/>
      <c r="C597" s="3"/>
      <c r="D597" s="4"/>
      <c r="E597" s="4"/>
      <c r="F597" s="4"/>
      <c r="G597" s="4"/>
      <c r="H597" s="4"/>
      <c r="I597" s="4"/>
      <c r="J597" s="4"/>
      <c r="K597" s="4"/>
      <c r="L597" s="4"/>
      <c r="M597" s="4"/>
      <c r="N597" s="4"/>
      <c r="O597" s="4"/>
      <c r="P597" s="4"/>
      <c r="Q597" s="4"/>
    </row>
    <row r="598" spans="1:17" ht="12.75">
      <c r="A598" s="4"/>
      <c r="B598" s="3"/>
      <c r="C598" s="3"/>
      <c r="D598" s="4"/>
      <c r="E598" s="4"/>
      <c r="F598" s="4"/>
      <c r="G598" s="4"/>
      <c r="H598" s="4"/>
      <c r="I598" s="4"/>
      <c r="J598" s="4"/>
      <c r="K598" s="4"/>
      <c r="L598" s="4"/>
      <c r="M598" s="4"/>
      <c r="N598" s="4"/>
      <c r="O598" s="4"/>
      <c r="P598" s="4"/>
      <c r="Q598" s="4"/>
    </row>
    <row r="599" spans="1:17" ht="12.75">
      <c r="A599" s="4"/>
      <c r="B599" s="3"/>
      <c r="C599" s="3"/>
      <c r="D599" s="4"/>
      <c r="E599" s="4"/>
      <c r="F599" s="4"/>
      <c r="G599" s="4"/>
      <c r="H599" s="4"/>
      <c r="I599" s="4"/>
      <c r="J599" s="4"/>
      <c r="K599" s="4"/>
      <c r="L599" s="4"/>
      <c r="M599" s="4"/>
      <c r="N599" s="4"/>
      <c r="O599" s="4"/>
      <c r="P599" s="4"/>
      <c r="Q599" s="4"/>
    </row>
    <row r="600" spans="1:17" ht="12.75">
      <c r="A600" s="4"/>
      <c r="B600" s="3"/>
      <c r="C600" s="3"/>
      <c r="D600" s="4"/>
      <c r="E600" s="4"/>
      <c r="F600" s="4"/>
      <c r="G600" s="4"/>
      <c r="H600" s="4"/>
      <c r="I600" s="4"/>
      <c r="J600" s="4"/>
      <c r="K600" s="4"/>
      <c r="L600" s="4"/>
      <c r="M600" s="4"/>
      <c r="N600" s="4"/>
      <c r="O600" s="4"/>
      <c r="P600" s="4"/>
      <c r="Q600" s="4"/>
    </row>
    <row r="601" spans="1:17" ht="12.75">
      <c r="A601" s="4"/>
      <c r="B601" s="3"/>
      <c r="C601" s="3"/>
      <c r="D601" s="4"/>
      <c r="E601" s="4"/>
      <c r="F601" s="4"/>
      <c r="G601" s="4"/>
      <c r="H601" s="4"/>
      <c r="I601" s="4"/>
      <c r="J601" s="4"/>
      <c r="K601" s="4"/>
      <c r="L601" s="4"/>
      <c r="M601" s="4"/>
      <c r="N601" s="4"/>
      <c r="O601" s="4"/>
      <c r="P601" s="4"/>
      <c r="Q601" s="4"/>
    </row>
    <row r="602" spans="1:17" ht="12.75">
      <c r="A602" s="4"/>
      <c r="B602" s="3"/>
      <c r="C602" s="3"/>
      <c r="D602" s="4"/>
      <c r="E602" s="4"/>
      <c r="F602" s="4"/>
      <c r="G602" s="4"/>
      <c r="H602" s="4"/>
      <c r="I602" s="4"/>
      <c r="J602" s="4"/>
      <c r="K602" s="4"/>
      <c r="L602" s="4"/>
      <c r="M602" s="4"/>
      <c r="N602" s="4"/>
      <c r="O602" s="4"/>
      <c r="P602" s="4"/>
      <c r="Q602" s="4"/>
    </row>
    <row r="603" spans="1:17" ht="12.75">
      <c r="A603" s="4"/>
      <c r="B603" s="3"/>
      <c r="C603" s="3"/>
      <c r="D603" s="4"/>
      <c r="E603" s="4"/>
      <c r="F603" s="4"/>
      <c r="G603" s="4"/>
      <c r="H603" s="4"/>
      <c r="I603" s="4"/>
      <c r="J603" s="4"/>
      <c r="K603" s="4"/>
      <c r="L603" s="4"/>
      <c r="M603" s="4"/>
      <c r="N603" s="4"/>
      <c r="O603" s="4"/>
      <c r="P603" s="4"/>
      <c r="Q603" s="4"/>
    </row>
    <row r="604" spans="1:17" ht="12.75">
      <c r="A604" s="4"/>
      <c r="B604" s="3"/>
      <c r="C604" s="3"/>
      <c r="D604" s="4"/>
      <c r="E604" s="4"/>
      <c r="F604" s="4"/>
      <c r="G604" s="4"/>
      <c r="H604" s="4"/>
      <c r="I604" s="4"/>
      <c r="J604" s="4"/>
      <c r="K604" s="4"/>
      <c r="L604" s="4"/>
      <c r="M604" s="4"/>
      <c r="N604" s="4"/>
      <c r="O604" s="4"/>
      <c r="P604" s="4"/>
      <c r="Q604" s="4"/>
    </row>
    <row r="605" spans="1:17" ht="12.75">
      <c r="A605" s="4"/>
      <c r="B605" s="3"/>
      <c r="C605" s="3"/>
      <c r="D605" s="4"/>
      <c r="E605" s="4"/>
      <c r="F605" s="4"/>
      <c r="G605" s="4"/>
      <c r="H605" s="4"/>
      <c r="I605" s="4"/>
      <c r="J605" s="4"/>
      <c r="K605" s="4"/>
      <c r="L605" s="4"/>
      <c r="M605" s="4"/>
      <c r="N605" s="4"/>
      <c r="O605" s="4"/>
      <c r="P605" s="4"/>
      <c r="Q605" s="4"/>
    </row>
    <row r="606" spans="1:17" ht="12.75">
      <c r="A606" s="4"/>
      <c r="B606" s="3"/>
      <c r="C606" s="3"/>
      <c r="D606" s="4"/>
      <c r="E606" s="4"/>
      <c r="F606" s="4"/>
      <c r="G606" s="4"/>
      <c r="H606" s="4"/>
      <c r="I606" s="4"/>
      <c r="J606" s="4"/>
      <c r="K606" s="4"/>
      <c r="L606" s="4"/>
      <c r="M606" s="4"/>
      <c r="N606" s="4"/>
      <c r="O606" s="4"/>
      <c r="P606" s="4"/>
      <c r="Q606" s="4"/>
    </row>
    <row r="607" spans="1:17" ht="12.75">
      <c r="A607" s="4"/>
      <c r="B607" s="3"/>
      <c r="C607" s="3"/>
      <c r="D607" s="4"/>
      <c r="E607" s="4"/>
      <c r="F607" s="4"/>
      <c r="G607" s="4"/>
      <c r="H607" s="4"/>
      <c r="I607" s="4"/>
      <c r="J607" s="4"/>
      <c r="K607" s="4"/>
      <c r="L607" s="4"/>
      <c r="M607" s="4"/>
      <c r="N607" s="4"/>
      <c r="O607" s="4"/>
      <c r="P607" s="4"/>
      <c r="Q607" s="4"/>
    </row>
    <row r="608" spans="1:17" ht="12.75">
      <c r="A608" s="4"/>
      <c r="B608" s="3"/>
      <c r="C608" s="3"/>
      <c r="D608" s="4"/>
      <c r="E608" s="4"/>
      <c r="F608" s="4"/>
      <c r="G608" s="4"/>
      <c r="H608" s="4"/>
      <c r="I608" s="4"/>
      <c r="J608" s="4"/>
      <c r="K608" s="4"/>
      <c r="L608" s="4"/>
      <c r="M608" s="4"/>
      <c r="N608" s="4"/>
      <c r="O608" s="4"/>
      <c r="P608" s="4"/>
      <c r="Q608" s="4"/>
    </row>
    <row r="609" spans="1:17" ht="12.75">
      <c r="A609" s="4"/>
      <c r="B609" s="3"/>
      <c r="C609" s="3"/>
      <c r="D609" s="4"/>
      <c r="E609" s="4"/>
      <c r="F609" s="4"/>
      <c r="G609" s="4"/>
      <c r="H609" s="4"/>
      <c r="I609" s="4"/>
      <c r="J609" s="4"/>
      <c r="K609" s="4"/>
      <c r="L609" s="4"/>
      <c r="M609" s="4"/>
      <c r="N609" s="4"/>
      <c r="O609" s="4"/>
      <c r="P609" s="4"/>
      <c r="Q609" s="4"/>
    </row>
    <row r="610" spans="1:17" ht="12.75">
      <c r="A610" s="4"/>
      <c r="B610" s="3"/>
      <c r="C610" s="3"/>
      <c r="D610" s="4"/>
      <c r="E610" s="4"/>
      <c r="F610" s="4"/>
      <c r="G610" s="4"/>
      <c r="H610" s="4"/>
      <c r="I610" s="4"/>
      <c r="J610" s="4"/>
      <c r="K610" s="4"/>
      <c r="L610" s="4"/>
      <c r="M610" s="4"/>
      <c r="N610" s="4"/>
      <c r="O610" s="4"/>
      <c r="P610" s="4"/>
      <c r="Q610" s="4"/>
    </row>
    <row r="611" spans="1:17" ht="12.75">
      <c r="A611" s="4"/>
      <c r="B611" s="3"/>
      <c r="C611" s="3"/>
      <c r="D611" s="4"/>
      <c r="E611" s="4"/>
      <c r="F611" s="4"/>
      <c r="G611" s="4"/>
      <c r="H611" s="4"/>
      <c r="I611" s="4"/>
      <c r="J611" s="4"/>
      <c r="K611" s="4"/>
      <c r="L611" s="4"/>
      <c r="M611" s="4"/>
      <c r="N611" s="4"/>
      <c r="O611" s="4"/>
      <c r="P611" s="4"/>
      <c r="Q611" s="4"/>
    </row>
    <row r="612" spans="1:17" ht="12.75">
      <c r="A612" s="4"/>
      <c r="B612" s="3"/>
      <c r="C612" s="3"/>
      <c r="D612" s="4"/>
      <c r="E612" s="4"/>
      <c r="F612" s="4"/>
      <c r="G612" s="4"/>
      <c r="H612" s="4"/>
      <c r="I612" s="4"/>
      <c r="J612" s="4"/>
      <c r="K612" s="4"/>
      <c r="L612" s="4"/>
      <c r="M612" s="4"/>
      <c r="N612" s="4"/>
      <c r="O612" s="4"/>
      <c r="P612" s="4"/>
      <c r="Q612" s="4"/>
    </row>
    <row r="613" spans="1:17" ht="12.75">
      <c r="A613" s="4"/>
      <c r="B613" s="3"/>
      <c r="C613" s="3"/>
      <c r="D613" s="4"/>
      <c r="E613" s="4"/>
      <c r="F613" s="4"/>
      <c r="G613" s="4"/>
      <c r="H613" s="4"/>
      <c r="I613" s="4"/>
      <c r="J613" s="4"/>
      <c r="K613" s="4"/>
      <c r="L613" s="4"/>
      <c r="M613" s="4"/>
      <c r="N613" s="4"/>
      <c r="O613" s="4"/>
      <c r="P613" s="4"/>
      <c r="Q613" s="4"/>
    </row>
    <row r="614" spans="1:17" ht="12.75">
      <c r="A614" s="4"/>
      <c r="B614" s="3"/>
      <c r="C614" s="3"/>
      <c r="D614" s="4"/>
      <c r="E614" s="4"/>
      <c r="F614" s="4"/>
      <c r="G614" s="4"/>
      <c r="H614" s="4"/>
      <c r="I614" s="4"/>
      <c r="J614" s="4"/>
      <c r="K614" s="4"/>
      <c r="L614" s="4"/>
      <c r="M614" s="4"/>
      <c r="N614" s="4"/>
      <c r="O614" s="4"/>
      <c r="P614" s="4"/>
      <c r="Q614" s="4"/>
    </row>
    <row r="615" spans="1:17" ht="12.75">
      <c r="A615" s="4"/>
      <c r="B615" s="3"/>
      <c r="C615" s="3"/>
      <c r="D615" s="4"/>
      <c r="E615" s="4"/>
      <c r="F615" s="4"/>
      <c r="G615" s="4"/>
      <c r="H615" s="4"/>
      <c r="I615" s="4"/>
      <c r="J615" s="4"/>
      <c r="K615" s="4"/>
      <c r="L615" s="4"/>
      <c r="M615" s="4"/>
      <c r="N615" s="4"/>
      <c r="O615" s="4"/>
      <c r="P615" s="4"/>
      <c r="Q615" s="4"/>
    </row>
    <row r="616" spans="1:17" ht="12.75">
      <c r="A616" s="4"/>
      <c r="B616" s="3"/>
      <c r="C616" s="3"/>
      <c r="D616" s="4"/>
      <c r="E616" s="4"/>
      <c r="F616" s="4"/>
      <c r="G616" s="4"/>
      <c r="H616" s="4"/>
      <c r="I616" s="4"/>
      <c r="J616" s="4"/>
      <c r="K616" s="4"/>
      <c r="L616" s="4"/>
      <c r="M616" s="4"/>
      <c r="N616" s="4"/>
      <c r="O616" s="4"/>
      <c r="P616" s="4"/>
      <c r="Q616" s="4"/>
    </row>
    <row r="617" spans="1:17" ht="12.75">
      <c r="A617" s="4"/>
      <c r="B617" s="3"/>
      <c r="C617" s="3"/>
      <c r="D617" s="4"/>
      <c r="E617" s="4"/>
      <c r="F617" s="4"/>
      <c r="G617" s="4"/>
      <c r="H617" s="4"/>
      <c r="I617" s="4"/>
      <c r="J617" s="4"/>
      <c r="K617" s="4"/>
      <c r="L617" s="4"/>
      <c r="M617" s="4"/>
      <c r="N617" s="4"/>
      <c r="O617" s="4"/>
      <c r="P617" s="4"/>
      <c r="Q617" s="4"/>
    </row>
    <row r="618" spans="1:17" ht="12.75">
      <c r="A618" s="4"/>
      <c r="B618" s="3"/>
      <c r="C618" s="3"/>
      <c r="D618" s="4"/>
      <c r="E618" s="4"/>
      <c r="F618" s="4"/>
      <c r="G618" s="4"/>
      <c r="H618" s="4"/>
      <c r="I618" s="4"/>
      <c r="J618" s="4"/>
      <c r="K618" s="4"/>
      <c r="L618" s="4"/>
      <c r="M618" s="4"/>
      <c r="N618" s="4"/>
      <c r="O618" s="4"/>
      <c r="P618" s="4"/>
      <c r="Q618" s="4"/>
    </row>
    <row r="619" spans="1:17" ht="12.75">
      <c r="A619" s="4"/>
      <c r="B619" s="3"/>
      <c r="C619" s="3"/>
      <c r="D619" s="4"/>
      <c r="E619" s="4"/>
      <c r="F619" s="4"/>
      <c r="G619" s="4"/>
      <c r="H619" s="4"/>
      <c r="I619" s="4"/>
      <c r="J619" s="4"/>
      <c r="K619" s="4"/>
      <c r="L619" s="4"/>
      <c r="M619" s="4"/>
      <c r="N619" s="4"/>
      <c r="O619" s="4"/>
      <c r="P619" s="4"/>
      <c r="Q619" s="4"/>
    </row>
    <row r="620" spans="1:17" ht="12.75">
      <c r="A620" s="4"/>
      <c r="B620" s="3"/>
      <c r="C620" s="3"/>
      <c r="D620" s="4"/>
      <c r="E620" s="4"/>
      <c r="F620" s="4"/>
      <c r="G620" s="4"/>
      <c r="H620" s="4"/>
      <c r="I620" s="4"/>
      <c r="J620" s="4"/>
      <c r="K620" s="4"/>
      <c r="L620" s="4"/>
      <c r="M620" s="4"/>
      <c r="N620" s="4"/>
      <c r="O620" s="4"/>
      <c r="P620" s="4"/>
      <c r="Q620" s="4"/>
    </row>
    <row r="621" spans="1:17" ht="12.75">
      <c r="A621" s="4"/>
      <c r="B621" s="3"/>
      <c r="C621" s="3"/>
      <c r="D621" s="4"/>
      <c r="E621" s="4"/>
      <c r="F621" s="4"/>
      <c r="G621" s="4"/>
      <c r="H621" s="4"/>
      <c r="I621" s="4"/>
      <c r="J621" s="4"/>
      <c r="K621" s="4"/>
      <c r="L621" s="4"/>
      <c r="M621" s="4"/>
      <c r="N621" s="4"/>
      <c r="O621" s="4"/>
      <c r="P621" s="4"/>
      <c r="Q621" s="4"/>
    </row>
    <row r="622" spans="1:17" ht="12.75">
      <c r="A622" s="4"/>
      <c r="B622" s="3"/>
      <c r="C622" s="3"/>
      <c r="D622" s="4"/>
      <c r="E622" s="4"/>
      <c r="F622" s="4"/>
      <c r="G622" s="4"/>
      <c r="H622" s="4"/>
      <c r="I622" s="4"/>
      <c r="J622" s="4"/>
      <c r="K622" s="4"/>
      <c r="L622" s="4"/>
      <c r="M622" s="4"/>
      <c r="N622" s="4"/>
      <c r="O622" s="4"/>
      <c r="P622" s="4"/>
      <c r="Q622" s="4"/>
    </row>
    <row r="623" spans="1:17" ht="12.75">
      <c r="A623" s="4"/>
      <c r="B623" s="3"/>
      <c r="C623" s="3"/>
      <c r="D623" s="4"/>
      <c r="E623" s="4"/>
      <c r="F623" s="4"/>
      <c r="G623" s="4"/>
      <c r="H623" s="4"/>
      <c r="I623" s="4"/>
      <c r="J623" s="4"/>
      <c r="K623" s="4"/>
      <c r="L623" s="4"/>
      <c r="M623" s="4"/>
      <c r="N623" s="4"/>
      <c r="O623" s="4"/>
      <c r="P623" s="4"/>
      <c r="Q623" s="4"/>
    </row>
    <row r="624" spans="1:17" ht="12.75">
      <c r="A624" s="4"/>
      <c r="B624" s="3"/>
      <c r="C624" s="3"/>
      <c r="D624" s="4"/>
      <c r="E624" s="4"/>
      <c r="F624" s="4"/>
      <c r="G624" s="4"/>
      <c r="H624" s="4"/>
      <c r="I624" s="4"/>
      <c r="J624" s="4"/>
      <c r="K624" s="4"/>
      <c r="L624" s="4"/>
      <c r="M624" s="4"/>
      <c r="N624" s="4"/>
      <c r="O624" s="4"/>
      <c r="P624" s="4"/>
      <c r="Q624" s="4"/>
    </row>
    <row r="625" spans="1:17" ht="12.75">
      <c r="A625" s="4"/>
      <c r="B625" s="3"/>
      <c r="C625" s="3"/>
      <c r="D625" s="4"/>
      <c r="E625" s="4"/>
      <c r="F625" s="4"/>
      <c r="G625" s="4"/>
      <c r="H625" s="4"/>
      <c r="I625" s="4"/>
      <c r="J625" s="4"/>
      <c r="K625" s="4"/>
      <c r="L625" s="4"/>
      <c r="M625" s="4"/>
      <c r="N625" s="4"/>
      <c r="O625" s="4"/>
      <c r="P625" s="4"/>
      <c r="Q625" s="4"/>
    </row>
    <row r="626" spans="1:17" ht="12.75">
      <c r="A626" s="4"/>
      <c r="B626" s="3"/>
      <c r="C626" s="3"/>
      <c r="D626" s="4"/>
      <c r="E626" s="4"/>
      <c r="F626" s="4"/>
      <c r="G626" s="4"/>
      <c r="H626" s="4"/>
      <c r="I626" s="4"/>
      <c r="J626" s="4"/>
      <c r="K626" s="4"/>
      <c r="L626" s="4"/>
      <c r="M626" s="4"/>
      <c r="N626" s="4"/>
      <c r="O626" s="4"/>
      <c r="P626" s="4"/>
      <c r="Q626" s="4"/>
    </row>
    <row r="627" spans="1:17" ht="12.75">
      <c r="A627" s="4"/>
      <c r="B627" s="3"/>
      <c r="C627" s="3"/>
      <c r="D627" s="4"/>
      <c r="E627" s="4"/>
      <c r="F627" s="4"/>
      <c r="G627" s="4"/>
      <c r="H627" s="4"/>
      <c r="I627" s="4"/>
      <c r="J627" s="4"/>
      <c r="K627" s="4"/>
      <c r="L627" s="4"/>
      <c r="M627" s="4"/>
      <c r="N627" s="4"/>
      <c r="O627" s="4"/>
      <c r="P627" s="4"/>
      <c r="Q627" s="4"/>
    </row>
    <row r="628" spans="1:17" ht="12.75">
      <c r="A628" s="4"/>
      <c r="B628" s="3"/>
      <c r="C628" s="3"/>
      <c r="D628" s="4"/>
      <c r="E628" s="4"/>
      <c r="F628" s="4"/>
      <c r="G628" s="4"/>
      <c r="H628" s="4"/>
      <c r="I628" s="4"/>
      <c r="J628" s="4"/>
      <c r="K628" s="4"/>
      <c r="L628" s="4"/>
      <c r="M628" s="4"/>
      <c r="N628" s="4"/>
      <c r="O628" s="4"/>
      <c r="P628" s="4"/>
      <c r="Q628" s="4"/>
    </row>
    <row r="629" spans="1:17" ht="12.75">
      <c r="A629" s="4"/>
      <c r="B629" s="3"/>
      <c r="C629" s="3"/>
      <c r="D629" s="4"/>
      <c r="E629" s="4"/>
      <c r="F629" s="4"/>
      <c r="G629" s="4"/>
      <c r="H629" s="4"/>
      <c r="I629" s="4"/>
      <c r="J629" s="4"/>
      <c r="K629" s="4"/>
      <c r="L629" s="4"/>
      <c r="M629" s="4"/>
      <c r="N629" s="4"/>
      <c r="O629" s="4"/>
      <c r="P629" s="4"/>
      <c r="Q629" s="4"/>
    </row>
    <row r="630" spans="1:17" ht="12.75">
      <c r="A630" s="4"/>
      <c r="B630" s="3"/>
      <c r="C630" s="3"/>
      <c r="D630" s="4"/>
      <c r="E630" s="4"/>
      <c r="F630" s="4"/>
      <c r="G630" s="4"/>
      <c r="H630" s="4"/>
      <c r="I630" s="4"/>
      <c r="J630" s="4"/>
      <c r="K630" s="4"/>
      <c r="L630" s="4"/>
      <c r="M630" s="4"/>
      <c r="N630" s="4"/>
      <c r="O630" s="4"/>
      <c r="P630" s="4"/>
      <c r="Q630" s="4"/>
    </row>
    <row r="631" spans="1:17" ht="12.75">
      <c r="A631" s="4"/>
      <c r="B631" s="3"/>
      <c r="C631" s="3"/>
      <c r="D631" s="4"/>
      <c r="E631" s="4"/>
      <c r="F631" s="4"/>
      <c r="G631" s="4"/>
      <c r="H631" s="4"/>
      <c r="I631" s="4"/>
      <c r="J631" s="4"/>
      <c r="K631" s="4"/>
      <c r="L631" s="4"/>
      <c r="M631" s="4"/>
      <c r="N631" s="4"/>
      <c r="O631" s="4"/>
      <c r="P631" s="4"/>
      <c r="Q631" s="4"/>
    </row>
    <row r="632" spans="1:17" ht="12.75">
      <c r="A632" s="4"/>
      <c r="B632" s="3"/>
      <c r="C632" s="3"/>
      <c r="D632" s="4"/>
      <c r="E632" s="4"/>
      <c r="F632" s="4"/>
      <c r="G632" s="4"/>
      <c r="H632" s="4"/>
      <c r="I632" s="4"/>
      <c r="J632" s="4"/>
      <c r="K632" s="4"/>
      <c r="L632" s="4"/>
      <c r="M632" s="4"/>
      <c r="N632" s="4"/>
      <c r="O632" s="4"/>
      <c r="P632" s="4"/>
      <c r="Q632" s="4"/>
    </row>
    <row r="633" spans="1:17" ht="12.75">
      <c r="A633" s="4"/>
      <c r="B633" s="3"/>
      <c r="C633" s="3"/>
      <c r="D633" s="4"/>
      <c r="E633" s="4"/>
      <c r="F633" s="4"/>
      <c r="G633" s="4"/>
      <c r="H633" s="4"/>
      <c r="I633" s="4"/>
      <c r="J633" s="4"/>
      <c r="K633" s="4"/>
      <c r="L633" s="4"/>
      <c r="M633" s="4"/>
      <c r="N633" s="4"/>
      <c r="O633" s="4"/>
      <c r="P633" s="4"/>
      <c r="Q633" s="4"/>
    </row>
    <row r="634" spans="1:17" ht="12.75">
      <c r="A634" s="4"/>
      <c r="B634" s="3"/>
      <c r="C634" s="3"/>
      <c r="D634" s="4"/>
      <c r="E634" s="4"/>
      <c r="F634" s="4"/>
      <c r="G634" s="4"/>
      <c r="H634" s="4"/>
      <c r="I634" s="4"/>
      <c r="J634" s="4"/>
      <c r="K634" s="4"/>
      <c r="L634" s="4"/>
      <c r="M634" s="4"/>
      <c r="N634" s="4"/>
      <c r="O634" s="4"/>
      <c r="P634" s="4"/>
      <c r="Q634" s="4"/>
    </row>
    <row r="635" spans="1:17" ht="12.75">
      <c r="A635" s="4"/>
      <c r="B635" s="3"/>
      <c r="C635" s="3"/>
      <c r="D635" s="4"/>
      <c r="E635" s="4"/>
      <c r="F635" s="4"/>
      <c r="G635" s="4"/>
      <c r="H635" s="4"/>
      <c r="I635" s="4"/>
      <c r="J635" s="4"/>
      <c r="K635" s="4"/>
      <c r="L635" s="4"/>
      <c r="M635" s="4"/>
      <c r="N635" s="4"/>
      <c r="O635" s="4"/>
      <c r="P635" s="4"/>
      <c r="Q635" s="4"/>
    </row>
    <row r="636" spans="1:17" ht="12.75">
      <c r="A636" s="4"/>
      <c r="B636" s="3"/>
      <c r="C636" s="3"/>
      <c r="D636" s="4"/>
      <c r="E636" s="4"/>
      <c r="F636" s="4"/>
      <c r="G636" s="4"/>
      <c r="H636" s="4"/>
      <c r="I636" s="4"/>
      <c r="J636" s="4"/>
      <c r="K636" s="4"/>
      <c r="L636" s="4"/>
      <c r="M636" s="4"/>
      <c r="N636" s="4"/>
      <c r="O636" s="4"/>
      <c r="P636" s="4"/>
      <c r="Q636" s="4"/>
    </row>
    <row r="637" spans="1:17" ht="12.75">
      <c r="A637" s="4"/>
      <c r="B637" s="3"/>
      <c r="C637" s="3"/>
      <c r="D637" s="4"/>
      <c r="E637" s="4"/>
      <c r="F637" s="4"/>
      <c r="G637" s="4"/>
      <c r="H637" s="4"/>
      <c r="I637" s="4"/>
      <c r="J637" s="4"/>
      <c r="K637" s="4"/>
      <c r="L637" s="4"/>
      <c r="M637" s="4"/>
      <c r="N637" s="4"/>
      <c r="O637" s="4"/>
      <c r="P637" s="4"/>
      <c r="Q637" s="4"/>
    </row>
    <row r="638" spans="1:17" ht="12.75">
      <c r="A638" s="4"/>
      <c r="B638" s="3"/>
      <c r="C638" s="3"/>
      <c r="D638" s="4"/>
      <c r="E638" s="4"/>
      <c r="F638" s="4"/>
      <c r="G638" s="4"/>
      <c r="H638" s="4"/>
      <c r="I638" s="4"/>
      <c r="J638" s="4"/>
      <c r="K638" s="4"/>
      <c r="L638" s="4"/>
      <c r="M638" s="4"/>
      <c r="N638" s="4"/>
      <c r="O638" s="4"/>
      <c r="P638" s="4"/>
      <c r="Q638" s="4"/>
    </row>
    <row r="639" spans="1:17" ht="12.75">
      <c r="A639" s="4"/>
      <c r="B639" s="3"/>
      <c r="C639" s="3"/>
      <c r="D639" s="4"/>
      <c r="E639" s="4"/>
      <c r="F639" s="4"/>
      <c r="G639" s="4"/>
      <c r="H639" s="4"/>
      <c r="I639" s="4"/>
      <c r="J639" s="4"/>
      <c r="K639" s="4"/>
      <c r="L639" s="4"/>
      <c r="M639" s="4"/>
      <c r="N639" s="4"/>
      <c r="O639" s="4"/>
      <c r="P639" s="4"/>
      <c r="Q639" s="4"/>
    </row>
    <row r="640" spans="1:17" ht="12.75">
      <c r="A640" s="4"/>
      <c r="B640" s="3"/>
      <c r="C640" s="3"/>
      <c r="D640" s="4"/>
      <c r="E640" s="4"/>
      <c r="F640" s="4"/>
      <c r="G640" s="4"/>
      <c r="H640" s="4"/>
      <c r="I640" s="4"/>
      <c r="J640" s="4"/>
      <c r="K640" s="4"/>
      <c r="L640" s="4"/>
      <c r="M640" s="4"/>
      <c r="N640" s="4"/>
      <c r="O640" s="4"/>
      <c r="P640" s="4"/>
      <c r="Q640" s="4"/>
    </row>
    <row r="641" spans="1:17" ht="12.75">
      <c r="A641" s="4"/>
      <c r="B641" s="3"/>
      <c r="C641" s="3"/>
      <c r="D641" s="4"/>
      <c r="E641" s="4"/>
      <c r="F641" s="4"/>
      <c r="G641" s="4"/>
      <c r="H641" s="4"/>
      <c r="I641" s="4"/>
      <c r="J641" s="4"/>
      <c r="K641" s="4"/>
      <c r="L641" s="4"/>
      <c r="M641" s="4"/>
      <c r="N641" s="4"/>
      <c r="O641" s="4"/>
      <c r="P641" s="4"/>
      <c r="Q641" s="4"/>
    </row>
    <row r="642" spans="1:17" ht="12.75">
      <c r="A642" s="4"/>
      <c r="B642" s="3"/>
      <c r="C642" s="3"/>
      <c r="D642" s="4"/>
      <c r="E642" s="4"/>
      <c r="F642" s="4"/>
      <c r="G642" s="4"/>
      <c r="H642" s="4"/>
      <c r="I642" s="4"/>
      <c r="J642" s="4"/>
      <c r="K642" s="4"/>
      <c r="L642" s="4"/>
      <c r="M642" s="4"/>
      <c r="N642" s="4"/>
      <c r="O642" s="4"/>
      <c r="P642" s="4"/>
      <c r="Q642" s="4"/>
    </row>
    <row r="643" spans="1:17" ht="12.75">
      <c r="A643" s="4"/>
      <c r="B643" s="3"/>
      <c r="C643" s="3"/>
      <c r="D643" s="4"/>
      <c r="E643" s="4"/>
      <c r="F643" s="4"/>
      <c r="G643" s="4"/>
      <c r="H643" s="4"/>
      <c r="I643" s="4"/>
      <c r="J643" s="4"/>
      <c r="K643" s="4"/>
      <c r="L643" s="4"/>
      <c r="M643" s="4"/>
      <c r="N643" s="4"/>
      <c r="O643" s="4"/>
      <c r="P643" s="4"/>
      <c r="Q643" s="4"/>
    </row>
    <row r="644" spans="1:17" ht="12.75">
      <c r="A644" s="4"/>
      <c r="B644" s="3"/>
      <c r="C644" s="3"/>
      <c r="D644" s="4"/>
      <c r="E644" s="4"/>
      <c r="F644" s="4"/>
      <c r="G644" s="4"/>
      <c r="H644" s="4"/>
      <c r="I644" s="4"/>
      <c r="J644" s="4"/>
      <c r="K644" s="4"/>
      <c r="L644" s="4"/>
      <c r="M644" s="4"/>
      <c r="N644" s="4"/>
      <c r="O644" s="4"/>
      <c r="P644" s="4"/>
      <c r="Q644" s="4"/>
    </row>
    <row r="645" spans="1:17" ht="12.75">
      <c r="A645" s="4"/>
      <c r="B645" s="3"/>
      <c r="C645" s="3"/>
      <c r="D645" s="4"/>
      <c r="E645" s="4"/>
      <c r="F645" s="4"/>
      <c r="G645" s="4"/>
      <c r="H645" s="4"/>
      <c r="I645" s="4"/>
      <c r="J645" s="4"/>
      <c r="K645" s="4"/>
      <c r="L645" s="4"/>
      <c r="M645" s="4"/>
      <c r="N645" s="4"/>
      <c r="O645" s="4"/>
      <c r="P645" s="4"/>
      <c r="Q645" s="4"/>
    </row>
    <row r="646" spans="1:17" ht="12.75">
      <c r="A646" s="4"/>
      <c r="B646" s="3"/>
      <c r="C646" s="3"/>
      <c r="D646" s="4"/>
      <c r="E646" s="4"/>
      <c r="F646" s="4"/>
      <c r="G646" s="4"/>
      <c r="H646" s="4"/>
      <c r="I646" s="4"/>
      <c r="J646" s="4"/>
      <c r="K646" s="4"/>
      <c r="L646" s="4"/>
      <c r="M646" s="4"/>
      <c r="N646" s="4"/>
      <c r="O646" s="4"/>
      <c r="P646" s="4"/>
      <c r="Q646" s="4"/>
    </row>
    <row r="647" spans="1:17" ht="12.75">
      <c r="A647" s="4"/>
      <c r="B647" s="3"/>
      <c r="C647" s="3"/>
      <c r="D647" s="4"/>
      <c r="E647" s="4"/>
      <c r="F647" s="4"/>
      <c r="G647" s="4"/>
      <c r="H647" s="4"/>
      <c r="I647" s="4"/>
      <c r="J647" s="4"/>
      <c r="K647" s="4"/>
      <c r="L647" s="4"/>
      <c r="M647" s="4"/>
      <c r="N647" s="4"/>
      <c r="O647" s="4"/>
      <c r="P647" s="4"/>
      <c r="Q647" s="4"/>
    </row>
    <row r="648" spans="1:17" ht="12.75">
      <c r="A648" s="4"/>
      <c r="B648" s="3"/>
      <c r="C648" s="3"/>
      <c r="D648" s="4"/>
      <c r="E648" s="4"/>
      <c r="F648" s="4"/>
      <c r="G648" s="4"/>
      <c r="H648" s="4"/>
      <c r="I648" s="4"/>
      <c r="J648" s="4"/>
      <c r="K648" s="4"/>
      <c r="L648" s="4"/>
      <c r="M648" s="4"/>
      <c r="N648" s="4"/>
      <c r="O648" s="4"/>
      <c r="P648" s="4"/>
      <c r="Q648" s="4"/>
    </row>
    <row r="649" spans="1:17" ht="12.75">
      <c r="A649" s="4"/>
      <c r="B649" s="3"/>
      <c r="C649" s="3"/>
      <c r="D649" s="4"/>
      <c r="E649" s="4"/>
      <c r="F649" s="4"/>
      <c r="G649" s="4"/>
      <c r="H649" s="4"/>
      <c r="I649" s="4"/>
      <c r="J649" s="4"/>
      <c r="K649" s="4"/>
      <c r="L649" s="4"/>
      <c r="M649" s="4"/>
      <c r="N649" s="4"/>
      <c r="O649" s="4"/>
      <c r="P649" s="4"/>
      <c r="Q649" s="4"/>
    </row>
    <row r="650" spans="1:17" ht="12.75">
      <c r="A650" s="4"/>
      <c r="B650" s="3"/>
      <c r="C650" s="3"/>
      <c r="D650" s="4"/>
      <c r="E650" s="4"/>
      <c r="F650" s="4"/>
      <c r="G650" s="4"/>
      <c r="H650" s="4"/>
      <c r="I650" s="4"/>
      <c r="J650" s="4"/>
      <c r="K650" s="4"/>
      <c r="L650" s="4"/>
      <c r="M650" s="4"/>
      <c r="N650" s="4"/>
      <c r="O650" s="4"/>
      <c r="P650" s="4"/>
      <c r="Q650" s="4"/>
    </row>
    <row r="651" spans="1:17" ht="12.75">
      <c r="A651" s="4"/>
      <c r="B651" s="3"/>
      <c r="C651" s="3"/>
      <c r="D651" s="4"/>
      <c r="E651" s="4"/>
      <c r="F651" s="4"/>
      <c r="G651" s="4"/>
      <c r="H651" s="4"/>
      <c r="I651" s="4"/>
      <c r="J651" s="4"/>
      <c r="K651" s="4"/>
      <c r="L651" s="4"/>
      <c r="M651" s="4"/>
      <c r="N651" s="4"/>
      <c r="O651" s="4"/>
      <c r="P651" s="4"/>
      <c r="Q651" s="4"/>
    </row>
    <row r="652" spans="1:17" ht="12.75">
      <c r="A652" s="4"/>
      <c r="B652" s="3"/>
      <c r="C652" s="3"/>
      <c r="D652" s="4"/>
      <c r="E652" s="4"/>
      <c r="F652" s="4"/>
      <c r="G652" s="4"/>
      <c r="H652" s="4"/>
      <c r="I652" s="4"/>
      <c r="J652" s="4"/>
      <c r="K652" s="4"/>
      <c r="L652" s="4"/>
      <c r="M652" s="4"/>
      <c r="N652" s="4"/>
      <c r="O652" s="4"/>
      <c r="P652" s="4"/>
      <c r="Q652" s="4"/>
    </row>
    <row r="653" spans="1:17" ht="12.75">
      <c r="A653" s="4"/>
      <c r="B653" s="3"/>
      <c r="C653" s="3"/>
      <c r="D653" s="4"/>
      <c r="E653" s="4"/>
      <c r="F653" s="4"/>
      <c r="G653" s="4"/>
      <c r="H653" s="4"/>
      <c r="I653" s="4"/>
      <c r="J653" s="4"/>
      <c r="K653" s="4"/>
      <c r="L653" s="4"/>
      <c r="M653" s="4"/>
      <c r="N653" s="4"/>
      <c r="O653" s="4"/>
      <c r="P653" s="4"/>
      <c r="Q653" s="4"/>
    </row>
    <row r="654" spans="1:17" ht="12.75">
      <c r="A654" s="4"/>
      <c r="B654" s="3"/>
      <c r="C654" s="3"/>
      <c r="D654" s="4"/>
      <c r="E654" s="4"/>
      <c r="F654" s="4"/>
      <c r="G654" s="4"/>
      <c r="H654" s="4"/>
      <c r="I654" s="4"/>
      <c r="J654" s="4"/>
      <c r="K654" s="4"/>
      <c r="L654" s="4"/>
      <c r="M654" s="4"/>
      <c r="N654" s="4"/>
      <c r="O654" s="4"/>
      <c r="P654" s="4"/>
      <c r="Q654" s="4"/>
    </row>
    <row r="655" spans="1:17" ht="12.75">
      <c r="A655" s="4"/>
      <c r="B655" s="3"/>
      <c r="C655" s="3"/>
      <c r="D655" s="4"/>
      <c r="E655" s="4"/>
      <c r="F655" s="4"/>
      <c r="G655" s="4"/>
      <c r="H655" s="4"/>
      <c r="I655" s="4"/>
      <c r="J655" s="4"/>
      <c r="K655" s="4"/>
      <c r="L655" s="4"/>
      <c r="M655" s="4"/>
      <c r="N655" s="4"/>
      <c r="O655" s="4"/>
      <c r="P655" s="4"/>
      <c r="Q655" s="4"/>
    </row>
    <row r="656" spans="1:17" ht="12.75">
      <c r="A656" s="4"/>
      <c r="B656" s="3"/>
      <c r="C656" s="3"/>
      <c r="D656" s="4"/>
      <c r="E656" s="4"/>
      <c r="F656" s="4"/>
      <c r="G656" s="4"/>
      <c r="H656" s="4"/>
      <c r="I656" s="4"/>
      <c r="J656" s="4"/>
      <c r="K656" s="4"/>
      <c r="L656" s="4"/>
      <c r="M656" s="4"/>
      <c r="N656" s="4"/>
      <c r="O656" s="4"/>
      <c r="P656" s="4"/>
      <c r="Q656" s="4"/>
    </row>
    <row r="657" spans="1:17" ht="12.75">
      <c r="A657" s="4"/>
      <c r="B657" s="3"/>
      <c r="C657" s="3"/>
      <c r="D657" s="4"/>
      <c r="E657" s="4"/>
      <c r="F657" s="4"/>
      <c r="G657" s="4"/>
      <c r="H657" s="4"/>
      <c r="I657" s="4"/>
      <c r="J657" s="4"/>
      <c r="K657" s="4"/>
      <c r="L657" s="4"/>
      <c r="M657" s="4"/>
      <c r="N657" s="4"/>
      <c r="O657" s="4"/>
      <c r="P657" s="4"/>
      <c r="Q657" s="4"/>
    </row>
    <row r="658" spans="1:17" ht="12.75">
      <c r="A658" s="4"/>
      <c r="B658" s="3"/>
      <c r="C658" s="3"/>
      <c r="D658" s="4"/>
      <c r="E658" s="4"/>
      <c r="F658" s="4"/>
      <c r="G658" s="4"/>
      <c r="H658" s="4"/>
      <c r="I658" s="4"/>
      <c r="J658" s="4"/>
      <c r="K658" s="4"/>
      <c r="L658" s="4"/>
      <c r="M658" s="4"/>
      <c r="N658" s="4"/>
      <c r="O658" s="4"/>
      <c r="P658" s="4"/>
      <c r="Q658" s="4"/>
    </row>
    <row r="659" spans="1:17" ht="12.75">
      <c r="A659" s="4"/>
      <c r="B659" s="3"/>
      <c r="C659" s="3"/>
      <c r="D659" s="4"/>
      <c r="E659" s="4"/>
      <c r="F659" s="4"/>
      <c r="G659" s="4"/>
      <c r="H659" s="4"/>
      <c r="I659" s="4"/>
      <c r="J659" s="4"/>
      <c r="K659" s="4"/>
      <c r="L659" s="4"/>
      <c r="M659" s="4"/>
      <c r="N659" s="4"/>
      <c r="O659" s="4"/>
      <c r="P659" s="4"/>
      <c r="Q659" s="4"/>
    </row>
    <row r="660" spans="1:17" ht="12.75">
      <c r="A660" s="4"/>
      <c r="B660" s="3"/>
      <c r="C660" s="3"/>
      <c r="D660" s="4"/>
      <c r="E660" s="4"/>
      <c r="F660" s="4"/>
      <c r="G660" s="4"/>
      <c r="H660" s="4"/>
      <c r="I660" s="4"/>
      <c r="J660" s="4"/>
      <c r="K660" s="4"/>
      <c r="L660" s="4"/>
      <c r="M660" s="4"/>
      <c r="N660" s="4"/>
      <c r="O660" s="4"/>
      <c r="P660" s="4"/>
      <c r="Q660" s="4"/>
    </row>
    <row r="661" spans="1:17" ht="12.75">
      <c r="A661" s="4"/>
      <c r="B661" s="3"/>
      <c r="C661" s="3"/>
      <c r="D661" s="4"/>
      <c r="E661" s="4"/>
      <c r="F661" s="4"/>
      <c r="G661" s="4"/>
      <c r="H661" s="4"/>
      <c r="I661" s="4"/>
      <c r="J661" s="4"/>
      <c r="K661" s="4"/>
      <c r="L661" s="4"/>
      <c r="M661" s="4"/>
      <c r="N661" s="4"/>
      <c r="O661" s="4"/>
      <c r="P661" s="4"/>
      <c r="Q661" s="4"/>
    </row>
    <row r="662" spans="1:17" ht="12.75">
      <c r="A662" s="4"/>
      <c r="B662" s="3"/>
      <c r="C662" s="3"/>
      <c r="D662" s="4"/>
      <c r="E662" s="4"/>
      <c r="F662" s="4"/>
      <c r="G662" s="4"/>
      <c r="H662" s="4"/>
      <c r="I662" s="4"/>
      <c r="J662" s="4"/>
      <c r="K662" s="4"/>
      <c r="L662" s="4"/>
      <c r="M662" s="4"/>
      <c r="N662" s="4"/>
      <c r="O662" s="4"/>
      <c r="P662" s="4"/>
      <c r="Q662" s="4"/>
    </row>
    <row r="663" spans="1:17" ht="12.75">
      <c r="A663" s="4"/>
      <c r="B663" s="3"/>
      <c r="C663" s="3"/>
      <c r="D663" s="4"/>
      <c r="E663" s="4"/>
      <c r="F663" s="4"/>
      <c r="G663" s="4"/>
      <c r="H663" s="4"/>
      <c r="I663" s="4"/>
      <c r="J663" s="4"/>
      <c r="K663" s="4"/>
      <c r="L663" s="4"/>
      <c r="M663" s="4"/>
      <c r="N663" s="4"/>
      <c r="O663" s="4"/>
      <c r="P663" s="4"/>
      <c r="Q663" s="4"/>
    </row>
    <row r="664" spans="1:17" ht="12.75">
      <c r="A664" s="4"/>
      <c r="B664" s="3"/>
      <c r="C664" s="3"/>
      <c r="D664" s="4"/>
      <c r="E664" s="4"/>
      <c r="F664" s="4"/>
      <c r="G664" s="4"/>
      <c r="H664" s="4"/>
      <c r="I664" s="4"/>
      <c r="J664" s="4"/>
      <c r="K664" s="4"/>
      <c r="L664" s="4"/>
      <c r="M664" s="4"/>
      <c r="N664" s="4"/>
      <c r="O664" s="4"/>
      <c r="P664" s="4"/>
      <c r="Q664" s="4"/>
    </row>
    <row r="665" spans="1:17" ht="12.75">
      <c r="A665" s="4"/>
      <c r="B665" s="3"/>
      <c r="C665" s="3"/>
      <c r="D665" s="4"/>
      <c r="E665" s="4"/>
      <c r="F665" s="4"/>
      <c r="G665" s="4"/>
      <c r="H665" s="4"/>
      <c r="I665" s="4"/>
      <c r="J665" s="4"/>
      <c r="K665" s="4"/>
      <c r="L665" s="4"/>
      <c r="M665" s="4"/>
      <c r="N665" s="4"/>
      <c r="O665" s="4"/>
      <c r="P665" s="4"/>
      <c r="Q665" s="4"/>
    </row>
    <row r="666" spans="1:17" ht="12.75">
      <c r="A666" s="4"/>
      <c r="B666" s="3"/>
      <c r="C666" s="3"/>
      <c r="D666" s="4"/>
      <c r="E666" s="4"/>
      <c r="F666" s="4"/>
      <c r="G666" s="4"/>
      <c r="H666" s="4"/>
      <c r="I666" s="4"/>
      <c r="J666" s="4"/>
      <c r="K666" s="4"/>
      <c r="L666" s="4"/>
      <c r="M666" s="4"/>
      <c r="N666" s="4"/>
      <c r="O666" s="4"/>
      <c r="P666" s="4"/>
      <c r="Q666" s="4"/>
    </row>
    <row r="667" spans="1:17" ht="12.75">
      <c r="A667" s="4"/>
      <c r="B667" s="3"/>
      <c r="C667" s="3"/>
      <c r="D667" s="4"/>
      <c r="E667" s="4"/>
      <c r="F667" s="4"/>
      <c r="G667" s="4"/>
      <c r="H667" s="4"/>
      <c r="I667" s="4"/>
      <c r="J667" s="4"/>
      <c r="K667" s="4"/>
      <c r="L667" s="4"/>
      <c r="M667" s="4"/>
      <c r="N667" s="4"/>
      <c r="O667" s="4"/>
      <c r="P667" s="4"/>
      <c r="Q667" s="4"/>
    </row>
    <row r="668" spans="1:17" ht="12.75">
      <c r="A668" s="4"/>
      <c r="B668" s="3"/>
      <c r="C668" s="3"/>
      <c r="D668" s="4"/>
      <c r="E668" s="4"/>
      <c r="F668" s="4"/>
      <c r="G668" s="4"/>
      <c r="H668" s="4"/>
      <c r="I668" s="4"/>
      <c r="J668" s="4"/>
      <c r="K668" s="4"/>
      <c r="L668" s="4"/>
      <c r="M668" s="4"/>
      <c r="N668" s="4"/>
      <c r="O668" s="4"/>
      <c r="P668" s="4"/>
      <c r="Q668" s="4"/>
    </row>
    <row r="669" spans="1:17" ht="12.75">
      <c r="A669" s="4"/>
      <c r="B669" s="3"/>
      <c r="C669" s="3"/>
      <c r="D669" s="4"/>
      <c r="E669" s="4"/>
      <c r="F669" s="4"/>
      <c r="G669" s="4"/>
      <c r="H669" s="4"/>
      <c r="I669" s="4"/>
      <c r="J669" s="4"/>
      <c r="K669" s="4"/>
      <c r="L669" s="4"/>
      <c r="M669" s="4"/>
      <c r="N669" s="4"/>
      <c r="O669" s="4"/>
      <c r="P669" s="4"/>
      <c r="Q669" s="4"/>
    </row>
    <row r="670" spans="1:17" ht="12.75">
      <c r="A670" s="4"/>
      <c r="B670" s="3"/>
      <c r="C670" s="3"/>
      <c r="D670" s="4"/>
      <c r="E670" s="4"/>
      <c r="F670" s="4"/>
      <c r="G670" s="4"/>
      <c r="H670" s="4"/>
      <c r="I670" s="4"/>
      <c r="J670" s="4"/>
      <c r="K670" s="4"/>
      <c r="L670" s="4"/>
      <c r="M670" s="4"/>
      <c r="N670" s="4"/>
      <c r="O670" s="4"/>
      <c r="P670" s="4"/>
      <c r="Q670" s="4"/>
    </row>
    <row r="671" spans="1:17" ht="12.75">
      <c r="A671" s="4"/>
      <c r="B671" s="3"/>
      <c r="C671" s="3"/>
      <c r="D671" s="4"/>
      <c r="E671" s="4"/>
      <c r="F671" s="4"/>
      <c r="G671" s="4"/>
      <c r="H671" s="4"/>
      <c r="I671" s="4"/>
      <c r="J671" s="4"/>
      <c r="K671" s="4"/>
      <c r="L671" s="4"/>
      <c r="M671" s="4"/>
      <c r="N671" s="4"/>
      <c r="O671" s="4"/>
      <c r="P671" s="4"/>
      <c r="Q671" s="4"/>
    </row>
    <row r="672" spans="1:17" ht="12.75">
      <c r="A672" s="4"/>
      <c r="B672" s="3"/>
      <c r="C672" s="3"/>
      <c r="D672" s="4"/>
      <c r="E672" s="4"/>
      <c r="F672" s="4"/>
      <c r="G672" s="4"/>
      <c r="H672" s="4"/>
      <c r="I672" s="4"/>
      <c r="J672" s="4"/>
      <c r="K672" s="4"/>
      <c r="L672" s="4"/>
      <c r="M672" s="4"/>
      <c r="N672" s="4"/>
      <c r="O672" s="4"/>
      <c r="P672" s="4"/>
      <c r="Q672" s="4"/>
    </row>
    <row r="673" spans="1:17" ht="12.75">
      <c r="A673" s="4"/>
      <c r="B673" s="3"/>
      <c r="C673" s="3"/>
      <c r="D673" s="4"/>
      <c r="E673" s="4"/>
      <c r="F673" s="4"/>
      <c r="G673" s="4"/>
      <c r="H673" s="4"/>
      <c r="I673" s="4"/>
      <c r="J673" s="4"/>
      <c r="K673" s="4"/>
      <c r="L673" s="4"/>
      <c r="M673" s="4"/>
      <c r="N673" s="4"/>
      <c r="O673" s="4"/>
      <c r="P673" s="4"/>
      <c r="Q673" s="4"/>
    </row>
    <row r="674" spans="1:17" ht="12.75">
      <c r="A674" s="4"/>
      <c r="B674" s="3"/>
      <c r="C674" s="3"/>
      <c r="D674" s="4"/>
      <c r="E674" s="4"/>
      <c r="F674" s="4"/>
      <c r="G674" s="4"/>
      <c r="H674" s="4"/>
      <c r="I674" s="4"/>
      <c r="J674" s="4"/>
      <c r="K674" s="4"/>
      <c r="L674" s="4"/>
      <c r="M674" s="4"/>
      <c r="N674" s="4"/>
      <c r="O674" s="4"/>
      <c r="P674" s="4"/>
      <c r="Q674" s="4"/>
    </row>
    <row r="675" spans="1:17" ht="12.75">
      <c r="A675" s="4"/>
      <c r="B675" s="3"/>
      <c r="C675" s="3"/>
      <c r="D675" s="4"/>
      <c r="E675" s="4"/>
      <c r="F675" s="4"/>
      <c r="G675" s="4"/>
      <c r="H675" s="4"/>
      <c r="I675" s="4"/>
      <c r="J675" s="4"/>
      <c r="K675" s="4"/>
      <c r="L675" s="4"/>
      <c r="M675" s="4"/>
      <c r="N675" s="4"/>
      <c r="O675" s="4"/>
      <c r="P675" s="4"/>
      <c r="Q675" s="4"/>
    </row>
    <row r="676" spans="1:17" ht="12.75">
      <c r="A676" s="4"/>
      <c r="B676" s="3"/>
      <c r="C676" s="3"/>
      <c r="D676" s="4"/>
      <c r="E676" s="4"/>
      <c r="F676" s="4"/>
      <c r="G676" s="4"/>
      <c r="H676" s="4"/>
      <c r="I676" s="4"/>
      <c r="J676" s="4"/>
      <c r="K676" s="4"/>
      <c r="L676" s="4"/>
      <c r="M676" s="4"/>
      <c r="N676" s="4"/>
      <c r="O676" s="4"/>
      <c r="P676" s="4"/>
      <c r="Q676" s="4"/>
    </row>
    <row r="677" spans="1:17" ht="12.75">
      <c r="A677" s="4"/>
      <c r="B677" s="3"/>
      <c r="C677" s="3"/>
      <c r="D677" s="4"/>
      <c r="E677" s="4"/>
      <c r="F677" s="4"/>
      <c r="G677" s="4"/>
      <c r="H677" s="4"/>
      <c r="I677" s="4"/>
      <c r="J677" s="4"/>
      <c r="K677" s="4"/>
      <c r="L677" s="4"/>
      <c r="M677" s="4"/>
      <c r="N677" s="4"/>
      <c r="O677" s="4"/>
      <c r="P677" s="4"/>
      <c r="Q677" s="4"/>
    </row>
    <row r="678" spans="1:17" ht="12.75">
      <c r="A678" s="4"/>
      <c r="B678" s="3"/>
      <c r="C678" s="3"/>
      <c r="D678" s="4"/>
      <c r="E678" s="4"/>
      <c r="F678" s="4"/>
      <c r="G678" s="4"/>
      <c r="H678" s="4"/>
      <c r="I678" s="4"/>
      <c r="J678" s="4"/>
      <c r="K678" s="4"/>
      <c r="L678" s="4"/>
      <c r="M678" s="4"/>
      <c r="N678" s="4"/>
      <c r="O678" s="4"/>
      <c r="P678" s="4"/>
      <c r="Q678" s="4"/>
    </row>
    <row r="679" spans="1:17" ht="12.75">
      <c r="A679" s="4"/>
      <c r="B679" s="3"/>
      <c r="C679" s="3"/>
      <c r="D679" s="4"/>
      <c r="E679" s="4"/>
      <c r="F679" s="4"/>
      <c r="G679" s="4"/>
      <c r="H679" s="4"/>
      <c r="I679" s="4"/>
      <c r="J679" s="4"/>
      <c r="K679" s="4"/>
      <c r="L679" s="4"/>
      <c r="M679" s="4"/>
      <c r="N679" s="4"/>
      <c r="O679" s="4"/>
      <c r="P679" s="4"/>
      <c r="Q679" s="4"/>
    </row>
    <row r="680" spans="1:17" ht="12.75">
      <c r="A680" s="4"/>
      <c r="B680" s="3"/>
      <c r="C680" s="3"/>
      <c r="D680" s="4"/>
      <c r="E680" s="4"/>
      <c r="F680" s="4"/>
      <c r="G680" s="4"/>
      <c r="H680" s="4"/>
      <c r="I680" s="4"/>
      <c r="J680" s="4"/>
      <c r="K680" s="4"/>
      <c r="L680" s="4"/>
      <c r="M680" s="4"/>
      <c r="N680" s="4"/>
      <c r="O680" s="4"/>
      <c r="P680" s="4"/>
      <c r="Q680" s="4"/>
    </row>
    <row r="681" spans="1:17" ht="12.75">
      <c r="A681" s="4"/>
      <c r="B681" s="3"/>
      <c r="C681" s="3"/>
      <c r="D681" s="4"/>
      <c r="E681" s="4"/>
      <c r="F681" s="4"/>
      <c r="G681" s="4"/>
      <c r="H681" s="4"/>
      <c r="I681" s="4"/>
      <c r="J681" s="4"/>
      <c r="K681" s="4"/>
      <c r="L681" s="4"/>
      <c r="M681" s="4"/>
      <c r="N681" s="4"/>
      <c r="O681" s="4"/>
      <c r="P681" s="4"/>
      <c r="Q681" s="4"/>
    </row>
    <row r="682" spans="1:17" ht="12.75">
      <c r="A682" s="4"/>
      <c r="B682" s="3"/>
      <c r="C682" s="3"/>
      <c r="D682" s="4"/>
      <c r="E682" s="4"/>
      <c r="F682" s="4"/>
      <c r="G682" s="4"/>
      <c r="H682" s="4"/>
      <c r="I682" s="4"/>
      <c r="J682" s="4"/>
      <c r="K682" s="4"/>
      <c r="L682" s="4"/>
      <c r="M682" s="4"/>
      <c r="N682" s="4"/>
      <c r="O682" s="4"/>
      <c r="P682" s="4"/>
      <c r="Q682" s="4"/>
    </row>
    <row r="683" spans="1:17" ht="12.75">
      <c r="A683" s="4"/>
      <c r="B683" s="3"/>
      <c r="C683" s="3"/>
      <c r="D683" s="4"/>
      <c r="E683" s="4"/>
      <c r="F683" s="4"/>
      <c r="G683" s="4"/>
      <c r="H683" s="4"/>
      <c r="I683" s="4"/>
      <c r="J683" s="4"/>
      <c r="K683" s="4"/>
      <c r="L683" s="4"/>
      <c r="M683" s="4"/>
      <c r="N683" s="4"/>
      <c r="O683" s="4"/>
      <c r="P683" s="4"/>
      <c r="Q683" s="4"/>
    </row>
    <row r="684" spans="1:17" ht="12.75">
      <c r="A684" s="4"/>
      <c r="B684" s="3"/>
      <c r="C684" s="3"/>
      <c r="D684" s="4"/>
      <c r="E684" s="4"/>
      <c r="F684" s="4"/>
      <c r="G684" s="4"/>
      <c r="H684" s="4"/>
      <c r="I684" s="4"/>
      <c r="J684" s="4"/>
      <c r="K684" s="4"/>
      <c r="L684" s="4"/>
      <c r="M684" s="4"/>
      <c r="N684" s="4"/>
      <c r="O684" s="4"/>
      <c r="P684" s="4"/>
      <c r="Q684" s="4"/>
    </row>
    <row r="685" spans="1:17" ht="12.75">
      <c r="A685" s="4"/>
      <c r="B685" s="3"/>
      <c r="C685" s="3"/>
      <c r="D685" s="4"/>
      <c r="E685" s="4"/>
      <c r="F685" s="4"/>
      <c r="G685" s="4"/>
      <c r="H685" s="4"/>
      <c r="I685" s="4"/>
      <c r="J685" s="4"/>
      <c r="K685" s="4"/>
      <c r="L685" s="4"/>
      <c r="M685" s="4"/>
      <c r="N685" s="4"/>
      <c r="O685" s="4"/>
      <c r="P685" s="4"/>
      <c r="Q685" s="4"/>
    </row>
    <row r="686" spans="1:17" ht="12.75">
      <c r="A686" s="4"/>
      <c r="B686" s="3"/>
      <c r="C686" s="3"/>
      <c r="D686" s="4"/>
      <c r="E686" s="4"/>
      <c r="F686" s="4"/>
      <c r="G686" s="4"/>
      <c r="H686" s="4"/>
      <c r="I686" s="4"/>
      <c r="J686" s="4"/>
      <c r="K686" s="4"/>
      <c r="L686" s="4"/>
      <c r="M686" s="4"/>
      <c r="N686" s="4"/>
      <c r="O686" s="4"/>
      <c r="P686" s="4"/>
      <c r="Q686" s="4"/>
    </row>
    <row r="687" spans="1:17" ht="12.75">
      <c r="A687" s="4"/>
      <c r="B687" s="3"/>
      <c r="C687" s="3"/>
      <c r="D687" s="4"/>
      <c r="E687" s="4"/>
      <c r="F687" s="4"/>
      <c r="G687" s="4"/>
      <c r="H687" s="4"/>
      <c r="I687" s="4"/>
      <c r="J687" s="4"/>
      <c r="K687" s="4"/>
      <c r="L687" s="4"/>
      <c r="M687" s="4"/>
      <c r="N687" s="4"/>
      <c r="O687" s="4"/>
      <c r="P687" s="4"/>
      <c r="Q687" s="4"/>
    </row>
    <row r="688" spans="1:17" ht="12.75">
      <c r="A688" s="4"/>
      <c r="B688" s="3"/>
      <c r="C688" s="3"/>
      <c r="D688" s="4"/>
      <c r="E688" s="4"/>
      <c r="F688" s="4"/>
      <c r="G688" s="4"/>
      <c r="H688" s="4"/>
      <c r="I688" s="4"/>
      <c r="J688" s="4"/>
      <c r="K688" s="4"/>
      <c r="L688" s="4"/>
      <c r="M688" s="4"/>
      <c r="N688" s="4"/>
      <c r="O688" s="4"/>
      <c r="P688" s="4"/>
      <c r="Q688" s="4"/>
    </row>
    <row r="689" spans="1:17" ht="12.75">
      <c r="A689" s="4"/>
      <c r="B689" s="3"/>
      <c r="C689" s="3"/>
      <c r="D689" s="4"/>
      <c r="E689" s="4"/>
      <c r="F689" s="4"/>
      <c r="G689" s="4"/>
      <c r="H689" s="4"/>
      <c r="I689" s="4"/>
      <c r="J689" s="4"/>
      <c r="K689" s="4"/>
      <c r="L689" s="4"/>
      <c r="M689" s="4"/>
      <c r="N689" s="4"/>
      <c r="O689" s="4"/>
      <c r="P689" s="4"/>
      <c r="Q689" s="4"/>
    </row>
    <row r="690" spans="1:17" ht="12.75">
      <c r="A690" s="4"/>
      <c r="B690" s="3"/>
      <c r="C690" s="3"/>
      <c r="D690" s="4"/>
      <c r="E690" s="4"/>
      <c r="F690" s="4"/>
      <c r="G690" s="4"/>
      <c r="H690" s="4"/>
      <c r="I690" s="4"/>
      <c r="J690" s="4"/>
      <c r="K690" s="4"/>
      <c r="L690" s="4"/>
      <c r="M690" s="4"/>
      <c r="N690" s="4"/>
      <c r="O690" s="4"/>
      <c r="P690" s="4"/>
      <c r="Q690" s="4"/>
    </row>
    <row r="691" spans="1:17" ht="12.75">
      <c r="A691" s="4"/>
      <c r="B691" s="3"/>
      <c r="C691" s="3"/>
      <c r="D691" s="4"/>
      <c r="E691" s="4"/>
      <c r="F691" s="4"/>
      <c r="G691" s="4"/>
      <c r="H691" s="4"/>
      <c r="I691" s="4"/>
      <c r="J691" s="4"/>
      <c r="K691" s="4"/>
      <c r="L691" s="4"/>
      <c r="M691" s="4"/>
      <c r="N691" s="4"/>
      <c r="O691" s="4"/>
      <c r="P691" s="4"/>
      <c r="Q691" s="4"/>
    </row>
    <row r="692" spans="1:17" ht="12.75">
      <c r="A692" s="4"/>
      <c r="B692" s="3"/>
      <c r="C692" s="3"/>
      <c r="D692" s="4"/>
      <c r="E692" s="4"/>
      <c r="F692" s="4"/>
      <c r="G692" s="4"/>
      <c r="H692" s="4"/>
      <c r="I692" s="4"/>
      <c r="J692" s="4"/>
      <c r="K692" s="4"/>
      <c r="L692" s="4"/>
      <c r="M692" s="4"/>
      <c r="N692" s="4"/>
      <c r="O692" s="4"/>
      <c r="P692" s="4"/>
      <c r="Q692" s="4"/>
    </row>
    <row r="693" spans="1:17" ht="12.75">
      <c r="A693" s="4"/>
      <c r="B693" s="3"/>
      <c r="C693" s="3"/>
      <c r="D693" s="4"/>
      <c r="E693" s="4"/>
      <c r="F693" s="4"/>
      <c r="G693" s="4"/>
      <c r="H693" s="4"/>
      <c r="I693" s="4"/>
      <c r="J693" s="4"/>
      <c r="K693" s="4"/>
      <c r="L693" s="4"/>
      <c r="M693" s="4"/>
      <c r="N693" s="4"/>
      <c r="O693" s="4"/>
      <c r="P693" s="4"/>
      <c r="Q693" s="4"/>
    </row>
    <row r="694" spans="1:17" ht="12.75">
      <c r="A694" s="4"/>
      <c r="B694" s="3"/>
      <c r="C694" s="3"/>
      <c r="D694" s="4"/>
      <c r="E694" s="4"/>
      <c r="F694" s="4"/>
      <c r="G694" s="4"/>
      <c r="H694" s="4"/>
      <c r="I694" s="4"/>
      <c r="J694" s="4"/>
      <c r="K694" s="4"/>
      <c r="L694" s="4"/>
      <c r="M694" s="4"/>
      <c r="N694" s="4"/>
      <c r="O694" s="4"/>
      <c r="P694" s="4"/>
      <c r="Q694" s="4"/>
    </row>
    <row r="695" spans="1:17" ht="12.75">
      <c r="A695" s="4"/>
      <c r="B695" s="3"/>
      <c r="C695" s="3"/>
      <c r="D695" s="4"/>
      <c r="E695" s="4"/>
      <c r="F695" s="4"/>
      <c r="G695" s="4"/>
      <c r="H695" s="4"/>
      <c r="I695" s="4"/>
      <c r="J695" s="4"/>
      <c r="K695" s="4"/>
      <c r="L695" s="4"/>
      <c r="M695" s="4"/>
      <c r="N695" s="4"/>
      <c r="O695" s="4"/>
      <c r="P695" s="4"/>
      <c r="Q695" s="4"/>
    </row>
    <row r="696" spans="1:17" ht="12.75">
      <c r="A696" s="4"/>
      <c r="B696" s="3"/>
      <c r="C696" s="3"/>
      <c r="D696" s="4"/>
      <c r="E696" s="4"/>
      <c r="F696" s="4"/>
      <c r="G696" s="4"/>
      <c r="H696" s="4"/>
      <c r="I696" s="4"/>
      <c r="J696" s="4"/>
      <c r="K696" s="4"/>
      <c r="L696" s="4"/>
      <c r="M696" s="4"/>
      <c r="N696" s="4"/>
      <c r="O696" s="4"/>
      <c r="P696" s="4"/>
      <c r="Q696" s="4"/>
    </row>
    <row r="697" spans="1:17" ht="12.75">
      <c r="A697" s="4"/>
      <c r="B697" s="3"/>
      <c r="C697" s="3"/>
      <c r="D697" s="4"/>
      <c r="E697" s="4"/>
      <c r="F697" s="4"/>
      <c r="G697" s="4"/>
      <c r="H697" s="4"/>
      <c r="I697" s="4"/>
      <c r="J697" s="4"/>
      <c r="K697" s="4"/>
      <c r="L697" s="4"/>
      <c r="M697" s="4"/>
      <c r="N697" s="4"/>
      <c r="O697" s="4"/>
      <c r="P697" s="4"/>
      <c r="Q697" s="4"/>
    </row>
    <row r="698" spans="1:17" ht="12.75">
      <c r="A698" s="4"/>
      <c r="B698" s="3"/>
      <c r="C698" s="3"/>
      <c r="D698" s="4"/>
      <c r="E698" s="4"/>
      <c r="F698" s="4"/>
      <c r="G698" s="4"/>
      <c r="H698" s="4"/>
      <c r="I698" s="4"/>
      <c r="J698" s="4"/>
      <c r="K698" s="4"/>
      <c r="L698" s="4"/>
      <c r="M698" s="4"/>
      <c r="N698" s="4"/>
      <c r="O698" s="4"/>
      <c r="P698" s="4"/>
      <c r="Q698" s="4"/>
    </row>
    <row r="699" spans="1:17" ht="12.75">
      <c r="A699" s="4"/>
      <c r="B699" s="3"/>
      <c r="C699" s="3"/>
      <c r="D699" s="4"/>
      <c r="E699" s="4"/>
      <c r="F699" s="4"/>
      <c r="G699" s="4"/>
      <c r="H699" s="4"/>
      <c r="I699" s="4"/>
      <c r="J699" s="4"/>
      <c r="K699" s="4"/>
      <c r="L699" s="4"/>
      <c r="M699" s="4"/>
      <c r="N699" s="4"/>
      <c r="O699" s="4"/>
      <c r="P699" s="4"/>
      <c r="Q699" s="4"/>
    </row>
    <row r="700" spans="1:17" ht="12.75">
      <c r="A700" s="4"/>
      <c r="B700" s="3"/>
      <c r="C700" s="3"/>
      <c r="D700" s="4"/>
      <c r="E700" s="4"/>
      <c r="F700" s="4"/>
      <c r="G700" s="4"/>
      <c r="H700" s="4"/>
      <c r="I700" s="4"/>
      <c r="J700" s="4"/>
      <c r="K700" s="4"/>
      <c r="L700" s="4"/>
      <c r="M700" s="4"/>
      <c r="N700" s="4"/>
      <c r="O700" s="4"/>
      <c r="P700" s="4"/>
      <c r="Q700" s="4"/>
    </row>
    <row r="701" spans="1:17" ht="12.75">
      <c r="A701" s="4"/>
      <c r="B701" s="3"/>
      <c r="C701" s="3"/>
      <c r="D701" s="4"/>
      <c r="E701" s="4"/>
      <c r="F701" s="4"/>
      <c r="G701" s="4"/>
      <c r="H701" s="4"/>
      <c r="I701" s="4"/>
      <c r="J701" s="4"/>
      <c r="K701" s="4"/>
      <c r="L701" s="4"/>
      <c r="M701" s="4"/>
      <c r="N701" s="4"/>
      <c r="O701" s="4"/>
      <c r="P701" s="4"/>
      <c r="Q701" s="4"/>
    </row>
    <row r="702" spans="1:17" ht="12.75">
      <c r="A702" s="4"/>
      <c r="B702" s="3"/>
      <c r="C702" s="3"/>
      <c r="D702" s="4"/>
      <c r="E702" s="4"/>
      <c r="F702" s="4"/>
      <c r="G702" s="4"/>
      <c r="H702" s="4"/>
      <c r="I702" s="4"/>
      <c r="J702" s="4"/>
      <c r="K702" s="4"/>
      <c r="L702" s="4"/>
      <c r="M702" s="4"/>
      <c r="N702" s="4"/>
      <c r="O702" s="4"/>
      <c r="P702" s="4"/>
      <c r="Q702" s="4"/>
    </row>
    <row r="703" spans="1:17" ht="12.75">
      <c r="A703" s="4"/>
      <c r="B703" s="3"/>
      <c r="C703" s="3"/>
      <c r="D703" s="4"/>
      <c r="E703" s="4"/>
      <c r="F703" s="4"/>
      <c r="G703" s="4"/>
      <c r="H703" s="4"/>
      <c r="I703" s="4"/>
      <c r="J703" s="4"/>
      <c r="K703" s="4"/>
      <c r="L703" s="4"/>
      <c r="M703" s="4"/>
      <c r="N703" s="4"/>
      <c r="O703" s="4"/>
      <c r="P703" s="4"/>
      <c r="Q703" s="4"/>
    </row>
    <row r="704" spans="1:17" ht="12.75">
      <c r="A704" s="4"/>
      <c r="B704" s="3"/>
      <c r="C704" s="3"/>
      <c r="D704" s="4"/>
      <c r="E704" s="4"/>
      <c r="F704" s="4"/>
      <c r="G704" s="4"/>
      <c r="H704" s="4"/>
      <c r="I704" s="4"/>
      <c r="J704" s="4"/>
      <c r="K704" s="4"/>
      <c r="L704" s="4"/>
      <c r="M704" s="4"/>
      <c r="N704" s="4"/>
      <c r="O704" s="4"/>
      <c r="P704" s="4"/>
      <c r="Q704" s="4"/>
    </row>
    <row r="705" spans="1:17" ht="12.75">
      <c r="A705" s="4"/>
      <c r="B705" s="3"/>
      <c r="C705" s="3"/>
      <c r="D705" s="4"/>
      <c r="E705" s="4"/>
      <c r="F705" s="4"/>
      <c r="G705" s="4"/>
      <c r="H705" s="4"/>
      <c r="I705" s="4"/>
      <c r="J705" s="4"/>
      <c r="K705" s="4"/>
      <c r="L705" s="4"/>
      <c r="M705" s="4"/>
      <c r="N705" s="4"/>
      <c r="O705" s="4"/>
      <c r="P705" s="4"/>
      <c r="Q705" s="4"/>
    </row>
    <row r="706" spans="1:17" ht="12.75">
      <c r="A706" s="4"/>
      <c r="B706" s="3"/>
      <c r="C706" s="3"/>
      <c r="D706" s="4"/>
      <c r="E706" s="4"/>
      <c r="F706" s="4"/>
      <c r="G706" s="4"/>
      <c r="H706" s="4"/>
      <c r="I706" s="4"/>
      <c r="J706" s="4"/>
      <c r="K706" s="4"/>
      <c r="L706" s="4"/>
      <c r="M706" s="4"/>
      <c r="N706" s="4"/>
      <c r="O706" s="4"/>
      <c r="P706" s="4"/>
      <c r="Q706" s="4"/>
    </row>
    <row r="707" spans="1:17" ht="12.75">
      <c r="A707" s="4"/>
      <c r="B707" s="3"/>
      <c r="C707" s="3"/>
      <c r="D707" s="4"/>
      <c r="E707" s="4"/>
      <c r="F707" s="4"/>
      <c r="G707" s="4"/>
      <c r="H707" s="4"/>
      <c r="I707" s="4"/>
      <c r="J707" s="4"/>
      <c r="K707" s="4"/>
      <c r="L707" s="4"/>
      <c r="M707" s="4"/>
      <c r="N707" s="4"/>
      <c r="O707" s="4"/>
      <c r="P707" s="4"/>
      <c r="Q707" s="4"/>
    </row>
    <row r="708" spans="1:17" ht="12.75">
      <c r="A708" s="4"/>
      <c r="B708" s="3"/>
      <c r="C708" s="3"/>
      <c r="D708" s="4"/>
      <c r="E708" s="4"/>
      <c r="F708" s="4"/>
      <c r="G708" s="4"/>
      <c r="H708" s="4"/>
      <c r="I708" s="4"/>
      <c r="J708" s="4"/>
      <c r="K708" s="4"/>
      <c r="L708" s="4"/>
      <c r="M708" s="4"/>
      <c r="N708" s="4"/>
      <c r="O708" s="4"/>
      <c r="P708" s="4"/>
      <c r="Q708" s="4"/>
    </row>
    <row r="709" spans="1:17" ht="12.75">
      <c r="A709" s="4"/>
      <c r="B709" s="3"/>
      <c r="C709" s="3"/>
      <c r="D709" s="4"/>
      <c r="E709" s="4"/>
      <c r="F709" s="4"/>
      <c r="G709" s="4"/>
      <c r="H709" s="4"/>
      <c r="I709" s="4"/>
      <c r="J709" s="4"/>
      <c r="K709" s="4"/>
      <c r="L709" s="4"/>
      <c r="M709" s="4"/>
      <c r="N709" s="4"/>
      <c r="O709" s="4"/>
      <c r="P709" s="4"/>
      <c r="Q709" s="4"/>
    </row>
    <row r="710" spans="1:17" ht="12.75">
      <c r="A710" s="4"/>
      <c r="B710" s="3"/>
      <c r="C710" s="3"/>
      <c r="D710" s="4"/>
      <c r="E710" s="4"/>
      <c r="F710" s="4"/>
      <c r="G710" s="4"/>
      <c r="H710" s="4"/>
      <c r="I710" s="4"/>
      <c r="J710" s="4"/>
      <c r="K710" s="4"/>
      <c r="L710" s="4"/>
      <c r="M710" s="4"/>
      <c r="N710" s="4"/>
      <c r="O710" s="4"/>
      <c r="P710" s="4"/>
      <c r="Q710" s="4"/>
    </row>
    <row r="711" spans="1:17" ht="12.75">
      <c r="A711" s="4"/>
      <c r="B711" s="3"/>
      <c r="C711" s="3"/>
      <c r="D711" s="4"/>
      <c r="E711" s="4"/>
      <c r="F711" s="4"/>
      <c r="G711" s="4"/>
      <c r="H711" s="4"/>
      <c r="I711" s="4"/>
      <c r="J711" s="4"/>
      <c r="K711" s="4"/>
      <c r="L711" s="4"/>
      <c r="M711" s="4"/>
      <c r="N711" s="4"/>
      <c r="O711" s="4"/>
      <c r="P711" s="4"/>
      <c r="Q711" s="4"/>
    </row>
    <row r="712" spans="1:17" ht="12.75">
      <c r="A712" s="4"/>
      <c r="B712" s="3"/>
      <c r="C712" s="3"/>
      <c r="D712" s="4"/>
      <c r="E712" s="4"/>
      <c r="F712" s="4"/>
      <c r="G712" s="4"/>
      <c r="H712" s="4"/>
      <c r="I712" s="4"/>
      <c r="J712" s="4"/>
      <c r="K712" s="4"/>
      <c r="L712" s="4"/>
      <c r="M712" s="4"/>
      <c r="N712" s="4"/>
      <c r="O712" s="4"/>
      <c r="P712" s="4"/>
      <c r="Q712" s="4"/>
    </row>
    <row r="713" spans="1:17" ht="12.75">
      <c r="A713" s="4"/>
      <c r="B713" s="3"/>
      <c r="C713" s="3"/>
      <c r="D713" s="4"/>
      <c r="E713" s="4"/>
      <c r="F713" s="4"/>
      <c r="G713" s="4"/>
      <c r="H713" s="4"/>
      <c r="I713" s="4"/>
      <c r="J713" s="4"/>
      <c r="K713" s="4"/>
      <c r="L713" s="4"/>
      <c r="M713" s="4"/>
      <c r="N713" s="4"/>
      <c r="O713" s="4"/>
      <c r="P713" s="4"/>
      <c r="Q713" s="4"/>
    </row>
    <row r="714" spans="1:17" ht="12.75">
      <c r="A714" s="4"/>
      <c r="B714" s="3"/>
      <c r="C714" s="3"/>
      <c r="D714" s="4"/>
      <c r="E714" s="4"/>
      <c r="F714" s="4"/>
      <c r="G714" s="4"/>
      <c r="H714" s="4"/>
      <c r="I714" s="4"/>
      <c r="J714" s="4"/>
      <c r="K714" s="4"/>
      <c r="L714" s="4"/>
      <c r="M714" s="4"/>
      <c r="N714" s="4"/>
      <c r="O714" s="4"/>
      <c r="P714" s="4"/>
      <c r="Q714" s="4"/>
    </row>
    <row r="715" spans="1:17" ht="12.75">
      <c r="A715" s="4"/>
      <c r="B715" s="3"/>
      <c r="C715" s="3"/>
      <c r="D715" s="4"/>
      <c r="E715" s="4"/>
      <c r="F715" s="4"/>
      <c r="G715" s="4"/>
      <c r="H715" s="4"/>
      <c r="I715" s="4"/>
      <c r="J715" s="4"/>
      <c r="K715" s="4"/>
      <c r="L715" s="4"/>
      <c r="M715" s="4"/>
      <c r="N715" s="4"/>
      <c r="O715" s="4"/>
      <c r="P715" s="4"/>
      <c r="Q715" s="4"/>
    </row>
    <row r="716" spans="1:17" ht="12.75">
      <c r="A716" s="4"/>
      <c r="B716" s="3"/>
      <c r="C716" s="3"/>
      <c r="D716" s="4"/>
      <c r="E716" s="4"/>
      <c r="F716" s="4"/>
      <c r="G716" s="4"/>
      <c r="H716" s="4"/>
      <c r="I716" s="4"/>
      <c r="J716" s="4"/>
      <c r="K716" s="4"/>
      <c r="L716" s="4"/>
      <c r="M716" s="4"/>
      <c r="N716" s="4"/>
      <c r="O716" s="4"/>
      <c r="P716" s="4"/>
      <c r="Q716" s="4"/>
    </row>
    <row r="717" spans="1:17" ht="12.75">
      <c r="A717" s="4"/>
      <c r="B717" s="3"/>
      <c r="C717" s="3"/>
      <c r="D717" s="4"/>
      <c r="E717" s="4"/>
      <c r="F717" s="4"/>
      <c r="G717" s="4"/>
      <c r="H717" s="4"/>
      <c r="I717" s="4"/>
      <c r="J717" s="4"/>
      <c r="K717" s="4"/>
      <c r="L717" s="4"/>
      <c r="M717" s="4"/>
      <c r="N717" s="4"/>
      <c r="O717" s="4"/>
      <c r="P717" s="4"/>
      <c r="Q717" s="4"/>
    </row>
    <row r="718" spans="1:17" ht="12.75">
      <c r="A718" s="4"/>
      <c r="B718" s="3"/>
      <c r="C718" s="3"/>
      <c r="D718" s="4"/>
      <c r="E718" s="4"/>
      <c r="F718" s="4"/>
      <c r="G718" s="4"/>
      <c r="H718" s="4"/>
      <c r="I718" s="4"/>
      <c r="J718" s="4"/>
      <c r="K718" s="4"/>
      <c r="L718" s="4"/>
      <c r="M718" s="4"/>
      <c r="N718" s="4"/>
      <c r="O718" s="4"/>
      <c r="P718" s="4"/>
      <c r="Q718" s="4"/>
    </row>
    <row r="719" spans="1:17" ht="12.75">
      <c r="A719" s="4"/>
      <c r="B719" s="3"/>
      <c r="C719" s="3"/>
      <c r="D719" s="4"/>
      <c r="E719" s="4"/>
      <c r="F719" s="4"/>
      <c r="G719" s="4"/>
      <c r="H719" s="4"/>
      <c r="I719" s="4"/>
      <c r="J719" s="4"/>
      <c r="K719" s="4"/>
      <c r="L719" s="4"/>
      <c r="M719" s="4"/>
      <c r="N719" s="4"/>
      <c r="O719" s="4"/>
      <c r="P719" s="4"/>
      <c r="Q719" s="4"/>
    </row>
    <row r="720" spans="1:17" ht="12.75">
      <c r="A720" s="4"/>
      <c r="B720" s="3"/>
      <c r="C720" s="3"/>
      <c r="D720" s="4"/>
      <c r="E720" s="4"/>
      <c r="F720" s="4"/>
      <c r="G720" s="4"/>
      <c r="H720" s="4"/>
      <c r="I720" s="4"/>
      <c r="J720" s="4"/>
      <c r="K720" s="4"/>
      <c r="L720" s="4"/>
      <c r="M720" s="4"/>
      <c r="N720" s="4"/>
      <c r="O720" s="4"/>
      <c r="P720" s="4"/>
      <c r="Q720" s="4"/>
    </row>
    <row r="721" spans="1:17" ht="12.75">
      <c r="A721" s="4"/>
      <c r="B721" s="3"/>
      <c r="C721" s="3"/>
      <c r="D721" s="4"/>
      <c r="E721" s="4"/>
      <c r="F721" s="4"/>
      <c r="G721" s="4"/>
      <c r="H721" s="4"/>
      <c r="I721" s="4"/>
      <c r="J721" s="4"/>
      <c r="K721" s="4"/>
      <c r="L721" s="4"/>
      <c r="M721" s="4"/>
      <c r="N721" s="4"/>
      <c r="O721" s="4"/>
      <c r="P721" s="4"/>
      <c r="Q721" s="4"/>
    </row>
    <row r="722" spans="1:17" ht="12.75">
      <c r="A722" s="4"/>
      <c r="B722" s="3"/>
      <c r="C722" s="3"/>
      <c r="D722" s="4"/>
      <c r="E722" s="4"/>
      <c r="F722" s="4"/>
      <c r="G722" s="4"/>
      <c r="H722" s="4"/>
      <c r="I722" s="4"/>
      <c r="J722" s="4"/>
      <c r="K722" s="4"/>
      <c r="L722" s="4"/>
      <c r="M722" s="4"/>
      <c r="N722" s="4"/>
      <c r="O722" s="4"/>
      <c r="P722" s="4"/>
      <c r="Q722" s="4"/>
    </row>
    <row r="723" spans="1:17" ht="12.75">
      <c r="A723" s="4"/>
      <c r="B723" s="3"/>
      <c r="C723" s="3"/>
      <c r="D723" s="4"/>
      <c r="E723" s="4"/>
      <c r="F723" s="4"/>
      <c r="G723" s="4"/>
      <c r="H723" s="4"/>
      <c r="I723" s="4"/>
      <c r="J723" s="4"/>
      <c r="K723" s="4"/>
      <c r="L723" s="4"/>
      <c r="M723" s="4"/>
      <c r="N723" s="4"/>
      <c r="O723" s="4"/>
      <c r="P723" s="4"/>
      <c r="Q723" s="4"/>
    </row>
    <row r="724" spans="1:17" ht="12.75">
      <c r="A724" s="4"/>
      <c r="B724" s="3"/>
      <c r="C724" s="3"/>
      <c r="D724" s="4"/>
      <c r="E724" s="4"/>
      <c r="F724" s="4"/>
      <c r="G724" s="4"/>
      <c r="H724" s="4"/>
      <c r="I724" s="4"/>
      <c r="J724" s="4"/>
      <c r="K724" s="4"/>
      <c r="L724" s="4"/>
      <c r="M724" s="4"/>
      <c r="N724" s="4"/>
      <c r="O724" s="4"/>
      <c r="P724" s="4"/>
      <c r="Q724" s="4"/>
    </row>
    <row r="725" spans="1:17" ht="12.75">
      <c r="A725" s="4"/>
      <c r="B725" s="3"/>
      <c r="C725" s="3"/>
      <c r="D725" s="4"/>
      <c r="E725" s="4"/>
      <c r="F725" s="4"/>
      <c r="G725" s="4"/>
      <c r="H725" s="4"/>
      <c r="I725" s="4"/>
      <c r="J725" s="4"/>
      <c r="K725" s="4"/>
      <c r="L725" s="4"/>
      <c r="M725" s="4"/>
      <c r="N725" s="4"/>
      <c r="O725" s="4"/>
      <c r="P725" s="4"/>
      <c r="Q725" s="4"/>
    </row>
    <row r="726" spans="1:17" ht="12.75">
      <c r="A726" s="4"/>
      <c r="B726" s="3"/>
      <c r="C726" s="3"/>
      <c r="D726" s="4"/>
      <c r="E726" s="4"/>
      <c r="F726" s="4"/>
      <c r="G726" s="4"/>
      <c r="H726" s="4"/>
      <c r="I726" s="4"/>
      <c r="J726" s="4"/>
      <c r="K726" s="4"/>
      <c r="L726" s="4"/>
      <c r="M726" s="4"/>
      <c r="N726" s="4"/>
      <c r="O726" s="4"/>
      <c r="P726" s="4"/>
      <c r="Q726" s="4"/>
    </row>
    <row r="727" spans="1:17" ht="12.75">
      <c r="A727" s="4"/>
      <c r="B727" s="3"/>
      <c r="C727" s="3"/>
      <c r="D727" s="4"/>
      <c r="E727" s="4"/>
      <c r="F727" s="4"/>
      <c r="G727" s="4"/>
      <c r="H727" s="4"/>
      <c r="I727" s="4"/>
      <c r="J727" s="4"/>
      <c r="K727" s="4"/>
      <c r="L727" s="4"/>
      <c r="M727" s="4"/>
      <c r="N727" s="4"/>
      <c r="O727" s="4"/>
      <c r="P727" s="4"/>
      <c r="Q727" s="4"/>
    </row>
    <row r="728" spans="1:17" ht="12.75">
      <c r="A728" s="4"/>
      <c r="B728" s="3"/>
      <c r="C728" s="3"/>
      <c r="D728" s="4"/>
      <c r="E728" s="4"/>
      <c r="F728" s="4"/>
      <c r="G728" s="4"/>
      <c r="H728" s="4"/>
      <c r="I728" s="4"/>
      <c r="J728" s="4"/>
      <c r="K728" s="4"/>
      <c r="L728" s="4"/>
      <c r="M728" s="4"/>
      <c r="N728" s="4"/>
      <c r="O728" s="4"/>
      <c r="P728" s="4"/>
      <c r="Q728" s="4"/>
    </row>
    <row r="729" spans="1:17" ht="12.75">
      <c r="A729" s="4"/>
      <c r="B729" s="3"/>
      <c r="C729" s="3"/>
      <c r="D729" s="4"/>
      <c r="E729" s="4"/>
      <c r="F729" s="4"/>
      <c r="G729" s="4"/>
      <c r="H729" s="4"/>
      <c r="I729" s="4"/>
      <c r="J729" s="4"/>
      <c r="K729" s="4"/>
      <c r="L729" s="4"/>
      <c r="M729" s="4"/>
      <c r="N729" s="4"/>
      <c r="O729" s="4"/>
      <c r="P729" s="4"/>
      <c r="Q729" s="4"/>
    </row>
    <row r="730" spans="1:17" ht="12.75">
      <c r="A730" s="4"/>
      <c r="B730" s="3"/>
      <c r="C730" s="3"/>
      <c r="D730" s="4"/>
      <c r="E730" s="4"/>
      <c r="F730" s="4"/>
      <c r="G730" s="4"/>
      <c r="H730" s="4"/>
      <c r="I730" s="4"/>
      <c r="J730" s="4"/>
      <c r="K730" s="4"/>
      <c r="L730" s="4"/>
      <c r="M730" s="4"/>
      <c r="N730" s="4"/>
      <c r="O730" s="4"/>
      <c r="P730" s="4"/>
      <c r="Q730" s="4"/>
    </row>
    <row r="731" spans="1:17" ht="12.75">
      <c r="A731" s="4"/>
      <c r="B731" s="3"/>
      <c r="C731" s="3"/>
      <c r="D731" s="4"/>
      <c r="E731" s="4"/>
      <c r="F731" s="4"/>
      <c r="G731" s="4"/>
      <c r="H731" s="4"/>
      <c r="I731" s="4"/>
      <c r="J731" s="4"/>
      <c r="K731" s="4"/>
      <c r="L731" s="4"/>
      <c r="M731" s="4"/>
      <c r="N731" s="4"/>
      <c r="O731" s="4"/>
      <c r="P731" s="4"/>
      <c r="Q731" s="4"/>
    </row>
    <row r="732" spans="1:17" ht="12.75">
      <c r="A732" s="4"/>
      <c r="B732" s="3"/>
      <c r="C732" s="3"/>
      <c r="D732" s="4"/>
      <c r="E732" s="4"/>
      <c r="F732" s="4"/>
      <c r="G732" s="4"/>
      <c r="H732" s="4"/>
      <c r="I732" s="4"/>
      <c r="J732" s="4"/>
      <c r="K732" s="4"/>
      <c r="L732" s="4"/>
      <c r="M732" s="4"/>
      <c r="N732" s="4"/>
      <c r="O732" s="4"/>
      <c r="P732" s="4"/>
      <c r="Q732" s="4"/>
    </row>
    <row r="733" spans="1:17" ht="12.75">
      <c r="A733" s="4"/>
      <c r="B733" s="3"/>
      <c r="C733" s="3"/>
      <c r="D733" s="4"/>
      <c r="E733" s="4"/>
      <c r="F733" s="4"/>
      <c r="G733" s="4"/>
      <c r="H733" s="4"/>
      <c r="I733" s="4"/>
      <c r="J733" s="4"/>
      <c r="K733" s="4"/>
      <c r="L733" s="4"/>
      <c r="M733" s="4"/>
      <c r="N733" s="4"/>
      <c r="O733" s="4"/>
      <c r="P733" s="4"/>
      <c r="Q733" s="4"/>
    </row>
    <row r="734" spans="1:17" ht="12.75">
      <c r="A734" s="4"/>
      <c r="B734" s="3"/>
      <c r="C734" s="3"/>
      <c r="D734" s="4"/>
      <c r="E734" s="4"/>
      <c r="F734" s="4"/>
      <c r="G734" s="4"/>
      <c r="H734" s="4"/>
      <c r="I734" s="4"/>
      <c r="J734" s="4"/>
      <c r="K734" s="4"/>
      <c r="L734" s="4"/>
      <c r="M734" s="4"/>
      <c r="N734" s="4"/>
      <c r="O734" s="4"/>
      <c r="P734" s="4"/>
      <c r="Q734" s="4"/>
    </row>
    <row r="735" spans="1:17" ht="12.75">
      <c r="A735" s="4"/>
      <c r="B735" s="3"/>
      <c r="C735" s="3"/>
      <c r="D735" s="4"/>
      <c r="E735" s="4"/>
      <c r="F735" s="4"/>
      <c r="G735" s="4"/>
      <c r="H735" s="4"/>
      <c r="I735" s="4"/>
      <c r="J735" s="4"/>
      <c r="K735" s="4"/>
      <c r="L735" s="4"/>
      <c r="M735" s="4"/>
      <c r="N735" s="4"/>
      <c r="O735" s="4"/>
      <c r="P735" s="4"/>
      <c r="Q735" s="4"/>
    </row>
    <row r="736" spans="1:17" ht="12.75">
      <c r="A736" s="4"/>
      <c r="B736" s="3"/>
      <c r="C736" s="3"/>
      <c r="D736" s="4"/>
      <c r="E736" s="4"/>
      <c r="F736" s="4"/>
      <c r="G736" s="4"/>
      <c r="H736" s="4"/>
      <c r="I736" s="4"/>
      <c r="J736" s="4"/>
      <c r="K736" s="4"/>
      <c r="L736" s="4"/>
      <c r="M736" s="4"/>
      <c r="N736" s="4"/>
      <c r="O736" s="4"/>
      <c r="P736" s="4"/>
      <c r="Q736" s="4"/>
    </row>
    <row r="737" spans="1:17" ht="12.75">
      <c r="A737" s="4"/>
      <c r="B737" s="3"/>
      <c r="C737" s="3"/>
      <c r="D737" s="4"/>
      <c r="E737" s="4"/>
      <c r="F737" s="4"/>
      <c r="G737" s="4"/>
      <c r="H737" s="4"/>
      <c r="I737" s="4"/>
      <c r="J737" s="4"/>
      <c r="K737" s="4"/>
      <c r="L737" s="4"/>
      <c r="M737" s="4"/>
      <c r="N737" s="4"/>
      <c r="O737" s="4"/>
      <c r="P737" s="4"/>
      <c r="Q737" s="4"/>
    </row>
    <row r="738" spans="1:17" ht="12.75">
      <c r="A738" s="4"/>
      <c r="B738" s="3"/>
      <c r="C738" s="3"/>
      <c r="D738" s="4"/>
      <c r="E738" s="4"/>
      <c r="F738" s="4"/>
      <c r="G738" s="4"/>
      <c r="H738" s="4"/>
      <c r="I738" s="4"/>
      <c r="J738" s="4"/>
      <c r="K738" s="4"/>
      <c r="L738" s="4"/>
      <c r="M738" s="4"/>
      <c r="N738" s="4"/>
      <c r="O738" s="4"/>
      <c r="P738" s="4"/>
      <c r="Q738" s="4"/>
    </row>
    <row r="739" spans="1:17" ht="12.75">
      <c r="A739" s="4"/>
      <c r="B739" s="3"/>
      <c r="C739" s="3"/>
      <c r="D739" s="4"/>
      <c r="E739" s="4"/>
      <c r="F739" s="4"/>
      <c r="G739" s="4"/>
      <c r="H739" s="4"/>
      <c r="I739" s="4"/>
      <c r="J739" s="4"/>
      <c r="K739" s="4"/>
      <c r="L739" s="4"/>
      <c r="M739" s="4"/>
      <c r="N739" s="4"/>
      <c r="O739" s="4"/>
      <c r="P739" s="4"/>
      <c r="Q739" s="4"/>
    </row>
    <row r="740" spans="1:17" ht="12.75">
      <c r="A740" s="4"/>
      <c r="B740" s="3"/>
      <c r="C740" s="3"/>
      <c r="D740" s="4"/>
      <c r="E740" s="4"/>
      <c r="F740" s="4"/>
      <c r="G740" s="4"/>
      <c r="H740" s="4"/>
      <c r="I740" s="4"/>
      <c r="J740" s="4"/>
      <c r="K740" s="4"/>
      <c r="L740" s="4"/>
      <c r="M740" s="4"/>
      <c r="N740" s="4"/>
      <c r="O740" s="4"/>
      <c r="P740" s="4"/>
      <c r="Q740" s="4"/>
    </row>
    <row r="741" spans="1:17" ht="12.75">
      <c r="A741" s="4"/>
      <c r="B741" s="3"/>
      <c r="C741" s="3"/>
      <c r="D741" s="4"/>
      <c r="E741" s="4"/>
      <c r="F741" s="4"/>
      <c r="G741" s="4"/>
      <c r="H741" s="4"/>
      <c r="I741" s="4"/>
      <c r="J741" s="4"/>
      <c r="K741" s="4"/>
      <c r="L741" s="4"/>
      <c r="M741" s="4"/>
      <c r="N741" s="4"/>
      <c r="O741" s="4"/>
      <c r="P741" s="4"/>
      <c r="Q741" s="4"/>
    </row>
    <row r="742" spans="1:17" ht="12.75">
      <c r="A742" s="4"/>
      <c r="B742" s="3"/>
      <c r="C742" s="3"/>
      <c r="D742" s="4"/>
      <c r="E742" s="4"/>
      <c r="F742" s="4"/>
      <c r="G742" s="4"/>
      <c r="H742" s="4"/>
      <c r="I742" s="4"/>
      <c r="J742" s="4"/>
      <c r="K742" s="4"/>
      <c r="L742" s="4"/>
      <c r="M742" s="4"/>
      <c r="N742" s="4"/>
      <c r="O742" s="4"/>
      <c r="P742" s="4"/>
      <c r="Q742" s="4"/>
    </row>
    <row r="743" spans="1:17" ht="12.75">
      <c r="A743" s="4"/>
      <c r="B743" s="3"/>
      <c r="C743" s="3"/>
      <c r="D743" s="4"/>
      <c r="E743" s="4"/>
      <c r="F743" s="4"/>
      <c r="G743" s="4"/>
      <c r="H743" s="4"/>
      <c r="I743" s="4"/>
      <c r="J743" s="4"/>
      <c r="K743" s="4"/>
      <c r="L743" s="4"/>
      <c r="M743" s="4"/>
      <c r="N743" s="4"/>
      <c r="O743" s="4"/>
      <c r="P743" s="4"/>
      <c r="Q743" s="4"/>
    </row>
    <row r="744" spans="1:17" ht="12.75">
      <c r="A744" s="4"/>
      <c r="B744" s="3"/>
      <c r="C744" s="3"/>
      <c r="D744" s="4"/>
      <c r="E744" s="4"/>
      <c r="F744" s="4"/>
      <c r="G744" s="4"/>
      <c r="H744" s="4"/>
      <c r="I744" s="4"/>
      <c r="J744" s="4"/>
      <c r="K744" s="4"/>
      <c r="L744" s="4"/>
      <c r="M744" s="4"/>
      <c r="N744" s="4"/>
      <c r="O744" s="4"/>
      <c r="P744" s="4"/>
      <c r="Q744" s="4"/>
    </row>
    <row r="745" spans="1:17" ht="12.75">
      <c r="A745" s="4"/>
      <c r="B745" s="3"/>
      <c r="C745" s="3"/>
      <c r="D745" s="4"/>
      <c r="E745" s="4"/>
      <c r="F745" s="4"/>
      <c r="G745" s="4"/>
      <c r="H745" s="4"/>
      <c r="I745" s="4"/>
      <c r="J745" s="4"/>
      <c r="K745" s="4"/>
      <c r="L745" s="4"/>
      <c r="M745" s="4"/>
      <c r="N745" s="4"/>
      <c r="O745" s="4"/>
      <c r="P745" s="4"/>
      <c r="Q745" s="4"/>
    </row>
    <row r="746" spans="1:17" ht="12.75">
      <c r="A746" s="4"/>
      <c r="B746" s="3"/>
      <c r="C746" s="3"/>
      <c r="D746" s="4"/>
      <c r="E746" s="4"/>
      <c r="F746" s="4"/>
      <c r="G746" s="4"/>
      <c r="H746" s="4"/>
      <c r="I746" s="4"/>
      <c r="J746" s="4"/>
      <c r="K746" s="4"/>
      <c r="L746" s="4"/>
      <c r="M746" s="4"/>
      <c r="N746" s="4"/>
      <c r="O746" s="4"/>
      <c r="P746" s="4"/>
      <c r="Q746" s="4"/>
    </row>
    <row r="747" spans="1:17" ht="12.75">
      <c r="A747" s="4"/>
      <c r="B747" s="3"/>
      <c r="C747" s="3"/>
      <c r="D747" s="4"/>
      <c r="E747" s="4"/>
      <c r="F747" s="4"/>
      <c r="G747" s="4"/>
      <c r="H747" s="4"/>
      <c r="I747" s="4"/>
      <c r="J747" s="4"/>
      <c r="K747" s="4"/>
      <c r="L747" s="4"/>
      <c r="M747" s="4"/>
      <c r="N747" s="4"/>
      <c r="O747" s="4"/>
      <c r="P747" s="4"/>
      <c r="Q747" s="4"/>
    </row>
    <row r="748" spans="1:17" ht="12.75">
      <c r="A748" s="4"/>
      <c r="B748" s="3"/>
      <c r="C748" s="3"/>
      <c r="D748" s="4"/>
      <c r="E748" s="4"/>
      <c r="F748" s="4"/>
      <c r="G748" s="4"/>
      <c r="H748" s="4"/>
      <c r="I748" s="4"/>
      <c r="J748" s="4"/>
      <c r="K748" s="4"/>
      <c r="L748" s="4"/>
      <c r="M748" s="4"/>
      <c r="N748" s="4"/>
      <c r="O748" s="4"/>
      <c r="P748" s="4"/>
      <c r="Q748" s="4"/>
    </row>
    <row r="749" spans="1:17" ht="12.75">
      <c r="A749" s="4"/>
      <c r="B749" s="3"/>
      <c r="C749" s="3"/>
      <c r="D749" s="4"/>
      <c r="E749" s="4"/>
      <c r="F749" s="4"/>
      <c r="G749" s="4"/>
      <c r="H749" s="4"/>
      <c r="I749" s="4"/>
      <c r="J749" s="4"/>
      <c r="K749" s="4"/>
      <c r="L749" s="4"/>
      <c r="M749" s="4"/>
      <c r="N749" s="4"/>
      <c r="O749" s="4"/>
      <c r="P749" s="4"/>
      <c r="Q749" s="4"/>
    </row>
    <row r="750" spans="1:17" ht="12.75">
      <c r="A750" s="4"/>
      <c r="B750" s="3"/>
      <c r="C750" s="3"/>
      <c r="D750" s="4"/>
      <c r="E750" s="4"/>
      <c r="F750" s="4"/>
      <c r="G750" s="4"/>
      <c r="H750" s="4"/>
      <c r="I750" s="4"/>
      <c r="J750" s="4"/>
      <c r="K750" s="4"/>
      <c r="L750" s="4"/>
      <c r="M750" s="4"/>
      <c r="N750" s="4"/>
      <c r="O750" s="4"/>
      <c r="P750" s="4"/>
      <c r="Q750" s="4"/>
    </row>
    <row r="751" spans="1:17" ht="12.75">
      <c r="A751" s="4"/>
      <c r="B751" s="3"/>
      <c r="C751" s="3"/>
      <c r="D751" s="4"/>
      <c r="E751" s="4"/>
      <c r="F751" s="4"/>
      <c r="G751" s="4"/>
      <c r="H751" s="4"/>
      <c r="I751" s="4"/>
      <c r="J751" s="4"/>
      <c r="K751" s="4"/>
      <c r="L751" s="4"/>
      <c r="M751" s="4"/>
      <c r="N751" s="4"/>
      <c r="O751" s="4"/>
      <c r="P751" s="4"/>
      <c r="Q751" s="4"/>
    </row>
    <row r="752" spans="1:17" ht="12.75">
      <c r="A752" s="4"/>
      <c r="B752" s="3"/>
      <c r="C752" s="3"/>
      <c r="D752" s="4"/>
      <c r="E752" s="4"/>
      <c r="F752" s="4"/>
      <c r="G752" s="4"/>
      <c r="H752" s="4"/>
      <c r="I752" s="4"/>
      <c r="J752" s="4"/>
      <c r="K752" s="4"/>
      <c r="L752" s="4"/>
      <c r="M752" s="4"/>
      <c r="N752" s="4"/>
      <c r="O752" s="4"/>
      <c r="P752" s="4"/>
      <c r="Q752" s="4"/>
    </row>
    <row r="753" spans="1:17" ht="12.75">
      <c r="A753" s="4"/>
      <c r="B753" s="3"/>
      <c r="C753" s="3"/>
      <c r="D753" s="4"/>
      <c r="E753" s="4"/>
      <c r="F753" s="4"/>
      <c r="G753" s="4"/>
      <c r="H753" s="4"/>
      <c r="I753" s="4"/>
      <c r="J753" s="4"/>
      <c r="K753" s="4"/>
      <c r="L753" s="4"/>
      <c r="M753" s="4"/>
      <c r="N753" s="4"/>
      <c r="O753" s="4"/>
      <c r="P753" s="4"/>
      <c r="Q753" s="4"/>
    </row>
    <row r="754" spans="1:17" ht="12.75">
      <c r="A754" s="4"/>
      <c r="B754" s="3"/>
      <c r="C754" s="3"/>
      <c r="D754" s="4"/>
      <c r="E754" s="4"/>
      <c r="F754" s="4"/>
      <c r="G754" s="4"/>
      <c r="H754" s="4"/>
      <c r="I754" s="4"/>
      <c r="J754" s="4"/>
      <c r="K754" s="4"/>
      <c r="L754" s="4"/>
      <c r="M754" s="4"/>
      <c r="N754" s="4"/>
      <c r="O754" s="4"/>
      <c r="P754" s="4"/>
      <c r="Q754" s="4"/>
    </row>
    <row r="755" spans="1:17" ht="12.75">
      <c r="A755" s="4"/>
      <c r="B755" s="3"/>
      <c r="C755" s="3"/>
      <c r="D755" s="4"/>
      <c r="E755" s="4"/>
      <c r="F755" s="4"/>
      <c r="G755" s="4"/>
      <c r="H755" s="4"/>
      <c r="I755" s="4"/>
      <c r="J755" s="4"/>
      <c r="K755" s="4"/>
      <c r="L755" s="4"/>
      <c r="M755" s="4"/>
      <c r="N755" s="4"/>
      <c r="O755" s="4"/>
      <c r="P755" s="4"/>
      <c r="Q755" s="4"/>
    </row>
    <row r="756" spans="1:17" ht="12.75">
      <c r="A756" s="4"/>
      <c r="B756" s="3"/>
      <c r="C756" s="3"/>
      <c r="D756" s="4"/>
      <c r="E756" s="4"/>
      <c r="F756" s="4"/>
      <c r="G756" s="4"/>
      <c r="H756" s="4"/>
      <c r="I756" s="4"/>
      <c r="J756" s="4"/>
      <c r="K756" s="4"/>
      <c r="L756" s="4"/>
      <c r="M756" s="4"/>
      <c r="N756" s="4"/>
      <c r="O756" s="4"/>
      <c r="P756" s="4"/>
      <c r="Q756" s="4"/>
    </row>
    <row r="757" spans="1:17" ht="12.75">
      <c r="A757" s="4"/>
      <c r="B757" s="3"/>
      <c r="C757" s="3"/>
      <c r="D757" s="4"/>
      <c r="E757" s="4"/>
      <c r="F757" s="4"/>
      <c r="G757" s="4"/>
      <c r="H757" s="4"/>
      <c r="I757" s="4"/>
      <c r="J757" s="4"/>
      <c r="K757" s="4"/>
      <c r="L757" s="4"/>
      <c r="M757" s="4"/>
      <c r="N757" s="4"/>
      <c r="O757" s="4"/>
      <c r="P757" s="4"/>
      <c r="Q757" s="4"/>
    </row>
    <row r="758" spans="1:17" ht="12.75">
      <c r="A758" s="4"/>
      <c r="B758" s="3"/>
      <c r="C758" s="3"/>
      <c r="D758" s="4"/>
      <c r="E758" s="4"/>
      <c r="F758" s="4"/>
      <c r="G758" s="4"/>
      <c r="H758" s="4"/>
      <c r="I758" s="4"/>
      <c r="J758" s="4"/>
      <c r="K758" s="4"/>
      <c r="L758" s="4"/>
      <c r="M758" s="4"/>
      <c r="N758" s="4"/>
      <c r="O758" s="4"/>
      <c r="P758" s="4"/>
      <c r="Q758" s="4"/>
    </row>
    <row r="759" spans="1:17" ht="12.75">
      <c r="A759" s="4"/>
      <c r="B759" s="3"/>
      <c r="C759" s="3"/>
      <c r="D759" s="4"/>
      <c r="E759" s="4"/>
      <c r="F759" s="4"/>
      <c r="G759" s="4"/>
      <c r="H759" s="4"/>
      <c r="I759" s="4"/>
      <c r="J759" s="4"/>
      <c r="K759" s="4"/>
      <c r="L759" s="4"/>
      <c r="M759" s="4"/>
      <c r="N759" s="4"/>
      <c r="O759" s="4"/>
      <c r="P759" s="4"/>
      <c r="Q759" s="4"/>
    </row>
    <row r="760" spans="1:17" ht="12.75">
      <c r="A760" s="4"/>
      <c r="B760" s="3"/>
      <c r="C760" s="3"/>
      <c r="D760" s="4"/>
      <c r="E760" s="4"/>
      <c r="F760" s="4"/>
      <c r="G760" s="4"/>
      <c r="H760" s="4"/>
      <c r="I760" s="4"/>
      <c r="J760" s="4"/>
      <c r="K760" s="4"/>
      <c r="L760" s="4"/>
      <c r="M760" s="4"/>
      <c r="N760" s="4"/>
      <c r="O760" s="4"/>
      <c r="P760" s="4"/>
      <c r="Q760" s="4"/>
    </row>
    <row r="761" spans="1:17" ht="12.75">
      <c r="A761" s="4"/>
      <c r="B761" s="3"/>
      <c r="C761" s="3"/>
      <c r="D761" s="4"/>
      <c r="E761" s="4"/>
      <c r="F761" s="4"/>
      <c r="G761" s="4"/>
      <c r="H761" s="4"/>
      <c r="I761" s="4"/>
      <c r="J761" s="4"/>
      <c r="K761" s="4"/>
      <c r="L761" s="4"/>
      <c r="M761" s="4"/>
      <c r="N761" s="4"/>
      <c r="O761" s="4"/>
      <c r="P761" s="4"/>
      <c r="Q761" s="4"/>
    </row>
    <row r="762" spans="1:17" ht="12.75">
      <c r="A762" s="4"/>
      <c r="B762" s="3"/>
      <c r="C762" s="3"/>
      <c r="D762" s="4"/>
      <c r="E762" s="4"/>
      <c r="F762" s="4"/>
      <c r="G762" s="4"/>
      <c r="H762" s="4"/>
      <c r="I762" s="4"/>
      <c r="J762" s="4"/>
      <c r="K762" s="4"/>
      <c r="L762" s="4"/>
      <c r="M762" s="4"/>
      <c r="N762" s="4"/>
      <c r="O762" s="4"/>
      <c r="P762" s="4"/>
      <c r="Q762" s="4"/>
    </row>
    <row r="763" spans="1:17" ht="12.75">
      <c r="A763" s="4"/>
      <c r="B763" s="3"/>
      <c r="C763" s="3"/>
      <c r="D763" s="4"/>
      <c r="E763" s="4"/>
      <c r="F763" s="4"/>
      <c r="G763" s="4"/>
      <c r="H763" s="4"/>
      <c r="I763" s="4"/>
      <c r="J763" s="4"/>
      <c r="K763" s="4"/>
      <c r="L763" s="4"/>
      <c r="M763" s="4"/>
      <c r="N763" s="4"/>
      <c r="O763" s="4"/>
      <c r="P763" s="4"/>
      <c r="Q763" s="4"/>
    </row>
    <row r="764" spans="1:17" ht="12.75">
      <c r="A764" s="4"/>
      <c r="B764" s="3"/>
      <c r="C764" s="3"/>
      <c r="D764" s="4"/>
      <c r="E764" s="4"/>
      <c r="F764" s="4"/>
      <c r="G764" s="4"/>
      <c r="H764" s="4"/>
      <c r="I764" s="4"/>
      <c r="J764" s="4"/>
      <c r="K764" s="4"/>
      <c r="L764" s="4"/>
      <c r="M764" s="4"/>
      <c r="N764" s="4"/>
      <c r="O764" s="4"/>
      <c r="P764" s="4"/>
      <c r="Q764" s="4"/>
    </row>
    <row r="765" spans="1:17" ht="12.75">
      <c r="A765" s="4"/>
      <c r="B765" s="3"/>
      <c r="C765" s="3"/>
      <c r="D765" s="4"/>
      <c r="E765" s="4"/>
      <c r="F765" s="4"/>
      <c r="G765" s="4"/>
      <c r="H765" s="4"/>
      <c r="I765" s="4"/>
      <c r="J765" s="4"/>
      <c r="K765" s="4"/>
      <c r="L765" s="4"/>
      <c r="M765" s="4"/>
      <c r="N765" s="4"/>
      <c r="O765" s="4"/>
      <c r="P765" s="4"/>
      <c r="Q765" s="4"/>
    </row>
    <row r="766" spans="1:17" ht="12.75">
      <c r="A766" s="4"/>
      <c r="B766" s="3"/>
      <c r="C766" s="3"/>
      <c r="D766" s="4"/>
      <c r="E766" s="4"/>
      <c r="F766" s="4"/>
      <c r="G766" s="4"/>
      <c r="H766" s="4"/>
      <c r="I766" s="4"/>
      <c r="J766" s="4"/>
      <c r="K766" s="4"/>
      <c r="L766" s="4"/>
      <c r="M766" s="4"/>
      <c r="N766" s="4"/>
      <c r="O766" s="4"/>
      <c r="P766" s="4"/>
      <c r="Q766" s="4"/>
    </row>
    <row r="767" spans="1:17" ht="12.75">
      <c r="A767" s="4"/>
      <c r="B767" s="3"/>
      <c r="C767" s="3"/>
      <c r="D767" s="4"/>
      <c r="E767" s="4"/>
      <c r="F767" s="4"/>
      <c r="G767" s="4"/>
      <c r="H767" s="4"/>
      <c r="I767" s="4"/>
      <c r="J767" s="4"/>
      <c r="K767" s="4"/>
      <c r="L767" s="4"/>
      <c r="M767" s="4"/>
      <c r="N767" s="4"/>
      <c r="O767" s="4"/>
      <c r="P767" s="4"/>
      <c r="Q767" s="4"/>
    </row>
    <row r="768" spans="1:17" ht="12.75">
      <c r="A768" s="4"/>
      <c r="B768" s="3"/>
      <c r="C768" s="3"/>
      <c r="D768" s="4"/>
      <c r="E768" s="4"/>
      <c r="F768" s="4"/>
      <c r="G768" s="4"/>
      <c r="H768" s="4"/>
      <c r="I768" s="4"/>
      <c r="J768" s="4"/>
      <c r="K768" s="4"/>
      <c r="L768" s="4"/>
      <c r="M768" s="4"/>
      <c r="N768" s="4"/>
      <c r="O768" s="4"/>
      <c r="P768" s="4"/>
      <c r="Q768" s="4"/>
    </row>
    <row r="769" spans="1:17" ht="12.75">
      <c r="A769" s="4"/>
      <c r="B769" s="3"/>
      <c r="C769" s="3"/>
      <c r="D769" s="4"/>
      <c r="E769" s="4"/>
      <c r="F769" s="4"/>
      <c r="G769" s="4"/>
      <c r="H769" s="4"/>
      <c r="I769" s="4"/>
      <c r="J769" s="4"/>
      <c r="K769" s="4"/>
      <c r="L769" s="4"/>
      <c r="M769" s="4"/>
      <c r="N769" s="4"/>
      <c r="O769" s="4"/>
      <c r="P769" s="4"/>
      <c r="Q769" s="4"/>
    </row>
    <row r="770" spans="1:17" ht="12.75">
      <c r="A770" s="4"/>
      <c r="B770" s="3"/>
      <c r="C770" s="3"/>
      <c r="D770" s="4"/>
      <c r="E770" s="4"/>
      <c r="F770" s="4"/>
      <c r="G770" s="4"/>
      <c r="H770" s="4"/>
      <c r="I770" s="4"/>
      <c r="J770" s="4"/>
      <c r="K770" s="4"/>
      <c r="L770" s="4"/>
      <c r="M770" s="4"/>
      <c r="N770" s="4"/>
      <c r="O770" s="4"/>
      <c r="P770" s="4"/>
      <c r="Q770" s="4"/>
    </row>
    <row r="771" spans="1:17" ht="12.75">
      <c r="A771" s="4"/>
      <c r="B771" s="3"/>
      <c r="C771" s="3"/>
      <c r="D771" s="4"/>
      <c r="E771" s="4"/>
      <c r="F771" s="4"/>
      <c r="G771" s="4"/>
      <c r="H771" s="4"/>
      <c r="I771" s="4"/>
      <c r="J771" s="4"/>
      <c r="K771" s="4"/>
      <c r="L771" s="4"/>
      <c r="M771" s="4"/>
      <c r="N771" s="4"/>
      <c r="O771" s="4"/>
      <c r="P771" s="4"/>
      <c r="Q771" s="4"/>
    </row>
    <row r="772" spans="1:17" ht="12.75">
      <c r="A772" s="4"/>
      <c r="B772" s="3"/>
      <c r="C772" s="3"/>
      <c r="D772" s="4"/>
      <c r="E772" s="4"/>
      <c r="F772" s="4"/>
      <c r="G772" s="4"/>
      <c r="H772" s="4"/>
      <c r="I772" s="4"/>
      <c r="J772" s="4"/>
      <c r="K772" s="4"/>
      <c r="L772" s="4"/>
      <c r="M772" s="4"/>
      <c r="N772" s="4"/>
      <c r="O772" s="4"/>
      <c r="P772" s="4"/>
      <c r="Q772" s="4"/>
    </row>
    <row r="773" spans="1:17" ht="12.75">
      <c r="A773" s="4"/>
      <c r="B773" s="3"/>
      <c r="C773" s="3"/>
      <c r="D773" s="4"/>
      <c r="E773" s="4"/>
      <c r="F773" s="4"/>
      <c r="G773" s="4"/>
      <c r="H773" s="4"/>
      <c r="I773" s="4"/>
      <c r="J773" s="4"/>
      <c r="K773" s="4"/>
      <c r="L773" s="4"/>
      <c r="M773" s="4"/>
      <c r="N773" s="4"/>
      <c r="O773" s="4"/>
      <c r="P773" s="4"/>
      <c r="Q773" s="4"/>
    </row>
    <row r="774" spans="1:17" ht="12.75">
      <c r="A774" s="4"/>
      <c r="B774" s="3"/>
      <c r="C774" s="3"/>
      <c r="D774" s="4"/>
      <c r="E774" s="4"/>
      <c r="F774" s="4"/>
      <c r="G774" s="4"/>
      <c r="H774" s="4"/>
      <c r="I774" s="4"/>
      <c r="J774" s="4"/>
      <c r="K774" s="4"/>
      <c r="L774" s="4"/>
      <c r="M774" s="4"/>
      <c r="N774" s="4"/>
      <c r="O774" s="4"/>
      <c r="P774" s="4"/>
      <c r="Q774" s="4"/>
    </row>
    <row r="775" spans="1:17" ht="12.75">
      <c r="A775" s="4"/>
      <c r="B775" s="3"/>
      <c r="C775" s="3"/>
      <c r="D775" s="4"/>
      <c r="E775" s="4"/>
      <c r="F775" s="4"/>
      <c r="G775" s="4"/>
      <c r="H775" s="4"/>
      <c r="I775" s="4"/>
      <c r="J775" s="4"/>
      <c r="K775" s="4"/>
      <c r="L775" s="4"/>
      <c r="M775" s="4"/>
      <c r="N775" s="4"/>
      <c r="O775" s="4"/>
      <c r="P775" s="4"/>
      <c r="Q775" s="4"/>
    </row>
    <row r="776" spans="1:17" ht="12.75">
      <c r="A776" s="4"/>
      <c r="B776" s="3"/>
      <c r="C776" s="3"/>
      <c r="D776" s="4"/>
      <c r="E776" s="4"/>
      <c r="F776" s="4"/>
      <c r="G776" s="4"/>
      <c r="H776" s="4"/>
      <c r="I776" s="4"/>
      <c r="J776" s="4"/>
      <c r="K776" s="4"/>
      <c r="L776" s="4"/>
      <c r="M776" s="4"/>
      <c r="N776" s="4"/>
      <c r="O776" s="4"/>
      <c r="P776" s="4"/>
      <c r="Q776" s="4"/>
    </row>
    <row r="777" spans="1:17" ht="12.75">
      <c r="A777" s="4"/>
      <c r="B777" s="3"/>
      <c r="C777" s="3"/>
      <c r="D777" s="4"/>
      <c r="E777" s="4"/>
      <c r="F777" s="4"/>
      <c r="G777" s="4"/>
      <c r="H777" s="4"/>
      <c r="I777" s="4"/>
      <c r="J777" s="4"/>
      <c r="K777" s="4"/>
      <c r="L777" s="4"/>
      <c r="M777" s="4"/>
      <c r="N777" s="4"/>
      <c r="O777" s="4"/>
      <c r="P777" s="4"/>
      <c r="Q777" s="4"/>
    </row>
    <row r="778" spans="1:17" ht="12.75">
      <c r="A778" s="4"/>
      <c r="B778" s="3"/>
      <c r="C778" s="3"/>
      <c r="D778" s="4"/>
      <c r="E778" s="4"/>
      <c r="F778" s="4"/>
      <c r="G778" s="4"/>
      <c r="H778" s="4"/>
      <c r="I778" s="4"/>
      <c r="J778" s="4"/>
      <c r="K778" s="4"/>
      <c r="L778" s="4"/>
      <c r="M778" s="4"/>
      <c r="N778" s="4"/>
      <c r="O778" s="4"/>
      <c r="P778" s="4"/>
      <c r="Q778" s="4"/>
    </row>
    <row r="779" spans="1:17" ht="12.75">
      <c r="A779" s="4"/>
      <c r="B779" s="3"/>
      <c r="C779" s="3"/>
      <c r="D779" s="4"/>
      <c r="E779" s="4"/>
      <c r="F779" s="4"/>
      <c r="G779" s="4"/>
      <c r="H779" s="4"/>
      <c r="I779" s="4"/>
      <c r="J779" s="4"/>
      <c r="K779" s="4"/>
      <c r="L779" s="4"/>
      <c r="M779" s="4"/>
      <c r="N779" s="4"/>
      <c r="O779" s="4"/>
      <c r="P779" s="4"/>
      <c r="Q779" s="4"/>
    </row>
    <row r="780" spans="1:17" ht="12.75">
      <c r="A780" s="4"/>
      <c r="B780" s="3"/>
      <c r="C780" s="3"/>
      <c r="D780" s="4"/>
      <c r="E780" s="4"/>
      <c r="F780" s="4"/>
      <c r="G780" s="4"/>
      <c r="H780" s="4"/>
      <c r="I780" s="4"/>
      <c r="J780" s="4"/>
      <c r="K780" s="4"/>
      <c r="L780" s="4"/>
      <c r="M780" s="4"/>
      <c r="N780" s="4"/>
      <c r="O780" s="4"/>
      <c r="P780" s="4"/>
      <c r="Q780" s="4"/>
    </row>
    <row r="781" spans="1:17" ht="12.75">
      <c r="A781" s="4"/>
      <c r="B781" s="3"/>
      <c r="C781" s="3"/>
      <c r="D781" s="4"/>
      <c r="E781" s="4"/>
      <c r="F781" s="4"/>
      <c r="G781" s="4"/>
      <c r="H781" s="4"/>
      <c r="I781" s="4"/>
      <c r="J781" s="4"/>
      <c r="K781" s="4"/>
      <c r="L781" s="4"/>
      <c r="M781" s="4"/>
      <c r="N781" s="4"/>
      <c r="O781" s="4"/>
      <c r="P781" s="4"/>
      <c r="Q781" s="4"/>
    </row>
    <row r="782" spans="1:17" ht="12.75">
      <c r="A782" s="4"/>
      <c r="B782" s="3"/>
      <c r="C782" s="3"/>
      <c r="D782" s="4"/>
      <c r="E782" s="4"/>
      <c r="F782" s="4"/>
      <c r="G782" s="4"/>
      <c r="H782" s="4"/>
      <c r="I782" s="4"/>
      <c r="J782" s="4"/>
      <c r="K782" s="4"/>
      <c r="L782" s="4"/>
      <c r="M782" s="4"/>
      <c r="N782" s="4"/>
      <c r="O782" s="4"/>
      <c r="P782" s="4"/>
      <c r="Q782" s="4"/>
    </row>
    <row r="783" spans="1:17" ht="12.75">
      <c r="A783" s="4"/>
      <c r="B783" s="3"/>
      <c r="C783" s="3"/>
      <c r="D783" s="4"/>
      <c r="E783" s="4"/>
      <c r="F783" s="4"/>
      <c r="G783" s="4"/>
      <c r="H783" s="4"/>
      <c r="I783" s="4"/>
      <c r="J783" s="4"/>
      <c r="K783" s="4"/>
      <c r="L783" s="4"/>
      <c r="M783" s="4"/>
      <c r="N783" s="4"/>
      <c r="O783" s="4"/>
      <c r="P783" s="4"/>
      <c r="Q783" s="4"/>
    </row>
    <row r="784" spans="1:17" ht="12.75">
      <c r="A784" s="4"/>
      <c r="B784" s="3"/>
      <c r="C784" s="3"/>
      <c r="D784" s="4"/>
      <c r="E784" s="4"/>
      <c r="F784" s="4"/>
      <c r="G784" s="4"/>
      <c r="H784" s="4"/>
      <c r="I784" s="4"/>
      <c r="J784" s="4"/>
      <c r="K784" s="4"/>
      <c r="L784" s="4"/>
      <c r="M784" s="4"/>
      <c r="N784" s="4"/>
      <c r="O784" s="4"/>
      <c r="P784" s="4"/>
      <c r="Q784" s="4"/>
    </row>
    <row r="785" spans="1:17" ht="12.75">
      <c r="A785" s="4"/>
      <c r="B785" s="3"/>
      <c r="C785" s="3"/>
      <c r="D785" s="4"/>
      <c r="E785" s="4"/>
      <c r="F785" s="4"/>
      <c r="G785" s="4"/>
      <c r="H785" s="4"/>
      <c r="I785" s="4"/>
      <c r="J785" s="4"/>
      <c r="K785" s="4"/>
      <c r="L785" s="4"/>
      <c r="M785" s="4"/>
      <c r="N785" s="4"/>
      <c r="O785" s="4"/>
      <c r="P785" s="4"/>
      <c r="Q785" s="4"/>
    </row>
    <row r="786" spans="1:17" ht="12.75">
      <c r="A786" s="4"/>
      <c r="B786" s="3"/>
      <c r="C786" s="3"/>
      <c r="D786" s="4"/>
      <c r="E786" s="4"/>
      <c r="F786" s="4"/>
      <c r="G786" s="4"/>
      <c r="H786" s="4"/>
      <c r="I786" s="4"/>
      <c r="J786" s="4"/>
      <c r="K786" s="4"/>
      <c r="L786" s="4"/>
      <c r="M786" s="4"/>
      <c r="N786" s="4"/>
      <c r="O786" s="4"/>
      <c r="P786" s="4"/>
      <c r="Q786" s="4"/>
    </row>
    <row r="787" spans="1:17" ht="12.75">
      <c r="A787" s="4"/>
      <c r="B787" s="3"/>
      <c r="C787" s="3"/>
      <c r="D787" s="4"/>
      <c r="E787" s="4"/>
      <c r="F787" s="4"/>
      <c r="G787" s="4"/>
      <c r="H787" s="4"/>
      <c r="I787" s="4"/>
      <c r="J787" s="4"/>
      <c r="K787" s="4"/>
      <c r="L787" s="4"/>
      <c r="M787" s="4"/>
      <c r="N787" s="4"/>
      <c r="O787" s="4"/>
      <c r="P787" s="4"/>
      <c r="Q787" s="4"/>
    </row>
    <row r="788" spans="1:17" ht="12.75">
      <c r="A788" s="4"/>
      <c r="B788" s="3"/>
      <c r="C788" s="3"/>
      <c r="D788" s="4"/>
      <c r="E788" s="4"/>
      <c r="F788" s="4"/>
      <c r="G788" s="4"/>
      <c r="H788" s="4"/>
      <c r="I788" s="4"/>
      <c r="J788" s="4"/>
      <c r="K788" s="4"/>
      <c r="L788" s="4"/>
      <c r="M788" s="4"/>
      <c r="N788" s="4"/>
      <c r="O788" s="4"/>
      <c r="P788" s="4"/>
      <c r="Q788" s="4"/>
    </row>
    <row r="789" spans="1:17" ht="12.75">
      <c r="A789" s="4"/>
      <c r="B789" s="3"/>
      <c r="C789" s="3"/>
      <c r="D789" s="4"/>
      <c r="E789" s="4"/>
      <c r="F789" s="4"/>
      <c r="G789" s="4"/>
      <c r="H789" s="4"/>
      <c r="I789" s="4"/>
      <c r="J789" s="4"/>
      <c r="K789" s="4"/>
      <c r="L789" s="4"/>
      <c r="M789" s="4"/>
      <c r="N789" s="4"/>
      <c r="O789" s="4"/>
      <c r="P789" s="4"/>
      <c r="Q789" s="4"/>
    </row>
    <row r="790" spans="1:17" ht="12.75">
      <c r="A790" s="4"/>
      <c r="B790" s="3"/>
      <c r="C790" s="3"/>
      <c r="D790" s="4"/>
      <c r="E790" s="4"/>
      <c r="F790" s="4"/>
      <c r="G790" s="4"/>
      <c r="H790" s="4"/>
      <c r="I790" s="4"/>
      <c r="J790" s="4"/>
      <c r="K790" s="4"/>
      <c r="L790" s="4"/>
      <c r="M790" s="4"/>
      <c r="N790" s="4"/>
      <c r="O790" s="4"/>
      <c r="P790" s="4"/>
      <c r="Q790" s="4"/>
    </row>
    <row r="791" spans="1:17" ht="12.75">
      <c r="A791" s="4"/>
      <c r="B791" s="3"/>
      <c r="C791" s="3"/>
      <c r="D791" s="4"/>
      <c r="E791" s="4"/>
      <c r="F791" s="4"/>
      <c r="G791" s="4"/>
      <c r="H791" s="4"/>
      <c r="I791" s="4"/>
      <c r="J791" s="4"/>
      <c r="K791" s="4"/>
      <c r="L791" s="4"/>
      <c r="M791" s="4"/>
      <c r="N791" s="4"/>
      <c r="O791" s="4"/>
      <c r="P791" s="4"/>
      <c r="Q791" s="4"/>
    </row>
    <row r="792" spans="1:17" ht="12.75">
      <c r="A792" s="4"/>
      <c r="B792" s="3"/>
      <c r="C792" s="3"/>
      <c r="D792" s="4"/>
      <c r="E792" s="4"/>
      <c r="F792" s="4"/>
      <c r="G792" s="4"/>
      <c r="H792" s="4"/>
      <c r="I792" s="4"/>
      <c r="J792" s="4"/>
      <c r="K792" s="4"/>
      <c r="L792" s="4"/>
      <c r="M792" s="4"/>
      <c r="N792" s="4"/>
      <c r="O792" s="4"/>
      <c r="P792" s="4"/>
      <c r="Q792" s="4"/>
    </row>
    <row r="793" spans="1:17" ht="12.75">
      <c r="A793" s="4"/>
      <c r="B793" s="3"/>
      <c r="C793" s="3"/>
      <c r="D793" s="4"/>
      <c r="E793" s="4"/>
      <c r="F793" s="4"/>
      <c r="G793" s="4"/>
      <c r="H793" s="4"/>
      <c r="I793" s="4"/>
      <c r="J793" s="4"/>
      <c r="K793" s="4"/>
      <c r="L793" s="4"/>
      <c r="M793" s="4"/>
      <c r="N793" s="4"/>
      <c r="O793" s="4"/>
      <c r="P793" s="4"/>
      <c r="Q793" s="4"/>
    </row>
    <row r="794" spans="1:17" ht="12.75">
      <c r="A794" s="4"/>
      <c r="B794" s="3"/>
      <c r="C794" s="3"/>
      <c r="D794" s="4"/>
      <c r="E794" s="4"/>
      <c r="F794" s="4"/>
      <c r="G794" s="4"/>
      <c r="H794" s="4"/>
      <c r="I794" s="4"/>
      <c r="J794" s="4"/>
      <c r="K794" s="4"/>
      <c r="L794" s="4"/>
      <c r="M794" s="4"/>
      <c r="N794" s="4"/>
      <c r="O794" s="4"/>
      <c r="P794" s="4"/>
      <c r="Q794" s="4"/>
    </row>
    <row r="795" spans="1:17" ht="12.75">
      <c r="A795" s="4"/>
      <c r="B795" s="3"/>
      <c r="C795" s="3"/>
      <c r="D795" s="4"/>
      <c r="E795" s="4"/>
      <c r="F795" s="4"/>
      <c r="G795" s="4"/>
      <c r="H795" s="4"/>
      <c r="I795" s="4"/>
      <c r="J795" s="4"/>
      <c r="K795" s="4"/>
      <c r="L795" s="4"/>
      <c r="M795" s="4"/>
      <c r="N795" s="4"/>
      <c r="O795" s="4"/>
      <c r="P795" s="4"/>
      <c r="Q795" s="4"/>
    </row>
    <row r="796" spans="1:17" ht="12.75">
      <c r="A796" s="4"/>
      <c r="B796" s="3"/>
      <c r="C796" s="3"/>
      <c r="D796" s="4"/>
      <c r="E796" s="4"/>
      <c r="F796" s="4"/>
      <c r="G796" s="4"/>
      <c r="H796" s="4"/>
      <c r="I796" s="4"/>
      <c r="J796" s="4"/>
      <c r="K796" s="4"/>
      <c r="L796" s="4"/>
      <c r="M796" s="4"/>
      <c r="N796" s="4"/>
      <c r="O796" s="4"/>
      <c r="P796" s="4"/>
      <c r="Q796" s="4"/>
    </row>
    <row r="797" spans="1:17" ht="12.75">
      <c r="A797" s="4"/>
      <c r="B797" s="3"/>
      <c r="C797" s="3"/>
      <c r="D797" s="4"/>
      <c r="E797" s="4"/>
      <c r="F797" s="4"/>
      <c r="G797" s="4"/>
      <c r="H797" s="4"/>
      <c r="I797" s="4"/>
      <c r="J797" s="4"/>
      <c r="K797" s="4"/>
      <c r="L797" s="4"/>
      <c r="M797" s="4"/>
      <c r="N797" s="4"/>
      <c r="O797" s="4"/>
      <c r="P797" s="4"/>
      <c r="Q797" s="4"/>
    </row>
    <row r="798" spans="1:17" ht="12.75">
      <c r="A798" s="4"/>
      <c r="B798" s="3"/>
      <c r="C798" s="3"/>
      <c r="D798" s="4"/>
      <c r="E798" s="4"/>
      <c r="F798" s="4"/>
      <c r="G798" s="4"/>
      <c r="H798" s="4"/>
      <c r="I798" s="4"/>
      <c r="J798" s="4"/>
      <c r="K798" s="4"/>
      <c r="L798" s="4"/>
      <c r="M798" s="4"/>
      <c r="N798" s="4"/>
      <c r="O798" s="4"/>
      <c r="P798" s="4"/>
      <c r="Q798" s="4"/>
    </row>
    <row r="799" spans="1:17" ht="12.75">
      <c r="A799" s="4"/>
      <c r="B799" s="3"/>
      <c r="C799" s="3"/>
      <c r="D799" s="4"/>
      <c r="E799" s="4"/>
      <c r="F799" s="4"/>
      <c r="G799" s="4"/>
      <c r="H799" s="4"/>
      <c r="I799" s="4"/>
      <c r="J799" s="4"/>
      <c r="K799" s="4"/>
      <c r="L799" s="4"/>
      <c r="M799" s="4"/>
      <c r="N799" s="4"/>
      <c r="O799" s="4"/>
      <c r="P799" s="4"/>
      <c r="Q799" s="4"/>
    </row>
    <row r="800" spans="1:17" ht="12.75">
      <c r="A800" s="4"/>
      <c r="B800" s="3"/>
      <c r="C800" s="3"/>
      <c r="D800" s="4"/>
      <c r="E800" s="4"/>
      <c r="F800" s="4"/>
      <c r="G800" s="4"/>
      <c r="H800" s="4"/>
      <c r="I800" s="4"/>
      <c r="J800" s="4"/>
      <c r="K800" s="4"/>
      <c r="L800" s="4"/>
      <c r="M800" s="4"/>
      <c r="N800" s="4"/>
      <c r="O800" s="4"/>
      <c r="P800" s="4"/>
      <c r="Q800" s="4"/>
    </row>
    <row r="801" spans="1:17" ht="12.75">
      <c r="A801" s="4"/>
      <c r="B801" s="3"/>
      <c r="C801" s="3"/>
      <c r="D801" s="4"/>
      <c r="E801" s="4"/>
      <c r="F801" s="4"/>
      <c r="G801" s="4"/>
      <c r="H801" s="4"/>
      <c r="I801" s="4"/>
      <c r="J801" s="4"/>
      <c r="K801" s="4"/>
      <c r="L801" s="4"/>
      <c r="M801" s="4"/>
      <c r="N801" s="4"/>
      <c r="O801" s="4"/>
      <c r="P801" s="4"/>
      <c r="Q801" s="4"/>
    </row>
    <row r="802" spans="1:17" ht="12.75">
      <c r="A802" s="4"/>
      <c r="B802" s="3"/>
      <c r="C802" s="3"/>
      <c r="D802" s="4"/>
      <c r="E802" s="4"/>
      <c r="F802" s="4"/>
      <c r="G802" s="4"/>
      <c r="H802" s="4"/>
      <c r="I802" s="4"/>
      <c r="J802" s="4"/>
      <c r="K802" s="4"/>
      <c r="L802" s="4"/>
      <c r="M802" s="4"/>
      <c r="N802" s="4"/>
      <c r="O802" s="4"/>
      <c r="P802" s="4"/>
      <c r="Q802" s="4"/>
    </row>
    <row r="803" spans="1:17" ht="12.75">
      <c r="A803" s="4"/>
      <c r="B803" s="3"/>
      <c r="C803" s="3"/>
      <c r="D803" s="4"/>
      <c r="E803" s="4"/>
      <c r="F803" s="4"/>
      <c r="G803" s="4"/>
      <c r="H803" s="4"/>
      <c r="I803" s="4"/>
      <c r="J803" s="4"/>
      <c r="K803" s="4"/>
      <c r="L803" s="4"/>
      <c r="M803" s="4"/>
      <c r="N803" s="4"/>
      <c r="O803" s="4"/>
      <c r="P803" s="4"/>
      <c r="Q803" s="4"/>
    </row>
    <row r="804" spans="1:17" ht="12.75">
      <c r="A804" s="4"/>
      <c r="B804" s="3"/>
      <c r="C804" s="3"/>
      <c r="D804" s="4"/>
      <c r="E804" s="4"/>
      <c r="F804" s="4"/>
      <c r="G804" s="4"/>
      <c r="H804" s="4"/>
      <c r="I804" s="4"/>
      <c r="J804" s="4"/>
      <c r="K804" s="4"/>
      <c r="L804" s="4"/>
      <c r="M804" s="4"/>
      <c r="N804" s="4"/>
      <c r="O804" s="4"/>
      <c r="P804" s="4"/>
      <c r="Q804" s="4"/>
    </row>
    <row r="805" spans="1:17" ht="12.75">
      <c r="A805" s="4"/>
      <c r="B805" s="3"/>
      <c r="C805" s="3"/>
      <c r="D805" s="4"/>
      <c r="E805" s="4"/>
      <c r="F805" s="4"/>
      <c r="G805" s="4"/>
      <c r="H805" s="4"/>
      <c r="I805" s="4"/>
      <c r="J805" s="4"/>
      <c r="K805" s="4"/>
      <c r="L805" s="4"/>
      <c r="M805" s="4"/>
      <c r="N805" s="4"/>
      <c r="O805" s="4"/>
      <c r="P805" s="4"/>
      <c r="Q805" s="4"/>
    </row>
    <row r="806" spans="1:17" ht="12.75">
      <c r="A806" s="4"/>
      <c r="B806" s="3"/>
      <c r="C806" s="3"/>
      <c r="D806" s="4"/>
      <c r="E806" s="4"/>
      <c r="F806" s="4"/>
      <c r="G806" s="4"/>
      <c r="H806" s="4"/>
      <c r="I806" s="4"/>
      <c r="J806" s="4"/>
      <c r="K806" s="4"/>
      <c r="L806" s="4"/>
      <c r="M806" s="4"/>
      <c r="N806" s="4"/>
      <c r="O806" s="4"/>
      <c r="P806" s="4"/>
      <c r="Q806" s="4"/>
    </row>
    <row r="807" spans="1:17" ht="12.75">
      <c r="A807" s="4"/>
      <c r="B807" s="3"/>
      <c r="C807" s="3"/>
      <c r="D807" s="4"/>
      <c r="E807" s="4"/>
      <c r="F807" s="4"/>
      <c r="G807" s="4"/>
      <c r="H807" s="4"/>
      <c r="I807" s="4"/>
      <c r="J807" s="4"/>
      <c r="K807" s="4"/>
      <c r="L807" s="4"/>
      <c r="M807" s="4"/>
      <c r="N807" s="4"/>
      <c r="O807" s="4"/>
      <c r="P807" s="4"/>
      <c r="Q807" s="4"/>
    </row>
    <row r="808" spans="1:17" ht="12.75">
      <c r="A808" s="4"/>
      <c r="B808" s="3"/>
      <c r="C808" s="3"/>
      <c r="D808" s="4"/>
      <c r="E808" s="4"/>
      <c r="F808" s="4"/>
      <c r="G808" s="4"/>
      <c r="H808" s="4"/>
      <c r="I808" s="4"/>
      <c r="J808" s="4"/>
      <c r="K808" s="4"/>
      <c r="L808" s="4"/>
      <c r="M808" s="4"/>
      <c r="N808" s="4"/>
      <c r="O808" s="4"/>
      <c r="P808" s="4"/>
      <c r="Q808" s="4"/>
    </row>
    <row r="809" spans="1:17" ht="12.75">
      <c r="A809" s="4"/>
      <c r="B809" s="3"/>
      <c r="C809" s="3"/>
      <c r="D809" s="4"/>
      <c r="E809" s="4"/>
      <c r="F809" s="4"/>
      <c r="G809" s="4"/>
      <c r="H809" s="4"/>
      <c r="I809" s="4"/>
      <c r="J809" s="4"/>
      <c r="K809" s="4"/>
      <c r="L809" s="4"/>
      <c r="M809" s="4"/>
      <c r="N809" s="4"/>
      <c r="O809" s="4"/>
      <c r="P809" s="4"/>
      <c r="Q809" s="4"/>
    </row>
    <row r="810" spans="1:17" ht="12.75">
      <c r="A810" s="4"/>
      <c r="B810" s="3"/>
      <c r="C810" s="3"/>
      <c r="D810" s="4"/>
      <c r="E810" s="4"/>
      <c r="F810" s="4"/>
      <c r="G810" s="4"/>
      <c r="H810" s="4"/>
      <c r="I810" s="4"/>
      <c r="J810" s="4"/>
      <c r="K810" s="4"/>
      <c r="L810" s="4"/>
      <c r="M810" s="4"/>
      <c r="N810" s="4"/>
      <c r="O810" s="4"/>
      <c r="P810" s="4"/>
      <c r="Q810" s="4"/>
    </row>
    <row r="811" spans="1:17" ht="12.75">
      <c r="A811" s="4"/>
      <c r="B811" s="3"/>
      <c r="C811" s="3"/>
      <c r="D811" s="4"/>
      <c r="E811" s="4"/>
      <c r="F811" s="4"/>
      <c r="G811" s="4"/>
      <c r="H811" s="4"/>
      <c r="I811" s="4"/>
      <c r="J811" s="4"/>
      <c r="K811" s="4"/>
      <c r="L811" s="4"/>
      <c r="M811" s="4"/>
      <c r="N811" s="4"/>
      <c r="O811" s="4"/>
      <c r="P811" s="4"/>
      <c r="Q811" s="4"/>
    </row>
    <row r="812" spans="1:17" ht="12.75">
      <c r="A812" s="4"/>
      <c r="B812" s="3"/>
      <c r="C812" s="3"/>
      <c r="D812" s="4"/>
      <c r="E812" s="4"/>
      <c r="F812" s="4"/>
      <c r="G812" s="4"/>
      <c r="H812" s="4"/>
      <c r="I812" s="4"/>
      <c r="J812" s="4"/>
      <c r="K812" s="4"/>
      <c r="L812" s="4"/>
      <c r="M812" s="4"/>
      <c r="N812" s="4"/>
      <c r="O812" s="4"/>
      <c r="P812" s="4"/>
      <c r="Q812" s="4"/>
    </row>
    <row r="813" spans="1:17" ht="12.75">
      <c r="A813" s="4"/>
      <c r="B813" s="3"/>
      <c r="C813" s="3"/>
      <c r="D813" s="4"/>
      <c r="E813" s="4"/>
      <c r="F813" s="4"/>
      <c r="G813" s="4"/>
      <c r="H813" s="4"/>
      <c r="I813" s="4"/>
      <c r="J813" s="4"/>
      <c r="K813" s="4"/>
      <c r="L813" s="4"/>
      <c r="M813" s="4"/>
      <c r="N813" s="4"/>
      <c r="O813" s="4"/>
      <c r="P813" s="4"/>
      <c r="Q813" s="4"/>
    </row>
    <row r="814" spans="1:17" ht="12.75">
      <c r="A814" s="4"/>
      <c r="B814" s="3"/>
      <c r="C814" s="3"/>
      <c r="D814" s="4"/>
      <c r="E814" s="4"/>
      <c r="F814" s="4"/>
      <c r="G814" s="4"/>
      <c r="H814" s="4"/>
      <c r="I814" s="4"/>
      <c r="J814" s="4"/>
      <c r="K814" s="4"/>
      <c r="L814" s="4"/>
      <c r="M814" s="4"/>
      <c r="N814" s="4"/>
      <c r="O814" s="4"/>
      <c r="P814" s="4"/>
      <c r="Q814" s="4"/>
    </row>
    <row r="815" spans="1:17" ht="12.75">
      <c r="A815" s="4"/>
      <c r="B815" s="3"/>
      <c r="C815" s="3"/>
      <c r="D815" s="4"/>
      <c r="E815" s="4"/>
      <c r="F815" s="4"/>
      <c r="G815" s="4"/>
      <c r="H815" s="4"/>
      <c r="I815" s="4"/>
      <c r="J815" s="4"/>
      <c r="K815" s="4"/>
      <c r="L815" s="4"/>
      <c r="M815" s="4"/>
      <c r="N815" s="4"/>
      <c r="O815" s="4"/>
      <c r="P815" s="4"/>
      <c r="Q815" s="4"/>
    </row>
    <row r="816" spans="1:17" ht="12.75">
      <c r="A816" s="4"/>
      <c r="B816" s="3"/>
      <c r="C816" s="3"/>
      <c r="D816" s="4"/>
      <c r="E816" s="4"/>
      <c r="F816" s="4"/>
      <c r="G816" s="4"/>
      <c r="H816" s="4"/>
      <c r="I816" s="4"/>
      <c r="J816" s="4"/>
      <c r="K816" s="4"/>
      <c r="L816" s="4"/>
      <c r="M816" s="4"/>
      <c r="N816" s="4"/>
      <c r="O816" s="4"/>
      <c r="P816" s="4"/>
      <c r="Q816" s="4"/>
    </row>
    <row r="817" spans="1:17" ht="12.75">
      <c r="A817" s="4"/>
      <c r="B817" s="3"/>
      <c r="C817" s="3"/>
      <c r="D817" s="4"/>
      <c r="E817" s="4"/>
      <c r="F817" s="4"/>
      <c r="G817" s="4"/>
      <c r="H817" s="4"/>
      <c r="I817" s="4"/>
      <c r="J817" s="4"/>
      <c r="K817" s="4"/>
      <c r="L817" s="4"/>
      <c r="M817" s="4"/>
      <c r="N817" s="4"/>
      <c r="O817" s="4"/>
      <c r="P817" s="4"/>
      <c r="Q817" s="4"/>
    </row>
    <row r="818" spans="1:17" ht="12.75">
      <c r="A818" s="4"/>
      <c r="B818" s="3"/>
      <c r="C818" s="3"/>
      <c r="D818" s="4"/>
      <c r="E818" s="4"/>
      <c r="F818" s="4"/>
      <c r="G818" s="4"/>
      <c r="H818" s="4"/>
      <c r="I818" s="4"/>
      <c r="J818" s="4"/>
      <c r="K818" s="4"/>
      <c r="L818" s="4"/>
      <c r="M818" s="4"/>
      <c r="N818" s="4"/>
      <c r="O818" s="4"/>
      <c r="P818" s="4"/>
      <c r="Q818" s="4"/>
    </row>
    <row r="819" spans="1:17" ht="12.75">
      <c r="A819" s="4"/>
      <c r="B819" s="3"/>
      <c r="C819" s="3"/>
      <c r="D819" s="4"/>
      <c r="E819" s="4"/>
      <c r="F819" s="4"/>
      <c r="G819" s="4"/>
      <c r="H819" s="4"/>
      <c r="I819" s="4"/>
      <c r="J819" s="4"/>
      <c r="K819" s="4"/>
      <c r="L819" s="4"/>
      <c r="M819" s="4"/>
      <c r="N819" s="4"/>
      <c r="O819" s="4"/>
      <c r="P819" s="4"/>
      <c r="Q819" s="4"/>
    </row>
    <row r="820" spans="1:17" ht="12.75">
      <c r="A820" s="4"/>
      <c r="B820" s="3"/>
      <c r="C820" s="3"/>
      <c r="D820" s="4"/>
      <c r="E820" s="4"/>
      <c r="F820" s="4"/>
      <c r="G820" s="4"/>
      <c r="H820" s="4"/>
      <c r="I820" s="4"/>
      <c r="J820" s="4"/>
      <c r="K820" s="4"/>
      <c r="L820" s="4"/>
      <c r="M820" s="4"/>
      <c r="N820" s="4"/>
      <c r="O820" s="4"/>
      <c r="P820" s="4"/>
      <c r="Q820" s="4"/>
    </row>
  </sheetData>
  <mergeCells count="2">
    <mergeCell ref="B1:G1"/>
    <mergeCell ref="B3:Q3"/>
  </mergeCells>
  <pageMargins left="0" right="0" top="0" bottom="0" header="0" footer="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BF915"/>
  <sheetViews>
    <sheetView showGridLines="0" workbookViewId="0">
      <pane ySplit="1" topLeftCell="A2" activePane="bottomLeft" state="frozen"/>
      <selection pane="bottomLeft" activeCell="G10" sqref="G10"/>
    </sheetView>
  </sheetViews>
  <sheetFormatPr defaultColWidth="12.5703125" defaultRowHeight="15.75" customHeight="1"/>
  <cols>
    <col min="1" max="1" width="5.42578125" customWidth="1"/>
    <col min="2" max="2" width="6.42578125" customWidth="1"/>
    <col min="3" max="3" width="15.28515625" customWidth="1"/>
    <col min="4" max="4" width="17.140625" customWidth="1"/>
    <col min="5" max="5" width="20.5703125" customWidth="1"/>
    <col min="6" max="58" width="9.42578125" customWidth="1"/>
  </cols>
  <sheetData>
    <row r="1" spans="1:58">
      <c r="A1" s="4"/>
      <c r="B1" s="662" t="s">
        <v>499</v>
      </c>
      <c r="C1" s="769"/>
      <c r="D1" s="769"/>
      <c r="E1" s="769"/>
      <c r="F1" s="769"/>
      <c r="G1" s="769"/>
      <c r="H1" s="769"/>
      <c r="I1" s="769"/>
      <c r="J1" s="769"/>
      <c r="K1" s="769"/>
      <c r="L1" s="769"/>
      <c r="M1" s="769"/>
      <c r="N1" s="769"/>
      <c r="O1" s="4"/>
      <c r="P1" s="4"/>
      <c r="Q1" s="4"/>
      <c r="R1" s="4"/>
      <c r="S1" s="4"/>
      <c r="T1" s="4"/>
      <c r="U1" s="4"/>
      <c r="V1" s="4"/>
      <c r="W1" s="4"/>
      <c r="X1" s="4"/>
      <c r="Y1" s="4"/>
      <c r="Z1" s="4"/>
      <c r="AA1" s="4"/>
      <c r="AB1" s="4"/>
      <c r="AC1" s="4"/>
      <c r="AD1" s="4"/>
      <c r="AE1" s="4"/>
      <c r="AF1" s="4"/>
      <c r="AG1" s="4"/>
      <c r="AH1" s="4"/>
      <c r="AI1" s="4"/>
      <c r="AJ1" s="4"/>
      <c r="AK1" s="4"/>
      <c r="AL1" s="4"/>
      <c r="AM1" s="4"/>
      <c r="AN1" s="4"/>
      <c r="AO1" s="4"/>
      <c r="AP1" s="4"/>
      <c r="AQ1" s="5"/>
      <c r="AR1" s="4"/>
      <c r="AS1" s="4"/>
      <c r="AT1" s="4"/>
      <c r="AU1" s="4"/>
      <c r="AV1" s="4"/>
      <c r="AW1" s="4"/>
      <c r="AX1" s="4"/>
      <c r="AY1" s="4"/>
      <c r="AZ1" s="4"/>
      <c r="BA1" s="4"/>
      <c r="BB1" s="4"/>
      <c r="BC1" s="4"/>
      <c r="BD1" s="4"/>
      <c r="BE1" s="4"/>
      <c r="BF1" s="4"/>
    </row>
    <row r="2" spans="1:58">
      <c r="A2" s="4"/>
      <c r="B2" s="3"/>
      <c r="C2" s="3"/>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5"/>
      <c r="AR2" s="4"/>
      <c r="AS2" s="4"/>
      <c r="AT2" s="4"/>
      <c r="AU2" s="4"/>
      <c r="AV2" s="4"/>
      <c r="AW2" s="4"/>
      <c r="AX2" s="4"/>
      <c r="AY2" s="4"/>
      <c r="AZ2" s="4"/>
      <c r="BA2" s="4"/>
      <c r="BB2" s="4"/>
      <c r="BC2" s="4"/>
      <c r="BD2" s="4"/>
      <c r="BE2" s="4"/>
      <c r="BF2" s="4"/>
    </row>
    <row r="3" spans="1:58">
      <c r="A3" s="4"/>
      <c r="B3" s="667" t="s">
        <v>500</v>
      </c>
      <c r="C3" s="775"/>
      <c r="D3" s="775"/>
      <c r="E3" s="775"/>
      <c r="F3" s="775"/>
      <c r="G3" s="775"/>
      <c r="H3" s="775"/>
      <c r="I3" s="775"/>
      <c r="J3" s="775"/>
      <c r="K3" s="775"/>
      <c r="L3" s="775"/>
      <c r="M3" s="775"/>
      <c r="N3" s="775"/>
      <c r="O3" s="775"/>
      <c r="P3" s="775"/>
      <c r="Q3" s="775"/>
      <c r="R3" s="775"/>
      <c r="S3" s="775"/>
      <c r="T3" s="775"/>
      <c r="U3" s="775"/>
      <c r="V3" s="775"/>
      <c r="W3" s="775"/>
      <c r="X3" s="775"/>
      <c r="Y3" s="775"/>
      <c r="Z3" s="775"/>
      <c r="AA3" s="775"/>
      <c r="AB3" s="775"/>
      <c r="AC3" s="775"/>
      <c r="AD3" s="775"/>
      <c r="AE3" s="775"/>
      <c r="AF3" s="775"/>
      <c r="AG3" s="775"/>
      <c r="AH3" s="775"/>
      <c r="AI3" s="775"/>
      <c r="AJ3" s="775"/>
      <c r="AK3" s="775"/>
      <c r="AL3" s="775"/>
      <c r="AM3" s="775"/>
      <c r="AN3" s="775"/>
      <c r="AO3" s="775"/>
      <c r="AP3" s="775"/>
      <c r="AQ3" s="775"/>
      <c r="AR3" s="775"/>
      <c r="AS3" s="775"/>
      <c r="AT3" s="775"/>
      <c r="AU3" s="775"/>
      <c r="AV3" s="775"/>
      <c r="AW3" s="775"/>
      <c r="AX3" s="775"/>
      <c r="AY3" s="775"/>
      <c r="AZ3" s="775"/>
      <c r="BA3" s="775"/>
      <c r="BB3" s="775"/>
      <c r="BC3" s="775"/>
      <c r="BD3" s="775"/>
      <c r="BE3" s="775"/>
      <c r="BF3" s="770"/>
    </row>
    <row r="4" spans="1:58">
      <c r="A4" s="4"/>
      <c r="B4" s="102" t="s">
        <v>462</v>
      </c>
      <c r="C4" s="102" t="s">
        <v>463</v>
      </c>
      <c r="D4" s="103" t="s">
        <v>464</v>
      </c>
      <c r="E4" s="103" t="s">
        <v>465</v>
      </c>
      <c r="F4" s="103">
        <v>2024</v>
      </c>
      <c r="G4" s="104" t="s">
        <v>501</v>
      </c>
      <c r="H4" s="104" t="s">
        <v>502</v>
      </c>
      <c r="I4" s="104" t="s">
        <v>503</v>
      </c>
      <c r="J4" s="104" t="s">
        <v>504</v>
      </c>
      <c r="K4" s="104" t="s">
        <v>505</v>
      </c>
      <c r="L4" s="104" t="s">
        <v>506</v>
      </c>
      <c r="M4" s="104" t="s">
        <v>507</v>
      </c>
      <c r="N4" s="104" t="s">
        <v>508</v>
      </c>
      <c r="O4" s="104" t="s">
        <v>509</v>
      </c>
      <c r="P4" s="102" t="s">
        <v>510</v>
      </c>
      <c r="Q4" s="102" t="s">
        <v>511</v>
      </c>
      <c r="R4" s="102" t="s">
        <v>512</v>
      </c>
      <c r="S4" s="102" t="s">
        <v>513</v>
      </c>
      <c r="T4" s="102" t="s">
        <v>514</v>
      </c>
      <c r="U4" s="102" t="s">
        <v>515</v>
      </c>
      <c r="V4" s="102" t="s">
        <v>516</v>
      </c>
      <c r="W4" s="102" t="s">
        <v>517</v>
      </c>
      <c r="X4" s="102" t="s">
        <v>518</v>
      </c>
      <c r="Y4" s="102" t="s">
        <v>519</v>
      </c>
      <c r="Z4" s="102" t="s">
        <v>520</v>
      </c>
      <c r="AA4" s="102" t="s">
        <v>521</v>
      </c>
      <c r="AB4" s="102" t="s">
        <v>522</v>
      </c>
      <c r="AC4" s="102" t="s">
        <v>523</v>
      </c>
      <c r="AD4" s="102" t="s">
        <v>524</v>
      </c>
      <c r="AE4" s="102" t="s">
        <v>525</v>
      </c>
      <c r="AF4" s="102" t="s">
        <v>526</v>
      </c>
      <c r="AG4" s="102" t="s">
        <v>527</v>
      </c>
      <c r="AH4" s="102" t="s">
        <v>528</v>
      </c>
      <c r="AI4" s="102" t="s">
        <v>529</v>
      </c>
      <c r="AJ4" s="102" t="s">
        <v>530</v>
      </c>
      <c r="AK4" s="102" t="s">
        <v>531</v>
      </c>
      <c r="AL4" s="102" t="s">
        <v>532</v>
      </c>
      <c r="AM4" s="102" t="s">
        <v>533</v>
      </c>
      <c r="AN4" s="102" t="s">
        <v>534</v>
      </c>
      <c r="AO4" s="102" t="s">
        <v>535</v>
      </c>
      <c r="AP4" s="102" t="s">
        <v>536</v>
      </c>
      <c r="AQ4" s="102" t="s">
        <v>537</v>
      </c>
      <c r="AR4" s="102" t="s">
        <v>538</v>
      </c>
      <c r="AS4" s="102" t="s">
        <v>539</v>
      </c>
      <c r="AT4" s="102" t="s">
        <v>540</v>
      </c>
      <c r="AU4" s="102" t="s">
        <v>541</v>
      </c>
      <c r="AV4" s="102" t="s">
        <v>542</v>
      </c>
      <c r="AW4" s="102" t="s">
        <v>543</v>
      </c>
      <c r="AX4" s="102" t="s">
        <v>544</v>
      </c>
      <c r="AY4" s="102" t="s">
        <v>545</v>
      </c>
      <c r="AZ4" s="102" t="s">
        <v>546</v>
      </c>
      <c r="BA4" s="102" t="s">
        <v>547</v>
      </c>
      <c r="BB4" s="102" t="s">
        <v>548</v>
      </c>
      <c r="BC4" s="102" t="s">
        <v>549</v>
      </c>
      <c r="BD4" s="102" t="s">
        <v>550</v>
      </c>
      <c r="BE4" s="102" t="s">
        <v>551</v>
      </c>
      <c r="BF4" s="102" t="s">
        <v>552</v>
      </c>
    </row>
    <row r="5" spans="1:58">
      <c r="A5" s="4"/>
      <c r="B5" s="18">
        <v>1</v>
      </c>
      <c r="C5" s="18" t="s">
        <v>476</v>
      </c>
      <c r="D5" s="22" t="s">
        <v>477</v>
      </c>
      <c r="E5" s="25" t="s">
        <v>114</v>
      </c>
      <c r="F5" s="23">
        <f>SUM(F6:F23)</f>
        <v>3251</v>
      </c>
      <c r="G5" s="23" t="s">
        <v>114</v>
      </c>
      <c r="H5" s="23" t="s">
        <v>114</v>
      </c>
      <c r="I5" s="23" t="s">
        <v>114</v>
      </c>
      <c r="J5" s="23" t="s">
        <v>114</v>
      </c>
      <c r="K5" s="23" t="s">
        <v>114</v>
      </c>
      <c r="L5" s="23" t="s">
        <v>114</v>
      </c>
      <c r="M5" s="23" t="s">
        <v>114</v>
      </c>
      <c r="N5" s="23" t="s">
        <v>114</v>
      </c>
      <c r="O5" s="23" t="s">
        <v>114</v>
      </c>
      <c r="P5" s="23" t="s">
        <v>114</v>
      </c>
      <c r="Q5" s="23" t="s">
        <v>114</v>
      </c>
      <c r="R5" s="23" t="s">
        <v>114</v>
      </c>
      <c r="S5" s="23" t="s">
        <v>114</v>
      </c>
      <c r="T5" s="23" t="s">
        <v>114</v>
      </c>
      <c r="U5" s="23" t="s">
        <v>114</v>
      </c>
      <c r="V5" s="23" t="s">
        <v>114</v>
      </c>
      <c r="W5" s="23" t="s">
        <v>114</v>
      </c>
      <c r="X5" s="23" t="s">
        <v>114</v>
      </c>
      <c r="Y5" s="23" t="s">
        <v>114</v>
      </c>
      <c r="Z5" s="23" t="s">
        <v>114</v>
      </c>
      <c r="AA5" s="23" t="s">
        <v>114</v>
      </c>
      <c r="AB5" s="23" t="s">
        <v>114</v>
      </c>
      <c r="AC5" s="23" t="s">
        <v>114</v>
      </c>
      <c r="AD5" s="23" t="s">
        <v>114</v>
      </c>
      <c r="AE5" s="23" t="s">
        <v>114</v>
      </c>
      <c r="AF5" s="23" t="s">
        <v>114</v>
      </c>
      <c r="AG5" s="23" t="s">
        <v>114</v>
      </c>
      <c r="AH5" s="23" t="s">
        <v>114</v>
      </c>
      <c r="AI5" s="23" t="s">
        <v>114</v>
      </c>
      <c r="AJ5" s="23" t="s">
        <v>114</v>
      </c>
      <c r="AK5" s="23" t="s">
        <v>114</v>
      </c>
      <c r="AL5" s="23" t="s">
        <v>114</v>
      </c>
      <c r="AM5" s="23" t="s">
        <v>114</v>
      </c>
      <c r="AN5" s="23" t="s">
        <v>114</v>
      </c>
      <c r="AO5" s="23" t="s">
        <v>114</v>
      </c>
      <c r="AP5" s="23" t="s">
        <v>114</v>
      </c>
      <c r="AQ5" s="23" t="s">
        <v>114</v>
      </c>
      <c r="AR5" s="23" t="s">
        <v>114</v>
      </c>
      <c r="AS5" s="23" t="s">
        <v>114</v>
      </c>
      <c r="AT5" s="23" t="s">
        <v>114</v>
      </c>
      <c r="AU5" s="23" t="s">
        <v>114</v>
      </c>
      <c r="AV5" s="23" t="s">
        <v>114</v>
      </c>
      <c r="AW5" s="23" t="s">
        <v>114</v>
      </c>
      <c r="AX5" s="23" t="s">
        <v>114</v>
      </c>
      <c r="AY5" s="23" t="s">
        <v>114</v>
      </c>
      <c r="AZ5" s="23" t="s">
        <v>114</v>
      </c>
      <c r="BA5" s="23" t="s">
        <v>114</v>
      </c>
      <c r="BB5" s="23" t="s">
        <v>114</v>
      </c>
      <c r="BC5" s="23" t="s">
        <v>114</v>
      </c>
      <c r="BD5" s="23" t="s">
        <v>114</v>
      </c>
      <c r="BE5" s="23" t="s">
        <v>114</v>
      </c>
      <c r="BF5" s="23" t="s">
        <v>114</v>
      </c>
    </row>
    <row r="6" spans="1:58">
      <c r="A6" s="4"/>
      <c r="B6" s="668">
        <v>2</v>
      </c>
      <c r="C6" s="668" t="s">
        <v>478</v>
      </c>
      <c r="D6" s="655" t="s">
        <v>479</v>
      </c>
      <c r="E6" s="106" t="s">
        <v>37</v>
      </c>
      <c r="F6" s="107">
        <f t="shared" ref="F6:F25" si="0">SUM(G6:BF6)</f>
        <v>922</v>
      </c>
      <c r="G6" s="23">
        <v>0</v>
      </c>
      <c r="H6" s="23">
        <v>0</v>
      </c>
      <c r="I6" s="23">
        <v>0</v>
      </c>
      <c r="J6" s="23">
        <v>0</v>
      </c>
      <c r="K6" s="23">
        <v>0</v>
      </c>
      <c r="L6" s="23">
        <v>0</v>
      </c>
      <c r="M6" s="23">
        <v>0</v>
      </c>
      <c r="N6" s="23">
        <v>0</v>
      </c>
      <c r="O6" s="23">
        <v>0</v>
      </c>
      <c r="P6" s="23">
        <v>0</v>
      </c>
      <c r="Q6" s="23">
        <v>416</v>
      </c>
      <c r="R6" s="23">
        <v>0</v>
      </c>
      <c r="S6" s="23">
        <v>0</v>
      </c>
      <c r="T6" s="23">
        <v>0</v>
      </c>
      <c r="U6" s="23">
        <v>0</v>
      </c>
      <c r="V6" s="23">
        <v>0</v>
      </c>
      <c r="W6" s="23">
        <v>0</v>
      </c>
      <c r="X6" s="23">
        <v>0</v>
      </c>
      <c r="Y6" s="23">
        <v>415</v>
      </c>
      <c r="Z6" s="23">
        <v>7</v>
      </c>
      <c r="AA6" s="23">
        <v>7</v>
      </c>
      <c r="AB6" s="23">
        <v>11</v>
      </c>
      <c r="AC6" s="23">
        <v>20</v>
      </c>
      <c r="AD6" s="23">
        <v>6</v>
      </c>
      <c r="AE6" s="23">
        <v>9</v>
      </c>
      <c r="AF6" s="23">
        <v>0</v>
      </c>
      <c r="AG6" s="23">
        <v>9</v>
      </c>
      <c r="AH6" s="23">
        <v>3</v>
      </c>
      <c r="AI6" s="23">
        <v>2</v>
      </c>
      <c r="AJ6" s="23">
        <v>7</v>
      </c>
      <c r="AK6" s="23">
        <v>7</v>
      </c>
      <c r="AL6" s="23">
        <v>3</v>
      </c>
      <c r="AM6" s="23">
        <v>0</v>
      </c>
      <c r="AN6" s="23">
        <v>0</v>
      </c>
      <c r="AO6" s="23">
        <v>0</v>
      </c>
      <c r="AP6" s="23">
        <v>0</v>
      </c>
      <c r="AQ6" s="23">
        <v>0</v>
      </c>
      <c r="AR6" s="23">
        <v>0</v>
      </c>
      <c r="AS6" s="23">
        <v>0</v>
      </c>
      <c r="AT6" s="23">
        <v>0</v>
      </c>
      <c r="AU6" s="23">
        <v>0</v>
      </c>
      <c r="AV6" s="23">
        <v>0</v>
      </c>
      <c r="AW6" s="23">
        <v>0</v>
      </c>
      <c r="AX6" s="23">
        <v>0</v>
      </c>
      <c r="AY6" s="23">
        <v>0</v>
      </c>
      <c r="AZ6" s="23">
        <v>0</v>
      </c>
      <c r="BA6" s="23">
        <v>0</v>
      </c>
      <c r="BB6" s="23">
        <v>0</v>
      </c>
      <c r="BC6" s="23">
        <v>0</v>
      </c>
      <c r="BD6" s="23">
        <v>0</v>
      </c>
      <c r="BE6" s="23">
        <v>0</v>
      </c>
      <c r="BF6" s="23">
        <v>0</v>
      </c>
    </row>
    <row r="7" spans="1:58">
      <c r="A7" s="4"/>
      <c r="B7" s="774"/>
      <c r="C7" s="774"/>
      <c r="D7" s="774"/>
      <c r="E7" s="25" t="s">
        <v>38</v>
      </c>
      <c r="F7" s="23">
        <f t="shared" si="0"/>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c r="AF7" s="23">
        <v>0</v>
      </c>
      <c r="AG7" s="23">
        <v>0</v>
      </c>
      <c r="AH7" s="23">
        <v>0</v>
      </c>
      <c r="AI7" s="23">
        <v>0</v>
      </c>
      <c r="AJ7" s="23">
        <v>0</v>
      </c>
      <c r="AK7" s="23">
        <v>0</v>
      </c>
      <c r="AL7" s="23">
        <v>0</v>
      </c>
      <c r="AM7" s="23">
        <v>0</v>
      </c>
      <c r="AN7" s="23">
        <v>0</v>
      </c>
      <c r="AO7" s="23">
        <v>0</v>
      </c>
      <c r="AP7" s="23">
        <v>0</v>
      </c>
      <c r="AQ7" s="23">
        <v>0</v>
      </c>
      <c r="AR7" s="23">
        <v>0</v>
      </c>
      <c r="AS7" s="23">
        <v>0</v>
      </c>
      <c r="AT7" s="23">
        <v>0</v>
      </c>
      <c r="AU7" s="23">
        <v>0</v>
      </c>
      <c r="AV7" s="23">
        <v>0</v>
      </c>
      <c r="AW7" s="23">
        <v>0</v>
      </c>
      <c r="AX7" s="23">
        <v>0</v>
      </c>
      <c r="AY7" s="23">
        <v>0</v>
      </c>
      <c r="AZ7" s="23">
        <v>0</v>
      </c>
      <c r="BA7" s="23">
        <v>0</v>
      </c>
      <c r="BB7" s="23">
        <v>0</v>
      </c>
      <c r="BC7" s="23">
        <v>0</v>
      </c>
      <c r="BD7" s="23">
        <v>0</v>
      </c>
      <c r="BE7" s="23">
        <v>0</v>
      </c>
      <c r="BF7" s="23">
        <v>0</v>
      </c>
    </row>
    <row r="8" spans="1:58">
      <c r="A8" s="4"/>
      <c r="B8" s="774"/>
      <c r="C8" s="774"/>
      <c r="D8" s="774"/>
      <c r="E8" s="25" t="s">
        <v>78</v>
      </c>
      <c r="F8" s="107">
        <f t="shared" si="0"/>
        <v>218</v>
      </c>
      <c r="G8" s="23">
        <v>0</v>
      </c>
      <c r="H8" s="23">
        <v>0</v>
      </c>
      <c r="I8" s="23">
        <v>0</v>
      </c>
      <c r="J8" s="23">
        <v>0</v>
      </c>
      <c r="K8" s="23">
        <v>0</v>
      </c>
      <c r="L8" s="23">
        <v>0</v>
      </c>
      <c r="M8" s="23">
        <v>0</v>
      </c>
      <c r="N8" s="23">
        <v>0</v>
      </c>
      <c r="O8" s="23">
        <v>0</v>
      </c>
      <c r="P8" s="23">
        <v>0</v>
      </c>
      <c r="Q8" s="23">
        <v>0</v>
      </c>
      <c r="R8" s="23">
        <v>0</v>
      </c>
      <c r="S8" s="23">
        <v>0</v>
      </c>
      <c r="T8" s="23">
        <v>0</v>
      </c>
      <c r="U8" s="23">
        <v>0</v>
      </c>
      <c r="V8" s="23">
        <v>0</v>
      </c>
      <c r="W8" s="23">
        <v>0</v>
      </c>
      <c r="X8" s="23">
        <v>0</v>
      </c>
      <c r="Y8" s="23">
        <v>0</v>
      </c>
      <c r="Z8" s="23">
        <v>0</v>
      </c>
      <c r="AA8" s="23">
        <v>0</v>
      </c>
      <c r="AB8" s="23">
        <v>0</v>
      </c>
      <c r="AC8" s="23">
        <v>0</v>
      </c>
      <c r="AD8" s="23">
        <v>3</v>
      </c>
      <c r="AE8" s="23">
        <v>7</v>
      </c>
      <c r="AF8" s="23">
        <v>2</v>
      </c>
      <c r="AG8" s="23">
        <v>9</v>
      </c>
      <c r="AH8" s="23">
        <v>37</v>
      </c>
      <c r="AI8" s="23">
        <v>34</v>
      </c>
      <c r="AJ8" s="23">
        <v>30</v>
      </c>
      <c r="AK8" s="23">
        <v>35</v>
      </c>
      <c r="AL8" s="23">
        <v>28</v>
      </c>
      <c r="AM8" s="108">
        <v>9</v>
      </c>
      <c r="AN8" s="108">
        <v>12</v>
      </c>
      <c r="AO8" s="108">
        <v>12</v>
      </c>
      <c r="AP8" s="23">
        <v>0</v>
      </c>
      <c r="AQ8" s="23">
        <v>0</v>
      </c>
      <c r="AR8" s="23">
        <v>0</v>
      </c>
      <c r="AS8" s="23">
        <v>0</v>
      </c>
      <c r="AT8" s="23">
        <v>0</v>
      </c>
      <c r="AU8" s="23">
        <v>0</v>
      </c>
      <c r="AV8" s="23">
        <v>0</v>
      </c>
      <c r="AW8" s="23">
        <v>0</v>
      </c>
      <c r="AX8" s="23">
        <v>0</v>
      </c>
      <c r="AY8" s="23">
        <v>0</v>
      </c>
      <c r="AZ8" s="23">
        <v>0</v>
      </c>
      <c r="BA8" s="23">
        <v>0</v>
      </c>
      <c r="BB8" s="23">
        <v>0</v>
      </c>
      <c r="BC8" s="23">
        <v>0</v>
      </c>
      <c r="BD8" s="23">
        <v>0</v>
      </c>
      <c r="BE8" s="23">
        <v>0</v>
      </c>
      <c r="BF8" s="23">
        <v>0</v>
      </c>
    </row>
    <row r="9" spans="1:58">
      <c r="A9" s="4"/>
      <c r="B9" s="774"/>
      <c r="C9" s="774"/>
      <c r="D9" s="774"/>
      <c r="E9" s="25" t="s">
        <v>66</v>
      </c>
      <c r="F9" s="23">
        <f t="shared" si="0"/>
        <v>0</v>
      </c>
      <c r="G9" s="23"/>
      <c r="H9" s="23"/>
      <c r="I9" s="23"/>
      <c r="J9" s="23"/>
      <c r="K9" s="23"/>
      <c r="L9" s="23"/>
      <c r="M9" s="23"/>
      <c r="N9" s="23"/>
      <c r="O9" s="23"/>
      <c r="P9" s="23"/>
      <c r="Q9" s="23"/>
      <c r="R9" s="23"/>
      <c r="S9" s="23"/>
      <c r="T9" s="23"/>
      <c r="U9" s="23"/>
      <c r="V9" s="23"/>
      <c r="W9" s="23"/>
      <c r="X9" s="23"/>
      <c r="Y9" s="23"/>
      <c r="Z9" s="23"/>
      <c r="AA9" s="23"/>
      <c r="AB9" s="23"/>
      <c r="AC9" s="23"/>
      <c r="AD9" s="23"/>
      <c r="AE9" s="23"/>
      <c r="AF9" s="23"/>
      <c r="AG9" s="23"/>
      <c r="AH9" s="23"/>
      <c r="AI9" s="23"/>
      <c r="AJ9" s="23"/>
      <c r="AK9" s="23"/>
      <c r="AL9" s="23"/>
      <c r="AM9" s="108"/>
      <c r="AN9" s="108"/>
      <c r="AO9" s="108"/>
      <c r="AP9" s="106"/>
      <c r="AQ9" s="106"/>
      <c r="AR9" s="106"/>
      <c r="AS9" s="106"/>
      <c r="AT9" s="108"/>
      <c r="AU9" s="108"/>
      <c r="AV9" s="108"/>
      <c r="AW9" s="106"/>
      <c r="AX9" s="106"/>
      <c r="AY9" s="106"/>
      <c r="AZ9" s="106"/>
      <c r="BA9" s="106"/>
      <c r="BB9" s="106"/>
      <c r="BC9" s="106"/>
      <c r="BD9" s="106"/>
      <c r="BE9" s="106"/>
      <c r="BF9" s="106"/>
    </row>
    <row r="10" spans="1:58">
      <c r="A10" s="4"/>
      <c r="B10" s="773"/>
      <c r="C10" s="773"/>
      <c r="D10" s="773"/>
      <c r="E10" s="25" t="s">
        <v>129</v>
      </c>
      <c r="F10" s="107">
        <f t="shared" si="0"/>
        <v>1003</v>
      </c>
      <c r="G10" s="23">
        <v>1000</v>
      </c>
      <c r="H10" s="23">
        <v>0</v>
      </c>
      <c r="I10" s="23">
        <v>1</v>
      </c>
      <c r="J10" s="23">
        <v>2</v>
      </c>
      <c r="K10" s="23"/>
      <c r="L10" s="23"/>
      <c r="M10" s="23"/>
      <c r="N10" s="23"/>
      <c r="O10" s="23"/>
      <c r="P10" s="23"/>
      <c r="Q10" s="23"/>
      <c r="R10" s="23"/>
      <c r="S10" s="23"/>
      <c r="T10" s="23"/>
      <c r="U10" s="23"/>
      <c r="V10" s="23"/>
      <c r="W10" s="23"/>
      <c r="X10" s="23"/>
      <c r="Y10" s="23"/>
      <c r="Z10" s="23"/>
      <c r="AA10" s="23"/>
      <c r="AB10" s="23"/>
      <c r="AC10" s="23"/>
      <c r="AD10" s="23"/>
      <c r="AE10" s="23"/>
      <c r="AF10" s="23"/>
      <c r="AG10" s="23"/>
      <c r="AH10" s="23"/>
      <c r="AI10" s="23"/>
      <c r="AJ10" s="23"/>
      <c r="AK10" s="23"/>
      <c r="AL10" s="23"/>
      <c r="AM10" s="108"/>
      <c r="AN10" s="108"/>
      <c r="AO10" s="108"/>
      <c r="AP10" s="106"/>
      <c r="AQ10" s="106"/>
      <c r="AR10" s="106"/>
      <c r="AS10" s="106"/>
      <c r="AT10" s="108"/>
      <c r="AU10" s="108"/>
      <c r="AV10" s="108"/>
      <c r="AW10" s="106"/>
      <c r="AX10" s="106"/>
      <c r="AY10" s="106"/>
      <c r="AZ10" s="106"/>
      <c r="BA10" s="106"/>
      <c r="BB10" s="106"/>
      <c r="BC10" s="106"/>
      <c r="BD10" s="106"/>
      <c r="BE10" s="106"/>
      <c r="BF10" s="106"/>
    </row>
    <row r="11" spans="1:58">
      <c r="A11" s="4"/>
      <c r="B11" s="668">
        <v>3</v>
      </c>
      <c r="C11" s="668" t="s">
        <v>480</v>
      </c>
      <c r="D11" s="655" t="s">
        <v>481</v>
      </c>
      <c r="E11" s="25" t="s">
        <v>31</v>
      </c>
      <c r="F11" s="23">
        <f t="shared" si="0"/>
        <v>171</v>
      </c>
      <c r="G11" s="23">
        <v>171</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c r="AF11" s="23"/>
      <c r="AG11" s="23"/>
      <c r="AH11" s="23"/>
      <c r="AI11" s="23"/>
      <c r="AJ11" s="23"/>
      <c r="AK11" s="23"/>
      <c r="AL11" s="23"/>
      <c r="AM11" s="106"/>
      <c r="AN11" s="106"/>
      <c r="AO11" s="106"/>
      <c r="AP11" s="106"/>
      <c r="AQ11" s="106"/>
      <c r="AR11" s="106"/>
      <c r="AS11" s="106"/>
      <c r="AT11" s="108"/>
      <c r="AU11" s="108"/>
      <c r="AV11" s="108"/>
      <c r="AW11" s="106"/>
      <c r="AX11" s="106"/>
      <c r="AY11" s="106"/>
      <c r="AZ11" s="106"/>
      <c r="BA11" s="106"/>
      <c r="BB11" s="106"/>
      <c r="BC11" s="106"/>
      <c r="BD11" s="106"/>
      <c r="BE11" s="106"/>
      <c r="BF11" s="106"/>
    </row>
    <row r="12" spans="1:58">
      <c r="A12" s="4"/>
      <c r="B12" s="774"/>
      <c r="C12" s="774"/>
      <c r="D12" s="774"/>
      <c r="E12" s="106" t="s">
        <v>39</v>
      </c>
      <c r="F12" s="107">
        <f t="shared" si="0"/>
        <v>650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650</v>
      </c>
      <c r="X12" s="23">
        <v>0</v>
      </c>
      <c r="Y12" s="23">
        <v>0</v>
      </c>
      <c r="Z12" s="23">
        <v>0</v>
      </c>
      <c r="AA12" s="23">
        <v>0</v>
      </c>
      <c r="AB12" s="23">
        <v>0</v>
      </c>
      <c r="AC12" s="23">
        <v>0</v>
      </c>
      <c r="AD12" s="23">
        <v>0</v>
      </c>
      <c r="AE12" s="23"/>
      <c r="AF12" s="23"/>
      <c r="AG12" s="23"/>
      <c r="AH12" s="23"/>
      <c r="AI12" s="23"/>
      <c r="AJ12" s="23"/>
      <c r="AK12" s="23"/>
      <c r="AL12" s="23"/>
      <c r="AM12" s="106"/>
      <c r="AN12" s="106"/>
      <c r="AO12" s="106"/>
      <c r="AP12" s="106"/>
      <c r="AQ12" s="106"/>
      <c r="AR12" s="106"/>
      <c r="AS12" s="106"/>
      <c r="AT12" s="108"/>
      <c r="AU12" s="108"/>
      <c r="AV12" s="108"/>
      <c r="AW12" s="106"/>
      <c r="AX12" s="106"/>
      <c r="AY12" s="106"/>
      <c r="AZ12" s="106"/>
      <c r="BA12" s="106"/>
      <c r="BB12" s="106"/>
      <c r="BC12" s="106"/>
      <c r="BD12" s="106"/>
      <c r="BE12" s="106"/>
      <c r="BF12" s="106"/>
    </row>
    <row r="13" spans="1:58">
      <c r="A13" s="4"/>
      <c r="B13" s="774"/>
      <c r="C13" s="774"/>
      <c r="D13" s="774"/>
      <c r="E13" s="106" t="s">
        <v>190</v>
      </c>
      <c r="F13" s="23">
        <f t="shared" si="0"/>
        <v>0</v>
      </c>
      <c r="G13" s="23"/>
      <c r="H13" s="23"/>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3"/>
      <c r="AM13" s="106"/>
      <c r="AN13" s="106"/>
      <c r="AO13" s="106"/>
      <c r="AP13" s="106"/>
      <c r="AQ13" s="106"/>
      <c r="AR13" s="106"/>
      <c r="AS13" s="106"/>
      <c r="AT13" s="108"/>
      <c r="AU13" s="108"/>
      <c r="AV13" s="108"/>
      <c r="AW13" s="106"/>
      <c r="AX13" s="106"/>
      <c r="AY13" s="106"/>
      <c r="AZ13" s="106"/>
      <c r="BA13" s="106"/>
      <c r="BB13" s="106"/>
      <c r="BC13" s="106"/>
      <c r="BD13" s="106"/>
      <c r="BE13" s="106"/>
      <c r="BF13" s="106"/>
    </row>
    <row r="14" spans="1:58">
      <c r="A14" s="4"/>
      <c r="B14" s="773"/>
      <c r="C14" s="773"/>
      <c r="D14" s="773"/>
      <c r="E14" s="106" t="s">
        <v>68</v>
      </c>
      <c r="F14" s="107">
        <f t="shared" si="0"/>
        <v>120</v>
      </c>
      <c r="G14" s="23">
        <v>0</v>
      </c>
      <c r="H14" s="23">
        <v>15</v>
      </c>
      <c r="I14" s="23">
        <v>15</v>
      </c>
      <c r="J14" s="23">
        <v>0</v>
      </c>
      <c r="K14" s="23">
        <v>0</v>
      </c>
      <c r="L14" s="23">
        <v>2</v>
      </c>
      <c r="M14" s="23">
        <v>25</v>
      </c>
      <c r="N14" s="23">
        <v>1</v>
      </c>
      <c r="O14" s="23">
        <v>0</v>
      </c>
      <c r="P14" s="23">
        <v>10</v>
      </c>
      <c r="Q14" s="23">
        <v>11</v>
      </c>
      <c r="R14" s="23">
        <v>22</v>
      </c>
      <c r="S14" s="23">
        <v>10</v>
      </c>
      <c r="T14" s="23">
        <v>0</v>
      </c>
      <c r="U14" s="23">
        <v>0</v>
      </c>
      <c r="V14" s="23">
        <v>0</v>
      </c>
      <c r="W14" s="23">
        <v>0</v>
      </c>
      <c r="X14" s="23">
        <v>0</v>
      </c>
      <c r="Y14" s="23">
        <v>0</v>
      </c>
      <c r="Z14" s="23">
        <v>8</v>
      </c>
      <c r="AA14" s="23">
        <v>1</v>
      </c>
      <c r="AB14" s="23">
        <v>0</v>
      </c>
      <c r="AC14" s="23">
        <v>0</v>
      </c>
      <c r="AD14" s="23">
        <v>0</v>
      </c>
      <c r="AE14" s="23"/>
      <c r="AF14" s="23"/>
      <c r="AG14" s="23"/>
      <c r="AH14" s="23"/>
      <c r="AI14" s="23"/>
      <c r="AJ14" s="23"/>
      <c r="AK14" s="23"/>
      <c r="AL14" s="23"/>
      <c r="AM14" s="106"/>
      <c r="AN14" s="106"/>
      <c r="AO14" s="106"/>
      <c r="AP14" s="106"/>
      <c r="AQ14" s="106"/>
      <c r="AR14" s="106"/>
      <c r="AS14" s="106"/>
      <c r="AT14" s="108"/>
      <c r="AU14" s="108"/>
      <c r="AV14" s="108"/>
      <c r="AW14" s="106"/>
      <c r="AX14" s="106"/>
      <c r="AY14" s="106"/>
      <c r="AZ14" s="106"/>
      <c r="BA14" s="106"/>
      <c r="BB14" s="106"/>
      <c r="BC14" s="106"/>
      <c r="BD14" s="106"/>
      <c r="BE14" s="106"/>
      <c r="BF14" s="106"/>
    </row>
    <row r="15" spans="1:58">
      <c r="A15" s="4"/>
      <c r="B15" s="668">
        <v>4</v>
      </c>
      <c r="C15" s="668" t="s">
        <v>482</v>
      </c>
      <c r="D15" s="655" t="s">
        <v>483</v>
      </c>
      <c r="E15" s="25" t="s">
        <v>45</v>
      </c>
      <c r="F15" s="23">
        <f t="shared" si="0"/>
        <v>0</v>
      </c>
      <c r="G15" s="23"/>
      <c r="H15" s="23"/>
      <c r="I15" s="23"/>
      <c r="J15" s="23"/>
      <c r="K15" s="23"/>
      <c r="L15" s="23"/>
      <c r="M15" s="23"/>
      <c r="N15" s="23"/>
      <c r="O15" s="23"/>
      <c r="P15" s="23"/>
      <c r="Q15" s="23"/>
      <c r="R15" s="23"/>
      <c r="S15" s="23"/>
      <c r="T15" s="23"/>
      <c r="U15" s="23"/>
      <c r="V15" s="23"/>
      <c r="W15" s="23"/>
      <c r="X15" s="23"/>
      <c r="Y15" s="23"/>
      <c r="Z15" s="23"/>
      <c r="AA15" s="23"/>
      <c r="AB15" s="23"/>
      <c r="AC15" s="23"/>
      <c r="AD15" s="23"/>
      <c r="AE15" s="23"/>
      <c r="AF15" s="23"/>
      <c r="AG15" s="23"/>
      <c r="AH15" s="23"/>
      <c r="AI15" s="23"/>
      <c r="AJ15" s="23"/>
      <c r="AK15" s="23"/>
      <c r="AL15" s="23"/>
      <c r="AM15" s="106"/>
      <c r="AN15" s="106"/>
      <c r="AO15" s="106"/>
      <c r="AP15" s="106"/>
      <c r="AQ15" s="106"/>
      <c r="AR15" s="106"/>
      <c r="AS15" s="106"/>
      <c r="AT15" s="108"/>
      <c r="AU15" s="108"/>
      <c r="AV15" s="108"/>
      <c r="AW15" s="106"/>
      <c r="AX15" s="106"/>
      <c r="AY15" s="106"/>
      <c r="AZ15" s="106"/>
      <c r="BA15" s="106"/>
      <c r="BB15" s="106"/>
      <c r="BC15" s="106"/>
      <c r="BD15" s="106"/>
      <c r="BE15" s="106"/>
      <c r="BF15" s="106"/>
    </row>
    <row r="16" spans="1:58">
      <c r="A16" s="4"/>
      <c r="B16" s="774"/>
      <c r="C16" s="774"/>
      <c r="D16" s="774"/>
      <c r="E16" s="25" t="s">
        <v>67</v>
      </c>
      <c r="F16" s="23">
        <f t="shared" si="0"/>
        <v>0</v>
      </c>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c r="AL16" s="23"/>
      <c r="AM16" s="106"/>
      <c r="AN16" s="106"/>
      <c r="AO16" s="106"/>
      <c r="AP16" s="106"/>
      <c r="AQ16" s="106"/>
      <c r="AR16" s="106"/>
      <c r="AS16" s="106"/>
      <c r="AT16" s="108"/>
      <c r="AU16" s="108"/>
      <c r="AV16" s="108"/>
      <c r="AW16" s="106"/>
      <c r="AX16" s="106"/>
      <c r="AY16" s="106"/>
      <c r="AZ16" s="106"/>
      <c r="BA16" s="106"/>
      <c r="BB16" s="106"/>
      <c r="BC16" s="106"/>
      <c r="BD16" s="106"/>
      <c r="BE16" s="106"/>
      <c r="BF16" s="106"/>
    </row>
    <row r="17" spans="1:58">
      <c r="A17" s="4"/>
      <c r="B17" s="774"/>
      <c r="C17" s="774"/>
      <c r="D17" s="774"/>
      <c r="E17" s="25" t="s">
        <v>79</v>
      </c>
      <c r="F17" s="107">
        <f t="shared" si="0"/>
        <v>0</v>
      </c>
      <c r="G17" s="23"/>
      <c r="H17" s="23"/>
      <c r="I17" s="23"/>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23"/>
      <c r="AL17" s="23"/>
      <c r="AM17" s="106"/>
      <c r="AN17" s="106"/>
      <c r="AO17" s="106"/>
      <c r="AP17" s="106"/>
      <c r="AQ17" s="106"/>
      <c r="AR17" s="106"/>
      <c r="AS17" s="106"/>
      <c r="AT17" s="108"/>
      <c r="AU17" s="108"/>
      <c r="AV17" s="108"/>
      <c r="AW17" s="106"/>
      <c r="AX17" s="106"/>
      <c r="AY17" s="106"/>
      <c r="AZ17" s="106"/>
      <c r="BA17" s="106"/>
      <c r="BB17" s="106"/>
      <c r="BC17" s="106"/>
      <c r="BD17" s="106"/>
      <c r="BE17" s="106"/>
      <c r="BF17" s="106"/>
    </row>
    <row r="18" spans="1:58">
      <c r="A18" s="4"/>
      <c r="B18" s="774"/>
      <c r="C18" s="774"/>
      <c r="D18" s="774"/>
      <c r="E18" s="25" t="s">
        <v>553</v>
      </c>
      <c r="F18" s="23">
        <f t="shared" si="0"/>
        <v>0</v>
      </c>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106"/>
      <c r="AN18" s="106"/>
      <c r="AO18" s="106"/>
      <c r="AP18" s="106"/>
      <c r="AQ18" s="106"/>
      <c r="AR18" s="106"/>
      <c r="AS18" s="106"/>
      <c r="AT18" s="108"/>
      <c r="AU18" s="108"/>
      <c r="AV18" s="108"/>
      <c r="AW18" s="106"/>
      <c r="AX18" s="106"/>
      <c r="AY18" s="106"/>
      <c r="AZ18" s="106"/>
      <c r="BA18" s="106"/>
      <c r="BB18" s="106"/>
      <c r="BC18" s="106"/>
      <c r="BD18" s="106"/>
      <c r="BE18" s="106"/>
      <c r="BF18" s="106"/>
    </row>
    <row r="19" spans="1:58">
      <c r="A19" s="4"/>
      <c r="B19" s="774"/>
      <c r="C19" s="774"/>
      <c r="D19" s="774"/>
      <c r="E19" s="25" t="s">
        <v>554</v>
      </c>
      <c r="F19" s="107">
        <f t="shared" si="0"/>
        <v>0</v>
      </c>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106"/>
      <c r="AN19" s="106"/>
      <c r="AO19" s="106"/>
      <c r="AP19" s="106"/>
      <c r="AQ19" s="106"/>
      <c r="AR19" s="106"/>
      <c r="AS19" s="106"/>
      <c r="AT19" s="108"/>
      <c r="AU19" s="108"/>
      <c r="AV19" s="108"/>
      <c r="AW19" s="106"/>
      <c r="AX19" s="106"/>
      <c r="AY19" s="106"/>
      <c r="AZ19" s="106"/>
      <c r="BA19" s="106"/>
      <c r="BB19" s="106"/>
      <c r="BC19" s="106"/>
      <c r="BD19" s="106"/>
      <c r="BE19" s="106"/>
      <c r="BF19" s="106"/>
    </row>
    <row r="20" spans="1:58">
      <c r="A20" s="4"/>
      <c r="B20" s="774"/>
      <c r="C20" s="774"/>
      <c r="D20" s="774"/>
      <c r="E20" s="25" t="s">
        <v>555</v>
      </c>
      <c r="F20" s="23">
        <f t="shared" si="0"/>
        <v>0</v>
      </c>
      <c r="G20" s="23"/>
      <c r="H20" s="23"/>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106"/>
      <c r="AN20" s="106"/>
      <c r="AO20" s="106"/>
      <c r="AP20" s="106"/>
      <c r="AQ20" s="106"/>
      <c r="AR20" s="106"/>
      <c r="AS20" s="106"/>
      <c r="AT20" s="108"/>
      <c r="AU20" s="108"/>
      <c r="AV20" s="108"/>
      <c r="AW20" s="106"/>
      <c r="AX20" s="106"/>
      <c r="AY20" s="106"/>
      <c r="AZ20" s="106"/>
      <c r="BA20" s="106"/>
      <c r="BB20" s="106"/>
      <c r="BC20" s="106"/>
      <c r="BD20" s="106"/>
      <c r="BE20" s="106"/>
      <c r="BF20" s="106"/>
    </row>
    <row r="21" spans="1:58">
      <c r="A21" s="4"/>
      <c r="B21" s="774"/>
      <c r="C21" s="774"/>
      <c r="D21" s="774"/>
      <c r="E21" s="106" t="s">
        <v>556</v>
      </c>
      <c r="F21" s="107">
        <f t="shared" si="0"/>
        <v>0</v>
      </c>
      <c r="G21" s="23"/>
      <c r="H21" s="23"/>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106"/>
      <c r="AN21" s="106"/>
      <c r="AO21" s="106"/>
      <c r="AP21" s="106"/>
      <c r="AQ21" s="106"/>
      <c r="AR21" s="106"/>
      <c r="AS21" s="106"/>
      <c r="AT21" s="108"/>
      <c r="AU21" s="108"/>
      <c r="AV21" s="108"/>
      <c r="AW21" s="106"/>
      <c r="AX21" s="106"/>
      <c r="AY21" s="106"/>
      <c r="AZ21" s="106"/>
      <c r="BA21" s="106"/>
      <c r="BB21" s="106"/>
      <c r="BC21" s="106"/>
      <c r="BD21" s="106"/>
      <c r="BE21" s="106"/>
      <c r="BF21" s="106"/>
    </row>
    <row r="22" spans="1:58">
      <c r="A22" s="4"/>
      <c r="B22" s="774"/>
      <c r="C22" s="774"/>
      <c r="D22" s="774"/>
      <c r="E22" s="25" t="s">
        <v>38</v>
      </c>
      <c r="F22" s="23">
        <f t="shared" si="0"/>
        <v>0</v>
      </c>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106"/>
      <c r="AN22" s="106"/>
      <c r="AO22" s="106"/>
      <c r="AP22" s="106"/>
      <c r="AQ22" s="106"/>
      <c r="AR22" s="106"/>
      <c r="AS22" s="106"/>
      <c r="AT22" s="108"/>
      <c r="AU22" s="108"/>
      <c r="AV22" s="108"/>
      <c r="AW22" s="106"/>
      <c r="AX22" s="106"/>
      <c r="AY22" s="106"/>
      <c r="AZ22" s="106"/>
      <c r="BA22" s="106"/>
      <c r="BB22" s="106"/>
      <c r="BC22" s="106"/>
      <c r="BD22" s="106"/>
      <c r="BE22" s="106"/>
      <c r="BF22" s="106"/>
    </row>
    <row r="23" spans="1:58">
      <c r="A23" s="4"/>
      <c r="B23" s="773"/>
      <c r="C23" s="773"/>
      <c r="D23" s="773"/>
      <c r="E23" s="25" t="s">
        <v>129</v>
      </c>
      <c r="F23" s="107">
        <f t="shared" si="0"/>
        <v>167</v>
      </c>
      <c r="G23" s="23">
        <v>0</v>
      </c>
      <c r="H23" s="23">
        <v>0</v>
      </c>
      <c r="I23" s="23">
        <v>0</v>
      </c>
      <c r="J23" s="23">
        <v>0</v>
      </c>
      <c r="K23" s="23">
        <v>0</v>
      </c>
      <c r="L23" s="23">
        <v>0</v>
      </c>
      <c r="M23" s="23">
        <v>65</v>
      </c>
      <c r="N23" s="23">
        <v>102</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c r="AF23" s="23"/>
      <c r="AG23" s="23"/>
      <c r="AH23" s="23"/>
      <c r="AI23" s="23"/>
      <c r="AJ23" s="23"/>
      <c r="AK23" s="23"/>
      <c r="AL23" s="23"/>
      <c r="AM23" s="106"/>
      <c r="AN23" s="106"/>
      <c r="AO23" s="106"/>
      <c r="AP23" s="106"/>
      <c r="AQ23" s="106"/>
      <c r="AR23" s="106"/>
      <c r="AS23" s="106"/>
      <c r="AT23" s="108"/>
      <c r="AU23" s="108"/>
      <c r="AV23" s="108"/>
      <c r="AW23" s="106"/>
      <c r="AX23" s="106"/>
      <c r="AY23" s="106"/>
      <c r="AZ23" s="106"/>
      <c r="BA23" s="106"/>
      <c r="BB23" s="106"/>
      <c r="BC23" s="106"/>
      <c r="BD23" s="106"/>
      <c r="BE23" s="106"/>
      <c r="BF23" s="106"/>
    </row>
    <row r="24" spans="1:58">
      <c r="A24" s="4"/>
      <c r="B24" s="668">
        <v>5</v>
      </c>
      <c r="C24" s="668">
        <v>821905</v>
      </c>
      <c r="D24" s="655" t="s">
        <v>484</v>
      </c>
      <c r="E24" s="106" t="s">
        <v>37</v>
      </c>
      <c r="F24" s="23">
        <f t="shared" si="0"/>
        <v>7</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1</v>
      </c>
      <c r="X24" s="23">
        <v>6</v>
      </c>
      <c r="Y24" s="23">
        <v>0</v>
      </c>
      <c r="Z24" s="23">
        <v>0</v>
      </c>
      <c r="AA24" s="23">
        <v>0</v>
      </c>
      <c r="AB24" s="23">
        <v>0</v>
      </c>
      <c r="AC24" s="23">
        <v>0</v>
      </c>
      <c r="AD24" s="23">
        <v>0</v>
      </c>
      <c r="AE24" s="23"/>
      <c r="AF24" s="23"/>
      <c r="AG24" s="23"/>
      <c r="AH24" s="23"/>
      <c r="AI24" s="23"/>
      <c r="AJ24" s="23"/>
      <c r="AK24" s="23"/>
      <c r="AL24" s="23"/>
      <c r="AM24" s="106"/>
      <c r="AN24" s="106"/>
      <c r="AO24" s="106"/>
      <c r="AP24" s="106"/>
      <c r="AQ24" s="106"/>
      <c r="AR24" s="106"/>
      <c r="AS24" s="106"/>
      <c r="AT24" s="108"/>
      <c r="AU24" s="108"/>
      <c r="AV24" s="108"/>
      <c r="AW24" s="106"/>
      <c r="AX24" s="106"/>
      <c r="AY24" s="106"/>
      <c r="AZ24" s="106"/>
      <c r="BA24" s="106"/>
      <c r="BB24" s="106"/>
      <c r="BC24" s="106"/>
      <c r="BD24" s="106"/>
      <c r="BE24" s="106"/>
      <c r="BF24" s="106"/>
    </row>
    <row r="25" spans="1:58">
      <c r="A25" s="4"/>
      <c r="B25" s="774"/>
      <c r="C25" s="774"/>
      <c r="D25" s="774"/>
      <c r="E25" s="25" t="s">
        <v>80</v>
      </c>
      <c r="F25" s="107">
        <f t="shared" si="0"/>
        <v>0</v>
      </c>
      <c r="G25" s="23"/>
      <c r="H25" s="23"/>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106"/>
      <c r="AN25" s="106"/>
      <c r="AO25" s="106"/>
      <c r="AP25" s="106"/>
      <c r="AQ25" s="106"/>
      <c r="AR25" s="106"/>
      <c r="AS25" s="106"/>
      <c r="AT25" s="108"/>
      <c r="AU25" s="108"/>
      <c r="AV25" s="108"/>
      <c r="AW25" s="106"/>
      <c r="AX25" s="106"/>
      <c r="AY25" s="106"/>
      <c r="AZ25" s="106"/>
      <c r="BA25" s="106"/>
      <c r="BB25" s="106"/>
      <c r="BC25" s="106"/>
      <c r="BD25" s="106"/>
      <c r="BE25" s="106"/>
      <c r="BF25" s="106"/>
    </row>
    <row r="26" spans="1:58">
      <c r="A26" s="4"/>
      <c r="B26" s="773"/>
      <c r="C26" s="773"/>
      <c r="D26" s="773"/>
      <c r="E26" s="25" t="s">
        <v>217</v>
      </c>
      <c r="F26" s="107"/>
      <c r="G26" s="23"/>
      <c r="H26" s="23"/>
      <c r="I26" s="23"/>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23"/>
      <c r="AL26" s="23"/>
      <c r="AM26" s="106"/>
      <c r="AN26" s="106"/>
      <c r="AO26" s="106"/>
      <c r="AP26" s="106"/>
      <c r="AQ26" s="106"/>
      <c r="AR26" s="106"/>
      <c r="AS26" s="106"/>
      <c r="AT26" s="108"/>
      <c r="AU26" s="108"/>
      <c r="AV26" s="108"/>
      <c r="AW26" s="106"/>
      <c r="AX26" s="106"/>
      <c r="AY26" s="106"/>
      <c r="AZ26" s="106"/>
      <c r="BA26" s="106"/>
      <c r="BB26" s="106"/>
      <c r="BC26" s="106"/>
      <c r="BD26" s="106"/>
      <c r="BE26" s="106"/>
      <c r="BF26" s="106"/>
    </row>
    <row r="27" spans="1:58">
      <c r="A27" s="4"/>
      <c r="B27" s="668">
        <v>6</v>
      </c>
      <c r="C27" s="668">
        <v>900674</v>
      </c>
      <c r="D27" s="655" t="s">
        <v>557</v>
      </c>
      <c r="E27" s="25" t="s">
        <v>78</v>
      </c>
      <c r="F27" s="23">
        <f t="shared" ref="F27:F30" si="1">SUM(G27:BF27)</f>
        <v>0</v>
      </c>
      <c r="G27" s="23"/>
      <c r="H27" s="23"/>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23"/>
      <c r="AL27" s="23"/>
      <c r="AM27" s="106"/>
      <c r="AN27" s="106"/>
      <c r="AO27" s="106"/>
      <c r="AP27" s="106"/>
      <c r="AQ27" s="106"/>
      <c r="AR27" s="106"/>
      <c r="AS27" s="106"/>
      <c r="AT27" s="108"/>
      <c r="AU27" s="108"/>
      <c r="AV27" s="108"/>
      <c r="AW27" s="106"/>
      <c r="AX27" s="106"/>
      <c r="AY27" s="106"/>
      <c r="AZ27" s="106"/>
      <c r="BA27" s="106"/>
      <c r="BB27" s="106"/>
      <c r="BC27" s="106"/>
      <c r="BD27" s="106"/>
      <c r="BE27" s="106"/>
      <c r="BF27" s="106"/>
    </row>
    <row r="28" spans="1:58">
      <c r="A28" s="4"/>
      <c r="B28" s="773"/>
      <c r="C28" s="773"/>
      <c r="D28" s="773"/>
      <c r="E28" s="109" t="s">
        <v>86</v>
      </c>
      <c r="F28" s="23">
        <f t="shared" si="1"/>
        <v>87</v>
      </c>
      <c r="G28" s="23">
        <v>0</v>
      </c>
      <c r="H28" s="23">
        <v>0</v>
      </c>
      <c r="I28" s="23">
        <v>0</v>
      </c>
      <c r="J28" s="23">
        <v>0</v>
      </c>
      <c r="K28" s="23">
        <v>0</v>
      </c>
      <c r="L28" s="23">
        <v>0</v>
      </c>
      <c r="M28" s="23">
        <v>0</v>
      </c>
      <c r="N28" s="23">
        <v>0</v>
      </c>
      <c r="O28" s="23">
        <v>0</v>
      </c>
      <c r="P28" s="23">
        <v>0</v>
      </c>
      <c r="Q28" s="23">
        <v>0</v>
      </c>
      <c r="R28" s="23">
        <v>0</v>
      </c>
      <c r="S28" s="23">
        <v>0</v>
      </c>
      <c r="T28" s="23">
        <v>0</v>
      </c>
      <c r="U28" s="23">
        <v>0</v>
      </c>
      <c r="V28" s="23">
        <v>0</v>
      </c>
      <c r="W28" s="23">
        <v>0</v>
      </c>
      <c r="X28" s="23"/>
      <c r="Y28" s="23"/>
      <c r="Z28" s="23">
        <v>6</v>
      </c>
      <c r="AA28" s="23">
        <v>5</v>
      </c>
      <c r="AB28" s="23">
        <v>12</v>
      </c>
      <c r="AC28" s="23">
        <v>19</v>
      </c>
      <c r="AD28" s="23">
        <v>6</v>
      </c>
      <c r="AE28" s="23">
        <v>2</v>
      </c>
      <c r="AF28" s="23">
        <v>7</v>
      </c>
      <c r="AG28" s="23">
        <v>9</v>
      </c>
      <c r="AH28" s="23">
        <v>2</v>
      </c>
      <c r="AI28" s="23">
        <v>2</v>
      </c>
      <c r="AJ28" s="23">
        <v>10</v>
      </c>
      <c r="AK28" s="23">
        <v>7</v>
      </c>
      <c r="AL28" s="23"/>
      <c r="AM28" s="106"/>
      <c r="AN28" s="106"/>
      <c r="AO28" s="106"/>
      <c r="AP28" s="106"/>
      <c r="AQ28" s="106"/>
      <c r="AR28" s="106"/>
      <c r="AS28" s="106"/>
      <c r="AT28" s="108"/>
      <c r="AU28" s="108"/>
      <c r="AV28" s="108"/>
      <c r="AW28" s="106"/>
      <c r="AX28" s="106"/>
      <c r="AY28" s="106"/>
      <c r="AZ28" s="106"/>
      <c r="BA28" s="106"/>
      <c r="BB28" s="106"/>
      <c r="BC28" s="106"/>
      <c r="BD28" s="106"/>
      <c r="BE28" s="106"/>
      <c r="BF28" s="106"/>
    </row>
    <row r="29" spans="1:58">
      <c r="A29" s="4"/>
      <c r="B29" s="668">
        <v>7</v>
      </c>
      <c r="C29" s="668">
        <v>900733</v>
      </c>
      <c r="D29" s="655" t="s">
        <v>558</v>
      </c>
      <c r="E29" s="25" t="s">
        <v>66</v>
      </c>
      <c r="F29" s="23">
        <f t="shared" si="1"/>
        <v>171</v>
      </c>
      <c r="G29" s="23">
        <v>171</v>
      </c>
      <c r="H29" s="23">
        <v>0</v>
      </c>
      <c r="I29" s="23">
        <v>0</v>
      </c>
      <c r="J29" s="23">
        <v>0</v>
      </c>
      <c r="K29" s="23">
        <v>0</v>
      </c>
      <c r="L29" s="23">
        <v>0</v>
      </c>
      <c r="M29" s="23">
        <v>0</v>
      </c>
      <c r="N29" s="23">
        <v>0</v>
      </c>
      <c r="O29" s="23">
        <v>0</v>
      </c>
      <c r="P29" s="23">
        <v>0</v>
      </c>
      <c r="Q29" s="23">
        <v>0</v>
      </c>
      <c r="R29" s="23">
        <v>0</v>
      </c>
      <c r="S29" s="23">
        <v>0</v>
      </c>
      <c r="T29" s="23">
        <v>0</v>
      </c>
      <c r="U29" s="23">
        <v>0</v>
      </c>
      <c r="V29" s="23">
        <v>0</v>
      </c>
      <c r="W29" s="23">
        <v>0</v>
      </c>
      <c r="X29" s="23">
        <v>0</v>
      </c>
      <c r="Y29" s="23">
        <v>0</v>
      </c>
      <c r="Z29" s="23">
        <v>0</v>
      </c>
      <c r="AA29" s="23">
        <v>0</v>
      </c>
      <c r="AB29" s="23">
        <v>0</v>
      </c>
      <c r="AC29" s="23">
        <v>0</v>
      </c>
      <c r="AD29" s="23">
        <v>0</v>
      </c>
      <c r="AE29" s="23"/>
      <c r="AF29" s="23"/>
      <c r="AG29" s="23"/>
      <c r="AH29" s="23"/>
      <c r="AI29" s="23"/>
      <c r="AJ29" s="23"/>
      <c r="AK29" s="23"/>
      <c r="AL29" s="23"/>
      <c r="AM29" s="106"/>
      <c r="AN29" s="106"/>
      <c r="AO29" s="106"/>
      <c r="AP29" s="106"/>
      <c r="AQ29" s="106"/>
      <c r="AR29" s="106"/>
      <c r="AS29" s="106"/>
      <c r="AT29" s="108"/>
      <c r="AU29" s="108"/>
      <c r="AV29" s="108"/>
      <c r="AW29" s="106"/>
      <c r="AX29" s="106"/>
      <c r="AY29" s="106"/>
      <c r="AZ29" s="106"/>
      <c r="BA29" s="106"/>
      <c r="BB29" s="106"/>
      <c r="BC29" s="106"/>
      <c r="BD29" s="106"/>
      <c r="BE29" s="106"/>
      <c r="BF29" s="106"/>
    </row>
    <row r="30" spans="1:58">
      <c r="A30" s="4"/>
      <c r="B30" s="774"/>
      <c r="C30" s="774"/>
      <c r="D30" s="774"/>
      <c r="E30" s="25" t="s">
        <v>129</v>
      </c>
      <c r="F30" s="107">
        <f t="shared" si="1"/>
        <v>415</v>
      </c>
      <c r="G30" s="23">
        <v>0</v>
      </c>
      <c r="H30" s="23">
        <v>0</v>
      </c>
      <c r="I30" s="23">
        <v>0</v>
      </c>
      <c r="J30" s="23">
        <v>0</v>
      </c>
      <c r="K30" s="23">
        <v>0</v>
      </c>
      <c r="L30" s="23">
        <v>0</v>
      </c>
      <c r="M30" s="23">
        <v>0</v>
      </c>
      <c r="N30" s="23">
        <v>0</v>
      </c>
      <c r="O30" s="23">
        <v>0</v>
      </c>
      <c r="P30" s="23">
        <v>0</v>
      </c>
      <c r="Q30" s="23">
        <v>415</v>
      </c>
      <c r="R30" s="23">
        <v>0</v>
      </c>
      <c r="S30" s="23">
        <v>0</v>
      </c>
      <c r="T30" s="23">
        <v>0</v>
      </c>
      <c r="U30" s="23">
        <v>0</v>
      </c>
      <c r="V30" s="23">
        <v>0</v>
      </c>
      <c r="W30" s="23">
        <v>0</v>
      </c>
      <c r="X30" s="23">
        <v>0</v>
      </c>
      <c r="Y30" s="23">
        <v>0</v>
      </c>
      <c r="Z30" s="23">
        <v>0</v>
      </c>
      <c r="AA30" s="23">
        <v>0</v>
      </c>
      <c r="AB30" s="23">
        <v>0</v>
      </c>
      <c r="AC30" s="23">
        <v>0</v>
      </c>
      <c r="AD30" s="23">
        <v>0</v>
      </c>
      <c r="AE30" s="23"/>
      <c r="AF30" s="23"/>
      <c r="AG30" s="23"/>
      <c r="AH30" s="23"/>
      <c r="AI30" s="23"/>
      <c r="AJ30" s="23"/>
      <c r="AK30" s="23"/>
      <c r="AL30" s="23"/>
      <c r="AM30" s="106"/>
      <c r="AN30" s="106"/>
      <c r="AO30" s="106"/>
      <c r="AP30" s="106"/>
      <c r="AQ30" s="106"/>
      <c r="AR30" s="106"/>
      <c r="AS30" s="106"/>
      <c r="AT30" s="108"/>
      <c r="AU30" s="108"/>
      <c r="AV30" s="108"/>
      <c r="AW30" s="106"/>
      <c r="AX30" s="106"/>
      <c r="AY30" s="106"/>
      <c r="AZ30" s="106"/>
      <c r="BA30" s="106"/>
      <c r="BB30" s="106"/>
      <c r="BC30" s="106"/>
      <c r="BD30" s="106"/>
      <c r="BE30" s="106"/>
      <c r="BF30" s="106"/>
    </row>
    <row r="31" spans="1:58">
      <c r="A31" s="4"/>
      <c r="B31" s="773"/>
      <c r="C31" s="773"/>
      <c r="D31" s="773"/>
      <c r="E31" s="109" t="s">
        <v>227</v>
      </c>
      <c r="F31" s="107"/>
      <c r="G31" s="23"/>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106"/>
      <c r="AN31" s="106"/>
      <c r="AO31" s="106"/>
      <c r="AP31" s="106"/>
      <c r="AQ31" s="106"/>
      <c r="AR31" s="106"/>
      <c r="AS31" s="106"/>
      <c r="AT31" s="108"/>
      <c r="AU31" s="108"/>
      <c r="AV31" s="108"/>
      <c r="AW31" s="106"/>
      <c r="AX31" s="106"/>
      <c r="AY31" s="106"/>
      <c r="AZ31" s="106"/>
      <c r="BA31" s="106"/>
      <c r="BB31" s="106"/>
      <c r="BC31" s="106"/>
      <c r="BD31" s="106"/>
      <c r="BE31" s="106"/>
      <c r="BF31" s="106"/>
    </row>
    <row r="32" spans="1:58">
      <c r="A32" s="4"/>
      <c r="B32" s="668">
        <v>8</v>
      </c>
      <c r="C32" s="668">
        <v>900692</v>
      </c>
      <c r="D32" s="655" t="s">
        <v>559</v>
      </c>
      <c r="E32" s="25" t="s">
        <v>38</v>
      </c>
      <c r="F32" s="23">
        <f t="shared" ref="F32:F35" si="2">SUM(G32:BF32)</f>
        <v>366</v>
      </c>
      <c r="G32" s="18">
        <v>0</v>
      </c>
      <c r="H32" s="23">
        <v>0</v>
      </c>
      <c r="I32" s="23">
        <v>0</v>
      </c>
      <c r="J32" s="23">
        <v>0</v>
      </c>
      <c r="K32" s="23">
        <v>0</v>
      </c>
      <c r="L32" s="23">
        <v>0</v>
      </c>
      <c r="M32" s="23">
        <v>0</v>
      </c>
      <c r="N32" s="23">
        <v>4</v>
      </c>
      <c r="O32" s="23">
        <v>0</v>
      </c>
      <c r="P32" s="23">
        <v>0</v>
      </c>
      <c r="Q32" s="23">
        <v>0</v>
      </c>
      <c r="R32" s="23">
        <v>10</v>
      </c>
      <c r="S32" s="23">
        <v>0</v>
      </c>
      <c r="T32" s="23">
        <v>18</v>
      </c>
      <c r="U32" s="23">
        <v>37</v>
      </c>
      <c r="V32" s="23">
        <v>4</v>
      </c>
      <c r="W32" s="23">
        <v>3</v>
      </c>
      <c r="X32" s="23">
        <v>16</v>
      </c>
      <c r="Y32" s="23">
        <v>27</v>
      </c>
      <c r="Z32" s="23">
        <v>24</v>
      </c>
      <c r="AA32" s="23">
        <v>41</v>
      </c>
      <c r="AB32" s="23">
        <v>26</v>
      </c>
      <c r="AC32" s="23">
        <v>43</v>
      </c>
      <c r="AD32" s="23">
        <v>0</v>
      </c>
      <c r="AE32" s="23">
        <v>3</v>
      </c>
      <c r="AF32" s="23">
        <v>14</v>
      </c>
      <c r="AG32" s="23">
        <v>8</v>
      </c>
      <c r="AH32" s="23">
        <v>13</v>
      </c>
      <c r="AI32" s="23">
        <v>23</v>
      </c>
      <c r="AJ32" s="23">
        <v>38</v>
      </c>
      <c r="AK32" s="23">
        <v>14</v>
      </c>
      <c r="AL32" s="23"/>
      <c r="AM32" s="106"/>
      <c r="AN32" s="106"/>
      <c r="AO32" s="106"/>
      <c r="AP32" s="106"/>
      <c r="AQ32" s="106"/>
      <c r="AR32" s="106"/>
      <c r="AS32" s="106"/>
      <c r="AT32" s="108"/>
      <c r="AU32" s="108"/>
      <c r="AV32" s="108"/>
      <c r="AW32" s="106"/>
      <c r="AX32" s="106"/>
      <c r="AY32" s="106"/>
      <c r="AZ32" s="106"/>
      <c r="BA32" s="106"/>
      <c r="BB32" s="106"/>
      <c r="BC32" s="106"/>
      <c r="BD32" s="106"/>
      <c r="BE32" s="106"/>
      <c r="BF32" s="106"/>
    </row>
    <row r="33" spans="1:58">
      <c r="A33" s="4"/>
      <c r="B33" s="773"/>
      <c r="C33" s="773"/>
      <c r="D33" s="773"/>
      <c r="E33" s="25"/>
      <c r="F33" s="107">
        <f t="shared" si="2"/>
        <v>0</v>
      </c>
      <c r="G33" s="18"/>
      <c r="H33" s="23"/>
      <c r="I33" s="23"/>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c r="AL33" s="23"/>
      <c r="AM33" s="106"/>
      <c r="AN33" s="106"/>
      <c r="AO33" s="106"/>
      <c r="AP33" s="106"/>
      <c r="AQ33" s="106"/>
      <c r="AR33" s="106"/>
      <c r="AS33" s="106"/>
      <c r="AT33" s="108"/>
      <c r="AU33" s="108"/>
      <c r="AV33" s="108"/>
      <c r="AW33" s="106"/>
      <c r="AX33" s="106"/>
      <c r="AY33" s="106"/>
      <c r="AZ33" s="106"/>
      <c r="BA33" s="106"/>
      <c r="BB33" s="106"/>
      <c r="BC33" s="106"/>
      <c r="BD33" s="106"/>
      <c r="BE33" s="106"/>
      <c r="BF33" s="106"/>
    </row>
    <row r="34" spans="1:58">
      <c r="A34" s="4"/>
      <c r="B34" s="668">
        <v>9</v>
      </c>
      <c r="C34" s="668">
        <v>900800</v>
      </c>
      <c r="D34" s="655" t="s">
        <v>486</v>
      </c>
      <c r="E34" s="25" t="s">
        <v>174</v>
      </c>
      <c r="F34" s="23">
        <f t="shared" si="2"/>
        <v>118</v>
      </c>
      <c r="G34" s="18">
        <v>0</v>
      </c>
      <c r="H34" s="18">
        <v>0</v>
      </c>
      <c r="I34" s="18">
        <v>0</v>
      </c>
      <c r="J34" s="18">
        <v>0</v>
      </c>
      <c r="K34" s="18">
        <v>0</v>
      </c>
      <c r="L34" s="18">
        <v>0</v>
      </c>
      <c r="M34" s="18">
        <v>0</v>
      </c>
      <c r="N34" s="18">
        <v>0</v>
      </c>
      <c r="O34" s="18">
        <v>0</v>
      </c>
      <c r="P34" s="18">
        <v>0</v>
      </c>
      <c r="Q34" s="18">
        <v>0</v>
      </c>
      <c r="R34" s="18">
        <v>0</v>
      </c>
      <c r="S34" s="18">
        <v>0</v>
      </c>
      <c r="T34" s="18">
        <v>0</v>
      </c>
      <c r="U34" s="18">
        <v>0</v>
      </c>
      <c r="V34" s="23">
        <v>0</v>
      </c>
      <c r="W34" s="23">
        <v>9</v>
      </c>
      <c r="X34" s="23">
        <v>1</v>
      </c>
      <c r="Y34" s="23">
        <v>7</v>
      </c>
      <c r="Z34" s="23">
        <v>29</v>
      </c>
      <c r="AA34" s="23">
        <v>22</v>
      </c>
      <c r="AB34" s="23">
        <v>21</v>
      </c>
      <c r="AC34" s="23">
        <v>0</v>
      </c>
      <c r="AD34" s="23">
        <v>0</v>
      </c>
      <c r="AE34" s="23"/>
      <c r="AF34" s="23"/>
      <c r="AG34" s="23"/>
      <c r="AH34" s="23">
        <v>17</v>
      </c>
      <c r="AI34" s="23">
        <v>4</v>
      </c>
      <c r="AJ34" s="23">
        <v>4</v>
      </c>
      <c r="AK34" s="23"/>
      <c r="AL34" s="23">
        <v>4</v>
      </c>
      <c r="AM34" s="106"/>
      <c r="AN34" s="106"/>
      <c r="AO34" s="106"/>
      <c r="AP34" s="106"/>
      <c r="AQ34" s="106"/>
      <c r="AR34" s="106"/>
      <c r="AS34" s="106"/>
      <c r="AT34" s="108"/>
      <c r="AU34" s="108"/>
      <c r="AV34" s="108"/>
      <c r="AW34" s="106"/>
      <c r="AX34" s="106"/>
      <c r="AY34" s="106"/>
      <c r="AZ34" s="106"/>
      <c r="BA34" s="106"/>
      <c r="BB34" s="106"/>
      <c r="BC34" s="106"/>
      <c r="BD34" s="106"/>
      <c r="BE34" s="106"/>
      <c r="BF34" s="106"/>
    </row>
    <row r="35" spans="1:58">
      <c r="A35" s="4"/>
      <c r="B35" s="774"/>
      <c r="C35" s="774"/>
      <c r="D35" s="774"/>
      <c r="E35" s="25" t="s">
        <v>184</v>
      </c>
      <c r="F35" s="107">
        <f t="shared" si="2"/>
        <v>0</v>
      </c>
      <c r="G35" s="18">
        <v>0</v>
      </c>
      <c r="H35" s="23">
        <v>0</v>
      </c>
      <c r="I35" s="23">
        <v>0</v>
      </c>
      <c r="J35" s="23">
        <v>0</v>
      </c>
      <c r="K35" s="23">
        <v>0</v>
      </c>
      <c r="L35" s="23">
        <v>0</v>
      </c>
      <c r="M35" s="23">
        <v>0</v>
      </c>
      <c r="N35" s="23">
        <v>0</v>
      </c>
      <c r="O35" s="23">
        <v>0</v>
      </c>
      <c r="P35" s="23">
        <v>0</v>
      </c>
      <c r="Q35" s="23">
        <v>0</v>
      </c>
      <c r="R35" s="23">
        <v>0</v>
      </c>
      <c r="S35" s="23">
        <v>0</v>
      </c>
      <c r="T35" s="23">
        <v>0</v>
      </c>
      <c r="U35" s="23">
        <v>0</v>
      </c>
      <c r="V35" s="23">
        <v>0</v>
      </c>
      <c r="W35" s="23">
        <v>0</v>
      </c>
      <c r="X35" s="23">
        <v>0</v>
      </c>
      <c r="Y35" s="23">
        <v>0</v>
      </c>
      <c r="Z35" s="23">
        <v>0</v>
      </c>
      <c r="AA35" s="23">
        <v>0</v>
      </c>
      <c r="AB35" s="23">
        <v>0</v>
      </c>
      <c r="AC35" s="23">
        <v>0</v>
      </c>
      <c r="AD35" s="23">
        <v>0</v>
      </c>
      <c r="AE35" s="23"/>
      <c r="AF35" s="23"/>
      <c r="AG35" s="23"/>
      <c r="AH35" s="23"/>
      <c r="AI35" s="23"/>
      <c r="AJ35" s="23"/>
      <c r="AK35" s="23"/>
      <c r="AL35" s="23"/>
      <c r="AM35" s="106"/>
      <c r="AN35" s="106"/>
      <c r="AO35" s="106"/>
      <c r="AP35" s="106"/>
      <c r="AQ35" s="106"/>
      <c r="AR35" s="106"/>
      <c r="AS35" s="106"/>
      <c r="AT35" s="108"/>
      <c r="AU35" s="108"/>
      <c r="AV35" s="108"/>
      <c r="AW35" s="106"/>
      <c r="AX35" s="106"/>
      <c r="AY35" s="106"/>
      <c r="AZ35" s="106"/>
      <c r="BA35" s="106"/>
      <c r="BB35" s="106"/>
      <c r="BC35" s="106"/>
      <c r="BD35" s="106"/>
      <c r="BE35" s="106"/>
      <c r="BF35" s="106"/>
    </row>
    <row r="36" spans="1:58">
      <c r="A36" s="4"/>
      <c r="B36" s="774"/>
      <c r="C36" s="774"/>
      <c r="D36" s="774"/>
      <c r="E36" s="25" t="s">
        <v>189</v>
      </c>
      <c r="F36" s="107"/>
      <c r="G36" s="18"/>
      <c r="H36" s="23"/>
      <c r="I36" s="23"/>
      <c r="J36" s="23"/>
      <c r="K36" s="23"/>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23"/>
      <c r="AK36" s="23"/>
      <c r="AL36" s="23"/>
      <c r="AM36" s="106"/>
      <c r="AN36" s="106"/>
      <c r="AO36" s="106"/>
      <c r="AP36" s="106"/>
      <c r="AQ36" s="106"/>
      <c r="AR36" s="106"/>
      <c r="AS36" s="106"/>
      <c r="AT36" s="108"/>
      <c r="AU36" s="108"/>
      <c r="AV36" s="108"/>
      <c r="AW36" s="106"/>
      <c r="AX36" s="106"/>
      <c r="AY36" s="106"/>
      <c r="AZ36" s="106"/>
      <c r="BA36" s="106"/>
      <c r="BB36" s="106"/>
      <c r="BC36" s="106"/>
      <c r="BD36" s="106"/>
      <c r="BE36" s="106"/>
      <c r="BF36" s="106"/>
    </row>
    <row r="37" spans="1:58">
      <c r="A37" s="4"/>
      <c r="B37" s="774"/>
      <c r="C37" s="774"/>
      <c r="D37" s="774"/>
      <c r="E37" s="25" t="s">
        <v>201</v>
      </c>
      <c r="F37" s="107"/>
      <c r="G37" s="18"/>
      <c r="H37" s="23"/>
      <c r="I37" s="23"/>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106"/>
      <c r="AN37" s="106"/>
      <c r="AO37" s="106"/>
      <c r="AP37" s="106"/>
      <c r="AQ37" s="106"/>
      <c r="AR37" s="106"/>
      <c r="AS37" s="106"/>
      <c r="AT37" s="108"/>
      <c r="AU37" s="108"/>
      <c r="AV37" s="108"/>
      <c r="AW37" s="106"/>
      <c r="AX37" s="106"/>
      <c r="AY37" s="106"/>
      <c r="AZ37" s="106"/>
      <c r="BA37" s="106"/>
      <c r="BB37" s="106"/>
      <c r="BC37" s="106"/>
      <c r="BD37" s="106"/>
      <c r="BE37" s="106"/>
      <c r="BF37" s="106"/>
    </row>
    <row r="38" spans="1:58">
      <c r="A38" s="4"/>
      <c r="B38" s="773"/>
      <c r="C38" s="773"/>
      <c r="D38" s="773"/>
      <c r="E38" s="25" t="s">
        <v>211</v>
      </c>
      <c r="F38" s="107"/>
      <c r="G38" s="18"/>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106"/>
      <c r="AN38" s="106"/>
      <c r="AO38" s="106"/>
      <c r="AP38" s="106"/>
      <c r="AQ38" s="106"/>
      <c r="AR38" s="106"/>
      <c r="AS38" s="106"/>
      <c r="AT38" s="108"/>
      <c r="AU38" s="108"/>
      <c r="AV38" s="108"/>
      <c r="AW38" s="106"/>
      <c r="AX38" s="106"/>
      <c r="AY38" s="106"/>
      <c r="AZ38" s="106"/>
      <c r="BA38" s="106"/>
      <c r="BB38" s="106"/>
      <c r="BC38" s="106"/>
      <c r="BD38" s="106"/>
      <c r="BE38" s="106"/>
      <c r="BF38" s="106"/>
    </row>
    <row r="39" spans="1:58">
      <c r="A39" s="4"/>
      <c r="B39" s="668">
        <v>10</v>
      </c>
      <c r="C39" s="668">
        <v>900654</v>
      </c>
      <c r="D39" s="655" t="s">
        <v>485</v>
      </c>
      <c r="E39" s="25" t="s">
        <v>560</v>
      </c>
      <c r="F39" s="23">
        <f t="shared" ref="F39:F52" si="3">SUM(G39:BF39)</f>
        <v>0</v>
      </c>
      <c r="G39" s="18">
        <v>0</v>
      </c>
      <c r="H39" s="23">
        <v>0</v>
      </c>
      <c r="I39" s="23">
        <v>0</v>
      </c>
      <c r="J39" s="23">
        <v>0</v>
      </c>
      <c r="K39" s="23">
        <v>0</v>
      </c>
      <c r="L39" s="23">
        <v>0</v>
      </c>
      <c r="M39" s="23">
        <v>0</v>
      </c>
      <c r="N39" s="23">
        <v>0</v>
      </c>
      <c r="O39" s="23">
        <v>0</v>
      </c>
      <c r="P39" s="23">
        <v>0</v>
      </c>
      <c r="Q39" s="23">
        <v>0</v>
      </c>
      <c r="R39" s="23">
        <v>0</v>
      </c>
      <c r="S39" s="23">
        <v>0</v>
      </c>
      <c r="T39" s="23">
        <v>0</v>
      </c>
      <c r="U39" s="23">
        <v>0</v>
      </c>
      <c r="V39" s="23">
        <v>0</v>
      </c>
      <c r="W39" s="23">
        <v>0</v>
      </c>
      <c r="X39" s="23">
        <v>0</v>
      </c>
      <c r="Y39" s="23">
        <v>0</v>
      </c>
      <c r="Z39" s="23">
        <v>0</v>
      </c>
      <c r="AA39" s="23">
        <v>0</v>
      </c>
      <c r="AB39" s="23">
        <v>0</v>
      </c>
      <c r="AC39" s="23">
        <v>0</v>
      </c>
      <c r="AD39" s="23">
        <v>0</v>
      </c>
      <c r="AE39" s="23"/>
      <c r="AF39" s="23"/>
      <c r="AG39" s="23"/>
      <c r="AH39" s="23"/>
      <c r="AI39" s="23"/>
      <c r="AJ39" s="23"/>
      <c r="AK39" s="23"/>
      <c r="AL39" s="23"/>
      <c r="AM39" s="106"/>
      <c r="AN39" s="106"/>
      <c r="AO39" s="106"/>
      <c r="AP39" s="106"/>
      <c r="AQ39" s="106"/>
      <c r="AR39" s="106"/>
      <c r="AS39" s="106"/>
      <c r="AT39" s="108"/>
      <c r="AU39" s="108"/>
      <c r="AV39" s="108"/>
      <c r="AW39" s="106"/>
      <c r="AX39" s="106"/>
      <c r="AY39" s="106"/>
      <c r="AZ39" s="106"/>
      <c r="BA39" s="106"/>
      <c r="BB39" s="106"/>
      <c r="BC39" s="106"/>
      <c r="BD39" s="106"/>
      <c r="BE39" s="106"/>
      <c r="BF39" s="106"/>
    </row>
    <row r="40" spans="1:58">
      <c r="A40" s="4"/>
      <c r="B40" s="773"/>
      <c r="C40" s="773"/>
      <c r="D40" s="773"/>
      <c r="E40" s="25"/>
      <c r="F40" s="107">
        <f t="shared" si="3"/>
        <v>49</v>
      </c>
      <c r="G40" s="18">
        <v>0</v>
      </c>
      <c r="H40" s="23">
        <v>0</v>
      </c>
      <c r="I40" s="23">
        <v>0</v>
      </c>
      <c r="J40" s="23">
        <v>0</v>
      </c>
      <c r="K40" s="23">
        <v>0</v>
      </c>
      <c r="L40" s="23">
        <v>0</v>
      </c>
      <c r="M40" s="23">
        <v>0</v>
      </c>
      <c r="N40" s="23">
        <v>0</v>
      </c>
      <c r="O40" s="23">
        <v>0</v>
      </c>
      <c r="P40" s="23">
        <v>0</v>
      </c>
      <c r="Q40" s="23">
        <v>0</v>
      </c>
      <c r="R40" s="23">
        <v>0</v>
      </c>
      <c r="S40" s="23">
        <v>0</v>
      </c>
      <c r="T40" s="23">
        <v>0</v>
      </c>
      <c r="U40" s="23">
        <v>0</v>
      </c>
      <c r="V40" s="23">
        <v>0</v>
      </c>
      <c r="W40" s="23">
        <v>0</v>
      </c>
      <c r="X40" s="23">
        <v>0</v>
      </c>
      <c r="Y40" s="23">
        <v>0</v>
      </c>
      <c r="Z40" s="23">
        <v>0</v>
      </c>
      <c r="AA40" s="23">
        <v>0</v>
      </c>
      <c r="AB40" s="23">
        <v>0</v>
      </c>
      <c r="AC40" s="23">
        <v>0</v>
      </c>
      <c r="AD40" s="23">
        <v>0</v>
      </c>
      <c r="AE40" s="23">
        <v>0</v>
      </c>
      <c r="AF40" s="23">
        <v>0</v>
      </c>
      <c r="AG40" s="23">
        <v>0</v>
      </c>
      <c r="AH40" s="23">
        <v>0</v>
      </c>
      <c r="AI40" s="23">
        <v>0</v>
      </c>
      <c r="AJ40" s="23">
        <v>39</v>
      </c>
      <c r="AK40" s="23">
        <v>9</v>
      </c>
      <c r="AL40" s="23">
        <v>1</v>
      </c>
      <c r="AM40" s="106"/>
      <c r="AN40" s="106"/>
      <c r="AO40" s="106"/>
      <c r="AP40" s="106"/>
      <c r="AQ40" s="106"/>
      <c r="AR40" s="106"/>
      <c r="AS40" s="106"/>
      <c r="AT40" s="108"/>
      <c r="AU40" s="108"/>
      <c r="AV40" s="108"/>
      <c r="AW40" s="106"/>
      <c r="AX40" s="106"/>
      <c r="AY40" s="106"/>
      <c r="AZ40" s="106"/>
      <c r="BA40" s="106"/>
      <c r="BB40" s="106"/>
      <c r="BC40" s="106"/>
      <c r="BD40" s="106"/>
      <c r="BE40" s="106"/>
      <c r="BF40" s="106"/>
    </row>
    <row r="41" spans="1:58">
      <c r="A41" s="4"/>
      <c r="B41" s="668">
        <v>11</v>
      </c>
      <c r="C41" s="668">
        <v>821972</v>
      </c>
      <c r="D41" s="655" t="s">
        <v>561</v>
      </c>
      <c r="E41" s="25" t="s">
        <v>190</v>
      </c>
      <c r="F41" s="23">
        <f t="shared" si="3"/>
        <v>0</v>
      </c>
      <c r="G41" s="18">
        <v>0</v>
      </c>
      <c r="H41" s="23">
        <v>0</v>
      </c>
      <c r="I41" s="23">
        <v>0</v>
      </c>
      <c r="J41" s="23">
        <v>0</v>
      </c>
      <c r="K41" s="23">
        <v>0</v>
      </c>
      <c r="L41" s="23">
        <v>0</v>
      </c>
      <c r="M41" s="23">
        <v>0</v>
      </c>
      <c r="N41" s="23">
        <v>0</v>
      </c>
      <c r="O41" s="23">
        <v>0</v>
      </c>
      <c r="P41" s="23">
        <v>0</v>
      </c>
      <c r="Q41" s="23">
        <v>0</v>
      </c>
      <c r="R41" s="23">
        <v>0</v>
      </c>
      <c r="S41" s="23">
        <v>0</v>
      </c>
      <c r="T41" s="23">
        <v>0</v>
      </c>
      <c r="U41" s="23">
        <v>0</v>
      </c>
      <c r="V41" s="23">
        <v>0</v>
      </c>
      <c r="W41" s="23">
        <v>0</v>
      </c>
      <c r="X41" s="23">
        <v>0</v>
      </c>
      <c r="Y41" s="23">
        <v>0</v>
      </c>
      <c r="Z41" s="23">
        <v>0</v>
      </c>
      <c r="AA41" s="23">
        <v>0</v>
      </c>
      <c r="AB41" s="23">
        <v>0</v>
      </c>
      <c r="AC41" s="23">
        <v>0</v>
      </c>
      <c r="AD41" s="23">
        <v>0</v>
      </c>
      <c r="AE41" s="23">
        <v>0</v>
      </c>
      <c r="AF41" s="23">
        <v>0</v>
      </c>
      <c r="AG41" s="23">
        <v>0</v>
      </c>
      <c r="AH41" s="23">
        <v>0</v>
      </c>
      <c r="AI41" s="23">
        <v>0</v>
      </c>
      <c r="AJ41" s="23"/>
      <c r="AK41" s="23"/>
      <c r="AL41" s="23"/>
      <c r="AM41" s="106"/>
      <c r="AN41" s="106"/>
      <c r="AO41" s="106"/>
      <c r="AP41" s="106"/>
      <c r="AQ41" s="106"/>
      <c r="AR41" s="106"/>
      <c r="AS41" s="106"/>
      <c r="AT41" s="108"/>
      <c r="AU41" s="108"/>
      <c r="AV41" s="106"/>
      <c r="AW41" s="106"/>
      <c r="AX41" s="106"/>
      <c r="AY41" s="106"/>
      <c r="AZ41" s="106"/>
      <c r="BA41" s="106"/>
      <c r="BB41" s="106"/>
      <c r="BC41" s="106"/>
      <c r="BD41" s="106"/>
      <c r="BE41" s="106"/>
      <c r="BF41" s="106"/>
    </row>
    <row r="42" spans="1:58">
      <c r="A42" s="4"/>
      <c r="B42" s="774"/>
      <c r="C42" s="774"/>
      <c r="D42" s="774"/>
      <c r="E42" s="25" t="s">
        <v>68</v>
      </c>
      <c r="F42" s="107">
        <f t="shared" si="3"/>
        <v>0</v>
      </c>
      <c r="G42" s="18"/>
      <c r="H42" s="23"/>
      <c r="I42" s="23"/>
      <c r="J42" s="23"/>
      <c r="K42" s="23"/>
      <c r="L42" s="23"/>
      <c r="M42" s="23"/>
      <c r="N42" s="23"/>
      <c r="O42" s="23"/>
      <c r="P42" s="23"/>
      <c r="Q42" s="23"/>
      <c r="R42" s="23"/>
      <c r="S42" s="23"/>
      <c r="T42" s="23"/>
      <c r="U42" s="23"/>
      <c r="V42" s="23"/>
      <c r="W42" s="23"/>
      <c r="X42" s="23"/>
      <c r="Y42" s="23"/>
      <c r="Z42" s="23"/>
      <c r="AA42" s="23"/>
      <c r="AB42" s="23">
        <v>0</v>
      </c>
      <c r="AC42" s="23">
        <v>0</v>
      </c>
      <c r="AD42" s="23">
        <v>0</v>
      </c>
      <c r="AE42" s="23">
        <v>0</v>
      </c>
      <c r="AF42" s="23">
        <v>0</v>
      </c>
      <c r="AG42" s="23">
        <v>0</v>
      </c>
      <c r="AH42" s="23">
        <v>0</v>
      </c>
      <c r="AI42" s="23">
        <v>0</v>
      </c>
      <c r="AJ42" s="23"/>
      <c r="AK42" s="23"/>
      <c r="AL42" s="23"/>
      <c r="AM42" s="106"/>
      <c r="AN42" s="106"/>
      <c r="AO42" s="106"/>
      <c r="AP42" s="106"/>
      <c r="AQ42" s="106"/>
      <c r="AR42" s="106"/>
      <c r="AS42" s="106"/>
      <c r="AT42" s="108"/>
      <c r="AU42" s="108"/>
      <c r="AV42" s="106"/>
      <c r="AW42" s="106"/>
      <c r="AX42" s="106"/>
      <c r="AY42" s="106"/>
      <c r="AZ42" s="106"/>
      <c r="BA42" s="106"/>
      <c r="BB42" s="106"/>
      <c r="BC42" s="106"/>
      <c r="BD42" s="106"/>
      <c r="BE42" s="106"/>
      <c r="BF42" s="106"/>
    </row>
    <row r="43" spans="1:58">
      <c r="A43" s="4"/>
      <c r="B43" s="773"/>
      <c r="C43" s="773"/>
      <c r="D43" s="773"/>
      <c r="E43" s="25" t="s">
        <v>39</v>
      </c>
      <c r="F43" s="23">
        <f t="shared" si="3"/>
        <v>49</v>
      </c>
      <c r="G43" s="18">
        <v>0</v>
      </c>
      <c r="H43" s="23">
        <v>0</v>
      </c>
      <c r="I43" s="23">
        <v>0</v>
      </c>
      <c r="J43" s="23">
        <v>0</v>
      </c>
      <c r="K43" s="23">
        <v>0</v>
      </c>
      <c r="L43" s="23">
        <v>0</v>
      </c>
      <c r="M43" s="23">
        <v>0</v>
      </c>
      <c r="N43" s="23">
        <v>0</v>
      </c>
      <c r="O43" s="23">
        <v>0</v>
      </c>
      <c r="P43" s="23">
        <v>0</v>
      </c>
      <c r="Q43" s="23">
        <v>0</v>
      </c>
      <c r="R43" s="23">
        <v>0</v>
      </c>
      <c r="S43" s="23">
        <v>0</v>
      </c>
      <c r="T43" s="23">
        <v>0</v>
      </c>
      <c r="U43" s="23">
        <v>0</v>
      </c>
      <c r="V43" s="23">
        <v>0</v>
      </c>
      <c r="W43" s="23">
        <v>0</v>
      </c>
      <c r="X43" s="23">
        <v>0</v>
      </c>
      <c r="Y43" s="23">
        <v>0</v>
      </c>
      <c r="Z43" s="23">
        <v>0</v>
      </c>
      <c r="AA43" s="23">
        <v>0</v>
      </c>
      <c r="AB43" s="23">
        <v>0</v>
      </c>
      <c r="AC43" s="23">
        <v>0</v>
      </c>
      <c r="AD43" s="23">
        <v>0</v>
      </c>
      <c r="AE43" s="23">
        <v>0</v>
      </c>
      <c r="AF43" s="23">
        <v>0</v>
      </c>
      <c r="AG43" s="23">
        <v>0</v>
      </c>
      <c r="AH43" s="23">
        <v>0</v>
      </c>
      <c r="AI43" s="23">
        <v>0</v>
      </c>
      <c r="AJ43" s="23">
        <v>39</v>
      </c>
      <c r="AK43" s="23">
        <v>9</v>
      </c>
      <c r="AL43" s="23">
        <v>1</v>
      </c>
      <c r="AM43" s="106"/>
      <c r="AN43" s="106"/>
      <c r="AO43" s="106"/>
      <c r="AP43" s="106"/>
      <c r="AQ43" s="106"/>
      <c r="AR43" s="106"/>
      <c r="AS43" s="106"/>
      <c r="AT43" s="108"/>
      <c r="AU43" s="108"/>
      <c r="AV43" s="106"/>
      <c r="AW43" s="106"/>
      <c r="AX43" s="106"/>
      <c r="AY43" s="106"/>
      <c r="AZ43" s="106"/>
      <c r="BA43" s="106"/>
      <c r="BB43" s="106"/>
      <c r="BC43" s="106"/>
      <c r="BD43" s="106"/>
      <c r="BE43" s="106"/>
      <c r="BF43" s="106"/>
    </row>
    <row r="44" spans="1:58">
      <c r="A44" s="4"/>
      <c r="B44" s="668">
        <v>12</v>
      </c>
      <c r="C44" s="668">
        <v>900168</v>
      </c>
      <c r="D44" s="655" t="s">
        <v>562</v>
      </c>
      <c r="E44" s="25" t="s">
        <v>190</v>
      </c>
      <c r="F44" s="23">
        <f t="shared" si="3"/>
        <v>0</v>
      </c>
      <c r="G44" s="18">
        <v>0</v>
      </c>
      <c r="H44" s="23">
        <v>0</v>
      </c>
      <c r="I44" s="23">
        <v>0</v>
      </c>
      <c r="J44" s="23">
        <v>0</v>
      </c>
      <c r="K44" s="23">
        <v>0</v>
      </c>
      <c r="L44" s="23">
        <v>0</v>
      </c>
      <c r="M44" s="23">
        <v>0</v>
      </c>
      <c r="N44" s="23">
        <v>0</v>
      </c>
      <c r="O44" s="23">
        <v>0</v>
      </c>
      <c r="P44" s="23">
        <v>0</v>
      </c>
      <c r="Q44" s="23">
        <v>0</v>
      </c>
      <c r="R44" s="23">
        <v>0</v>
      </c>
      <c r="S44" s="23">
        <v>0</v>
      </c>
      <c r="T44" s="23">
        <v>0</v>
      </c>
      <c r="U44" s="23">
        <v>0</v>
      </c>
      <c r="V44" s="23">
        <v>0</v>
      </c>
      <c r="W44" s="23">
        <v>0</v>
      </c>
      <c r="X44" s="23">
        <v>0</v>
      </c>
      <c r="Y44" s="23">
        <v>0</v>
      </c>
      <c r="Z44" s="23">
        <v>0</v>
      </c>
      <c r="AA44" s="23">
        <v>0</v>
      </c>
      <c r="AB44" s="23">
        <v>0</v>
      </c>
      <c r="AC44" s="23">
        <v>0</v>
      </c>
      <c r="AD44" s="23">
        <v>0</v>
      </c>
      <c r="AE44" s="23">
        <v>0</v>
      </c>
      <c r="AF44" s="23">
        <v>0</v>
      </c>
      <c r="AG44" s="23">
        <v>0</v>
      </c>
      <c r="AH44" s="23">
        <v>0</v>
      </c>
      <c r="AI44" s="23">
        <v>0</v>
      </c>
      <c r="AJ44" s="23"/>
      <c r="AK44" s="23"/>
      <c r="AL44" s="23"/>
      <c r="AM44" s="106"/>
      <c r="AN44" s="106"/>
      <c r="AO44" s="106"/>
      <c r="AP44" s="106"/>
      <c r="AQ44" s="106"/>
      <c r="AR44" s="106"/>
      <c r="AS44" s="106"/>
      <c r="AT44" s="108"/>
      <c r="AU44" s="108"/>
      <c r="AV44" s="106"/>
      <c r="AW44" s="106"/>
      <c r="AX44" s="106"/>
      <c r="AY44" s="106"/>
      <c r="AZ44" s="106"/>
      <c r="BA44" s="106"/>
      <c r="BB44" s="106"/>
      <c r="BC44" s="106"/>
      <c r="BD44" s="106"/>
      <c r="BE44" s="106"/>
      <c r="BF44" s="106"/>
    </row>
    <row r="45" spans="1:58">
      <c r="A45" s="4"/>
      <c r="B45" s="774"/>
      <c r="C45" s="774"/>
      <c r="D45" s="774"/>
      <c r="E45" s="25" t="s">
        <v>68</v>
      </c>
      <c r="F45" s="107">
        <f t="shared" si="3"/>
        <v>0</v>
      </c>
      <c r="G45" s="18"/>
      <c r="H45" s="23"/>
      <c r="I45" s="23"/>
      <c r="J45" s="23"/>
      <c r="K45" s="23"/>
      <c r="L45" s="23"/>
      <c r="M45" s="23"/>
      <c r="N45" s="23"/>
      <c r="O45" s="23"/>
      <c r="P45" s="23"/>
      <c r="Q45" s="23"/>
      <c r="R45" s="23"/>
      <c r="S45" s="23"/>
      <c r="T45" s="23"/>
      <c r="U45" s="23"/>
      <c r="V45" s="23"/>
      <c r="W45" s="23"/>
      <c r="X45" s="23"/>
      <c r="Y45" s="23"/>
      <c r="Z45" s="23"/>
      <c r="AA45" s="23"/>
      <c r="AB45" s="23">
        <v>0</v>
      </c>
      <c r="AC45" s="23">
        <v>0</v>
      </c>
      <c r="AD45" s="23">
        <v>0</v>
      </c>
      <c r="AE45" s="23">
        <v>0</v>
      </c>
      <c r="AF45" s="23">
        <v>0</v>
      </c>
      <c r="AG45" s="23">
        <v>0</v>
      </c>
      <c r="AH45" s="23">
        <v>0</v>
      </c>
      <c r="AI45" s="23">
        <v>0</v>
      </c>
      <c r="AJ45" s="23"/>
      <c r="AK45" s="23"/>
      <c r="AL45" s="23"/>
      <c r="AM45" s="106"/>
      <c r="AN45" s="106"/>
      <c r="AO45" s="106"/>
      <c r="AP45" s="106"/>
      <c r="AQ45" s="106"/>
      <c r="AR45" s="106"/>
      <c r="AS45" s="106"/>
      <c r="AT45" s="108"/>
      <c r="AU45" s="108"/>
      <c r="AV45" s="106"/>
      <c r="AW45" s="106"/>
      <c r="AX45" s="106"/>
      <c r="AY45" s="106"/>
      <c r="AZ45" s="106"/>
      <c r="BA45" s="106"/>
      <c r="BB45" s="106"/>
      <c r="BC45" s="106"/>
      <c r="BD45" s="106"/>
      <c r="BE45" s="106"/>
      <c r="BF45" s="106"/>
    </row>
    <row r="46" spans="1:58">
      <c r="A46" s="4"/>
      <c r="B46" s="773"/>
      <c r="C46" s="773"/>
      <c r="D46" s="773"/>
      <c r="E46" s="25" t="s">
        <v>31</v>
      </c>
      <c r="F46" s="23">
        <f t="shared" si="3"/>
        <v>49</v>
      </c>
      <c r="G46" s="18">
        <v>0</v>
      </c>
      <c r="H46" s="23">
        <v>0</v>
      </c>
      <c r="I46" s="23">
        <v>0</v>
      </c>
      <c r="J46" s="23">
        <v>0</v>
      </c>
      <c r="K46" s="23">
        <v>0</v>
      </c>
      <c r="L46" s="23">
        <v>0</v>
      </c>
      <c r="M46" s="23">
        <v>0</v>
      </c>
      <c r="N46" s="23">
        <v>0</v>
      </c>
      <c r="O46" s="23">
        <v>0</v>
      </c>
      <c r="P46" s="23">
        <v>0</v>
      </c>
      <c r="Q46" s="23">
        <v>0</v>
      </c>
      <c r="R46" s="23">
        <v>0</v>
      </c>
      <c r="S46" s="23">
        <v>0</v>
      </c>
      <c r="T46" s="23">
        <v>0</v>
      </c>
      <c r="U46" s="23">
        <v>0</v>
      </c>
      <c r="V46" s="23">
        <v>0</v>
      </c>
      <c r="W46" s="23">
        <v>0</v>
      </c>
      <c r="X46" s="23">
        <v>0</v>
      </c>
      <c r="Y46" s="23">
        <v>0</v>
      </c>
      <c r="Z46" s="23">
        <v>0</v>
      </c>
      <c r="AA46" s="23">
        <v>0</v>
      </c>
      <c r="AB46" s="23">
        <v>0</v>
      </c>
      <c r="AC46" s="23">
        <v>0</v>
      </c>
      <c r="AD46" s="23">
        <v>0</v>
      </c>
      <c r="AE46" s="23">
        <v>0</v>
      </c>
      <c r="AF46" s="23">
        <v>0</v>
      </c>
      <c r="AG46" s="23">
        <v>0</v>
      </c>
      <c r="AH46" s="23">
        <v>0</v>
      </c>
      <c r="AI46" s="23">
        <v>0</v>
      </c>
      <c r="AJ46" s="23">
        <v>39</v>
      </c>
      <c r="AK46" s="23">
        <v>9</v>
      </c>
      <c r="AL46" s="23">
        <v>1</v>
      </c>
      <c r="AM46" s="106"/>
      <c r="AN46" s="106"/>
      <c r="AO46" s="106"/>
      <c r="AP46" s="106"/>
      <c r="AQ46" s="106"/>
      <c r="AR46" s="106"/>
      <c r="AS46" s="106"/>
      <c r="AT46" s="108"/>
      <c r="AU46" s="108"/>
      <c r="AV46" s="106"/>
      <c r="AW46" s="106"/>
      <c r="AX46" s="106"/>
      <c r="AY46" s="106"/>
      <c r="AZ46" s="106"/>
      <c r="BA46" s="106"/>
      <c r="BB46" s="106"/>
      <c r="BC46" s="106"/>
      <c r="BD46" s="106"/>
      <c r="BE46" s="106"/>
      <c r="BF46" s="106"/>
    </row>
    <row r="47" spans="1:58">
      <c r="A47" s="4"/>
      <c r="B47" s="668">
        <v>13</v>
      </c>
      <c r="C47" s="668">
        <v>900740</v>
      </c>
      <c r="D47" s="655" t="s">
        <v>563</v>
      </c>
      <c r="E47" s="25" t="s">
        <v>190</v>
      </c>
      <c r="F47" s="107">
        <f t="shared" si="3"/>
        <v>0</v>
      </c>
      <c r="G47" s="18">
        <v>0</v>
      </c>
      <c r="H47" s="23">
        <v>0</v>
      </c>
      <c r="I47" s="23">
        <v>0</v>
      </c>
      <c r="J47" s="23">
        <v>0</v>
      </c>
      <c r="K47" s="23">
        <v>0</v>
      </c>
      <c r="L47" s="23">
        <v>0</v>
      </c>
      <c r="M47" s="23">
        <v>0</v>
      </c>
      <c r="N47" s="23">
        <v>0</v>
      </c>
      <c r="O47" s="23">
        <v>0</v>
      </c>
      <c r="P47" s="23">
        <v>0</v>
      </c>
      <c r="Q47" s="23">
        <v>0</v>
      </c>
      <c r="R47" s="23">
        <v>0</v>
      </c>
      <c r="S47" s="23">
        <v>0</v>
      </c>
      <c r="T47" s="23">
        <v>0</v>
      </c>
      <c r="U47" s="23">
        <v>0</v>
      </c>
      <c r="V47" s="23">
        <v>0</v>
      </c>
      <c r="W47" s="23">
        <v>0</v>
      </c>
      <c r="X47" s="23">
        <v>0</v>
      </c>
      <c r="Y47" s="23">
        <v>0</v>
      </c>
      <c r="Z47" s="23">
        <v>0</v>
      </c>
      <c r="AA47" s="23">
        <v>0</v>
      </c>
      <c r="AB47" s="23">
        <v>0</v>
      </c>
      <c r="AC47" s="23">
        <v>0</v>
      </c>
      <c r="AD47" s="23">
        <v>0</v>
      </c>
      <c r="AE47" s="23">
        <v>0</v>
      </c>
      <c r="AF47" s="23">
        <v>0</v>
      </c>
      <c r="AG47" s="23">
        <v>0</v>
      </c>
      <c r="AH47" s="23">
        <v>0</v>
      </c>
      <c r="AI47" s="23">
        <v>0</v>
      </c>
      <c r="AJ47" s="23"/>
      <c r="AK47" s="23"/>
      <c r="AL47" s="23"/>
      <c r="AM47" s="106"/>
      <c r="AN47" s="106"/>
      <c r="AO47" s="106"/>
      <c r="AP47" s="106"/>
      <c r="AQ47" s="106"/>
      <c r="AR47" s="106"/>
      <c r="AS47" s="106"/>
      <c r="AT47" s="108"/>
      <c r="AU47" s="108"/>
      <c r="AV47" s="106"/>
      <c r="AW47" s="106"/>
      <c r="AX47" s="106"/>
      <c r="AY47" s="106"/>
      <c r="AZ47" s="106"/>
      <c r="BA47" s="106"/>
      <c r="BB47" s="106"/>
      <c r="BC47" s="106"/>
      <c r="BD47" s="106"/>
      <c r="BE47" s="106"/>
      <c r="BF47" s="106"/>
    </row>
    <row r="48" spans="1:58">
      <c r="A48" s="4"/>
      <c r="B48" s="773"/>
      <c r="C48" s="773"/>
      <c r="D48" s="773"/>
      <c r="E48" s="25" t="s">
        <v>68</v>
      </c>
      <c r="F48" s="23">
        <f t="shared" si="3"/>
        <v>49</v>
      </c>
      <c r="G48" s="18">
        <v>0</v>
      </c>
      <c r="H48" s="23">
        <v>0</v>
      </c>
      <c r="I48" s="23">
        <v>0</v>
      </c>
      <c r="J48" s="23">
        <v>0</v>
      </c>
      <c r="K48" s="23">
        <v>0</v>
      </c>
      <c r="L48" s="23">
        <v>0</v>
      </c>
      <c r="M48" s="23">
        <v>0</v>
      </c>
      <c r="N48" s="23">
        <v>0</v>
      </c>
      <c r="O48" s="23">
        <v>0</v>
      </c>
      <c r="P48" s="23">
        <v>0</v>
      </c>
      <c r="Q48" s="23">
        <v>0</v>
      </c>
      <c r="R48" s="23">
        <v>0</v>
      </c>
      <c r="S48" s="23">
        <v>0</v>
      </c>
      <c r="T48" s="23">
        <v>0</v>
      </c>
      <c r="U48" s="23">
        <v>0</v>
      </c>
      <c r="V48" s="23">
        <v>0</v>
      </c>
      <c r="W48" s="23">
        <v>0</v>
      </c>
      <c r="X48" s="23">
        <v>0</v>
      </c>
      <c r="Y48" s="23">
        <v>0</v>
      </c>
      <c r="Z48" s="23">
        <v>0</v>
      </c>
      <c r="AA48" s="23">
        <v>0</v>
      </c>
      <c r="AB48" s="23">
        <v>0</v>
      </c>
      <c r="AC48" s="23">
        <v>0</v>
      </c>
      <c r="AD48" s="23">
        <v>0</v>
      </c>
      <c r="AE48" s="23">
        <v>0</v>
      </c>
      <c r="AF48" s="23">
        <v>0</v>
      </c>
      <c r="AG48" s="23">
        <v>0</v>
      </c>
      <c r="AH48" s="23">
        <v>0</v>
      </c>
      <c r="AI48" s="23">
        <v>0</v>
      </c>
      <c r="AJ48" s="23">
        <v>39</v>
      </c>
      <c r="AK48" s="23">
        <v>9</v>
      </c>
      <c r="AL48" s="23">
        <v>1</v>
      </c>
      <c r="AM48" s="106"/>
      <c r="AN48" s="106"/>
      <c r="AO48" s="106"/>
      <c r="AP48" s="106"/>
      <c r="AQ48" s="106"/>
      <c r="AR48" s="106"/>
      <c r="AS48" s="106"/>
      <c r="AT48" s="108"/>
      <c r="AU48" s="108"/>
      <c r="AV48" s="106"/>
      <c r="AW48" s="106"/>
      <c r="AX48" s="106"/>
      <c r="AY48" s="106"/>
      <c r="AZ48" s="106"/>
      <c r="BA48" s="106"/>
      <c r="BB48" s="106"/>
      <c r="BC48" s="106"/>
      <c r="BD48" s="106"/>
      <c r="BE48" s="106"/>
      <c r="BF48" s="106"/>
    </row>
    <row r="49" spans="1:58">
      <c r="A49" s="4"/>
      <c r="B49" s="668">
        <v>14</v>
      </c>
      <c r="C49" s="668">
        <v>900201</v>
      </c>
      <c r="D49" s="655" t="s">
        <v>564</v>
      </c>
      <c r="E49" s="25" t="s">
        <v>45</v>
      </c>
      <c r="F49" s="107">
        <f t="shared" si="3"/>
        <v>0</v>
      </c>
      <c r="G49" s="18">
        <v>0</v>
      </c>
      <c r="H49" s="23">
        <v>0</v>
      </c>
      <c r="I49" s="23">
        <v>0</v>
      </c>
      <c r="J49" s="23">
        <v>0</v>
      </c>
      <c r="K49" s="23">
        <v>0</v>
      </c>
      <c r="L49" s="23">
        <v>0</v>
      </c>
      <c r="M49" s="23">
        <v>0</v>
      </c>
      <c r="N49" s="23">
        <v>0</v>
      </c>
      <c r="O49" s="23">
        <v>0</v>
      </c>
      <c r="P49" s="23">
        <v>0</v>
      </c>
      <c r="Q49" s="23">
        <v>0</v>
      </c>
      <c r="R49" s="23">
        <v>0</v>
      </c>
      <c r="S49" s="23">
        <v>0</v>
      </c>
      <c r="T49" s="23">
        <v>0</v>
      </c>
      <c r="U49" s="23">
        <v>0</v>
      </c>
      <c r="V49" s="23">
        <v>0</v>
      </c>
      <c r="W49" s="23">
        <v>0</v>
      </c>
      <c r="X49" s="23">
        <v>0</v>
      </c>
      <c r="Y49" s="23">
        <v>0</v>
      </c>
      <c r="Z49" s="23">
        <v>0</v>
      </c>
      <c r="AA49" s="23">
        <v>0</v>
      </c>
      <c r="AB49" s="23">
        <v>0</v>
      </c>
      <c r="AC49" s="23">
        <v>0</v>
      </c>
      <c r="AD49" s="23">
        <v>0</v>
      </c>
      <c r="AE49" s="23">
        <v>0</v>
      </c>
      <c r="AF49" s="23">
        <v>0</v>
      </c>
      <c r="AG49" s="23">
        <v>0</v>
      </c>
      <c r="AH49" s="23">
        <v>0</v>
      </c>
      <c r="AI49" s="23">
        <v>0</v>
      </c>
      <c r="AJ49" s="23"/>
      <c r="AK49" s="23"/>
      <c r="AL49" s="23"/>
      <c r="AM49" s="106"/>
      <c r="AN49" s="106"/>
      <c r="AO49" s="106"/>
      <c r="AP49" s="106"/>
      <c r="AQ49" s="106"/>
      <c r="AR49" s="106"/>
      <c r="AS49" s="106"/>
      <c r="AT49" s="108"/>
      <c r="AU49" s="108"/>
      <c r="AV49" s="106"/>
      <c r="AW49" s="106"/>
      <c r="AX49" s="106"/>
      <c r="AY49" s="106"/>
      <c r="AZ49" s="106"/>
      <c r="BA49" s="106"/>
      <c r="BB49" s="106"/>
      <c r="BC49" s="106"/>
      <c r="BD49" s="106"/>
      <c r="BE49" s="106"/>
      <c r="BF49" s="106"/>
    </row>
    <row r="50" spans="1:58">
      <c r="A50" s="4"/>
      <c r="B50" s="774"/>
      <c r="C50" s="774"/>
      <c r="D50" s="774"/>
      <c r="E50" s="25" t="s">
        <v>67</v>
      </c>
      <c r="F50" s="23">
        <f t="shared" si="3"/>
        <v>0</v>
      </c>
      <c r="G50" s="18"/>
      <c r="H50" s="23"/>
      <c r="I50" s="23"/>
      <c r="J50" s="23"/>
      <c r="K50" s="23"/>
      <c r="L50" s="23"/>
      <c r="M50" s="23"/>
      <c r="N50" s="23"/>
      <c r="O50" s="23"/>
      <c r="P50" s="23"/>
      <c r="Q50" s="23"/>
      <c r="R50" s="23"/>
      <c r="S50" s="23"/>
      <c r="T50" s="23"/>
      <c r="U50" s="23"/>
      <c r="V50" s="23"/>
      <c r="W50" s="23"/>
      <c r="X50" s="23"/>
      <c r="Y50" s="23"/>
      <c r="Z50" s="23"/>
      <c r="AA50" s="23"/>
      <c r="AB50" s="23">
        <v>0</v>
      </c>
      <c r="AC50" s="23">
        <v>0</v>
      </c>
      <c r="AD50" s="23">
        <v>0</v>
      </c>
      <c r="AE50" s="23">
        <v>0</v>
      </c>
      <c r="AF50" s="23">
        <v>0</v>
      </c>
      <c r="AG50" s="23">
        <v>0</v>
      </c>
      <c r="AH50" s="23">
        <v>0</v>
      </c>
      <c r="AI50" s="23">
        <v>0</v>
      </c>
      <c r="AJ50" s="23"/>
      <c r="AK50" s="23"/>
      <c r="AL50" s="23"/>
      <c r="AM50" s="106"/>
      <c r="AN50" s="106"/>
      <c r="AO50" s="106"/>
      <c r="AP50" s="106"/>
      <c r="AQ50" s="106"/>
      <c r="AR50" s="106"/>
      <c r="AS50" s="106"/>
      <c r="AT50" s="108"/>
      <c r="AU50" s="108"/>
      <c r="AV50" s="106"/>
      <c r="AW50" s="106"/>
      <c r="AX50" s="106"/>
      <c r="AY50" s="106"/>
      <c r="AZ50" s="106"/>
      <c r="BA50" s="106"/>
      <c r="BB50" s="106"/>
      <c r="BC50" s="106"/>
      <c r="BD50" s="106"/>
      <c r="BE50" s="106"/>
      <c r="BF50" s="106"/>
    </row>
    <row r="51" spans="1:58">
      <c r="A51" s="4"/>
      <c r="B51" s="774"/>
      <c r="C51" s="774"/>
      <c r="D51" s="774"/>
      <c r="E51" s="25" t="s">
        <v>79</v>
      </c>
      <c r="F51" s="107">
        <f t="shared" si="3"/>
        <v>0</v>
      </c>
      <c r="G51" s="18"/>
      <c r="H51" s="23"/>
      <c r="I51" s="23"/>
      <c r="J51" s="23"/>
      <c r="K51" s="23"/>
      <c r="L51" s="23"/>
      <c r="M51" s="23"/>
      <c r="N51" s="23"/>
      <c r="O51" s="23"/>
      <c r="P51" s="23"/>
      <c r="Q51" s="23"/>
      <c r="R51" s="23"/>
      <c r="S51" s="23"/>
      <c r="T51" s="23"/>
      <c r="U51" s="23"/>
      <c r="V51" s="23"/>
      <c r="W51" s="23"/>
      <c r="X51" s="23"/>
      <c r="Y51" s="23"/>
      <c r="Z51" s="23"/>
      <c r="AA51" s="23"/>
      <c r="AB51" s="23">
        <v>0</v>
      </c>
      <c r="AC51" s="23">
        <v>0</v>
      </c>
      <c r="AD51" s="23">
        <v>0</v>
      </c>
      <c r="AE51" s="23">
        <v>0</v>
      </c>
      <c r="AF51" s="23">
        <v>0</v>
      </c>
      <c r="AG51" s="23">
        <v>0</v>
      </c>
      <c r="AH51" s="23">
        <v>0</v>
      </c>
      <c r="AI51" s="23">
        <v>0</v>
      </c>
      <c r="AJ51" s="23"/>
      <c r="AK51" s="23"/>
      <c r="AL51" s="23"/>
      <c r="AM51" s="106"/>
      <c r="AN51" s="106"/>
      <c r="AO51" s="106"/>
      <c r="AP51" s="106"/>
      <c r="AQ51" s="106"/>
      <c r="AR51" s="106"/>
      <c r="AS51" s="106"/>
      <c r="AT51" s="108"/>
      <c r="AU51" s="108"/>
      <c r="AV51" s="106"/>
      <c r="AW51" s="106"/>
      <c r="AX51" s="106"/>
      <c r="AY51" s="106"/>
      <c r="AZ51" s="106"/>
      <c r="BA51" s="106"/>
      <c r="BB51" s="106"/>
      <c r="BC51" s="106"/>
      <c r="BD51" s="106"/>
      <c r="BE51" s="106"/>
      <c r="BF51" s="106"/>
    </row>
    <row r="52" spans="1:58">
      <c r="A52" s="4"/>
      <c r="B52" s="774"/>
      <c r="C52" s="774"/>
      <c r="D52" s="774"/>
      <c r="E52" s="25" t="s">
        <v>553</v>
      </c>
      <c r="F52" s="23">
        <f t="shared" si="3"/>
        <v>49</v>
      </c>
      <c r="G52" s="18">
        <v>0</v>
      </c>
      <c r="H52" s="23">
        <v>0</v>
      </c>
      <c r="I52" s="23">
        <v>0</v>
      </c>
      <c r="J52" s="23">
        <v>0</v>
      </c>
      <c r="K52" s="23">
        <v>0</v>
      </c>
      <c r="L52" s="23">
        <v>0</v>
      </c>
      <c r="M52" s="23">
        <v>0</v>
      </c>
      <c r="N52" s="23">
        <v>0</v>
      </c>
      <c r="O52" s="23">
        <v>0</v>
      </c>
      <c r="P52" s="23">
        <v>0</v>
      </c>
      <c r="Q52" s="23">
        <v>0</v>
      </c>
      <c r="R52" s="23">
        <v>0</v>
      </c>
      <c r="S52" s="23">
        <v>0</v>
      </c>
      <c r="T52" s="23">
        <v>0</v>
      </c>
      <c r="U52" s="23">
        <v>0</v>
      </c>
      <c r="V52" s="23">
        <v>0</v>
      </c>
      <c r="W52" s="23">
        <v>0</v>
      </c>
      <c r="X52" s="23">
        <v>0</v>
      </c>
      <c r="Y52" s="23">
        <v>0</v>
      </c>
      <c r="Z52" s="23">
        <v>0</v>
      </c>
      <c r="AA52" s="23">
        <v>0</v>
      </c>
      <c r="AB52" s="23">
        <v>0</v>
      </c>
      <c r="AC52" s="23">
        <v>0</v>
      </c>
      <c r="AD52" s="23">
        <v>0</v>
      </c>
      <c r="AE52" s="23">
        <v>0</v>
      </c>
      <c r="AF52" s="23">
        <v>0</v>
      </c>
      <c r="AG52" s="23">
        <v>0</v>
      </c>
      <c r="AH52" s="23">
        <v>0</v>
      </c>
      <c r="AI52" s="23">
        <v>0</v>
      </c>
      <c r="AJ52" s="23">
        <v>39</v>
      </c>
      <c r="AK52" s="23">
        <v>9</v>
      </c>
      <c r="AL52" s="23">
        <v>1</v>
      </c>
      <c r="AM52" s="106"/>
      <c r="AN52" s="106"/>
      <c r="AO52" s="106"/>
      <c r="AP52" s="106"/>
      <c r="AQ52" s="106"/>
      <c r="AR52" s="106"/>
      <c r="AS52" s="106"/>
      <c r="AT52" s="108"/>
      <c r="AU52" s="108"/>
      <c r="AV52" s="106"/>
      <c r="AW52" s="106"/>
      <c r="AX52" s="106"/>
      <c r="AY52" s="106"/>
      <c r="AZ52" s="106"/>
      <c r="BA52" s="106"/>
      <c r="BB52" s="106"/>
      <c r="BC52" s="106"/>
      <c r="BD52" s="106"/>
      <c r="BE52" s="106"/>
      <c r="BF52" s="106"/>
    </row>
    <row r="53" spans="1:58">
      <c r="A53" s="4"/>
      <c r="B53" s="773"/>
      <c r="C53" s="773"/>
      <c r="D53" s="773"/>
      <c r="E53" s="25" t="s">
        <v>80</v>
      </c>
      <c r="F53" s="23"/>
      <c r="G53" s="18"/>
      <c r="H53" s="23"/>
      <c r="I53" s="23"/>
      <c r="J53" s="23"/>
      <c r="K53" s="23"/>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c r="AL53" s="23"/>
      <c r="AM53" s="106"/>
      <c r="AN53" s="106"/>
      <c r="AO53" s="106"/>
      <c r="AP53" s="106"/>
      <c r="AQ53" s="106"/>
      <c r="AR53" s="106"/>
      <c r="AS53" s="106"/>
      <c r="AT53" s="108"/>
      <c r="AU53" s="108"/>
      <c r="AV53" s="106"/>
      <c r="AW53" s="106"/>
      <c r="AX53" s="106"/>
      <c r="AY53" s="106"/>
      <c r="AZ53" s="106"/>
      <c r="BA53" s="106"/>
      <c r="BB53" s="106"/>
      <c r="BC53" s="106"/>
      <c r="BD53" s="106"/>
      <c r="BE53" s="106"/>
      <c r="BF53" s="106"/>
    </row>
    <row r="54" spans="1:58">
      <c r="A54" s="4"/>
      <c r="B54" s="668">
        <v>15</v>
      </c>
      <c r="C54" s="668">
        <v>821842</v>
      </c>
      <c r="D54" s="655" t="s">
        <v>565</v>
      </c>
      <c r="E54" s="25" t="s">
        <v>554</v>
      </c>
      <c r="F54" s="23">
        <f t="shared" ref="F54:F55" si="4">SUM(G54:BF54)</f>
        <v>0</v>
      </c>
      <c r="G54" s="18">
        <v>0</v>
      </c>
      <c r="H54" s="23">
        <v>0</v>
      </c>
      <c r="I54" s="23">
        <v>0</v>
      </c>
      <c r="J54" s="23">
        <v>0</v>
      </c>
      <c r="K54" s="23">
        <v>0</v>
      </c>
      <c r="L54" s="23">
        <v>0</v>
      </c>
      <c r="M54" s="23">
        <v>0</v>
      </c>
      <c r="N54" s="23">
        <v>0</v>
      </c>
      <c r="O54" s="23">
        <v>0</v>
      </c>
      <c r="P54" s="23">
        <v>0</v>
      </c>
      <c r="Q54" s="23">
        <v>0</v>
      </c>
      <c r="R54" s="23">
        <v>0</v>
      </c>
      <c r="S54" s="23">
        <v>0</v>
      </c>
      <c r="T54" s="23">
        <v>0</v>
      </c>
      <c r="U54" s="23">
        <v>0</v>
      </c>
      <c r="V54" s="23">
        <v>0</v>
      </c>
      <c r="W54" s="23">
        <v>0</v>
      </c>
      <c r="X54" s="23">
        <v>0</v>
      </c>
      <c r="Y54" s="23">
        <v>0</v>
      </c>
      <c r="Z54" s="23">
        <v>0</v>
      </c>
      <c r="AA54" s="23">
        <v>0</v>
      </c>
      <c r="AB54" s="23">
        <v>0</v>
      </c>
      <c r="AC54" s="23">
        <v>0</v>
      </c>
      <c r="AD54" s="23">
        <v>0</v>
      </c>
      <c r="AE54" s="23">
        <v>0</v>
      </c>
      <c r="AF54" s="23">
        <v>0</v>
      </c>
      <c r="AG54" s="23">
        <v>0</v>
      </c>
      <c r="AH54" s="23">
        <v>0</v>
      </c>
      <c r="AI54" s="23">
        <v>0</v>
      </c>
      <c r="AJ54" s="23"/>
      <c r="AK54" s="23"/>
      <c r="AL54" s="23"/>
      <c r="AM54" s="106"/>
      <c r="AN54" s="106"/>
      <c r="AO54" s="106"/>
      <c r="AP54" s="106"/>
      <c r="AQ54" s="106"/>
      <c r="AR54" s="106"/>
      <c r="AS54" s="106"/>
      <c r="AT54" s="108"/>
      <c r="AU54" s="108"/>
      <c r="AV54" s="106"/>
      <c r="AW54" s="106"/>
      <c r="AX54" s="106"/>
      <c r="AY54" s="106"/>
      <c r="AZ54" s="106"/>
      <c r="BA54" s="106"/>
      <c r="BB54" s="106"/>
      <c r="BC54" s="106"/>
      <c r="BD54" s="106"/>
      <c r="BE54" s="106"/>
      <c r="BF54" s="106"/>
    </row>
    <row r="55" spans="1:58">
      <c r="A55" s="4"/>
      <c r="B55" s="774"/>
      <c r="C55" s="774"/>
      <c r="D55" s="774"/>
      <c r="E55" s="25" t="s">
        <v>555</v>
      </c>
      <c r="F55" s="107">
        <f t="shared" si="4"/>
        <v>49</v>
      </c>
      <c r="G55" s="18">
        <v>0</v>
      </c>
      <c r="H55" s="23">
        <v>0</v>
      </c>
      <c r="I55" s="23">
        <v>0</v>
      </c>
      <c r="J55" s="23">
        <v>0</v>
      </c>
      <c r="K55" s="23">
        <v>0</v>
      </c>
      <c r="L55" s="23">
        <v>0</v>
      </c>
      <c r="M55" s="23">
        <v>0</v>
      </c>
      <c r="N55" s="23">
        <v>0</v>
      </c>
      <c r="O55" s="23">
        <v>0</v>
      </c>
      <c r="P55" s="23">
        <v>0</v>
      </c>
      <c r="Q55" s="23">
        <v>0</v>
      </c>
      <c r="R55" s="23">
        <v>0</v>
      </c>
      <c r="S55" s="23">
        <v>0</v>
      </c>
      <c r="T55" s="23">
        <v>0</v>
      </c>
      <c r="U55" s="23">
        <v>0</v>
      </c>
      <c r="V55" s="23">
        <v>0</v>
      </c>
      <c r="W55" s="23">
        <v>0</v>
      </c>
      <c r="X55" s="23">
        <v>0</v>
      </c>
      <c r="Y55" s="23">
        <v>0</v>
      </c>
      <c r="Z55" s="23">
        <v>0</v>
      </c>
      <c r="AA55" s="23">
        <v>0</v>
      </c>
      <c r="AB55" s="23">
        <v>0</v>
      </c>
      <c r="AC55" s="23">
        <v>0</v>
      </c>
      <c r="AD55" s="23">
        <v>0</v>
      </c>
      <c r="AE55" s="23">
        <v>0</v>
      </c>
      <c r="AF55" s="23">
        <v>0</v>
      </c>
      <c r="AG55" s="23">
        <v>0</v>
      </c>
      <c r="AH55" s="23">
        <v>0</v>
      </c>
      <c r="AI55" s="23">
        <v>0</v>
      </c>
      <c r="AJ55" s="23">
        <v>39</v>
      </c>
      <c r="AK55" s="23">
        <v>9</v>
      </c>
      <c r="AL55" s="23">
        <v>1</v>
      </c>
      <c r="AM55" s="106"/>
      <c r="AN55" s="106"/>
      <c r="AO55" s="106"/>
      <c r="AP55" s="106"/>
      <c r="AQ55" s="106"/>
      <c r="AR55" s="106"/>
      <c r="AS55" s="106"/>
      <c r="AT55" s="108"/>
      <c r="AU55" s="108"/>
      <c r="AV55" s="106"/>
      <c r="AW55" s="106"/>
      <c r="AX55" s="106"/>
      <c r="AY55" s="106"/>
      <c r="AZ55" s="106"/>
      <c r="BA55" s="106"/>
      <c r="BB55" s="106"/>
      <c r="BC55" s="106"/>
      <c r="BD55" s="106"/>
      <c r="BE55" s="106"/>
      <c r="BF55" s="106"/>
    </row>
    <row r="56" spans="1:58">
      <c r="A56" s="4"/>
      <c r="B56" s="773"/>
      <c r="C56" s="773"/>
      <c r="D56" s="773"/>
      <c r="E56" s="25" t="s">
        <v>80</v>
      </c>
      <c r="F56" s="107"/>
      <c r="G56" s="18"/>
      <c r="H56" s="23"/>
      <c r="I56" s="23"/>
      <c r="J56" s="23"/>
      <c r="K56" s="23"/>
      <c r="L56" s="23"/>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106"/>
      <c r="AN56" s="106"/>
      <c r="AO56" s="106"/>
      <c r="AP56" s="106"/>
      <c r="AQ56" s="106"/>
      <c r="AR56" s="106"/>
      <c r="AS56" s="106"/>
      <c r="AT56" s="108"/>
      <c r="AU56" s="108"/>
      <c r="AV56" s="106"/>
      <c r="AW56" s="106"/>
      <c r="AX56" s="106"/>
      <c r="AY56" s="106"/>
      <c r="AZ56" s="106"/>
      <c r="BA56" s="106"/>
      <c r="BB56" s="106"/>
      <c r="BC56" s="106"/>
      <c r="BD56" s="106"/>
      <c r="BE56" s="106"/>
      <c r="BF56" s="106"/>
    </row>
    <row r="57" spans="1:58">
      <c r="A57" s="4"/>
      <c r="B57" s="668">
        <v>16</v>
      </c>
      <c r="C57" s="668">
        <v>900738</v>
      </c>
      <c r="D57" s="655" t="s">
        <v>566</v>
      </c>
      <c r="E57" s="25" t="s">
        <v>555</v>
      </c>
      <c r="F57" s="23">
        <f t="shared" ref="F57:F60" si="5">SUM(G57:BF57)</f>
        <v>0</v>
      </c>
      <c r="G57" s="18">
        <v>0</v>
      </c>
      <c r="H57" s="23">
        <v>0</v>
      </c>
      <c r="I57" s="23">
        <v>0</v>
      </c>
      <c r="J57" s="23">
        <v>0</v>
      </c>
      <c r="K57" s="23">
        <v>0</v>
      </c>
      <c r="L57" s="23">
        <v>0</v>
      </c>
      <c r="M57" s="23">
        <v>0</v>
      </c>
      <c r="N57" s="23">
        <v>0</v>
      </c>
      <c r="O57" s="23">
        <v>0</v>
      </c>
      <c r="P57" s="23">
        <v>0</v>
      </c>
      <c r="Q57" s="23">
        <v>0</v>
      </c>
      <c r="R57" s="23">
        <v>0</v>
      </c>
      <c r="S57" s="23">
        <v>0</v>
      </c>
      <c r="T57" s="23">
        <v>0</v>
      </c>
      <c r="U57" s="23">
        <v>0</v>
      </c>
      <c r="V57" s="23">
        <v>0</v>
      </c>
      <c r="W57" s="23">
        <v>0</v>
      </c>
      <c r="X57" s="23">
        <v>0</v>
      </c>
      <c r="Y57" s="23">
        <v>0</v>
      </c>
      <c r="Z57" s="23">
        <v>0</v>
      </c>
      <c r="AA57" s="23">
        <v>0</v>
      </c>
      <c r="AB57" s="23">
        <v>0</v>
      </c>
      <c r="AC57" s="23">
        <v>0</v>
      </c>
      <c r="AD57" s="23">
        <v>0</v>
      </c>
      <c r="AE57" s="23">
        <v>0</v>
      </c>
      <c r="AF57" s="23">
        <v>0</v>
      </c>
      <c r="AG57" s="23">
        <v>0</v>
      </c>
      <c r="AH57" s="23">
        <v>0</v>
      </c>
      <c r="AI57" s="23">
        <v>0</v>
      </c>
      <c r="AJ57" s="23"/>
      <c r="AK57" s="23"/>
      <c r="AL57" s="23"/>
      <c r="AM57" s="106"/>
      <c r="AN57" s="106"/>
      <c r="AO57" s="106"/>
      <c r="AP57" s="106"/>
      <c r="AQ57" s="106"/>
      <c r="AR57" s="106"/>
      <c r="AS57" s="106"/>
      <c r="AT57" s="108"/>
      <c r="AU57" s="108"/>
      <c r="AV57" s="106"/>
      <c r="AW57" s="106"/>
      <c r="AX57" s="106"/>
      <c r="AY57" s="106"/>
      <c r="AZ57" s="106"/>
      <c r="BA57" s="106"/>
      <c r="BB57" s="106"/>
      <c r="BC57" s="106"/>
      <c r="BD57" s="106"/>
      <c r="BE57" s="106"/>
      <c r="BF57" s="106"/>
    </row>
    <row r="58" spans="1:58">
      <c r="A58" s="4"/>
      <c r="B58" s="774"/>
      <c r="C58" s="774"/>
      <c r="D58" s="774"/>
      <c r="E58" s="25" t="s">
        <v>67</v>
      </c>
      <c r="F58" s="107">
        <f t="shared" si="5"/>
        <v>0</v>
      </c>
      <c r="G58" s="18"/>
      <c r="H58" s="23"/>
      <c r="I58" s="23"/>
      <c r="J58" s="23"/>
      <c r="K58" s="23"/>
      <c r="L58" s="23"/>
      <c r="M58" s="23"/>
      <c r="N58" s="23"/>
      <c r="O58" s="23"/>
      <c r="P58" s="23"/>
      <c r="Q58" s="23"/>
      <c r="R58" s="23"/>
      <c r="S58" s="23"/>
      <c r="T58" s="23"/>
      <c r="U58" s="23"/>
      <c r="V58" s="23"/>
      <c r="W58" s="23"/>
      <c r="X58" s="23"/>
      <c r="Y58" s="23"/>
      <c r="Z58" s="23"/>
      <c r="AA58" s="23"/>
      <c r="AB58" s="23">
        <v>0</v>
      </c>
      <c r="AC58" s="23">
        <v>0</v>
      </c>
      <c r="AD58" s="23">
        <v>0</v>
      </c>
      <c r="AE58" s="23">
        <v>0</v>
      </c>
      <c r="AF58" s="23">
        <v>0</v>
      </c>
      <c r="AG58" s="23">
        <v>0</v>
      </c>
      <c r="AH58" s="23">
        <v>0</v>
      </c>
      <c r="AI58" s="23">
        <v>0</v>
      </c>
      <c r="AJ58" s="23"/>
      <c r="AK58" s="23"/>
      <c r="AL58" s="23"/>
      <c r="AM58" s="106"/>
      <c r="AN58" s="106"/>
      <c r="AO58" s="106"/>
      <c r="AP58" s="106"/>
      <c r="AQ58" s="106"/>
      <c r="AR58" s="106"/>
      <c r="AS58" s="106"/>
      <c r="AT58" s="108"/>
      <c r="AU58" s="108"/>
      <c r="AV58" s="106"/>
      <c r="AW58" s="106"/>
      <c r="AX58" s="106"/>
      <c r="AY58" s="106"/>
      <c r="AZ58" s="106"/>
      <c r="BA58" s="106"/>
      <c r="BB58" s="106"/>
      <c r="BC58" s="106"/>
      <c r="BD58" s="106"/>
      <c r="BE58" s="106"/>
      <c r="BF58" s="106"/>
    </row>
    <row r="59" spans="1:58">
      <c r="A59" s="4"/>
      <c r="B59" s="774"/>
      <c r="C59" s="774"/>
      <c r="D59" s="774"/>
      <c r="E59" s="25" t="s">
        <v>79</v>
      </c>
      <c r="F59" s="23">
        <f t="shared" si="5"/>
        <v>0</v>
      </c>
      <c r="G59" s="18"/>
      <c r="H59" s="23"/>
      <c r="I59" s="23"/>
      <c r="J59" s="23"/>
      <c r="K59" s="23"/>
      <c r="L59" s="23"/>
      <c r="M59" s="23"/>
      <c r="N59" s="23"/>
      <c r="O59" s="23"/>
      <c r="P59" s="23"/>
      <c r="Q59" s="23"/>
      <c r="R59" s="23"/>
      <c r="S59" s="23"/>
      <c r="T59" s="23"/>
      <c r="U59" s="23"/>
      <c r="V59" s="23"/>
      <c r="W59" s="23"/>
      <c r="X59" s="23"/>
      <c r="Y59" s="23"/>
      <c r="Z59" s="23"/>
      <c r="AA59" s="23"/>
      <c r="AB59" s="23">
        <v>0</v>
      </c>
      <c r="AC59" s="23">
        <v>0</v>
      </c>
      <c r="AD59" s="23">
        <v>0</v>
      </c>
      <c r="AE59" s="23">
        <v>0</v>
      </c>
      <c r="AF59" s="23">
        <v>0</v>
      </c>
      <c r="AG59" s="23">
        <v>0</v>
      </c>
      <c r="AH59" s="23">
        <v>0</v>
      </c>
      <c r="AI59" s="23">
        <v>0</v>
      </c>
      <c r="AJ59" s="23"/>
      <c r="AK59" s="23"/>
      <c r="AL59" s="23"/>
      <c r="AM59" s="106"/>
      <c r="AN59" s="106"/>
      <c r="AO59" s="106"/>
      <c r="AP59" s="106"/>
      <c r="AQ59" s="106"/>
      <c r="AR59" s="106"/>
      <c r="AS59" s="106"/>
      <c r="AT59" s="108"/>
      <c r="AU59" s="108"/>
      <c r="AV59" s="106"/>
      <c r="AW59" s="106"/>
      <c r="AX59" s="106"/>
      <c r="AY59" s="106"/>
      <c r="AZ59" s="106"/>
      <c r="BA59" s="106"/>
      <c r="BB59" s="106"/>
      <c r="BC59" s="106"/>
      <c r="BD59" s="106"/>
      <c r="BE59" s="106"/>
      <c r="BF59" s="106"/>
    </row>
    <row r="60" spans="1:58">
      <c r="A60" s="4"/>
      <c r="B60" s="774"/>
      <c r="C60" s="774"/>
      <c r="D60" s="774"/>
      <c r="E60" s="106" t="s">
        <v>556</v>
      </c>
      <c r="F60" s="107">
        <f t="shared" si="5"/>
        <v>49</v>
      </c>
      <c r="G60" s="18">
        <v>0</v>
      </c>
      <c r="H60" s="23">
        <v>0</v>
      </c>
      <c r="I60" s="23">
        <v>0</v>
      </c>
      <c r="J60" s="23">
        <v>0</v>
      </c>
      <c r="K60" s="23">
        <v>0</v>
      </c>
      <c r="L60" s="23">
        <v>0</v>
      </c>
      <c r="M60" s="23">
        <v>0</v>
      </c>
      <c r="N60" s="23">
        <v>0</v>
      </c>
      <c r="O60" s="23">
        <v>0</v>
      </c>
      <c r="P60" s="23">
        <v>0</v>
      </c>
      <c r="Q60" s="23">
        <v>0</v>
      </c>
      <c r="R60" s="23">
        <v>0</v>
      </c>
      <c r="S60" s="23">
        <v>0</v>
      </c>
      <c r="T60" s="23">
        <v>0</v>
      </c>
      <c r="U60" s="23">
        <v>0</v>
      </c>
      <c r="V60" s="23">
        <v>0</v>
      </c>
      <c r="W60" s="23">
        <v>0</v>
      </c>
      <c r="X60" s="23">
        <v>0</v>
      </c>
      <c r="Y60" s="23">
        <v>0</v>
      </c>
      <c r="Z60" s="23">
        <v>0</v>
      </c>
      <c r="AA60" s="23">
        <v>0</v>
      </c>
      <c r="AB60" s="23">
        <v>0</v>
      </c>
      <c r="AC60" s="23">
        <v>0</v>
      </c>
      <c r="AD60" s="23">
        <v>0</v>
      </c>
      <c r="AE60" s="23">
        <v>0</v>
      </c>
      <c r="AF60" s="23">
        <v>0</v>
      </c>
      <c r="AG60" s="23">
        <v>0</v>
      </c>
      <c r="AH60" s="23">
        <v>0</v>
      </c>
      <c r="AI60" s="23">
        <v>0</v>
      </c>
      <c r="AJ60" s="23">
        <v>39</v>
      </c>
      <c r="AK60" s="23">
        <v>9</v>
      </c>
      <c r="AL60" s="23">
        <v>1</v>
      </c>
      <c r="AM60" s="106"/>
      <c r="AN60" s="106"/>
      <c r="AO60" s="106"/>
      <c r="AP60" s="106"/>
      <c r="AQ60" s="106"/>
      <c r="AR60" s="106"/>
      <c r="AS60" s="106"/>
      <c r="AT60" s="108"/>
      <c r="AU60" s="108"/>
      <c r="AV60" s="106"/>
      <c r="AW60" s="106"/>
      <c r="AX60" s="106"/>
      <c r="AY60" s="106"/>
      <c r="AZ60" s="106"/>
      <c r="BA60" s="106"/>
      <c r="BB60" s="106"/>
      <c r="BC60" s="106"/>
      <c r="BD60" s="106"/>
      <c r="BE60" s="106"/>
      <c r="BF60" s="106"/>
    </row>
    <row r="61" spans="1:58">
      <c r="A61" s="4"/>
      <c r="B61" s="773"/>
      <c r="C61" s="773"/>
      <c r="D61" s="773"/>
      <c r="E61" s="106" t="s">
        <v>567</v>
      </c>
      <c r="F61" s="107"/>
      <c r="G61" s="18"/>
      <c r="H61" s="23"/>
      <c r="I61" s="23"/>
      <c r="J61" s="23"/>
      <c r="K61" s="23"/>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c r="AL61" s="23"/>
      <c r="AM61" s="106"/>
      <c r="AN61" s="106"/>
      <c r="AO61" s="106"/>
      <c r="AP61" s="106"/>
      <c r="AQ61" s="106"/>
      <c r="AR61" s="106"/>
      <c r="AS61" s="106"/>
      <c r="AT61" s="108"/>
      <c r="AU61" s="108"/>
      <c r="AV61" s="106"/>
      <c r="AW61" s="106"/>
      <c r="AX61" s="106"/>
      <c r="AY61" s="106"/>
      <c r="AZ61" s="106"/>
      <c r="BA61" s="106"/>
      <c r="BB61" s="106"/>
      <c r="BC61" s="106"/>
      <c r="BD61" s="106"/>
      <c r="BE61" s="106"/>
      <c r="BF61" s="106"/>
    </row>
    <row r="62" spans="1:58">
      <c r="A62" s="4"/>
      <c r="B62" s="668">
        <v>17</v>
      </c>
      <c r="C62" s="668">
        <v>900665</v>
      </c>
      <c r="D62" s="655" t="s">
        <v>568</v>
      </c>
      <c r="E62" s="25" t="s">
        <v>38</v>
      </c>
      <c r="F62" s="23">
        <f t="shared" ref="F62:F65" si="6">SUM(G62:BF62)</f>
        <v>0</v>
      </c>
      <c r="G62" s="18">
        <v>0</v>
      </c>
      <c r="H62" s="23">
        <v>0</v>
      </c>
      <c r="I62" s="23">
        <v>0</v>
      </c>
      <c r="J62" s="23">
        <v>0</v>
      </c>
      <c r="K62" s="23">
        <v>0</v>
      </c>
      <c r="L62" s="23">
        <v>0</v>
      </c>
      <c r="M62" s="23">
        <v>0</v>
      </c>
      <c r="N62" s="23">
        <v>0</v>
      </c>
      <c r="O62" s="23">
        <v>0</v>
      </c>
      <c r="P62" s="23">
        <v>0</v>
      </c>
      <c r="Q62" s="23">
        <v>0</v>
      </c>
      <c r="R62" s="23">
        <v>0</v>
      </c>
      <c r="S62" s="23">
        <v>0</v>
      </c>
      <c r="T62" s="23">
        <v>0</v>
      </c>
      <c r="U62" s="23">
        <v>0</v>
      </c>
      <c r="V62" s="23">
        <v>0</v>
      </c>
      <c r="W62" s="23">
        <v>0</v>
      </c>
      <c r="X62" s="23">
        <v>0</v>
      </c>
      <c r="Y62" s="23">
        <v>0</v>
      </c>
      <c r="Z62" s="23">
        <v>0</v>
      </c>
      <c r="AA62" s="23">
        <v>0</v>
      </c>
      <c r="AB62" s="23">
        <v>0</v>
      </c>
      <c r="AC62" s="23">
        <v>0</v>
      </c>
      <c r="AD62" s="23">
        <v>0</v>
      </c>
      <c r="AE62" s="23">
        <v>0</v>
      </c>
      <c r="AF62" s="23">
        <v>0</v>
      </c>
      <c r="AG62" s="23">
        <v>0</v>
      </c>
      <c r="AH62" s="23">
        <v>0</v>
      </c>
      <c r="AI62" s="23">
        <v>0</v>
      </c>
      <c r="AJ62" s="23"/>
      <c r="AK62" s="23"/>
      <c r="AL62" s="23"/>
      <c r="AM62" s="106"/>
      <c r="AN62" s="106"/>
      <c r="AO62" s="106"/>
      <c r="AP62" s="106"/>
      <c r="AQ62" s="106"/>
      <c r="AR62" s="106"/>
      <c r="AS62" s="106"/>
      <c r="AT62" s="108"/>
      <c r="AU62" s="108"/>
      <c r="AV62" s="106"/>
      <c r="AW62" s="106"/>
      <c r="AX62" s="106"/>
      <c r="AY62" s="106"/>
      <c r="AZ62" s="106"/>
      <c r="BA62" s="106"/>
      <c r="BB62" s="106"/>
      <c r="BC62" s="106"/>
      <c r="BD62" s="106"/>
      <c r="BE62" s="106"/>
      <c r="BF62" s="106"/>
    </row>
    <row r="63" spans="1:58">
      <c r="A63" s="4"/>
      <c r="B63" s="773"/>
      <c r="C63" s="773"/>
      <c r="D63" s="773"/>
      <c r="E63" s="25"/>
      <c r="F63" s="107">
        <f t="shared" si="6"/>
        <v>49</v>
      </c>
      <c r="G63" s="18">
        <v>0</v>
      </c>
      <c r="H63" s="23">
        <v>0</v>
      </c>
      <c r="I63" s="23">
        <v>0</v>
      </c>
      <c r="J63" s="23">
        <v>0</v>
      </c>
      <c r="K63" s="23">
        <v>0</v>
      </c>
      <c r="L63" s="23">
        <v>0</v>
      </c>
      <c r="M63" s="23">
        <v>0</v>
      </c>
      <c r="N63" s="23">
        <v>0</v>
      </c>
      <c r="O63" s="23">
        <v>0</v>
      </c>
      <c r="P63" s="23">
        <v>0</v>
      </c>
      <c r="Q63" s="23">
        <v>0</v>
      </c>
      <c r="R63" s="23">
        <v>0</v>
      </c>
      <c r="S63" s="23">
        <v>0</v>
      </c>
      <c r="T63" s="23">
        <v>0</v>
      </c>
      <c r="U63" s="23">
        <v>0</v>
      </c>
      <c r="V63" s="23">
        <v>0</v>
      </c>
      <c r="W63" s="23">
        <v>0</v>
      </c>
      <c r="X63" s="23">
        <v>0</v>
      </c>
      <c r="Y63" s="23">
        <v>0</v>
      </c>
      <c r="Z63" s="23">
        <v>0</v>
      </c>
      <c r="AA63" s="23">
        <v>0</v>
      </c>
      <c r="AB63" s="23">
        <v>0</v>
      </c>
      <c r="AC63" s="23">
        <v>0</v>
      </c>
      <c r="AD63" s="23">
        <v>0</v>
      </c>
      <c r="AE63" s="23">
        <v>0</v>
      </c>
      <c r="AF63" s="23">
        <v>0</v>
      </c>
      <c r="AG63" s="23">
        <v>0</v>
      </c>
      <c r="AH63" s="23">
        <v>0</v>
      </c>
      <c r="AI63" s="23">
        <v>0</v>
      </c>
      <c r="AJ63" s="23">
        <v>39</v>
      </c>
      <c r="AK63" s="23">
        <v>9</v>
      </c>
      <c r="AL63" s="23">
        <v>1</v>
      </c>
      <c r="AM63" s="106"/>
      <c r="AN63" s="106"/>
      <c r="AO63" s="106"/>
      <c r="AP63" s="106"/>
      <c r="AQ63" s="106"/>
      <c r="AR63" s="106"/>
      <c r="AS63" s="106"/>
      <c r="AT63" s="108"/>
      <c r="AU63" s="108"/>
      <c r="AV63" s="106"/>
      <c r="AW63" s="106"/>
      <c r="AX63" s="106"/>
      <c r="AY63" s="106"/>
      <c r="AZ63" s="106"/>
      <c r="BA63" s="106"/>
      <c r="BB63" s="106"/>
      <c r="BC63" s="106"/>
      <c r="BD63" s="106"/>
      <c r="BE63" s="106"/>
      <c r="BF63" s="106"/>
    </row>
    <row r="64" spans="1:58">
      <c r="A64" s="4"/>
      <c r="B64" s="668">
        <v>18</v>
      </c>
      <c r="C64" s="668">
        <v>900793</v>
      </c>
      <c r="D64" s="655" t="s">
        <v>569</v>
      </c>
      <c r="E64" s="25" t="s">
        <v>129</v>
      </c>
      <c r="F64" s="23">
        <f t="shared" si="6"/>
        <v>0</v>
      </c>
      <c r="G64" s="18">
        <v>0</v>
      </c>
      <c r="H64" s="23">
        <v>0</v>
      </c>
      <c r="I64" s="23">
        <v>0</v>
      </c>
      <c r="J64" s="23">
        <v>0</v>
      </c>
      <c r="K64" s="23">
        <v>0</v>
      </c>
      <c r="L64" s="23">
        <v>0</v>
      </c>
      <c r="M64" s="23">
        <v>0</v>
      </c>
      <c r="N64" s="23">
        <v>0</v>
      </c>
      <c r="O64" s="23">
        <v>0</v>
      </c>
      <c r="P64" s="23">
        <v>0</v>
      </c>
      <c r="Q64" s="23">
        <v>0</v>
      </c>
      <c r="R64" s="23">
        <v>0</v>
      </c>
      <c r="S64" s="23">
        <v>0</v>
      </c>
      <c r="T64" s="23">
        <v>0</v>
      </c>
      <c r="U64" s="23">
        <v>0</v>
      </c>
      <c r="V64" s="23">
        <v>0</v>
      </c>
      <c r="W64" s="23">
        <v>0</v>
      </c>
      <c r="X64" s="23">
        <v>0</v>
      </c>
      <c r="Y64" s="23">
        <v>0</v>
      </c>
      <c r="Z64" s="23">
        <v>0</v>
      </c>
      <c r="AA64" s="23">
        <v>0</v>
      </c>
      <c r="AB64" s="23">
        <v>0</v>
      </c>
      <c r="AC64" s="23">
        <v>0</v>
      </c>
      <c r="AD64" s="23">
        <v>0</v>
      </c>
      <c r="AE64" s="23">
        <v>0</v>
      </c>
      <c r="AF64" s="23">
        <v>0</v>
      </c>
      <c r="AG64" s="23">
        <v>0</v>
      </c>
      <c r="AH64" s="23">
        <v>0</v>
      </c>
      <c r="AI64" s="23">
        <v>0</v>
      </c>
      <c r="AJ64" s="23"/>
      <c r="AK64" s="23"/>
      <c r="AL64" s="23"/>
      <c r="AM64" s="106"/>
      <c r="AN64" s="106"/>
      <c r="AO64" s="106"/>
      <c r="AP64" s="106"/>
      <c r="AQ64" s="106"/>
      <c r="AR64" s="106"/>
      <c r="AS64" s="106"/>
      <c r="AT64" s="108"/>
      <c r="AU64" s="108"/>
      <c r="AV64" s="106"/>
      <c r="AW64" s="106"/>
      <c r="AX64" s="106"/>
      <c r="AY64" s="106"/>
      <c r="AZ64" s="106"/>
      <c r="BA64" s="106"/>
      <c r="BB64" s="106"/>
      <c r="BC64" s="106"/>
      <c r="BD64" s="106"/>
      <c r="BE64" s="106"/>
      <c r="BF64" s="106"/>
    </row>
    <row r="65" spans="1:58">
      <c r="A65" s="4"/>
      <c r="B65" s="773"/>
      <c r="C65" s="773"/>
      <c r="D65" s="773"/>
      <c r="E65" s="25" t="s">
        <v>201</v>
      </c>
      <c r="F65" s="107">
        <f t="shared" si="6"/>
        <v>49</v>
      </c>
      <c r="G65" s="18">
        <v>0</v>
      </c>
      <c r="H65" s="23">
        <v>0</v>
      </c>
      <c r="I65" s="23">
        <v>0</v>
      </c>
      <c r="J65" s="23">
        <v>0</v>
      </c>
      <c r="K65" s="23">
        <v>0</v>
      </c>
      <c r="L65" s="23">
        <v>0</v>
      </c>
      <c r="M65" s="23">
        <v>0</v>
      </c>
      <c r="N65" s="23">
        <v>0</v>
      </c>
      <c r="O65" s="23">
        <v>0</v>
      </c>
      <c r="P65" s="23">
        <v>0</v>
      </c>
      <c r="Q65" s="23">
        <v>0</v>
      </c>
      <c r="R65" s="23">
        <v>0</v>
      </c>
      <c r="S65" s="23">
        <v>0</v>
      </c>
      <c r="T65" s="23">
        <v>0</v>
      </c>
      <c r="U65" s="23">
        <v>0</v>
      </c>
      <c r="V65" s="23">
        <v>0</v>
      </c>
      <c r="W65" s="23">
        <v>0</v>
      </c>
      <c r="X65" s="23">
        <v>0</v>
      </c>
      <c r="Y65" s="23">
        <v>0</v>
      </c>
      <c r="Z65" s="23">
        <v>0</v>
      </c>
      <c r="AA65" s="23">
        <v>0</v>
      </c>
      <c r="AB65" s="23">
        <v>0</v>
      </c>
      <c r="AC65" s="23">
        <v>0</v>
      </c>
      <c r="AD65" s="23">
        <v>0</v>
      </c>
      <c r="AE65" s="23">
        <v>0</v>
      </c>
      <c r="AF65" s="23">
        <v>0</v>
      </c>
      <c r="AG65" s="23">
        <v>0</v>
      </c>
      <c r="AH65" s="23">
        <v>0</v>
      </c>
      <c r="AI65" s="23">
        <v>0</v>
      </c>
      <c r="AJ65" s="23">
        <v>39</v>
      </c>
      <c r="AK65" s="23">
        <v>9</v>
      </c>
      <c r="AL65" s="23">
        <v>1</v>
      </c>
      <c r="AM65" s="106"/>
      <c r="AN65" s="106"/>
      <c r="AO65" s="106"/>
      <c r="AP65" s="106"/>
      <c r="AQ65" s="106"/>
      <c r="AR65" s="106"/>
      <c r="AS65" s="106"/>
      <c r="AT65" s="108"/>
      <c r="AU65" s="108"/>
      <c r="AV65" s="106"/>
      <c r="AW65" s="106"/>
      <c r="AX65" s="106"/>
      <c r="AY65" s="106"/>
      <c r="AZ65" s="106"/>
      <c r="BA65" s="106"/>
      <c r="BB65" s="106"/>
      <c r="BC65" s="106"/>
      <c r="BD65" s="106"/>
      <c r="BE65" s="106"/>
      <c r="BF65" s="106"/>
    </row>
    <row r="66" spans="1:58">
      <c r="A66" s="4"/>
      <c r="B66" s="3"/>
      <c r="C66" s="3"/>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5"/>
      <c r="AR66" s="4"/>
      <c r="AS66" s="4"/>
      <c r="AT66" s="4"/>
      <c r="AU66" s="4"/>
      <c r="AV66" s="4"/>
      <c r="AW66" s="4"/>
      <c r="AX66" s="4"/>
      <c r="AY66" s="4"/>
      <c r="AZ66" s="4"/>
      <c r="BA66" s="4"/>
      <c r="BB66" s="4"/>
      <c r="BC66" s="4"/>
      <c r="BD66" s="4"/>
      <c r="BE66" s="4"/>
      <c r="BF66" s="4"/>
    </row>
    <row r="67" spans="1:58">
      <c r="A67" s="4"/>
      <c r="B67" s="3"/>
      <c r="C67" s="3"/>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5"/>
      <c r="AR67" s="4"/>
      <c r="AS67" s="4"/>
      <c r="AT67" s="4"/>
      <c r="AU67" s="4"/>
      <c r="AV67" s="4"/>
      <c r="AW67" s="4"/>
      <c r="AX67" s="4"/>
      <c r="AY67" s="4"/>
      <c r="AZ67" s="4"/>
      <c r="BA67" s="4"/>
      <c r="BB67" s="4"/>
      <c r="BC67" s="4"/>
      <c r="BD67" s="4"/>
      <c r="BE67" s="4"/>
      <c r="BF67" s="4"/>
    </row>
    <row r="68" spans="1:58">
      <c r="A68" s="4"/>
      <c r="B68" s="103" t="s">
        <v>570</v>
      </c>
      <c r="C68" s="103" t="s">
        <v>571</v>
      </c>
      <c r="D68" s="103" t="s">
        <v>572</v>
      </c>
      <c r="E68" s="103" t="s">
        <v>573</v>
      </c>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5"/>
      <c r="AR68" s="4"/>
      <c r="AS68" s="4"/>
      <c r="AT68" s="4"/>
      <c r="AU68" s="4"/>
      <c r="AV68" s="4"/>
      <c r="AW68" s="4"/>
      <c r="AX68" s="4"/>
      <c r="AY68" s="4"/>
      <c r="AZ68" s="4"/>
      <c r="BA68" s="4"/>
      <c r="BB68" s="4"/>
      <c r="BC68" s="4"/>
      <c r="BD68" s="4"/>
      <c r="BE68" s="4"/>
      <c r="BF68" s="4"/>
    </row>
    <row r="69" spans="1:58">
      <c r="A69" s="4"/>
      <c r="B69" s="23">
        <v>1</v>
      </c>
      <c r="C69" s="25" t="s">
        <v>31</v>
      </c>
      <c r="D69" s="18"/>
      <c r="E69" s="18" t="s">
        <v>339</v>
      </c>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c r="AT69" s="4"/>
      <c r="AU69" s="4"/>
      <c r="AV69" s="4"/>
      <c r="AW69" s="4"/>
      <c r="AX69" s="4"/>
      <c r="AY69" s="4"/>
      <c r="AZ69" s="4"/>
      <c r="BA69" s="4"/>
      <c r="BB69" s="4"/>
      <c r="BC69" s="4"/>
      <c r="BD69" s="4"/>
      <c r="BE69" s="4"/>
      <c r="BF69" s="4"/>
    </row>
    <row r="70" spans="1:58">
      <c r="A70" s="4"/>
      <c r="B70" s="23">
        <v>2</v>
      </c>
      <c r="C70" s="25" t="s">
        <v>39</v>
      </c>
      <c r="D70" s="18"/>
      <c r="E70" s="18" t="s">
        <v>339</v>
      </c>
      <c r="F70" s="4"/>
      <c r="G70" s="4"/>
      <c r="H70" s="4"/>
      <c r="I70" s="4"/>
      <c r="J70" s="4"/>
      <c r="K70" s="4"/>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c r="AN70" s="4"/>
      <c r="AO70" s="4"/>
      <c r="AP70" s="4"/>
      <c r="AQ70" s="5"/>
      <c r="AR70" s="4"/>
      <c r="AS70" s="4"/>
      <c r="AT70" s="4"/>
      <c r="AU70" s="4"/>
      <c r="AV70" s="4"/>
      <c r="AW70" s="4"/>
      <c r="AX70" s="4"/>
      <c r="AY70" s="4"/>
      <c r="AZ70" s="4"/>
      <c r="BA70" s="4"/>
      <c r="BB70" s="4"/>
      <c r="BC70" s="4"/>
      <c r="BD70" s="4"/>
      <c r="BE70" s="4"/>
      <c r="BF70" s="4"/>
    </row>
    <row r="71" spans="1:58">
      <c r="A71" s="4"/>
      <c r="B71" s="23">
        <v>3</v>
      </c>
      <c r="C71" s="36" t="s">
        <v>190</v>
      </c>
      <c r="D71" s="18"/>
      <c r="E71" s="18" t="s">
        <v>339</v>
      </c>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c r="AQ71" s="5"/>
      <c r="AR71" s="4"/>
      <c r="AS71" s="4"/>
      <c r="AT71" s="4"/>
      <c r="AU71" s="4"/>
      <c r="AV71" s="4"/>
      <c r="AW71" s="4"/>
      <c r="AX71" s="4"/>
      <c r="AY71" s="4"/>
      <c r="AZ71" s="4"/>
      <c r="BA71" s="4"/>
      <c r="BB71" s="4"/>
      <c r="BC71" s="4"/>
      <c r="BD71" s="4"/>
      <c r="BE71" s="4"/>
      <c r="BF71" s="4"/>
    </row>
    <row r="72" spans="1:58">
      <c r="A72" s="4"/>
      <c r="B72" s="23">
        <v>4</v>
      </c>
      <c r="C72" s="36" t="s">
        <v>68</v>
      </c>
      <c r="D72" s="18"/>
      <c r="E72" s="18" t="s">
        <v>339</v>
      </c>
      <c r="F72" s="4"/>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c r="AP72" s="4"/>
      <c r="AQ72" s="5"/>
      <c r="AR72" s="4"/>
      <c r="AS72" s="4"/>
      <c r="AT72" s="4"/>
      <c r="AU72" s="4"/>
      <c r="AV72" s="4"/>
      <c r="AW72" s="4"/>
      <c r="AX72" s="4"/>
      <c r="AY72" s="4"/>
      <c r="AZ72" s="4"/>
      <c r="BA72" s="4"/>
      <c r="BB72" s="4"/>
      <c r="BC72" s="4"/>
      <c r="BD72" s="4"/>
      <c r="BE72" s="4"/>
      <c r="BF72" s="4"/>
    </row>
    <row r="73" spans="1:58">
      <c r="A73" s="4"/>
      <c r="B73" s="23">
        <v>5</v>
      </c>
      <c r="C73" s="25" t="s">
        <v>30</v>
      </c>
      <c r="D73" s="18"/>
      <c r="E73" s="18" t="s">
        <v>95</v>
      </c>
      <c r="F73" s="4"/>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5"/>
      <c r="AR73" s="4"/>
      <c r="AS73" s="4"/>
      <c r="AT73" s="4"/>
      <c r="AU73" s="4"/>
      <c r="AV73" s="4"/>
      <c r="AW73" s="4"/>
      <c r="AX73" s="4"/>
      <c r="AY73" s="4"/>
      <c r="AZ73" s="4"/>
      <c r="BA73" s="4"/>
      <c r="BB73" s="4"/>
      <c r="BC73" s="4"/>
      <c r="BD73" s="4"/>
      <c r="BE73" s="4"/>
      <c r="BF73" s="4"/>
    </row>
    <row r="74" spans="1:58">
      <c r="A74" s="4"/>
      <c r="B74" s="23">
        <v>6</v>
      </c>
      <c r="C74" s="25" t="s">
        <v>37</v>
      </c>
      <c r="D74" s="18"/>
      <c r="E74" s="18" t="s">
        <v>95</v>
      </c>
      <c r="F74" s="4"/>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c r="AP74" s="4"/>
      <c r="AQ74" s="5"/>
      <c r="AR74" s="4"/>
      <c r="AS74" s="4"/>
      <c r="AT74" s="4"/>
      <c r="AU74" s="4"/>
      <c r="AV74" s="4"/>
      <c r="AW74" s="4"/>
      <c r="AX74" s="4"/>
      <c r="AY74" s="4"/>
      <c r="AZ74" s="4"/>
      <c r="BA74" s="4"/>
      <c r="BB74" s="4"/>
      <c r="BC74" s="4"/>
      <c r="BD74" s="4"/>
      <c r="BE74" s="4"/>
      <c r="BF74" s="4"/>
    </row>
    <row r="75" spans="1:58">
      <c r="A75" s="4"/>
      <c r="B75" s="23">
        <v>7</v>
      </c>
      <c r="C75" s="25" t="s">
        <v>38</v>
      </c>
      <c r="D75" s="18"/>
      <c r="E75" s="18" t="s">
        <v>95</v>
      </c>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c r="AP75" s="4"/>
      <c r="AQ75" s="5"/>
      <c r="AR75" s="4"/>
      <c r="AS75" s="4"/>
      <c r="AT75" s="4"/>
      <c r="AU75" s="4"/>
      <c r="AV75" s="4"/>
      <c r="AW75" s="4"/>
      <c r="AX75" s="4"/>
      <c r="AY75" s="4"/>
      <c r="AZ75" s="4"/>
      <c r="BA75" s="4"/>
      <c r="BB75" s="4"/>
      <c r="BC75" s="4"/>
      <c r="BD75" s="4"/>
      <c r="BE75" s="4"/>
      <c r="BF75" s="4"/>
    </row>
    <row r="76" spans="1:58">
      <c r="A76" s="4"/>
      <c r="B76" s="110">
        <v>8</v>
      </c>
      <c r="C76" s="25" t="s">
        <v>66</v>
      </c>
      <c r="D76" s="110"/>
      <c r="E76" s="110" t="s">
        <v>76</v>
      </c>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5"/>
      <c r="AR76" s="4"/>
      <c r="AS76" s="4"/>
      <c r="AT76" s="4"/>
      <c r="AU76" s="4"/>
      <c r="AV76" s="4"/>
      <c r="AW76" s="4"/>
      <c r="AX76" s="4"/>
      <c r="AY76" s="4"/>
      <c r="AZ76" s="4"/>
      <c r="BA76" s="4"/>
      <c r="BB76" s="4"/>
      <c r="BC76" s="4"/>
      <c r="BD76" s="4"/>
      <c r="BE76" s="4"/>
      <c r="BF76" s="4"/>
    </row>
    <row r="77" spans="1:58">
      <c r="A77" s="4"/>
      <c r="B77" s="110">
        <v>9</v>
      </c>
      <c r="C77" s="25" t="s">
        <v>78</v>
      </c>
      <c r="D77" s="110"/>
      <c r="E77" s="110" t="s">
        <v>76</v>
      </c>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5"/>
      <c r="AR77" s="4"/>
      <c r="AS77" s="4"/>
      <c r="AT77" s="4"/>
      <c r="AU77" s="4"/>
      <c r="AV77" s="4"/>
      <c r="AW77" s="4"/>
      <c r="AX77" s="4"/>
      <c r="AY77" s="4"/>
      <c r="AZ77" s="4"/>
      <c r="BA77" s="4"/>
      <c r="BB77" s="4"/>
      <c r="BC77" s="4"/>
      <c r="BD77" s="4"/>
      <c r="BE77" s="4"/>
      <c r="BF77" s="4"/>
    </row>
    <row r="78" spans="1:58">
      <c r="A78" s="4"/>
      <c r="B78" s="23">
        <v>10</v>
      </c>
      <c r="C78" s="25" t="s">
        <v>86</v>
      </c>
      <c r="D78" s="18"/>
      <c r="E78" s="110" t="s">
        <v>76</v>
      </c>
      <c r="F78" s="4"/>
      <c r="G78" s="4"/>
      <c r="H78" s="4"/>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5"/>
      <c r="AR78" s="4"/>
      <c r="AS78" s="4"/>
      <c r="AT78" s="4"/>
      <c r="AU78" s="4"/>
      <c r="AV78" s="4"/>
      <c r="AW78" s="4"/>
      <c r="AX78" s="4"/>
      <c r="AY78" s="4"/>
      <c r="AZ78" s="4"/>
      <c r="BA78" s="4"/>
      <c r="BB78" s="4"/>
      <c r="BC78" s="4"/>
      <c r="BD78" s="4"/>
      <c r="BE78" s="4"/>
      <c r="BF78" s="4"/>
    </row>
    <row r="79" spans="1:58">
      <c r="A79" s="4"/>
      <c r="B79" s="110">
        <v>11</v>
      </c>
      <c r="C79" s="25" t="s">
        <v>45</v>
      </c>
      <c r="D79" s="110"/>
      <c r="E79" s="18" t="s">
        <v>95</v>
      </c>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5"/>
      <c r="AR79" s="4"/>
      <c r="AS79" s="4"/>
      <c r="AT79" s="4"/>
      <c r="AU79" s="4"/>
      <c r="AV79" s="4"/>
      <c r="AW79" s="4"/>
      <c r="AX79" s="4"/>
      <c r="AY79" s="4"/>
      <c r="AZ79" s="4"/>
      <c r="BA79" s="4"/>
      <c r="BB79" s="4"/>
      <c r="BC79" s="4"/>
      <c r="BD79" s="4"/>
      <c r="BE79" s="4"/>
      <c r="BF79" s="4"/>
    </row>
    <row r="80" spans="1:58">
      <c r="A80" s="4"/>
      <c r="B80" s="23">
        <v>12</v>
      </c>
      <c r="C80" s="25" t="s">
        <v>67</v>
      </c>
      <c r="D80" s="18"/>
      <c r="E80" s="18" t="s">
        <v>95</v>
      </c>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5"/>
      <c r="AR80" s="4"/>
      <c r="AS80" s="4"/>
      <c r="AT80" s="4"/>
      <c r="AU80" s="4"/>
      <c r="AV80" s="4"/>
      <c r="AW80" s="4"/>
      <c r="AX80" s="4"/>
      <c r="AY80" s="4"/>
      <c r="AZ80" s="4"/>
      <c r="BA80" s="4"/>
      <c r="BB80" s="4"/>
      <c r="BC80" s="4"/>
      <c r="BD80" s="4"/>
      <c r="BE80" s="4"/>
      <c r="BF80" s="4"/>
    </row>
    <row r="81" spans="1:58">
      <c r="A81" s="4"/>
      <c r="B81" s="23">
        <v>13</v>
      </c>
      <c r="C81" s="25" t="s">
        <v>79</v>
      </c>
      <c r="D81" s="18"/>
      <c r="E81" s="18" t="s">
        <v>95</v>
      </c>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5"/>
      <c r="AR81" s="4"/>
      <c r="AS81" s="4"/>
      <c r="AT81" s="4"/>
      <c r="AU81" s="4"/>
      <c r="AV81" s="4"/>
      <c r="AW81" s="4"/>
      <c r="AX81" s="4"/>
      <c r="AY81" s="4"/>
      <c r="AZ81" s="4"/>
      <c r="BA81" s="4"/>
      <c r="BB81" s="4"/>
      <c r="BC81" s="4"/>
      <c r="BD81" s="4"/>
      <c r="BE81" s="4"/>
      <c r="BF81" s="4"/>
    </row>
    <row r="82" spans="1:58">
      <c r="A82" s="4"/>
      <c r="B82" s="23">
        <v>14</v>
      </c>
      <c r="C82" s="25" t="s">
        <v>87</v>
      </c>
      <c r="D82" s="18"/>
      <c r="E82" s="18" t="s">
        <v>154</v>
      </c>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5"/>
      <c r="AR82" s="4"/>
      <c r="AS82" s="4"/>
      <c r="AT82" s="4"/>
      <c r="AU82" s="4"/>
      <c r="AV82" s="4"/>
      <c r="AW82" s="4"/>
      <c r="AX82" s="4"/>
      <c r="AY82" s="4"/>
      <c r="AZ82" s="4"/>
      <c r="BA82" s="4"/>
      <c r="BB82" s="4"/>
      <c r="BC82" s="4"/>
      <c r="BD82" s="4"/>
      <c r="BE82" s="4"/>
      <c r="BF82" s="4"/>
    </row>
    <row r="83" spans="1:58">
      <c r="A83" s="4"/>
      <c r="B83" s="23">
        <v>15</v>
      </c>
      <c r="C83" s="25" t="s">
        <v>97</v>
      </c>
      <c r="D83" s="18"/>
      <c r="E83" s="18" t="s">
        <v>154</v>
      </c>
      <c r="F83" s="4"/>
      <c r="G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c r="AP83" s="4"/>
      <c r="AQ83" s="5"/>
      <c r="AR83" s="4"/>
      <c r="AS83" s="4"/>
      <c r="AT83" s="4"/>
      <c r="AU83" s="4"/>
      <c r="AV83" s="4"/>
      <c r="AW83" s="4"/>
      <c r="AX83" s="4"/>
      <c r="AY83" s="4"/>
      <c r="AZ83" s="4"/>
      <c r="BA83" s="4"/>
      <c r="BB83" s="4"/>
      <c r="BC83" s="4"/>
      <c r="BD83" s="4"/>
      <c r="BE83" s="4"/>
      <c r="BF83" s="4"/>
    </row>
    <row r="84" spans="1:58">
      <c r="A84" s="4"/>
      <c r="B84" s="23">
        <v>16</v>
      </c>
      <c r="C84" s="25" t="s">
        <v>106</v>
      </c>
      <c r="D84" s="18"/>
      <c r="E84" s="18" t="s">
        <v>95</v>
      </c>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5"/>
      <c r="AR84" s="4"/>
      <c r="AS84" s="4"/>
      <c r="AT84" s="4"/>
      <c r="AU84" s="4"/>
      <c r="AV84" s="4"/>
      <c r="AW84" s="4"/>
      <c r="AX84" s="4"/>
      <c r="AY84" s="4"/>
      <c r="AZ84" s="4"/>
      <c r="BA84" s="4"/>
      <c r="BB84" s="4"/>
      <c r="BC84" s="4"/>
      <c r="BD84" s="4"/>
      <c r="BE84" s="4"/>
      <c r="BF84" s="4"/>
    </row>
    <row r="85" spans="1:58">
      <c r="A85" s="4"/>
      <c r="B85" s="23">
        <v>17</v>
      </c>
      <c r="C85" s="25" t="s">
        <v>111</v>
      </c>
      <c r="D85" s="18"/>
      <c r="E85" s="18" t="s">
        <v>95</v>
      </c>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5"/>
      <c r="AR85" s="4"/>
      <c r="AS85" s="4"/>
      <c r="AT85" s="4"/>
      <c r="AU85" s="4"/>
      <c r="AV85" s="4"/>
      <c r="AW85" s="4"/>
      <c r="AX85" s="4"/>
      <c r="AY85" s="4"/>
      <c r="AZ85" s="4"/>
      <c r="BA85" s="4"/>
      <c r="BB85" s="4"/>
      <c r="BC85" s="4"/>
      <c r="BD85" s="4"/>
      <c r="BE85" s="4"/>
      <c r="BF85" s="4"/>
    </row>
    <row r="86" spans="1:58">
      <c r="A86" s="4"/>
      <c r="B86" s="23">
        <v>18</v>
      </c>
      <c r="C86" s="25" t="s">
        <v>80</v>
      </c>
      <c r="D86" s="18"/>
      <c r="E86" s="18" t="s">
        <v>210</v>
      </c>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5"/>
      <c r="AR86" s="4"/>
      <c r="AS86" s="4"/>
      <c r="AT86" s="4"/>
      <c r="AU86" s="4"/>
      <c r="AV86" s="4"/>
      <c r="AW86" s="4"/>
      <c r="AX86" s="4"/>
      <c r="AY86" s="4"/>
      <c r="AZ86" s="4"/>
      <c r="BA86" s="4"/>
      <c r="BB86" s="4"/>
      <c r="BC86" s="4"/>
      <c r="BD86" s="4"/>
      <c r="BE86" s="4"/>
      <c r="BF86" s="4"/>
    </row>
    <row r="87" spans="1:58">
      <c r="A87" s="4"/>
      <c r="B87" s="23">
        <v>19</v>
      </c>
      <c r="C87" s="25" t="s">
        <v>88</v>
      </c>
      <c r="D87" s="18"/>
      <c r="E87" s="18" t="s">
        <v>210</v>
      </c>
      <c r="F87" s="4"/>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5"/>
      <c r="AR87" s="4"/>
      <c r="AS87" s="4"/>
      <c r="AT87" s="4"/>
      <c r="AU87" s="4"/>
      <c r="AV87" s="4"/>
      <c r="AW87" s="4"/>
      <c r="AX87" s="4"/>
      <c r="AY87" s="4"/>
      <c r="AZ87" s="4"/>
      <c r="BA87" s="4"/>
      <c r="BB87" s="4"/>
      <c r="BC87" s="4"/>
      <c r="BD87" s="4"/>
      <c r="BE87" s="4"/>
      <c r="BF87" s="4"/>
    </row>
    <row r="88" spans="1:58">
      <c r="A88" s="4"/>
      <c r="B88" s="110">
        <v>20</v>
      </c>
      <c r="C88" s="25" t="s">
        <v>129</v>
      </c>
      <c r="D88" s="110"/>
      <c r="E88" s="18" t="s">
        <v>95</v>
      </c>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c r="AN88" s="4"/>
      <c r="AO88" s="4"/>
      <c r="AP88" s="4"/>
      <c r="AQ88" s="5"/>
      <c r="AR88" s="4"/>
      <c r="AS88" s="4"/>
      <c r="AT88" s="4"/>
      <c r="AU88" s="4"/>
      <c r="AV88" s="4"/>
      <c r="AW88" s="4"/>
      <c r="AX88" s="4"/>
      <c r="AY88" s="4"/>
      <c r="AZ88" s="4"/>
      <c r="BA88" s="4"/>
      <c r="BB88" s="4"/>
      <c r="BC88" s="4"/>
      <c r="BD88" s="4"/>
      <c r="BE88" s="4"/>
      <c r="BF88" s="4"/>
    </row>
    <row r="89" spans="1:58">
      <c r="A89" s="4"/>
      <c r="B89" s="110">
        <v>21</v>
      </c>
      <c r="C89" s="25" t="s">
        <v>135</v>
      </c>
      <c r="D89" s="110"/>
      <c r="E89" s="18" t="s">
        <v>95</v>
      </c>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5"/>
      <c r="AR89" s="4"/>
      <c r="AS89" s="4"/>
      <c r="AT89" s="4"/>
      <c r="AU89" s="4"/>
      <c r="AV89" s="4"/>
      <c r="AW89" s="4"/>
      <c r="AX89" s="4"/>
      <c r="AY89" s="4"/>
      <c r="AZ89" s="4"/>
      <c r="BA89" s="4"/>
      <c r="BB89" s="4"/>
      <c r="BC89" s="4"/>
      <c r="BD89" s="4"/>
      <c r="BE89" s="4"/>
      <c r="BF89" s="4"/>
    </row>
    <row r="90" spans="1:58">
      <c r="A90" s="4"/>
      <c r="B90" s="23">
        <v>22</v>
      </c>
      <c r="C90" s="25" t="s">
        <v>142</v>
      </c>
      <c r="D90" s="18"/>
      <c r="E90" s="18" t="s">
        <v>95</v>
      </c>
      <c r="F90" s="4"/>
      <c r="G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5"/>
      <c r="AR90" s="4"/>
      <c r="AS90" s="4"/>
      <c r="AT90" s="4"/>
      <c r="AU90" s="4"/>
      <c r="AV90" s="4"/>
      <c r="AW90" s="4"/>
      <c r="AX90" s="4"/>
      <c r="AY90" s="4"/>
      <c r="AZ90" s="4"/>
      <c r="BA90" s="4"/>
      <c r="BB90" s="4"/>
      <c r="BC90" s="4"/>
      <c r="BD90" s="4"/>
      <c r="BE90" s="4"/>
      <c r="BF90" s="4"/>
    </row>
    <row r="91" spans="1:58">
      <c r="A91" s="4"/>
      <c r="B91" s="23">
        <v>23</v>
      </c>
      <c r="C91" s="25" t="s">
        <v>174</v>
      </c>
      <c r="D91" s="18"/>
      <c r="E91" s="110" t="s">
        <v>76</v>
      </c>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c r="AP91" s="4"/>
      <c r="AQ91" s="5"/>
      <c r="AR91" s="4"/>
      <c r="AS91" s="4"/>
      <c r="AT91" s="4"/>
      <c r="AU91" s="4"/>
      <c r="AV91" s="4"/>
      <c r="AW91" s="4"/>
      <c r="AX91" s="4"/>
      <c r="AY91" s="4"/>
      <c r="AZ91" s="4"/>
      <c r="BA91" s="4"/>
      <c r="BB91" s="4"/>
      <c r="BC91" s="4"/>
      <c r="BD91" s="4"/>
      <c r="BE91" s="4"/>
      <c r="BF91" s="4"/>
    </row>
    <row r="92" spans="1:58">
      <c r="A92" s="4"/>
      <c r="B92" s="23">
        <v>24</v>
      </c>
      <c r="C92" s="25" t="s">
        <v>184</v>
      </c>
      <c r="D92" s="18"/>
      <c r="E92" s="110" t="s">
        <v>76</v>
      </c>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c r="AN92" s="4"/>
      <c r="AO92" s="4"/>
      <c r="AP92" s="4"/>
      <c r="AQ92" s="5"/>
      <c r="AR92" s="4"/>
      <c r="AS92" s="4"/>
      <c r="AT92" s="4"/>
      <c r="AU92" s="4"/>
      <c r="AV92" s="4"/>
      <c r="AW92" s="4"/>
      <c r="AX92" s="4"/>
      <c r="AY92" s="4"/>
      <c r="AZ92" s="4"/>
      <c r="BA92" s="4"/>
      <c r="BB92" s="4"/>
      <c r="BC92" s="4"/>
      <c r="BD92" s="4"/>
      <c r="BE92" s="4"/>
      <c r="BF92" s="4"/>
    </row>
    <row r="93" spans="1:58">
      <c r="A93" s="4"/>
      <c r="B93" s="23">
        <v>25</v>
      </c>
      <c r="C93" s="25" t="s">
        <v>189</v>
      </c>
      <c r="D93" s="18"/>
      <c r="E93" s="110" t="s">
        <v>76</v>
      </c>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5"/>
      <c r="AR93" s="4"/>
      <c r="AS93" s="4"/>
      <c r="AT93" s="4"/>
      <c r="AU93" s="4"/>
      <c r="AV93" s="4"/>
      <c r="AW93" s="4"/>
      <c r="AX93" s="4"/>
      <c r="AY93" s="4"/>
      <c r="AZ93" s="4"/>
      <c r="BA93" s="4"/>
      <c r="BB93" s="4"/>
      <c r="BC93" s="4"/>
      <c r="BD93" s="4"/>
      <c r="BE93" s="4"/>
      <c r="BF93" s="4"/>
    </row>
    <row r="94" spans="1:58">
      <c r="A94" s="4"/>
      <c r="B94" s="23">
        <v>26</v>
      </c>
      <c r="C94" s="25" t="s">
        <v>201</v>
      </c>
      <c r="D94" s="18"/>
      <c r="E94" s="110" t="s">
        <v>76</v>
      </c>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c r="AQ94" s="5"/>
      <c r="AR94" s="4"/>
      <c r="AS94" s="4"/>
      <c r="AT94" s="4"/>
      <c r="AU94" s="4"/>
      <c r="AV94" s="4"/>
      <c r="AW94" s="4"/>
      <c r="AX94" s="4"/>
      <c r="AY94" s="4"/>
      <c r="AZ94" s="4"/>
      <c r="BA94" s="4"/>
      <c r="BB94" s="4"/>
      <c r="BC94" s="4"/>
      <c r="BD94" s="4"/>
      <c r="BE94" s="4"/>
      <c r="BF94" s="4"/>
    </row>
    <row r="95" spans="1:58">
      <c r="A95" s="4"/>
      <c r="B95" s="23">
        <v>27</v>
      </c>
      <c r="C95" s="25" t="s">
        <v>211</v>
      </c>
      <c r="D95" s="18"/>
      <c r="E95" s="110" t="s">
        <v>76</v>
      </c>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5"/>
      <c r="AR95" s="4"/>
      <c r="AS95" s="4"/>
      <c r="AT95" s="4"/>
      <c r="AU95" s="4"/>
      <c r="AV95" s="4"/>
      <c r="AW95" s="4"/>
      <c r="AX95" s="4"/>
      <c r="AY95" s="4"/>
      <c r="AZ95" s="4"/>
      <c r="BA95" s="4"/>
      <c r="BB95" s="4"/>
      <c r="BC95" s="4"/>
      <c r="BD95" s="4"/>
      <c r="BE95" s="4"/>
      <c r="BF95" s="4"/>
    </row>
    <row r="96" spans="1:58">
      <c r="A96" s="4"/>
      <c r="B96" s="23">
        <v>28</v>
      </c>
      <c r="C96" s="25" t="s">
        <v>217</v>
      </c>
      <c r="D96" s="18"/>
      <c r="E96" s="110" t="s">
        <v>76</v>
      </c>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5"/>
      <c r="AR96" s="4"/>
      <c r="AS96" s="4"/>
      <c r="AT96" s="4"/>
      <c r="AU96" s="4"/>
      <c r="AV96" s="4"/>
      <c r="AW96" s="4"/>
      <c r="AX96" s="4"/>
      <c r="AY96" s="4"/>
      <c r="AZ96" s="4"/>
      <c r="BA96" s="4"/>
      <c r="BB96" s="4"/>
      <c r="BC96" s="4"/>
      <c r="BD96" s="4"/>
      <c r="BE96" s="4"/>
      <c r="BF96" s="4"/>
    </row>
    <row r="97" spans="1:58">
      <c r="A97" s="4"/>
      <c r="B97" s="23">
        <v>29</v>
      </c>
      <c r="C97" s="25" t="s">
        <v>227</v>
      </c>
      <c r="D97" s="18"/>
      <c r="E97" s="110" t="s">
        <v>76</v>
      </c>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5"/>
      <c r="AR97" s="4"/>
      <c r="AS97" s="4"/>
      <c r="AT97" s="4"/>
      <c r="AU97" s="4"/>
      <c r="AV97" s="4"/>
      <c r="AW97" s="4"/>
      <c r="AX97" s="4"/>
      <c r="AY97" s="4"/>
      <c r="AZ97" s="4"/>
      <c r="BA97" s="4"/>
      <c r="BB97" s="4"/>
      <c r="BC97" s="4"/>
      <c r="BD97" s="4"/>
      <c r="BE97" s="4"/>
      <c r="BF97" s="4"/>
    </row>
    <row r="98" spans="1:58">
      <c r="A98" s="4"/>
      <c r="B98" s="23">
        <v>30</v>
      </c>
      <c r="C98" s="25" t="s">
        <v>161</v>
      </c>
      <c r="D98" s="18"/>
      <c r="E98" s="18" t="s">
        <v>95</v>
      </c>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5"/>
      <c r="AR98" s="4"/>
      <c r="AS98" s="4"/>
      <c r="AT98" s="4"/>
      <c r="AU98" s="4"/>
      <c r="AV98" s="4"/>
      <c r="AW98" s="4"/>
      <c r="AX98" s="4"/>
      <c r="AY98" s="4"/>
      <c r="AZ98" s="4"/>
      <c r="BA98" s="4"/>
      <c r="BB98" s="4"/>
      <c r="BC98" s="4"/>
      <c r="BD98" s="4"/>
      <c r="BE98" s="4"/>
      <c r="BF98" s="4"/>
    </row>
    <row r="99" spans="1:58">
      <c r="A99" s="4"/>
      <c r="B99" s="23">
        <v>31</v>
      </c>
      <c r="C99" s="25" t="s">
        <v>202</v>
      </c>
      <c r="D99" s="18"/>
      <c r="E99" s="18" t="s">
        <v>95</v>
      </c>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5"/>
      <c r="AR99" s="4"/>
      <c r="AS99" s="4"/>
      <c r="AT99" s="4"/>
      <c r="AU99" s="4"/>
      <c r="AV99" s="4"/>
      <c r="AW99" s="4"/>
      <c r="AX99" s="4"/>
      <c r="AY99" s="4"/>
      <c r="AZ99" s="4"/>
      <c r="BA99" s="4"/>
      <c r="BB99" s="4"/>
      <c r="BC99" s="4"/>
      <c r="BD99" s="4"/>
      <c r="BE99" s="4"/>
      <c r="BF99" s="4"/>
    </row>
    <row r="100" spans="1:58">
      <c r="A100" s="4"/>
      <c r="B100" s="23">
        <v>32</v>
      </c>
      <c r="C100" s="25" t="s">
        <v>212</v>
      </c>
      <c r="D100" s="18"/>
      <c r="E100" s="18" t="s">
        <v>95</v>
      </c>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5"/>
      <c r="AR100" s="4"/>
      <c r="AS100" s="4"/>
      <c r="AT100" s="4"/>
      <c r="AU100" s="4"/>
      <c r="AV100" s="4"/>
      <c r="AW100" s="4"/>
      <c r="AX100" s="4"/>
      <c r="AY100" s="4"/>
      <c r="AZ100" s="4"/>
      <c r="BA100" s="4"/>
      <c r="BB100" s="4"/>
      <c r="BC100" s="4"/>
      <c r="BD100" s="4"/>
      <c r="BE100" s="4"/>
      <c r="BF100" s="4"/>
    </row>
    <row r="101" spans="1:58">
      <c r="A101" s="4"/>
      <c r="B101" s="23">
        <v>33</v>
      </c>
      <c r="C101" s="25" t="s">
        <v>218</v>
      </c>
      <c r="D101" s="18"/>
      <c r="E101" s="18" t="s">
        <v>95</v>
      </c>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5"/>
      <c r="AR101" s="4"/>
      <c r="AS101" s="4"/>
      <c r="AT101" s="4"/>
      <c r="AU101" s="4"/>
      <c r="AV101" s="4"/>
      <c r="AW101" s="4"/>
      <c r="AX101" s="4"/>
      <c r="AY101" s="4"/>
      <c r="AZ101" s="4"/>
      <c r="BA101" s="4"/>
      <c r="BB101" s="4"/>
      <c r="BC101" s="4"/>
      <c r="BD101" s="4"/>
      <c r="BE101" s="4"/>
      <c r="BF101" s="4"/>
    </row>
    <row r="102" spans="1:58">
      <c r="A102" s="4"/>
      <c r="B102" s="23">
        <v>34</v>
      </c>
      <c r="C102" s="25" t="s">
        <v>228</v>
      </c>
      <c r="D102" s="18"/>
      <c r="E102" s="18" t="s">
        <v>95</v>
      </c>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5"/>
      <c r="AR102" s="4"/>
      <c r="AS102" s="4"/>
      <c r="AT102" s="4"/>
      <c r="AU102" s="4"/>
      <c r="AV102" s="4"/>
      <c r="AW102" s="4"/>
      <c r="AX102" s="4"/>
      <c r="AY102" s="4"/>
      <c r="AZ102" s="4"/>
      <c r="BA102" s="4"/>
      <c r="BB102" s="4"/>
      <c r="BC102" s="4"/>
      <c r="BD102" s="4"/>
      <c r="BE102" s="4"/>
      <c r="BF102" s="4"/>
    </row>
    <row r="103" spans="1:58">
      <c r="A103" s="4"/>
      <c r="B103" s="4"/>
      <c r="C103" s="3"/>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5"/>
      <c r="AR103" s="4"/>
      <c r="AS103" s="4"/>
      <c r="AT103" s="4"/>
      <c r="AU103" s="4"/>
      <c r="AV103" s="4"/>
      <c r="AW103" s="4"/>
      <c r="AX103" s="4"/>
      <c r="AY103" s="4"/>
      <c r="AZ103" s="4"/>
      <c r="BA103" s="4"/>
      <c r="BB103" s="4"/>
      <c r="BC103" s="4"/>
      <c r="BD103" s="4"/>
      <c r="BE103" s="4"/>
      <c r="BF103" s="4"/>
    </row>
    <row r="104" spans="1:58">
      <c r="A104" s="4"/>
      <c r="B104" s="4"/>
      <c r="C104" s="3"/>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5"/>
      <c r="AR104" s="4"/>
      <c r="AS104" s="4"/>
      <c r="AT104" s="4"/>
      <c r="AU104" s="4"/>
      <c r="AV104" s="4"/>
      <c r="AW104" s="4"/>
      <c r="AX104" s="4"/>
      <c r="AY104" s="4"/>
      <c r="AZ104" s="4"/>
      <c r="BA104" s="4"/>
      <c r="BB104" s="4"/>
      <c r="BC104" s="4"/>
      <c r="BD104" s="4"/>
      <c r="BE104" s="4"/>
      <c r="BF104" s="4"/>
    </row>
    <row r="105" spans="1:58">
      <c r="A105" s="4"/>
      <c r="B105" s="4"/>
      <c r="C105" s="3"/>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c r="AN105" s="4"/>
      <c r="AO105" s="4"/>
      <c r="AP105" s="4"/>
      <c r="AQ105" s="5"/>
      <c r="AR105" s="4"/>
      <c r="AS105" s="4"/>
      <c r="AT105" s="4"/>
      <c r="AU105" s="4"/>
      <c r="AV105" s="4"/>
      <c r="AW105" s="4"/>
      <c r="AX105" s="4"/>
      <c r="AY105" s="4"/>
      <c r="AZ105" s="4"/>
      <c r="BA105" s="4"/>
      <c r="BB105" s="4"/>
      <c r="BC105" s="4"/>
      <c r="BD105" s="4"/>
      <c r="BE105" s="4"/>
      <c r="BF105" s="4"/>
    </row>
    <row r="106" spans="1:58">
      <c r="A106" s="4"/>
      <c r="B106" s="4"/>
      <c r="C106" s="3"/>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5"/>
      <c r="AR106" s="4"/>
      <c r="AS106" s="4"/>
      <c r="AT106" s="4"/>
      <c r="AU106" s="4"/>
      <c r="AV106" s="4"/>
      <c r="AW106" s="4"/>
      <c r="AX106" s="4"/>
      <c r="AY106" s="4"/>
      <c r="AZ106" s="4"/>
      <c r="BA106" s="4"/>
      <c r="BB106" s="4"/>
      <c r="BC106" s="4"/>
      <c r="BD106" s="4"/>
      <c r="BE106" s="4"/>
      <c r="BF106" s="4"/>
    </row>
    <row r="107" spans="1:58">
      <c r="A107" s="4"/>
      <c r="B107" s="4"/>
      <c r="C107" s="3"/>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5"/>
      <c r="AR107" s="4"/>
      <c r="AS107" s="4"/>
      <c r="AT107" s="4"/>
      <c r="AU107" s="4"/>
      <c r="AV107" s="4"/>
      <c r="AW107" s="4"/>
      <c r="AX107" s="4"/>
      <c r="AY107" s="4"/>
      <c r="AZ107" s="4"/>
      <c r="BA107" s="4"/>
      <c r="BB107" s="4"/>
      <c r="BC107" s="4"/>
      <c r="BD107" s="4"/>
      <c r="BE107" s="4"/>
      <c r="BF107" s="4"/>
    </row>
    <row r="108" spans="1:58">
      <c r="A108" s="4"/>
      <c r="B108" s="4"/>
      <c r="C108" s="3"/>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5"/>
      <c r="AR108" s="4"/>
      <c r="AS108" s="4"/>
      <c r="AT108" s="4"/>
      <c r="AU108" s="4"/>
      <c r="AV108" s="4"/>
      <c r="AW108" s="4"/>
      <c r="AX108" s="4"/>
      <c r="AY108" s="4"/>
      <c r="AZ108" s="4"/>
      <c r="BA108" s="4"/>
      <c r="BB108" s="4"/>
      <c r="BC108" s="4"/>
      <c r="BD108" s="4"/>
      <c r="BE108" s="4"/>
      <c r="BF108" s="4"/>
    </row>
    <row r="109" spans="1:58">
      <c r="A109" s="4"/>
      <c r="B109" s="4"/>
      <c r="C109" s="3"/>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5"/>
      <c r="AR109" s="4"/>
      <c r="AS109" s="4"/>
      <c r="AT109" s="4"/>
      <c r="AU109" s="4"/>
      <c r="AV109" s="4"/>
      <c r="AW109" s="4"/>
      <c r="AX109" s="4"/>
      <c r="AY109" s="4"/>
      <c r="AZ109" s="4"/>
      <c r="BA109" s="4"/>
      <c r="BB109" s="4"/>
      <c r="BC109" s="4"/>
      <c r="BD109" s="4"/>
      <c r="BE109" s="4"/>
      <c r="BF109" s="4"/>
    </row>
    <row r="110" spans="1:58">
      <c r="A110" s="4"/>
      <c r="B110" s="4"/>
      <c r="C110" s="3"/>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5"/>
      <c r="AR110" s="4"/>
      <c r="AS110" s="4"/>
      <c r="AT110" s="4"/>
      <c r="AU110" s="4"/>
      <c r="AV110" s="4"/>
      <c r="AW110" s="4"/>
      <c r="AX110" s="4"/>
      <c r="AY110" s="4"/>
      <c r="AZ110" s="4"/>
      <c r="BA110" s="4"/>
      <c r="BB110" s="4"/>
      <c r="BC110" s="4"/>
      <c r="BD110" s="4"/>
      <c r="BE110" s="4"/>
      <c r="BF110" s="4"/>
    </row>
    <row r="111" spans="1:58">
      <c r="A111" s="4"/>
      <c r="B111" s="4"/>
      <c r="C111" s="3"/>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5"/>
      <c r="AR111" s="4"/>
      <c r="AS111" s="4"/>
      <c r="AT111" s="4"/>
      <c r="AU111" s="4"/>
      <c r="AV111" s="4"/>
      <c r="AW111" s="4"/>
      <c r="AX111" s="4"/>
      <c r="AY111" s="4"/>
      <c r="AZ111" s="4"/>
      <c r="BA111" s="4"/>
      <c r="BB111" s="4"/>
      <c r="BC111" s="4"/>
      <c r="BD111" s="4"/>
      <c r="BE111" s="4"/>
      <c r="BF111" s="4"/>
    </row>
    <row r="112" spans="1:58">
      <c r="A112" s="4"/>
      <c r="B112" s="4"/>
      <c r="C112" s="3"/>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5"/>
      <c r="AR112" s="4"/>
      <c r="AS112" s="4"/>
      <c r="AT112" s="4"/>
      <c r="AU112" s="4"/>
      <c r="AV112" s="4"/>
      <c r="AW112" s="4"/>
      <c r="AX112" s="4"/>
      <c r="AY112" s="4"/>
      <c r="AZ112" s="4"/>
      <c r="BA112" s="4"/>
      <c r="BB112" s="4"/>
      <c r="BC112" s="4"/>
      <c r="BD112" s="4"/>
      <c r="BE112" s="4"/>
      <c r="BF112" s="4"/>
    </row>
    <row r="113" spans="1:58">
      <c r="A113" s="4"/>
      <c r="B113" s="4"/>
      <c r="C113" s="3"/>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5"/>
      <c r="AR113" s="4"/>
      <c r="AS113" s="4"/>
      <c r="AT113" s="4"/>
      <c r="AU113" s="4"/>
      <c r="AV113" s="4"/>
      <c r="AW113" s="4"/>
      <c r="AX113" s="4"/>
      <c r="AY113" s="4"/>
      <c r="AZ113" s="4"/>
      <c r="BA113" s="4"/>
      <c r="BB113" s="4"/>
      <c r="BC113" s="4"/>
      <c r="BD113" s="4"/>
      <c r="BE113" s="4"/>
      <c r="BF113" s="4"/>
    </row>
    <row r="114" spans="1:58">
      <c r="A114" s="4"/>
      <c r="B114" s="4"/>
      <c r="C114" s="3"/>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5"/>
      <c r="AR114" s="4"/>
      <c r="AS114" s="4"/>
      <c r="AT114" s="4"/>
      <c r="AU114" s="4"/>
      <c r="AV114" s="4"/>
      <c r="AW114" s="4"/>
      <c r="AX114" s="4"/>
      <c r="AY114" s="4"/>
      <c r="AZ114" s="4"/>
      <c r="BA114" s="4"/>
      <c r="BB114" s="4"/>
      <c r="BC114" s="4"/>
      <c r="BD114" s="4"/>
      <c r="BE114" s="4"/>
      <c r="BF114" s="4"/>
    </row>
    <row r="115" spans="1:58">
      <c r="A115" s="4"/>
      <c r="B115" s="4"/>
      <c r="C115" s="3"/>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5"/>
      <c r="AR115" s="4"/>
      <c r="AS115" s="4"/>
      <c r="AT115" s="4"/>
      <c r="AU115" s="4"/>
      <c r="AV115" s="4"/>
      <c r="AW115" s="4"/>
      <c r="AX115" s="4"/>
      <c r="AY115" s="4"/>
      <c r="AZ115" s="4"/>
      <c r="BA115" s="4"/>
      <c r="BB115" s="4"/>
      <c r="BC115" s="4"/>
      <c r="BD115" s="4"/>
      <c r="BE115" s="4"/>
      <c r="BF115" s="4"/>
    </row>
    <row r="116" spans="1:58">
      <c r="A116" s="4"/>
      <c r="B116" s="4"/>
      <c r="C116" s="3"/>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5"/>
      <c r="AR116" s="4"/>
      <c r="AS116" s="4"/>
      <c r="AT116" s="4"/>
      <c r="AU116" s="4"/>
      <c r="AV116" s="4"/>
      <c r="AW116" s="4"/>
      <c r="AX116" s="4"/>
      <c r="AY116" s="4"/>
      <c r="AZ116" s="4"/>
      <c r="BA116" s="4"/>
      <c r="BB116" s="4"/>
      <c r="BC116" s="4"/>
      <c r="BD116" s="4"/>
      <c r="BE116" s="4"/>
      <c r="BF116" s="4"/>
    </row>
    <row r="117" spans="1:58">
      <c r="A117" s="4"/>
      <c r="B117" s="4"/>
      <c r="C117" s="3"/>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5"/>
      <c r="AR117" s="4"/>
      <c r="AS117" s="4"/>
      <c r="AT117" s="4"/>
      <c r="AU117" s="4"/>
      <c r="AV117" s="4"/>
      <c r="AW117" s="4"/>
      <c r="AX117" s="4"/>
      <c r="AY117" s="4"/>
      <c r="AZ117" s="4"/>
      <c r="BA117" s="4"/>
      <c r="BB117" s="4"/>
      <c r="BC117" s="4"/>
      <c r="BD117" s="4"/>
      <c r="BE117" s="4"/>
      <c r="BF117" s="4"/>
    </row>
    <row r="118" spans="1:58">
      <c r="A118" s="4"/>
      <c r="B118" s="4"/>
      <c r="C118" s="3"/>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5"/>
      <c r="AR118" s="4"/>
      <c r="AS118" s="4"/>
      <c r="AT118" s="4"/>
      <c r="AU118" s="4"/>
      <c r="AV118" s="4"/>
      <c r="AW118" s="4"/>
      <c r="AX118" s="4"/>
      <c r="AY118" s="4"/>
      <c r="AZ118" s="4"/>
      <c r="BA118" s="4"/>
      <c r="BB118" s="4"/>
      <c r="BC118" s="4"/>
      <c r="BD118" s="4"/>
      <c r="BE118" s="4"/>
      <c r="BF118" s="4"/>
    </row>
    <row r="119" spans="1:58">
      <c r="A119" s="4"/>
      <c r="B119" s="4"/>
      <c r="C119" s="3"/>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5"/>
      <c r="AR119" s="4"/>
      <c r="AS119" s="4"/>
      <c r="AT119" s="4"/>
      <c r="AU119" s="4"/>
      <c r="AV119" s="4"/>
      <c r="AW119" s="4"/>
      <c r="AX119" s="4"/>
      <c r="AY119" s="4"/>
      <c r="AZ119" s="4"/>
      <c r="BA119" s="4"/>
      <c r="BB119" s="4"/>
      <c r="BC119" s="4"/>
      <c r="BD119" s="4"/>
      <c r="BE119" s="4"/>
      <c r="BF119" s="4"/>
    </row>
    <row r="120" spans="1:58">
      <c r="A120" s="4"/>
      <c r="B120" s="4"/>
      <c r="C120" s="3"/>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5"/>
      <c r="AR120" s="4"/>
      <c r="AS120" s="4"/>
      <c r="AT120" s="4"/>
      <c r="AU120" s="4"/>
      <c r="AV120" s="4"/>
      <c r="AW120" s="4"/>
      <c r="AX120" s="4"/>
      <c r="AY120" s="4"/>
      <c r="AZ120" s="4"/>
      <c r="BA120" s="4"/>
      <c r="BB120" s="4"/>
      <c r="BC120" s="4"/>
      <c r="BD120" s="4"/>
      <c r="BE120" s="4"/>
      <c r="BF120" s="4"/>
    </row>
    <row r="121" spans="1:58">
      <c r="A121" s="4"/>
      <c r="B121" s="3"/>
      <c r="C121" s="3"/>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5"/>
      <c r="AR121" s="4"/>
      <c r="AS121" s="4"/>
      <c r="AT121" s="4"/>
      <c r="AU121" s="4"/>
      <c r="AV121" s="4"/>
      <c r="AW121" s="4"/>
      <c r="AX121" s="4"/>
      <c r="AY121" s="4"/>
      <c r="AZ121" s="4"/>
      <c r="BA121" s="4"/>
      <c r="BB121" s="4"/>
      <c r="BC121" s="4"/>
      <c r="BD121" s="4"/>
      <c r="BE121" s="4"/>
      <c r="BF121" s="4"/>
    </row>
    <row r="122" spans="1:58">
      <c r="A122" s="4"/>
      <c r="B122" s="3"/>
      <c r="C122" s="3"/>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5"/>
      <c r="AR122" s="4"/>
      <c r="AS122" s="4"/>
      <c r="AT122" s="4"/>
      <c r="AU122" s="4"/>
      <c r="AV122" s="4"/>
      <c r="AW122" s="4"/>
      <c r="AX122" s="4"/>
      <c r="AY122" s="4"/>
      <c r="AZ122" s="4"/>
      <c r="BA122" s="4"/>
      <c r="BB122" s="4"/>
      <c r="BC122" s="4"/>
      <c r="BD122" s="4"/>
      <c r="BE122" s="4"/>
      <c r="BF122" s="4"/>
    </row>
    <row r="123" spans="1:58">
      <c r="A123" s="4"/>
      <c r="B123" s="3"/>
      <c r="C123" s="3"/>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5"/>
      <c r="AR123" s="4"/>
      <c r="AS123" s="4"/>
      <c r="AT123" s="4"/>
      <c r="AU123" s="4"/>
      <c r="AV123" s="4"/>
      <c r="AW123" s="4"/>
      <c r="AX123" s="4"/>
      <c r="AY123" s="4"/>
      <c r="AZ123" s="4"/>
      <c r="BA123" s="4"/>
      <c r="BB123" s="4"/>
      <c r="BC123" s="4"/>
      <c r="BD123" s="4"/>
      <c r="BE123" s="4"/>
      <c r="BF123" s="4"/>
    </row>
    <row r="124" spans="1:58">
      <c r="A124" s="4"/>
      <c r="B124" s="3"/>
      <c r="C124" s="3"/>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5"/>
      <c r="AR124" s="4"/>
      <c r="AS124" s="4"/>
      <c r="AT124" s="4"/>
      <c r="AU124" s="4"/>
      <c r="AV124" s="4"/>
      <c r="AW124" s="4"/>
      <c r="AX124" s="4"/>
      <c r="AY124" s="4"/>
      <c r="AZ124" s="4"/>
      <c r="BA124" s="4"/>
      <c r="BB124" s="4"/>
      <c r="BC124" s="4"/>
      <c r="BD124" s="4"/>
      <c r="BE124" s="4"/>
      <c r="BF124" s="4"/>
    </row>
    <row r="125" spans="1:58">
      <c r="A125" s="4"/>
      <c r="B125" s="3"/>
      <c r="C125" s="3"/>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5"/>
      <c r="AR125" s="4"/>
      <c r="AS125" s="4"/>
      <c r="AT125" s="4"/>
      <c r="AU125" s="4"/>
      <c r="AV125" s="4"/>
      <c r="AW125" s="4"/>
      <c r="AX125" s="4"/>
      <c r="AY125" s="4"/>
      <c r="AZ125" s="4"/>
      <c r="BA125" s="4"/>
      <c r="BB125" s="4"/>
      <c r="BC125" s="4"/>
      <c r="BD125" s="4"/>
      <c r="BE125" s="4"/>
      <c r="BF125" s="4"/>
    </row>
    <row r="126" spans="1:58">
      <c r="A126" s="4"/>
      <c r="B126" s="3"/>
      <c r="C126" s="3"/>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5"/>
      <c r="AR126" s="4"/>
      <c r="AS126" s="4"/>
      <c r="AT126" s="4"/>
      <c r="AU126" s="4"/>
      <c r="AV126" s="4"/>
      <c r="AW126" s="4"/>
      <c r="AX126" s="4"/>
      <c r="AY126" s="4"/>
      <c r="AZ126" s="4"/>
      <c r="BA126" s="4"/>
      <c r="BB126" s="4"/>
      <c r="BC126" s="4"/>
      <c r="BD126" s="4"/>
      <c r="BE126" s="4"/>
      <c r="BF126" s="4"/>
    </row>
    <row r="127" spans="1:58">
      <c r="A127" s="4"/>
      <c r="B127" s="3"/>
      <c r="C127" s="3"/>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5"/>
      <c r="AR127" s="4"/>
      <c r="AS127" s="4"/>
      <c r="AT127" s="4"/>
      <c r="AU127" s="4"/>
      <c r="AV127" s="4"/>
      <c r="AW127" s="4"/>
      <c r="AX127" s="4"/>
      <c r="AY127" s="4"/>
      <c r="AZ127" s="4"/>
      <c r="BA127" s="4"/>
      <c r="BB127" s="4"/>
      <c r="BC127" s="4"/>
      <c r="BD127" s="4"/>
      <c r="BE127" s="4"/>
      <c r="BF127" s="4"/>
    </row>
    <row r="128" spans="1:58">
      <c r="A128" s="4"/>
      <c r="B128" s="3"/>
      <c r="C128" s="3"/>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5"/>
      <c r="AR128" s="4"/>
      <c r="AS128" s="4"/>
      <c r="AT128" s="4"/>
      <c r="AU128" s="4"/>
      <c r="AV128" s="4"/>
      <c r="AW128" s="4"/>
      <c r="AX128" s="4"/>
      <c r="AY128" s="4"/>
      <c r="AZ128" s="4"/>
      <c r="BA128" s="4"/>
      <c r="BB128" s="4"/>
      <c r="BC128" s="4"/>
      <c r="BD128" s="4"/>
      <c r="BE128" s="4"/>
      <c r="BF128" s="4"/>
    </row>
    <row r="129" spans="1:58">
      <c r="A129" s="4"/>
      <c r="B129" s="3"/>
      <c r="C129" s="3"/>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5"/>
      <c r="AR129" s="4"/>
      <c r="AS129" s="4"/>
      <c r="AT129" s="4"/>
      <c r="AU129" s="4"/>
      <c r="AV129" s="4"/>
      <c r="AW129" s="4"/>
      <c r="AX129" s="4"/>
      <c r="AY129" s="4"/>
      <c r="AZ129" s="4"/>
      <c r="BA129" s="4"/>
      <c r="BB129" s="4"/>
      <c r="BC129" s="4"/>
      <c r="BD129" s="4"/>
      <c r="BE129" s="4"/>
      <c r="BF129" s="4"/>
    </row>
    <row r="130" spans="1:58">
      <c r="A130" s="4"/>
      <c r="B130" s="3"/>
      <c r="C130" s="3"/>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5"/>
      <c r="AR130" s="4"/>
      <c r="AS130" s="4"/>
      <c r="AT130" s="4"/>
      <c r="AU130" s="4"/>
      <c r="AV130" s="4"/>
      <c r="AW130" s="4"/>
      <c r="AX130" s="4"/>
      <c r="AY130" s="4"/>
      <c r="AZ130" s="4"/>
      <c r="BA130" s="4"/>
      <c r="BB130" s="4"/>
      <c r="BC130" s="4"/>
      <c r="BD130" s="4"/>
      <c r="BE130" s="4"/>
      <c r="BF130" s="4"/>
    </row>
    <row r="131" spans="1:58">
      <c r="A131" s="4"/>
      <c r="B131" s="3"/>
      <c r="C131" s="3"/>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5"/>
      <c r="AR131" s="4"/>
      <c r="AS131" s="4"/>
      <c r="AT131" s="4"/>
      <c r="AU131" s="4"/>
      <c r="AV131" s="4"/>
      <c r="AW131" s="4"/>
      <c r="AX131" s="4"/>
      <c r="AY131" s="4"/>
      <c r="AZ131" s="4"/>
      <c r="BA131" s="4"/>
      <c r="BB131" s="4"/>
      <c r="BC131" s="4"/>
      <c r="BD131" s="4"/>
      <c r="BE131" s="4"/>
      <c r="BF131" s="4"/>
    </row>
    <row r="132" spans="1:58">
      <c r="A132" s="4"/>
      <c r="B132" s="3"/>
      <c r="C132" s="3"/>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5"/>
      <c r="AR132" s="4"/>
      <c r="AS132" s="4"/>
      <c r="AT132" s="4"/>
      <c r="AU132" s="4"/>
      <c r="AV132" s="4"/>
      <c r="AW132" s="4"/>
      <c r="AX132" s="4"/>
      <c r="AY132" s="4"/>
      <c r="AZ132" s="4"/>
      <c r="BA132" s="4"/>
      <c r="BB132" s="4"/>
      <c r="BC132" s="4"/>
      <c r="BD132" s="4"/>
      <c r="BE132" s="4"/>
      <c r="BF132" s="4"/>
    </row>
    <row r="133" spans="1:58">
      <c r="A133" s="4"/>
      <c r="B133" s="3"/>
      <c r="C133" s="3"/>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5"/>
      <c r="AR133" s="4"/>
      <c r="AS133" s="4"/>
      <c r="AT133" s="4"/>
      <c r="AU133" s="4"/>
      <c r="AV133" s="4"/>
      <c r="AW133" s="4"/>
      <c r="AX133" s="4"/>
      <c r="AY133" s="4"/>
      <c r="AZ133" s="4"/>
      <c r="BA133" s="4"/>
      <c r="BB133" s="4"/>
      <c r="BC133" s="4"/>
      <c r="BD133" s="4"/>
      <c r="BE133" s="4"/>
      <c r="BF133" s="4"/>
    </row>
    <row r="134" spans="1:58">
      <c r="A134" s="4"/>
      <c r="B134" s="3"/>
      <c r="C134" s="3"/>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5"/>
      <c r="AR134" s="4"/>
      <c r="AS134" s="4"/>
      <c r="AT134" s="4"/>
      <c r="AU134" s="4"/>
      <c r="AV134" s="4"/>
      <c r="AW134" s="4"/>
      <c r="AX134" s="4"/>
      <c r="AY134" s="4"/>
      <c r="AZ134" s="4"/>
      <c r="BA134" s="4"/>
      <c r="BB134" s="4"/>
      <c r="BC134" s="4"/>
      <c r="BD134" s="4"/>
      <c r="BE134" s="4"/>
      <c r="BF134" s="4"/>
    </row>
    <row r="135" spans="1:58">
      <c r="A135" s="4"/>
      <c r="B135" s="3"/>
      <c r="C135" s="3"/>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5"/>
      <c r="AR135" s="4"/>
      <c r="AS135" s="4"/>
      <c r="AT135" s="4"/>
      <c r="AU135" s="4"/>
      <c r="AV135" s="4"/>
      <c r="AW135" s="4"/>
      <c r="AX135" s="4"/>
      <c r="AY135" s="4"/>
      <c r="AZ135" s="4"/>
      <c r="BA135" s="4"/>
      <c r="BB135" s="4"/>
      <c r="BC135" s="4"/>
      <c r="BD135" s="4"/>
      <c r="BE135" s="4"/>
      <c r="BF135" s="4"/>
    </row>
    <row r="136" spans="1:58">
      <c r="A136" s="4"/>
      <c r="B136" s="3"/>
      <c r="C136" s="3"/>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5"/>
      <c r="AR136" s="4"/>
      <c r="AS136" s="4"/>
      <c r="AT136" s="4"/>
      <c r="AU136" s="4"/>
      <c r="AV136" s="4"/>
      <c r="AW136" s="4"/>
      <c r="AX136" s="4"/>
      <c r="AY136" s="4"/>
      <c r="AZ136" s="4"/>
      <c r="BA136" s="4"/>
      <c r="BB136" s="4"/>
      <c r="BC136" s="4"/>
      <c r="BD136" s="4"/>
      <c r="BE136" s="4"/>
      <c r="BF136" s="4"/>
    </row>
    <row r="137" spans="1:58">
      <c r="A137" s="4"/>
      <c r="B137" s="3"/>
      <c r="C137" s="3"/>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5"/>
      <c r="AR137" s="4"/>
      <c r="AS137" s="4"/>
      <c r="AT137" s="4"/>
      <c r="AU137" s="4"/>
      <c r="AV137" s="4"/>
      <c r="AW137" s="4"/>
      <c r="AX137" s="4"/>
      <c r="AY137" s="4"/>
      <c r="AZ137" s="4"/>
      <c r="BA137" s="4"/>
      <c r="BB137" s="4"/>
      <c r="BC137" s="4"/>
      <c r="BD137" s="4"/>
      <c r="BE137" s="4"/>
      <c r="BF137" s="4"/>
    </row>
    <row r="138" spans="1:58">
      <c r="A138" s="4"/>
      <c r="B138" s="3"/>
      <c r="C138" s="3"/>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5"/>
      <c r="AR138" s="4"/>
      <c r="AS138" s="4"/>
      <c r="AT138" s="4"/>
      <c r="AU138" s="4"/>
      <c r="AV138" s="4"/>
      <c r="AW138" s="4"/>
      <c r="AX138" s="4"/>
      <c r="AY138" s="4"/>
      <c r="AZ138" s="4"/>
      <c r="BA138" s="4"/>
      <c r="BB138" s="4"/>
      <c r="BC138" s="4"/>
      <c r="BD138" s="4"/>
      <c r="BE138" s="4"/>
      <c r="BF138" s="4"/>
    </row>
    <row r="139" spans="1:58">
      <c r="A139" s="4"/>
      <c r="B139" s="3"/>
      <c r="C139" s="3"/>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5"/>
      <c r="AR139" s="4"/>
      <c r="AS139" s="4"/>
      <c r="AT139" s="4"/>
      <c r="AU139" s="4"/>
      <c r="AV139" s="4"/>
      <c r="AW139" s="4"/>
      <c r="AX139" s="4"/>
      <c r="AY139" s="4"/>
      <c r="AZ139" s="4"/>
      <c r="BA139" s="4"/>
      <c r="BB139" s="4"/>
      <c r="BC139" s="4"/>
      <c r="BD139" s="4"/>
      <c r="BE139" s="4"/>
      <c r="BF139" s="4"/>
    </row>
    <row r="140" spans="1:58">
      <c r="A140" s="4"/>
      <c r="B140" s="3"/>
      <c r="C140" s="3"/>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5"/>
      <c r="AR140" s="4"/>
      <c r="AS140" s="4"/>
      <c r="AT140" s="4"/>
      <c r="AU140" s="4"/>
      <c r="AV140" s="4"/>
      <c r="AW140" s="4"/>
      <c r="AX140" s="4"/>
      <c r="AY140" s="4"/>
      <c r="AZ140" s="4"/>
      <c r="BA140" s="4"/>
      <c r="BB140" s="4"/>
      <c r="BC140" s="4"/>
      <c r="BD140" s="4"/>
      <c r="BE140" s="4"/>
      <c r="BF140" s="4"/>
    </row>
    <row r="141" spans="1:58">
      <c r="A141" s="4"/>
      <c r="B141" s="3"/>
      <c r="C141" s="3"/>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5"/>
      <c r="AR141" s="4"/>
      <c r="AS141" s="4"/>
      <c r="AT141" s="4"/>
      <c r="AU141" s="4"/>
      <c r="AV141" s="4"/>
      <c r="AW141" s="4"/>
      <c r="AX141" s="4"/>
      <c r="AY141" s="4"/>
      <c r="AZ141" s="4"/>
      <c r="BA141" s="4"/>
      <c r="BB141" s="4"/>
      <c r="BC141" s="4"/>
      <c r="BD141" s="4"/>
      <c r="BE141" s="4"/>
      <c r="BF141" s="4"/>
    </row>
    <row r="142" spans="1:58">
      <c r="A142" s="4"/>
      <c r="B142" s="3"/>
      <c r="C142" s="3"/>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5"/>
      <c r="AR142" s="4"/>
      <c r="AS142" s="4"/>
      <c r="AT142" s="4"/>
      <c r="AU142" s="4"/>
      <c r="AV142" s="4"/>
      <c r="AW142" s="4"/>
      <c r="AX142" s="4"/>
      <c r="AY142" s="4"/>
      <c r="AZ142" s="4"/>
      <c r="BA142" s="4"/>
      <c r="BB142" s="4"/>
      <c r="BC142" s="4"/>
      <c r="BD142" s="4"/>
      <c r="BE142" s="4"/>
      <c r="BF142" s="4"/>
    </row>
    <row r="143" spans="1:58">
      <c r="A143" s="4"/>
      <c r="B143" s="3"/>
      <c r="C143" s="3"/>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5"/>
      <c r="AR143" s="4"/>
      <c r="AS143" s="4"/>
      <c r="AT143" s="4"/>
      <c r="AU143" s="4"/>
      <c r="AV143" s="4"/>
      <c r="AW143" s="4"/>
      <c r="AX143" s="4"/>
      <c r="AY143" s="4"/>
      <c r="AZ143" s="4"/>
      <c r="BA143" s="4"/>
      <c r="BB143" s="4"/>
      <c r="BC143" s="4"/>
      <c r="BD143" s="4"/>
      <c r="BE143" s="4"/>
      <c r="BF143" s="4"/>
    </row>
    <row r="144" spans="1:58">
      <c r="A144" s="4"/>
      <c r="B144" s="3"/>
      <c r="C144" s="3"/>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5"/>
      <c r="AR144" s="4"/>
      <c r="AS144" s="4"/>
      <c r="AT144" s="4"/>
      <c r="AU144" s="4"/>
      <c r="AV144" s="4"/>
      <c r="AW144" s="4"/>
      <c r="AX144" s="4"/>
      <c r="AY144" s="4"/>
      <c r="AZ144" s="4"/>
      <c r="BA144" s="4"/>
      <c r="BB144" s="4"/>
      <c r="BC144" s="4"/>
      <c r="BD144" s="4"/>
      <c r="BE144" s="4"/>
      <c r="BF144" s="4"/>
    </row>
    <row r="145" spans="1:58">
      <c r="A145" s="4"/>
      <c r="B145" s="3"/>
      <c r="C145" s="3"/>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5"/>
      <c r="AR145" s="4"/>
      <c r="AS145" s="4"/>
      <c r="AT145" s="4"/>
      <c r="AU145" s="4"/>
      <c r="AV145" s="4"/>
      <c r="AW145" s="4"/>
      <c r="AX145" s="4"/>
      <c r="AY145" s="4"/>
      <c r="AZ145" s="4"/>
      <c r="BA145" s="4"/>
      <c r="BB145" s="4"/>
      <c r="BC145" s="4"/>
      <c r="BD145" s="4"/>
      <c r="BE145" s="4"/>
      <c r="BF145" s="4"/>
    </row>
    <row r="146" spans="1:58">
      <c r="A146" s="4"/>
      <c r="B146" s="3"/>
      <c r="C146" s="3"/>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5"/>
      <c r="AR146" s="4"/>
      <c r="AS146" s="4"/>
      <c r="AT146" s="4"/>
      <c r="AU146" s="4"/>
      <c r="AV146" s="4"/>
      <c r="AW146" s="4"/>
      <c r="AX146" s="4"/>
      <c r="AY146" s="4"/>
      <c r="AZ146" s="4"/>
      <c r="BA146" s="4"/>
      <c r="BB146" s="4"/>
      <c r="BC146" s="4"/>
      <c r="BD146" s="4"/>
      <c r="BE146" s="4"/>
      <c r="BF146" s="4"/>
    </row>
    <row r="147" spans="1:58">
      <c r="A147" s="4"/>
      <c r="B147" s="3"/>
      <c r="C147" s="3"/>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5"/>
      <c r="AR147" s="4"/>
      <c r="AS147" s="4"/>
      <c r="AT147" s="4"/>
      <c r="AU147" s="4"/>
      <c r="AV147" s="4"/>
      <c r="AW147" s="4"/>
      <c r="AX147" s="4"/>
      <c r="AY147" s="4"/>
      <c r="AZ147" s="4"/>
      <c r="BA147" s="4"/>
      <c r="BB147" s="4"/>
      <c r="BC147" s="4"/>
      <c r="BD147" s="4"/>
      <c r="BE147" s="4"/>
      <c r="BF147" s="4"/>
    </row>
    <row r="148" spans="1:58">
      <c r="A148" s="4"/>
      <c r="B148" s="3"/>
      <c r="C148" s="3"/>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5"/>
      <c r="AR148" s="4"/>
      <c r="AS148" s="4"/>
      <c r="AT148" s="4"/>
      <c r="AU148" s="4"/>
      <c r="AV148" s="4"/>
      <c r="AW148" s="4"/>
      <c r="AX148" s="4"/>
      <c r="AY148" s="4"/>
      <c r="AZ148" s="4"/>
      <c r="BA148" s="4"/>
      <c r="BB148" s="4"/>
      <c r="BC148" s="4"/>
      <c r="BD148" s="4"/>
      <c r="BE148" s="4"/>
      <c r="BF148" s="4"/>
    </row>
    <row r="149" spans="1:58">
      <c r="A149" s="4"/>
      <c r="B149" s="3"/>
      <c r="C149" s="3"/>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5"/>
      <c r="AR149" s="4"/>
      <c r="AS149" s="4"/>
      <c r="AT149" s="4"/>
      <c r="AU149" s="4"/>
      <c r="AV149" s="4"/>
      <c r="AW149" s="4"/>
      <c r="AX149" s="4"/>
      <c r="AY149" s="4"/>
      <c r="AZ149" s="4"/>
      <c r="BA149" s="4"/>
      <c r="BB149" s="4"/>
      <c r="BC149" s="4"/>
      <c r="BD149" s="4"/>
      <c r="BE149" s="4"/>
      <c r="BF149" s="4"/>
    </row>
    <row r="150" spans="1:58">
      <c r="A150" s="4"/>
      <c r="B150" s="3"/>
      <c r="C150" s="3"/>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5"/>
      <c r="AR150" s="4"/>
      <c r="AS150" s="4"/>
      <c r="AT150" s="4"/>
      <c r="AU150" s="4"/>
      <c r="AV150" s="4"/>
      <c r="AW150" s="4"/>
      <c r="AX150" s="4"/>
      <c r="AY150" s="4"/>
      <c r="AZ150" s="4"/>
      <c r="BA150" s="4"/>
      <c r="BB150" s="4"/>
      <c r="BC150" s="4"/>
      <c r="BD150" s="4"/>
      <c r="BE150" s="4"/>
      <c r="BF150" s="4"/>
    </row>
    <row r="151" spans="1:58">
      <c r="A151" s="4"/>
      <c r="B151" s="3"/>
      <c r="C151" s="3"/>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5"/>
      <c r="AR151" s="4"/>
      <c r="AS151" s="4"/>
      <c r="AT151" s="4"/>
      <c r="AU151" s="4"/>
      <c r="AV151" s="4"/>
      <c r="AW151" s="4"/>
      <c r="AX151" s="4"/>
      <c r="AY151" s="4"/>
      <c r="AZ151" s="4"/>
      <c r="BA151" s="4"/>
      <c r="BB151" s="4"/>
      <c r="BC151" s="4"/>
      <c r="BD151" s="4"/>
      <c r="BE151" s="4"/>
      <c r="BF151" s="4"/>
    </row>
    <row r="152" spans="1:58">
      <c r="A152" s="4"/>
      <c r="B152" s="3"/>
      <c r="C152" s="3"/>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5"/>
      <c r="AR152" s="4"/>
      <c r="AS152" s="4"/>
      <c r="AT152" s="4"/>
      <c r="AU152" s="4"/>
      <c r="AV152" s="4"/>
      <c r="AW152" s="4"/>
      <c r="AX152" s="4"/>
      <c r="AY152" s="4"/>
      <c r="AZ152" s="4"/>
      <c r="BA152" s="4"/>
      <c r="BB152" s="4"/>
      <c r="BC152" s="4"/>
      <c r="BD152" s="4"/>
      <c r="BE152" s="4"/>
      <c r="BF152" s="4"/>
    </row>
    <row r="153" spans="1:58">
      <c r="A153" s="4"/>
      <c r="B153" s="3"/>
      <c r="C153" s="3"/>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5"/>
      <c r="AR153" s="4"/>
      <c r="AS153" s="4"/>
      <c r="AT153" s="4"/>
      <c r="AU153" s="4"/>
      <c r="AV153" s="4"/>
      <c r="AW153" s="4"/>
      <c r="AX153" s="4"/>
      <c r="AY153" s="4"/>
      <c r="AZ153" s="4"/>
      <c r="BA153" s="4"/>
      <c r="BB153" s="4"/>
      <c r="BC153" s="4"/>
      <c r="BD153" s="4"/>
      <c r="BE153" s="4"/>
      <c r="BF153" s="4"/>
    </row>
    <row r="154" spans="1:58">
      <c r="A154" s="4"/>
      <c r="B154" s="3"/>
      <c r="C154" s="3"/>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5"/>
      <c r="AR154" s="4"/>
      <c r="AS154" s="4"/>
      <c r="AT154" s="4"/>
      <c r="AU154" s="4"/>
      <c r="AV154" s="4"/>
      <c r="AW154" s="4"/>
      <c r="AX154" s="4"/>
      <c r="AY154" s="4"/>
      <c r="AZ154" s="4"/>
      <c r="BA154" s="4"/>
      <c r="BB154" s="4"/>
      <c r="BC154" s="4"/>
      <c r="BD154" s="4"/>
      <c r="BE154" s="4"/>
      <c r="BF154" s="4"/>
    </row>
    <row r="155" spans="1:58">
      <c r="A155" s="4"/>
      <c r="B155" s="3"/>
      <c r="C155" s="3"/>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5"/>
      <c r="AR155" s="4"/>
      <c r="AS155" s="4"/>
      <c r="AT155" s="4"/>
      <c r="AU155" s="4"/>
      <c r="AV155" s="4"/>
      <c r="AW155" s="4"/>
      <c r="AX155" s="4"/>
      <c r="AY155" s="4"/>
      <c r="AZ155" s="4"/>
      <c r="BA155" s="4"/>
      <c r="BB155" s="4"/>
      <c r="BC155" s="4"/>
      <c r="BD155" s="4"/>
      <c r="BE155" s="4"/>
      <c r="BF155" s="4"/>
    </row>
    <row r="156" spans="1:58">
      <c r="A156" s="4"/>
      <c r="B156" s="3"/>
      <c r="C156" s="3"/>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5"/>
      <c r="AR156" s="4"/>
      <c r="AS156" s="4"/>
      <c r="AT156" s="4"/>
      <c r="AU156" s="4"/>
      <c r="AV156" s="4"/>
      <c r="AW156" s="4"/>
      <c r="AX156" s="4"/>
      <c r="AY156" s="4"/>
      <c r="AZ156" s="4"/>
      <c r="BA156" s="4"/>
      <c r="BB156" s="4"/>
      <c r="BC156" s="4"/>
      <c r="BD156" s="4"/>
      <c r="BE156" s="4"/>
      <c r="BF156" s="4"/>
    </row>
    <row r="157" spans="1:58">
      <c r="A157" s="4"/>
      <c r="B157" s="3"/>
      <c r="C157" s="3"/>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5"/>
      <c r="AR157" s="4"/>
      <c r="AS157" s="4"/>
      <c r="AT157" s="4"/>
      <c r="AU157" s="4"/>
      <c r="AV157" s="4"/>
      <c r="AW157" s="4"/>
      <c r="AX157" s="4"/>
      <c r="AY157" s="4"/>
      <c r="AZ157" s="4"/>
      <c r="BA157" s="4"/>
      <c r="BB157" s="4"/>
      <c r="BC157" s="4"/>
      <c r="BD157" s="4"/>
      <c r="BE157" s="4"/>
      <c r="BF157" s="4"/>
    </row>
    <row r="158" spans="1:58">
      <c r="A158" s="4"/>
      <c r="B158" s="3"/>
      <c r="C158" s="3"/>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5"/>
      <c r="AR158" s="4"/>
      <c r="AS158" s="4"/>
      <c r="AT158" s="4"/>
      <c r="AU158" s="4"/>
      <c r="AV158" s="4"/>
      <c r="AW158" s="4"/>
      <c r="AX158" s="4"/>
      <c r="AY158" s="4"/>
      <c r="AZ158" s="4"/>
      <c r="BA158" s="4"/>
      <c r="BB158" s="4"/>
      <c r="BC158" s="4"/>
      <c r="BD158" s="4"/>
      <c r="BE158" s="4"/>
      <c r="BF158" s="4"/>
    </row>
    <row r="159" spans="1:58">
      <c r="A159" s="4"/>
      <c r="B159" s="3"/>
      <c r="C159" s="3"/>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5"/>
      <c r="AR159" s="4"/>
      <c r="AS159" s="4"/>
      <c r="AT159" s="4"/>
      <c r="AU159" s="4"/>
      <c r="AV159" s="4"/>
      <c r="AW159" s="4"/>
      <c r="AX159" s="4"/>
      <c r="AY159" s="4"/>
      <c r="AZ159" s="4"/>
      <c r="BA159" s="4"/>
      <c r="BB159" s="4"/>
      <c r="BC159" s="4"/>
      <c r="BD159" s="4"/>
      <c r="BE159" s="4"/>
      <c r="BF159" s="4"/>
    </row>
    <row r="160" spans="1:58">
      <c r="A160" s="4"/>
      <c r="B160" s="3"/>
      <c r="C160" s="3"/>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5"/>
      <c r="AR160" s="4"/>
      <c r="AS160" s="4"/>
      <c r="AT160" s="4"/>
      <c r="AU160" s="4"/>
      <c r="AV160" s="4"/>
      <c r="AW160" s="4"/>
      <c r="AX160" s="4"/>
      <c r="AY160" s="4"/>
      <c r="AZ160" s="4"/>
      <c r="BA160" s="4"/>
      <c r="BB160" s="4"/>
      <c r="BC160" s="4"/>
      <c r="BD160" s="4"/>
      <c r="BE160" s="4"/>
      <c r="BF160" s="4"/>
    </row>
    <row r="161" spans="1:58">
      <c r="A161" s="4"/>
      <c r="B161" s="3"/>
      <c r="C161" s="3"/>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5"/>
      <c r="AR161" s="4"/>
      <c r="AS161" s="4"/>
      <c r="AT161" s="4"/>
      <c r="AU161" s="4"/>
      <c r="AV161" s="4"/>
      <c r="AW161" s="4"/>
      <c r="AX161" s="4"/>
      <c r="AY161" s="4"/>
      <c r="AZ161" s="4"/>
      <c r="BA161" s="4"/>
      <c r="BB161" s="4"/>
      <c r="BC161" s="4"/>
      <c r="BD161" s="4"/>
      <c r="BE161" s="4"/>
      <c r="BF161" s="4"/>
    </row>
    <row r="162" spans="1:58">
      <c r="A162" s="4"/>
      <c r="B162" s="3"/>
      <c r="C162" s="3"/>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5"/>
      <c r="AR162" s="4"/>
      <c r="AS162" s="4"/>
      <c r="AT162" s="4"/>
      <c r="AU162" s="4"/>
      <c r="AV162" s="4"/>
      <c r="AW162" s="4"/>
      <c r="AX162" s="4"/>
      <c r="AY162" s="4"/>
      <c r="AZ162" s="4"/>
      <c r="BA162" s="4"/>
      <c r="BB162" s="4"/>
      <c r="BC162" s="4"/>
      <c r="BD162" s="4"/>
      <c r="BE162" s="4"/>
      <c r="BF162" s="4"/>
    </row>
    <row r="163" spans="1:58">
      <c r="A163" s="4"/>
      <c r="B163" s="3"/>
      <c r="C163" s="3"/>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5"/>
      <c r="AR163" s="4"/>
      <c r="AS163" s="4"/>
      <c r="AT163" s="4"/>
      <c r="AU163" s="4"/>
      <c r="AV163" s="4"/>
      <c r="AW163" s="4"/>
      <c r="AX163" s="4"/>
      <c r="AY163" s="4"/>
      <c r="AZ163" s="4"/>
      <c r="BA163" s="4"/>
      <c r="BB163" s="4"/>
      <c r="BC163" s="4"/>
      <c r="BD163" s="4"/>
      <c r="BE163" s="4"/>
      <c r="BF163" s="4"/>
    </row>
    <row r="164" spans="1:58">
      <c r="A164" s="4"/>
      <c r="B164" s="3"/>
      <c r="C164" s="3"/>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5"/>
      <c r="AR164" s="4"/>
      <c r="AS164" s="4"/>
      <c r="AT164" s="4"/>
      <c r="AU164" s="4"/>
      <c r="AV164" s="4"/>
      <c r="AW164" s="4"/>
      <c r="AX164" s="4"/>
      <c r="AY164" s="4"/>
      <c r="AZ164" s="4"/>
      <c r="BA164" s="4"/>
      <c r="BB164" s="4"/>
      <c r="BC164" s="4"/>
      <c r="BD164" s="4"/>
      <c r="BE164" s="4"/>
      <c r="BF164" s="4"/>
    </row>
    <row r="165" spans="1:58">
      <c r="A165" s="4"/>
      <c r="B165" s="3"/>
      <c r="C165" s="3"/>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5"/>
      <c r="AR165" s="4"/>
      <c r="AS165" s="4"/>
      <c r="AT165" s="4"/>
      <c r="AU165" s="4"/>
      <c r="AV165" s="4"/>
      <c r="AW165" s="4"/>
      <c r="AX165" s="4"/>
      <c r="AY165" s="4"/>
      <c r="AZ165" s="4"/>
      <c r="BA165" s="4"/>
      <c r="BB165" s="4"/>
      <c r="BC165" s="4"/>
      <c r="BD165" s="4"/>
      <c r="BE165" s="4"/>
      <c r="BF165" s="4"/>
    </row>
    <row r="166" spans="1:58">
      <c r="A166" s="4"/>
      <c r="B166" s="3"/>
      <c r="C166" s="3"/>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5"/>
      <c r="AR166" s="4"/>
      <c r="AS166" s="4"/>
      <c r="AT166" s="4"/>
      <c r="AU166" s="4"/>
      <c r="AV166" s="4"/>
      <c r="AW166" s="4"/>
      <c r="AX166" s="4"/>
      <c r="AY166" s="4"/>
      <c r="AZ166" s="4"/>
      <c r="BA166" s="4"/>
      <c r="BB166" s="4"/>
      <c r="BC166" s="4"/>
      <c r="BD166" s="4"/>
      <c r="BE166" s="4"/>
      <c r="BF166" s="4"/>
    </row>
    <row r="167" spans="1:58">
      <c r="A167" s="4"/>
      <c r="B167" s="3"/>
      <c r="C167" s="3"/>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5"/>
      <c r="AR167" s="4"/>
      <c r="AS167" s="4"/>
      <c r="AT167" s="4"/>
      <c r="AU167" s="4"/>
      <c r="AV167" s="4"/>
      <c r="AW167" s="4"/>
      <c r="AX167" s="4"/>
      <c r="AY167" s="4"/>
      <c r="AZ167" s="4"/>
      <c r="BA167" s="4"/>
      <c r="BB167" s="4"/>
      <c r="BC167" s="4"/>
      <c r="BD167" s="4"/>
      <c r="BE167" s="4"/>
      <c r="BF167" s="4"/>
    </row>
    <row r="168" spans="1:58">
      <c r="A168" s="4"/>
      <c r="B168" s="3"/>
      <c r="C168" s="3"/>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5"/>
      <c r="AR168" s="4"/>
      <c r="AS168" s="4"/>
      <c r="AT168" s="4"/>
      <c r="AU168" s="4"/>
      <c r="AV168" s="4"/>
      <c r="AW168" s="4"/>
      <c r="AX168" s="4"/>
      <c r="AY168" s="4"/>
      <c r="AZ168" s="4"/>
      <c r="BA168" s="4"/>
      <c r="BB168" s="4"/>
      <c r="BC168" s="4"/>
      <c r="BD168" s="4"/>
      <c r="BE168" s="4"/>
      <c r="BF168" s="4"/>
    </row>
    <row r="169" spans="1:58">
      <c r="A169" s="4"/>
      <c r="B169" s="3"/>
      <c r="C169" s="3"/>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5"/>
      <c r="AR169" s="4"/>
      <c r="AS169" s="4"/>
      <c r="AT169" s="4"/>
      <c r="AU169" s="4"/>
      <c r="AV169" s="4"/>
      <c r="AW169" s="4"/>
      <c r="AX169" s="4"/>
      <c r="AY169" s="4"/>
      <c r="AZ169" s="4"/>
      <c r="BA169" s="4"/>
      <c r="BB169" s="4"/>
      <c r="BC169" s="4"/>
      <c r="BD169" s="4"/>
      <c r="BE169" s="4"/>
      <c r="BF169" s="4"/>
    </row>
    <row r="170" spans="1:58">
      <c r="A170" s="4"/>
      <c r="B170" s="3"/>
      <c r="C170" s="3"/>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5"/>
      <c r="AR170" s="4"/>
      <c r="AS170" s="4"/>
      <c r="AT170" s="4"/>
      <c r="AU170" s="4"/>
      <c r="AV170" s="4"/>
      <c r="AW170" s="4"/>
      <c r="AX170" s="4"/>
      <c r="AY170" s="4"/>
      <c r="AZ170" s="4"/>
      <c r="BA170" s="4"/>
      <c r="BB170" s="4"/>
      <c r="BC170" s="4"/>
      <c r="BD170" s="4"/>
      <c r="BE170" s="4"/>
      <c r="BF170" s="4"/>
    </row>
    <row r="171" spans="1:58">
      <c r="A171" s="4"/>
      <c r="B171" s="3"/>
      <c r="C171" s="3"/>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5"/>
      <c r="AR171" s="4"/>
      <c r="AS171" s="4"/>
      <c r="AT171" s="4"/>
      <c r="AU171" s="4"/>
      <c r="AV171" s="4"/>
      <c r="AW171" s="4"/>
      <c r="AX171" s="4"/>
      <c r="AY171" s="4"/>
      <c r="AZ171" s="4"/>
      <c r="BA171" s="4"/>
      <c r="BB171" s="4"/>
      <c r="BC171" s="4"/>
      <c r="BD171" s="4"/>
      <c r="BE171" s="4"/>
      <c r="BF171" s="4"/>
    </row>
    <row r="172" spans="1:58">
      <c r="A172" s="4"/>
      <c r="B172" s="3"/>
      <c r="C172" s="3"/>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5"/>
      <c r="AR172" s="4"/>
      <c r="AS172" s="4"/>
      <c r="AT172" s="4"/>
      <c r="AU172" s="4"/>
      <c r="AV172" s="4"/>
      <c r="AW172" s="4"/>
      <c r="AX172" s="4"/>
      <c r="AY172" s="4"/>
      <c r="AZ172" s="4"/>
      <c r="BA172" s="4"/>
      <c r="BB172" s="4"/>
      <c r="BC172" s="4"/>
      <c r="BD172" s="4"/>
      <c r="BE172" s="4"/>
      <c r="BF172" s="4"/>
    </row>
    <row r="173" spans="1:58">
      <c r="A173" s="4"/>
      <c r="B173" s="3"/>
      <c r="C173" s="3"/>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5"/>
      <c r="AR173" s="4"/>
      <c r="AS173" s="4"/>
      <c r="AT173" s="4"/>
      <c r="AU173" s="4"/>
      <c r="AV173" s="4"/>
      <c r="AW173" s="4"/>
      <c r="AX173" s="4"/>
      <c r="AY173" s="4"/>
      <c r="AZ173" s="4"/>
      <c r="BA173" s="4"/>
      <c r="BB173" s="4"/>
      <c r="BC173" s="4"/>
      <c r="BD173" s="4"/>
      <c r="BE173" s="4"/>
      <c r="BF173" s="4"/>
    </row>
    <row r="174" spans="1:58">
      <c r="A174" s="4"/>
      <c r="B174" s="3"/>
      <c r="C174" s="3"/>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5"/>
      <c r="AR174" s="4"/>
      <c r="AS174" s="4"/>
      <c r="AT174" s="4"/>
      <c r="AU174" s="4"/>
      <c r="AV174" s="4"/>
      <c r="AW174" s="4"/>
      <c r="AX174" s="4"/>
      <c r="AY174" s="4"/>
      <c r="AZ174" s="4"/>
      <c r="BA174" s="4"/>
      <c r="BB174" s="4"/>
      <c r="BC174" s="4"/>
      <c r="BD174" s="4"/>
      <c r="BE174" s="4"/>
      <c r="BF174" s="4"/>
    </row>
    <row r="175" spans="1:58">
      <c r="A175" s="4"/>
      <c r="B175" s="3"/>
      <c r="C175" s="3"/>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5"/>
      <c r="AR175" s="4"/>
      <c r="AS175" s="4"/>
      <c r="AT175" s="4"/>
      <c r="AU175" s="4"/>
      <c r="AV175" s="4"/>
      <c r="AW175" s="4"/>
      <c r="AX175" s="4"/>
      <c r="AY175" s="4"/>
      <c r="AZ175" s="4"/>
      <c r="BA175" s="4"/>
      <c r="BB175" s="4"/>
      <c r="BC175" s="4"/>
      <c r="BD175" s="4"/>
      <c r="BE175" s="4"/>
      <c r="BF175" s="4"/>
    </row>
    <row r="176" spans="1:58">
      <c r="A176" s="4"/>
      <c r="B176" s="3"/>
      <c r="C176" s="3"/>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5"/>
      <c r="AR176" s="4"/>
      <c r="AS176" s="4"/>
      <c r="AT176" s="4"/>
      <c r="AU176" s="4"/>
      <c r="AV176" s="4"/>
      <c r="AW176" s="4"/>
      <c r="AX176" s="4"/>
      <c r="AY176" s="4"/>
      <c r="AZ176" s="4"/>
      <c r="BA176" s="4"/>
      <c r="BB176" s="4"/>
      <c r="BC176" s="4"/>
      <c r="BD176" s="4"/>
      <c r="BE176" s="4"/>
      <c r="BF176" s="4"/>
    </row>
    <row r="177" spans="1:58">
      <c r="A177" s="4"/>
      <c r="B177" s="3"/>
      <c r="C177" s="3"/>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5"/>
      <c r="AR177" s="4"/>
      <c r="AS177" s="4"/>
      <c r="AT177" s="4"/>
      <c r="AU177" s="4"/>
      <c r="AV177" s="4"/>
      <c r="AW177" s="4"/>
      <c r="AX177" s="4"/>
      <c r="AY177" s="4"/>
      <c r="AZ177" s="4"/>
      <c r="BA177" s="4"/>
      <c r="BB177" s="4"/>
      <c r="BC177" s="4"/>
      <c r="BD177" s="4"/>
      <c r="BE177" s="4"/>
      <c r="BF177" s="4"/>
    </row>
    <row r="178" spans="1:58">
      <c r="A178" s="4"/>
      <c r="B178" s="3"/>
      <c r="C178" s="3"/>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5"/>
      <c r="AR178" s="4"/>
      <c r="AS178" s="4"/>
      <c r="AT178" s="4"/>
      <c r="AU178" s="4"/>
      <c r="AV178" s="4"/>
      <c r="AW178" s="4"/>
      <c r="AX178" s="4"/>
      <c r="AY178" s="4"/>
      <c r="AZ178" s="4"/>
      <c r="BA178" s="4"/>
      <c r="BB178" s="4"/>
      <c r="BC178" s="4"/>
      <c r="BD178" s="4"/>
      <c r="BE178" s="4"/>
      <c r="BF178" s="4"/>
    </row>
    <row r="179" spans="1:58">
      <c r="A179" s="4"/>
      <c r="B179" s="3"/>
      <c r="C179" s="3"/>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5"/>
      <c r="AR179" s="4"/>
      <c r="AS179" s="4"/>
      <c r="AT179" s="4"/>
      <c r="AU179" s="4"/>
      <c r="AV179" s="4"/>
      <c r="AW179" s="4"/>
      <c r="AX179" s="4"/>
      <c r="AY179" s="4"/>
      <c r="AZ179" s="4"/>
      <c r="BA179" s="4"/>
      <c r="BB179" s="4"/>
      <c r="BC179" s="4"/>
      <c r="BD179" s="4"/>
      <c r="BE179" s="4"/>
      <c r="BF179" s="4"/>
    </row>
    <row r="180" spans="1:58">
      <c r="A180" s="4"/>
      <c r="B180" s="3"/>
      <c r="C180" s="3"/>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5"/>
      <c r="AR180" s="4"/>
      <c r="AS180" s="4"/>
      <c r="AT180" s="4"/>
      <c r="AU180" s="4"/>
      <c r="AV180" s="4"/>
      <c r="AW180" s="4"/>
      <c r="AX180" s="4"/>
      <c r="AY180" s="4"/>
      <c r="AZ180" s="4"/>
      <c r="BA180" s="4"/>
      <c r="BB180" s="4"/>
      <c r="BC180" s="4"/>
      <c r="BD180" s="4"/>
      <c r="BE180" s="4"/>
      <c r="BF180" s="4"/>
    </row>
    <row r="181" spans="1:58">
      <c r="A181" s="4"/>
      <c r="B181" s="3"/>
      <c r="C181" s="3"/>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5"/>
      <c r="AR181" s="4"/>
      <c r="AS181" s="4"/>
      <c r="AT181" s="4"/>
      <c r="AU181" s="4"/>
      <c r="AV181" s="4"/>
      <c r="AW181" s="4"/>
      <c r="AX181" s="4"/>
      <c r="AY181" s="4"/>
      <c r="AZ181" s="4"/>
      <c r="BA181" s="4"/>
      <c r="BB181" s="4"/>
      <c r="BC181" s="4"/>
      <c r="BD181" s="4"/>
      <c r="BE181" s="4"/>
      <c r="BF181" s="4"/>
    </row>
    <row r="182" spans="1:58">
      <c r="A182" s="4"/>
      <c r="B182" s="3"/>
      <c r="C182" s="3"/>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5"/>
      <c r="AR182" s="4"/>
      <c r="AS182" s="4"/>
      <c r="AT182" s="4"/>
      <c r="AU182" s="4"/>
      <c r="AV182" s="4"/>
      <c r="AW182" s="4"/>
      <c r="AX182" s="4"/>
      <c r="AY182" s="4"/>
      <c r="AZ182" s="4"/>
      <c r="BA182" s="4"/>
      <c r="BB182" s="4"/>
      <c r="BC182" s="4"/>
      <c r="BD182" s="4"/>
      <c r="BE182" s="4"/>
      <c r="BF182" s="4"/>
    </row>
    <row r="183" spans="1:58">
      <c r="A183" s="4"/>
      <c r="B183" s="3"/>
      <c r="C183" s="3"/>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5"/>
      <c r="AR183" s="4"/>
      <c r="AS183" s="4"/>
      <c r="AT183" s="4"/>
      <c r="AU183" s="4"/>
      <c r="AV183" s="4"/>
      <c r="AW183" s="4"/>
      <c r="AX183" s="4"/>
      <c r="AY183" s="4"/>
      <c r="AZ183" s="4"/>
      <c r="BA183" s="4"/>
      <c r="BB183" s="4"/>
      <c r="BC183" s="4"/>
      <c r="BD183" s="4"/>
      <c r="BE183" s="4"/>
      <c r="BF183" s="4"/>
    </row>
    <row r="184" spans="1:58">
      <c r="A184" s="4"/>
      <c r="B184" s="3"/>
      <c r="C184" s="3"/>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5"/>
      <c r="AR184" s="4"/>
      <c r="AS184" s="4"/>
      <c r="AT184" s="4"/>
      <c r="AU184" s="4"/>
      <c r="AV184" s="4"/>
      <c r="AW184" s="4"/>
      <c r="AX184" s="4"/>
      <c r="AY184" s="4"/>
      <c r="AZ184" s="4"/>
      <c r="BA184" s="4"/>
      <c r="BB184" s="4"/>
      <c r="BC184" s="4"/>
      <c r="BD184" s="4"/>
      <c r="BE184" s="4"/>
      <c r="BF184" s="4"/>
    </row>
    <row r="185" spans="1:58">
      <c r="A185" s="4"/>
      <c r="B185" s="3"/>
      <c r="C185" s="3"/>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5"/>
      <c r="AR185" s="4"/>
      <c r="AS185" s="4"/>
      <c r="AT185" s="4"/>
      <c r="AU185" s="4"/>
      <c r="AV185" s="4"/>
      <c r="AW185" s="4"/>
      <c r="AX185" s="4"/>
      <c r="AY185" s="4"/>
      <c r="AZ185" s="4"/>
      <c r="BA185" s="4"/>
      <c r="BB185" s="4"/>
      <c r="BC185" s="4"/>
      <c r="BD185" s="4"/>
      <c r="BE185" s="4"/>
      <c r="BF185" s="4"/>
    </row>
    <row r="186" spans="1:58">
      <c r="A186" s="4"/>
      <c r="B186" s="3"/>
      <c r="C186" s="3"/>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5"/>
      <c r="AR186" s="4"/>
      <c r="AS186" s="4"/>
      <c r="AT186" s="4"/>
      <c r="AU186" s="4"/>
      <c r="AV186" s="4"/>
      <c r="AW186" s="4"/>
      <c r="AX186" s="4"/>
      <c r="AY186" s="4"/>
      <c r="AZ186" s="4"/>
      <c r="BA186" s="4"/>
      <c r="BB186" s="4"/>
      <c r="BC186" s="4"/>
      <c r="BD186" s="4"/>
      <c r="BE186" s="4"/>
      <c r="BF186" s="4"/>
    </row>
    <row r="187" spans="1:58">
      <c r="A187" s="4"/>
      <c r="B187" s="3"/>
      <c r="C187" s="3"/>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5"/>
      <c r="AR187" s="4"/>
      <c r="AS187" s="4"/>
      <c r="AT187" s="4"/>
      <c r="AU187" s="4"/>
      <c r="AV187" s="4"/>
      <c r="AW187" s="4"/>
      <c r="AX187" s="4"/>
      <c r="AY187" s="4"/>
      <c r="AZ187" s="4"/>
      <c r="BA187" s="4"/>
      <c r="BB187" s="4"/>
      <c r="BC187" s="4"/>
      <c r="BD187" s="4"/>
      <c r="BE187" s="4"/>
      <c r="BF187" s="4"/>
    </row>
    <row r="188" spans="1:58">
      <c r="A188" s="4"/>
      <c r="B188" s="3"/>
      <c r="C188" s="3"/>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5"/>
      <c r="AR188" s="4"/>
      <c r="AS188" s="4"/>
      <c r="AT188" s="4"/>
      <c r="AU188" s="4"/>
      <c r="AV188" s="4"/>
      <c r="AW188" s="4"/>
      <c r="AX188" s="4"/>
      <c r="AY188" s="4"/>
      <c r="AZ188" s="4"/>
      <c r="BA188" s="4"/>
      <c r="BB188" s="4"/>
      <c r="BC188" s="4"/>
      <c r="BD188" s="4"/>
      <c r="BE188" s="4"/>
      <c r="BF188" s="4"/>
    </row>
    <row r="189" spans="1:58">
      <c r="A189" s="4"/>
      <c r="B189" s="3"/>
      <c r="C189" s="3"/>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5"/>
      <c r="AR189" s="4"/>
      <c r="AS189" s="4"/>
      <c r="AT189" s="4"/>
      <c r="AU189" s="4"/>
      <c r="AV189" s="4"/>
      <c r="AW189" s="4"/>
      <c r="AX189" s="4"/>
      <c r="AY189" s="4"/>
      <c r="AZ189" s="4"/>
      <c r="BA189" s="4"/>
      <c r="BB189" s="4"/>
      <c r="BC189" s="4"/>
      <c r="BD189" s="4"/>
      <c r="BE189" s="4"/>
      <c r="BF189" s="4"/>
    </row>
    <row r="190" spans="1:58">
      <c r="A190" s="4"/>
      <c r="B190" s="3"/>
      <c r="C190" s="3"/>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5"/>
      <c r="AR190" s="4"/>
      <c r="AS190" s="4"/>
      <c r="AT190" s="4"/>
      <c r="AU190" s="4"/>
      <c r="AV190" s="4"/>
      <c r="AW190" s="4"/>
      <c r="AX190" s="4"/>
      <c r="AY190" s="4"/>
      <c r="AZ190" s="4"/>
      <c r="BA190" s="4"/>
      <c r="BB190" s="4"/>
      <c r="BC190" s="4"/>
      <c r="BD190" s="4"/>
      <c r="BE190" s="4"/>
      <c r="BF190" s="4"/>
    </row>
    <row r="191" spans="1:58">
      <c r="A191" s="4"/>
      <c r="B191" s="3"/>
      <c r="C191" s="3"/>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5"/>
      <c r="AR191" s="4"/>
      <c r="AS191" s="4"/>
      <c r="AT191" s="4"/>
      <c r="AU191" s="4"/>
      <c r="AV191" s="4"/>
      <c r="AW191" s="4"/>
      <c r="AX191" s="4"/>
      <c r="AY191" s="4"/>
      <c r="AZ191" s="4"/>
      <c r="BA191" s="4"/>
      <c r="BB191" s="4"/>
      <c r="BC191" s="4"/>
      <c r="BD191" s="4"/>
      <c r="BE191" s="4"/>
      <c r="BF191" s="4"/>
    </row>
    <row r="192" spans="1:58">
      <c r="A192" s="4"/>
      <c r="B192" s="3"/>
      <c r="C192" s="3"/>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5"/>
      <c r="AR192" s="4"/>
      <c r="AS192" s="4"/>
      <c r="AT192" s="4"/>
      <c r="AU192" s="4"/>
      <c r="AV192" s="4"/>
      <c r="AW192" s="4"/>
      <c r="AX192" s="4"/>
      <c r="AY192" s="4"/>
      <c r="AZ192" s="4"/>
      <c r="BA192" s="4"/>
      <c r="BB192" s="4"/>
      <c r="BC192" s="4"/>
      <c r="BD192" s="4"/>
      <c r="BE192" s="4"/>
      <c r="BF192" s="4"/>
    </row>
    <row r="193" spans="1:58">
      <c r="A193" s="4"/>
      <c r="B193" s="3"/>
      <c r="C193" s="3"/>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5"/>
      <c r="AR193" s="4"/>
      <c r="AS193" s="4"/>
      <c r="AT193" s="4"/>
      <c r="AU193" s="4"/>
      <c r="AV193" s="4"/>
      <c r="AW193" s="4"/>
      <c r="AX193" s="4"/>
      <c r="AY193" s="4"/>
      <c r="AZ193" s="4"/>
      <c r="BA193" s="4"/>
      <c r="BB193" s="4"/>
      <c r="BC193" s="4"/>
      <c r="BD193" s="4"/>
      <c r="BE193" s="4"/>
      <c r="BF193" s="4"/>
    </row>
    <row r="194" spans="1:58">
      <c r="A194" s="4"/>
      <c r="B194" s="3"/>
      <c r="C194" s="3"/>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5"/>
      <c r="AR194" s="4"/>
      <c r="AS194" s="4"/>
      <c r="AT194" s="4"/>
      <c r="AU194" s="4"/>
      <c r="AV194" s="4"/>
      <c r="AW194" s="4"/>
      <c r="AX194" s="4"/>
      <c r="AY194" s="4"/>
      <c r="AZ194" s="4"/>
      <c r="BA194" s="4"/>
      <c r="BB194" s="4"/>
      <c r="BC194" s="4"/>
      <c r="BD194" s="4"/>
      <c r="BE194" s="4"/>
      <c r="BF194" s="4"/>
    </row>
    <row r="195" spans="1:58">
      <c r="A195" s="4"/>
      <c r="B195" s="3"/>
      <c r="C195" s="3"/>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5"/>
      <c r="AR195" s="4"/>
      <c r="AS195" s="4"/>
      <c r="AT195" s="4"/>
      <c r="AU195" s="4"/>
      <c r="AV195" s="4"/>
      <c r="AW195" s="4"/>
      <c r="AX195" s="4"/>
      <c r="AY195" s="4"/>
      <c r="AZ195" s="4"/>
      <c r="BA195" s="4"/>
      <c r="BB195" s="4"/>
      <c r="BC195" s="4"/>
      <c r="BD195" s="4"/>
      <c r="BE195" s="4"/>
      <c r="BF195" s="4"/>
    </row>
    <row r="196" spans="1:58">
      <c r="A196" s="4"/>
      <c r="B196" s="3"/>
      <c r="C196" s="3"/>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5"/>
      <c r="AR196" s="4"/>
      <c r="AS196" s="4"/>
      <c r="AT196" s="4"/>
      <c r="AU196" s="4"/>
      <c r="AV196" s="4"/>
      <c r="AW196" s="4"/>
      <c r="AX196" s="4"/>
      <c r="AY196" s="4"/>
      <c r="AZ196" s="4"/>
      <c r="BA196" s="4"/>
      <c r="BB196" s="4"/>
      <c r="BC196" s="4"/>
      <c r="BD196" s="4"/>
      <c r="BE196" s="4"/>
      <c r="BF196" s="4"/>
    </row>
    <row r="197" spans="1:58">
      <c r="A197" s="4"/>
      <c r="B197" s="3"/>
      <c r="C197" s="3"/>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5"/>
      <c r="AR197" s="4"/>
      <c r="AS197" s="4"/>
      <c r="AT197" s="4"/>
      <c r="AU197" s="4"/>
      <c r="AV197" s="4"/>
      <c r="AW197" s="4"/>
      <c r="AX197" s="4"/>
      <c r="AY197" s="4"/>
      <c r="AZ197" s="4"/>
      <c r="BA197" s="4"/>
      <c r="BB197" s="4"/>
      <c r="BC197" s="4"/>
      <c r="BD197" s="4"/>
      <c r="BE197" s="4"/>
      <c r="BF197" s="4"/>
    </row>
    <row r="198" spans="1:58">
      <c r="A198" s="4"/>
      <c r="B198" s="3"/>
      <c r="C198" s="3"/>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5"/>
      <c r="AR198" s="4"/>
      <c r="AS198" s="4"/>
      <c r="AT198" s="4"/>
      <c r="AU198" s="4"/>
      <c r="AV198" s="4"/>
      <c r="AW198" s="4"/>
      <c r="AX198" s="4"/>
      <c r="AY198" s="4"/>
      <c r="AZ198" s="4"/>
      <c r="BA198" s="4"/>
      <c r="BB198" s="4"/>
      <c r="BC198" s="4"/>
      <c r="BD198" s="4"/>
      <c r="BE198" s="4"/>
      <c r="BF198" s="4"/>
    </row>
    <row r="199" spans="1:58">
      <c r="A199" s="4"/>
      <c r="B199" s="3"/>
      <c r="C199" s="3"/>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5"/>
      <c r="AR199" s="4"/>
      <c r="AS199" s="4"/>
      <c r="AT199" s="4"/>
      <c r="AU199" s="4"/>
      <c r="AV199" s="4"/>
      <c r="AW199" s="4"/>
      <c r="AX199" s="4"/>
      <c r="AY199" s="4"/>
      <c r="AZ199" s="4"/>
      <c r="BA199" s="4"/>
      <c r="BB199" s="4"/>
      <c r="BC199" s="4"/>
      <c r="BD199" s="4"/>
      <c r="BE199" s="4"/>
      <c r="BF199" s="4"/>
    </row>
    <row r="200" spans="1:58">
      <c r="A200" s="4"/>
      <c r="B200" s="3"/>
      <c r="C200" s="3"/>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5"/>
      <c r="AR200" s="4"/>
      <c r="AS200" s="4"/>
      <c r="AT200" s="4"/>
      <c r="AU200" s="4"/>
      <c r="AV200" s="4"/>
      <c r="AW200" s="4"/>
      <c r="AX200" s="4"/>
      <c r="AY200" s="4"/>
      <c r="AZ200" s="4"/>
      <c r="BA200" s="4"/>
      <c r="BB200" s="4"/>
      <c r="BC200" s="4"/>
      <c r="BD200" s="4"/>
      <c r="BE200" s="4"/>
      <c r="BF200" s="4"/>
    </row>
    <row r="201" spans="1:58">
      <c r="A201" s="4"/>
      <c r="B201" s="3"/>
      <c r="C201" s="3"/>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5"/>
      <c r="AR201" s="4"/>
      <c r="AS201" s="4"/>
      <c r="AT201" s="4"/>
      <c r="AU201" s="4"/>
      <c r="AV201" s="4"/>
      <c r="AW201" s="4"/>
      <c r="AX201" s="4"/>
      <c r="AY201" s="4"/>
      <c r="AZ201" s="4"/>
      <c r="BA201" s="4"/>
      <c r="BB201" s="4"/>
      <c r="BC201" s="4"/>
      <c r="BD201" s="4"/>
      <c r="BE201" s="4"/>
      <c r="BF201" s="4"/>
    </row>
    <row r="202" spans="1:58">
      <c r="A202" s="4"/>
      <c r="B202" s="3"/>
      <c r="C202" s="3"/>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5"/>
      <c r="AR202" s="4"/>
      <c r="AS202" s="4"/>
      <c r="AT202" s="4"/>
      <c r="AU202" s="4"/>
      <c r="AV202" s="4"/>
      <c r="AW202" s="4"/>
      <c r="AX202" s="4"/>
      <c r="AY202" s="4"/>
      <c r="AZ202" s="4"/>
      <c r="BA202" s="4"/>
      <c r="BB202" s="4"/>
      <c r="BC202" s="4"/>
      <c r="BD202" s="4"/>
      <c r="BE202" s="4"/>
      <c r="BF202" s="4"/>
    </row>
    <row r="203" spans="1:58">
      <c r="A203" s="4"/>
      <c r="B203" s="3"/>
      <c r="C203" s="3"/>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5"/>
      <c r="AR203" s="4"/>
      <c r="AS203" s="4"/>
      <c r="AT203" s="4"/>
      <c r="AU203" s="4"/>
      <c r="AV203" s="4"/>
      <c r="AW203" s="4"/>
      <c r="AX203" s="4"/>
      <c r="AY203" s="4"/>
      <c r="AZ203" s="4"/>
      <c r="BA203" s="4"/>
      <c r="BB203" s="4"/>
      <c r="BC203" s="4"/>
      <c r="BD203" s="4"/>
      <c r="BE203" s="4"/>
      <c r="BF203" s="4"/>
    </row>
    <row r="204" spans="1:58">
      <c r="A204" s="4"/>
      <c r="B204" s="3"/>
      <c r="C204" s="3"/>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5"/>
      <c r="AR204" s="4"/>
      <c r="AS204" s="4"/>
      <c r="AT204" s="4"/>
      <c r="AU204" s="4"/>
      <c r="AV204" s="4"/>
      <c r="AW204" s="4"/>
      <c r="AX204" s="4"/>
      <c r="AY204" s="4"/>
      <c r="AZ204" s="4"/>
      <c r="BA204" s="4"/>
      <c r="BB204" s="4"/>
      <c r="BC204" s="4"/>
      <c r="BD204" s="4"/>
      <c r="BE204" s="4"/>
      <c r="BF204" s="4"/>
    </row>
    <row r="205" spans="1:58">
      <c r="A205" s="4"/>
      <c r="B205" s="3"/>
      <c r="C205" s="3"/>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5"/>
      <c r="AR205" s="4"/>
      <c r="AS205" s="4"/>
      <c r="AT205" s="4"/>
      <c r="AU205" s="4"/>
      <c r="AV205" s="4"/>
      <c r="AW205" s="4"/>
      <c r="AX205" s="4"/>
      <c r="AY205" s="4"/>
      <c r="AZ205" s="4"/>
      <c r="BA205" s="4"/>
      <c r="BB205" s="4"/>
      <c r="BC205" s="4"/>
      <c r="BD205" s="4"/>
      <c r="BE205" s="4"/>
      <c r="BF205" s="4"/>
    </row>
    <row r="206" spans="1:58">
      <c r="A206" s="4"/>
      <c r="B206" s="3"/>
      <c r="C206" s="3"/>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5"/>
      <c r="AR206" s="4"/>
      <c r="AS206" s="4"/>
      <c r="AT206" s="4"/>
      <c r="AU206" s="4"/>
      <c r="AV206" s="4"/>
      <c r="AW206" s="4"/>
      <c r="AX206" s="4"/>
      <c r="AY206" s="4"/>
      <c r="AZ206" s="4"/>
      <c r="BA206" s="4"/>
      <c r="BB206" s="4"/>
      <c r="BC206" s="4"/>
      <c r="BD206" s="4"/>
      <c r="BE206" s="4"/>
      <c r="BF206" s="4"/>
    </row>
    <row r="207" spans="1:58">
      <c r="A207" s="4"/>
      <c r="B207" s="3"/>
      <c r="C207" s="3"/>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5"/>
      <c r="AR207" s="4"/>
      <c r="AS207" s="4"/>
      <c r="AT207" s="4"/>
      <c r="AU207" s="4"/>
      <c r="AV207" s="4"/>
      <c r="AW207" s="4"/>
      <c r="AX207" s="4"/>
      <c r="AY207" s="4"/>
      <c r="AZ207" s="4"/>
      <c r="BA207" s="4"/>
      <c r="BB207" s="4"/>
      <c r="BC207" s="4"/>
      <c r="BD207" s="4"/>
      <c r="BE207" s="4"/>
      <c r="BF207" s="4"/>
    </row>
    <row r="208" spans="1:58">
      <c r="A208" s="4"/>
      <c r="B208" s="3"/>
      <c r="C208" s="3"/>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5"/>
      <c r="AR208" s="4"/>
      <c r="AS208" s="4"/>
      <c r="AT208" s="4"/>
      <c r="AU208" s="4"/>
      <c r="AV208" s="4"/>
      <c r="AW208" s="4"/>
      <c r="AX208" s="4"/>
      <c r="AY208" s="4"/>
      <c r="AZ208" s="4"/>
      <c r="BA208" s="4"/>
      <c r="BB208" s="4"/>
      <c r="BC208" s="4"/>
      <c r="BD208" s="4"/>
      <c r="BE208" s="4"/>
      <c r="BF208" s="4"/>
    </row>
    <row r="209" spans="1:58">
      <c r="A209" s="4"/>
      <c r="B209" s="3"/>
      <c r="C209" s="3"/>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5"/>
      <c r="AR209" s="4"/>
      <c r="AS209" s="4"/>
      <c r="AT209" s="4"/>
      <c r="AU209" s="4"/>
      <c r="AV209" s="4"/>
      <c r="AW209" s="4"/>
      <c r="AX209" s="4"/>
      <c r="AY209" s="4"/>
      <c r="AZ209" s="4"/>
      <c r="BA209" s="4"/>
      <c r="BB209" s="4"/>
      <c r="BC209" s="4"/>
      <c r="BD209" s="4"/>
      <c r="BE209" s="4"/>
      <c r="BF209" s="4"/>
    </row>
    <row r="210" spans="1:58">
      <c r="A210" s="4"/>
      <c r="B210" s="3"/>
      <c r="C210" s="3"/>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5"/>
      <c r="AR210" s="4"/>
      <c r="AS210" s="4"/>
      <c r="AT210" s="4"/>
      <c r="AU210" s="4"/>
      <c r="AV210" s="4"/>
      <c r="AW210" s="4"/>
      <c r="AX210" s="4"/>
      <c r="AY210" s="4"/>
      <c r="AZ210" s="4"/>
      <c r="BA210" s="4"/>
      <c r="BB210" s="4"/>
      <c r="BC210" s="4"/>
      <c r="BD210" s="4"/>
      <c r="BE210" s="4"/>
      <c r="BF210" s="4"/>
    </row>
    <row r="211" spans="1:58">
      <c r="A211" s="4"/>
      <c r="B211" s="3"/>
      <c r="C211" s="3"/>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5"/>
      <c r="AR211" s="4"/>
      <c r="AS211" s="4"/>
      <c r="AT211" s="4"/>
      <c r="AU211" s="4"/>
      <c r="AV211" s="4"/>
      <c r="AW211" s="4"/>
      <c r="AX211" s="4"/>
      <c r="AY211" s="4"/>
      <c r="AZ211" s="4"/>
      <c r="BA211" s="4"/>
      <c r="BB211" s="4"/>
      <c r="BC211" s="4"/>
      <c r="BD211" s="4"/>
      <c r="BE211" s="4"/>
      <c r="BF211" s="4"/>
    </row>
    <row r="212" spans="1:58">
      <c r="A212" s="4"/>
      <c r="B212" s="3"/>
      <c r="C212" s="3"/>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5"/>
      <c r="AR212" s="4"/>
      <c r="AS212" s="4"/>
      <c r="AT212" s="4"/>
      <c r="AU212" s="4"/>
      <c r="AV212" s="4"/>
      <c r="AW212" s="4"/>
      <c r="AX212" s="4"/>
      <c r="AY212" s="4"/>
      <c r="AZ212" s="4"/>
      <c r="BA212" s="4"/>
      <c r="BB212" s="4"/>
      <c r="BC212" s="4"/>
      <c r="BD212" s="4"/>
      <c r="BE212" s="4"/>
      <c r="BF212" s="4"/>
    </row>
    <row r="213" spans="1:58">
      <c r="A213" s="4"/>
      <c r="B213" s="3"/>
      <c r="C213" s="3"/>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5"/>
      <c r="AR213" s="4"/>
      <c r="AS213" s="4"/>
      <c r="AT213" s="4"/>
      <c r="AU213" s="4"/>
      <c r="AV213" s="4"/>
      <c r="AW213" s="4"/>
      <c r="AX213" s="4"/>
      <c r="AY213" s="4"/>
      <c r="AZ213" s="4"/>
      <c r="BA213" s="4"/>
      <c r="BB213" s="4"/>
      <c r="BC213" s="4"/>
      <c r="BD213" s="4"/>
      <c r="BE213" s="4"/>
      <c r="BF213" s="4"/>
    </row>
    <row r="214" spans="1:58">
      <c r="A214" s="4"/>
      <c r="B214" s="3"/>
      <c r="C214" s="3"/>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5"/>
      <c r="AR214" s="4"/>
      <c r="AS214" s="4"/>
      <c r="AT214" s="4"/>
      <c r="AU214" s="4"/>
      <c r="AV214" s="4"/>
      <c r="AW214" s="4"/>
      <c r="AX214" s="4"/>
      <c r="AY214" s="4"/>
      <c r="AZ214" s="4"/>
      <c r="BA214" s="4"/>
      <c r="BB214" s="4"/>
      <c r="BC214" s="4"/>
      <c r="BD214" s="4"/>
      <c r="BE214" s="4"/>
      <c r="BF214" s="4"/>
    </row>
    <row r="215" spans="1:58">
      <c r="A215" s="4"/>
      <c r="B215" s="3"/>
      <c r="C215" s="3"/>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5"/>
      <c r="AR215" s="4"/>
      <c r="AS215" s="4"/>
      <c r="AT215" s="4"/>
      <c r="AU215" s="4"/>
      <c r="AV215" s="4"/>
      <c r="AW215" s="4"/>
      <c r="AX215" s="4"/>
      <c r="AY215" s="4"/>
      <c r="AZ215" s="4"/>
      <c r="BA215" s="4"/>
      <c r="BB215" s="4"/>
      <c r="BC215" s="4"/>
      <c r="BD215" s="4"/>
      <c r="BE215" s="4"/>
      <c r="BF215" s="4"/>
    </row>
    <row r="216" spans="1:58">
      <c r="A216" s="4"/>
      <c r="B216" s="3"/>
      <c r="C216" s="3"/>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5"/>
      <c r="AR216" s="4"/>
      <c r="AS216" s="4"/>
      <c r="AT216" s="4"/>
      <c r="AU216" s="4"/>
      <c r="AV216" s="4"/>
      <c r="AW216" s="4"/>
      <c r="AX216" s="4"/>
      <c r="AY216" s="4"/>
      <c r="AZ216" s="4"/>
      <c r="BA216" s="4"/>
      <c r="BB216" s="4"/>
      <c r="BC216" s="4"/>
      <c r="BD216" s="4"/>
      <c r="BE216" s="4"/>
      <c r="BF216" s="4"/>
    </row>
    <row r="217" spans="1:58">
      <c r="A217" s="4"/>
      <c r="B217" s="3"/>
      <c r="C217" s="3"/>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5"/>
      <c r="AR217" s="4"/>
      <c r="AS217" s="4"/>
      <c r="AT217" s="4"/>
      <c r="AU217" s="4"/>
      <c r="AV217" s="4"/>
      <c r="AW217" s="4"/>
      <c r="AX217" s="4"/>
      <c r="AY217" s="4"/>
      <c r="AZ217" s="4"/>
      <c r="BA217" s="4"/>
      <c r="BB217" s="4"/>
      <c r="BC217" s="4"/>
      <c r="BD217" s="4"/>
      <c r="BE217" s="4"/>
      <c r="BF217" s="4"/>
    </row>
    <row r="218" spans="1:58">
      <c r="A218" s="4"/>
      <c r="B218" s="3"/>
      <c r="C218" s="3"/>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5"/>
      <c r="AR218" s="4"/>
      <c r="AS218" s="4"/>
      <c r="AT218" s="4"/>
      <c r="AU218" s="4"/>
      <c r="AV218" s="4"/>
      <c r="AW218" s="4"/>
      <c r="AX218" s="4"/>
      <c r="AY218" s="4"/>
      <c r="AZ218" s="4"/>
      <c r="BA218" s="4"/>
      <c r="BB218" s="4"/>
      <c r="BC218" s="4"/>
      <c r="BD218" s="4"/>
      <c r="BE218" s="4"/>
      <c r="BF218" s="4"/>
    </row>
    <row r="219" spans="1:58">
      <c r="A219" s="4"/>
      <c r="B219" s="3"/>
      <c r="C219" s="3"/>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5"/>
      <c r="AR219" s="4"/>
      <c r="AS219" s="4"/>
      <c r="AT219" s="4"/>
      <c r="AU219" s="4"/>
      <c r="AV219" s="4"/>
      <c r="AW219" s="4"/>
      <c r="AX219" s="4"/>
      <c r="AY219" s="4"/>
      <c r="AZ219" s="4"/>
      <c r="BA219" s="4"/>
      <c r="BB219" s="4"/>
      <c r="BC219" s="4"/>
      <c r="BD219" s="4"/>
      <c r="BE219" s="4"/>
      <c r="BF219" s="4"/>
    </row>
    <row r="220" spans="1:58">
      <c r="A220" s="4"/>
      <c r="B220" s="3"/>
      <c r="C220" s="3"/>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5"/>
      <c r="AR220" s="4"/>
      <c r="AS220" s="4"/>
      <c r="AT220" s="4"/>
      <c r="AU220" s="4"/>
      <c r="AV220" s="4"/>
      <c r="AW220" s="4"/>
      <c r="AX220" s="4"/>
      <c r="AY220" s="4"/>
      <c r="AZ220" s="4"/>
      <c r="BA220" s="4"/>
      <c r="BB220" s="4"/>
      <c r="BC220" s="4"/>
      <c r="BD220" s="4"/>
      <c r="BE220" s="4"/>
      <c r="BF220" s="4"/>
    </row>
    <row r="221" spans="1:58">
      <c r="A221" s="4"/>
      <c r="B221" s="3"/>
      <c r="C221" s="3"/>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5"/>
      <c r="AR221" s="4"/>
      <c r="AS221" s="4"/>
      <c r="AT221" s="4"/>
      <c r="AU221" s="4"/>
      <c r="AV221" s="4"/>
      <c r="AW221" s="4"/>
      <c r="AX221" s="4"/>
      <c r="AY221" s="4"/>
      <c r="AZ221" s="4"/>
      <c r="BA221" s="4"/>
      <c r="BB221" s="4"/>
      <c r="BC221" s="4"/>
      <c r="BD221" s="4"/>
      <c r="BE221" s="4"/>
      <c r="BF221" s="4"/>
    </row>
    <row r="222" spans="1:58">
      <c r="A222" s="4"/>
      <c r="B222" s="3"/>
      <c r="C222" s="3"/>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5"/>
      <c r="AR222" s="4"/>
      <c r="AS222" s="4"/>
      <c r="AT222" s="4"/>
      <c r="AU222" s="4"/>
      <c r="AV222" s="4"/>
      <c r="AW222" s="4"/>
      <c r="AX222" s="4"/>
      <c r="AY222" s="4"/>
      <c r="AZ222" s="4"/>
      <c r="BA222" s="4"/>
      <c r="BB222" s="4"/>
      <c r="BC222" s="4"/>
      <c r="BD222" s="4"/>
      <c r="BE222" s="4"/>
      <c r="BF222" s="4"/>
    </row>
    <row r="223" spans="1:58">
      <c r="A223" s="4"/>
      <c r="B223" s="3"/>
      <c r="C223" s="3"/>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5"/>
      <c r="AR223" s="4"/>
      <c r="AS223" s="4"/>
      <c r="AT223" s="4"/>
      <c r="AU223" s="4"/>
      <c r="AV223" s="4"/>
      <c r="AW223" s="4"/>
      <c r="AX223" s="4"/>
      <c r="AY223" s="4"/>
      <c r="AZ223" s="4"/>
      <c r="BA223" s="4"/>
      <c r="BB223" s="4"/>
      <c r="BC223" s="4"/>
      <c r="BD223" s="4"/>
      <c r="BE223" s="4"/>
      <c r="BF223" s="4"/>
    </row>
    <row r="224" spans="1:58">
      <c r="A224" s="4"/>
      <c r="B224" s="3"/>
      <c r="C224" s="3"/>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5"/>
      <c r="AR224" s="4"/>
      <c r="AS224" s="4"/>
      <c r="AT224" s="4"/>
      <c r="AU224" s="4"/>
      <c r="AV224" s="4"/>
      <c r="AW224" s="4"/>
      <c r="AX224" s="4"/>
      <c r="AY224" s="4"/>
      <c r="AZ224" s="4"/>
      <c r="BA224" s="4"/>
      <c r="BB224" s="4"/>
      <c r="BC224" s="4"/>
      <c r="BD224" s="4"/>
      <c r="BE224" s="4"/>
      <c r="BF224" s="4"/>
    </row>
    <row r="225" spans="1:58">
      <c r="A225" s="4"/>
      <c r="B225" s="3"/>
      <c r="C225" s="3"/>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5"/>
      <c r="AR225" s="4"/>
      <c r="AS225" s="4"/>
      <c r="AT225" s="4"/>
      <c r="AU225" s="4"/>
      <c r="AV225" s="4"/>
      <c r="AW225" s="4"/>
      <c r="AX225" s="4"/>
      <c r="AY225" s="4"/>
      <c r="AZ225" s="4"/>
      <c r="BA225" s="4"/>
      <c r="BB225" s="4"/>
      <c r="BC225" s="4"/>
      <c r="BD225" s="4"/>
      <c r="BE225" s="4"/>
      <c r="BF225" s="4"/>
    </row>
    <row r="226" spans="1:58">
      <c r="A226" s="4"/>
      <c r="B226" s="3"/>
      <c r="C226" s="3"/>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5"/>
      <c r="AR226" s="4"/>
      <c r="AS226" s="4"/>
      <c r="AT226" s="4"/>
      <c r="AU226" s="4"/>
      <c r="AV226" s="4"/>
      <c r="AW226" s="4"/>
      <c r="AX226" s="4"/>
      <c r="AY226" s="4"/>
      <c r="AZ226" s="4"/>
      <c r="BA226" s="4"/>
      <c r="BB226" s="4"/>
      <c r="BC226" s="4"/>
      <c r="BD226" s="4"/>
      <c r="BE226" s="4"/>
      <c r="BF226" s="4"/>
    </row>
    <row r="227" spans="1:58">
      <c r="A227" s="4"/>
      <c r="B227" s="3"/>
      <c r="C227" s="3"/>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5"/>
      <c r="AR227" s="4"/>
      <c r="AS227" s="4"/>
      <c r="AT227" s="4"/>
      <c r="AU227" s="4"/>
      <c r="AV227" s="4"/>
      <c r="AW227" s="4"/>
      <c r="AX227" s="4"/>
      <c r="AY227" s="4"/>
      <c r="AZ227" s="4"/>
      <c r="BA227" s="4"/>
      <c r="BB227" s="4"/>
      <c r="BC227" s="4"/>
      <c r="BD227" s="4"/>
      <c r="BE227" s="4"/>
      <c r="BF227" s="4"/>
    </row>
    <row r="228" spans="1:58">
      <c r="A228" s="4"/>
      <c r="B228" s="3"/>
      <c r="C228" s="3"/>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5"/>
      <c r="AR228" s="4"/>
      <c r="AS228" s="4"/>
      <c r="AT228" s="4"/>
      <c r="AU228" s="4"/>
      <c r="AV228" s="4"/>
      <c r="AW228" s="4"/>
      <c r="AX228" s="4"/>
      <c r="AY228" s="4"/>
      <c r="AZ228" s="4"/>
      <c r="BA228" s="4"/>
      <c r="BB228" s="4"/>
      <c r="BC228" s="4"/>
      <c r="BD228" s="4"/>
      <c r="BE228" s="4"/>
      <c r="BF228" s="4"/>
    </row>
    <row r="229" spans="1:58">
      <c r="A229" s="4"/>
      <c r="B229" s="3"/>
      <c r="C229" s="3"/>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5"/>
      <c r="AR229" s="4"/>
      <c r="AS229" s="4"/>
      <c r="AT229" s="4"/>
      <c r="AU229" s="4"/>
      <c r="AV229" s="4"/>
      <c r="AW229" s="4"/>
      <c r="AX229" s="4"/>
      <c r="AY229" s="4"/>
      <c r="AZ229" s="4"/>
      <c r="BA229" s="4"/>
      <c r="BB229" s="4"/>
      <c r="BC229" s="4"/>
      <c r="BD229" s="4"/>
      <c r="BE229" s="4"/>
      <c r="BF229" s="4"/>
    </row>
    <row r="230" spans="1:58">
      <c r="A230" s="4"/>
      <c r="B230" s="3"/>
      <c r="C230" s="3"/>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5"/>
      <c r="AR230" s="4"/>
      <c r="AS230" s="4"/>
      <c r="AT230" s="4"/>
      <c r="AU230" s="4"/>
      <c r="AV230" s="4"/>
      <c r="AW230" s="4"/>
      <c r="AX230" s="4"/>
      <c r="AY230" s="4"/>
      <c r="AZ230" s="4"/>
      <c r="BA230" s="4"/>
      <c r="BB230" s="4"/>
      <c r="BC230" s="4"/>
      <c r="BD230" s="4"/>
      <c r="BE230" s="4"/>
      <c r="BF230" s="4"/>
    </row>
    <row r="231" spans="1:58">
      <c r="A231" s="4"/>
      <c r="B231" s="3"/>
      <c r="C231" s="3"/>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5"/>
      <c r="AR231" s="4"/>
      <c r="AS231" s="4"/>
      <c r="AT231" s="4"/>
      <c r="AU231" s="4"/>
      <c r="AV231" s="4"/>
      <c r="AW231" s="4"/>
      <c r="AX231" s="4"/>
      <c r="AY231" s="4"/>
      <c r="AZ231" s="4"/>
      <c r="BA231" s="4"/>
      <c r="BB231" s="4"/>
      <c r="BC231" s="4"/>
      <c r="BD231" s="4"/>
      <c r="BE231" s="4"/>
      <c r="BF231" s="4"/>
    </row>
    <row r="232" spans="1:58">
      <c r="A232" s="4"/>
      <c r="B232" s="3"/>
      <c r="C232" s="3"/>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5"/>
      <c r="AR232" s="4"/>
      <c r="AS232" s="4"/>
      <c r="AT232" s="4"/>
      <c r="AU232" s="4"/>
      <c r="AV232" s="4"/>
      <c r="AW232" s="4"/>
      <c r="AX232" s="4"/>
      <c r="AY232" s="4"/>
      <c r="AZ232" s="4"/>
      <c r="BA232" s="4"/>
      <c r="BB232" s="4"/>
      <c r="BC232" s="4"/>
      <c r="BD232" s="4"/>
      <c r="BE232" s="4"/>
      <c r="BF232" s="4"/>
    </row>
    <row r="233" spans="1:58">
      <c r="A233" s="4"/>
      <c r="B233" s="3"/>
      <c r="C233" s="3"/>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5"/>
      <c r="AR233" s="4"/>
      <c r="AS233" s="4"/>
      <c r="AT233" s="4"/>
      <c r="AU233" s="4"/>
      <c r="AV233" s="4"/>
      <c r="AW233" s="4"/>
      <c r="AX233" s="4"/>
      <c r="AY233" s="4"/>
      <c r="AZ233" s="4"/>
      <c r="BA233" s="4"/>
      <c r="BB233" s="4"/>
      <c r="BC233" s="4"/>
      <c r="BD233" s="4"/>
      <c r="BE233" s="4"/>
      <c r="BF233" s="4"/>
    </row>
    <row r="234" spans="1:58">
      <c r="A234" s="4"/>
      <c r="B234" s="3"/>
      <c r="C234" s="3"/>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5"/>
      <c r="AR234" s="4"/>
      <c r="AS234" s="4"/>
      <c r="AT234" s="4"/>
      <c r="AU234" s="4"/>
      <c r="AV234" s="4"/>
      <c r="AW234" s="4"/>
      <c r="AX234" s="4"/>
      <c r="AY234" s="4"/>
      <c r="AZ234" s="4"/>
      <c r="BA234" s="4"/>
      <c r="BB234" s="4"/>
      <c r="BC234" s="4"/>
      <c r="BD234" s="4"/>
      <c r="BE234" s="4"/>
      <c r="BF234" s="4"/>
    </row>
    <row r="235" spans="1:58">
      <c r="A235" s="4"/>
      <c r="B235" s="3"/>
      <c r="C235" s="3"/>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5"/>
      <c r="AR235" s="4"/>
      <c r="AS235" s="4"/>
      <c r="AT235" s="4"/>
      <c r="AU235" s="4"/>
      <c r="AV235" s="4"/>
      <c r="AW235" s="4"/>
      <c r="AX235" s="4"/>
      <c r="AY235" s="4"/>
      <c r="AZ235" s="4"/>
      <c r="BA235" s="4"/>
      <c r="BB235" s="4"/>
      <c r="BC235" s="4"/>
      <c r="BD235" s="4"/>
      <c r="BE235" s="4"/>
      <c r="BF235" s="4"/>
    </row>
    <row r="236" spans="1:58">
      <c r="A236" s="4"/>
      <c r="B236" s="3"/>
      <c r="C236" s="3"/>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5"/>
      <c r="AR236" s="4"/>
      <c r="AS236" s="4"/>
      <c r="AT236" s="4"/>
      <c r="AU236" s="4"/>
      <c r="AV236" s="4"/>
      <c r="AW236" s="4"/>
      <c r="AX236" s="4"/>
      <c r="AY236" s="4"/>
      <c r="AZ236" s="4"/>
      <c r="BA236" s="4"/>
      <c r="BB236" s="4"/>
      <c r="BC236" s="4"/>
      <c r="BD236" s="4"/>
      <c r="BE236" s="4"/>
      <c r="BF236" s="4"/>
    </row>
    <row r="237" spans="1:58">
      <c r="A237" s="4"/>
      <c r="B237" s="3"/>
      <c r="C237" s="3"/>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5"/>
      <c r="AR237" s="4"/>
      <c r="AS237" s="4"/>
      <c r="AT237" s="4"/>
      <c r="AU237" s="4"/>
      <c r="AV237" s="4"/>
      <c r="AW237" s="4"/>
      <c r="AX237" s="4"/>
      <c r="AY237" s="4"/>
      <c r="AZ237" s="4"/>
      <c r="BA237" s="4"/>
      <c r="BB237" s="4"/>
      <c r="BC237" s="4"/>
      <c r="BD237" s="4"/>
      <c r="BE237" s="4"/>
      <c r="BF237" s="4"/>
    </row>
    <row r="238" spans="1:58">
      <c r="A238" s="4"/>
      <c r="B238" s="3"/>
      <c r="C238" s="3"/>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5"/>
      <c r="AR238" s="4"/>
      <c r="AS238" s="4"/>
      <c r="AT238" s="4"/>
      <c r="AU238" s="4"/>
      <c r="AV238" s="4"/>
      <c r="AW238" s="4"/>
      <c r="AX238" s="4"/>
      <c r="AY238" s="4"/>
      <c r="AZ238" s="4"/>
      <c r="BA238" s="4"/>
      <c r="BB238" s="4"/>
      <c r="BC238" s="4"/>
      <c r="BD238" s="4"/>
      <c r="BE238" s="4"/>
      <c r="BF238" s="4"/>
    </row>
    <row r="239" spans="1:58">
      <c r="A239" s="4"/>
      <c r="B239" s="3"/>
      <c r="C239" s="3"/>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5"/>
      <c r="AR239" s="4"/>
      <c r="AS239" s="4"/>
      <c r="AT239" s="4"/>
      <c r="AU239" s="4"/>
      <c r="AV239" s="4"/>
      <c r="AW239" s="4"/>
      <c r="AX239" s="4"/>
      <c r="AY239" s="4"/>
      <c r="AZ239" s="4"/>
      <c r="BA239" s="4"/>
      <c r="BB239" s="4"/>
      <c r="BC239" s="4"/>
      <c r="BD239" s="4"/>
      <c r="BE239" s="4"/>
      <c r="BF239" s="4"/>
    </row>
    <row r="240" spans="1:58">
      <c r="A240" s="4"/>
      <c r="B240" s="3"/>
      <c r="C240" s="3"/>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5"/>
      <c r="AR240" s="4"/>
      <c r="AS240" s="4"/>
      <c r="AT240" s="4"/>
      <c r="AU240" s="4"/>
      <c r="AV240" s="4"/>
      <c r="AW240" s="4"/>
      <c r="AX240" s="4"/>
      <c r="AY240" s="4"/>
      <c r="AZ240" s="4"/>
      <c r="BA240" s="4"/>
      <c r="BB240" s="4"/>
      <c r="BC240" s="4"/>
      <c r="BD240" s="4"/>
      <c r="BE240" s="4"/>
      <c r="BF240" s="4"/>
    </row>
    <row r="241" spans="1:58">
      <c r="A241" s="4"/>
      <c r="B241" s="3"/>
      <c r="C241" s="3"/>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5"/>
      <c r="AR241" s="4"/>
      <c r="AS241" s="4"/>
      <c r="AT241" s="4"/>
      <c r="AU241" s="4"/>
      <c r="AV241" s="4"/>
      <c r="AW241" s="4"/>
      <c r="AX241" s="4"/>
      <c r="AY241" s="4"/>
      <c r="AZ241" s="4"/>
      <c r="BA241" s="4"/>
      <c r="BB241" s="4"/>
      <c r="BC241" s="4"/>
      <c r="BD241" s="4"/>
      <c r="BE241" s="4"/>
      <c r="BF241" s="4"/>
    </row>
    <row r="242" spans="1:58">
      <c r="A242" s="4"/>
      <c r="B242" s="3"/>
      <c r="C242" s="3"/>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5"/>
      <c r="AR242" s="4"/>
      <c r="AS242" s="4"/>
      <c r="AT242" s="4"/>
      <c r="AU242" s="4"/>
      <c r="AV242" s="4"/>
      <c r="AW242" s="4"/>
      <c r="AX242" s="4"/>
      <c r="AY242" s="4"/>
      <c r="AZ242" s="4"/>
      <c r="BA242" s="4"/>
      <c r="BB242" s="4"/>
      <c r="BC242" s="4"/>
      <c r="BD242" s="4"/>
      <c r="BE242" s="4"/>
      <c r="BF242" s="4"/>
    </row>
    <row r="243" spans="1:58">
      <c r="A243" s="4"/>
      <c r="B243" s="3"/>
      <c r="C243" s="3"/>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5"/>
      <c r="AR243" s="4"/>
      <c r="AS243" s="4"/>
      <c r="AT243" s="4"/>
      <c r="AU243" s="4"/>
      <c r="AV243" s="4"/>
      <c r="AW243" s="4"/>
      <c r="AX243" s="4"/>
      <c r="AY243" s="4"/>
      <c r="AZ243" s="4"/>
      <c r="BA243" s="4"/>
      <c r="BB243" s="4"/>
      <c r="BC243" s="4"/>
      <c r="BD243" s="4"/>
      <c r="BE243" s="4"/>
      <c r="BF243" s="4"/>
    </row>
    <row r="244" spans="1:58">
      <c r="A244" s="4"/>
      <c r="B244" s="3"/>
      <c r="C244" s="3"/>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5"/>
      <c r="AR244" s="4"/>
      <c r="AS244" s="4"/>
      <c r="AT244" s="4"/>
      <c r="AU244" s="4"/>
      <c r="AV244" s="4"/>
      <c r="AW244" s="4"/>
      <c r="AX244" s="4"/>
      <c r="AY244" s="4"/>
      <c r="AZ244" s="4"/>
      <c r="BA244" s="4"/>
      <c r="BB244" s="4"/>
      <c r="BC244" s="4"/>
      <c r="BD244" s="4"/>
      <c r="BE244" s="4"/>
      <c r="BF244" s="4"/>
    </row>
    <row r="245" spans="1:58">
      <c r="A245" s="4"/>
      <c r="B245" s="3"/>
      <c r="C245" s="3"/>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5"/>
      <c r="AR245" s="4"/>
      <c r="AS245" s="4"/>
      <c r="AT245" s="4"/>
      <c r="AU245" s="4"/>
      <c r="AV245" s="4"/>
      <c r="AW245" s="4"/>
      <c r="AX245" s="4"/>
      <c r="AY245" s="4"/>
      <c r="AZ245" s="4"/>
      <c r="BA245" s="4"/>
      <c r="BB245" s="4"/>
      <c r="BC245" s="4"/>
      <c r="BD245" s="4"/>
      <c r="BE245" s="4"/>
      <c r="BF245" s="4"/>
    </row>
    <row r="246" spans="1:58">
      <c r="A246" s="4"/>
      <c r="B246" s="3"/>
      <c r="C246" s="3"/>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5"/>
      <c r="AR246" s="4"/>
      <c r="AS246" s="4"/>
      <c r="AT246" s="4"/>
      <c r="AU246" s="4"/>
      <c r="AV246" s="4"/>
      <c r="AW246" s="4"/>
      <c r="AX246" s="4"/>
      <c r="AY246" s="4"/>
      <c r="AZ246" s="4"/>
      <c r="BA246" s="4"/>
      <c r="BB246" s="4"/>
      <c r="BC246" s="4"/>
      <c r="BD246" s="4"/>
      <c r="BE246" s="4"/>
      <c r="BF246" s="4"/>
    </row>
    <row r="247" spans="1:58">
      <c r="A247" s="4"/>
      <c r="B247" s="3"/>
      <c r="C247" s="3"/>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5"/>
      <c r="AR247" s="4"/>
      <c r="AS247" s="4"/>
      <c r="AT247" s="4"/>
      <c r="AU247" s="4"/>
      <c r="AV247" s="4"/>
      <c r="AW247" s="4"/>
      <c r="AX247" s="4"/>
      <c r="AY247" s="4"/>
      <c r="AZ247" s="4"/>
      <c r="BA247" s="4"/>
      <c r="BB247" s="4"/>
      <c r="BC247" s="4"/>
      <c r="BD247" s="4"/>
      <c r="BE247" s="4"/>
      <c r="BF247" s="4"/>
    </row>
    <row r="248" spans="1:58">
      <c r="A248" s="4"/>
      <c r="B248" s="3"/>
      <c r="C248" s="3"/>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5"/>
      <c r="AR248" s="4"/>
      <c r="AS248" s="4"/>
      <c r="AT248" s="4"/>
      <c r="AU248" s="4"/>
      <c r="AV248" s="4"/>
      <c r="AW248" s="4"/>
      <c r="AX248" s="4"/>
      <c r="AY248" s="4"/>
      <c r="AZ248" s="4"/>
      <c r="BA248" s="4"/>
      <c r="BB248" s="4"/>
      <c r="BC248" s="4"/>
      <c r="BD248" s="4"/>
      <c r="BE248" s="4"/>
      <c r="BF248" s="4"/>
    </row>
    <row r="249" spans="1:58">
      <c r="A249" s="4"/>
      <c r="B249" s="3"/>
      <c r="C249" s="3"/>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5"/>
      <c r="AR249" s="4"/>
      <c r="AS249" s="4"/>
      <c r="AT249" s="4"/>
      <c r="AU249" s="4"/>
      <c r="AV249" s="4"/>
      <c r="AW249" s="4"/>
      <c r="AX249" s="4"/>
      <c r="AY249" s="4"/>
      <c r="AZ249" s="4"/>
      <c r="BA249" s="4"/>
      <c r="BB249" s="4"/>
      <c r="BC249" s="4"/>
      <c r="BD249" s="4"/>
      <c r="BE249" s="4"/>
      <c r="BF249" s="4"/>
    </row>
    <row r="250" spans="1:58">
      <c r="A250" s="4"/>
      <c r="B250" s="3"/>
      <c r="C250" s="3"/>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5"/>
      <c r="AR250" s="4"/>
      <c r="AS250" s="4"/>
      <c r="AT250" s="4"/>
      <c r="AU250" s="4"/>
      <c r="AV250" s="4"/>
      <c r="AW250" s="4"/>
      <c r="AX250" s="4"/>
      <c r="AY250" s="4"/>
      <c r="AZ250" s="4"/>
      <c r="BA250" s="4"/>
      <c r="BB250" s="4"/>
      <c r="BC250" s="4"/>
      <c r="BD250" s="4"/>
      <c r="BE250" s="4"/>
      <c r="BF250" s="4"/>
    </row>
    <row r="251" spans="1:58">
      <c r="A251" s="4"/>
      <c r="B251" s="3"/>
      <c r="C251" s="3"/>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5"/>
      <c r="AR251" s="4"/>
      <c r="AS251" s="4"/>
      <c r="AT251" s="4"/>
      <c r="AU251" s="4"/>
      <c r="AV251" s="4"/>
      <c r="AW251" s="4"/>
      <c r="AX251" s="4"/>
      <c r="AY251" s="4"/>
      <c r="AZ251" s="4"/>
      <c r="BA251" s="4"/>
      <c r="BB251" s="4"/>
      <c r="BC251" s="4"/>
      <c r="BD251" s="4"/>
      <c r="BE251" s="4"/>
      <c r="BF251" s="4"/>
    </row>
    <row r="252" spans="1:58">
      <c r="A252" s="4"/>
      <c r="B252" s="3"/>
      <c r="C252" s="3"/>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5"/>
      <c r="AR252" s="4"/>
      <c r="AS252" s="4"/>
      <c r="AT252" s="4"/>
      <c r="AU252" s="4"/>
      <c r="AV252" s="4"/>
      <c r="AW252" s="4"/>
      <c r="AX252" s="4"/>
      <c r="AY252" s="4"/>
      <c r="AZ252" s="4"/>
      <c r="BA252" s="4"/>
      <c r="BB252" s="4"/>
      <c r="BC252" s="4"/>
      <c r="BD252" s="4"/>
      <c r="BE252" s="4"/>
      <c r="BF252" s="4"/>
    </row>
    <row r="253" spans="1:58">
      <c r="A253" s="4"/>
      <c r="B253" s="3"/>
      <c r="C253" s="3"/>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5"/>
      <c r="AR253" s="4"/>
      <c r="AS253" s="4"/>
      <c r="AT253" s="4"/>
      <c r="AU253" s="4"/>
      <c r="AV253" s="4"/>
      <c r="AW253" s="4"/>
      <c r="AX253" s="4"/>
      <c r="AY253" s="4"/>
      <c r="AZ253" s="4"/>
      <c r="BA253" s="4"/>
      <c r="BB253" s="4"/>
      <c r="BC253" s="4"/>
      <c r="BD253" s="4"/>
      <c r="BE253" s="4"/>
      <c r="BF253" s="4"/>
    </row>
    <row r="254" spans="1:58">
      <c r="A254" s="4"/>
      <c r="B254" s="3"/>
      <c r="C254" s="3"/>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5"/>
      <c r="AR254" s="4"/>
      <c r="AS254" s="4"/>
      <c r="AT254" s="4"/>
      <c r="AU254" s="4"/>
      <c r="AV254" s="4"/>
      <c r="AW254" s="4"/>
      <c r="AX254" s="4"/>
      <c r="AY254" s="4"/>
      <c r="AZ254" s="4"/>
      <c r="BA254" s="4"/>
      <c r="BB254" s="4"/>
      <c r="BC254" s="4"/>
      <c r="BD254" s="4"/>
      <c r="BE254" s="4"/>
      <c r="BF254" s="4"/>
    </row>
    <row r="255" spans="1:58">
      <c r="A255" s="4"/>
      <c r="B255" s="3"/>
      <c r="C255" s="3"/>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5"/>
      <c r="AR255" s="4"/>
      <c r="AS255" s="4"/>
      <c r="AT255" s="4"/>
      <c r="AU255" s="4"/>
      <c r="AV255" s="4"/>
      <c r="AW255" s="4"/>
      <c r="AX255" s="4"/>
      <c r="AY255" s="4"/>
      <c r="AZ255" s="4"/>
      <c r="BA255" s="4"/>
      <c r="BB255" s="4"/>
      <c r="BC255" s="4"/>
      <c r="BD255" s="4"/>
      <c r="BE255" s="4"/>
      <c r="BF255" s="4"/>
    </row>
    <row r="256" spans="1:58">
      <c r="A256" s="4"/>
      <c r="B256" s="3"/>
      <c r="C256" s="3"/>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5"/>
      <c r="AR256" s="4"/>
      <c r="AS256" s="4"/>
      <c r="AT256" s="4"/>
      <c r="AU256" s="4"/>
      <c r="AV256" s="4"/>
      <c r="AW256" s="4"/>
      <c r="AX256" s="4"/>
      <c r="AY256" s="4"/>
      <c r="AZ256" s="4"/>
      <c r="BA256" s="4"/>
      <c r="BB256" s="4"/>
      <c r="BC256" s="4"/>
      <c r="BD256" s="4"/>
      <c r="BE256" s="4"/>
      <c r="BF256" s="4"/>
    </row>
    <row r="257" spans="1:58">
      <c r="A257" s="4"/>
      <c r="B257" s="3"/>
      <c r="C257" s="3"/>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5"/>
      <c r="AR257" s="4"/>
      <c r="AS257" s="4"/>
      <c r="AT257" s="4"/>
      <c r="AU257" s="4"/>
      <c r="AV257" s="4"/>
      <c r="AW257" s="4"/>
      <c r="AX257" s="4"/>
      <c r="AY257" s="4"/>
      <c r="AZ257" s="4"/>
      <c r="BA257" s="4"/>
      <c r="BB257" s="4"/>
      <c r="BC257" s="4"/>
      <c r="BD257" s="4"/>
      <c r="BE257" s="4"/>
      <c r="BF257" s="4"/>
    </row>
    <row r="258" spans="1:58">
      <c r="A258" s="4"/>
      <c r="B258" s="3"/>
      <c r="C258" s="3"/>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5"/>
      <c r="AR258" s="4"/>
      <c r="AS258" s="4"/>
      <c r="AT258" s="4"/>
      <c r="AU258" s="4"/>
      <c r="AV258" s="4"/>
      <c r="AW258" s="4"/>
      <c r="AX258" s="4"/>
      <c r="AY258" s="4"/>
      <c r="AZ258" s="4"/>
      <c r="BA258" s="4"/>
      <c r="BB258" s="4"/>
      <c r="BC258" s="4"/>
      <c r="BD258" s="4"/>
      <c r="BE258" s="4"/>
      <c r="BF258" s="4"/>
    </row>
    <row r="259" spans="1:58">
      <c r="A259" s="4"/>
      <c r="B259" s="3"/>
      <c r="C259" s="3"/>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5"/>
      <c r="AR259" s="4"/>
      <c r="AS259" s="4"/>
      <c r="AT259" s="4"/>
      <c r="AU259" s="4"/>
      <c r="AV259" s="4"/>
      <c r="AW259" s="4"/>
      <c r="AX259" s="4"/>
      <c r="AY259" s="4"/>
      <c r="AZ259" s="4"/>
      <c r="BA259" s="4"/>
      <c r="BB259" s="4"/>
      <c r="BC259" s="4"/>
      <c r="BD259" s="4"/>
      <c r="BE259" s="4"/>
      <c r="BF259" s="4"/>
    </row>
    <row r="260" spans="1:58">
      <c r="A260" s="4"/>
      <c r="B260" s="3"/>
      <c r="C260" s="3"/>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5"/>
      <c r="AR260" s="4"/>
      <c r="AS260" s="4"/>
      <c r="AT260" s="4"/>
      <c r="AU260" s="4"/>
      <c r="AV260" s="4"/>
      <c r="AW260" s="4"/>
      <c r="AX260" s="4"/>
      <c r="AY260" s="4"/>
      <c r="AZ260" s="4"/>
      <c r="BA260" s="4"/>
      <c r="BB260" s="4"/>
      <c r="BC260" s="4"/>
      <c r="BD260" s="4"/>
      <c r="BE260" s="4"/>
      <c r="BF260" s="4"/>
    </row>
    <row r="261" spans="1:58">
      <c r="A261" s="4"/>
      <c r="B261" s="3"/>
      <c r="C261" s="3"/>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5"/>
      <c r="AR261" s="4"/>
      <c r="AS261" s="4"/>
      <c r="AT261" s="4"/>
      <c r="AU261" s="4"/>
      <c r="AV261" s="4"/>
      <c r="AW261" s="4"/>
      <c r="AX261" s="4"/>
      <c r="AY261" s="4"/>
      <c r="AZ261" s="4"/>
      <c r="BA261" s="4"/>
      <c r="BB261" s="4"/>
      <c r="BC261" s="4"/>
      <c r="BD261" s="4"/>
      <c r="BE261" s="4"/>
      <c r="BF261" s="4"/>
    </row>
    <row r="262" spans="1:58">
      <c r="A262" s="4"/>
      <c r="B262" s="3"/>
      <c r="C262" s="3"/>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5"/>
      <c r="AR262" s="4"/>
      <c r="AS262" s="4"/>
      <c r="AT262" s="4"/>
      <c r="AU262" s="4"/>
      <c r="AV262" s="4"/>
      <c r="AW262" s="4"/>
      <c r="AX262" s="4"/>
      <c r="AY262" s="4"/>
      <c r="AZ262" s="4"/>
      <c r="BA262" s="4"/>
      <c r="BB262" s="4"/>
      <c r="BC262" s="4"/>
      <c r="BD262" s="4"/>
      <c r="BE262" s="4"/>
      <c r="BF262" s="4"/>
    </row>
    <row r="263" spans="1:58">
      <c r="A263" s="4"/>
      <c r="B263" s="3"/>
      <c r="C263" s="3"/>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5"/>
      <c r="AR263" s="4"/>
      <c r="AS263" s="4"/>
      <c r="AT263" s="4"/>
      <c r="AU263" s="4"/>
      <c r="AV263" s="4"/>
      <c r="AW263" s="4"/>
      <c r="AX263" s="4"/>
      <c r="AY263" s="4"/>
      <c r="AZ263" s="4"/>
      <c r="BA263" s="4"/>
      <c r="BB263" s="4"/>
      <c r="BC263" s="4"/>
      <c r="BD263" s="4"/>
      <c r="BE263" s="4"/>
      <c r="BF263" s="4"/>
    </row>
    <row r="264" spans="1:58">
      <c r="A264" s="4"/>
      <c r="B264" s="3"/>
      <c r="C264" s="3"/>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5"/>
      <c r="AR264" s="4"/>
      <c r="AS264" s="4"/>
      <c r="AT264" s="4"/>
      <c r="AU264" s="4"/>
      <c r="AV264" s="4"/>
      <c r="AW264" s="4"/>
      <c r="AX264" s="4"/>
      <c r="AY264" s="4"/>
      <c r="AZ264" s="4"/>
      <c r="BA264" s="4"/>
      <c r="BB264" s="4"/>
      <c r="BC264" s="4"/>
      <c r="BD264" s="4"/>
      <c r="BE264" s="4"/>
      <c r="BF264" s="4"/>
    </row>
    <row r="265" spans="1:58">
      <c r="A265" s="4"/>
      <c r="B265" s="3"/>
      <c r="C265" s="3"/>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5"/>
      <c r="AR265" s="4"/>
      <c r="AS265" s="4"/>
      <c r="AT265" s="4"/>
      <c r="AU265" s="4"/>
      <c r="AV265" s="4"/>
      <c r="AW265" s="4"/>
      <c r="AX265" s="4"/>
      <c r="AY265" s="4"/>
      <c r="AZ265" s="4"/>
      <c r="BA265" s="4"/>
      <c r="BB265" s="4"/>
      <c r="BC265" s="4"/>
      <c r="BD265" s="4"/>
      <c r="BE265" s="4"/>
      <c r="BF265" s="4"/>
    </row>
    <row r="266" spans="1:58">
      <c r="A266" s="4"/>
      <c r="B266" s="3"/>
      <c r="C266" s="3"/>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5"/>
      <c r="AR266" s="4"/>
      <c r="AS266" s="4"/>
      <c r="AT266" s="4"/>
      <c r="AU266" s="4"/>
      <c r="AV266" s="4"/>
      <c r="AW266" s="4"/>
      <c r="AX266" s="4"/>
      <c r="AY266" s="4"/>
      <c r="AZ266" s="4"/>
      <c r="BA266" s="4"/>
      <c r="BB266" s="4"/>
      <c r="BC266" s="4"/>
      <c r="BD266" s="4"/>
      <c r="BE266" s="4"/>
      <c r="BF266" s="4"/>
    </row>
    <row r="267" spans="1:58">
      <c r="A267" s="4"/>
      <c r="B267" s="3"/>
      <c r="C267" s="3"/>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5"/>
      <c r="AR267" s="4"/>
      <c r="AS267" s="4"/>
      <c r="AT267" s="4"/>
      <c r="AU267" s="4"/>
      <c r="AV267" s="4"/>
      <c r="AW267" s="4"/>
      <c r="AX267" s="4"/>
      <c r="AY267" s="4"/>
      <c r="AZ267" s="4"/>
      <c r="BA267" s="4"/>
      <c r="BB267" s="4"/>
      <c r="BC267" s="4"/>
      <c r="BD267" s="4"/>
      <c r="BE267" s="4"/>
      <c r="BF267" s="4"/>
    </row>
    <row r="268" spans="1:58">
      <c r="A268" s="4"/>
      <c r="B268" s="3"/>
      <c r="C268" s="3"/>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5"/>
      <c r="AR268" s="4"/>
      <c r="AS268" s="4"/>
      <c r="AT268" s="4"/>
      <c r="AU268" s="4"/>
      <c r="AV268" s="4"/>
      <c r="AW268" s="4"/>
      <c r="AX268" s="4"/>
      <c r="AY268" s="4"/>
      <c r="AZ268" s="4"/>
      <c r="BA268" s="4"/>
      <c r="BB268" s="4"/>
      <c r="BC268" s="4"/>
      <c r="BD268" s="4"/>
      <c r="BE268" s="4"/>
      <c r="BF268" s="4"/>
    </row>
    <row r="269" spans="1:58">
      <c r="A269" s="4"/>
      <c r="B269" s="3"/>
      <c r="C269" s="3"/>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5"/>
      <c r="AR269" s="4"/>
      <c r="AS269" s="4"/>
      <c r="AT269" s="4"/>
      <c r="AU269" s="4"/>
      <c r="AV269" s="4"/>
      <c r="AW269" s="4"/>
      <c r="AX269" s="4"/>
      <c r="AY269" s="4"/>
      <c r="AZ269" s="4"/>
      <c r="BA269" s="4"/>
      <c r="BB269" s="4"/>
      <c r="BC269" s="4"/>
      <c r="BD269" s="4"/>
      <c r="BE269" s="4"/>
      <c r="BF269" s="4"/>
    </row>
    <row r="270" spans="1:58">
      <c r="A270" s="4"/>
      <c r="B270" s="3"/>
      <c r="C270" s="3"/>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5"/>
      <c r="AR270" s="4"/>
      <c r="AS270" s="4"/>
      <c r="AT270" s="4"/>
      <c r="AU270" s="4"/>
      <c r="AV270" s="4"/>
      <c r="AW270" s="4"/>
      <c r="AX270" s="4"/>
      <c r="AY270" s="4"/>
      <c r="AZ270" s="4"/>
      <c r="BA270" s="4"/>
      <c r="BB270" s="4"/>
      <c r="BC270" s="4"/>
      <c r="BD270" s="4"/>
      <c r="BE270" s="4"/>
      <c r="BF270" s="4"/>
    </row>
    <row r="271" spans="1:58">
      <c r="A271" s="4"/>
      <c r="B271" s="3"/>
      <c r="C271" s="3"/>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5"/>
      <c r="AR271" s="4"/>
      <c r="AS271" s="4"/>
      <c r="AT271" s="4"/>
      <c r="AU271" s="4"/>
      <c r="AV271" s="4"/>
      <c r="AW271" s="4"/>
      <c r="AX271" s="4"/>
      <c r="AY271" s="4"/>
      <c r="AZ271" s="4"/>
      <c r="BA271" s="4"/>
      <c r="BB271" s="4"/>
      <c r="BC271" s="4"/>
      <c r="BD271" s="4"/>
      <c r="BE271" s="4"/>
      <c r="BF271" s="4"/>
    </row>
    <row r="272" spans="1:58">
      <c r="A272" s="4"/>
      <c r="B272" s="3"/>
      <c r="C272" s="3"/>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5"/>
      <c r="AR272" s="4"/>
      <c r="AS272" s="4"/>
      <c r="AT272" s="4"/>
      <c r="AU272" s="4"/>
      <c r="AV272" s="4"/>
      <c r="AW272" s="4"/>
      <c r="AX272" s="4"/>
      <c r="AY272" s="4"/>
      <c r="AZ272" s="4"/>
      <c r="BA272" s="4"/>
      <c r="BB272" s="4"/>
      <c r="BC272" s="4"/>
      <c r="BD272" s="4"/>
      <c r="BE272" s="4"/>
      <c r="BF272" s="4"/>
    </row>
    <row r="273" spans="1:58">
      <c r="A273" s="4"/>
      <c r="B273" s="3"/>
      <c r="C273" s="3"/>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5"/>
      <c r="AR273" s="4"/>
      <c r="AS273" s="4"/>
      <c r="AT273" s="4"/>
      <c r="AU273" s="4"/>
      <c r="AV273" s="4"/>
      <c r="AW273" s="4"/>
      <c r="AX273" s="4"/>
      <c r="AY273" s="4"/>
      <c r="AZ273" s="4"/>
      <c r="BA273" s="4"/>
      <c r="BB273" s="4"/>
      <c r="BC273" s="4"/>
      <c r="BD273" s="4"/>
      <c r="BE273" s="4"/>
      <c r="BF273" s="4"/>
    </row>
    <row r="274" spans="1:58">
      <c r="A274" s="4"/>
      <c r="B274" s="3"/>
      <c r="C274" s="3"/>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5"/>
      <c r="AR274" s="4"/>
      <c r="AS274" s="4"/>
      <c r="AT274" s="4"/>
      <c r="AU274" s="4"/>
      <c r="AV274" s="4"/>
      <c r="AW274" s="4"/>
      <c r="AX274" s="4"/>
      <c r="AY274" s="4"/>
      <c r="AZ274" s="4"/>
      <c r="BA274" s="4"/>
      <c r="BB274" s="4"/>
      <c r="BC274" s="4"/>
      <c r="BD274" s="4"/>
      <c r="BE274" s="4"/>
      <c r="BF274" s="4"/>
    </row>
    <row r="275" spans="1:58">
      <c r="A275" s="4"/>
      <c r="B275" s="3"/>
      <c r="C275" s="3"/>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5"/>
      <c r="AR275" s="4"/>
      <c r="AS275" s="4"/>
      <c r="AT275" s="4"/>
      <c r="AU275" s="4"/>
      <c r="AV275" s="4"/>
      <c r="AW275" s="4"/>
      <c r="AX275" s="4"/>
      <c r="AY275" s="4"/>
      <c r="AZ275" s="4"/>
      <c r="BA275" s="4"/>
      <c r="BB275" s="4"/>
      <c r="BC275" s="4"/>
      <c r="BD275" s="4"/>
      <c r="BE275" s="4"/>
      <c r="BF275" s="4"/>
    </row>
    <row r="276" spans="1:58">
      <c r="A276" s="4"/>
      <c r="B276" s="3"/>
      <c r="C276" s="3"/>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5"/>
      <c r="AR276" s="4"/>
      <c r="AS276" s="4"/>
      <c r="AT276" s="4"/>
      <c r="AU276" s="4"/>
      <c r="AV276" s="4"/>
      <c r="AW276" s="4"/>
      <c r="AX276" s="4"/>
      <c r="AY276" s="4"/>
      <c r="AZ276" s="4"/>
      <c r="BA276" s="4"/>
      <c r="BB276" s="4"/>
      <c r="BC276" s="4"/>
      <c r="BD276" s="4"/>
      <c r="BE276" s="4"/>
      <c r="BF276" s="4"/>
    </row>
    <row r="277" spans="1:58">
      <c r="A277" s="4"/>
      <c r="B277" s="3"/>
      <c r="C277" s="3"/>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5"/>
      <c r="AR277" s="4"/>
      <c r="AS277" s="4"/>
      <c r="AT277" s="4"/>
      <c r="AU277" s="4"/>
      <c r="AV277" s="4"/>
      <c r="AW277" s="4"/>
      <c r="AX277" s="4"/>
      <c r="AY277" s="4"/>
      <c r="AZ277" s="4"/>
      <c r="BA277" s="4"/>
      <c r="BB277" s="4"/>
      <c r="BC277" s="4"/>
      <c r="BD277" s="4"/>
      <c r="BE277" s="4"/>
      <c r="BF277" s="4"/>
    </row>
    <row r="278" spans="1:58">
      <c r="A278" s="4"/>
      <c r="B278" s="3"/>
      <c r="C278" s="3"/>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5"/>
      <c r="AR278" s="4"/>
      <c r="AS278" s="4"/>
      <c r="AT278" s="4"/>
      <c r="AU278" s="4"/>
      <c r="AV278" s="4"/>
      <c r="AW278" s="4"/>
      <c r="AX278" s="4"/>
      <c r="AY278" s="4"/>
      <c r="AZ278" s="4"/>
      <c r="BA278" s="4"/>
      <c r="BB278" s="4"/>
      <c r="BC278" s="4"/>
      <c r="BD278" s="4"/>
      <c r="BE278" s="4"/>
      <c r="BF278" s="4"/>
    </row>
    <row r="279" spans="1:58">
      <c r="A279" s="4"/>
      <c r="B279" s="3"/>
      <c r="C279" s="3"/>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5"/>
      <c r="AR279" s="4"/>
      <c r="AS279" s="4"/>
      <c r="AT279" s="4"/>
      <c r="AU279" s="4"/>
      <c r="AV279" s="4"/>
      <c r="AW279" s="4"/>
      <c r="AX279" s="4"/>
      <c r="AY279" s="4"/>
      <c r="AZ279" s="4"/>
      <c r="BA279" s="4"/>
      <c r="BB279" s="4"/>
      <c r="BC279" s="4"/>
      <c r="BD279" s="4"/>
      <c r="BE279" s="4"/>
      <c r="BF279" s="4"/>
    </row>
    <row r="280" spans="1:58">
      <c r="A280" s="4"/>
      <c r="B280" s="3"/>
      <c r="C280" s="3"/>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5"/>
      <c r="AR280" s="4"/>
      <c r="AS280" s="4"/>
      <c r="AT280" s="4"/>
      <c r="AU280" s="4"/>
      <c r="AV280" s="4"/>
      <c r="AW280" s="4"/>
      <c r="AX280" s="4"/>
      <c r="AY280" s="4"/>
      <c r="AZ280" s="4"/>
      <c r="BA280" s="4"/>
      <c r="BB280" s="4"/>
      <c r="BC280" s="4"/>
      <c r="BD280" s="4"/>
      <c r="BE280" s="4"/>
      <c r="BF280" s="4"/>
    </row>
    <row r="281" spans="1:58">
      <c r="A281" s="4"/>
      <c r="B281" s="3"/>
      <c r="C281" s="3"/>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5"/>
      <c r="AR281" s="4"/>
      <c r="AS281" s="4"/>
      <c r="AT281" s="4"/>
      <c r="AU281" s="4"/>
      <c r="AV281" s="4"/>
      <c r="AW281" s="4"/>
      <c r="AX281" s="4"/>
      <c r="AY281" s="4"/>
      <c r="AZ281" s="4"/>
      <c r="BA281" s="4"/>
      <c r="BB281" s="4"/>
      <c r="BC281" s="4"/>
      <c r="BD281" s="4"/>
      <c r="BE281" s="4"/>
      <c r="BF281" s="4"/>
    </row>
    <row r="282" spans="1:58">
      <c r="A282" s="4"/>
      <c r="B282" s="3"/>
      <c r="C282" s="3"/>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5"/>
      <c r="AR282" s="4"/>
      <c r="AS282" s="4"/>
      <c r="AT282" s="4"/>
      <c r="AU282" s="4"/>
      <c r="AV282" s="4"/>
      <c r="AW282" s="4"/>
      <c r="AX282" s="4"/>
      <c r="AY282" s="4"/>
      <c r="AZ282" s="4"/>
      <c r="BA282" s="4"/>
      <c r="BB282" s="4"/>
      <c r="BC282" s="4"/>
      <c r="BD282" s="4"/>
      <c r="BE282" s="4"/>
      <c r="BF282" s="4"/>
    </row>
    <row r="283" spans="1:58">
      <c r="A283" s="4"/>
      <c r="B283" s="3"/>
      <c r="C283" s="3"/>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5"/>
      <c r="AR283" s="4"/>
      <c r="AS283" s="4"/>
      <c r="AT283" s="4"/>
      <c r="AU283" s="4"/>
      <c r="AV283" s="4"/>
      <c r="AW283" s="4"/>
      <c r="AX283" s="4"/>
      <c r="AY283" s="4"/>
      <c r="AZ283" s="4"/>
      <c r="BA283" s="4"/>
      <c r="BB283" s="4"/>
      <c r="BC283" s="4"/>
      <c r="BD283" s="4"/>
      <c r="BE283" s="4"/>
      <c r="BF283" s="4"/>
    </row>
    <row r="284" spans="1:58">
      <c r="A284" s="4"/>
      <c r="B284" s="3"/>
      <c r="C284" s="3"/>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5"/>
      <c r="AR284" s="4"/>
      <c r="AS284" s="4"/>
      <c r="AT284" s="4"/>
      <c r="AU284" s="4"/>
      <c r="AV284" s="4"/>
      <c r="AW284" s="4"/>
      <c r="AX284" s="4"/>
      <c r="AY284" s="4"/>
      <c r="AZ284" s="4"/>
      <c r="BA284" s="4"/>
      <c r="BB284" s="4"/>
      <c r="BC284" s="4"/>
      <c r="BD284" s="4"/>
      <c r="BE284" s="4"/>
      <c r="BF284" s="4"/>
    </row>
    <row r="285" spans="1:58">
      <c r="A285" s="4"/>
      <c r="B285" s="3"/>
      <c r="C285" s="3"/>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5"/>
      <c r="AR285" s="4"/>
      <c r="AS285" s="4"/>
      <c r="AT285" s="4"/>
      <c r="AU285" s="4"/>
      <c r="AV285" s="4"/>
      <c r="AW285" s="4"/>
      <c r="AX285" s="4"/>
      <c r="AY285" s="4"/>
      <c r="AZ285" s="4"/>
      <c r="BA285" s="4"/>
      <c r="BB285" s="4"/>
      <c r="BC285" s="4"/>
      <c r="BD285" s="4"/>
      <c r="BE285" s="4"/>
      <c r="BF285" s="4"/>
    </row>
    <row r="286" spans="1:58">
      <c r="A286" s="4"/>
      <c r="B286" s="3"/>
      <c r="C286" s="3"/>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5"/>
      <c r="AR286" s="4"/>
      <c r="AS286" s="4"/>
      <c r="AT286" s="4"/>
      <c r="AU286" s="4"/>
      <c r="AV286" s="4"/>
      <c r="AW286" s="4"/>
      <c r="AX286" s="4"/>
      <c r="AY286" s="4"/>
      <c r="AZ286" s="4"/>
      <c r="BA286" s="4"/>
      <c r="BB286" s="4"/>
      <c r="BC286" s="4"/>
      <c r="BD286" s="4"/>
      <c r="BE286" s="4"/>
      <c r="BF286" s="4"/>
    </row>
    <row r="287" spans="1:58">
      <c r="A287" s="4"/>
      <c r="B287" s="3"/>
      <c r="C287" s="3"/>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5"/>
      <c r="AR287" s="4"/>
      <c r="AS287" s="4"/>
      <c r="AT287" s="4"/>
      <c r="AU287" s="4"/>
      <c r="AV287" s="4"/>
      <c r="AW287" s="4"/>
      <c r="AX287" s="4"/>
      <c r="AY287" s="4"/>
      <c r="AZ287" s="4"/>
      <c r="BA287" s="4"/>
      <c r="BB287" s="4"/>
      <c r="BC287" s="4"/>
      <c r="BD287" s="4"/>
      <c r="BE287" s="4"/>
      <c r="BF287" s="4"/>
    </row>
    <row r="288" spans="1:58">
      <c r="A288" s="4"/>
      <c r="B288" s="3"/>
      <c r="C288" s="3"/>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5"/>
      <c r="AR288" s="4"/>
      <c r="AS288" s="4"/>
      <c r="AT288" s="4"/>
      <c r="AU288" s="4"/>
      <c r="AV288" s="4"/>
      <c r="AW288" s="4"/>
      <c r="AX288" s="4"/>
      <c r="AY288" s="4"/>
      <c r="AZ288" s="4"/>
      <c r="BA288" s="4"/>
      <c r="BB288" s="4"/>
      <c r="BC288" s="4"/>
      <c r="BD288" s="4"/>
      <c r="BE288" s="4"/>
      <c r="BF288" s="4"/>
    </row>
    <row r="289" spans="1:58">
      <c r="A289" s="4"/>
      <c r="B289" s="3"/>
      <c r="C289" s="3"/>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5"/>
      <c r="AR289" s="4"/>
      <c r="AS289" s="4"/>
      <c r="AT289" s="4"/>
      <c r="AU289" s="4"/>
      <c r="AV289" s="4"/>
      <c r="AW289" s="4"/>
      <c r="AX289" s="4"/>
      <c r="AY289" s="4"/>
      <c r="AZ289" s="4"/>
      <c r="BA289" s="4"/>
      <c r="BB289" s="4"/>
      <c r="BC289" s="4"/>
      <c r="BD289" s="4"/>
      <c r="BE289" s="4"/>
      <c r="BF289" s="4"/>
    </row>
    <row r="290" spans="1:58">
      <c r="A290" s="4"/>
      <c r="B290" s="3"/>
      <c r="C290" s="3"/>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5"/>
      <c r="AR290" s="4"/>
      <c r="AS290" s="4"/>
      <c r="AT290" s="4"/>
      <c r="AU290" s="4"/>
      <c r="AV290" s="4"/>
      <c r="AW290" s="4"/>
      <c r="AX290" s="4"/>
      <c r="AY290" s="4"/>
      <c r="AZ290" s="4"/>
      <c r="BA290" s="4"/>
      <c r="BB290" s="4"/>
      <c r="BC290" s="4"/>
      <c r="BD290" s="4"/>
      <c r="BE290" s="4"/>
      <c r="BF290" s="4"/>
    </row>
    <row r="291" spans="1:58">
      <c r="A291" s="4"/>
      <c r="B291" s="3"/>
      <c r="C291" s="3"/>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5"/>
      <c r="AR291" s="4"/>
      <c r="AS291" s="4"/>
      <c r="AT291" s="4"/>
      <c r="AU291" s="4"/>
      <c r="AV291" s="4"/>
      <c r="AW291" s="4"/>
      <c r="AX291" s="4"/>
      <c r="AY291" s="4"/>
      <c r="AZ291" s="4"/>
      <c r="BA291" s="4"/>
      <c r="BB291" s="4"/>
      <c r="BC291" s="4"/>
      <c r="BD291" s="4"/>
      <c r="BE291" s="4"/>
      <c r="BF291" s="4"/>
    </row>
    <row r="292" spans="1:58">
      <c r="A292" s="4"/>
      <c r="B292" s="3"/>
      <c r="C292" s="3"/>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5"/>
      <c r="AR292" s="4"/>
      <c r="AS292" s="4"/>
      <c r="AT292" s="4"/>
      <c r="AU292" s="4"/>
      <c r="AV292" s="4"/>
      <c r="AW292" s="4"/>
      <c r="AX292" s="4"/>
      <c r="AY292" s="4"/>
      <c r="AZ292" s="4"/>
      <c r="BA292" s="4"/>
      <c r="BB292" s="4"/>
      <c r="BC292" s="4"/>
      <c r="BD292" s="4"/>
      <c r="BE292" s="4"/>
      <c r="BF292" s="4"/>
    </row>
    <row r="293" spans="1:58">
      <c r="A293" s="4"/>
      <c r="B293" s="3"/>
      <c r="C293" s="3"/>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5"/>
      <c r="AR293" s="4"/>
      <c r="AS293" s="4"/>
      <c r="AT293" s="4"/>
      <c r="AU293" s="4"/>
      <c r="AV293" s="4"/>
      <c r="AW293" s="4"/>
      <c r="AX293" s="4"/>
      <c r="AY293" s="4"/>
      <c r="AZ293" s="4"/>
      <c r="BA293" s="4"/>
      <c r="BB293" s="4"/>
      <c r="BC293" s="4"/>
      <c r="BD293" s="4"/>
      <c r="BE293" s="4"/>
      <c r="BF293" s="4"/>
    </row>
    <row r="294" spans="1:58">
      <c r="A294" s="4"/>
      <c r="B294" s="3"/>
      <c r="C294" s="3"/>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5"/>
      <c r="AR294" s="4"/>
      <c r="AS294" s="4"/>
      <c r="AT294" s="4"/>
      <c r="AU294" s="4"/>
      <c r="AV294" s="4"/>
      <c r="AW294" s="4"/>
      <c r="AX294" s="4"/>
      <c r="AY294" s="4"/>
      <c r="AZ294" s="4"/>
      <c r="BA294" s="4"/>
      <c r="BB294" s="4"/>
      <c r="BC294" s="4"/>
      <c r="BD294" s="4"/>
      <c r="BE294" s="4"/>
      <c r="BF294" s="4"/>
    </row>
    <row r="295" spans="1:58">
      <c r="A295" s="4"/>
      <c r="B295" s="3"/>
      <c r="C295" s="3"/>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5"/>
      <c r="AR295" s="4"/>
      <c r="AS295" s="4"/>
      <c r="AT295" s="4"/>
      <c r="AU295" s="4"/>
      <c r="AV295" s="4"/>
      <c r="AW295" s="4"/>
      <c r="AX295" s="4"/>
      <c r="AY295" s="4"/>
      <c r="AZ295" s="4"/>
      <c r="BA295" s="4"/>
      <c r="BB295" s="4"/>
      <c r="BC295" s="4"/>
      <c r="BD295" s="4"/>
      <c r="BE295" s="4"/>
      <c r="BF295" s="4"/>
    </row>
    <row r="296" spans="1:58">
      <c r="A296" s="4"/>
      <c r="B296" s="3"/>
      <c r="C296" s="3"/>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5"/>
      <c r="AR296" s="4"/>
      <c r="AS296" s="4"/>
      <c r="AT296" s="4"/>
      <c r="AU296" s="4"/>
      <c r="AV296" s="4"/>
      <c r="AW296" s="4"/>
      <c r="AX296" s="4"/>
      <c r="AY296" s="4"/>
      <c r="AZ296" s="4"/>
      <c r="BA296" s="4"/>
      <c r="BB296" s="4"/>
      <c r="BC296" s="4"/>
      <c r="BD296" s="4"/>
      <c r="BE296" s="4"/>
      <c r="BF296" s="4"/>
    </row>
    <row r="297" spans="1:58">
      <c r="A297" s="4"/>
      <c r="B297" s="3"/>
      <c r="C297" s="3"/>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5"/>
      <c r="AR297" s="4"/>
      <c r="AS297" s="4"/>
      <c r="AT297" s="4"/>
      <c r="AU297" s="4"/>
      <c r="AV297" s="4"/>
      <c r="AW297" s="4"/>
      <c r="AX297" s="4"/>
      <c r="AY297" s="4"/>
      <c r="AZ297" s="4"/>
      <c r="BA297" s="4"/>
      <c r="BB297" s="4"/>
      <c r="BC297" s="4"/>
      <c r="BD297" s="4"/>
      <c r="BE297" s="4"/>
      <c r="BF297" s="4"/>
    </row>
    <row r="298" spans="1:58">
      <c r="A298" s="4"/>
      <c r="B298" s="3"/>
      <c r="C298" s="3"/>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5"/>
      <c r="AR298" s="4"/>
      <c r="AS298" s="4"/>
      <c r="AT298" s="4"/>
      <c r="AU298" s="4"/>
      <c r="AV298" s="4"/>
      <c r="AW298" s="4"/>
      <c r="AX298" s="4"/>
      <c r="AY298" s="4"/>
      <c r="AZ298" s="4"/>
      <c r="BA298" s="4"/>
      <c r="BB298" s="4"/>
      <c r="BC298" s="4"/>
      <c r="BD298" s="4"/>
      <c r="BE298" s="4"/>
      <c r="BF298" s="4"/>
    </row>
    <row r="299" spans="1:58">
      <c r="A299" s="4"/>
      <c r="B299" s="3"/>
      <c r="C299" s="3"/>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5"/>
      <c r="AR299" s="4"/>
      <c r="AS299" s="4"/>
      <c r="AT299" s="4"/>
      <c r="AU299" s="4"/>
      <c r="AV299" s="4"/>
      <c r="AW299" s="4"/>
      <c r="AX299" s="4"/>
      <c r="AY299" s="4"/>
      <c r="AZ299" s="4"/>
      <c r="BA299" s="4"/>
      <c r="BB299" s="4"/>
      <c r="BC299" s="4"/>
      <c r="BD299" s="4"/>
      <c r="BE299" s="4"/>
      <c r="BF299" s="4"/>
    </row>
    <row r="300" spans="1:58">
      <c r="A300" s="4"/>
      <c r="B300" s="3"/>
      <c r="C300" s="3"/>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5"/>
      <c r="AR300" s="4"/>
      <c r="AS300" s="4"/>
      <c r="AT300" s="4"/>
      <c r="AU300" s="4"/>
      <c r="AV300" s="4"/>
      <c r="AW300" s="4"/>
      <c r="AX300" s="4"/>
      <c r="AY300" s="4"/>
      <c r="AZ300" s="4"/>
      <c r="BA300" s="4"/>
      <c r="BB300" s="4"/>
      <c r="BC300" s="4"/>
      <c r="BD300" s="4"/>
      <c r="BE300" s="4"/>
      <c r="BF300" s="4"/>
    </row>
    <row r="301" spans="1:58">
      <c r="A301" s="4"/>
      <c r="B301" s="3"/>
      <c r="C301" s="3"/>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5"/>
      <c r="AR301" s="4"/>
      <c r="AS301" s="4"/>
      <c r="AT301" s="4"/>
      <c r="AU301" s="4"/>
      <c r="AV301" s="4"/>
      <c r="AW301" s="4"/>
      <c r="AX301" s="4"/>
      <c r="AY301" s="4"/>
      <c r="AZ301" s="4"/>
      <c r="BA301" s="4"/>
      <c r="BB301" s="4"/>
      <c r="BC301" s="4"/>
      <c r="BD301" s="4"/>
      <c r="BE301" s="4"/>
      <c r="BF301" s="4"/>
    </row>
    <row r="302" spans="1:58">
      <c r="A302" s="4"/>
      <c r="B302" s="3"/>
      <c r="C302" s="3"/>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5"/>
      <c r="AR302" s="4"/>
      <c r="AS302" s="4"/>
      <c r="AT302" s="4"/>
      <c r="AU302" s="4"/>
      <c r="AV302" s="4"/>
      <c r="AW302" s="4"/>
      <c r="AX302" s="4"/>
      <c r="AY302" s="4"/>
      <c r="AZ302" s="4"/>
      <c r="BA302" s="4"/>
      <c r="BB302" s="4"/>
      <c r="BC302" s="4"/>
      <c r="BD302" s="4"/>
      <c r="BE302" s="4"/>
      <c r="BF302" s="4"/>
    </row>
    <row r="303" spans="1:58">
      <c r="A303" s="4"/>
      <c r="B303" s="3"/>
      <c r="C303" s="3"/>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5"/>
      <c r="AR303" s="4"/>
      <c r="AS303" s="4"/>
      <c r="AT303" s="4"/>
      <c r="AU303" s="4"/>
      <c r="AV303" s="4"/>
      <c r="AW303" s="4"/>
      <c r="AX303" s="4"/>
      <c r="AY303" s="4"/>
      <c r="AZ303" s="4"/>
      <c r="BA303" s="4"/>
      <c r="BB303" s="4"/>
      <c r="BC303" s="4"/>
      <c r="BD303" s="4"/>
      <c r="BE303" s="4"/>
      <c r="BF303" s="4"/>
    </row>
    <row r="304" spans="1:58">
      <c r="A304" s="4"/>
      <c r="B304" s="3"/>
      <c r="C304" s="3"/>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5"/>
      <c r="AR304" s="4"/>
      <c r="AS304" s="4"/>
      <c r="AT304" s="4"/>
      <c r="AU304" s="4"/>
      <c r="AV304" s="4"/>
      <c r="AW304" s="4"/>
      <c r="AX304" s="4"/>
      <c r="AY304" s="4"/>
      <c r="AZ304" s="4"/>
      <c r="BA304" s="4"/>
      <c r="BB304" s="4"/>
      <c r="BC304" s="4"/>
      <c r="BD304" s="4"/>
      <c r="BE304" s="4"/>
      <c r="BF304" s="4"/>
    </row>
    <row r="305" spans="1:58">
      <c r="A305" s="4"/>
      <c r="B305" s="3"/>
      <c r="C305" s="3"/>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5"/>
      <c r="AR305" s="4"/>
      <c r="AS305" s="4"/>
      <c r="AT305" s="4"/>
      <c r="AU305" s="4"/>
      <c r="AV305" s="4"/>
      <c r="AW305" s="4"/>
      <c r="AX305" s="4"/>
      <c r="AY305" s="4"/>
      <c r="AZ305" s="4"/>
      <c r="BA305" s="4"/>
      <c r="BB305" s="4"/>
      <c r="BC305" s="4"/>
      <c r="BD305" s="4"/>
      <c r="BE305" s="4"/>
      <c r="BF305" s="4"/>
    </row>
    <row r="306" spans="1:58">
      <c r="A306" s="4"/>
      <c r="B306" s="3"/>
      <c r="C306" s="3"/>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5"/>
      <c r="AR306" s="4"/>
      <c r="AS306" s="4"/>
      <c r="AT306" s="4"/>
      <c r="AU306" s="4"/>
      <c r="AV306" s="4"/>
      <c r="AW306" s="4"/>
      <c r="AX306" s="4"/>
      <c r="AY306" s="4"/>
      <c r="AZ306" s="4"/>
      <c r="BA306" s="4"/>
      <c r="BB306" s="4"/>
      <c r="BC306" s="4"/>
      <c r="BD306" s="4"/>
      <c r="BE306" s="4"/>
      <c r="BF306" s="4"/>
    </row>
    <row r="307" spans="1:58">
      <c r="A307" s="4"/>
      <c r="B307" s="3"/>
      <c r="C307" s="3"/>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5"/>
      <c r="AR307" s="4"/>
      <c r="AS307" s="4"/>
      <c r="AT307" s="4"/>
      <c r="AU307" s="4"/>
      <c r="AV307" s="4"/>
      <c r="AW307" s="4"/>
      <c r="AX307" s="4"/>
      <c r="AY307" s="4"/>
      <c r="AZ307" s="4"/>
      <c r="BA307" s="4"/>
      <c r="BB307" s="4"/>
      <c r="BC307" s="4"/>
      <c r="BD307" s="4"/>
      <c r="BE307" s="4"/>
      <c r="BF307" s="4"/>
    </row>
    <row r="308" spans="1:58">
      <c r="A308" s="4"/>
      <c r="B308" s="3"/>
      <c r="C308" s="3"/>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5"/>
      <c r="AR308" s="4"/>
      <c r="AS308" s="4"/>
      <c r="AT308" s="4"/>
      <c r="AU308" s="4"/>
      <c r="AV308" s="4"/>
      <c r="AW308" s="4"/>
      <c r="AX308" s="4"/>
      <c r="AY308" s="4"/>
      <c r="AZ308" s="4"/>
      <c r="BA308" s="4"/>
      <c r="BB308" s="4"/>
      <c r="BC308" s="4"/>
      <c r="BD308" s="4"/>
      <c r="BE308" s="4"/>
      <c r="BF308" s="4"/>
    </row>
    <row r="309" spans="1:58">
      <c r="A309" s="4"/>
      <c r="B309" s="3"/>
      <c r="C309" s="3"/>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5"/>
      <c r="AR309" s="4"/>
      <c r="AS309" s="4"/>
      <c r="AT309" s="4"/>
      <c r="AU309" s="4"/>
      <c r="AV309" s="4"/>
      <c r="AW309" s="4"/>
      <c r="AX309" s="4"/>
      <c r="AY309" s="4"/>
      <c r="AZ309" s="4"/>
      <c r="BA309" s="4"/>
      <c r="BB309" s="4"/>
      <c r="BC309" s="4"/>
      <c r="BD309" s="4"/>
      <c r="BE309" s="4"/>
      <c r="BF309" s="4"/>
    </row>
    <row r="310" spans="1:58">
      <c r="A310" s="4"/>
      <c r="B310" s="3"/>
      <c r="C310" s="3"/>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5"/>
      <c r="AR310" s="4"/>
      <c r="AS310" s="4"/>
      <c r="AT310" s="4"/>
      <c r="AU310" s="4"/>
      <c r="AV310" s="4"/>
      <c r="AW310" s="4"/>
      <c r="AX310" s="4"/>
      <c r="AY310" s="4"/>
      <c r="AZ310" s="4"/>
      <c r="BA310" s="4"/>
      <c r="BB310" s="4"/>
      <c r="BC310" s="4"/>
      <c r="BD310" s="4"/>
      <c r="BE310" s="4"/>
      <c r="BF310" s="4"/>
    </row>
    <row r="311" spans="1:58">
      <c r="A311" s="4"/>
      <c r="B311" s="3"/>
      <c r="C311" s="3"/>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5"/>
      <c r="AR311" s="4"/>
      <c r="AS311" s="4"/>
      <c r="AT311" s="4"/>
      <c r="AU311" s="4"/>
      <c r="AV311" s="4"/>
      <c r="AW311" s="4"/>
      <c r="AX311" s="4"/>
      <c r="AY311" s="4"/>
      <c r="AZ311" s="4"/>
      <c r="BA311" s="4"/>
      <c r="BB311" s="4"/>
      <c r="BC311" s="4"/>
      <c r="BD311" s="4"/>
      <c r="BE311" s="4"/>
      <c r="BF311" s="4"/>
    </row>
    <row r="312" spans="1:58">
      <c r="A312" s="4"/>
      <c r="B312" s="3"/>
      <c r="C312" s="3"/>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5"/>
      <c r="AR312" s="4"/>
      <c r="AS312" s="4"/>
      <c r="AT312" s="4"/>
      <c r="AU312" s="4"/>
      <c r="AV312" s="4"/>
      <c r="AW312" s="4"/>
      <c r="AX312" s="4"/>
      <c r="AY312" s="4"/>
      <c r="AZ312" s="4"/>
      <c r="BA312" s="4"/>
      <c r="BB312" s="4"/>
      <c r="BC312" s="4"/>
      <c r="BD312" s="4"/>
      <c r="BE312" s="4"/>
      <c r="BF312" s="4"/>
    </row>
    <row r="313" spans="1:58">
      <c r="A313" s="4"/>
      <c r="B313" s="3"/>
      <c r="C313" s="3"/>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5"/>
      <c r="AR313" s="4"/>
      <c r="AS313" s="4"/>
      <c r="AT313" s="4"/>
      <c r="AU313" s="4"/>
      <c r="AV313" s="4"/>
      <c r="AW313" s="4"/>
      <c r="AX313" s="4"/>
      <c r="AY313" s="4"/>
      <c r="AZ313" s="4"/>
      <c r="BA313" s="4"/>
      <c r="BB313" s="4"/>
      <c r="BC313" s="4"/>
      <c r="BD313" s="4"/>
      <c r="BE313" s="4"/>
      <c r="BF313" s="4"/>
    </row>
    <row r="314" spans="1:58">
      <c r="A314" s="4"/>
      <c r="B314" s="3"/>
      <c r="C314" s="3"/>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5"/>
      <c r="AR314" s="4"/>
      <c r="AS314" s="4"/>
      <c r="AT314" s="4"/>
      <c r="AU314" s="4"/>
      <c r="AV314" s="4"/>
      <c r="AW314" s="4"/>
      <c r="AX314" s="4"/>
      <c r="AY314" s="4"/>
      <c r="AZ314" s="4"/>
      <c r="BA314" s="4"/>
      <c r="BB314" s="4"/>
      <c r="BC314" s="4"/>
      <c r="BD314" s="4"/>
      <c r="BE314" s="4"/>
      <c r="BF314" s="4"/>
    </row>
    <row r="315" spans="1:58">
      <c r="A315" s="4"/>
      <c r="B315" s="3"/>
      <c r="C315" s="3"/>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5"/>
      <c r="AR315" s="4"/>
      <c r="AS315" s="4"/>
      <c r="AT315" s="4"/>
      <c r="AU315" s="4"/>
      <c r="AV315" s="4"/>
      <c r="AW315" s="4"/>
      <c r="AX315" s="4"/>
      <c r="AY315" s="4"/>
      <c r="AZ315" s="4"/>
      <c r="BA315" s="4"/>
      <c r="BB315" s="4"/>
      <c r="BC315" s="4"/>
      <c r="BD315" s="4"/>
      <c r="BE315" s="4"/>
      <c r="BF315" s="4"/>
    </row>
    <row r="316" spans="1:58">
      <c r="A316" s="4"/>
      <c r="B316" s="3"/>
      <c r="C316" s="3"/>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5"/>
      <c r="AR316" s="4"/>
      <c r="AS316" s="4"/>
      <c r="AT316" s="4"/>
      <c r="AU316" s="4"/>
      <c r="AV316" s="4"/>
      <c r="AW316" s="4"/>
      <c r="AX316" s="4"/>
      <c r="AY316" s="4"/>
      <c r="AZ316" s="4"/>
      <c r="BA316" s="4"/>
      <c r="BB316" s="4"/>
      <c r="BC316" s="4"/>
      <c r="BD316" s="4"/>
      <c r="BE316" s="4"/>
      <c r="BF316" s="4"/>
    </row>
    <row r="317" spans="1:58">
      <c r="A317" s="4"/>
      <c r="B317" s="3"/>
      <c r="C317" s="3"/>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5"/>
      <c r="AR317" s="4"/>
      <c r="AS317" s="4"/>
      <c r="AT317" s="4"/>
      <c r="AU317" s="4"/>
      <c r="AV317" s="4"/>
      <c r="AW317" s="4"/>
      <c r="AX317" s="4"/>
      <c r="AY317" s="4"/>
      <c r="AZ317" s="4"/>
      <c r="BA317" s="4"/>
      <c r="BB317" s="4"/>
      <c r="BC317" s="4"/>
      <c r="BD317" s="4"/>
      <c r="BE317" s="4"/>
      <c r="BF317" s="4"/>
    </row>
    <row r="318" spans="1:58">
      <c r="A318" s="4"/>
      <c r="B318" s="3"/>
      <c r="C318" s="3"/>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5"/>
      <c r="AR318" s="4"/>
      <c r="AS318" s="4"/>
      <c r="AT318" s="4"/>
      <c r="AU318" s="4"/>
      <c r="AV318" s="4"/>
      <c r="AW318" s="4"/>
      <c r="AX318" s="4"/>
      <c r="AY318" s="4"/>
      <c r="AZ318" s="4"/>
      <c r="BA318" s="4"/>
      <c r="BB318" s="4"/>
      <c r="BC318" s="4"/>
      <c r="BD318" s="4"/>
      <c r="BE318" s="4"/>
      <c r="BF318" s="4"/>
    </row>
    <row r="319" spans="1:58">
      <c r="A319" s="4"/>
      <c r="B319" s="3"/>
      <c r="C319" s="3"/>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5"/>
      <c r="AR319" s="4"/>
      <c r="AS319" s="4"/>
      <c r="AT319" s="4"/>
      <c r="AU319" s="4"/>
      <c r="AV319" s="4"/>
      <c r="AW319" s="4"/>
      <c r="AX319" s="4"/>
      <c r="AY319" s="4"/>
      <c r="AZ319" s="4"/>
      <c r="BA319" s="4"/>
      <c r="BB319" s="4"/>
      <c r="BC319" s="4"/>
      <c r="BD319" s="4"/>
      <c r="BE319" s="4"/>
      <c r="BF319" s="4"/>
    </row>
    <row r="320" spans="1:58">
      <c r="A320" s="4"/>
      <c r="B320" s="3"/>
      <c r="C320" s="3"/>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5"/>
      <c r="AR320" s="4"/>
      <c r="AS320" s="4"/>
      <c r="AT320" s="4"/>
      <c r="AU320" s="4"/>
      <c r="AV320" s="4"/>
      <c r="AW320" s="4"/>
      <c r="AX320" s="4"/>
      <c r="AY320" s="4"/>
      <c r="AZ320" s="4"/>
      <c r="BA320" s="4"/>
      <c r="BB320" s="4"/>
      <c r="BC320" s="4"/>
      <c r="BD320" s="4"/>
      <c r="BE320" s="4"/>
      <c r="BF320" s="4"/>
    </row>
    <row r="321" spans="1:58">
      <c r="A321" s="4"/>
      <c r="B321" s="3"/>
      <c r="C321" s="3"/>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5"/>
      <c r="AR321" s="4"/>
      <c r="AS321" s="4"/>
      <c r="AT321" s="4"/>
      <c r="AU321" s="4"/>
      <c r="AV321" s="4"/>
      <c r="AW321" s="4"/>
      <c r="AX321" s="4"/>
      <c r="AY321" s="4"/>
      <c r="AZ321" s="4"/>
      <c r="BA321" s="4"/>
      <c r="BB321" s="4"/>
      <c r="BC321" s="4"/>
      <c r="BD321" s="4"/>
      <c r="BE321" s="4"/>
      <c r="BF321" s="4"/>
    </row>
    <row r="322" spans="1:58">
      <c r="A322" s="4"/>
      <c r="B322" s="3"/>
      <c r="C322" s="3"/>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5"/>
      <c r="AR322" s="4"/>
      <c r="AS322" s="4"/>
      <c r="AT322" s="4"/>
      <c r="AU322" s="4"/>
      <c r="AV322" s="4"/>
      <c r="AW322" s="4"/>
      <c r="AX322" s="4"/>
      <c r="AY322" s="4"/>
      <c r="AZ322" s="4"/>
      <c r="BA322" s="4"/>
      <c r="BB322" s="4"/>
      <c r="BC322" s="4"/>
      <c r="BD322" s="4"/>
      <c r="BE322" s="4"/>
      <c r="BF322" s="4"/>
    </row>
    <row r="323" spans="1:58">
      <c r="A323" s="4"/>
      <c r="B323" s="3"/>
      <c r="C323" s="3"/>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5"/>
      <c r="AR323" s="4"/>
      <c r="AS323" s="4"/>
      <c r="AT323" s="4"/>
      <c r="AU323" s="4"/>
      <c r="AV323" s="4"/>
      <c r="AW323" s="4"/>
      <c r="AX323" s="4"/>
      <c r="AY323" s="4"/>
      <c r="AZ323" s="4"/>
      <c r="BA323" s="4"/>
      <c r="BB323" s="4"/>
      <c r="BC323" s="4"/>
      <c r="BD323" s="4"/>
      <c r="BE323" s="4"/>
      <c r="BF323" s="4"/>
    </row>
    <row r="324" spans="1:58">
      <c r="A324" s="4"/>
      <c r="B324" s="3"/>
      <c r="C324" s="3"/>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5"/>
      <c r="AR324" s="4"/>
      <c r="AS324" s="4"/>
      <c r="AT324" s="4"/>
      <c r="AU324" s="4"/>
      <c r="AV324" s="4"/>
      <c r="AW324" s="4"/>
      <c r="AX324" s="4"/>
      <c r="AY324" s="4"/>
      <c r="AZ324" s="4"/>
      <c r="BA324" s="4"/>
      <c r="BB324" s="4"/>
      <c r="BC324" s="4"/>
      <c r="BD324" s="4"/>
      <c r="BE324" s="4"/>
      <c r="BF324" s="4"/>
    </row>
    <row r="325" spans="1:58">
      <c r="A325" s="4"/>
      <c r="B325" s="3"/>
      <c r="C325" s="3"/>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5"/>
      <c r="AR325" s="4"/>
      <c r="AS325" s="4"/>
      <c r="AT325" s="4"/>
      <c r="AU325" s="4"/>
      <c r="AV325" s="4"/>
      <c r="AW325" s="4"/>
      <c r="AX325" s="4"/>
      <c r="AY325" s="4"/>
      <c r="AZ325" s="4"/>
      <c r="BA325" s="4"/>
      <c r="BB325" s="4"/>
      <c r="BC325" s="4"/>
      <c r="BD325" s="4"/>
      <c r="BE325" s="4"/>
      <c r="BF325" s="4"/>
    </row>
    <row r="326" spans="1:58">
      <c r="A326" s="4"/>
      <c r="B326" s="3"/>
      <c r="C326" s="3"/>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5"/>
      <c r="AR326" s="4"/>
      <c r="AS326" s="4"/>
      <c r="AT326" s="4"/>
      <c r="AU326" s="4"/>
      <c r="AV326" s="4"/>
      <c r="AW326" s="4"/>
      <c r="AX326" s="4"/>
      <c r="AY326" s="4"/>
      <c r="AZ326" s="4"/>
      <c r="BA326" s="4"/>
      <c r="BB326" s="4"/>
      <c r="BC326" s="4"/>
      <c r="BD326" s="4"/>
      <c r="BE326" s="4"/>
      <c r="BF326" s="4"/>
    </row>
    <row r="327" spans="1:58">
      <c r="A327" s="4"/>
      <c r="B327" s="3"/>
      <c r="C327" s="3"/>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5"/>
      <c r="AR327" s="4"/>
      <c r="AS327" s="4"/>
      <c r="AT327" s="4"/>
      <c r="AU327" s="4"/>
      <c r="AV327" s="4"/>
      <c r="AW327" s="4"/>
      <c r="AX327" s="4"/>
      <c r="AY327" s="4"/>
      <c r="AZ327" s="4"/>
      <c r="BA327" s="4"/>
      <c r="BB327" s="4"/>
      <c r="BC327" s="4"/>
      <c r="BD327" s="4"/>
      <c r="BE327" s="4"/>
      <c r="BF327" s="4"/>
    </row>
    <row r="328" spans="1:58">
      <c r="A328" s="4"/>
      <c r="B328" s="3"/>
      <c r="C328" s="3"/>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5"/>
      <c r="AR328" s="4"/>
      <c r="AS328" s="4"/>
      <c r="AT328" s="4"/>
      <c r="AU328" s="4"/>
      <c r="AV328" s="4"/>
      <c r="AW328" s="4"/>
      <c r="AX328" s="4"/>
      <c r="AY328" s="4"/>
      <c r="AZ328" s="4"/>
      <c r="BA328" s="4"/>
      <c r="BB328" s="4"/>
      <c r="BC328" s="4"/>
      <c r="BD328" s="4"/>
      <c r="BE328" s="4"/>
      <c r="BF328" s="4"/>
    </row>
    <row r="329" spans="1:58">
      <c r="A329" s="4"/>
      <c r="B329" s="3"/>
      <c r="C329" s="3"/>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5"/>
      <c r="AR329" s="4"/>
      <c r="AS329" s="4"/>
      <c r="AT329" s="4"/>
      <c r="AU329" s="4"/>
      <c r="AV329" s="4"/>
      <c r="AW329" s="4"/>
      <c r="AX329" s="4"/>
      <c r="AY329" s="4"/>
      <c r="AZ329" s="4"/>
      <c r="BA329" s="4"/>
      <c r="BB329" s="4"/>
      <c r="BC329" s="4"/>
      <c r="BD329" s="4"/>
      <c r="BE329" s="4"/>
      <c r="BF329" s="4"/>
    </row>
    <row r="330" spans="1:58">
      <c r="A330" s="4"/>
      <c r="B330" s="3"/>
      <c r="C330" s="3"/>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5"/>
      <c r="AR330" s="4"/>
      <c r="AS330" s="4"/>
      <c r="AT330" s="4"/>
      <c r="AU330" s="4"/>
      <c r="AV330" s="4"/>
      <c r="AW330" s="4"/>
      <c r="AX330" s="4"/>
      <c r="AY330" s="4"/>
      <c r="AZ330" s="4"/>
      <c r="BA330" s="4"/>
      <c r="BB330" s="4"/>
      <c r="BC330" s="4"/>
      <c r="BD330" s="4"/>
      <c r="BE330" s="4"/>
      <c r="BF330" s="4"/>
    </row>
    <row r="331" spans="1:58">
      <c r="A331" s="4"/>
      <c r="B331" s="3"/>
      <c r="C331" s="3"/>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5"/>
      <c r="AR331" s="4"/>
      <c r="AS331" s="4"/>
      <c r="AT331" s="4"/>
      <c r="AU331" s="4"/>
      <c r="AV331" s="4"/>
      <c r="AW331" s="4"/>
      <c r="AX331" s="4"/>
      <c r="AY331" s="4"/>
      <c r="AZ331" s="4"/>
      <c r="BA331" s="4"/>
      <c r="BB331" s="4"/>
      <c r="BC331" s="4"/>
      <c r="BD331" s="4"/>
      <c r="BE331" s="4"/>
      <c r="BF331" s="4"/>
    </row>
    <row r="332" spans="1:58">
      <c r="A332" s="4"/>
      <c r="B332" s="3"/>
      <c r="C332" s="3"/>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5"/>
      <c r="AR332" s="4"/>
      <c r="AS332" s="4"/>
      <c r="AT332" s="4"/>
      <c r="AU332" s="4"/>
      <c r="AV332" s="4"/>
      <c r="AW332" s="4"/>
      <c r="AX332" s="4"/>
      <c r="AY332" s="4"/>
      <c r="AZ332" s="4"/>
      <c r="BA332" s="4"/>
      <c r="BB332" s="4"/>
      <c r="BC332" s="4"/>
      <c r="BD332" s="4"/>
      <c r="BE332" s="4"/>
      <c r="BF332" s="4"/>
    </row>
    <row r="333" spans="1:58">
      <c r="A333" s="4"/>
      <c r="B333" s="3"/>
      <c r="C333" s="3"/>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5"/>
      <c r="AR333" s="4"/>
      <c r="AS333" s="4"/>
      <c r="AT333" s="4"/>
      <c r="AU333" s="4"/>
      <c r="AV333" s="4"/>
      <c r="AW333" s="4"/>
      <c r="AX333" s="4"/>
      <c r="AY333" s="4"/>
      <c r="AZ333" s="4"/>
      <c r="BA333" s="4"/>
      <c r="BB333" s="4"/>
      <c r="BC333" s="4"/>
      <c r="BD333" s="4"/>
      <c r="BE333" s="4"/>
      <c r="BF333" s="4"/>
    </row>
    <row r="334" spans="1:58">
      <c r="A334" s="4"/>
      <c r="B334" s="3"/>
      <c r="C334" s="3"/>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5"/>
      <c r="AR334" s="4"/>
      <c r="AS334" s="4"/>
      <c r="AT334" s="4"/>
      <c r="AU334" s="4"/>
      <c r="AV334" s="4"/>
      <c r="AW334" s="4"/>
      <c r="AX334" s="4"/>
      <c r="AY334" s="4"/>
      <c r="AZ334" s="4"/>
      <c r="BA334" s="4"/>
      <c r="BB334" s="4"/>
      <c r="BC334" s="4"/>
      <c r="BD334" s="4"/>
      <c r="BE334" s="4"/>
      <c r="BF334" s="4"/>
    </row>
    <row r="335" spans="1:58">
      <c r="A335" s="4"/>
      <c r="B335" s="3"/>
      <c r="C335" s="3"/>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5"/>
      <c r="AR335" s="4"/>
      <c r="AS335" s="4"/>
      <c r="AT335" s="4"/>
      <c r="AU335" s="4"/>
      <c r="AV335" s="4"/>
      <c r="AW335" s="4"/>
      <c r="AX335" s="4"/>
      <c r="AY335" s="4"/>
      <c r="AZ335" s="4"/>
      <c r="BA335" s="4"/>
      <c r="BB335" s="4"/>
      <c r="BC335" s="4"/>
      <c r="BD335" s="4"/>
      <c r="BE335" s="4"/>
      <c r="BF335" s="4"/>
    </row>
    <row r="336" spans="1:58">
      <c r="A336" s="4"/>
      <c r="B336" s="3"/>
      <c r="C336" s="3"/>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5"/>
      <c r="AR336" s="4"/>
      <c r="AS336" s="4"/>
      <c r="AT336" s="4"/>
      <c r="AU336" s="4"/>
      <c r="AV336" s="4"/>
      <c r="AW336" s="4"/>
      <c r="AX336" s="4"/>
      <c r="AY336" s="4"/>
      <c r="AZ336" s="4"/>
      <c r="BA336" s="4"/>
      <c r="BB336" s="4"/>
      <c r="BC336" s="4"/>
      <c r="BD336" s="4"/>
      <c r="BE336" s="4"/>
      <c r="BF336" s="4"/>
    </row>
    <row r="337" spans="1:58">
      <c r="A337" s="4"/>
      <c r="B337" s="3"/>
      <c r="C337" s="3"/>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5"/>
      <c r="AR337" s="4"/>
      <c r="AS337" s="4"/>
      <c r="AT337" s="4"/>
      <c r="AU337" s="4"/>
      <c r="AV337" s="4"/>
      <c r="AW337" s="4"/>
      <c r="AX337" s="4"/>
      <c r="AY337" s="4"/>
      <c r="AZ337" s="4"/>
      <c r="BA337" s="4"/>
      <c r="BB337" s="4"/>
      <c r="BC337" s="4"/>
      <c r="BD337" s="4"/>
      <c r="BE337" s="4"/>
      <c r="BF337" s="4"/>
    </row>
    <row r="338" spans="1:58">
      <c r="A338" s="4"/>
      <c r="B338" s="3"/>
      <c r="C338" s="3"/>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5"/>
      <c r="AR338" s="4"/>
      <c r="AS338" s="4"/>
      <c r="AT338" s="4"/>
      <c r="AU338" s="4"/>
      <c r="AV338" s="4"/>
      <c r="AW338" s="4"/>
      <c r="AX338" s="4"/>
      <c r="AY338" s="4"/>
      <c r="AZ338" s="4"/>
      <c r="BA338" s="4"/>
      <c r="BB338" s="4"/>
      <c r="BC338" s="4"/>
      <c r="BD338" s="4"/>
      <c r="BE338" s="4"/>
      <c r="BF338" s="4"/>
    </row>
    <row r="339" spans="1:58">
      <c r="A339" s="4"/>
      <c r="B339" s="3"/>
      <c r="C339" s="3"/>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5"/>
      <c r="AR339" s="4"/>
      <c r="AS339" s="4"/>
      <c r="AT339" s="4"/>
      <c r="AU339" s="4"/>
      <c r="AV339" s="4"/>
      <c r="AW339" s="4"/>
      <c r="AX339" s="4"/>
      <c r="AY339" s="4"/>
      <c r="AZ339" s="4"/>
      <c r="BA339" s="4"/>
      <c r="BB339" s="4"/>
      <c r="BC339" s="4"/>
      <c r="BD339" s="4"/>
      <c r="BE339" s="4"/>
      <c r="BF339" s="4"/>
    </row>
    <row r="340" spans="1:58">
      <c r="A340" s="4"/>
      <c r="B340" s="3"/>
      <c r="C340" s="3"/>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5"/>
      <c r="AR340" s="4"/>
      <c r="AS340" s="4"/>
      <c r="AT340" s="4"/>
      <c r="AU340" s="4"/>
      <c r="AV340" s="4"/>
      <c r="AW340" s="4"/>
      <c r="AX340" s="4"/>
      <c r="AY340" s="4"/>
      <c r="AZ340" s="4"/>
      <c r="BA340" s="4"/>
      <c r="BB340" s="4"/>
      <c r="BC340" s="4"/>
      <c r="BD340" s="4"/>
      <c r="BE340" s="4"/>
      <c r="BF340" s="4"/>
    </row>
    <row r="341" spans="1:58">
      <c r="A341" s="4"/>
      <c r="B341" s="3"/>
      <c r="C341" s="3"/>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5"/>
      <c r="AR341" s="4"/>
      <c r="AS341" s="4"/>
      <c r="AT341" s="4"/>
      <c r="AU341" s="4"/>
      <c r="AV341" s="4"/>
      <c r="AW341" s="4"/>
      <c r="AX341" s="4"/>
      <c r="AY341" s="4"/>
      <c r="AZ341" s="4"/>
      <c r="BA341" s="4"/>
      <c r="BB341" s="4"/>
      <c r="BC341" s="4"/>
      <c r="BD341" s="4"/>
      <c r="BE341" s="4"/>
      <c r="BF341" s="4"/>
    </row>
    <row r="342" spans="1:58">
      <c r="A342" s="4"/>
      <c r="B342" s="3"/>
      <c r="C342" s="3"/>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5"/>
      <c r="AR342" s="4"/>
      <c r="AS342" s="4"/>
      <c r="AT342" s="4"/>
      <c r="AU342" s="4"/>
      <c r="AV342" s="4"/>
      <c r="AW342" s="4"/>
      <c r="AX342" s="4"/>
      <c r="AY342" s="4"/>
      <c r="AZ342" s="4"/>
      <c r="BA342" s="4"/>
      <c r="BB342" s="4"/>
      <c r="BC342" s="4"/>
      <c r="BD342" s="4"/>
      <c r="BE342" s="4"/>
      <c r="BF342" s="4"/>
    </row>
    <row r="343" spans="1:58">
      <c r="A343" s="4"/>
      <c r="B343" s="3"/>
      <c r="C343" s="3"/>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5"/>
      <c r="AR343" s="4"/>
      <c r="AS343" s="4"/>
      <c r="AT343" s="4"/>
      <c r="AU343" s="4"/>
      <c r="AV343" s="4"/>
      <c r="AW343" s="4"/>
      <c r="AX343" s="4"/>
      <c r="AY343" s="4"/>
      <c r="AZ343" s="4"/>
      <c r="BA343" s="4"/>
      <c r="BB343" s="4"/>
      <c r="BC343" s="4"/>
      <c r="BD343" s="4"/>
      <c r="BE343" s="4"/>
      <c r="BF343" s="4"/>
    </row>
    <row r="344" spans="1:58">
      <c r="A344" s="4"/>
      <c r="B344" s="3"/>
      <c r="C344" s="3"/>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5"/>
      <c r="AR344" s="4"/>
      <c r="AS344" s="4"/>
      <c r="AT344" s="4"/>
      <c r="AU344" s="4"/>
      <c r="AV344" s="4"/>
      <c r="AW344" s="4"/>
      <c r="AX344" s="4"/>
      <c r="AY344" s="4"/>
      <c r="AZ344" s="4"/>
      <c r="BA344" s="4"/>
      <c r="BB344" s="4"/>
      <c r="BC344" s="4"/>
      <c r="BD344" s="4"/>
      <c r="BE344" s="4"/>
      <c r="BF344" s="4"/>
    </row>
    <row r="345" spans="1:58">
      <c r="A345" s="4"/>
      <c r="B345" s="3"/>
      <c r="C345" s="3"/>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5"/>
      <c r="AR345" s="4"/>
      <c r="AS345" s="4"/>
      <c r="AT345" s="4"/>
      <c r="AU345" s="4"/>
      <c r="AV345" s="4"/>
      <c r="AW345" s="4"/>
      <c r="AX345" s="4"/>
      <c r="AY345" s="4"/>
      <c r="AZ345" s="4"/>
      <c r="BA345" s="4"/>
      <c r="BB345" s="4"/>
      <c r="BC345" s="4"/>
      <c r="BD345" s="4"/>
      <c r="BE345" s="4"/>
      <c r="BF345" s="4"/>
    </row>
    <row r="346" spans="1:58">
      <c r="A346" s="4"/>
      <c r="B346" s="3"/>
      <c r="C346" s="3"/>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5"/>
      <c r="AR346" s="4"/>
      <c r="AS346" s="4"/>
      <c r="AT346" s="4"/>
      <c r="AU346" s="4"/>
      <c r="AV346" s="4"/>
      <c r="AW346" s="4"/>
      <c r="AX346" s="4"/>
      <c r="AY346" s="4"/>
      <c r="AZ346" s="4"/>
      <c r="BA346" s="4"/>
      <c r="BB346" s="4"/>
      <c r="BC346" s="4"/>
      <c r="BD346" s="4"/>
      <c r="BE346" s="4"/>
      <c r="BF346" s="4"/>
    </row>
    <row r="347" spans="1:58">
      <c r="A347" s="4"/>
      <c r="B347" s="3"/>
      <c r="C347" s="3"/>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5"/>
      <c r="AR347" s="4"/>
      <c r="AS347" s="4"/>
      <c r="AT347" s="4"/>
      <c r="AU347" s="4"/>
      <c r="AV347" s="4"/>
      <c r="AW347" s="4"/>
      <c r="AX347" s="4"/>
      <c r="AY347" s="4"/>
      <c r="AZ347" s="4"/>
      <c r="BA347" s="4"/>
      <c r="BB347" s="4"/>
      <c r="BC347" s="4"/>
      <c r="BD347" s="4"/>
      <c r="BE347" s="4"/>
      <c r="BF347" s="4"/>
    </row>
    <row r="348" spans="1:58">
      <c r="A348" s="4"/>
      <c r="B348" s="3"/>
      <c r="C348" s="3"/>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5"/>
      <c r="AR348" s="4"/>
      <c r="AS348" s="4"/>
      <c r="AT348" s="4"/>
      <c r="AU348" s="4"/>
      <c r="AV348" s="4"/>
      <c r="AW348" s="4"/>
      <c r="AX348" s="4"/>
      <c r="AY348" s="4"/>
      <c r="AZ348" s="4"/>
      <c r="BA348" s="4"/>
      <c r="BB348" s="4"/>
      <c r="BC348" s="4"/>
      <c r="BD348" s="4"/>
      <c r="BE348" s="4"/>
      <c r="BF348" s="4"/>
    </row>
    <row r="349" spans="1:58">
      <c r="A349" s="4"/>
      <c r="B349" s="3"/>
      <c r="C349" s="3"/>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5"/>
      <c r="AR349" s="4"/>
      <c r="AS349" s="4"/>
      <c r="AT349" s="4"/>
      <c r="AU349" s="4"/>
      <c r="AV349" s="4"/>
      <c r="AW349" s="4"/>
      <c r="AX349" s="4"/>
      <c r="AY349" s="4"/>
      <c r="AZ349" s="4"/>
      <c r="BA349" s="4"/>
      <c r="BB349" s="4"/>
      <c r="BC349" s="4"/>
      <c r="BD349" s="4"/>
      <c r="BE349" s="4"/>
      <c r="BF349" s="4"/>
    </row>
    <row r="350" spans="1:58">
      <c r="A350" s="4"/>
      <c r="B350" s="3"/>
      <c r="C350" s="3"/>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5"/>
      <c r="AR350" s="4"/>
      <c r="AS350" s="4"/>
      <c r="AT350" s="4"/>
      <c r="AU350" s="4"/>
      <c r="AV350" s="4"/>
      <c r="AW350" s="4"/>
      <c r="AX350" s="4"/>
      <c r="AY350" s="4"/>
      <c r="AZ350" s="4"/>
      <c r="BA350" s="4"/>
      <c r="BB350" s="4"/>
      <c r="BC350" s="4"/>
      <c r="BD350" s="4"/>
      <c r="BE350" s="4"/>
      <c r="BF350" s="4"/>
    </row>
    <row r="351" spans="1:58">
      <c r="A351" s="4"/>
      <c r="B351" s="3"/>
      <c r="C351" s="3"/>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5"/>
      <c r="AR351" s="4"/>
      <c r="AS351" s="4"/>
      <c r="AT351" s="4"/>
      <c r="AU351" s="4"/>
      <c r="AV351" s="4"/>
      <c r="AW351" s="4"/>
      <c r="AX351" s="4"/>
      <c r="AY351" s="4"/>
      <c r="AZ351" s="4"/>
      <c r="BA351" s="4"/>
      <c r="BB351" s="4"/>
      <c r="BC351" s="4"/>
      <c r="BD351" s="4"/>
      <c r="BE351" s="4"/>
      <c r="BF351" s="4"/>
    </row>
    <row r="352" spans="1:58">
      <c r="A352" s="4"/>
      <c r="B352" s="3"/>
      <c r="C352" s="3"/>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5"/>
      <c r="AR352" s="4"/>
      <c r="AS352" s="4"/>
      <c r="AT352" s="4"/>
      <c r="AU352" s="4"/>
      <c r="AV352" s="4"/>
      <c r="AW352" s="4"/>
      <c r="AX352" s="4"/>
      <c r="AY352" s="4"/>
      <c r="AZ352" s="4"/>
      <c r="BA352" s="4"/>
      <c r="BB352" s="4"/>
      <c r="BC352" s="4"/>
      <c r="BD352" s="4"/>
      <c r="BE352" s="4"/>
      <c r="BF352" s="4"/>
    </row>
    <row r="353" spans="1:58">
      <c r="A353" s="4"/>
      <c r="B353" s="3"/>
      <c r="C353" s="3"/>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5"/>
      <c r="AR353" s="4"/>
      <c r="AS353" s="4"/>
      <c r="AT353" s="4"/>
      <c r="AU353" s="4"/>
      <c r="AV353" s="4"/>
      <c r="AW353" s="4"/>
      <c r="AX353" s="4"/>
      <c r="AY353" s="4"/>
      <c r="AZ353" s="4"/>
      <c r="BA353" s="4"/>
      <c r="BB353" s="4"/>
      <c r="BC353" s="4"/>
      <c r="BD353" s="4"/>
      <c r="BE353" s="4"/>
      <c r="BF353" s="4"/>
    </row>
    <row r="354" spans="1:58">
      <c r="A354" s="4"/>
      <c r="B354" s="3"/>
      <c r="C354" s="3"/>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5"/>
      <c r="AR354" s="4"/>
      <c r="AS354" s="4"/>
      <c r="AT354" s="4"/>
      <c r="AU354" s="4"/>
      <c r="AV354" s="4"/>
      <c r="AW354" s="4"/>
      <c r="AX354" s="4"/>
      <c r="AY354" s="4"/>
      <c r="AZ354" s="4"/>
      <c r="BA354" s="4"/>
      <c r="BB354" s="4"/>
      <c r="BC354" s="4"/>
      <c r="BD354" s="4"/>
      <c r="BE354" s="4"/>
      <c r="BF354" s="4"/>
    </row>
    <row r="355" spans="1:58">
      <c r="A355" s="4"/>
      <c r="B355" s="3"/>
      <c r="C355" s="3"/>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5"/>
      <c r="AR355" s="4"/>
      <c r="AS355" s="4"/>
      <c r="AT355" s="4"/>
      <c r="AU355" s="4"/>
      <c r="AV355" s="4"/>
      <c r="AW355" s="4"/>
      <c r="AX355" s="4"/>
      <c r="AY355" s="4"/>
      <c r="AZ355" s="4"/>
      <c r="BA355" s="4"/>
      <c r="BB355" s="4"/>
      <c r="BC355" s="4"/>
      <c r="BD355" s="4"/>
      <c r="BE355" s="4"/>
      <c r="BF355" s="4"/>
    </row>
    <row r="356" spans="1:58">
      <c r="A356" s="4"/>
      <c r="B356" s="3"/>
      <c r="C356" s="3"/>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5"/>
      <c r="AR356" s="4"/>
      <c r="AS356" s="4"/>
      <c r="AT356" s="4"/>
      <c r="AU356" s="4"/>
      <c r="AV356" s="4"/>
      <c r="AW356" s="4"/>
      <c r="AX356" s="4"/>
      <c r="AY356" s="4"/>
      <c r="AZ356" s="4"/>
      <c r="BA356" s="4"/>
      <c r="BB356" s="4"/>
      <c r="BC356" s="4"/>
      <c r="BD356" s="4"/>
      <c r="BE356" s="4"/>
      <c r="BF356" s="4"/>
    </row>
    <row r="357" spans="1:58">
      <c r="A357" s="4"/>
      <c r="B357" s="3"/>
      <c r="C357" s="3"/>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5"/>
      <c r="AR357" s="4"/>
      <c r="AS357" s="4"/>
      <c r="AT357" s="4"/>
      <c r="AU357" s="4"/>
      <c r="AV357" s="4"/>
      <c r="AW357" s="4"/>
      <c r="AX357" s="4"/>
      <c r="AY357" s="4"/>
      <c r="AZ357" s="4"/>
      <c r="BA357" s="4"/>
      <c r="BB357" s="4"/>
      <c r="BC357" s="4"/>
      <c r="BD357" s="4"/>
      <c r="BE357" s="4"/>
      <c r="BF357" s="4"/>
    </row>
    <row r="358" spans="1:58">
      <c r="A358" s="4"/>
      <c r="B358" s="3"/>
      <c r="C358" s="3"/>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5"/>
      <c r="AR358" s="4"/>
      <c r="AS358" s="4"/>
      <c r="AT358" s="4"/>
      <c r="AU358" s="4"/>
      <c r="AV358" s="4"/>
      <c r="AW358" s="4"/>
      <c r="AX358" s="4"/>
      <c r="AY358" s="4"/>
      <c r="AZ358" s="4"/>
      <c r="BA358" s="4"/>
      <c r="BB358" s="4"/>
      <c r="BC358" s="4"/>
      <c r="BD358" s="4"/>
      <c r="BE358" s="4"/>
      <c r="BF358" s="4"/>
    </row>
    <row r="359" spans="1:58">
      <c r="A359" s="4"/>
      <c r="B359" s="3"/>
      <c r="C359" s="3"/>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5"/>
      <c r="AR359" s="4"/>
      <c r="AS359" s="4"/>
      <c r="AT359" s="4"/>
      <c r="AU359" s="4"/>
      <c r="AV359" s="4"/>
      <c r="AW359" s="4"/>
      <c r="AX359" s="4"/>
      <c r="AY359" s="4"/>
      <c r="AZ359" s="4"/>
      <c r="BA359" s="4"/>
      <c r="BB359" s="4"/>
      <c r="BC359" s="4"/>
      <c r="BD359" s="4"/>
      <c r="BE359" s="4"/>
      <c r="BF359" s="4"/>
    </row>
    <row r="360" spans="1:58">
      <c r="A360" s="4"/>
      <c r="B360" s="3"/>
      <c r="C360" s="3"/>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5"/>
      <c r="AR360" s="4"/>
      <c r="AS360" s="4"/>
      <c r="AT360" s="4"/>
      <c r="AU360" s="4"/>
      <c r="AV360" s="4"/>
      <c r="AW360" s="4"/>
      <c r="AX360" s="4"/>
      <c r="AY360" s="4"/>
      <c r="AZ360" s="4"/>
      <c r="BA360" s="4"/>
      <c r="BB360" s="4"/>
      <c r="BC360" s="4"/>
      <c r="BD360" s="4"/>
      <c r="BE360" s="4"/>
      <c r="BF360" s="4"/>
    </row>
    <row r="361" spans="1:58">
      <c r="A361" s="4"/>
      <c r="B361" s="3"/>
      <c r="C361" s="3"/>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5"/>
      <c r="AR361" s="4"/>
      <c r="AS361" s="4"/>
      <c r="AT361" s="4"/>
      <c r="AU361" s="4"/>
      <c r="AV361" s="4"/>
      <c r="AW361" s="4"/>
      <c r="AX361" s="4"/>
      <c r="AY361" s="4"/>
      <c r="AZ361" s="4"/>
      <c r="BA361" s="4"/>
      <c r="BB361" s="4"/>
      <c r="BC361" s="4"/>
      <c r="BD361" s="4"/>
      <c r="BE361" s="4"/>
      <c r="BF361" s="4"/>
    </row>
    <row r="362" spans="1:58">
      <c r="A362" s="4"/>
      <c r="B362" s="3"/>
      <c r="C362" s="3"/>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5"/>
      <c r="AR362" s="4"/>
      <c r="AS362" s="4"/>
      <c r="AT362" s="4"/>
      <c r="AU362" s="4"/>
      <c r="AV362" s="4"/>
      <c r="AW362" s="4"/>
      <c r="AX362" s="4"/>
      <c r="AY362" s="4"/>
      <c r="AZ362" s="4"/>
      <c r="BA362" s="4"/>
      <c r="BB362" s="4"/>
      <c r="BC362" s="4"/>
      <c r="BD362" s="4"/>
      <c r="BE362" s="4"/>
      <c r="BF362" s="4"/>
    </row>
    <row r="363" spans="1:58">
      <c r="A363" s="4"/>
      <c r="B363" s="3"/>
      <c r="C363" s="3"/>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5"/>
      <c r="AR363" s="4"/>
      <c r="AS363" s="4"/>
      <c r="AT363" s="4"/>
      <c r="AU363" s="4"/>
      <c r="AV363" s="4"/>
      <c r="AW363" s="4"/>
      <c r="AX363" s="4"/>
      <c r="AY363" s="4"/>
      <c r="AZ363" s="4"/>
      <c r="BA363" s="4"/>
      <c r="BB363" s="4"/>
      <c r="BC363" s="4"/>
      <c r="BD363" s="4"/>
      <c r="BE363" s="4"/>
      <c r="BF363" s="4"/>
    </row>
    <row r="364" spans="1:58">
      <c r="A364" s="4"/>
      <c r="B364" s="3"/>
      <c r="C364" s="3"/>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5"/>
      <c r="AR364" s="4"/>
      <c r="AS364" s="4"/>
      <c r="AT364" s="4"/>
      <c r="AU364" s="4"/>
      <c r="AV364" s="4"/>
      <c r="AW364" s="4"/>
      <c r="AX364" s="4"/>
      <c r="AY364" s="4"/>
      <c r="AZ364" s="4"/>
      <c r="BA364" s="4"/>
      <c r="BB364" s="4"/>
      <c r="BC364" s="4"/>
      <c r="BD364" s="4"/>
      <c r="BE364" s="4"/>
      <c r="BF364" s="4"/>
    </row>
    <row r="365" spans="1:58">
      <c r="A365" s="4"/>
      <c r="B365" s="3"/>
      <c r="C365" s="3"/>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5"/>
      <c r="AR365" s="4"/>
      <c r="AS365" s="4"/>
      <c r="AT365" s="4"/>
      <c r="AU365" s="4"/>
      <c r="AV365" s="4"/>
      <c r="AW365" s="4"/>
      <c r="AX365" s="4"/>
      <c r="AY365" s="4"/>
      <c r="AZ365" s="4"/>
      <c r="BA365" s="4"/>
      <c r="BB365" s="4"/>
      <c r="BC365" s="4"/>
      <c r="BD365" s="4"/>
      <c r="BE365" s="4"/>
      <c r="BF365" s="4"/>
    </row>
    <row r="366" spans="1:58">
      <c r="A366" s="4"/>
      <c r="B366" s="3"/>
      <c r="C366" s="3"/>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5"/>
      <c r="AR366" s="4"/>
      <c r="AS366" s="4"/>
      <c r="AT366" s="4"/>
      <c r="AU366" s="4"/>
      <c r="AV366" s="4"/>
      <c r="AW366" s="4"/>
      <c r="AX366" s="4"/>
      <c r="AY366" s="4"/>
      <c r="AZ366" s="4"/>
      <c r="BA366" s="4"/>
      <c r="BB366" s="4"/>
      <c r="BC366" s="4"/>
      <c r="BD366" s="4"/>
      <c r="BE366" s="4"/>
      <c r="BF366" s="4"/>
    </row>
    <row r="367" spans="1:58">
      <c r="A367" s="4"/>
      <c r="B367" s="3"/>
      <c r="C367" s="3"/>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5"/>
      <c r="AR367" s="4"/>
      <c r="AS367" s="4"/>
      <c r="AT367" s="4"/>
      <c r="AU367" s="4"/>
      <c r="AV367" s="4"/>
      <c r="AW367" s="4"/>
      <c r="AX367" s="4"/>
      <c r="AY367" s="4"/>
      <c r="AZ367" s="4"/>
      <c r="BA367" s="4"/>
      <c r="BB367" s="4"/>
      <c r="BC367" s="4"/>
      <c r="BD367" s="4"/>
      <c r="BE367" s="4"/>
      <c r="BF367" s="4"/>
    </row>
    <row r="368" spans="1:58">
      <c r="A368" s="4"/>
      <c r="B368" s="3"/>
      <c r="C368" s="3"/>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5"/>
      <c r="AR368" s="4"/>
      <c r="AS368" s="4"/>
      <c r="AT368" s="4"/>
      <c r="AU368" s="4"/>
      <c r="AV368" s="4"/>
      <c r="AW368" s="4"/>
      <c r="AX368" s="4"/>
      <c r="AY368" s="4"/>
      <c r="AZ368" s="4"/>
      <c r="BA368" s="4"/>
      <c r="BB368" s="4"/>
      <c r="BC368" s="4"/>
      <c r="BD368" s="4"/>
      <c r="BE368" s="4"/>
      <c r="BF368" s="4"/>
    </row>
    <row r="369" spans="1:58">
      <c r="A369" s="4"/>
      <c r="B369" s="3"/>
      <c r="C369" s="3"/>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5"/>
      <c r="AR369" s="4"/>
      <c r="AS369" s="4"/>
      <c r="AT369" s="4"/>
      <c r="AU369" s="4"/>
      <c r="AV369" s="4"/>
      <c r="AW369" s="4"/>
      <c r="AX369" s="4"/>
      <c r="AY369" s="4"/>
      <c r="AZ369" s="4"/>
      <c r="BA369" s="4"/>
      <c r="BB369" s="4"/>
      <c r="BC369" s="4"/>
      <c r="BD369" s="4"/>
      <c r="BE369" s="4"/>
      <c r="BF369" s="4"/>
    </row>
    <row r="370" spans="1:58">
      <c r="A370" s="4"/>
      <c r="B370" s="3"/>
      <c r="C370" s="3"/>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5"/>
      <c r="AR370" s="4"/>
      <c r="AS370" s="4"/>
      <c r="AT370" s="4"/>
      <c r="AU370" s="4"/>
      <c r="AV370" s="4"/>
      <c r="AW370" s="4"/>
      <c r="AX370" s="4"/>
      <c r="AY370" s="4"/>
      <c r="AZ370" s="4"/>
      <c r="BA370" s="4"/>
      <c r="BB370" s="4"/>
      <c r="BC370" s="4"/>
      <c r="BD370" s="4"/>
      <c r="BE370" s="4"/>
      <c r="BF370" s="4"/>
    </row>
    <row r="371" spans="1:58">
      <c r="A371" s="4"/>
      <c r="B371" s="3"/>
      <c r="C371" s="3"/>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5"/>
      <c r="AR371" s="4"/>
      <c r="AS371" s="4"/>
      <c r="AT371" s="4"/>
      <c r="AU371" s="4"/>
      <c r="AV371" s="4"/>
      <c r="AW371" s="4"/>
      <c r="AX371" s="4"/>
      <c r="AY371" s="4"/>
      <c r="AZ371" s="4"/>
      <c r="BA371" s="4"/>
      <c r="BB371" s="4"/>
      <c r="BC371" s="4"/>
      <c r="BD371" s="4"/>
      <c r="BE371" s="4"/>
      <c r="BF371" s="4"/>
    </row>
    <row r="372" spans="1:58">
      <c r="A372" s="4"/>
      <c r="B372" s="3"/>
      <c r="C372" s="3"/>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5"/>
      <c r="AR372" s="4"/>
      <c r="AS372" s="4"/>
      <c r="AT372" s="4"/>
      <c r="AU372" s="4"/>
      <c r="AV372" s="4"/>
      <c r="AW372" s="4"/>
      <c r="AX372" s="4"/>
      <c r="AY372" s="4"/>
      <c r="AZ372" s="4"/>
      <c r="BA372" s="4"/>
      <c r="BB372" s="4"/>
      <c r="BC372" s="4"/>
      <c r="BD372" s="4"/>
      <c r="BE372" s="4"/>
      <c r="BF372" s="4"/>
    </row>
    <row r="373" spans="1:58">
      <c r="A373" s="4"/>
      <c r="B373" s="3"/>
      <c r="C373" s="3"/>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5"/>
      <c r="AR373" s="4"/>
      <c r="AS373" s="4"/>
      <c r="AT373" s="4"/>
      <c r="AU373" s="4"/>
      <c r="AV373" s="4"/>
      <c r="AW373" s="4"/>
      <c r="AX373" s="4"/>
      <c r="AY373" s="4"/>
      <c r="AZ373" s="4"/>
      <c r="BA373" s="4"/>
      <c r="BB373" s="4"/>
      <c r="BC373" s="4"/>
      <c r="BD373" s="4"/>
      <c r="BE373" s="4"/>
      <c r="BF373" s="4"/>
    </row>
    <row r="374" spans="1:58">
      <c r="A374" s="4"/>
      <c r="B374" s="3"/>
      <c r="C374" s="3"/>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5"/>
      <c r="AR374" s="4"/>
      <c r="AS374" s="4"/>
      <c r="AT374" s="4"/>
      <c r="AU374" s="4"/>
      <c r="AV374" s="4"/>
      <c r="AW374" s="4"/>
      <c r="AX374" s="4"/>
      <c r="AY374" s="4"/>
      <c r="AZ374" s="4"/>
      <c r="BA374" s="4"/>
      <c r="BB374" s="4"/>
      <c r="BC374" s="4"/>
      <c r="BD374" s="4"/>
      <c r="BE374" s="4"/>
      <c r="BF374" s="4"/>
    </row>
    <row r="375" spans="1:58">
      <c r="A375" s="4"/>
      <c r="B375" s="3"/>
      <c r="C375" s="3"/>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5"/>
      <c r="AR375" s="4"/>
      <c r="AS375" s="4"/>
      <c r="AT375" s="4"/>
      <c r="AU375" s="4"/>
      <c r="AV375" s="4"/>
      <c r="AW375" s="4"/>
      <c r="AX375" s="4"/>
      <c r="AY375" s="4"/>
      <c r="AZ375" s="4"/>
      <c r="BA375" s="4"/>
      <c r="BB375" s="4"/>
      <c r="BC375" s="4"/>
      <c r="BD375" s="4"/>
      <c r="BE375" s="4"/>
      <c r="BF375" s="4"/>
    </row>
    <row r="376" spans="1:58">
      <c r="A376" s="4"/>
      <c r="B376" s="3"/>
      <c r="C376" s="3"/>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5"/>
      <c r="AR376" s="4"/>
      <c r="AS376" s="4"/>
      <c r="AT376" s="4"/>
      <c r="AU376" s="4"/>
      <c r="AV376" s="4"/>
      <c r="AW376" s="4"/>
      <c r="AX376" s="4"/>
      <c r="AY376" s="4"/>
      <c r="AZ376" s="4"/>
      <c r="BA376" s="4"/>
      <c r="BB376" s="4"/>
      <c r="BC376" s="4"/>
      <c r="BD376" s="4"/>
      <c r="BE376" s="4"/>
      <c r="BF376" s="4"/>
    </row>
    <row r="377" spans="1:58">
      <c r="A377" s="4"/>
      <c r="B377" s="3"/>
      <c r="C377" s="3"/>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5"/>
      <c r="AR377" s="4"/>
      <c r="AS377" s="4"/>
      <c r="AT377" s="4"/>
      <c r="AU377" s="4"/>
      <c r="AV377" s="4"/>
      <c r="AW377" s="4"/>
      <c r="AX377" s="4"/>
      <c r="AY377" s="4"/>
      <c r="AZ377" s="4"/>
      <c r="BA377" s="4"/>
      <c r="BB377" s="4"/>
      <c r="BC377" s="4"/>
      <c r="BD377" s="4"/>
      <c r="BE377" s="4"/>
      <c r="BF377" s="4"/>
    </row>
    <row r="378" spans="1:58">
      <c r="A378" s="4"/>
      <c r="B378" s="3"/>
      <c r="C378" s="3"/>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5"/>
      <c r="AR378" s="4"/>
      <c r="AS378" s="4"/>
      <c r="AT378" s="4"/>
      <c r="AU378" s="4"/>
      <c r="AV378" s="4"/>
      <c r="AW378" s="4"/>
      <c r="AX378" s="4"/>
      <c r="AY378" s="4"/>
      <c r="AZ378" s="4"/>
      <c r="BA378" s="4"/>
      <c r="BB378" s="4"/>
      <c r="BC378" s="4"/>
      <c r="BD378" s="4"/>
      <c r="BE378" s="4"/>
      <c r="BF378" s="4"/>
    </row>
    <row r="379" spans="1:58">
      <c r="A379" s="4"/>
      <c r="B379" s="3"/>
      <c r="C379" s="3"/>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5"/>
      <c r="AR379" s="4"/>
      <c r="AS379" s="4"/>
      <c r="AT379" s="4"/>
      <c r="AU379" s="4"/>
      <c r="AV379" s="4"/>
      <c r="AW379" s="4"/>
      <c r="AX379" s="4"/>
      <c r="AY379" s="4"/>
      <c r="AZ379" s="4"/>
      <c r="BA379" s="4"/>
      <c r="BB379" s="4"/>
      <c r="BC379" s="4"/>
      <c r="BD379" s="4"/>
      <c r="BE379" s="4"/>
      <c r="BF379" s="4"/>
    </row>
    <row r="380" spans="1:58">
      <c r="A380" s="4"/>
      <c r="B380" s="3"/>
      <c r="C380" s="3"/>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5"/>
      <c r="AR380" s="4"/>
      <c r="AS380" s="4"/>
      <c r="AT380" s="4"/>
      <c r="AU380" s="4"/>
      <c r="AV380" s="4"/>
      <c r="AW380" s="4"/>
      <c r="AX380" s="4"/>
      <c r="AY380" s="4"/>
      <c r="AZ380" s="4"/>
      <c r="BA380" s="4"/>
      <c r="BB380" s="4"/>
      <c r="BC380" s="4"/>
      <c r="BD380" s="4"/>
      <c r="BE380" s="4"/>
      <c r="BF380" s="4"/>
    </row>
    <row r="381" spans="1:58">
      <c r="A381" s="4"/>
      <c r="B381" s="3"/>
      <c r="C381" s="3"/>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5"/>
      <c r="AR381" s="4"/>
      <c r="AS381" s="4"/>
      <c r="AT381" s="4"/>
      <c r="AU381" s="4"/>
      <c r="AV381" s="4"/>
      <c r="AW381" s="4"/>
      <c r="AX381" s="4"/>
      <c r="AY381" s="4"/>
      <c r="AZ381" s="4"/>
      <c r="BA381" s="4"/>
      <c r="BB381" s="4"/>
      <c r="BC381" s="4"/>
      <c r="BD381" s="4"/>
      <c r="BE381" s="4"/>
      <c r="BF381" s="4"/>
    </row>
    <row r="382" spans="1:58">
      <c r="A382" s="4"/>
      <c r="B382" s="3"/>
      <c r="C382" s="3"/>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5"/>
      <c r="AR382" s="4"/>
      <c r="AS382" s="4"/>
      <c r="AT382" s="4"/>
      <c r="AU382" s="4"/>
      <c r="AV382" s="4"/>
      <c r="AW382" s="4"/>
      <c r="AX382" s="4"/>
      <c r="AY382" s="4"/>
      <c r="AZ382" s="4"/>
      <c r="BA382" s="4"/>
      <c r="BB382" s="4"/>
      <c r="BC382" s="4"/>
      <c r="BD382" s="4"/>
      <c r="BE382" s="4"/>
      <c r="BF382" s="4"/>
    </row>
    <row r="383" spans="1:58">
      <c r="A383" s="4"/>
      <c r="B383" s="3"/>
      <c r="C383" s="3"/>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5"/>
      <c r="AR383" s="4"/>
      <c r="AS383" s="4"/>
      <c r="AT383" s="4"/>
      <c r="AU383" s="4"/>
      <c r="AV383" s="4"/>
      <c r="AW383" s="4"/>
      <c r="AX383" s="4"/>
      <c r="AY383" s="4"/>
      <c r="AZ383" s="4"/>
      <c r="BA383" s="4"/>
      <c r="BB383" s="4"/>
      <c r="BC383" s="4"/>
      <c r="BD383" s="4"/>
      <c r="BE383" s="4"/>
      <c r="BF383" s="4"/>
    </row>
    <row r="384" spans="1:58">
      <c r="A384" s="4"/>
      <c r="B384" s="3"/>
      <c r="C384" s="3"/>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5"/>
      <c r="AR384" s="4"/>
      <c r="AS384" s="4"/>
      <c r="AT384" s="4"/>
      <c r="AU384" s="4"/>
      <c r="AV384" s="4"/>
      <c r="AW384" s="4"/>
      <c r="AX384" s="4"/>
      <c r="AY384" s="4"/>
      <c r="AZ384" s="4"/>
      <c r="BA384" s="4"/>
      <c r="BB384" s="4"/>
      <c r="BC384" s="4"/>
      <c r="BD384" s="4"/>
      <c r="BE384" s="4"/>
      <c r="BF384" s="4"/>
    </row>
    <row r="385" spans="1:58">
      <c r="A385" s="4"/>
      <c r="B385" s="3"/>
      <c r="C385" s="3"/>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5"/>
      <c r="AR385" s="4"/>
      <c r="AS385" s="4"/>
      <c r="AT385" s="4"/>
      <c r="AU385" s="4"/>
      <c r="AV385" s="4"/>
      <c r="AW385" s="4"/>
      <c r="AX385" s="4"/>
      <c r="AY385" s="4"/>
      <c r="AZ385" s="4"/>
      <c r="BA385" s="4"/>
      <c r="BB385" s="4"/>
      <c r="BC385" s="4"/>
      <c r="BD385" s="4"/>
      <c r="BE385" s="4"/>
      <c r="BF385" s="4"/>
    </row>
    <row r="386" spans="1:58">
      <c r="A386" s="4"/>
      <c r="B386" s="3"/>
      <c r="C386" s="3"/>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5"/>
      <c r="AR386" s="4"/>
      <c r="AS386" s="4"/>
      <c r="AT386" s="4"/>
      <c r="AU386" s="4"/>
      <c r="AV386" s="4"/>
      <c r="AW386" s="4"/>
      <c r="AX386" s="4"/>
      <c r="AY386" s="4"/>
      <c r="AZ386" s="4"/>
      <c r="BA386" s="4"/>
      <c r="BB386" s="4"/>
      <c r="BC386" s="4"/>
      <c r="BD386" s="4"/>
      <c r="BE386" s="4"/>
      <c r="BF386" s="4"/>
    </row>
    <row r="387" spans="1:58">
      <c r="A387" s="4"/>
      <c r="B387" s="3"/>
      <c r="C387" s="3"/>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5"/>
      <c r="AR387" s="4"/>
      <c r="AS387" s="4"/>
      <c r="AT387" s="4"/>
      <c r="AU387" s="4"/>
      <c r="AV387" s="4"/>
      <c r="AW387" s="4"/>
      <c r="AX387" s="4"/>
      <c r="AY387" s="4"/>
      <c r="AZ387" s="4"/>
      <c r="BA387" s="4"/>
      <c r="BB387" s="4"/>
      <c r="BC387" s="4"/>
      <c r="BD387" s="4"/>
      <c r="BE387" s="4"/>
      <c r="BF387" s="4"/>
    </row>
    <row r="388" spans="1:58">
      <c r="A388" s="4"/>
      <c r="B388" s="3"/>
      <c r="C388" s="3"/>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5"/>
      <c r="AR388" s="4"/>
      <c r="AS388" s="4"/>
      <c r="AT388" s="4"/>
      <c r="AU388" s="4"/>
      <c r="AV388" s="4"/>
      <c r="AW388" s="4"/>
      <c r="AX388" s="4"/>
      <c r="AY388" s="4"/>
      <c r="AZ388" s="4"/>
      <c r="BA388" s="4"/>
      <c r="BB388" s="4"/>
      <c r="BC388" s="4"/>
      <c r="BD388" s="4"/>
      <c r="BE388" s="4"/>
      <c r="BF388" s="4"/>
    </row>
    <row r="389" spans="1:58">
      <c r="A389" s="4"/>
      <c r="B389" s="3"/>
      <c r="C389" s="3"/>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5"/>
      <c r="AR389" s="4"/>
      <c r="AS389" s="4"/>
      <c r="AT389" s="4"/>
      <c r="AU389" s="4"/>
      <c r="AV389" s="4"/>
      <c r="AW389" s="4"/>
      <c r="AX389" s="4"/>
      <c r="AY389" s="4"/>
      <c r="AZ389" s="4"/>
      <c r="BA389" s="4"/>
      <c r="BB389" s="4"/>
      <c r="BC389" s="4"/>
      <c r="BD389" s="4"/>
      <c r="BE389" s="4"/>
      <c r="BF389" s="4"/>
    </row>
    <row r="390" spans="1:58">
      <c r="A390" s="4"/>
      <c r="B390" s="3"/>
      <c r="C390" s="3"/>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5"/>
      <c r="AR390" s="4"/>
      <c r="AS390" s="4"/>
      <c r="AT390" s="4"/>
      <c r="AU390" s="4"/>
      <c r="AV390" s="4"/>
      <c r="AW390" s="4"/>
      <c r="AX390" s="4"/>
      <c r="AY390" s="4"/>
      <c r="AZ390" s="4"/>
      <c r="BA390" s="4"/>
      <c r="BB390" s="4"/>
      <c r="BC390" s="4"/>
      <c r="BD390" s="4"/>
      <c r="BE390" s="4"/>
      <c r="BF390" s="4"/>
    </row>
    <row r="391" spans="1:58">
      <c r="A391" s="4"/>
      <c r="B391" s="3"/>
      <c r="C391" s="3"/>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5"/>
      <c r="AR391" s="4"/>
      <c r="AS391" s="4"/>
      <c r="AT391" s="4"/>
      <c r="AU391" s="4"/>
      <c r="AV391" s="4"/>
      <c r="AW391" s="4"/>
      <c r="AX391" s="4"/>
      <c r="AY391" s="4"/>
      <c r="AZ391" s="4"/>
      <c r="BA391" s="4"/>
      <c r="BB391" s="4"/>
      <c r="BC391" s="4"/>
      <c r="BD391" s="4"/>
      <c r="BE391" s="4"/>
      <c r="BF391" s="4"/>
    </row>
    <row r="392" spans="1:58">
      <c r="A392" s="4"/>
      <c r="B392" s="3"/>
      <c r="C392" s="3"/>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5"/>
      <c r="AR392" s="4"/>
      <c r="AS392" s="4"/>
      <c r="AT392" s="4"/>
      <c r="AU392" s="4"/>
      <c r="AV392" s="4"/>
      <c r="AW392" s="4"/>
      <c r="AX392" s="4"/>
      <c r="AY392" s="4"/>
      <c r="AZ392" s="4"/>
      <c r="BA392" s="4"/>
      <c r="BB392" s="4"/>
      <c r="BC392" s="4"/>
      <c r="BD392" s="4"/>
      <c r="BE392" s="4"/>
      <c r="BF392" s="4"/>
    </row>
    <row r="393" spans="1:58">
      <c r="A393" s="4"/>
      <c r="B393" s="3"/>
      <c r="C393" s="3"/>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5"/>
      <c r="AR393" s="4"/>
      <c r="AS393" s="4"/>
      <c r="AT393" s="4"/>
      <c r="AU393" s="4"/>
      <c r="AV393" s="4"/>
      <c r="AW393" s="4"/>
      <c r="AX393" s="4"/>
      <c r="AY393" s="4"/>
      <c r="AZ393" s="4"/>
      <c r="BA393" s="4"/>
      <c r="BB393" s="4"/>
      <c r="BC393" s="4"/>
      <c r="BD393" s="4"/>
      <c r="BE393" s="4"/>
      <c r="BF393" s="4"/>
    </row>
    <row r="394" spans="1:58">
      <c r="A394" s="4"/>
      <c r="B394" s="3"/>
      <c r="C394" s="3"/>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5"/>
      <c r="AR394" s="4"/>
      <c r="AS394" s="4"/>
      <c r="AT394" s="4"/>
      <c r="AU394" s="4"/>
      <c r="AV394" s="4"/>
      <c r="AW394" s="4"/>
      <c r="AX394" s="4"/>
      <c r="AY394" s="4"/>
      <c r="AZ394" s="4"/>
      <c r="BA394" s="4"/>
      <c r="BB394" s="4"/>
      <c r="BC394" s="4"/>
      <c r="BD394" s="4"/>
      <c r="BE394" s="4"/>
      <c r="BF394" s="4"/>
    </row>
    <row r="395" spans="1:58">
      <c r="A395" s="4"/>
      <c r="B395" s="3"/>
      <c r="C395" s="3"/>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5"/>
      <c r="AR395" s="4"/>
      <c r="AS395" s="4"/>
      <c r="AT395" s="4"/>
      <c r="AU395" s="4"/>
      <c r="AV395" s="4"/>
      <c r="AW395" s="4"/>
      <c r="AX395" s="4"/>
      <c r="AY395" s="4"/>
      <c r="AZ395" s="4"/>
      <c r="BA395" s="4"/>
      <c r="BB395" s="4"/>
      <c r="BC395" s="4"/>
      <c r="BD395" s="4"/>
      <c r="BE395" s="4"/>
      <c r="BF395" s="4"/>
    </row>
    <row r="396" spans="1:58">
      <c r="A396" s="4"/>
      <c r="B396" s="3"/>
      <c r="C396" s="3"/>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5"/>
      <c r="AR396" s="4"/>
      <c r="AS396" s="4"/>
      <c r="AT396" s="4"/>
      <c r="AU396" s="4"/>
      <c r="AV396" s="4"/>
      <c r="AW396" s="4"/>
      <c r="AX396" s="4"/>
      <c r="AY396" s="4"/>
      <c r="AZ396" s="4"/>
      <c r="BA396" s="4"/>
      <c r="BB396" s="4"/>
      <c r="BC396" s="4"/>
      <c r="BD396" s="4"/>
      <c r="BE396" s="4"/>
      <c r="BF396" s="4"/>
    </row>
    <row r="397" spans="1:58">
      <c r="A397" s="4"/>
      <c r="B397" s="3"/>
      <c r="C397" s="3"/>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5"/>
      <c r="AR397" s="4"/>
      <c r="AS397" s="4"/>
      <c r="AT397" s="4"/>
      <c r="AU397" s="4"/>
      <c r="AV397" s="4"/>
      <c r="AW397" s="4"/>
      <c r="AX397" s="4"/>
      <c r="AY397" s="4"/>
      <c r="AZ397" s="4"/>
      <c r="BA397" s="4"/>
      <c r="BB397" s="4"/>
      <c r="BC397" s="4"/>
      <c r="BD397" s="4"/>
      <c r="BE397" s="4"/>
      <c r="BF397" s="4"/>
    </row>
    <row r="398" spans="1:58">
      <c r="A398" s="4"/>
      <c r="B398" s="3"/>
      <c r="C398" s="3"/>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5"/>
      <c r="AR398" s="4"/>
      <c r="AS398" s="4"/>
      <c r="AT398" s="4"/>
      <c r="AU398" s="4"/>
      <c r="AV398" s="4"/>
      <c r="AW398" s="4"/>
      <c r="AX398" s="4"/>
      <c r="AY398" s="4"/>
      <c r="AZ398" s="4"/>
      <c r="BA398" s="4"/>
      <c r="BB398" s="4"/>
      <c r="BC398" s="4"/>
      <c r="BD398" s="4"/>
      <c r="BE398" s="4"/>
      <c r="BF398" s="4"/>
    </row>
    <row r="399" spans="1:58">
      <c r="A399" s="4"/>
      <c r="B399" s="3"/>
      <c r="C399" s="3"/>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5"/>
      <c r="AR399" s="4"/>
      <c r="AS399" s="4"/>
      <c r="AT399" s="4"/>
      <c r="AU399" s="4"/>
      <c r="AV399" s="4"/>
      <c r="AW399" s="4"/>
      <c r="AX399" s="4"/>
      <c r="AY399" s="4"/>
      <c r="AZ399" s="4"/>
      <c r="BA399" s="4"/>
      <c r="BB399" s="4"/>
      <c r="BC399" s="4"/>
      <c r="BD399" s="4"/>
      <c r="BE399" s="4"/>
      <c r="BF399" s="4"/>
    </row>
    <row r="400" spans="1:58">
      <c r="A400" s="4"/>
      <c r="B400" s="3"/>
      <c r="C400" s="3"/>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5"/>
      <c r="AR400" s="4"/>
      <c r="AS400" s="4"/>
      <c r="AT400" s="4"/>
      <c r="AU400" s="4"/>
      <c r="AV400" s="4"/>
      <c r="AW400" s="4"/>
      <c r="AX400" s="4"/>
      <c r="AY400" s="4"/>
      <c r="AZ400" s="4"/>
      <c r="BA400" s="4"/>
      <c r="BB400" s="4"/>
      <c r="BC400" s="4"/>
      <c r="BD400" s="4"/>
      <c r="BE400" s="4"/>
      <c r="BF400" s="4"/>
    </row>
    <row r="401" spans="1:58">
      <c r="A401" s="4"/>
      <c r="B401" s="3"/>
      <c r="C401" s="3"/>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5"/>
      <c r="AR401" s="4"/>
      <c r="AS401" s="4"/>
      <c r="AT401" s="4"/>
      <c r="AU401" s="4"/>
      <c r="AV401" s="4"/>
      <c r="AW401" s="4"/>
      <c r="AX401" s="4"/>
      <c r="AY401" s="4"/>
      <c r="AZ401" s="4"/>
      <c r="BA401" s="4"/>
      <c r="BB401" s="4"/>
      <c r="BC401" s="4"/>
      <c r="BD401" s="4"/>
      <c r="BE401" s="4"/>
      <c r="BF401" s="4"/>
    </row>
    <row r="402" spans="1:58">
      <c r="A402" s="4"/>
      <c r="B402" s="3"/>
      <c r="C402" s="3"/>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5"/>
      <c r="AR402" s="4"/>
      <c r="AS402" s="4"/>
      <c r="AT402" s="4"/>
      <c r="AU402" s="4"/>
      <c r="AV402" s="4"/>
      <c r="AW402" s="4"/>
      <c r="AX402" s="4"/>
      <c r="AY402" s="4"/>
      <c r="AZ402" s="4"/>
      <c r="BA402" s="4"/>
      <c r="BB402" s="4"/>
      <c r="BC402" s="4"/>
      <c r="BD402" s="4"/>
      <c r="BE402" s="4"/>
      <c r="BF402" s="4"/>
    </row>
    <row r="403" spans="1:58">
      <c r="A403" s="4"/>
      <c r="B403" s="3"/>
      <c r="C403" s="3"/>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5"/>
      <c r="AR403" s="4"/>
      <c r="AS403" s="4"/>
      <c r="AT403" s="4"/>
      <c r="AU403" s="4"/>
      <c r="AV403" s="4"/>
      <c r="AW403" s="4"/>
      <c r="AX403" s="4"/>
      <c r="AY403" s="4"/>
      <c r="AZ403" s="4"/>
      <c r="BA403" s="4"/>
      <c r="BB403" s="4"/>
      <c r="BC403" s="4"/>
      <c r="BD403" s="4"/>
      <c r="BE403" s="4"/>
      <c r="BF403" s="4"/>
    </row>
    <row r="404" spans="1:58">
      <c r="A404" s="4"/>
      <c r="B404" s="3"/>
      <c r="C404" s="3"/>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5"/>
      <c r="AR404" s="4"/>
      <c r="AS404" s="4"/>
      <c r="AT404" s="4"/>
      <c r="AU404" s="4"/>
      <c r="AV404" s="4"/>
      <c r="AW404" s="4"/>
      <c r="AX404" s="4"/>
      <c r="AY404" s="4"/>
      <c r="AZ404" s="4"/>
      <c r="BA404" s="4"/>
      <c r="BB404" s="4"/>
      <c r="BC404" s="4"/>
      <c r="BD404" s="4"/>
      <c r="BE404" s="4"/>
      <c r="BF404" s="4"/>
    </row>
    <row r="405" spans="1:58">
      <c r="A405" s="4"/>
      <c r="B405" s="3"/>
      <c r="C405" s="3"/>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5"/>
      <c r="AR405" s="4"/>
      <c r="AS405" s="4"/>
      <c r="AT405" s="4"/>
      <c r="AU405" s="4"/>
      <c r="AV405" s="4"/>
      <c r="AW405" s="4"/>
      <c r="AX405" s="4"/>
      <c r="AY405" s="4"/>
      <c r="AZ405" s="4"/>
      <c r="BA405" s="4"/>
      <c r="BB405" s="4"/>
      <c r="BC405" s="4"/>
      <c r="BD405" s="4"/>
      <c r="BE405" s="4"/>
      <c r="BF405" s="4"/>
    </row>
    <row r="406" spans="1:58">
      <c r="A406" s="4"/>
      <c r="B406" s="3"/>
      <c r="C406" s="3"/>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5"/>
      <c r="AR406" s="4"/>
      <c r="AS406" s="4"/>
      <c r="AT406" s="4"/>
      <c r="AU406" s="4"/>
      <c r="AV406" s="4"/>
      <c r="AW406" s="4"/>
      <c r="AX406" s="4"/>
      <c r="AY406" s="4"/>
      <c r="AZ406" s="4"/>
      <c r="BA406" s="4"/>
      <c r="BB406" s="4"/>
      <c r="BC406" s="4"/>
      <c r="BD406" s="4"/>
      <c r="BE406" s="4"/>
      <c r="BF406" s="4"/>
    </row>
    <row r="407" spans="1:58">
      <c r="A407" s="4"/>
      <c r="B407" s="3"/>
      <c r="C407" s="3"/>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5"/>
      <c r="AR407" s="4"/>
      <c r="AS407" s="4"/>
      <c r="AT407" s="4"/>
      <c r="AU407" s="4"/>
      <c r="AV407" s="4"/>
      <c r="AW407" s="4"/>
      <c r="AX407" s="4"/>
      <c r="AY407" s="4"/>
      <c r="AZ407" s="4"/>
      <c r="BA407" s="4"/>
      <c r="BB407" s="4"/>
      <c r="BC407" s="4"/>
      <c r="BD407" s="4"/>
      <c r="BE407" s="4"/>
      <c r="BF407" s="4"/>
    </row>
    <row r="408" spans="1:58">
      <c r="A408" s="4"/>
      <c r="B408" s="3"/>
      <c r="C408" s="3"/>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5"/>
      <c r="AR408" s="4"/>
      <c r="AS408" s="4"/>
      <c r="AT408" s="4"/>
      <c r="AU408" s="4"/>
      <c r="AV408" s="4"/>
      <c r="AW408" s="4"/>
      <c r="AX408" s="4"/>
      <c r="AY408" s="4"/>
      <c r="AZ408" s="4"/>
      <c r="BA408" s="4"/>
      <c r="BB408" s="4"/>
      <c r="BC408" s="4"/>
      <c r="BD408" s="4"/>
      <c r="BE408" s="4"/>
      <c r="BF408" s="4"/>
    </row>
    <row r="409" spans="1:58">
      <c r="A409" s="4"/>
      <c r="B409" s="3"/>
      <c r="C409" s="3"/>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5"/>
      <c r="AR409" s="4"/>
      <c r="AS409" s="4"/>
      <c r="AT409" s="4"/>
      <c r="AU409" s="4"/>
      <c r="AV409" s="4"/>
      <c r="AW409" s="4"/>
      <c r="AX409" s="4"/>
      <c r="AY409" s="4"/>
      <c r="AZ409" s="4"/>
      <c r="BA409" s="4"/>
      <c r="BB409" s="4"/>
      <c r="BC409" s="4"/>
      <c r="BD409" s="4"/>
      <c r="BE409" s="4"/>
      <c r="BF409" s="4"/>
    </row>
    <row r="410" spans="1:58">
      <c r="A410" s="4"/>
      <c r="B410" s="3"/>
      <c r="C410" s="3"/>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5"/>
      <c r="AR410" s="4"/>
      <c r="AS410" s="4"/>
      <c r="AT410" s="4"/>
      <c r="AU410" s="4"/>
      <c r="AV410" s="4"/>
      <c r="AW410" s="4"/>
      <c r="AX410" s="4"/>
      <c r="AY410" s="4"/>
      <c r="AZ410" s="4"/>
      <c r="BA410" s="4"/>
      <c r="BB410" s="4"/>
      <c r="BC410" s="4"/>
      <c r="BD410" s="4"/>
      <c r="BE410" s="4"/>
      <c r="BF410" s="4"/>
    </row>
    <row r="411" spans="1:58">
      <c r="A411" s="4"/>
      <c r="B411" s="3"/>
      <c r="C411" s="3"/>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5"/>
      <c r="AR411" s="4"/>
      <c r="AS411" s="4"/>
      <c r="AT411" s="4"/>
      <c r="AU411" s="4"/>
      <c r="AV411" s="4"/>
      <c r="AW411" s="4"/>
      <c r="AX411" s="4"/>
      <c r="AY411" s="4"/>
      <c r="AZ411" s="4"/>
      <c r="BA411" s="4"/>
      <c r="BB411" s="4"/>
      <c r="BC411" s="4"/>
      <c r="BD411" s="4"/>
      <c r="BE411" s="4"/>
      <c r="BF411" s="4"/>
    </row>
    <row r="412" spans="1:58">
      <c r="A412" s="4"/>
      <c r="B412" s="3"/>
      <c r="C412" s="3"/>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5"/>
      <c r="AR412" s="4"/>
      <c r="AS412" s="4"/>
      <c r="AT412" s="4"/>
      <c r="AU412" s="4"/>
      <c r="AV412" s="4"/>
      <c r="AW412" s="4"/>
      <c r="AX412" s="4"/>
      <c r="AY412" s="4"/>
      <c r="AZ412" s="4"/>
      <c r="BA412" s="4"/>
      <c r="BB412" s="4"/>
      <c r="BC412" s="4"/>
      <c r="BD412" s="4"/>
      <c r="BE412" s="4"/>
      <c r="BF412" s="4"/>
    </row>
    <row r="413" spans="1:58">
      <c r="A413" s="4"/>
      <c r="B413" s="3"/>
      <c r="C413" s="3"/>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5"/>
      <c r="AR413" s="4"/>
      <c r="AS413" s="4"/>
      <c r="AT413" s="4"/>
      <c r="AU413" s="4"/>
      <c r="AV413" s="4"/>
      <c r="AW413" s="4"/>
      <c r="AX413" s="4"/>
      <c r="AY413" s="4"/>
      <c r="AZ413" s="4"/>
      <c r="BA413" s="4"/>
      <c r="BB413" s="4"/>
      <c r="BC413" s="4"/>
      <c r="BD413" s="4"/>
      <c r="BE413" s="4"/>
      <c r="BF413" s="4"/>
    </row>
    <row r="414" spans="1:58">
      <c r="A414" s="4"/>
      <c r="B414" s="3"/>
      <c r="C414" s="3"/>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5"/>
      <c r="AR414" s="4"/>
      <c r="AS414" s="4"/>
      <c r="AT414" s="4"/>
      <c r="AU414" s="4"/>
      <c r="AV414" s="4"/>
      <c r="AW414" s="4"/>
      <c r="AX414" s="4"/>
      <c r="AY414" s="4"/>
      <c r="AZ414" s="4"/>
      <c r="BA414" s="4"/>
      <c r="BB414" s="4"/>
      <c r="BC414" s="4"/>
      <c r="BD414" s="4"/>
      <c r="BE414" s="4"/>
      <c r="BF414" s="4"/>
    </row>
    <row r="415" spans="1:58">
      <c r="A415" s="4"/>
      <c r="B415" s="3"/>
      <c r="C415" s="3"/>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5"/>
      <c r="AR415" s="4"/>
      <c r="AS415" s="4"/>
      <c r="AT415" s="4"/>
      <c r="AU415" s="4"/>
      <c r="AV415" s="4"/>
      <c r="AW415" s="4"/>
      <c r="AX415" s="4"/>
      <c r="AY415" s="4"/>
      <c r="AZ415" s="4"/>
      <c r="BA415" s="4"/>
      <c r="BB415" s="4"/>
      <c r="BC415" s="4"/>
      <c r="BD415" s="4"/>
      <c r="BE415" s="4"/>
      <c r="BF415" s="4"/>
    </row>
    <row r="416" spans="1:58">
      <c r="A416" s="4"/>
      <c r="B416" s="3"/>
      <c r="C416" s="3"/>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5"/>
      <c r="AR416" s="4"/>
      <c r="AS416" s="4"/>
      <c r="AT416" s="4"/>
      <c r="AU416" s="4"/>
      <c r="AV416" s="4"/>
      <c r="AW416" s="4"/>
      <c r="AX416" s="4"/>
      <c r="AY416" s="4"/>
      <c r="AZ416" s="4"/>
      <c r="BA416" s="4"/>
      <c r="BB416" s="4"/>
      <c r="BC416" s="4"/>
      <c r="BD416" s="4"/>
      <c r="BE416" s="4"/>
      <c r="BF416" s="4"/>
    </row>
    <row r="417" spans="1:58">
      <c r="A417" s="4"/>
      <c r="B417" s="3"/>
      <c r="C417" s="3"/>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5"/>
      <c r="AR417" s="4"/>
      <c r="AS417" s="4"/>
      <c r="AT417" s="4"/>
      <c r="AU417" s="4"/>
      <c r="AV417" s="4"/>
      <c r="AW417" s="4"/>
      <c r="AX417" s="4"/>
      <c r="AY417" s="4"/>
      <c r="AZ417" s="4"/>
      <c r="BA417" s="4"/>
      <c r="BB417" s="4"/>
      <c r="BC417" s="4"/>
      <c r="BD417" s="4"/>
      <c r="BE417" s="4"/>
      <c r="BF417" s="4"/>
    </row>
    <row r="418" spans="1:58">
      <c r="A418" s="4"/>
      <c r="B418" s="3"/>
      <c r="C418" s="3"/>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5"/>
      <c r="AR418" s="4"/>
      <c r="AS418" s="4"/>
      <c r="AT418" s="4"/>
      <c r="AU418" s="4"/>
      <c r="AV418" s="4"/>
      <c r="AW418" s="4"/>
      <c r="AX418" s="4"/>
      <c r="AY418" s="4"/>
      <c r="AZ418" s="4"/>
      <c r="BA418" s="4"/>
      <c r="BB418" s="4"/>
      <c r="BC418" s="4"/>
      <c r="BD418" s="4"/>
      <c r="BE418" s="4"/>
      <c r="BF418" s="4"/>
    </row>
    <row r="419" spans="1:58">
      <c r="A419" s="4"/>
      <c r="B419" s="3"/>
      <c r="C419" s="3"/>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5"/>
      <c r="AR419" s="4"/>
      <c r="AS419" s="4"/>
      <c r="AT419" s="4"/>
      <c r="AU419" s="4"/>
      <c r="AV419" s="4"/>
      <c r="AW419" s="4"/>
      <c r="AX419" s="4"/>
      <c r="AY419" s="4"/>
      <c r="AZ419" s="4"/>
      <c r="BA419" s="4"/>
      <c r="BB419" s="4"/>
      <c r="BC419" s="4"/>
      <c r="BD419" s="4"/>
      <c r="BE419" s="4"/>
      <c r="BF419" s="4"/>
    </row>
    <row r="420" spans="1:58">
      <c r="A420" s="4"/>
      <c r="B420" s="3"/>
      <c r="C420" s="3"/>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5"/>
      <c r="AR420" s="4"/>
      <c r="AS420" s="4"/>
      <c r="AT420" s="4"/>
      <c r="AU420" s="4"/>
      <c r="AV420" s="4"/>
      <c r="AW420" s="4"/>
      <c r="AX420" s="4"/>
      <c r="AY420" s="4"/>
      <c r="AZ420" s="4"/>
      <c r="BA420" s="4"/>
      <c r="BB420" s="4"/>
      <c r="BC420" s="4"/>
      <c r="BD420" s="4"/>
      <c r="BE420" s="4"/>
      <c r="BF420" s="4"/>
    </row>
    <row r="421" spans="1:58">
      <c r="A421" s="4"/>
      <c r="B421" s="3"/>
      <c r="C421" s="3"/>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5"/>
      <c r="AR421" s="4"/>
      <c r="AS421" s="4"/>
      <c r="AT421" s="4"/>
      <c r="AU421" s="4"/>
      <c r="AV421" s="4"/>
      <c r="AW421" s="4"/>
      <c r="AX421" s="4"/>
      <c r="AY421" s="4"/>
      <c r="AZ421" s="4"/>
      <c r="BA421" s="4"/>
      <c r="BB421" s="4"/>
      <c r="BC421" s="4"/>
      <c r="BD421" s="4"/>
      <c r="BE421" s="4"/>
      <c r="BF421" s="4"/>
    </row>
    <row r="422" spans="1:58">
      <c r="A422" s="4"/>
      <c r="B422" s="3"/>
      <c r="C422" s="3"/>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5"/>
      <c r="AR422" s="4"/>
      <c r="AS422" s="4"/>
      <c r="AT422" s="4"/>
      <c r="AU422" s="4"/>
      <c r="AV422" s="4"/>
      <c r="AW422" s="4"/>
      <c r="AX422" s="4"/>
      <c r="AY422" s="4"/>
      <c r="AZ422" s="4"/>
      <c r="BA422" s="4"/>
      <c r="BB422" s="4"/>
      <c r="BC422" s="4"/>
      <c r="BD422" s="4"/>
      <c r="BE422" s="4"/>
      <c r="BF422" s="4"/>
    </row>
    <row r="423" spans="1:58">
      <c r="A423" s="4"/>
      <c r="B423" s="3"/>
      <c r="C423" s="3"/>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5"/>
      <c r="AR423" s="4"/>
      <c r="AS423" s="4"/>
      <c r="AT423" s="4"/>
      <c r="AU423" s="4"/>
      <c r="AV423" s="4"/>
      <c r="AW423" s="4"/>
      <c r="AX423" s="4"/>
      <c r="AY423" s="4"/>
      <c r="AZ423" s="4"/>
      <c r="BA423" s="4"/>
      <c r="BB423" s="4"/>
      <c r="BC423" s="4"/>
      <c r="BD423" s="4"/>
      <c r="BE423" s="4"/>
      <c r="BF423" s="4"/>
    </row>
    <row r="424" spans="1:58">
      <c r="A424" s="4"/>
      <c r="B424" s="3"/>
      <c r="C424" s="3"/>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5"/>
      <c r="AR424" s="4"/>
      <c r="AS424" s="4"/>
      <c r="AT424" s="4"/>
      <c r="AU424" s="4"/>
      <c r="AV424" s="4"/>
      <c r="AW424" s="4"/>
      <c r="AX424" s="4"/>
      <c r="AY424" s="4"/>
      <c r="AZ424" s="4"/>
      <c r="BA424" s="4"/>
      <c r="BB424" s="4"/>
      <c r="BC424" s="4"/>
      <c r="BD424" s="4"/>
      <c r="BE424" s="4"/>
      <c r="BF424" s="4"/>
    </row>
    <row r="425" spans="1:58">
      <c r="A425" s="4"/>
      <c r="B425" s="3"/>
      <c r="C425" s="3"/>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5"/>
      <c r="AR425" s="4"/>
      <c r="AS425" s="4"/>
      <c r="AT425" s="4"/>
      <c r="AU425" s="4"/>
      <c r="AV425" s="4"/>
      <c r="AW425" s="4"/>
      <c r="AX425" s="4"/>
      <c r="AY425" s="4"/>
      <c r="AZ425" s="4"/>
      <c r="BA425" s="4"/>
      <c r="BB425" s="4"/>
      <c r="BC425" s="4"/>
      <c r="BD425" s="4"/>
      <c r="BE425" s="4"/>
      <c r="BF425" s="4"/>
    </row>
    <row r="426" spans="1:58">
      <c r="A426" s="4"/>
      <c r="B426" s="3"/>
      <c r="C426" s="3"/>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5"/>
      <c r="AR426" s="4"/>
      <c r="AS426" s="4"/>
      <c r="AT426" s="4"/>
      <c r="AU426" s="4"/>
      <c r="AV426" s="4"/>
      <c r="AW426" s="4"/>
      <c r="AX426" s="4"/>
      <c r="AY426" s="4"/>
      <c r="AZ426" s="4"/>
      <c r="BA426" s="4"/>
      <c r="BB426" s="4"/>
      <c r="BC426" s="4"/>
      <c r="BD426" s="4"/>
      <c r="BE426" s="4"/>
      <c r="BF426" s="4"/>
    </row>
    <row r="427" spans="1:58">
      <c r="A427" s="4"/>
      <c r="B427" s="3"/>
      <c r="C427" s="3"/>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5"/>
      <c r="AR427" s="4"/>
      <c r="AS427" s="4"/>
      <c r="AT427" s="4"/>
      <c r="AU427" s="4"/>
      <c r="AV427" s="4"/>
      <c r="AW427" s="4"/>
      <c r="AX427" s="4"/>
      <c r="AY427" s="4"/>
      <c r="AZ427" s="4"/>
      <c r="BA427" s="4"/>
      <c r="BB427" s="4"/>
      <c r="BC427" s="4"/>
      <c r="BD427" s="4"/>
      <c r="BE427" s="4"/>
      <c r="BF427" s="4"/>
    </row>
    <row r="428" spans="1:58">
      <c r="A428" s="4"/>
      <c r="B428" s="3"/>
      <c r="C428" s="3"/>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5"/>
      <c r="AR428" s="4"/>
      <c r="AS428" s="4"/>
      <c r="AT428" s="4"/>
      <c r="AU428" s="4"/>
      <c r="AV428" s="4"/>
      <c r="AW428" s="4"/>
      <c r="AX428" s="4"/>
      <c r="AY428" s="4"/>
      <c r="AZ428" s="4"/>
      <c r="BA428" s="4"/>
      <c r="BB428" s="4"/>
      <c r="BC428" s="4"/>
      <c r="BD428" s="4"/>
      <c r="BE428" s="4"/>
      <c r="BF428" s="4"/>
    </row>
    <row r="429" spans="1:58">
      <c r="A429" s="4"/>
      <c r="B429" s="3"/>
      <c r="C429" s="3"/>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5"/>
      <c r="AR429" s="4"/>
      <c r="AS429" s="4"/>
      <c r="AT429" s="4"/>
      <c r="AU429" s="4"/>
      <c r="AV429" s="4"/>
      <c r="AW429" s="4"/>
      <c r="AX429" s="4"/>
      <c r="AY429" s="4"/>
      <c r="AZ429" s="4"/>
      <c r="BA429" s="4"/>
      <c r="BB429" s="4"/>
      <c r="BC429" s="4"/>
      <c r="BD429" s="4"/>
      <c r="BE429" s="4"/>
      <c r="BF429" s="4"/>
    </row>
    <row r="430" spans="1:58">
      <c r="A430" s="4"/>
      <c r="B430" s="3"/>
      <c r="C430" s="3"/>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5"/>
      <c r="AR430" s="4"/>
      <c r="AS430" s="4"/>
      <c r="AT430" s="4"/>
      <c r="AU430" s="4"/>
      <c r="AV430" s="4"/>
      <c r="AW430" s="4"/>
      <c r="AX430" s="4"/>
      <c r="AY430" s="4"/>
      <c r="AZ430" s="4"/>
      <c r="BA430" s="4"/>
      <c r="BB430" s="4"/>
      <c r="BC430" s="4"/>
      <c r="BD430" s="4"/>
      <c r="BE430" s="4"/>
      <c r="BF430" s="4"/>
    </row>
    <row r="431" spans="1:58">
      <c r="A431" s="4"/>
      <c r="B431" s="3"/>
      <c r="C431" s="3"/>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5"/>
      <c r="AR431" s="4"/>
      <c r="AS431" s="4"/>
      <c r="AT431" s="4"/>
      <c r="AU431" s="4"/>
      <c r="AV431" s="4"/>
      <c r="AW431" s="4"/>
      <c r="AX431" s="4"/>
      <c r="AY431" s="4"/>
      <c r="AZ431" s="4"/>
      <c r="BA431" s="4"/>
      <c r="BB431" s="4"/>
      <c r="BC431" s="4"/>
      <c r="BD431" s="4"/>
      <c r="BE431" s="4"/>
      <c r="BF431" s="4"/>
    </row>
    <row r="432" spans="1:58">
      <c r="A432" s="4"/>
      <c r="B432" s="3"/>
      <c r="C432" s="3"/>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5"/>
      <c r="AR432" s="4"/>
      <c r="AS432" s="4"/>
      <c r="AT432" s="4"/>
      <c r="AU432" s="4"/>
      <c r="AV432" s="4"/>
      <c r="AW432" s="4"/>
      <c r="AX432" s="4"/>
      <c r="AY432" s="4"/>
      <c r="AZ432" s="4"/>
      <c r="BA432" s="4"/>
      <c r="BB432" s="4"/>
      <c r="BC432" s="4"/>
      <c r="BD432" s="4"/>
      <c r="BE432" s="4"/>
      <c r="BF432" s="4"/>
    </row>
    <row r="433" spans="1:58">
      <c r="A433" s="4"/>
      <c r="B433" s="3"/>
      <c r="C433" s="3"/>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5"/>
      <c r="AR433" s="4"/>
      <c r="AS433" s="4"/>
      <c r="AT433" s="4"/>
      <c r="AU433" s="4"/>
      <c r="AV433" s="4"/>
      <c r="AW433" s="4"/>
      <c r="AX433" s="4"/>
      <c r="AY433" s="4"/>
      <c r="AZ433" s="4"/>
      <c r="BA433" s="4"/>
      <c r="BB433" s="4"/>
      <c r="BC433" s="4"/>
      <c r="BD433" s="4"/>
      <c r="BE433" s="4"/>
      <c r="BF433" s="4"/>
    </row>
    <row r="434" spans="1:58">
      <c r="A434" s="4"/>
      <c r="B434" s="3"/>
      <c r="C434" s="3"/>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5"/>
      <c r="AR434" s="4"/>
      <c r="AS434" s="4"/>
      <c r="AT434" s="4"/>
      <c r="AU434" s="4"/>
      <c r="AV434" s="4"/>
      <c r="AW434" s="4"/>
      <c r="AX434" s="4"/>
      <c r="AY434" s="4"/>
      <c r="AZ434" s="4"/>
      <c r="BA434" s="4"/>
      <c r="BB434" s="4"/>
      <c r="BC434" s="4"/>
      <c r="BD434" s="4"/>
      <c r="BE434" s="4"/>
      <c r="BF434" s="4"/>
    </row>
    <row r="435" spans="1:58">
      <c r="A435" s="4"/>
      <c r="B435" s="3"/>
      <c r="C435" s="3"/>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5"/>
      <c r="AR435" s="4"/>
      <c r="AS435" s="4"/>
      <c r="AT435" s="4"/>
      <c r="AU435" s="4"/>
      <c r="AV435" s="4"/>
      <c r="AW435" s="4"/>
      <c r="AX435" s="4"/>
      <c r="AY435" s="4"/>
      <c r="AZ435" s="4"/>
      <c r="BA435" s="4"/>
      <c r="BB435" s="4"/>
      <c r="BC435" s="4"/>
      <c r="BD435" s="4"/>
      <c r="BE435" s="4"/>
      <c r="BF435" s="4"/>
    </row>
    <row r="436" spans="1:58">
      <c r="A436" s="4"/>
      <c r="B436" s="3"/>
      <c r="C436" s="3"/>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5"/>
      <c r="AR436" s="4"/>
      <c r="AS436" s="4"/>
      <c r="AT436" s="4"/>
      <c r="AU436" s="4"/>
      <c r="AV436" s="4"/>
      <c r="AW436" s="4"/>
      <c r="AX436" s="4"/>
      <c r="AY436" s="4"/>
      <c r="AZ436" s="4"/>
      <c r="BA436" s="4"/>
      <c r="BB436" s="4"/>
      <c r="BC436" s="4"/>
      <c r="BD436" s="4"/>
      <c r="BE436" s="4"/>
      <c r="BF436" s="4"/>
    </row>
    <row r="437" spans="1:58">
      <c r="A437" s="4"/>
      <c r="B437" s="3"/>
      <c r="C437" s="3"/>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5"/>
      <c r="AR437" s="4"/>
      <c r="AS437" s="4"/>
      <c r="AT437" s="4"/>
      <c r="AU437" s="4"/>
      <c r="AV437" s="4"/>
      <c r="AW437" s="4"/>
      <c r="AX437" s="4"/>
      <c r="AY437" s="4"/>
      <c r="AZ437" s="4"/>
      <c r="BA437" s="4"/>
      <c r="BB437" s="4"/>
      <c r="BC437" s="4"/>
      <c r="BD437" s="4"/>
      <c r="BE437" s="4"/>
      <c r="BF437" s="4"/>
    </row>
    <row r="438" spans="1:58">
      <c r="A438" s="4"/>
      <c r="B438" s="3"/>
      <c r="C438" s="3"/>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5"/>
      <c r="AR438" s="4"/>
      <c r="AS438" s="4"/>
      <c r="AT438" s="4"/>
      <c r="AU438" s="4"/>
      <c r="AV438" s="4"/>
      <c r="AW438" s="4"/>
      <c r="AX438" s="4"/>
      <c r="AY438" s="4"/>
      <c r="AZ438" s="4"/>
      <c r="BA438" s="4"/>
      <c r="BB438" s="4"/>
      <c r="BC438" s="4"/>
      <c r="BD438" s="4"/>
      <c r="BE438" s="4"/>
      <c r="BF438" s="4"/>
    </row>
    <row r="439" spans="1:58">
      <c r="A439" s="4"/>
      <c r="B439" s="3"/>
      <c r="C439" s="3"/>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5"/>
      <c r="AR439" s="4"/>
      <c r="AS439" s="4"/>
      <c r="AT439" s="4"/>
      <c r="AU439" s="4"/>
      <c r="AV439" s="4"/>
      <c r="AW439" s="4"/>
      <c r="AX439" s="4"/>
      <c r="AY439" s="4"/>
      <c r="AZ439" s="4"/>
      <c r="BA439" s="4"/>
      <c r="BB439" s="4"/>
      <c r="BC439" s="4"/>
      <c r="BD439" s="4"/>
      <c r="BE439" s="4"/>
      <c r="BF439" s="4"/>
    </row>
    <row r="440" spans="1:58">
      <c r="A440" s="4"/>
      <c r="B440" s="3"/>
      <c r="C440" s="3"/>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5"/>
      <c r="AR440" s="4"/>
      <c r="AS440" s="4"/>
      <c r="AT440" s="4"/>
      <c r="AU440" s="4"/>
      <c r="AV440" s="4"/>
      <c r="AW440" s="4"/>
      <c r="AX440" s="4"/>
      <c r="AY440" s="4"/>
      <c r="AZ440" s="4"/>
      <c r="BA440" s="4"/>
      <c r="BB440" s="4"/>
      <c r="BC440" s="4"/>
      <c r="BD440" s="4"/>
      <c r="BE440" s="4"/>
      <c r="BF440" s="4"/>
    </row>
    <row r="441" spans="1:58">
      <c r="A441" s="4"/>
      <c r="B441" s="3"/>
      <c r="C441" s="3"/>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5"/>
      <c r="AR441" s="4"/>
      <c r="AS441" s="4"/>
      <c r="AT441" s="4"/>
      <c r="AU441" s="4"/>
      <c r="AV441" s="4"/>
      <c r="AW441" s="4"/>
      <c r="AX441" s="4"/>
      <c r="AY441" s="4"/>
      <c r="AZ441" s="4"/>
      <c r="BA441" s="4"/>
      <c r="BB441" s="4"/>
      <c r="BC441" s="4"/>
      <c r="BD441" s="4"/>
      <c r="BE441" s="4"/>
      <c r="BF441" s="4"/>
    </row>
    <row r="442" spans="1:58">
      <c r="A442" s="4"/>
      <c r="B442" s="3"/>
      <c r="C442" s="3"/>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5"/>
      <c r="AR442" s="4"/>
      <c r="AS442" s="4"/>
      <c r="AT442" s="4"/>
      <c r="AU442" s="4"/>
      <c r="AV442" s="4"/>
      <c r="AW442" s="4"/>
      <c r="AX442" s="4"/>
      <c r="AY442" s="4"/>
      <c r="AZ442" s="4"/>
      <c r="BA442" s="4"/>
      <c r="BB442" s="4"/>
      <c r="BC442" s="4"/>
      <c r="BD442" s="4"/>
      <c r="BE442" s="4"/>
      <c r="BF442" s="4"/>
    </row>
    <row r="443" spans="1:58">
      <c r="A443" s="4"/>
      <c r="B443" s="3"/>
      <c r="C443" s="3"/>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5"/>
      <c r="AR443" s="4"/>
      <c r="AS443" s="4"/>
      <c r="AT443" s="4"/>
      <c r="AU443" s="4"/>
      <c r="AV443" s="4"/>
      <c r="AW443" s="4"/>
      <c r="AX443" s="4"/>
      <c r="AY443" s="4"/>
      <c r="AZ443" s="4"/>
      <c r="BA443" s="4"/>
      <c r="BB443" s="4"/>
      <c r="BC443" s="4"/>
      <c r="BD443" s="4"/>
      <c r="BE443" s="4"/>
      <c r="BF443" s="4"/>
    </row>
    <row r="444" spans="1:58">
      <c r="A444" s="4"/>
      <c r="B444" s="3"/>
      <c r="C444" s="3"/>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5"/>
      <c r="AR444" s="4"/>
      <c r="AS444" s="4"/>
      <c r="AT444" s="4"/>
      <c r="AU444" s="4"/>
      <c r="AV444" s="4"/>
      <c r="AW444" s="4"/>
      <c r="AX444" s="4"/>
      <c r="AY444" s="4"/>
      <c r="AZ444" s="4"/>
      <c r="BA444" s="4"/>
      <c r="BB444" s="4"/>
      <c r="BC444" s="4"/>
      <c r="BD444" s="4"/>
      <c r="BE444" s="4"/>
      <c r="BF444" s="4"/>
    </row>
    <row r="445" spans="1:58">
      <c r="A445" s="4"/>
      <c r="B445" s="3"/>
      <c r="C445" s="3"/>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5"/>
      <c r="AR445" s="4"/>
      <c r="AS445" s="4"/>
      <c r="AT445" s="4"/>
      <c r="AU445" s="4"/>
      <c r="AV445" s="4"/>
      <c r="AW445" s="4"/>
      <c r="AX445" s="4"/>
      <c r="AY445" s="4"/>
      <c r="AZ445" s="4"/>
      <c r="BA445" s="4"/>
      <c r="BB445" s="4"/>
      <c r="BC445" s="4"/>
      <c r="BD445" s="4"/>
      <c r="BE445" s="4"/>
      <c r="BF445" s="4"/>
    </row>
    <row r="446" spans="1:58">
      <c r="A446" s="4"/>
      <c r="B446" s="3"/>
      <c r="C446" s="3"/>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5"/>
      <c r="AR446" s="4"/>
      <c r="AS446" s="4"/>
      <c r="AT446" s="4"/>
      <c r="AU446" s="4"/>
      <c r="AV446" s="4"/>
      <c r="AW446" s="4"/>
      <c r="AX446" s="4"/>
      <c r="AY446" s="4"/>
      <c r="AZ446" s="4"/>
      <c r="BA446" s="4"/>
      <c r="BB446" s="4"/>
      <c r="BC446" s="4"/>
      <c r="BD446" s="4"/>
      <c r="BE446" s="4"/>
      <c r="BF446" s="4"/>
    </row>
    <row r="447" spans="1:58">
      <c r="A447" s="4"/>
      <c r="B447" s="3"/>
      <c r="C447" s="3"/>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5"/>
      <c r="AR447" s="4"/>
      <c r="AS447" s="4"/>
      <c r="AT447" s="4"/>
      <c r="AU447" s="4"/>
      <c r="AV447" s="4"/>
      <c r="AW447" s="4"/>
      <c r="AX447" s="4"/>
      <c r="AY447" s="4"/>
      <c r="AZ447" s="4"/>
      <c r="BA447" s="4"/>
      <c r="BB447" s="4"/>
      <c r="BC447" s="4"/>
      <c r="BD447" s="4"/>
      <c r="BE447" s="4"/>
      <c r="BF447" s="4"/>
    </row>
    <row r="448" spans="1:58">
      <c r="A448" s="4"/>
      <c r="B448" s="3"/>
      <c r="C448" s="3"/>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5"/>
      <c r="AR448" s="4"/>
      <c r="AS448" s="4"/>
      <c r="AT448" s="4"/>
      <c r="AU448" s="4"/>
      <c r="AV448" s="4"/>
      <c r="AW448" s="4"/>
      <c r="AX448" s="4"/>
      <c r="AY448" s="4"/>
      <c r="AZ448" s="4"/>
      <c r="BA448" s="4"/>
      <c r="BB448" s="4"/>
      <c r="BC448" s="4"/>
      <c r="BD448" s="4"/>
      <c r="BE448" s="4"/>
      <c r="BF448" s="4"/>
    </row>
    <row r="449" spans="1:58">
      <c r="A449" s="4"/>
      <c r="B449" s="3"/>
      <c r="C449" s="3"/>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5"/>
      <c r="AR449" s="4"/>
      <c r="AS449" s="4"/>
      <c r="AT449" s="4"/>
      <c r="AU449" s="4"/>
      <c r="AV449" s="4"/>
      <c r="AW449" s="4"/>
      <c r="AX449" s="4"/>
      <c r="AY449" s="4"/>
      <c r="AZ449" s="4"/>
      <c r="BA449" s="4"/>
      <c r="BB449" s="4"/>
      <c r="BC449" s="4"/>
      <c r="BD449" s="4"/>
      <c r="BE449" s="4"/>
      <c r="BF449" s="4"/>
    </row>
    <row r="450" spans="1:58">
      <c r="A450" s="4"/>
      <c r="B450" s="3"/>
      <c r="C450" s="3"/>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5"/>
      <c r="AR450" s="4"/>
      <c r="AS450" s="4"/>
      <c r="AT450" s="4"/>
      <c r="AU450" s="4"/>
      <c r="AV450" s="4"/>
      <c r="AW450" s="4"/>
      <c r="AX450" s="4"/>
      <c r="AY450" s="4"/>
      <c r="AZ450" s="4"/>
      <c r="BA450" s="4"/>
      <c r="BB450" s="4"/>
      <c r="BC450" s="4"/>
      <c r="BD450" s="4"/>
      <c r="BE450" s="4"/>
      <c r="BF450" s="4"/>
    </row>
    <row r="451" spans="1:58">
      <c r="A451" s="4"/>
      <c r="B451" s="3"/>
      <c r="C451" s="3"/>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5"/>
      <c r="AR451" s="4"/>
      <c r="AS451" s="4"/>
      <c r="AT451" s="4"/>
      <c r="AU451" s="4"/>
      <c r="AV451" s="4"/>
      <c r="AW451" s="4"/>
      <c r="AX451" s="4"/>
      <c r="AY451" s="4"/>
      <c r="AZ451" s="4"/>
      <c r="BA451" s="4"/>
      <c r="BB451" s="4"/>
      <c r="BC451" s="4"/>
      <c r="BD451" s="4"/>
      <c r="BE451" s="4"/>
      <c r="BF451" s="4"/>
    </row>
    <row r="452" spans="1:58">
      <c r="A452" s="4"/>
      <c r="B452" s="3"/>
      <c r="C452" s="3"/>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5"/>
      <c r="AR452" s="4"/>
      <c r="AS452" s="4"/>
      <c r="AT452" s="4"/>
      <c r="AU452" s="4"/>
      <c r="AV452" s="4"/>
      <c r="AW452" s="4"/>
      <c r="AX452" s="4"/>
      <c r="AY452" s="4"/>
      <c r="AZ452" s="4"/>
      <c r="BA452" s="4"/>
      <c r="BB452" s="4"/>
      <c r="BC452" s="4"/>
      <c r="BD452" s="4"/>
      <c r="BE452" s="4"/>
      <c r="BF452" s="4"/>
    </row>
    <row r="453" spans="1:58">
      <c r="A453" s="4"/>
      <c r="B453" s="3"/>
      <c r="C453" s="3"/>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5"/>
      <c r="AR453" s="4"/>
      <c r="AS453" s="4"/>
      <c r="AT453" s="4"/>
      <c r="AU453" s="4"/>
      <c r="AV453" s="4"/>
      <c r="AW453" s="4"/>
      <c r="AX453" s="4"/>
      <c r="AY453" s="4"/>
      <c r="AZ453" s="4"/>
      <c r="BA453" s="4"/>
      <c r="BB453" s="4"/>
      <c r="BC453" s="4"/>
      <c r="BD453" s="4"/>
      <c r="BE453" s="4"/>
      <c r="BF453" s="4"/>
    </row>
    <row r="454" spans="1:58">
      <c r="A454" s="4"/>
      <c r="B454" s="3"/>
      <c r="C454" s="3"/>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5"/>
      <c r="AR454" s="4"/>
      <c r="AS454" s="4"/>
      <c r="AT454" s="4"/>
      <c r="AU454" s="4"/>
      <c r="AV454" s="4"/>
      <c r="AW454" s="4"/>
      <c r="AX454" s="4"/>
      <c r="AY454" s="4"/>
      <c r="AZ454" s="4"/>
      <c r="BA454" s="4"/>
      <c r="BB454" s="4"/>
      <c r="BC454" s="4"/>
      <c r="BD454" s="4"/>
      <c r="BE454" s="4"/>
      <c r="BF454" s="4"/>
    </row>
    <row r="455" spans="1:58">
      <c r="A455" s="4"/>
      <c r="B455" s="3"/>
      <c r="C455" s="3"/>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5"/>
      <c r="AR455" s="4"/>
      <c r="AS455" s="4"/>
      <c r="AT455" s="4"/>
      <c r="AU455" s="4"/>
      <c r="AV455" s="4"/>
      <c r="AW455" s="4"/>
      <c r="AX455" s="4"/>
      <c r="AY455" s="4"/>
      <c r="AZ455" s="4"/>
      <c r="BA455" s="4"/>
      <c r="BB455" s="4"/>
      <c r="BC455" s="4"/>
      <c r="BD455" s="4"/>
      <c r="BE455" s="4"/>
      <c r="BF455" s="4"/>
    </row>
    <row r="456" spans="1:58">
      <c r="A456" s="4"/>
      <c r="B456" s="3"/>
      <c r="C456" s="3"/>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5"/>
      <c r="AR456" s="4"/>
      <c r="AS456" s="4"/>
      <c r="AT456" s="4"/>
      <c r="AU456" s="4"/>
      <c r="AV456" s="4"/>
      <c r="AW456" s="4"/>
      <c r="AX456" s="4"/>
      <c r="AY456" s="4"/>
      <c r="AZ456" s="4"/>
      <c r="BA456" s="4"/>
      <c r="BB456" s="4"/>
      <c r="BC456" s="4"/>
      <c r="BD456" s="4"/>
      <c r="BE456" s="4"/>
      <c r="BF456" s="4"/>
    </row>
    <row r="457" spans="1:58">
      <c r="A457" s="4"/>
      <c r="B457" s="3"/>
      <c r="C457" s="3"/>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5"/>
      <c r="AR457" s="4"/>
      <c r="AS457" s="4"/>
      <c r="AT457" s="4"/>
      <c r="AU457" s="4"/>
      <c r="AV457" s="4"/>
      <c r="AW457" s="4"/>
      <c r="AX457" s="4"/>
      <c r="AY457" s="4"/>
      <c r="AZ457" s="4"/>
      <c r="BA457" s="4"/>
      <c r="BB457" s="4"/>
      <c r="BC457" s="4"/>
      <c r="BD457" s="4"/>
      <c r="BE457" s="4"/>
      <c r="BF457" s="4"/>
    </row>
    <row r="458" spans="1:58">
      <c r="A458" s="4"/>
      <c r="B458" s="3"/>
      <c r="C458" s="3"/>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5"/>
      <c r="AR458" s="4"/>
      <c r="AS458" s="4"/>
      <c r="AT458" s="4"/>
      <c r="AU458" s="4"/>
      <c r="AV458" s="4"/>
      <c r="AW458" s="4"/>
      <c r="AX458" s="4"/>
      <c r="AY458" s="4"/>
      <c r="AZ458" s="4"/>
      <c r="BA458" s="4"/>
      <c r="BB458" s="4"/>
      <c r="BC458" s="4"/>
      <c r="BD458" s="4"/>
      <c r="BE458" s="4"/>
      <c r="BF458" s="4"/>
    </row>
    <row r="459" spans="1:58">
      <c r="A459" s="4"/>
      <c r="B459" s="3"/>
      <c r="C459" s="3"/>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5"/>
      <c r="AR459" s="4"/>
      <c r="AS459" s="4"/>
      <c r="AT459" s="4"/>
      <c r="AU459" s="4"/>
      <c r="AV459" s="4"/>
      <c r="AW459" s="4"/>
      <c r="AX459" s="4"/>
      <c r="AY459" s="4"/>
      <c r="AZ459" s="4"/>
      <c r="BA459" s="4"/>
      <c r="BB459" s="4"/>
      <c r="BC459" s="4"/>
      <c r="BD459" s="4"/>
      <c r="BE459" s="4"/>
      <c r="BF459" s="4"/>
    </row>
    <row r="460" spans="1:58">
      <c r="A460" s="4"/>
      <c r="B460" s="3"/>
      <c r="C460" s="3"/>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5"/>
      <c r="AR460" s="4"/>
      <c r="AS460" s="4"/>
      <c r="AT460" s="4"/>
      <c r="AU460" s="4"/>
      <c r="AV460" s="4"/>
      <c r="AW460" s="4"/>
      <c r="AX460" s="4"/>
      <c r="AY460" s="4"/>
      <c r="AZ460" s="4"/>
      <c r="BA460" s="4"/>
      <c r="BB460" s="4"/>
      <c r="BC460" s="4"/>
      <c r="BD460" s="4"/>
      <c r="BE460" s="4"/>
      <c r="BF460" s="4"/>
    </row>
    <row r="461" spans="1:58">
      <c r="A461" s="4"/>
      <c r="B461" s="3"/>
      <c r="C461" s="3"/>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5"/>
      <c r="AR461" s="4"/>
      <c r="AS461" s="4"/>
      <c r="AT461" s="4"/>
      <c r="AU461" s="4"/>
      <c r="AV461" s="4"/>
      <c r="AW461" s="4"/>
      <c r="AX461" s="4"/>
      <c r="AY461" s="4"/>
      <c r="AZ461" s="4"/>
      <c r="BA461" s="4"/>
      <c r="BB461" s="4"/>
      <c r="BC461" s="4"/>
      <c r="BD461" s="4"/>
      <c r="BE461" s="4"/>
      <c r="BF461" s="4"/>
    </row>
    <row r="462" spans="1:58">
      <c r="A462" s="4"/>
      <c r="B462" s="3"/>
      <c r="C462" s="3"/>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5"/>
      <c r="AR462" s="4"/>
      <c r="AS462" s="4"/>
      <c r="AT462" s="4"/>
      <c r="AU462" s="4"/>
      <c r="AV462" s="4"/>
      <c r="AW462" s="4"/>
      <c r="AX462" s="4"/>
      <c r="AY462" s="4"/>
      <c r="AZ462" s="4"/>
      <c r="BA462" s="4"/>
      <c r="BB462" s="4"/>
      <c r="BC462" s="4"/>
      <c r="BD462" s="4"/>
      <c r="BE462" s="4"/>
      <c r="BF462" s="4"/>
    </row>
    <row r="463" spans="1:58">
      <c r="A463" s="4"/>
      <c r="B463" s="3"/>
      <c r="C463" s="3"/>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5"/>
      <c r="AR463" s="4"/>
      <c r="AS463" s="4"/>
      <c r="AT463" s="4"/>
      <c r="AU463" s="4"/>
      <c r="AV463" s="4"/>
      <c r="AW463" s="4"/>
      <c r="AX463" s="4"/>
      <c r="AY463" s="4"/>
      <c r="AZ463" s="4"/>
      <c r="BA463" s="4"/>
      <c r="BB463" s="4"/>
      <c r="BC463" s="4"/>
      <c r="BD463" s="4"/>
      <c r="BE463" s="4"/>
      <c r="BF463" s="4"/>
    </row>
    <row r="464" spans="1:58">
      <c r="A464" s="4"/>
      <c r="B464" s="3"/>
      <c r="C464" s="3"/>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5"/>
      <c r="AR464" s="4"/>
      <c r="AS464" s="4"/>
      <c r="AT464" s="4"/>
      <c r="AU464" s="4"/>
      <c r="AV464" s="4"/>
      <c r="AW464" s="4"/>
      <c r="AX464" s="4"/>
      <c r="AY464" s="4"/>
      <c r="AZ464" s="4"/>
      <c r="BA464" s="4"/>
      <c r="BB464" s="4"/>
      <c r="BC464" s="4"/>
      <c r="BD464" s="4"/>
      <c r="BE464" s="4"/>
      <c r="BF464" s="4"/>
    </row>
    <row r="465" spans="1:58">
      <c r="A465" s="4"/>
      <c r="B465" s="3"/>
      <c r="C465" s="3"/>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5"/>
      <c r="AR465" s="4"/>
      <c r="AS465" s="4"/>
      <c r="AT465" s="4"/>
      <c r="AU465" s="4"/>
      <c r="AV465" s="4"/>
      <c r="AW465" s="4"/>
      <c r="AX465" s="4"/>
      <c r="AY465" s="4"/>
      <c r="AZ465" s="4"/>
      <c r="BA465" s="4"/>
      <c r="BB465" s="4"/>
      <c r="BC465" s="4"/>
      <c r="BD465" s="4"/>
      <c r="BE465" s="4"/>
      <c r="BF465" s="4"/>
    </row>
    <row r="466" spans="1:58">
      <c r="A466" s="4"/>
      <c r="B466" s="3"/>
      <c r="C466" s="3"/>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5"/>
      <c r="AR466" s="4"/>
      <c r="AS466" s="4"/>
      <c r="AT466" s="4"/>
      <c r="AU466" s="4"/>
      <c r="AV466" s="4"/>
      <c r="AW466" s="4"/>
      <c r="AX466" s="4"/>
      <c r="AY466" s="4"/>
      <c r="AZ466" s="4"/>
      <c r="BA466" s="4"/>
      <c r="BB466" s="4"/>
      <c r="BC466" s="4"/>
      <c r="BD466" s="4"/>
      <c r="BE466" s="4"/>
      <c r="BF466" s="4"/>
    </row>
    <row r="467" spans="1:58">
      <c r="A467" s="4"/>
      <c r="B467" s="3"/>
      <c r="C467" s="3"/>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5"/>
      <c r="AR467" s="4"/>
      <c r="AS467" s="4"/>
      <c r="AT467" s="4"/>
      <c r="AU467" s="4"/>
      <c r="AV467" s="4"/>
      <c r="AW467" s="4"/>
      <c r="AX467" s="4"/>
      <c r="AY467" s="4"/>
      <c r="AZ467" s="4"/>
      <c r="BA467" s="4"/>
      <c r="BB467" s="4"/>
      <c r="BC467" s="4"/>
      <c r="BD467" s="4"/>
      <c r="BE467" s="4"/>
      <c r="BF467" s="4"/>
    </row>
    <row r="468" spans="1:58">
      <c r="A468" s="4"/>
      <c r="B468" s="3"/>
      <c r="C468" s="3"/>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5"/>
      <c r="AR468" s="4"/>
      <c r="AS468" s="4"/>
      <c r="AT468" s="4"/>
      <c r="AU468" s="4"/>
      <c r="AV468" s="4"/>
      <c r="AW468" s="4"/>
      <c r="AX468" s="4"/>
      <c r="AY468" s="4"/>
      <c r="AZ468" s="4"/>
      <c r="BA468" s="4"/>
      <c r="BB468" s="4"/>
      <c r="BC468" s="4"/>
      <c r="BD468" s="4"/>
      <c r="BE468" s="4"/>
      <c r="BF468" s="4"/>
    </row>
    <row r="469" spans="1:58">
      <c r="A469" s="4"/>
      <c r="B469" s="3"/>
      <c r="C469" s="3"/>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5"/>
      <c r="AR469" s="4"/>
      <c r="AS469" s="4"/>
      <c r="AT469" s="4"/>
      <c r="AU469" s="4"/>
      <c r="AV469" s="4"/>
      <c r="AW469" s="4"/>
      <c r="AX469" s="4"/>
      <c r="AY469" s="4"/>
      <c r="AZ469" s="4"/>
      <c r="BA469" s="4"/>
      <c r="BB469" s="4"/>
      <c r="BC469" s="4"/>
      <c r="BD469" s="4"/>
      <c r="BE469" s="4"/>
      <c r="BF469" s="4"/>
    </row>
    <row r="470" spans="1:58">
      <c r="A470" s="4"/>
      <c r="B470" s="3"/>
      <c r="C470" s="3"/>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5"/>
      <c r="AR470" s="4"/>
      <c r="AS470" s="4"/>
      <c r="AT470" s="4"/>
      <c r="AU470" s="4"/>
      <c r="AV470" s="4"/>
      <c r="AW470" s="4"/>
      <c r="AX470" s="4"/>
      <c r="AY470" s="4"/>
      <c r="AZ470" s="4"/>
      <c r="BA470" s="4"/>
      <c r="BB470" s="4"/>
      <c r="BC470" s="4"/>
      <c r="BD470" s="4"/>
      <c r="BE470" s="4"/>
      <c r="BF470" s="4"/>
    </row>
    <row r="471" spans="1:58">
      <c r="A471" s="4"/>
      <c r="B471" s="3"/>
      <c r="C471" s="3"/>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5"/>
      <c r="AR471" s="4"/>
      <c r="AS471" s="4"/>
      <c r="AT471" s="4"/>
      <c r="AU471" s="4"/>
      <c r="AV471" s="4"/>
      <c r="AW471" s="4"/>
      <c r="AX471" s="4"/>
      <c r="AY471" s="4"/>
      <c r="AZ471" s="4"/>
      <c r="BA471" s="4"/>
      <c r="BB471" s="4"/>
      <c r="BC471" s="4"/>
      <c r="BD471" s="4"/>
      <c r="BE471" s="4"/>
      <c r="BF471" s="4"/>
    </row>
    <row r="472" spans="1:58">
      <c r="A472" s="4"/>
      <c r="B472" s="3"/>
      <c r="C472" s="3"/>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5"/>
      <c r="AR472" s="4"/>
      <c r="AS472" s="4"/>
      <c r="AT472" s="4"/>
      <c r="AU472" s="4"/>
      <c r="AV472" s="4"/>
      <c r="AW472" s="4"/>
      <c r="AX472" s="4"/>
      <c r="AY472" s="4"/>
      <c r="AZ472" s="4"/>
      <c r="BA472" s="4"/>
      <c r="BB472" s="4"/>
      <c r="BC472" s="4"/>
      <c r="BD472" s="4"/>
      <c r="BE472" s="4"/>
      <c r="BF472" s="4"/>
    </row>
    <row r="473" spans="1:58">
      <c r="A473" s="4"/>
      <c r="B473" s="3"/>
      <c r="C473" s="3"/>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5"/>
      <c r="AR473" s="4"/>
      <c r="AS473" s="4"/>
      <c r="AT473" s="4"/>
      <c r="AU473" s="4"/>
      <c r="AV473" s="4"/>
      <c r="AW473" s="4"/>
      <c r="AX473" s="4"/>
      <c r="AY473" s="4"/>
      <c r="AZ473" s="4"/>
      <c r="BA473" s="4"/>
      <c r="BB473" s="4"/>
      <c r="BC473" s="4"/>
      <c r="BD473" s="4"/>
      <c r="BE473" s="4"/>
      <c r="BF473" s="4"/>
    </row>
    <row r="474" spans="1:58">
      <c r="A474" s="4"/>
      <c r="B474" s="3"/>
      <c r="C474" s="3"/>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5"/>
      <c r="AR474" s="4"/>
      <c r="AS474" s="4"/>
      <c r="AT474" s="4"/>
      <c r="AU474" s="4"/>
      <c r="AV474" s="4"/>
      <c r="AW474" s="4"/>
      <c r="AX474" s="4"/>
      <c r="AY474" s="4"/>
      <c r="AZ474" s="4"/>
      <c r="BA474" s="4"/>
      <c r="BB474" s="4"/>
      <c r="BC474" s="4"/>
      <c r="BD474" s="4"/>
      <c r="BE474" s="4"/>
      <c r="BF474" s="4"/>
    </row>
    <row r="475" spans="1:58">
      <c r="A475" s="4"/>
      <c r="B475" s="3"/>
      <c r="C475" s="3"/>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5"/>
      <c r="AR475" s="4"/>
      <c r="AS475" s="4"/>
      <c r="AT475" s="4"/>
      <c r="AU475" s="4"/>
      <c r="AV475" s="4"/>
      <c r="AW475" s="4"/>
      <c r="AX475" s="4"/>
      <c r="AY475" s="4"/>
      <c r="AZ475" s="4"/>
      <c r="BA475" s="4"/>
      <c r="BB475" s="4"/>
      <c r="BC475" s="4"/>
      <c r="BD475" s="4"/>
      <c r="BE475" s="4"/>
      <c r="BF475" s="4"/>
    </row>
    <row r="476" spans="1:58">
      <c r="A476" s="4"/>
      <c r="B476" s="3"/>
      <c r="C476" s="3"/>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5"/>
      <c r="AR476" s="4"/>
      <c r="AS476" s="4"/>
      <c r="AT476" s="4"/>
      <c r="AU476" s="4"/>
      <c r="AV476" s="4"/>
      <c r="AW476" s="4"/>
      <c r="AX476" s="4"/>
      <c r="AY476" s="4"/>
      <c r="AZ476" s="4"/>
      <c r="BA476" s="4"/>
      <c r="BB476" s="4"/>
      <c r="BC476" s="4"/>
      <c r="BD476" s="4"/>
      <c r="BE476" s="4"/>
      <c r="BF476" s="4"/>
    </row>
    <row r="477" spans="1:58">
      <c r="A477" s="4"/>
      <c r="B477" s="3"/>
      <c r="C477" s="3"/>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5"/>
      <c r="AR477" s="4"/>
      <c r="AS477" s="4"/>
      <c r="AT477" s="4"/>
      <c r="AU477" s="4"/>
      <c r="AV477" s="4"/>
      <c r="AW477" s="4"/>
      <c r="AX477" s="4"/>
      <c r="AY477" s="4"/>
      <c r="AZ477" s="4"/>
      <c r="BA477" s="4"/>
      <c r="BB477" s="4"/>
      <c r="BC477" s="4"/>
      <c r="BD477" s="4"/>
      <c r="BE477" s="4"/>
      <c r="BF477" s="4"/>
    </row>
    <row r="478" spans="1:58">
      <c r="A478" s="4"/>
      <c r="B478" s="3"/>
      <c r="C478" s="3"/>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5"/>
      <c r="AR478" s="4"/>
      <c r="AS478" s="4"/>
      <c r="AT478" s="4"/>
      <c r="AU478" s="4"/>
      <c r="AV478" s="4"/>
      <c r="AW478" s="4"/>
      <c r="AX478" s="4"/>
      <c r="AY478" s="4"/>
      <c r="AZ478" s="4"/>
      <c r="BA478" s="4"/>
      <c r="BB478" s="4"/>
      <c r="BC478" s="4"/>
      <c r="BD478" s="4"/>
      <c r="BE478" s="4"/>
      <c r="BF478" s="4"/>
    </row>
    <row r="479" spans="1:58">
      <c r="A479" s="4"/>
      <c r="B479" s="3"/>
      <c r="C479" s="3"/>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5"/>
      <c r="AR479" s="4"/>
      <c r="AS479" s="4"/>
      <c r="AT479" s="4"/>
      <c r="AU479" s="4"/>
      <c r="AV479" s="4"/>
      <c r="AW479" s="4"/>
      <c r="AX479" s="4"/>
      <c r="AY479" s="4"/>
      <c r="AZ479" s="4"/>
      <c r="BA479" s="4"/>
      <c r="BB479" s="4"/>
      <c r="BC479" s="4"/>
      <c r="BD479" s="4"/>
      <c r="BE479" s="4"/>
      <c r="BF479" s="4"/>
    </row>
    <row r="480" spans="1:58">
      <c r="A480" s="4"/>
      <c r="B480" s="3"/>
      <c r="C480" s="3"/>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5"/>
      <c r="AR480" s="4"/>
      <c r="AS480" s="4"/>
      <c r="AT480" s="4"/>
      <c r="AU480" s="4"/>
      <c r="AV480" s="4"/>
      <c r="AW480" s="4"/>
      <c r="AX480" s="4"/>
      <c r="AY480" s="4"/>
      <c r="AZ480" s="4"/>
      <c r="BA480" s="4"/>
      <c r="BB480" s="4"/>
      <c r="BC480" s="4"/>
      <c r="BD480" s="4"/>
      <c r="BE480" s="4"/>
      <c r="BF480" s="4"/>
    </row>
    <row r="481" spans="1:58">
      <c r="A481" s="4"/>
      <c r="B481" s="3"/>
      <c r="C481" s="3"/>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5"/>
      <c r="AR481" s="4"/>
      <c r="AS481" s="4"/>
      <c r="AT481" s="4"/>
      <c r="AU481" s="4"/>
      <c r="AV481" s="4"/>
      <c r="AW481" s="4"/>
      <c r="AX481" s="4"/>
      <c r="AY481" s="4"/>
      <c r="AZ481" s="4"/>
      <c r="BA481" s="4"/>
      <c r="BB481" s="4"/>
      <c r="BC481" s="4"/>
      <c r="BD481" s="4"/>
      <c r="BE481" s="4"/>
      <c r="BF481" s="4"/>
    </row>
    <row r="482" spans="1:58">
      <c r="A482" s="4"/>
      <c r="B482" s="3"/>
      <c r="C482" s="3"/>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5"/>
      <c r="AR482" s="4"/>
      <c r="AS482" s="4"/>
      <c r="AT482" s="4"/>
      <c r="AU482" s="4"/>
      <c r="AV482" s="4"/>
      <c r="AW482" s="4"/>
      <c r="AX482" s="4"/>
      <c r="AY482" s="4"/>
      <c r="AZ482" s="4"/>
      <c r="BA482" s="4"/>
      <c r="BB482" s="4"/>
      <c r="BC482" s="4"/>
      <c r="BD482" s="4"/>
      <c r="BE482" s="4"/>
      <c r="BF482" s="4"/>
    </row>
    <row r="483" spans="1:58">
      <c r="A483" s="4"/>
      <c r="B483" s="3"/>
      <c r="C483" s="3"/>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5"/>
      <c r="AR483" s="4"/>
      <c r="AS483" s="4"/>
      <c r="AT483" s="4"/>
      <c r="AU483" s="4"/>
      <c r="AV483" s="4"/>
      <c r="AW483" s="4"/>
      <c r="AX483" s="4"/>
      <c r="AY483" s="4"/>
      <c r="AZ483" s="4"/>
      <c r="BA483" s="4"/>
      <c r="BB483" s="4"/>
      <c r="BC483" s="4"/>
      <c r="BD483" s="4"/>
      <c r="BE483" s="4"/>
      <c r="BF483" s="4"/>
    </row>
    <row r="484" spans="1:58">
      <c r="A484" s="4"/>
      <c r="B484" s="3"/>
      <c r="C484" s="3"/>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5"/>
      <c r="AR484" s="4"/>
      <c r="AS484" s="4"/>
      <c r="AT484" s="4"/>
      <c r="AU484" s="4"/>
      <c r="AV484" s="4"/>
      <c r="AW484" s="4"/>
      <c r="AX484" s="4"/>
      <c r="AY484" s="4"/>
      <c r="AZ484" s="4"/>
      <c r="BA484" s="4"/>
      <c r="BB484" s="4"/>
      <c r="BC484" s="4"/>
      <c r="BD484" s="4"/>
      <c r="BE484" s="4"/>
      <c r="BF484" s="4"/>
    </row>
    <row r="485" spans="1:58">
      <c r="A485" s="4"/>
      <c r="B485" s="3"/>
      <c r="C485" s="3"/>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5"/>
      <c r="AR485" s="4"/>
      <c r="AS485" s="4"/>
      <c r="AT485" s="4"/>
      <c r="AU485" s="4"/>
      <c r="AV485" s="4"/>
      <c r="AW485" s="4"/>
      <c r="AX485" s="4"/>
      <c r="AY485" s="4"/>
      <c r="AZ485" s="4"/>
      <c r="BA485" s="4"/>
      <c r="BB485" s="4"/>
      <c r="BC485" s="4"/>
      <c r="BD485" s="4"/>
      <c r="BE485" s="4"/>
      <c r="BF485" s="4"/>
    </row>
    <row r="486" spans="1:58">
      <c r="A486" s="4"/>
      <c r="B486" s="3"/>
      <c r="C486" s="3"/>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5"/>
      <c r="AR486" s="4"/>
      <c r="AS486" s="4"/>
      <c r="AT486" s="4"/>
      <c r="AU486" s="4"/>
      <c r="AV486" s="4"/>
      <c r="AW486" s="4"/>
      <c r="AX486" s="4"/>
      <c r="AY486" s="4"/>
      <c r="AZ486" s="4"/>
      <c r="BA486" s="4"/>
      <c r="BB486" s="4"/>
      <c r="BC486" s="4"/>
      <c r="BD486" s="4"/>
      <c r="BE486" s="4"/>
      <c r="BF486" s="4"/>
    </row>
    <row r="487" spans="1:58">
      <c r="A487" s="4"/>
      <c r="B487" s="3"/>
      <c r="C487" s="3"/>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5"/>
      <c r="AR487" s="4"/>
      <c r="AS487" s="4"/>
      <c r="AT487" s="4"/>
      <c r="AU487" s="4"/>
      <c r="AV487" s="4"/>
      <c r="AW487" s="4"/>
      <c r="AX487" s="4"/>
      <c r="AY487" s="4"/>
      <c r="AZ487" s="4"/>
      <c r="BA487" s="4"/>
      <c r="BB487" s="4"/>
      <c r="BC487" s="4"/>
      <c r="BD487" s="4"/>
      <c r="BE487" s="4"/>
      <c r="BF487" s="4"/>
    </row>
    <row r="488" spans="1:58">
      <c r="A488" s="4"/>
      <c r="B488" s="3"/>
      <c r="C488" s="3"/>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5"/>
      <c r="AR488" s="4"/>
      <c r="AS488" s="4"/>
      <c r="AT488" s="4"/>
      <c r="AU488" s="4"/>
      <c r="AV488" s="4"/>
      <c r="AW488" s="4"/>
      <c r="AX488" s="4"/>
      <c r="AY488" s="4"/>
      <c r="AZ488" s="4"/>
      <c r="BA488" s="4"/>
      <c r="BB488" s="4"/>
      <c r="BC488" s="4"/>
      <c r="BD488" s="4"/>
      <c r="BE488" s="4"/>
      <c r="BF488" s="4"/>
    </row>
    <row r="489" spans="1:58">
      <c r="A489" s="4"/>
      <c r="B489" s="3"/>
      <c r="C489" s="3"/>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5"/>
      <c r="AR489" s="4"/>
      <c r="AS489" s="4"/>
      <c r="AT489" s="4"/>
      <c r="AU489" s="4"/>
      <c r="AV489" s="4"/>
      <c r="AW489" s="4"/>
      <c r="AX489" s="4"/>
      <c r="AY489" s="4"/>
      <c r="AZ489" s="4"/>
      <c r="BA489" s="4"/>
      <c r="BB489" s="4"/>
      <c r="BC489" s="4"/>
      <c r="BD489" s="4"/>
      <c r="BE489" s="4"/>
      <c r="BF489" s="4"/>
    </row>
    <row r="490" spans="1:58">
      <c r="A490" s="4"/>
      <c r="B490" s="3"/>
      <c r="C490" s="3"/>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5"/>
      <c r="AR490" s="4"/>
      <c r="AS490" s="4"/>
      <c r="AT490" s="4"/>
      <c r="AU490" s="4"/>
      <c r="AV490" s="4"/>
      <c r="AW490" s="4"/>
      <c r="AX490" s="4"/>
      <c r="AY490" s="4"/>
      <c r="AZ490" s="4"/>
      <c r="BA490" s="4"/>
      <c r="BB490" s="4"/>
      <c r="BC490" s="4"/>
      <c r="BD490" s="4"/>
      <c r="BE490" s="4"/>
      <c r="BF490" s="4"/>
    </row>
    <row r="491" spans="1:58">
      <c r="A491" s="4"/>
      <c r="B491" s="3"/>
      <c r="C491" s="3"/>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5"/>
      <c r="AR491" s="4"/>
      <c r="AS491" s="4"/>
      <c r="AT491" s="4"/>
      <c r="AU491" s="4"/>
      <c r="AV491" s="4"/>
      <c r="AW491" s="4"/>
      <c r="AX491" s="4"/>
      <c r="AY491" s="4"/>
      <c r="AZ491" s="4"/>
      <c r="BA491" s="4"/>
      <c r="BB491" s="4"/>
      <c r="BC491" s="4"/>
      <c r="BD491" s="4"/>
      <c r="BE491" s="4"/>
      <c r="BF491" s="4"/>
    </row>
    <row r="492" spans="1:58">
      <c r="A492" s="4"/>
      <c r="B492" s="3"/>
      <c r="C492" s="3"/>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5"/>
      <c r="AR492" s="4"/>
      <c r="AS492" s="4"/>
      <c r="AT492" s="4"/>
      <c r="AU492" s="4"/>
      <c r="AV492" s="4"/>
      <c r="AW492" s="4"/>
      <c r="AX492" s="4"/>
      <c r="AY492" s="4"/>
      <c r="AZ492" s="4"/>
      <c r="BA492" s="4"/>
      <c r="BB492" s="4"/>
      <c r="BC492" s="4"/>
      <c r="BD492" s="4"/>
      <c r="BE492" s="4"/>
      <c r="BF492" s="4"/>
    </row>
    <row r="493" spans="1:58">
      <c r="A493" s="4"/>
      <c r="B493" s="3"/>
      <c r="C493" s="3"/>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5"/>
      <c r="AR493" s="4"/>
      <c r="AS493" s="4"/>
      <c r="AT493" s="4"/>
      <c r="AU493" s="4"/>
      <c r="AV493" s="4"/>
      <c r="AW493" s="4"/>
      <c r="AX493" s="4"/>
      <c r="AY493" s="4"/>
      <c r="AZ493" s="4"/>
      <c r="BA493" s="4"/>
      <c r="BB493" s="4"/>
      <c r="BC493" s="4"/>
      <c r="BD493" s="4"/>
      <c r="BE493" s="4"/>
      <c r="BF493" s="4"/>
    </row>
    <row r="494" spans="1:58">
      <c r="A494" s="4"/>
      <c r="B494" s="3"/>
      <c r="C494" s="3"/>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5"/>
      <c r="AR494" s="4"/>
      <c r="AS494" s="4"/>
      <c r="AT494" s="4"/>
      <c r="AU494" s="4"/>
      <c r="AV494" s="4"/>
      <c r="AW494" s="4"/>
      <c r="AX494" s="4"/>
      <c r="AY494" s="4"/>
      <c r="AZ494" s="4"/>
      <c r="BA494" s="4"/>
      <c r="BB494" s="4"/>
      <c r="BC494" s="4"/>
      <c r="BD494" s="4"/>
      <c r="BE494" s="4"/>
      <c r="BF494" s="4"/>
    </row>
    <row r="495" spans="1:58">
      <c r="A495" s="4"/>
      <c r="B495" s="3"/>
      <c r="C495" s="3"/>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5"/>
      <c r="AR495" s="4"/>
      <c r="AS495" s="4"/>
      <c r="AT495" s="4"/>
      <c r="AU495" s="4"/>
      <c r="AV495" s="4"/>
      <c r="AW495" s="4"/>
      <c r="AX495" s="4"/>
      <c r="AY495" s="4"/>
      <c r="AZ495" s="4"/>
      <c r="BA495" s="4"/>
      <c r="BB495" s="4"/>
      <c r="BC495" s="4"/>
      <c r="BD495" s="4"/>
      <c r="BE495" s="4"/>
      <c r="BF495" s="4"/>
    </row>
    <row r="496" spans="1:58">
      <c r="A496" s="4"/>
      <c r="B496" s="3"/>
      <c r="C496" s="3"/>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5"/>
      <c r="AR496" s="4"/>
      <c r="AS496" s="4"/>
      <c r="AT496" s="4"/>
      <c r="AU496" s="4"/>
      <c r="AV496" s="4"/>
      <c r="AW496" s="4"/>
      <c r="AX496" s="4"/>
      <c r="AY496" s="4"/>
      <c r="AZ496" s="4"/>
      <c r="BA496" s="4"/>
      <c r="BB496" s="4"/>
      <c r="BC496" s="4"/>
      <c r="BD496" s="4"/>
      <c r="BE496" s="4"/>
      <c r="BF496" s="4"/>
    </row>
    <row r="497" spans="1:58">
      <c r="A497" s="4"/>
      <c r="B497" s="3"/>
      <c r="C497" s="3"/>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5"/>
      <c r="AR497" s="4"/>
      <c r="AS497" s="4"/>
      <c r="AT497" s="4"/>
      <c r="AU497" s="4"/>
      <c r="AV497" s="4"/>
      <c r="AW497" s="4"/>
      <c r="AX497" s="4"/>
      <c r="AY497" s="4"/>
      <c r="AZ497" s="4"/>
      <c r="BA497" s="4"/>
      <c r="BB497" s="4"/>
      <c r="BC497" s="4"/>
      <c r="BD497" s="4"/>
      <c r="BE497" s="4"/>
      <c r="BF497" s="4"/>
    </row>
    <row r="498" spans="1:58">
      <c r="A498" s="4"/>
      <c r="B498" s="3"/>
      <c r="C498" s="3"/>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5"/>
      <c r="AR498" s="4"/>
      <c r="AS498" s="4"/>
      <c r="AT498" s="4"/>
      <c r="AU498" s="4"/>
      <c r="AV498" s="4"/>
      <c r="AW498" s="4"/>
      <c r="AX498" s="4"/>
      <c r="AY498" s="4"/>
      <c r="AZ498" s="4"/>
      <c r="BA498" s="4"/>
      <c r="BB498" s="4"/>
      <c r="BC498" s="4"/>
      <c r="BD498" s="4"/>
      <c r="BE498" s="4"/>
      <c r="BF498" s="4"/>
    </row>
    <row r="499" spans="1:58">
      <c r="A499" s="4"/>
      <c r="B499" s="3"/>
      <c r="C499" s="3"/>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5"/>
      <c r="AR499" s="4"/>
      <c r="AS499" s="4"/>
      <c r="AT499" s="4"/>
      <c r="AU499" s="4"/>
      <c r="AV499" s="4"/>
      <c r="AW499" s="4"/>
      <c r="AX499" s="4"/>
      <c r="AY499" s="4"/>
      <c r="AZ499" s="4"/>
      <c r="BA499" s="4"/>
      <c r="BB499" s="4"/>
      <c r="BC499" s="4"/>
      <c r="BD499" s="4"/>
      <c r="BE499" s="4"/>
      <c r="BF499" s="4"/>
    </row>
    <row r="500" spans="1:58">
      <c r="A500" s="4"/>
      <c r="B500" s="3"/>
      <c r="C500" s="3"/>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5"/>
      <c r="AR500" s="4"/>
      <c r="AS500" s="4"/>
      <c r="AT500" s="4"/>
      <c r="AU500" s="4"/>
      <c r="AV500" s="4"/>
      <c r="AW500" s="4"/>
      <c r="AX500" s="4"/>
      <c r="AY500" s="4"/>
      <c r="AZ500" s="4"/>
      <c r="BA500" s="4"/>
      <c r="BB500" s="4"/>
      <c r="BC500" s="4"/>
      <c r="BD500" s="4"/>
      <c r="BE500" s="4"/>
      <c r="BF500" s="4"/>
    </row>
    <row r="501" spans="1:58">
      <c r="A501" s="4"/>
      <c r="B501" s="3"/>
      <c r="C501" s="3"/>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5"/>
      <c r="AR501" s="4"/>
      <c r="AS501" s="4"/>
      <c r="AT501" s="4"/>
      <c r="AU501" s="4"/>
      <c r="AV501" s="4"/>
      <c r="AW501" s="4"/>
      <c r="AX501" s="4"/>
      <c r="AY501" s="4"/>
      <c r="AZ501" s="4"/>
      <c r="BA501" s="4"/>
      <c r="BB501" s="4"/>
      <c r="BC501" s="4"/>
      <c r="BD501" s="4"/>
      <c r="BE501" s="4"/>
      <c r="BF501" s="4"/>
    </row>
    <row r="502" spans="1:58">
      <c r="A502" s="4"/>
      <c r="B502" s="3"/>
      <c r="C502" s="3"/>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5"/>
      <c r="AR502" s="4"/>
      <c r="AS502" s="4"/>
      <c r="AT502" s="4"/>
      <c r="AU502" s="4"/>
      <c r="AV502" s="4"/>
      <c r="AW502" s="4"/>
      <c r="AX502" s="4"/>
      <c r="AY502" s="4"/>
      <c r="AZ502" s="4"/>
      <c r="BA502" s="4"/>
      <c r="BB502" s="4"/>
      <c r="BC502" s="4"/>
      <c r="BD502" s="4"/>
      <c r="BE502" s="4"/>
      <c r="BF502" s="4"/>
    </row>
    <row r="503" spans="1:58">
      <c r="A503" s="4"/>
      <c r="B503" s="3"/>
      <c r="C503" s="3"/>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5"/>
      <c r="AR503" s="4"/>
      <c r="AS503" s="4"/>
      <c r="AT503" s="4"/>
      <c r="AU503" s="4"/>
      <c r="AV503" s="4"/>
      <c r="AW503" s="4"/>
      <c r="AX503" s="4"/>
      <c r="AY503" s="4"/>
      <c r="AZ503" s="4"/>
      <c r="BA503" s="4"/>
      <c r="BB503" s="4"/>
      <c r="BC503" s="4"/>
      <c r="BD503" s="4"/>
      <c r="BE503" s="4"/>
      <c r="BF503" s="4"/>
    </row>
    <row r="504" spans="1:58">
      <c r="A504" s="4"/>
      <c r="B504" s="3"/>
      <c r="C504" s="3"/>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5"/>
      <c r="AR504" s="4"/>
      <c r="AS504" s="4"/>
      <c r="AT504" s="4"/>
      <c r="AU504" s="4"/>
      <c r="AV504" s="4"/>
      <c r="AW504" s="4"/>
      <c r="AX504" s="4"/>
      <c r="AY504" s="4"/>
      <c r="AZ504" s="4"/>
      <c r="BA504" s="4"/>
      <c r="BB504" s="4"/>
      <c r="BC504" s="4"/>
      <c r="BD504" s="4"/>
      <c r="BE504" s="4"/>
      <c r="BF504" s="4"/>
    </row>
    <row r="505" spans="1:58">
      <c r="A505" s="4"/>
      <c r="B505" s="3"/>
      <c r="C505" s="3"/>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5"/>
      <c r="AR505" s="4"/>
      <c r="AS505" s="4"/>
      <c r="AT505" s="4"/>
      <c r="AU505" s="4"/>
      <c r="AV505" s="4"/>
      <c r="AW505" s="4"/>
      <c r="AX505" s="4"/>
      <c r="AY505" s="4"/>
      <c r="AZ505" s="4"/>
      <c r="BA505" s="4"/>
      <c r="BB505" s="4"/>
      <c r="BC505" s="4"/>
      <c r="BD505" s="4"/>
      <c r="BE505" s="4"/>
      <c r="BF505" s="4"/>
    </row>
    <row r="506" spans="1:58">
      <c r="A506" s="4"/>
      <c r="B506" s="3"/>
      <c r="C506" s="3"/>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5"/>
      <c r="AR506" s="4"/>
      <c r="AS506" s="4"/>
      <c r="AT506" s="4"/>
      <c r="AU506" s="4"/>
      <c r="AV506" s="4"/>
      <c r="AW506" s="4"/>
      <c r="AX506" s="4"/>
      <c r="AY506" s="4"/>
      <c r="AZ506" s="4"/>
      <c r="BA506" s="4"/>
      <c r="BB506" s="4"/>
      <c r="BC506" s="4"/>
      <c r="BD506" s="4"/>
      <c r="BE506" s="4"/>
      <c r="BF506" s="4"/>
    </row>
    <row r="507" spans="1:58">
      <c r="A507" s="4"/>
      <c r="B507" s="3"/>
      <c r="C507" s="3"/>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5"/>
      <c r="AR507" s="4"/>
      <c r="AS507" s="4"/>
      <c r="AT507" s="4"/>
      <c r="AU507" s="4"/>
      <c r="AV507" s="4"/>
      <c r="AW507" s="4"/>
      <c r="AX507" s="4"/>
      <c r="AY507" s="4"/>
      <c r="AZ507" s="4"/>
      <c r="BA507" s="4"/>
      <c r="BB507" s="4"/>
      <c r="BC507" s="4"/>
      <c r="BD507" s="4"/>
      <c r="BE507" s="4"/>
      <c r="BF507" s="4"/>
    </row>
    <row r="508" spans="1:58">
      <c r="A508" s="4"/>
      <c r="B508" s="3"/>
      <c r="C508" s="3"/>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5"/>
      <c r="AR508" s="4"/>
      <c r="AS508" s="4"/>
      <c r="AT508" s="4"/>
      <c r="AU508" s="4"/>
      <c r="AV508" s="4"/>
      <c r="AW508" s="4"/>
      <c r="AX508" s="4"/>
      <c r="AY508" s="4"/>
      <c r="AZ508" s="4"/>
      <c r="BA508" s="4"/>
      <c r="BB508" s="4"/>
      <c r="BC508" s="4"/>
      <c r="BD508" s="4"/>
      <c r="BE508" s="4"/>
      <c r="BF508" s="4"/>
    </row>
    <row r="509" spans="1:58">
      <c r="A509" s="4"/>
      <c r="B509" s="3"/>
      <c r="C509" s="3"/>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5"/>
      <c r="AR509" s="4"/>
      <c r="AS509" s="4"/>
      <c r="AT509" s="4"/>
      <c r="AU509" s="4"/>
      <c r="AV509" s="4"/>
      <c r="AW509" s="4"/>
      <c r="AX509" s="4"/>
      <c r="AY509" s="4"/>
      <c r="AZ509" s="4"/>
      <c r="BA509" s="4"/>
      <c r="BB509" s="4"/>
      <c r="BC509" s="4"/>
      <c r="BD509" s="4"/>
      <c r="BE509" s="4"/>
      <c r="BF509" s="4"/>
    </row>
    <row r="510" spans="1:58">
      <c r="A510" s="4"/>
      <c r="B510" s="3"/>
      <c r="C510" s="3"/>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5"/>
      <c r="AR510" s="4"/>
      <c r="AS510" s="4"/>
      <c r="AT510" s="4"/>
      <c r="AU510" s="4"/>
      <c r="AV510" s="4"/>
      <c r="AW510" s="4"/>
      <c r="AX510" s="4"/>
      <c r="AY510" s="4"/>
      <c r="AZ510" s="4"/>
      <c r="BA510" s="4"/>
      <c r="BB510" s="4"/>
      <c r="BC510" s="4"/>
      <c r="BD510" s="4"/>
      <c r="BE510" s="4"/>
      <c r="BF510" s="4"/>
    </row>
    <row r="511" spans="1:58">
      <c r="A511" s="4"/>
      <c r="B511" s="3"/>
      <c r="C511" s="3"/>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5"/>
      <c r="AR511" s="4"/>
      <c r="AS511" s="4"/>
      <c r="AT511" s="4"/>
      <c r="AU511" s="4"/>
      <c r="AV511" s="4"/>
      <c r="AW511" s="4"/>
      <c r="AX511" s="4"/>
      <c r="AY511" s="4"/>
      <c r="AZ511" s="4"/>
      <c r="BA511" s="4"/>
      <c r="BB511" s="4"/>
      <c r="BC511" s="4"/>
      <c r="BD511" s="4"/>
      <c r="BE511" s="4"/>
      <c r="BF511" s="4"/>
    </row>
    <row r="512" spans="1:58">
      <c r="A512" s="4"/>
      <c r="B512" s="3"/>
      <c r="C512" s="3"/>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5"/>
      <c r="AR512" s="4"/>
      <c r="AS512" s="4"/>
      <c r="AT512" s="4"/>
      <c r="AU512" s="4"/>
      <c r="AV512" s="4"/>
      <c r="AW512" s="4"/>
      <c r="AX512" s="4"/>
      <c r="AY512" s="4"/>
      <c r="AZ512" s="4"/>
      <c r="BA512" s="4"/>
      <c r="BB512" s="4"/>
      <c r="BC512" s="4"/>
      <c r="BD512" s="4"/>
      <c r="BE512" s="4"/>
      <c r="BF512" s="4"/>
    </row>
    <row r="513" spans="1:58">
      <c r="A513" s="4"/>
      <c r="B513" s="3"/>
      <c r="C513" s="3"/>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5"/>
      <c r="AR513" s="4"/>
      <c r="AS513" s="4"/>
      <c r="AT513" s="4"/>
      <c r="AU513" s="4"/>
      <c r="AV513" s="4"/>
      <c r="AW513" s="4"/>
      <c r="AX513" s="4"/>
      <c r="AY513" s="4"/>
      <c r="AZ513" s="4"/>
      <c r="BA513" s="4"/>
      <c r="BB513" s="4"/>
      <c r="BC513" s="4"/>
      <c r="BD513" s="4"/>
      <c r="BE513" s="4"/>
      <c r="BF513" s="4"/>
    </row>
    <row r="514" spans="1:58">
      <c r="A514" s="4"/>
      <c r="B514" s="3"/>
      <c r="C514" s="3"/>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5"/>
      <c r="AR514" s="4"/>
      <c r="AS514" s="4"/>
      <c r="AT514" s="4"/>
      <c r="AU514" s="4"/>
      <c r="AV514" s="4"/>
      <c r="AW514" s="4"/>
      <c r="AX514" s="4"/>
      <c r="AY514" s="4"/>
      <c r="AZ514" s="4"/>
      <c r="BA514" s="4"/>
      <c r="BB514" s="4"/>
      <c r="BC514" s="4"/>
      <c r="BD514" s="4"/>
      <c r="BE514" s="4"/>
      <c r="BF514" s="4"/>
    </row>
    <row r="515" spans="1:58">
      <c r="A515" s="4"/>
      <c r="B515" s="3"/>
      <c r="C515" s="3"/>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5"/>
      <c r="AR515" s="4"/>
      <c r="AS515" s="4"/>
      <c r="AT515" s="4"/>
      <c r="AU515" s="4"/>
      <c r="AV515" s="4"/>
      <c r="AW515" s="4"/>
      <c r="AX515" s="4"/>
      <c r="AY515" s="4"/>
      <c r="AZ515" s="4"/>
      <c r="BA515" s="4"/>
      <c r="BB515" s="4"/>
      <c r="BC515" s="4"/>
      <c r="BD515" s="4"/>
      <c r="BE515" s="4"/>
      <c r="BF515" s="4"/>
    </row>
    <row r="516" spans="1:58">
      <c r="A516" s="4"/>
      <c r="B516" s="3"/>
      <c r="C516" s="3"/>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5"/>
      <c r="AR516" s="4"/>
      <c r="AS516" s="4"/>
      <c r="AT516" s="4"/>
      <c r="AU516" s="4"/>
      <c r="AV516" s="4"/>
      <c r="AW516" s="4"/>
      <c r="AX516" s="4"/>
      <c r="AY516" s="4"/>
      <c r="AZ516" s="4"/>
      <c r="BA516" s="4"/>
      <c r="BB516" s="4"/>
      <c r="BC516" s="4"/>
      <c r="BD516" s="4"/>
      <c r="BE516" s="4"/>
      <c r="BF516" s="4"/>
    </row>
    <row r="517" spans="1:58">
      <c r="A517" s="4"/>
      <c r="B517" s="3"/>
      <c r="C517" s="3"/>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5"/>
      <c r="AR517" s="4"/>
      <c r="AS517" s="4"/>
      <c r="AT517" s="4"/>
      <c r="AU517" s="4"/>
      <c r="AV517" s="4"/>
      <c r="AW517" s="4"/>
      <c r="AX517" s="4"/>
      <c r="AY517" s="4"/>
      <c r="AZ517" s="4"/>
      <c r="BA517" s="4"/>
      <c r="BB517" s="4"/>
      <c r="BC517" s="4"/>
      <c r="BD517" s="4"/>
      <c r="BE517" s="4"/>
      <c r="BF517" s="4"/>
    </row>
    <row r="518" spans="1:58">
      <c r="A518" s="4"/>
      <c r="B518" s="3"/>
      <c r="C518" s="3"/>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5"/>
      <c r="AR518" s="4"/>
      <c r="AS518" s="4"/>
      <c r="AT518" s="4"/>
      <c r="AU518" s="4"/>
      <c r="AV518" s="4"/>
      <c r="AW518" s="4"/>
      <c r="AX518" s="4"/>
      <c r="AY518" s="4"/>
      <c r="AZ518" s="4"/>
      <c r="BA518" s="4"/>
      <c r="BB518" s="4"/>
      <c r="BC518" s="4"/>
      <c r="BD518" s="4"/>
      <c r="BE518" s="4"/>
      <c r="BF518" s="4"/>
    </row>
    <row r="519" spans="1:58">
      <c r="A519" s="4"/>
      <c r="B519" s="3"/>
      <c r="C519" s="3"/>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5"/>
      <c r="AR519" s="4"/>
      <c r="AS519" s="4"/>
      <c r="AT519" s="4"/>
      <c r="AU519" s="4"/>
      <c r="AV519" s="4"/>
      <c r="AW519" s="4"/>
      <c r="AX519" s="4"/>
      <c r="AY519" s="4"/>
      <c r="AZ519" s="4"/>
      <c r="BA519" s="4"/>
      <c r="BB519" s="4"/>
      <c r="BC519" s="4"/>
      <c r="BD519" s="4"/>
      <c r="BE519" s="4"/>
      <c r="BF519" s="4"/>
    </row>
    <row r="520" spans="1:58">
      <c r="A520" s="4"/>
      <c r="B520" s="3"/>
      <c r="C520" s="3"/>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5"/>
      <c r="AR520" s="4"/>
      <c r="AS520" s="4"/>
      <c r="AT520" s="4"/>
      <c r="AU520" s="4"/>
      <c r="AV520" s="4"/>
      <c r="AW520" s="4"/>
      <c r="AX520" s="4"/>
      <c r="AY520" s="4"/>
      <c r="AZ520" s="4"/>
      <c r="BA520" s="4"/>
      <c r="BB520" s="4"/>
      <c r="BC520" s="4"/>
      <c r="BD520" s="4"/>
      <c r="BE520" s="4"/>
      <c r="BF520" s="4"/>
    </row>
    <row r="521" spans="1:58">
      <c r="A521" s="4"/>
      <c r="B521" s="3"/>
      <c r="C521" s="3"/>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5"/>
      <c r="AR521" s="4"/>
      <c r="AS521" s="4"/>
      <c r="AT521" s="4"/>
      <c r="AU521" s="4"/>
      <c r="AV521" s="4"/>
      <c r="AW521" s="4"/>
      <c r="AX521" s="4"/>
      <c r="AY521" s="4"/>
      <c r="AZ521" s="4"/>
      <c r="BA521" s="4"/>
      <c r="BB521" s="4"/>
      <c r="BC521" s="4"/>
      <c r="BD521" s="4"/>
      <c r="BE521" s="4"/>
      <c r="BF521" s="4"/>
    </row>
    <row r="522" spans="1:58">
      <c r="A522" s="4"/>
      <c r="B522" s="3"/>
      <c r="C522" s="3"/>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5"/>
      <c r="AR522" s="4"/>
      <c r="AS522" s="4"/>
      <c r="AT522" s="4"/>
      <c r="AU522" s="4"/>
      <c r="AV522" s="4"/>
      <c r="AW522" s="4"/>
      <c r="AX522" s="4"/>
      <c r="AY522" s="4"/>
      <c r="AZ522" s="4"/>
      <c r="BA522" s="4"/>
      <c r="BB522" s="4"/>
      <c r="BC522" s="4"/>
      <c r="BD522" s="4"/>
      <c r="BE522" s="4"/>
      <c r="BF522" s="4"/>
    </row>
    <row r="523" spans="1:58">
      <c r="A523" s="4"/>
      <c r="B523" s="3"/>
      <c r="C523" s="3"/>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5"/>
      <c r="AR523" s="4"/>
      <c r="AS523" s="4"/>
      <c r="AT523" s="4"/>
      <c r="AU523" s="4"/>
      <c r="AV523" s="4"/>
      <c r="AW523" s="4"/>
      <c r="AX523" s="4"/>
      <c r="AY523" s="4"/>
      <c r="AZ523" s="4"/>
      <c r="BA523" s="4"/>
      <c r="BB523" s="4"/>
      <c r="BC523" s="4"/>
      <c r="BD523" s="4"/>
      <c r="BE523" s="4"/>
      <c r="BF523" s="4"/>
    </row>
    <row r="524" spans="1:58">
      <c r="A524" s="4"/>
      <c r="B524" s="3"/>
      <c r="C524" s="3"/>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5"/>
      <c r="AR524" s="4"/>
      <c r="AS524" s="4"/>
      <c r="AT524" s="4"/>
      <c r="AU524" s="4"/>
      <c r="AV524" s="4"/>
      <c r="AW524" s="4"/>
      <c r="AX524" s="4"/>
      <c r="AY524" s="4"/>
      <c r="AZ524" s="4"/>
      <c r="BA524" s="4"/>
      <c r="BB524" s="4"/>
      <c r="BC524" s="4"/>
      <c r="BD524" s="4"/>
      <c r="BE524" s="4"/>
      <c r="BF524" s="4"/>
    </row>
    <row r="525" spans="1:58">
      <c r="A525" s="4"/>
      <c r="B525" s="3"/>
      <c r="C525" s="3"/>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5"/>
      <c r="AR525" s="4"/>
      <c r="AS525" s="4"/>
      <c r="AT525" s="4"/>
      <c r="AU525" s="4"/>
      <c r="AV525" s="4"/>
      <c r="AW525" s="4"/>
      <c r="AX525" s="4"/>
      <c r="AY525" s="4"/>
      <c r="AZ525" s="4"/>
      <c r="BA525" s="4"/>
      <c r="BB525" s="4"/>
      <c r="BC525" s="4"/>
      <c r="BD525" s="4"/>
      <c r="BE525" s="4"/>
      <c r="BF525" s="4"/>
    </row>
    <row r="526" spans="1:58">
      <c r="A526" s="4"/>
      <c r="B526" s="3"/>
      <c r="C526" s="3"/>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5"/>
      <c r="AR526" s="4"/>
      <c r="AS526" s="4"/>
      <c r="AT526" s="4"/>
      <c r="AU526" s="4"/>
      <c r="AV526" s="4"/>
      <c r="AW526" s="4"/>
      <c r="AX526" s="4"/>
      <c r="AY526" s="4"/>
      <c r="AZ526" s="4"/>
      <c r="BA526" s="4"/>
      <c r="BB526" s="4"/>
      <c r="BC526" s="4"/>
      <c r="BD526" s="4"/>
      <c r="BE526" s="4"/>
      <c r="BF526" s="4"/>
    </row>
    <row r="527" spans="1:58">
      <c r="A527" s="4"/>
      <c r="B527" s="3"/>
      <c r="C527" s="3"/>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5"/>
      <c r="AR527" s="4"/>
      <c r="AS527" s="4"/>
      <c r="AT527" s="4"/>
      <c r="AU527" s="4"/>
      <c r="AV527" s="4"/>
      <c r="AW527" s="4"/>
      <c r="AX527" s="4"/>
      <c r="AY527" s="4"/>
      <c r="AZ527" s="4"/>
      <c r="BA527" s="4"/>
      <c r="BB527" s="4"/>
      <c r="BC527" s="4"/>
      <c r="BD527" s="4"/>
      <c r="BE527" s="4"/>
      <c r="BF527" s="4"/>
    </row>
    <row r="528" spans="1:58">
      <c r="A528" s="4"/>
      <c r="B528" s="3"/>
      <c r="C528" s="3"/>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5"/>
      <c r="AR528" s="4"/>
      <c r="AS528" s="4"/>
      <c r="AT528" s="4"/>
      <c r="AU528" s="4"/>
      <c r="AV528" s="4"/>
      <c r="AW528" s="4"/>
      <c r="AX528" s="4"/>
      <c r="AY528" s="4"/>
      <c r="AZ528" s="4"/>
      <c r="BA528" s="4"/>
      <c r="BB528" s="4"/>
      <c r="BC528" s="4"/>
      <c r="BD528" s="4"/>
      <c r="BE528" s="4"/>
      <c r="BF528" s="4"/>
    </row>
    <row r="529" spans="1:58">
      <c r="A529" s="4"/>
      <c r="B529" s="3"/>
      <c r="C529" s="3"/>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5"/>
      <c r="AR529" s="4"/>
      <c r="AS529" s="4"/>
      <c r="AT529" s="4"/>
      <c r="AU529" s="4"/>
      <c r="AV529" s="4"/>
      <c r="AW529" s="4"/>
      <c r="AX529" s="4"/>
      <c r="AY529" s="4"/>
      <c r="AZ529" s="4"/>
      <c r="BA529" s="4"/>
      <c r="BB529" s="4"/>
      <c r="BC529" s="4"/>
      <c r="BD529" s="4"/>
      <c r="BE529" s="4"/>
      <c r="BF529" s="4"/>
    </row>
    <row r="530" spans="1:58">
      <c r="A530" s="4"/>
      <c r="B530" s="3"/>
      <c r="C530" s="3"/>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5"/>
      <c r="AR530" s="4"/>
      <c r="AS530" s="4"/>
      <c r="AT530" s="4"/>
      <c r="AU530" s="4"/>
      <c r="AV530" s="4"/>
      <c r="AW530" s="4"/>
      <c r="AX530" s="4"/>
      <c r="AY530" s="4"/>
      <c r="AZ530" s="4"/>
      <c r="BA530" s="4"/>
      <c r="BB530" s="4"/>
      <c r="BC530" s="4"/>
      <c r="BD530" s="4"/>
      <c r="BE530" s="4"/>
      <c r="BF530" s="4"/>
    </row>
    <row r="531" spans="1:58">
      <c r="A531" s="4"/>
      <c r="B531" s="3"/>
      <c r="C531" s="3"/>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5"/>
      <c r="AR531" s="4"/>
      <c r="AS531" s="4"/>
      <c r="AT531" s="4"/>
      <c r="AU531" s="4"/>
      <c r="AV531" s="4"/>
      <c r="AW531" s="4"/>
      <c r="AX531" s="4"/>
      <c r="AY531" s="4"/>
      <c r="AZ531" s="4"/>
      <c r="BA531" s="4"/>
      <c r="BB531" s="4"/>
      <c r="BC531" s="4"/>
      <c r="BD531" s="4"/>
      <c r="BE531" s="4"/>
      <c r="BF531" s="4"/>
    </row>
    <row r="532" spans="1:58">
      <c r="A532" s="4"/>
      <c r="B532" s="3"/>
      <c r="C532" s="3"/>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5"/>
      <c r="AR532" s="4"/>
      <c r="AS532" s="4"/>
      <c r="AT532" s="4"/>
      <c r="AU532" s="4"/>
      <c r="AV532" s="4"/>
      <c r="AW532" s="4"/>
      <c r="AX532" s="4"/>
      <c r="AY532" s="4"/>
      <c r="AZ532" s="4"/>
      <c r="BA532" s="4"/>
      <c r="BB532" s="4"/>
      <c r="BC532" s="4"/>
      <c r="BD532" s="4"/>
      <c r="BE532" s="4"/>
      <c r="BF532" s="4"/>
    </row>
    <row r="533" spans="1:58">
      <c r="A533" s="4"/>
      <c r="B533" s="3"/>
      <c r="C533" s="3"/>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5"/>
      <c r="AR533" s="4"/>
      <c r="AS533" s="4"/>
      <c r="AT533" s="4"/>
      <c r="AU533" s="4"/>
      <c r="AV533" s="4"/>
      <c r="AW533" s="4"/>
      <c r="AX533" s="4"/>
      <c r="AY533" s="4"/>
      <c r="AZ533" s="4"/>
      <c r="BA533" s="4"/>
      <c r="BB533" s="4"/>
      <c r="BC533" s="4"/>
      <c r="BD533" s="4"/>
      <c r="BE533" s="4"/>
      <c r="BF533" s="4"/>
    </row>
    <row r="534" spans="1:58">
      <c r="A534" s="4"/>
      <c r="B534" s="3"/>
      <c r="C534" s="3"/>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5"/>
      <c r="AR534" s="4"/>
      <c r="AS534" s="4"/>
      <c r="AT534" s="4"/>
      <c r="AU534" s="4"/>
      <c r="AV534" s="4"/>
      <c r="AW534" s="4"/>
      <c r="AX534" s="4"/>
      <c r="AY534" s="4"/>
      <c r="AZ534" s="4"/>
      <c r="BA534" s="4"/>
      <c r="BB534" s="4"/>
      <c r="BC534" s="4"/>
      <c r="BD534" s="4"/>
      <c r="BE534" s="4"/>
      <c r="BF534" s="4"/>
    </row>
    <row r="535" spans="1:58">
      <c r="A535" s="4"/>
      <c r="B535" s="3"/>
      <c r="C535" s="3"/>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5"/>
      <c r="AR535" s="4"/>
      <c r="AS535" s="4"/>
      <c r="AT535" s="4"/>
      <c r="AU535" s="4"/>
      <c r="AV535" s="4"/>
      <c r="AW535" s="4"/>
      <c r="AX535" s="4"/>
      <c r="AY535" s="4"/>
      <c r="AZ535" s="4"/>
      <c r="BA535" s="4"/>
      <c r="BB535" s="4"/>
      <c r="BC535" s="4"/>
      <c r="BD535" s="4"/>
      <c r="BE535" s="4"/>
      <c r="BF535" s="4"/>
    </row>
    <row r="536" spans="1:58">
      <c r="A536" s="4"/>
      <c r="B536" s="3"/>
      <c r="C536" s="3"/>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5"/>
      <c r="AR536" s="4"/>
      <c r="AS536" s="4"/>
      <c r="AT536" s="4"/>
      <c r="AU536" s="4"/>
      <c r="AV536" s="4"/>
      <c r="AW536" s="4"/>
      <c r="AX536" s="4"/>
      <c r="AY536" s="4"/>
      <c r="AZ536" s="4"/>
      <c r="BA536" s="4"/>
      <c r="BB536" s="4"/>
      <c r="BC536" s="4"/>
      <c r="BD536" s="4"/>
      <c r="BE536" s="4"/>
      <c r="BF536" s="4"/>
    </row>
    <row r="537" spans="1:58">
      <c r="A537" s="4"/>
      <c r="B537" s="3"/>
      <c r="C537" s="3"/>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5"/>
      <c r="AR537" s="4"/>
      <c r="AS537" s="4"/>
      <c r="AT537" s="4"/>
      <c r="AU537" s="4"/>
      <c r="AV537" s="4"/>
      <c r="AW537" s="4"/>
      <c r="AX537" s="4"/>
      <c r="AY537" s="4"/>
      <c r="AZ537" s="4"/>
      <c r="BA537" s="4"/>
      <c r="BB537" s="4"/>
      <c r="BC537" s="4"/>
      <c r="BD537" s="4"/>
      <c r="BE537" s="4"/>
      <c r="BF537" s="4"/>
    </row>
    <row r="538" spans="1:58">
      <c r="A538" s="4"/>
      <c r="B538" s="3"/>
      <c r="C538" s="3"/>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5"/>
      <c r="AR538" s="4"/>
      <c r="AS538" s="4"/>
      <c r="AT538" s="4"/>
      <c r="AU538" s="4"/>
      <c r="AV538" s="4"/>
      <c r="AW538" s="4"/>
      <c r="AX538" s="4"/>
      <c r="AY538" s="4"/>
      <c r="AZ538" s="4"/>
      <c r="BA538" s="4"/>
      <c r="BB538" s="4"/>
      <c r="BC538" s="4"/>
      <c r="BD538" s="4"/>
      <c r="BE538" s="4"/>
      <c r="BF538" s="4"/>
    </row>
    <row r="539" spans="1:58">
      <c r="A539" s="4"/>
      <c r="B539" s="3"/>
      <c r="C539" s="3"/>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5"/>
      <c r="AR539" s="4"/>
      <c r="AS539" s="4"/>
      <c r="AT539" s="4"/>
      <c r="AU539" s="4"/>
      <c r="AV539" s="4"/>
      <c r="AW539" s="4"/>
      <c r="AX539" s="4"/>
      <c r="AY539" s="4"/>
      <c r="AZ539" s="4"/>
      <c r="BA539" s="4"/>
      <c r="BB539" s="4"/>
      <c r="BC539" s="4"/>
      <c r="BD539" s="4"/>
      <c r="BE539" s="4"/>
      <c r="BF539" s="4"/>
    </row>
    <row r="540" spans="1:58">
      <c r="A540" s="4"/>
      <c r="B540" s="3"/>
      <c r="C540" s="3"/>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5"/>
      <c r="AR540" s="4"/>
      <c r="AS540" s="4"/>
      <c r="AT540" s="4"/>
      <c r="AU540" s="4"/>
      <c r="AV540" s="4"/>
      <c r="AW540" s="4"/>
      <c r="AX540" s="4"/>
      <c r="AY540" s="4"/>
      <c r="AZ540" s="4"/>
      <c r="BA540" s="4"/>
      <c r="BB540" s="4"/>
      <c r="BC540" s="4"/>
      <c r="BD540" s="4"/>
      <c r="BE540" s="4"/>
      <c r="BF540" s="4"/>
    </row>
    <row r="541" spans="1:58">
      <c r="A541" s="4"/>
      <c r="B541" s="3"/>
      <c r="C541" s="3"/>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5"/>
      <c r="AR541" s="4"/>
      <c r="AS541" s="4"/>
      <c r="AT541" s="4"/>
      <c r="AU541" s="4"/>
      <c r="AV541" s="4"/>
      <c r="AW541" s="4"/>
      <c r="AX541" s="4"/>
      <c r="AY541" s="4"/>
      <c r="AZ541" s="4"/>
      <c r="BA541" s="4"/>
      <c r="BB541" s="4"/>
      <c r="BC541" s="4"/>
      <c r="BD541" s="4"/>
      <c r="BE541" s="4"/>
      <c r="BF541" s="4"/>
    </row>
    <row r="542" spans="1:58">
      <c r="A542" s="4"/>
      <c r="B542" s="3"/>
      <c r="C542" s="3"/>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5"/>
      <c r="AR542" s="4"/>
      <c r="AS542" s="4"/>
      <c r="AT542" s="4"/>
      <c r="AU542" s="4"/>
      <c r="AV542" s="4"/>
      <c r="AW542" s="4"/>
      <c r="AX542" s="4"/>
      <c r="AY542" s="4"/>
      <c r="AZ542" s="4"/>
      <c r="BA542" s="4"/>
      <c r="BB542" s="4"/>
      <c r="BC542" s="4"/>
      <c r="BD542" s="4"/>
      <c r="BE542" s="4"/>
      <c r="BF542" s="4"/>
    </row>
    <row r="543" spans="1:58">
      <c r="A543" s="4"/>
      <c r="B543" s="3"/>
      <c r="C543" s="3"/>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5"/>
      <c r="AR543" s="4"/>
      <c r="AS543" s="4"/>
      <c r="AT543" s="4"/>
      <c r="AU543" s="4"/>
      <c r="AV543" s="4"/>
      <c r="AW543" s="4"/>
      <c r="AX543" s="4"/>
      <c r="AY543" s="4"/>
      <c r="AZ543" s="4"/>
      <c r="BA543" s="4"/>
      <c r="BB543" s="4"/>
      <c r="BC543" s="4"/>
      <c r="BD543" s="4"/>
      <c r="BE543" s="4"/>
      <c r="BF543" s="4"/>
    </row>
    <row r="544" spans="1:58">
      <c r="A544" s="4"/>
      <c r="B544" s="3"/>
      <c r="C544" s="3"/>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5"/>
      <c r="AR544" s="4"/>
      <c r="AS544" s="4"/>
      <c r="AT544" s="4"/>
      <c r="AU544" s="4"/>
      <c r="AV544" s="4"/>
      <c r="AW544" s="4"/>
      <c r="AX544" s="4"/>
      <c r="AY544" s="4"/>
      <c r="AZ544" s="4"/>
      <c r="BA544" s="4"/>
      <c r="BB544" s="4"/>
      <c r="BC544" s="4"/>
      <c r="BD544" s="4"/>
      <c r="BE544" s="4"/>
      <c r="BF544" s="4"/>
    </row>
    <row r="545" spans="1:58">
      <c r="A545" s="4"/>
      <c r="B545" s="3"/>
      <c r="C545" s="3"/>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5"/>
      <c r="AR545" s="4"/>
      <c r="AS545" s="4"/>
      <c r="AT545" s="4"/>
      <c r="AU545" s="4"/>
      <c r="AV545" s="4"/>
      <c r="AW545" s="4"/>
      <c r="AX545" s="4"/>
      <c r="AY545" s="4"/>
      <c r="AZ545" s="4"/>
      <c r="BA545" s="4"/>
      <c r="BB545" s="4"/>
      <c r="BC545" s="4"/>
      <c r="BD545" s="4"/>
      <c r="BE545" s="4"/>
      <c r="BF545" s="4"/>
    </row>
    <row r="546" spans="1:58">
      <c r="A546" s="4"/>
      <c r="B546" s="3"/>
      <c r="C546" s="3"/>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5"/>
      <c r="AR546" s="4"/>
      <c r="AS546" s="4"/>
      <c r="AT546" s="4"/>
      <c r="AU546" s="4"/>
      <c r="AV546" s="4"/>
      <c r="AW546" s="4"/>
      <c r="AX546" s="4"/>
      <c r="AY546" s="4"/>
      <c r="AZ546" s="4"/>
      <c r="BA546" s="4"/>
      <c r="BB546" s="4"/>
      <c r="BC546" s="4"/>
      <c r="BD546" s="4"/>
      <c r="BE546" s="4"/>
      <c r="BF546" s="4"/>
    </row>
    <row r="547" spans="1:58">
      <c r="A547" s="4"/>
      <c r="B547" s="3"/>
      <c r="C547" s="3"/>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5"/>
      <c r="AR547" s="4"/>
      <c r="AS547" s="4"/>
      <c r="AT547" s="4"/>
      <c r="AU547" s="4"/>
      <c r="AV547" s="4"/>
      <c r="AW547" s="4"/>
      <c r="AX547" s="4"/>
      <c r="AY547" s="4"/>
      <c r="AZ547" s="4"/>
      <c r="BA547" s="4"/>
      <c r="BB547" s="4"/>
      <c r="BC547" s="4"/>
      <c r="BD547" s="4"/>
      <c r="BE547" s="4"/>
      <c r="BF547" s="4"/>
    </row>
    <row r="548" spans="1:58">
      <c r="A548" s="4"/>
      <c r="B548" s="3"/>
      <c r="C548" s="3"/>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5"/>
      <c r="AR548" s="4"/>
      <c r="AS548" s="4"/>
      <c r="AT548" s="4"/>
      <c r="AU548" s="4"/>
      <c r="AV548" s="4"/>
      <c r="AW548" s="4"/>
      <c r="AX548" s="4"/>
      <c r="AY548" s="4"/>
      <c r="AZ548" s="4"/>
      <c r="BA548" s="4"/>
      <c r="BB548" s="4"/>
      <c r="BC548" s="4"/>
      <c r="BD548" s="4"/>
      <c r="BE548" s="4"/>
      <c r="BF548" s="4"/>
    </row>
    <row r="549" spans="1:58">
      <c r="A549" s="4"/>
      <c r="B549" s="3"/>
      <c r="C549" s="3"/>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5"/>
      <c r="AR549" s="4"/>
      <c r="AS549" s="4"/>
      <c r="AT549" s="4"/>
      <c r="AU549" s="4"/>
      <c r="AV549" s="4"/>
      <c r="AW549" s="4"/>
      <c r="AX549" s="4"/>
      <c r="AY549" s="4"/>
      <c r="AZ549" s="4"/>
      <c r="BA549" s="4"/>
      <c r="BB549" s="4"/>
      <c r="BC549" s="4"/>
      <c r="BD549" s="4"/>
      <c r="BE549" s="4"/>
      <c r="BF549" s="4"/>
    </row>
    <row r="550" spans="1:58">
      <c r="A550" s="4"/>
      <c r="B550" s="3"/>
      <c r="C550" s="3"/>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5"/>
      <c r="AR550" s="4"/>
      <c r="AS550" s="4"/>
      <c r="AT550" s="4"/>
      <c r="AU550" s="4"/>
      <c r="AV550" s="4"/>
      <c r="AW550" s="4"/>
      <c r="AX550" s="4"/>
      <c r="AY550" s="4"/>
      <c r="AZ550" s="4"/>
      <c r="BA550" s="4"/>
      <c r="BB550" s="4"/>
      <c r="BC550" s="4"/>
      <c r="BD550" s="4"/>
      <c r="BE550" s="4"/>
      <c r="BF550" s="4"/>
    </row>
    <row r="551" spans="1:58">
      <c r="A551" s="4"/>
      <c r="B551" s="3"/>
      <c r="C551" s="3"/>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5"/>
      <c r="AR551" s="4"/>
      <c r="AS551" s="4"/>
      <c r="AT551" s="4"/>
      <c r="AU551" s="4"/>
      <c r="AV551" s="4"/>
      <c r="AW551" s="4"/>
      <c r="AX551" s="4"/>
      <c r="AY551" s="4"/>
      <c r="AZ551" s="4"/>
      <c r="BA551" s="4"/>
      <c r="BB551" s="4"/>
      <c r="BC551" s="4"/>
      <c r="BD551" s="4"/>
      <c r="BE551" s="4"/>
      <c r="BF551" s="4"/>
    </row>
    <row r="552" spans="1:58">
      <c r="A552" s="4"/>
      <c r="B552" s="3"/>
      <c r="C552" s="3"/>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5"/>
      <c r="AR552" s="4"/>
      <c r="AS552" s="4"/>
      <c r="AT552" s="4"/>
      <c r="AU552" s="4"/>
      <c r="AV552" s="4"/>
      <c r="AW552" s="4"/>
      <c r="AX552" s="4"/>
      <c r="AY552" s="4"/>
      <c r="AZ552" s="4"/>
      <c r="BA552" s="4"/>
      <c r="BB552" s="4"/>
      <c r="BC552" s="4"/>
      <c r="BD552" s="4"/>
      <c r="BE552" s="4"/>
      <c r="BF552" s="4"/>
    </row>
    <row r="553" spans="1:58">
      <c r="A553" s="4"/>
      <c r="B553" s="3"/>
      <c r="C553" s="3"/>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5"/>
      <c r="AR553" s="4"/>
      <c r="AS553" s="4"/>
      <c r="AT553" s="4"/>
      <c r="AU553" s="4"/>
      <c r="AV553" s="4"/>
      <c r="AW553" s="4"/>
      <c r="AX553" s="4"/>
      <c r="AY553" s="4"/>
      <c r="AZ553" s="4"/>
      <c r="BA553" s="4"/>
      <c r="BB553" s="4"/>
      <c r="BC553" s="4"/>
      <c r="BD553" s="4"/>
      <c r="BE553" s="4"/>
      <c r="BF553" s="4"/>
    </row>
    <row r="554" spans="1:58">
      <c r="A554" s="4"/>
      <c r="B554" s="3"/>
      <c r="C554" s="3"/>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5"/>
      <c r="AR554" s="4"/>
      <c r="AS554" s="4"/>
      <c r="AT554" s="4"/>
      <c r="AU554" s="4"/>
      <c r="AV554" s="4"/>
      <c r="AW554" s="4"/>
      <c r="AX554" s="4"/>
      <c r="AY554" s="4"/>
      <c r="AZ554" s="4"/>
      <c r="BA554" s="4"/>
      <c r="BB554" s="4"/>
      <c r="BC554" s="4"/>
      <c r="BD554" s="4"/>
      <c r="BE554" s="4"/>
      <c r="BF554" s="4"/>
    </row>
    <row r="555" spans="1:58">
      <c r="A555" s="4"/>
      <c r="B555" s="3"/>
      <c r="C555" s="3"/>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5"/>
      <c r="AR555" s="4"/>
      <c r="AS555" s="4"/>
      <c r="AT555" s="4"/>
      <c r="AU555" s="4"/>
      <c r="AV555" s="4"/>
      <c r="AW555" s="4"/>
      <c r="AX555" s="4"/>
      <c r="AY555" s="4"/>
      <c r="AZ555" s="4"/>
      <c r="BA555" s="4"/>
      <c r="BB555" s="4"/>
      <c r="BC555" s="4"/>
      <c r="BD555" s="4"/>
      <c r="BE555" s="4"/>
      <c r="BF555" s="4"/>
    </row>
    <row r="556" spans="1:58">
      <c r="A556" s="4"/>
      <c r="B556" s="3"/>
      <c r="C556" s="3"/>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5"/>
      <c r="AR556" s="4"/>
      <c r="AS556" s="4"/>
      <c r="AT556" s="4"/>
      <c r="AU556" s="4"/>
      <c r="AV556" s="4"/>
      <c r="AW556" s="4"/>
      <c r="AX556" s="4"/>
      <c r="AY556" s="4"/>
      <c r="AZ556" s="4"/>
      <c r="BA556" s="4"/>
      <c r="BB556" s="4"/>
      <c r="BC556" s="4"/>
      <c r="BD556" s="4"/>
      <c r="BE556" s="4"/>
      <c r="BF556" s="4"/>
    </row>
    <row r="557" spans="1:58">
      <c r="A557" s="4"/>
      <c r="B557" s="3"/>
      <c r="C557" s="3"/>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5"/>
      <c r="AR557" s="4"/>
      <c r="AS557" s="4"/>
      <c r="AT557" s="4"/>
      <c r="AU557" s="4"/>
      <c r="AV557" s="4"/>
      <c r="AW557" s="4"/>
      <c r="AX557" s="4"/>
      <c r="AY557" s="4"/>
      <c r="AZ557" s="4"/>
      <c r="BA557" s="4"/>
      <c r="BB557" s="4"/>
      <c r="BC557" s="4"/>
      <c r="BD557" s="4"/>
      <c r="BE557" s="4"/>
      <c r="BF557" s="4"/>
    </row>
    <row r="558" spans="1:58">
      <c r="A558" s="4"/>
      <c r="B558" s="3"/>
      <c r="C558" s="3"/>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5"/>
      <c r="AR558" s="4"/>
      <c r="AS558" s="4"/>
      <c r="AT558" s="4"/>
      <c r="AU558" s="4"/>
      <c r="AV558" s="4"/>
      <c r="AW558" s="4"/>
      <c r="AX558" s="4"/>
      <c r="AY558" s="4"/>
      <c r="AZ558" s="4"/>
      <c r="BA558" s="4"/>
      <c r="BB558" s="4"/>
      <c r="BC558" s="4"/>
      <c r="BD558" s="4"/>
      <c r="BE558" s="4"/>
      <c r="BF558" s="4"/>
    </row>
    <row r="559" spans="1:58">
      <c r="A559" s="4"/>
      <c r="B559" s="3"/>
      <c r="C559" s="3"/>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5"/>
      <c r="AR559" s="4"/>
      <c r="AS559" s="4"/>
      <c r="AT559" s="4"/>
      <c r="AU559" s="4"/>
      <c r="AV559" s="4"/>
      <c r="AW559" s="4"/>
      <c r="AX559" s="4"/>
      <c r="AY559" s="4"/>
      <c r="AZ559" s="4"/>
      <c r="BA559" s="4"/>
      <c r="BB559" s="4"/>
      <c r="BC559" s="4"/>
      <c r="BD559" s="4"/>
      <c r="BE559" s="4"/>
      <c r="BF559" s="4"/>
    </row>
    <row r="560" spans="1:58">
      <c r="A560" s="4"/>
      <c r="B560" s="3"/>
      <c r="C560" s="3"/>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5"/>
      <c r="AR560" s="4"/>
      <c r="AS560" s="4"/>
      <c r="AT560" s="4"/>
      <c r="AU560" s="4"/>
      <c r="AV560" s="4"/>
      <c r="AW560" s="4"/>
      <c r="AX560" s="4"/>
      <c r="AY560" s="4"/>
      <c r="AZ560" s="4"/>
      <c r="BA560" s="4"/>
      <c r="BB560" s="4"/>
      <c r="BC560" s="4"/>
      <c r="BD560" s="4"/>
      <c r="BE560" s="4"/>
      <c r="BF560" s="4"/>
    </row>
    <row r="561" spans="1:58">
      <c r="A561" s="4"/>
      <c r="B561" s="3"/>
      <c r="C561" s="3"/>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5"/>
      <c r="AR561" s="4"/>
      <c r="AS561" s="4"/>
      <c r="AT561" s="4"/>
      <c r="AU561" s="4"/>
      <c r="AV561" s="4"/>
      <c r="AW561" s="4"/>
      <c r="AX561" s="4"/>
      <c r="AY561" s="4"/>
      <c r="AZ561" s="4"/>
      <c r="BA561" s="4"/>
      <c r="BB561" s="4"/>
      <c r="BC561" s="4"/>
      <c r="BD561" s="4"/>
      <c r="BE561" s="4"/>
      <c r="BF561" s="4"/>
    </row>
    <row r="562" spans="1:58">
      <c r="A562" s="4"/>
      <c r="B562" s="3"/>
      <c r="C562" s="3"/>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5"/>
      <c r="AR562" s="4"/>
      <c r="AS562" s="4"/>
      <c r="AT562" s="4"/>
      <c r="AU562" s="4"/>
      <c r="AV562" s="4"/>
      <c r="AW562" s="4"/>
      <c r="AX562" s="4"/>
      <c r="AY562" s="4"/>
      <c r="AZ562" s="4"/>
      <c r="BA562" s="4"/>
      <c r="BB562" s="4"/>
      <c r="BC562" s="4"/>
      <c r="BD562" s="4"/>
      <c r="BE562" s="4"/>
      <c r="BF562" s="4"/>
    </row>
    <row r="563" spans="1:58">
      <c r="A563" s="4"/>
      <c r="B563" s="3"/>
      <c r="C563" s="3"/>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5"/>
      <c r="AR563" s="4"/>
      <c r="AS563" s="4"/>
      <c r="AT563" s="4"/>
      <c r="AU563" s="4"/>
      <c r="AV563" s="4"/>
      <c r="AW563" s="4"/>
      <c r="AX563" s="4"/>
      <c r="AY563" s="4"/>
      <c r="AZ563" s="4"/>
      <c r="BA563" s="4"/>
      <c r="BB563" s="4"/>
      <c r="BC563" s="4"/>
      <c r="BD563" s="4"/>
      <c r="BE563" s="4"/>
      <c r="BF563" s="4"/>
    </row>
    <row r="564" spans="1:58">
      <c r="A564" s="4"/>
      <c r="B564" s="3"/>
      <c r="C564" s="3"/>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5"/>
      <c r="AR564" s="4"/>
      <c r="AS564" s="4"/>
      <c r="AT564" s="4"/>
      <c r="AU564" s="4"/>
      <c r="AV564" s="4"/>
      <c r="AW564" s="4"/>
      <c r="AX564" s="4"/>
      <c r="AY564" s="4"/>
      <c r="AZ564" s="4"/>
      <c r="BA564" s="4"/>
      <c r="BB564" s="4"/>
      <c r="BC564" s="4"/>
      <c r="BD564" s="4"/>
      <c r="BE564" s="4"/>
      <c r="BF564" s="4"/>
    </row>
    <row r="565" spans="1:58">
      <c r="A565" s="4"/>
      <c r="B565" s="3"/>
      <c r="C565" s="3"/>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5"/>
      <c r="AR565" s="4"/>
      <c r="AS565" s="4"/>
      <c r="AT565" s="4"/>
      <c r="AU565" s="4"/>
      <c r="AV565" s="4"/>
      <c r="AW565" s="4"/>
      <c r="AX565" s="4"/>
      <c r="AY565" s="4"/>
      <c r="AZ565" s="4"/>
      <c r="BA565" s="4"/>
      <c r="BB565" s="4"/>
      <c r="BC565" s="4"/>
      <c r="BD565" s="4"/>
      <c r="BE565" s="4"/>
      <c r="BF565" s="4"/>
    </row>
    <row r="566" spans="1:58">
      <c r="A566" s="4"/>
      <c r="B566" s="3"/>
      <c r="C566" s="3"/>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5"/>
      <c r="AR566" s="4"/>
      <c r="AS566" s="4"/>
      <c r="AT566" s="4"/>
      <c r="AU566" s="4"/>
      <c r="AV566" s="4"/>
      <c r="AW566" s="4"/>
      <c r="AX566" s="4"/>
      <c r="AY566" s="4"/>
      <c r="AZ566" s="4"/>
      <c r="BA566" s="4"/>
      <c r="BB566" s="4"/>
      <c r="BC566" s="4"/>
      <c r="BD566" s="4"/>
      <c r="BE566" s="4"/>
      <c r="BF566" s="4"/>
    </row>
    <row r="567" spans="1:58">
      <c r="A567" s="4"/>
      <c r="B567" s="3"/>
      <c r="C567" s="3"/>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5"/>
      <c r="AR567" s="4"/>
      <c r="AS567" s="4"/>
      <c r="AT567" s="4"/>
      <c r="AU567" s="4"/>
      <c r="AV567" s="4"/>
      <c r="AW567" s="4"/>
      <c r="AX567" s="4"/>
      <c r="AY567" s="4"/>
      <c r="AZ567" s="4"/>
      <c r="BA567" s="4"/>
      <c r="BB567" s="4"/>
      <c r="BC567" s="4"/>
      <c r="BD567" s="4"/>
      <c r="BE567" s="4"/>
      <c r="BF567" s="4"/>
    </row>
    <row r="568" spans="1:58">
      <c r="A568" s="4"/>
      <c r="B568" s="3"/>
      <c r="C568" s="3"/>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5"/>
      <c r="AR568" s="4"/>
      <c r="AS568" s="4"/>
      <c r="AT568" s="4"/>
      <c r="AU568" s="4"/>
      <c r="AV568" s="4"/>
      <c r="AW568" s="4"/>
      <c r="AX568" s="4"/>
      <c r="AY568" s="4"/>
      <c r="AZ568" s="4"/>
      <c r="BA568" s="4"/>
      <c r="BB568" s="4"/>
      <c r="BC568" s="4"/>
      <c r="BD568" s="4"/>
      <c r="BE568" s="4"/>
      <c r="BF568" s="4"/>
    </row>
    <row r="569" spans="1:58">
      <c r="A569" s="4"/>
      <c r="B569" s="3"/>
      <c r="C569" s="3"/>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5"/>
      <c r="AR569" s="4"/>
      <c r="AS569" s="4"/>
      <c r="AT569" s="4"/>
      <c r="AU569" s="4"/>
      <c r="AV569" s="4"/>
      <c r="AW569" s="4"/>
      <c r="AX569" s="4"/>
      <c r="AY569" s="4"/>
      <c r="AZ569" s="4"/>
      <c r="BA569" s="4"/>
      <c r="BB569" s="4"/>
      <c r="BC569" s="4"/>
      <c r="BD569" s="4"/>
      <c r="BE569" s="4"/>
      <c r="BF569" s="4"/>
    </row>
    <row r="570" spans="1:58">
      <c r="A570" s="4"/>
      <c r="B570" s="3"/>
      <c r="C570" s="3"/>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5"/>
      <c r="AR570" s="4"/>
      <c r="AS570" s="4"/>
      <c r="AT570" s="4"/>
      <c r="AU570" s="4"/>
      <c r="AV570" s="4"/>
      <c r="AW570" s="4"/>
      <c r="AX570" s="4"/>
      <c r="AY570" s="4"/>
      <c r="AZ570" s="4"/>
      <c r="BA570" s="4"/>
      <c r="BB570" s="4"/>
      <c r="BC570" s="4"/>
      <c r="BD570" s="4"/>
      <c r="BE570" s="4"/>
      <c r="BF570" s="4"/>
    </row>
    <row r="571" spans="1:58">
      <c r="A571" s="4"/>
      <c r="B571" s="3"/>
      <c r="C571" s="3"/>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5"/>
      <c r="AR571" s="4"/>
      <c r="AS571" s="4"/>
      <c r="AT571" s="4"/>
      <c r="AU571" s="4"/>
      <c r="AV571" s="4"/>
      <c r="AW571" s="4"/>
      <c r="AX571" s="4"/>
      <c r="AY571" s="4"/>
      <c r="AZ571" s="4"/>
      <c r="BA571" s="4"/>
      <c r="BB571" s="4"/>
      <c r="BC571" s="4"/>
      <c r="BD571" s="4"/>
      <c r="BE571" s="4"/>
      <c r="BF571" s="4"/>
    </row>
    <row r="572" spans="1:58">
      <c r="A572" s="4"/>
      <c r="B572" s="3"/>
      <c r="C572" s="3"/>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5"/>
      <c r="AR572" s="4"/>
      <c r="AS572" s="4"/>
      <c r="AT572" s="4"/>
      <c r="AU572" s="4"/>
      <c r="AV572" s="4"/>
      <c r="AW572" s="4"/>
      <c r="AX572" s="4"/>
      <c r="AY572" s="4"/>
      <c r="AZ572" s="4"/>
      <c r="BA572" s="4"/>
      <c r="BB572" s="4"/>
      <c r="BC572" s="4"/>
      <c r="BD572" s="4"/>
      <c r="BE572" s="4"/>
      <c r="BF572" s="4"/>
    </row>
    <row r="573" spans="1:58">
      <c r="A573" s="4"/>
      <c r="B573" s="3"/>
      <c r="C573" s="3"/>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5"/>
      <c r="AR573" s="4"/>
      <c r="AS573" s="4"/>
      <c r="AT573" s="4"/>
      <c r="AU573" s="4"/>
      <c r="AV573" s="4"/>
      <c r="AW573" s="4"/>
      <c r="AX573" s="4"/>
      <c r="AY573" s="4"/>
      <c r="AZ573" s="4"/>
      <c r="BA573" s="4"/>
      <c r="BB573" s="4"/>
      <c r="BC573" s="4"/>
      <c r="BD573" s="4"/>
      <c r="BE573" s="4"/>
      <c r="BF573" s="4"/>
    </row>
    <row r="574" spans="1:58">
      <c r="A574" s="4"/>
      <c r="B574" s="3"/>
      <c r="C574" s="3"/>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5"/>
      <c r="AR574" s="4"/>
      <c r="AS574" s="4"/>
      <c r="AT574" s="4"/>
      <c r="AU574" s="4"/>
      <c r="AV574" s="4"/>
      <c r="AW574" s="4"/>
      <c r="AX574" s="4"/>
      <c r="AY574" s="4"/>
      <c r="AZ574" s="4"/>
      <c r="BA574" s="4"/>
      <c r="BB574" s="4"/>
      <c r="BC574" s="4"/>
      <c r="BD574" s="4"/>
      <c r="BE574" s="4"/>
      <c r="BF574" s="4"/>
    </row>
    <row r="575" spans="1:58">
      <c r="A575" s="4"/>
      <c r="B575" s="3"/>
      <c r="C575" s="3"/>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5"/>
      <c r="AR575" s="4"/>
      <c r="AS575" s="4"/>
      <c r="AT575" s="4"/>
      <c r="AU575" s="4"/>
      <c r="AV575" s="4"/>
      <c r="AW575" s="4"/>
      <c r="AX575" s="4"/>
      <c r="AY575" s="4"/>
      <c r="AZ575" s="4"/>
      <c r="BA575" s="4"/>
      <c r="BB575" s="4"/>
      <c r="BC575" s="4"/>
      <c r="BD575" s="4"/>
      <c r="BE575" s="4"/>
      <c r="BF575" s="4"/>
    </row>
    <row r="576" spans="1:58">
      <c r="A576" s="4"/>
      <c r="B576" s="3"/>
      <c r="C576" s="3"/>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5"/>
      <c r="AR576" s="4"/>
      <c r="AS576" s="4"/>
      <c r="AT576" s="4"/>
      <c r="AU576" s="4"/>
      <c r="AV576" s="4"/>
      <c r="AW576" s="4"/>
      <c r="AX576" s="4"/>
      <c r="AY576" s="4"/>
      <c r="AZ576" s="4"/>
      <c r="BA576" s="4"/>
      <c r="BB576" s="4"/>
      <c r="BC576" s="4"/>
      <c r="BD576" s="4"/>
      <c r="BE576" s="4"/>
      <c r="BF576" s="4"/>
    </row>
    <row r="577" spans="1:58">
      <c r="A577" s="4"/>
      <c r="B577" s="3"/>
      <c r="C577" s="3"/>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5"/>
      <c r="AR577" s="4"/>
      <c r="AS577" s="4"/>
      <c r="AT577" s="4"/>
      <c r="AU577" s="4"/>
      <c r="AV577" s="4"/>
      <c r="AW577" s="4"/>
      <c r="AX577" s="4"/>
      <c r="AY577" s="4"/>
      <c r="AZ577" s="4"/>
      <c r="BA577" s="4"/>
      <c r="BB577" s="4"/>
      <c r="BC577" s="4"/>
      <c r="BD577" s="4"/>
      <c r="BE577" s="4"/>
      <c r="BF577" s="4"/>
    </row>
    <row r="578" spans="1:58">
      <c r="A578" s="4"/>
      <c r="B578" s="3"/>
      <c r="C578" s="3"/>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5"/>
      <c r="AR578" s="4"/>
      <c r="AS578" s="4"/>
      <c r="AT578" s="4"/>
      <c r="AU578" s="4"/>
      <c r="AV578" s="4"/>
      <c r="AW578" s="4"/>
      <c r="AX578" s="4"/>
      <c r="AY578" s="4"/>
      <c r="AZ578" s="4"/>
      <c r="BA578" s="4"/>
      <c r="BB578" s="4"/>
      <c r="BC578" s="4"/>
      <c r="BD578" s="4"/>
      <c r="BE578" s="4"/>
      <c r="BF578" s="4"/>
    </row>
    <row r="579" spans="1:58">
      <c r="A579" s="4"/>
      <c r="B579" s="3"/>
      <c r="C579" s="3"/>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5"/>
      <c r="AR579" s="4"/>
      <c r="AS579" s="4"/>
      <c r="AT579" s="4"/>
      <c r="AU579" s="4"/>
      <c r="AV579" s="4"/>
      <c r="AW579" s="4"/>
      <c r="AX579" s="4"/>
      <c r="AY579" s="4"/>
      <c r="AZ579" s="4"/>
      <c r="BA579" s="4"/>
      <c r="BB579" s="4"/>
      <c r="BC579" s="4"/>
      <c r="BD579" s="4"/>
      <c r="BE579" s="4"/>
      <c r="BF579" s="4"/>
    </row>
    <row r="580" spans="1:58">
      <c r="A580" s="4"/>
      <c r="B580" s="3"/>
      <c r="C580" s="3"/>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5"/>
      <c r="AR580" s="4"/>
      <c r="AS580" s="4"/>
      <c r="AT580" s="4"/>
      <c r="AU580" s="4"/>
      <c r="AV580" s="4"/>
      <c r="AW580" s="4"/>
      <c r="AX580" s="4"/>
      <c r="AY580" s="4"/>
      <c r="AZ580" s="4"/>
      <c r="BA580" s="4"/>
      <c r="BB580" s="4"/>
      <c r="BC580" s="4"/>
      <c r="BD580" s="4"/>
      <c r="BE580" s="4"/>
      <c r="BF580" s="4"/>
    </row>
    <row r="581" spans="1:58">
      <c r="A581" s="4"/>
      <c r="B581" s="3"/>
      <c r="C581" s="3"/>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5"/>
      <c r="AR581" s="4"/>
      <c r="AS581" s="4"/>
      <c r="AT581" s="4"/>
      <c r="AU581" s="4"/>
      <c r="AV581" s="4"/>
      <c r="AW581" s="4"/>
      <c r="AX581" s="4"/>
      <c r="AY581" s="4"/>
      <c r="AZ581" s="4"/>
      <c r="BA581" s="4"/>
      <c r="BB581" s="4"/>
      <c r="BC581" s="4"/>
      <c r="BD581" s="4"/>
      <c r="BE581" s="4"/>
      <c r="BF581" s="4"/>
    </row>
    <row r="582" spans="1:58">
      <c r="A582" s="4"/>
      <c r="B582" s="3"/>
      <c r="C582" s="3"/>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5"/>
      <c r="AR582" s="4"/>
      <c r="AS582" s="4"/>
      <c r="AT582" s="4"/>
      <c r="AU582" s="4"/>
      <c r="AV582" s="4"/>
      <c r="AW582" s="4"/>
      <c r="AX582" s="4"/>
      <c r="AY582" s="4"/>
      <c r="AZ582" s="4"/>
      <c r="BA582" s="4"/>
      <c r="BB582" s="4"/>
      <c r="BC582" s="4"/>
      <c r="BD582" s="4"/>
      <c r="BE582" s="4"/>
      <c r="BF582" s="4"/>
    </row>
    <row r="583" spans="1:58">
      <c r="A583" s="4"/>
      <c r="B583" s="3"/>
      <c r="C583" s="3"/>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5"/>
      <c r="AR583" s="4"/>
      <c r="AS583" s="4"/>
      <c r="AT583" s="4"/>
      <c r="AU583" s="4"/>
      <c r="AV583" s="4"/>
      <c r="AW583" s="4"/>
      <c r="AX583" s="4"/>
      <c r="AY583" s="4"/>
      <c r="AZ583" s="4"/>
      <c r="BA583" s="4"/>
      <c r="BB583" s="4"/>
      <c r="BC583" s="4"/>
      <c r="BD583" s="4"/>
      <c r="BE583" s="4"/>
      <c r="BF583" s="4"/>
    </row>
    <row r="584" spans="1:58">
      <c r="A584" s="4"/>
      <c r="B584" s="3"/>
      <c r="C584" s="3"/>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5"/>
      <c r="AR584" s="4"/>
      <c r="AS584" s="4"/>
      <c r="AT584" s="4"/>
      <c r="AU584" s="4"/>
      <c r="AV584" s="4"/>
      <c r="AW584" s="4"/>
      <c r="AX584" s="4"/>
      <c r="AY584" s="4"/>
      <c r="AZ584" s="4"/>
      <c r="BA584" s="4"/>
      <c r="BB584" s="4"/>
      <c r="BC584" s="4"/>
      <c r="BD584" s="4"/>
      <c r="BE584" s="4"/>
      <c r="BF584" s="4"/>
    </row>
    <row r="585" spans="1:58">
      <c r="A585" s="4"/>
      <c r="B585" s="3"/>
      <c r="C585" s="3"/>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5"/>
      <c r="AR585" s="4"/>
      <c r="AS585" s="4"/>
      <c r="AT585" s="4"/>
      <c r="AU585" s="4"/>
      <c r="AV585" s="4"/>
      <c r="AW585" s="4"/>
      <c r="AX585" s="4"/>
      <c r="AY585" s="4"/>
      <c r="AZ585" s="4"/>
      <c r="BA585" s="4"/>
      <c r="BB585" s="4"/>
      <c r="BC585" s="4"/>
      <c r="BD585" s="4"/>
      <c r="BE585" s="4"/>
      <c r="BF585" s="4"/>
    </row>
    <row r="586" spans="1:58">
      <c r="A586" s="4"/>
      <c r="B586" s="3"/>
      <c r="C586" s="3"/>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5"/>
      <c r="AR586" s="4"/>
      <c r="AS586" s="4"/>
      <c r="AT586" s="4"/>
      <c r="AU586" s="4"/>
      <c r="AV586" s="4"/>
      <c r="AW586" s="4"/>
      <c r="AX586" s="4"/>
      <c r="AY586" s="4"/>
      <c r="AZ586" s="4"/>
      <c r="BA586" s="4"/>
      <c r="BB586" s="4"/>
      <c r="BC586" s="4"/>
      <c r="BD586" s="4"/>
      <c r="BE586" s="4"/>
      <c r="BF586" s="4"/>
    </row>
    <row r="587" spans="1:58">
      <c r="A587" s="4"/>
      <c r="B587" s="3"/>
      <c r="C587" s="3"/>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5"/>
      <c r="AR587" s="4"/>
      <c r="AS587" s="4"/>
      <c r="AT587" s="4"/>
      <c r="AU587" s="4"/>
      <c r="AV587" s="4"/>
      <c r="AW587" s="4"/>
      <c r="AX587" s="4"/>
      <c r="AY587" s="4"/>
      <c r="AZ587" s="4"/>
      <c r="BA587" s="4"/>
      <c r="BB587" s="4"/>
      <c r="BC587" s="4"/>
      <c r="BD587" s="4"/>
      <c r="BE587" s="4"/>
      <c r="BF587" s="4"/>
    </row>
    <row r="588" spans="1:58">
      <c r="A588" s="4"/>
      <c r="B588" s="3"/>
      <c r="C588" s="3"/>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5"/>
      <c r="AR588" s="4"/>
      <c r="AS588" s="4"/>
      <c r="AT588" s="4"/>
      <c r="AU588" s="4"/>
      <c r="AV588" s="4"/>
      <c r="AW588" s="4"/>
      <c r="AX588" s="4"/>
      <c r="AY588" s="4"/>
      <c r="AZ588" s="4"/>
      <c r="BA588" s="4"/>
      <c r="BB588" s="4"/>
      <c r="BC588" s="4"/>
      <c r="BD588" s="4"/>
      <c r="BE588" s="4"/>
      <c r="BF588" s="4"/>
    </row>
    <row r="589" spans="1:58">
      <c r="A589" s="4"/>
      <c r="B589" s="3"/>
      <c r="C589" s="3"/>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5"/>
      <c r="AR589" s="4"/>
      <c r="AS589" s="4"/>
      <c r="AT589" s="4"/>
      <c r="AU589" s="4"/>
      <c r="AV589" s="4"/>
      <c r="AW589" s="4"/>
      <c r="AX589" s="4"/>
      <c r="AY589" s="4"/>
      <c r="AZ589" s="4"/>
      <c r="BA589" s="4"/>
      <c r="BB589" s="4"/>
      <c r="BC589" s="4"/>
      <c r="BD589" s="4"/>
      <c r="BE589" s="4"/>
      <c r="BF589" s="4"/>
    </row>
    <row r="590" spans="1:58">
      <c r="A590" s="4"/>
      <c r="B590" s="3"/>
      <c r="C590" s="3"/>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5"/>
      <c r="AR590" s="4"/>
      <c r="AS590" s="4"/>
      <c r="AT590" s="4"/>
      <c r="AU590" s="4"/>
      <c r="AV590" s="4"/>
      <c r="AW590" s="4"/>
      <c r="AX590" s="4"/>
      <c r="AY590" s="4"/>
      <c r="AZ590" s="4"/>
      <c r="BA590" s="4"/>
      <c r="BB590" s="4"/>
      <c r="BC590" s="4"/>
      <c r="BD590" s="4"/>
      <c r="BE590" s="4"/>
      <c r="BF590" s="4"/>
    </row>
    <row r="591" spans="1:58">
      <c r="A591" s="4"/>
      <c r="B591" s="3"/>
      <c r="C591" s="3"/>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5"/>
      <c r="AR591" s="4"/>
      <c r="AS591" s="4"/>
      <c r="AT591" s="4"/>
      <c r="AU591" s="4"/>
      <c r="AV591" s="4"/>
      <c r="AW591" s="4"/>
      <c r="AX591" s="4"/>
      <c r="AY591" s="4"/>
      <c r="AZ591" s="4"/>
      <c r="BA591" s="4"/>
      <c r="BB591" s="4"/>
      <c r="BC591" s="4"/>
      <c r="BD591" s="4"/>
      <c r="BE591" s="4"/>
      <c r="BF591" s="4"/>
    </row>
    <row r="592" spans="1:58">
      <c r="A592" s="4"/>
      <c r="B592" s="3"/>
      <c r="C592" s="3"/>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5"/>
      <c r="AR592" s="4"/>
      <c r="AS592" s="4"/>
      <c r="AT592" s="4"/>
      <c r="AU592" s="4"/>
      <c r="AV592" s="4"/>
      <c r="AW592" s="4"/>
      <c r="AX592" s="4"/>
      <c r="AY592" s="4"/>
      <c r="AZ592" s="4"/>
      <c r="BA592" s="4"/>
      <c r="BB592" s="4"/>
      <c r="BC592" s="4"/>
      <c r="BD592" s="4"/>
      <c r="BE592" s="4"/>
      <c r="BF592" s="4"/>
    </row>
    <row r="593" spans="1:58">
      <c r="A593" s="4"/>
      <c r="B593" s="3"/>
      <c r="C593" s="3"/>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5"/>
      <c r="AR593" s="4"/>
      <c r="AS593" s="4"/>
      <c r="AT593" s="4"/>
      <c r="AU593" s="4"/>
      <c r="AV593" s="4"/>
      <c r="AW593" s="4"/>
      <c r="AX593" s="4"/>
      <c r="AY593" s="4"/>
      <c r="AZ593" s="4"/>
      <c r="BA593" s="4"/>
      <c r="BB593" s="4"/>
      <c r="BC593" s="4"/>
      <c r="BD593" s="4"/>
      <c r="BE593" s="4"/>
      <c r="BF593" s="4"/>
    </row>
    <row r="594" spans="1:58">
      <c r="A594" s="4"/>
      <c r="B594" s="3"/>
      <c r="C594" s="3"/>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5"/>
      <c r="AR594" s="4"/>
      <c r="AS594" s="4"/>
      <c r="AT594" s="4"/>
      <c r="AU594" s="4"/>
      <c r="AV594" s="4"/>
      <c r="AW594" s="4"/>
      <c r="AX594" s="4"/>
      <c r="AY594" s="4"/>
      <c r="AZ594" s="4"/>
      <c r="BA594" s="4"/>
      <c r="BB594" s="4"/>
      <c r="BC594" s="4"/>
      <c r="BD594" s="4"/>
      <c r="BE594" s="4"/>
      <c r="BF594" s="4"/>
    </row>
    <row r="595" spans="1:58">
      <c r="A595" s="4"/>
      <c r="B595" s="3"/>
      <c r="C595" s="3"/>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5"/>
      <c r="AR595" s="4"/>
      <c r="AS595" s="4"/>
      <c r="AT595" s="4"/>
      <c r="AU595" s="4"/>
      <c r="AV595" s="4"/>
      <c r="AW595" s="4"/>
      <c r="AX595" s="4"/>
      <c r="AY595" s="4"/>
      <c r="AZ595" s="4"/>
      <c r="BA595" s="4"/>
      <c r="BB595" s="4"/>
      <c r="BC595" s="4"/>
      <c r="BD595" s="4"/>
      <c r="BE595" s="4"/>
      <c r="BF595" s="4"/>
    </row>
    <row r="596" spans="1:58">
      <c r="A596" s="4"/>
      <c r="B596" s="3"/>
      <c r="C596" s="3"/>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5"/>
      <c r="AR596" s="4"/>
      <c r="AS596" s="4"/>
      <c r="AT596" s="4"/>
      <c r="AU596" s="4"/>
      <c r="AV596" s="4"/>
      <c r="AW596" s="4"/>
      <c r="AX596" s="4"/>
      <c r="AY596" s="4"/>
      <c r="AZ596" s="4"/>
      <c r="BA596" s="4"/>
      <c r="BB596" s="4"/>
      <c r="BC596" s="4"/>
      <c r="BD596" s="4"/>
      <c r="BE596" s="4"/>
      <c r="BF596" s="4"/>
    </row>
    <row r="597" spans="1:58">
      <c r="A597" s="4"/>
      <c r="B597" s="3"/>
      <c r="C597" s="3"/>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5"/>
      <c r="AR597" s="4"/>
      <c r="AS597" s="4"/>
      <c r="AT597" s="4"/>
      <c r="AU597" s="4"/>
      <c r="AV597" s="4"/>
      <c r="AW597" s="4"/>
      <c r="AX597" s="4"/>
      <c r="AY597" s="4"/>
      <c r="AZ597" s="4"/>
      <c r="BA597" s="4"/>
      <c r="BB597" s="4"/>
      <c r="BC597" s="4"/>
      <c r="BD597" s="4"/>
      <c r="BE597" s="4"/>
      <c r="BF597" s="4"/>
    </row>
    <row r="598" spans="1:58">
      <c r="A598" s="4"/>
      <c r="B598" s="3"/>
      <c r="C598" s="3"/>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5"/>
      <c r="AR598" s="4"/>
      <c r="AS598" s="4"/>
      <c r="AT598" s="4"/>
      <c r="AU598" s="4"/>
      <c r="AV598" s="4"/>
      <c r="AW598" s="4"/>
      <c r="AX598" s="4"/>
      <c r="AY598" s="4"/>
      <c r="AZ598" s="4"/>
      <c r="BA598" s="4"/>
      <c r="BB598" s="4"/>
      <c r="BC598" s="4"/>
      <c r="BD598" s="4"/>
      <c r="BE598" s="4"/>
      <c r="BF598" s="4"/>
    </row>
    <row r="599" spans="1:58">
      <c r="A599" s="4"/>
      <c r="B599" s="3"/>
      <c r="C599" s="3"/>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5"/>
      <c r="AR599" s="4"/>
      <c r="AS599" s="4"/>
      <c r="AT599" s="4"/>
      <c r="AU599" s="4"/>
      <c r="AV599" s="4"/>
      <c r="AW599" s="4"/>
      <c r="AX599" s="4"/>
      <c r="AY599" s="4"/>
      <c r="AZ599" s="4"/>
      <c r="BA599" s="4"/>
      <c r="BB599" s="4"/>
      <c r="BC599" s="4"/>
      <c r="BD599" s="4"/>
      <c r="BE599" s="4"/>
      <c r="BF599" s="4"/>
    </row>
    <row r="600" spans="1:58">
      <c r="A600" s="4"/>
      <c r="B600" s="3"/>
      <c r="C600" s="3"/>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5"/>
      <c r="AR600" s="4"/>
      <c r="AS600" s="4"/>
      <c r="AT600" s="4"/>
      <c r="AU600" s="4"/>
      <c r="AV600" s="4"/>
      <c r="AW600" s="4"/>
      <c r="AX600" s="4"/>
      <c r="AY600" s="4"/>
      <c r="AZ600" s="4"/>
      <c r="BA600" s="4"/>
      <c r="BB600" s="4"/>
      <c r="BC600" s="4"/>
      <c r="BD600" s="4"/>
      <c r="BE600" s="4"/>
      <c r="BF600" s="4"/>
    </row>
    <row r="601" spans="1:58">
      <c r="A601" s="4"/>
      <c r="B601" s="3"/>
      <c r="C601" s="3"/>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5"/>
      <c r="AR601" s="4"/>
      <c r="AS601" s="4"/>
      <c r="AT601" s="4"/>
      <c r="AU601" s="4"/>
      <c r="AV601" s="4"/>
      <c r="AW601" s="4"/>
      <c r="AX601" s="4"/>
      <c r="AY601" s="4"/>
      <c r="AZ601" s="4"/>
      <c r="BA601" s="4"/>
      <c r="BB601" s="4"/>
      <c r="BC601" s="4"/>
      <c r="BD601" s="4"/>
      <c r="BE601" s="4"/>
      <c r="BF601" s="4"/>
    </row>
    <row r="602" spans="1:58">
      <c r="A602" s="4"/>
      <c r="B602" s="3"/>
      <c r="C602" s="3"/>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5"/>
      <c r="AR602" s="4"/>
      <c r="AS602" s="4"/>
      <c r="AT602" s="4"/>
      <c r="AU602" s="4"/>
      <c r="AV602" s="4"/>
      <c r="AW602" s="4"/>
      <c r="AX602" s="4"/>
      <c r="AY602" s="4"/>
      <c r="AZ602" s="4"/>
      <c r="BA602" s="4"/>
      <c r="BB602" s="4"/>
      <c r="BC602" s="4"/>
      <c r="BD602" s="4"/>
      <c r="BE602" s="4"/>
      <c r="BF602" s="4"/>
    </row>
    <row r="603" spans="1:58">
      <c r="A603" s="4"/>
      <c r="B603" s="3"/>
      <c r="C603" s="3"/>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5"/>
      <c r="AR603" s="4"/>
      <c r="AS603" s="4"/>
      <c r="AT603" s="4"/>
      <c r="AU603" s="4"/>
      <c r="AV603" s="4"/>
      <c r="AW603" s="4"/>
      <c r="AX603" s="4"/>
      <c r="AY603" s="4"/>
      <c r="AZ603" s="4"/>
      <c r="BA603" s="4"/>
      <c r="BB603" s="4"/>
      <c r="BC603" s="4"/>
      <c r="BD603" s="4"/>
      <c r="BE603" s="4"/>
      <c r="BF603" s="4"/>
    </row>
    <row r="604" spans="1:58">
      <c r="A604" s="4"/>
      <c r="B604" s="3"/>
      <c r="C604" s="3"/>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5"/>
      <c r="AR604" s="4"/>
      <c r="AS604" s="4"/>
      <c r="AT604" s="4"/>
      <c r="AU604" s="4"/>
      <c r="AV604" s="4"/>
      <c r="AW604" s="4"/>
      <c r="AX604" s="4"/>
      <c r="AY604" s="4"/>
      <c r="AZ604" s="4"/>
      <c r="BA604" s="4"/>
      <c r="BB604" s="4"/>
      <c r="BC604" s="4"/>
      <c r="BD604" s="4"/>
      <c r="BE604" s="4"/>
      <c r="BF604" s="4"/>
    </row>
    <row r="605" spans="1:58">
      <c r="A605" s="4"/>
      <c r="B605" s="3"/>
      <c r="C605" s="3"/>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5"/>
      <c r="AR605" s="4"/>
      <c r="AS605" s="4"/>
      <c r="AT605" s="4"/>
      <c r="AU605" s="4"/>
      <c r="AV605" s="4"/>
      <c r="AW605" s="4"/>
      <c r="AX605" s="4"/>
      <c r="AY605" s="4"/>
      <c r="AZ605" s="4"/>
      <c r="BA605" s="4"/>
      <c r="BB605" s="4"/>
      <c r="BC605" s="4"/>
      <c r="BD605" s="4"/>
      <c r="BE605" s="4"/>
      <c r="BF605" s="4"/>
    </row>
    <row r="606" spans="1:58">
      <c r="A606" s="4"/>
      <c r="B606" s="3"/>
      <c r="C606" s="3"/>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5"/>
      <c r="AR606" s="4"/>
      <c r="AS606" s="4"/>
      <c r="AT606" s="4"/>
      <c r="AU606" s="4"/>
      <c r="AV606" s="4"/>
      <c r="AW606" s="4"/>
      <c r="AX606" s="4"/>
      <c r="AY606" s="4"/>
      <c r="AZ606" s="4"/>
      <c r="BA606" s="4"/>
      <c r="BB606" s="4"/>
      <c r="BC606" s="4"/>
      <c r="BD606" s="4"/>
      <c r="BE606" s="4"/>
      <c r="BF606" s="4"/>
    </row>
    <row r="607" spans="1:58">
      <c r="A607" s="4"/>
      <c r="B607" s="3"/>
      <c r="C607" s="3"/>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5"/>
      <c r="AR607" s="4"/>
      <c r="AS607" s="4"/>
      <c r="AT607" s="4"/>
      <c r="AU607" s="4"/>
      <c r="AV607" s="4"/>
      <c r="AW607" s="4"/>
      <c r="AX607" s="4"/>
      <c r="AY607" s="4"/>
      <c r="AZ607" s="4"/>
      <c r="BA607" s="4"/>
      <c r="BB607" s="4"/>
      <c r="BC607" s="4"/>
      <c r="BD607" s="4"/>
      <c r="BE607" s="4"/>
      <c r="BF607" s="4"/>
    </row>
    <row r="608" spans="1:58">
      <c r="A608" s="4"/>
      <c r="B608" s="3"/>
      <c r="C608" s="3"/>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5"/>
      <c r="AR608" s="4"/>
      <c r="AS608" s="4"/>
      <c r="AT608" s="4"/>
      <c r="AU608" s="4"/>
      <c r="AV608" s="4"/>
      <c r="AW608" s="4"/>
      <c r="AX608" s="4"/>
      <c r="AY608" s="4"/>
      <c r="AZ608" s="4"/>
      <c r="BA608" s="4"/>
      <c r="BB608" s="4"/>
      <c r="BC608" s="4"/>
      <c r="BD608" s="4"/>
      <c r="BE608" s="4"/>
      <c r="BF608" s="4"/>
    </row>
    <row r="609" spans="1:58">
      <c r="A609" s="4"/>
      <c r="B609" s="3"/>
      <c r="C609" s="3"/>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5"/>
      <c r="AR609" s="4"/>
      <c r="AS609" s="4"/>
      <c r="AT609" s="4"/>
      <c r="AU609" s="4"/>
      <c r="AV609" s="4"/>
      <c r="AW609" s="4"/>
      <c r="AX609" s="4"/>
      <c r="AY609" s="4"/>
      <c r="AZ609" s="4"/>
      <c r="BA609" s="4"/>
      <c r="BB609" s="4"/>
      <c r="BC609" s="4"/>
      <c r="BD609" s="4"/>
      <c r="BE609" s="4"/>
      <c r="BF609" s="4"/>
    </row>
    <row r="610" spans="1:58">
      <c r="A610" s="4"/>
      <c r="B610" s="3"/>
      <c r="C610" s="3"/>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5"/>
      <c r="AR610" s="4"/>
      <c r="AS610" s="4"/>
      <c r="AT610" s="4"/>
      <c r="AU610" s="4"/>
      <c r="AV610" s="4"/>
      <c r="AW610" s="4"/>
      <c r="AX610" s="4"/>
      <c r="AY610" s="4"/>
      <c r="AZ610" s="4"/>
      <c r="BA610" s="4"/>
      <c r="BB610" s="4"/>
      <c r="BC610" s="4"/>
      <c r="BD610" s="4"/>
      <c r="BE610" s="4"/>
      <c r="BF610" s="4"/>
    </row>
    <row r="611" spans="1:58">
      <c r="A611" s="4"/>
      <c r="B611" s="3"/>
      <c r="C611" s="3"/>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5"/>
      <c r="AR611" s="4"/>
      <c r="AS611" s="4"/>
      <c r="AT611" s="4"/>
      <c r="AU611" s="4"/>
      <c r="AV611" s="4"/>
      <c r="AW611" s="4"/>
      <c r="AX611" s="4"/>
      <c r="AY611" s="4"/>
      <c r="AZ611" s="4"/>
      <c r="BA611" s="4"/>
      <c r="BB611" s="4"/>
      <c r="BC611" s="4"/>
      <c r="BD611" s="4"/>
      <c r="BE611" s="4"/>
      <c r="BF611" s="4"/>
    </row>
    <row r="612" spans="1:58">
      <c r="A612" s="4"/>
      <c r="B612" s="3"/>
      <c r="C612" s="3"/>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5"/>
      <c r="AR612" s="4"/>
      <c r="AS612" s="4"/>
      <c r="AT612" s="4"/>
      <c r="AU612" s="4"/>
      <c r="AV612" s="4"/>
      <c r="AW612" s="4"/>
      <c r="AX612" s="4"/>
      <c r="AY612" s="4"/>
      <c r="AZ612" s="4"/>
      <c r="BA612" s="4"/>
      <c r="BB612" s="4"/>
      <c r="BC612" s="4"/>
      <c r="BD612" s="4"/>
      <c r="BE612" s="4"/>
      <c r="BF612" s="4"/>
    </row>
    <row r="613" spans="1:58">
      <c r="A613" s="4"/>
      <c r="B613" s="3"/>
      <c r="C613" s="3"/>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5"/>
      <c r="AR613" s="4"/>
      <c r="AS613" s="4"/>
      <c r="AT613" s="4"/>
      <c r="AU613" s="4"/>
      <c r="AV613" s="4"/>
      <c r="AW613" s="4"/>
      <c r="AX613" s="4"/>
      <c r="AY613" s="4"/>
      <c r="AZ613" s="4"/>
      <c r="BA613" s="4"/>
      <c r="BB613" s="4"/>
      <c r="BC613" s="4"/>
      <c r="BD613" s="4"/>
      <c r="BE613" s="4"/>
      <c r="BF613" s="4"/>
    </row>
    <row r="614" spans="1:58">
      <c r="A614" s="4"/>
      <c r="B614" s="3"/>
      <c r="C614" s="3"/>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5"/>
      <c r="AR614" s="4"/>
      <c r="AS614" s="4"/>
      <c r="AT614" s="4"/>
      <c r="AU614" s="4"/>
      <c r="AV614" s="4"/>
      <c r="AW614" s="4"/>
      <c r="AX614" s="4"/>
      <c r="AY614" s="4"/>
      <c r="AZ614" s="4"/>
      <c r="BA614" s="4"/>
      <c r="BB614" s="4"/>
      <c r="BC614" s="4"/>
      <c r="BD614" s="4"/>
      <c r="BE614" s="4"/>
      <c r="BF614" s="4"/>
    </row>
    <row r="615" spans="1:58">
      <c r="A615" s="4"/>
      <c r="B615" s="3"/>
      <c r="C615" s="3"/>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5"/>
      <c r="AR615" s="4"/>
      <c r="AS615" s="4"/>
      <c r="AT615" s="4"/>
      <c r="AU615" s="4"/>
      <c r="AV615" s="4"/>
      <c r="AW615" s="4"/>
      <c r="AX615" s="4"/>
      <c r="AY615" s="4"/>
      <c r="AZ615" s="4"/>
      <c r="BA615" s="4"/>
      <c r="BB615" s="4"/>
      <c r="BC615" s="4"/>
      <c r="BD615" s="4"/>
      <c r="BE615" s="4"/>
      <c r="BF615" s="4"/>
    </row>
    <row r="616" spans="1:58">
      <c r="A616" s="4"/>
      <c r="B616" s="3"/>
      <c r="C616" s="3"/>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5"/>
      <c r="AR616" s="4"/>
      <c r="AS616" s="4"/>
      <c r="AT616" s="4"/>
      <c r="AU616" s="4"/>
      <c r="AV616" s="4"/>
      <c r="AW616" s="4"/>
      <c r="AX616" s="4"/>
      <c r="AY616" s="4"/>
      <c r="AZ616" s="4"/>
      <c r="BA616" s="4"/>
      <c r="BB616" s="4"/>
      <c r="BC616" s="4"/>
      <c r="BD616" s="4"/>
      <c r="BE616" s="4"/>
      <c r="BF616" s="4"/>
    </row>
    <row r="617" spans="1:58">
      <c r="A617" s="4"/>
      <c r="B617" s="3"/>
      <c r="C617" s="3"/>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5"/>
      <c r="AR617" s="4"/>
      <c r="AS617" s="4"/>
      <c r="AT617" s="4"/>
      <c r="AU617" s="4"/>
      <c r="AV617" s="4"/>
      <c r="AW617" s="4"/>
      <c r="AX617" s="4"/>
      <c r="AY617" s="4"/>
      <c r="AZ617" s="4"/>
      <c r="BA617" s="4"/>
      <c r="BB617" s="4"/>
      <c r="BC617" s="4"/>
      <c r="BD617" s="4"/>
      <c r="BE617" s="4"/>
      <c r="BF617" s="4"/>
    </row>
    <row r="618" spans="1:58">
      <c r="A618" s="4"/>
      <c r="B618" s="3"/>
      <c r="C618" s="3"/>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5"/>
      <c r="AR618" s="4"/>
      <c r="AS618" s="4"/>
      <c r="AT618" s="4"/>
      <c r="AU618" s="4"/>
      <c r="AV618" s="4"/>
      <c r="AW618" s="4"/>
      <c r="AX618" s="4"/>
      <c r="AY618" s="4"/>
      <c r="AZ618" s="4"/>
      <c r="BA618" s="4"/>
      <c r="BB618" s="4"/>
      <c r="BC618" s="4"/>
      <c r="BD618" s="4"/>
      <c r="BE618" s="4"/>
      <c r="BF618" s="4"/>
    </row>
    <row r="619" spans="1:58">
      <c r="A619" s="4"/>
      <c r="B619" s="3"/>
      <c r="C619" s="3"/>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5"/>
      <c r="AR619" s="4"/>
      <c r="AS619" s="4"/>
      <c r="AT619" s="4"/>
      <c r="AU619" s="4"/>
      <c r="AV619" s="4"/>
      <c r="AW619" s="4"/>
      <c r="AX619" s="4"/>
      <c r="AY619" s="4"/>
      <c r="AZ619" s="4"/>
      <c r="BA619" s="4"/>
      <c r="BB619" s="4"/>
      <c r="BC619" s="4"/>
      <c r="BD619" s="4"/>
      <c r="BE619" s="4"/>
      <c r="BF619" s="4"/>
    </row>
    <row r="620" spans="1:58">
      <c r="A620" s="4"/>
      <c r="B620" s="3"/>
      <c r="C620" s="3"/>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5"/>
      <c r="AR620" s="4"/>
      <c r="AS620" s="4"/>
      <c r="AT620" s="4"/>
      <c r="AU620" s="4"/>
      <c r="AV620" s="4"/>
      <c r="AW620" s="4"/>
      <c r="AX620" s="4"/>
      <c r="AY620" s="4"/>
      <c r="AZ620" s="4"/>
      <c r="BA620" s="4"/>
      <c r="BB620" s="4"/>
      <c r="BC620" s="4"/>
      <c r="BD620" s="4"/>
      <c r="BE620" s="4"/>
      <c r="BF620" s="4"/>
    </row>
    <row r="621" spans="1:58">
      <c r="A621" s="4"/>
      <c r="B621" s="3"/>
      <c r="C621" s="3"/>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5"/>
      <c r="AR621" s="4"/>
      <c r="AS621" s="4"/>
      <c r="AT621" s="4"/>
      <c r="AU621" s="4"/>
      <c r="AV621" s="4"/>
      <c r="AW621" s="4"/>
      <c r="AX621" s="4"/>
      <c r="AY621" s="4"/>
      <c r="AZ621" s="4"/>
      <c r="BA621" s="4"/>
      <c r="BB621" s="4"/>
      <c r="BC621" s="4"/>
      <c r="BD621" s="4"/>
      <c r="BE621" s="4"/>
      <c r="BF621" s="4"/>
    </row>
    <row r="622" spans="1:58">
      <c r="A622" s="4"/>
      <c r="B622" s="3"/>
      <c r="C622" s="3"/>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5"/>
      <c r="AR622" s="4"/>
      <c r="AS622" s="4"/>
      <c r="AT622" s="4"/>
      <c r="AU622" s="4"/>
      <c r="AV622" s="4"/>
      <c r="AW622" s="4"/>
      <c r="AX622" s="4"/>
      <c r="AY622" s="4"/>
      <c r="AZ622" s="4"/>
      <c r="BA622" s="4"/>
      <c r="BB622" s="4"/>
      <c r="BC622" s="4"/>
      <c r="BD622" s="4"/>
      <c r="BE622" s="4"/>
      <c r="BF622" s="4"/>
    </row>
    <row r="623" spans="1:58">
      <c r="A623" s="4"/>
      <c r="B623" s="3"/>
      <c r="C623" s="3"/>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5"/>
      <c r="AR623" s="4"/>
      <c r="AS623" s="4"/>
      <c r="AT623" s="4"/>
      <c r="AU623" s="4"/>
      <c r="AV623" s="4"/>
      <c r="AW623" s="4"/>
      <c r="AX623" s="4"/>
      <c r="AY623" s="4"/>
      <c r="AZ623" s="4"/>
      <c r="BA623" s="4"/>
      <c r="BB623" s="4"/>
      <c r="BC623" s="4"/>
      <c r="BD623" s="4"/>
      <c r="BE623" s="4"/>
      <c r="BF623" s="4"/>
    </row>
    <row r="624" spans="1:58">
      <c r="A624" s="4"/>
      <c r="B624" s="3"/>
      <c r="C624" s="3"/>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5"/>
      <c r="AR624" s="4"/>
      <c r="AS624" s="4"/>
      <c r="AT624" s="4"/>
      <c r="AU624" s="4"/>
      <c r="AV624" s="4"/>
      <c r="AW624" s="4"/>
      <c r="AX624" s="4"/>
      <c r="AY624" s="4"/>
      <c r="AZ624" s="4"/>
      <c r="BA624" s="4"/>
      <c r="BB624" s="4"/>
      <c r="BC624" s="4"/>
      <c r="BD624" s="4"/>
      <c r="BE624" s="4"/>
      <c r="BF624" s="4"/>
    </row>
    <row r="625" spans="1:58">
      <c r="A625" s="4"/>
      <c r="B625" s="3"/>
      <c r="C625" s="3"/>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5"/>
      <c r="AR625" s="4"/>
      <c r="AS625" s="4"/>
      <c r="AT625" s="4"/>
      <c r="AU625" s="4"/>
      <c r="AV625" s="4"/>
      <c r="AW625" s="4"/>
      <c r="AX625" s="4"/>
      <c r="AY625" s="4"/>
      <c r="AZ625" s="4"/>
      <c r="BA625" s="4"/>
      <c r="BB625" s="4"/>
      <c r="BC625" s="4"/>
      <c r="BD625" s="4"/>
      <c r="BE625" s="4"/>
      <c r="BF625" s="4"/>
    </row>
    <row r="626" spans="1:58">
      <c r="A626" s="4"/>
      <c r="B626" s="3"/>
      <c r="C626" s="3"/>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5"/>
      <c r="AR626" s="4"/>
      <c r="AS626" s="4"/>
      <c r="AT626" s="4"/>
      <c r="AU626" s="4"/>
      <c r="AV626" s="4"/>
      <c r="AW626" s="4"/>
      <c r="AX626" s="4"/>
      <c r="AY626" s="4"/>
      <c r="AZ626" s="4"/>
      <c r="BA626" s="4"/>
      <c r="BB626" s="4"/>
      <c r="BC626" s="4"/>
      <c r="BD626" s="4"/>
      <c r="BE626" s="4"/>
      <c r="BF626" s="4"/>
    </row>
    <row r="627" spans="1:58">
      <c r="A627" s="4"/>
      <c r="B627" s="3"/>
      <c r="C627" s="3"/>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5"/>
      <c r="AR627" s="4"/>
      <c r="AS627" s="4"/>
      <c r="AT627" s="4"/>
      <c r="AU627" s="4"/>
      <c r="AV627" s="4"/>
      <c r="AW627" s="4"/>
      <c r="AX627" s="4"/>
      <c r="AY627" s="4"/>
      <c r="AZ627" s="4"/>
      <c r="BA627" s="4"/>
      <c r="BB627" s="4"/>
      <c r="BC627" s="4"/>
      <c r="BD627" s="4"/>
      <c r="BE627" s="4"/>
      <c r="BF627" s="4"/>
    </row>
    <row r="628" spans="1:58">
      <c r="A628" s="4"/>
      <c r="B628" s="3"/>
      <c r="C628" s="3"/>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5"/>
      <c r="AR628" s="4"/>
      <c r="AS628" s="4"/>
      <c r="AT628" s="4"/>
      <c r="AU628" s="4"/>
      <c r="AV628" s="4"/>
      <c r="AW628" s="4"/>
      <c r="AX628" s="4"/>
      <c r="AY628" s="4"/>
      <c r="AZ628" s="4"/>
      <c r="BA628" s="4"/>
      <c r="BB628" s="4"/>
      <c r="BC628" s="4"/>
      <c r="BD628" s="4"/>
      <c r="BE628" s="4"/>
      <c r="BF628" s="4"/>
    </row>
    <row r="629" spans="1:58">
      <c r="A629" s="4"/>
      <c r="B629" s="3"/>
      <c r="C629" s="3"/>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5"/>
      <c r="AR629" s="4"/>
      <c r="AS629" s="4"/>
      <c r="AT629" s="4"/>
      <c r="AU629" s="4"/>
      <c r="AV629" s="4"/>
      <c r="AW629" s="4"/>
      <c r="AX629" s="4"/>
      <c r="AY629" s="4"/>
      <c r="AZ629" s="4"/>
      <c r="BA629" s="4"/>
      <c r="BB629" s="4"/>
      <c r="BC629" s="4"/>
      <c r="BD629" s="4"/>
      <c r="BE629" s="4"/>
      <c r="BF629" s="4"/>
    </row>
    <row r="630" spans="1:58">
      <c r="A630" s="4"/>
      <c r="B630" s="3"/>
      <c r="C630" s="3"/>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5"/>
      <c r="AR630" s="4"/>
      <c r="AS630" s="4"/>
      <c r="AT630" s="4"/>
      <c r="AU630" s="4"/>
      <c r="AV630" s="4"/>
      <c r="AW630" s="4"/>
      <c r="AX630" s="4"/>
      <c r="AY630" s="4"/>
      <c r="AZ630" s="4"/>
      <c r="BA630" s="4"/>
      <c r="BB630" s="4"/>
      <c r="BC630" s="4"/>
      <c r="BD630" s="4"/>
      <c r="BE630" s="4"/>
      <c r="BF630" s="4"/>
    </row>
    <row r="631" spans="1:58">
      <c r="A631" s="4"/>
      <c r="B631" s="3"/>
      <c r="C631" s="3"/>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5"/>
      <c r="AR631" s="4"/>
      <c r="AS631" s="4"/>
      <c r="AT631" s="4"/>
      <c r="AU631" s="4"/>
      <c r="AV631" s="4"/>
      <c r="AW631" s="4"/>
      <c r="AX631" s="4"/>
      <c r="AY631" s="4"/>
      <c r="AZ631" s="4"/>
      <c r="BA631" s="4"/>
      <c r="BB631" s="4"/>
      <c r="BC631" s="4"/>
      <c r="BD631" s="4"/>
      <c r="BE631" s="4"/>
      <c r="BF631" s="4"/>
    </row>
    <row r="632" spans="1:58">
      <c r="A632" s="4"/>
      <c r="B632" s="3"/>
      <c r="C632" s="3"/>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5"/>
      <c r="AR632" s="4"/>
      <c r="AS632" s="4"/>
      <c r="AT632" s="4"/>
      <c r="AU632" s="4"/>
      <c r="AV632" s="4"/>
      <c r="AW632" s="4"/>
      <c r="AX632" s="4"/>
      <c r="AY632" s="4"/>
      <c r="AZ632" s="4"/>
      <c r="BA632" s="4"/>
      <c r="BB632" s="4"/>
      <c r="BC632" s="4"/>
      <c r="BD632" s="4"/>
      <c r="BE632" s="4"/>
      <c r="BF632" s="4"/>
    </row>
    <row r="633" spans="1:58">
      <c r="A633" s="4"/>
      <c r="B633" s="3"/>
      <c r="C633" s="3"/>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5"/>
      <c r="AR633" s="4"/>
      <c r="AS633" s="4"/>
      <c r="AT633" s="4"/>
      <c r="AU633" s="4"/>
      <c r="AV633" s="4"/>
      <c r="AW633" s="4"/>
      <c r="AX633" s="4"/>
      <c r="AY633" s="4"/>
      <c r="AZ633" s="4"/>
      <c r="BA633" s="4"/>
      <c r="BB633" s="4"/>
      <c r="BC633" s="4"/>
      <c r="BD633" s="4"/>
      <c r="BE633" s="4"/>
      <c r="BF633" s="4"/>
    </row>
    <row r="634" spans="1:58">
      <c r="A634" s="4"/>
      <c r="B634" s="3"/>
      <c r="C634" s="3"/>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5"/>
      <c r="AR634" s="4"/>
      <c r="AS634" s="4"/>
      <c r="AT634" s="4"/>
      <c r="AU634" s="4"/>
      <c r="AV634" s="4"/>
      <c r="AW634" s="4"/>
      <c r="AX634" s="4"/>
      <c r="AY634" s="4"/>
      <c r="AZ634" s="4"/>
      <c r="BA634" s="4"/>
      <c r="BB634" s="4"/>
      <c r="BC634" s="4"/>
      <c r="BD634" s="4"/>
      <c r="BE634" s="4"/>
      <c r="BF634" s="4"/>
    </row>
    <row r="635" spans="1:58">
      <c r="A635" s="4"/>
      <c r="B635" s="3"/>
      <c r="C635" s="3"/>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5"/>
      <c r="AR635" s="4"/>
      <c r="AS635" s="4"/>
      <c r="AT635" s="4"/>
      <c r="AU635" s="4"/>
      <c r="AV635" s="4"/>
      <c r="AW635" s="4"/>
      <c r="AX635" s="4"/>
      <c r="AY635" s="4"/>
      <c r="AZ635" s="4"/>
      <c r="BA635" s="4"/>
      <c r="BB635" s="4"/>
      <c r="BC635" s="4"/>
      <c r="BD635" s="4"/>
      <c r="BE635" s="4"/>
      <c r="BF635" s="4"/>
    </row>
    <row r="636" spans="1:58">
      <c r="A636" s="4"/>
      <c r="B636" s="3"/>
      <c r="C636" s="3"/>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5"/>
      <c r="AR636" s="4"/>
      <c r="AS636" s="4"/>
      <c r="AT636" s="4"/>
      <c r="AU636" s="4"/>
      <c r="AV636" s="4"/>
      <c r="AW636" s="4"/>
      <c r="AX636" s="4"/>
      <c r="AY636" s="4"/>
      <c r="AZ636" s="4"/>
      <c r="BA636" s="4"/>
      <c r="BB636" s="4"/>
      <c r="BC636" s="4"/>
      <c r="BD636" s="4"/>
      <c r="BE636" s="4"/>
      <c r="BF636" s="4"/>
    </row>
    <row r="637" spans="1:58">
      <c r="A637" s="4"/>
      <c r="B637" s="3"/>
      <c r="C637" s="3"/>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5"/>
      <c r="AR637" s="4"/>
      <c r="AS637" s="4"/>
      <c r="AT637" s="4"/>
      <c r="AU637" s="4"/>
      <c r="AV637" s="4"/>
      <c r="AW637" s="4"/>
      <c r="AX637" s="4"/>
      <c r="AY637" s="4"/>
      <c r="AZ637" s="4"/>
      <c r="BA637" s="4"/>
      <c r="BB637" s="4"/>
      <c r="BC637" s="4"/>
      <c r="BD637" s="4"/>
      <c r="BE637" s="4"/>
      <c r="BF637" s="4"/>
    </row>
    <row r="638" spans="1:58">
      <c r="A638" s="4"/>
      <c r="B638" s="3"/>
      <c r="C638" s="3"/>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5"/>
      <c r="AR638" s="4"/>
      <c r="AS638" s="4"/>
      <c r="AT638" s="4"/>
      <c r="AU638" s="4"/>
      <c r="AV638" s="4"/>
      <c r="AW638" s="4"/>
      <c r="AX638" s="4"/>
      <c r="AY638" s="4"/>
      <c r="AZ638" s="4"/>
      <c r="BA638" s="4"/>
      <c r="BB638" s="4"/>
      <c r="BC638" s="4"/>
      <c r="BD638" s="4"/>
      <c r="BE638" s="4"/>
      <c r="BF638" s="4"/>
    </row>
    <row r="639" spans="1:58">
      <c r="A639" s="4"/>
      <c r="B639" s="3"/>
      <c r="C639" s="3"/>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5"/>
      <c r="AR639" s="4"/>
      <c r="AS639" s="4"/>
      <c r="AT639" s="4"/>
      <c r="AU639" s="4"/>
      <c r="AV639" s="4"/>
      <c r="AW639" s="4"/>
      <c r="AX639" s="4"/>
      <c r="AY639" s="4"/>
      <c r="AZ639" s="4"/>
      <c r="BA639" s="4"/>
      <c r="BB639" s="4"/>
      <c r="BC639" s="4"/>
      <c r="BD639" s="4"/>
      <c r="BE639" s="4"/>
      <c r="BF639" s="4"/>
    </row>
    <row r="640" spans="1:58">
      <c r="A640" s="4"/>
      <c r="B640" s="3"/>
      <c r="C640" s="3"/>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5"/>
      <c r="AR640" s="4"/>
      <c r="AS640" s="4"/>
      <c r="AT640" s="4"/>
      <c r="AU640" s="4"/>
      <c r="AV640" s="4"/>
      <c r="AW640" s="4"/>
      <c r="AX640" s="4"/>
      <c r="AY640" s="4"/>
      <c r="AZ640" s="4"/>
      <c r="BA640" s="4"/>
      <c r="BB640" s="4"/>
      <c r="BC640" s="4"/>
      <c r="BD640" s="4"/>
      <c r="BE640" s="4"/>
      <c r="BF640" s="4"/>
    </row>
    <row r="641" spans="1:58">
      <c r="A641" s="4"/>
      <c r="B641" s="3"/>
      <c r="C641" s="3"/>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5"/>
      <c r="AR641" s="4"/>
      <c r="AS641" s="4"/>
      <c r="AT641" s="4"/>
      <c r="AU641" s="4"/>
      <c r="AV641" s="4"/>
      <c r="AW641" s="4"/>
      <c r="AX641" s="4"/>
      <c r="AY641" s="4"/>
      <c r="AZ641" s="4"/>
      <c r="BA641" s="4"/>
      <c r="BB641" s="4"/>
      <c r="BC641" s="4"/>
      <c r="BD641" s="4"/>
      <c r="BE641" s="4"/>
      <c r="BF641" s="4"/>
    </row>
    <row r="642" spans="1:58">
      <c r="A642" s="4"/>
      <c r="B642" s="3"/>
      <c r="C642" s="3"/>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5"/>
      <c r="AR642" s="4"/>
      <c r="AS642" s="4"/>
      <c r="AT642" s="4"/>
      <c r="AU642" s="4"/>
      <c r="AV642" s="4"/>
      <c r="AW642" s="4"/>
      <c r="AX642" s="4"/>
      <c r="AY642" s="4"/>
      <c r="AZ642" s="4"/>
      <c r="BA642" s="4"/>
      <c r="BB642" s="4"/>
      <c r="BC642" s="4"/>
      <c r="BD642" s="4"/>
      <c r="BE642" s="4"/>
      <c r="BF642" s="4"/>
    </row>
    <row r="643" spans="1:58">
      <c r="A643" s="4"/>
      <c r="B643" s="3"/>
      <c r="C643" s="3"/>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5"/>
      <c r="AR643" s="4"/>
      <c r="AS643" s="4"/>
      <c r="AT643" s="4"/>
      <c r="AU643" s="4"/>
      <c r="AV643" s="4"/>
      <c r="AW643" s="4"/>
      <c r="AX643" s="4"/>
      <c r="AY643" s="4"/>
      <c r="AZ643" s="4"/>
      <c r="BA643" s="4"/>
      <c r="BB643" s="4"/>
      <c r="BC643" s="4"/>
      <c r="BD643" s="4"/>
      <c r="BE643" s="4"/>
      <c r="BF643" s="4"/>
    </row>
    <row r="644" spans="1:58">
      <c r="A644" s="4"/>
      <c r="B644" s="3"/>
      <c r="C644" s="3"/>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5"/>
      <c r="AR644" s="4"/>
      <c r="AS644" s="4"/>
      <c r="AT644" s="4"/>
      <c r="AU644" s="4"/>
      <c r="AV644" s="4"/>
      <c r="AW644" s="4"/>
      <c r="AX644" s="4"/>
      <c r="AY644" s="4"/>
      <c r="AZ644" s="4"/>
      <c r="BA644" s="4"/>
      <c r="BB644" s="4"/>
      <c r="BC644" s="4"/>
      <c r="BD644" s="4"/>
      <c r="BE644" s="4"/>
      <c r="BF644" s="4"/>
    </row>
    <row r="645" spans="1:58">
      <c r="A645" s="4"/>
      <c r="B645" s="3"/>
      <c r="C645" s="3"/>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5"/>
      <c r="AR645" s="4"/>
      <c r="AS645" s="4"/>
      <c r="AT645" s="4"/>
      <c r="AU645" s="4"/>
      <c r="AV645" s="4"/>
      <c r="AW645" s="4"/>
      <c r="AX645" s="4"/>
      <c r="AY645" s="4"/>
      <c r="AZ645" s="4"/>
      <c r="BA645" s="4"/>
      <c r="BB645" s="4"/>
      <c r="BC645" s="4"/>
      <c r="BD645" s="4"/>
      <c r="BE645" s="4"/>
      <c r="BF645" s="4"/>
    </row>
    <row r="646" spans="1:58">
      <c r="A646" s="4"/>
      <c r="B646" s="3"/>
      <c r="C646" s="3"/>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5"/>
      <c r="AR646" s="4"/>
      <c r="AS646" s="4"/>
      <c r="AT646" s="4"/>
      <c r="AU646" s="4"/>
      <c r="AV646" s="4"/>
      <c r="AW646" s="4"/>
      <c r="AX646" s="4"/>
      <c r="AY646" s="4"/>
      <c r="AZ646" s="4"/>
      <c r="BA646" s="4"/>
      <c r="BB646" s="4"/>
      <c r="BC646" s="4"/>
      <c r="BD646" s="4"/>
      <c r="BE646" s="4"/>
      <c r="BF646" s="4"/>
    </row>
    <row r="647" spans="1:58">
      <c r="A647" s="4"/>
      <c r="B647" s="3"/>
      <c r="C647" s="3"/>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5"/>
      <c r="AR647" s="4"/>
      <c r="AS647" s="4"/>
      <c r="AT647" s="4"/>
      <c r="AU647" s="4"/>
      <c r="AV647" s="4"/>
      <c r="AW647" s="4"/>
      <c r="AX647" s="4"/>
      <c r="AY647" s="4"/>
      <c r="AZ647" s="4"/>
      <c r="BA647" s="4"/>
      <c r="BB647" s="4"/>
      <c r="BC647" s="4"/>
      <c r="BD647" s="4"/>
      <c r="BE647" s="4"/>
      <c r="BF647" s="4"/>
    </row>
    <row r="648" spans="1:58">
      <c r="A648" s="4"/>
      <c r="B648" s="3"/>
      <c r="C648" s="3"/>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5"/>
      <c r="AR648" s="4"/>
      <c r="AS648" s="4"/>
      <c r="AT648" s="4"/>
      <c r="AU648" s="4"/>
      <c r="AV648" s="4"/>
      <c r="AW648" s="4"/>
      <c r="AX648" s="4"/>
      <c r="AY648" s="4"/>
      <c r="AZ648" s="4"/>
      <c r="BA648" s="4"/>
      <c r="BB648" s="4"/>
      <c r="BC648" s="4"/>
      <c r="BD648" s="4"/>
      <c r="BE648" s="4"/>
      <c r="BF648" s="4"/>
    </row>
    <row r="649" spans="1:58">
      <c r="A649" s="4"/>
      <c r="B649" s="3"/>
      <c r="C649" s="3"/>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5"/>
      <c r="AR649" s="4"/>
      <c r="AS649" s="4"/>
      <c r="AT649" s="4"/>
      <c r="AU649" s="4"/>
      <c r="AV649" s="4"/>
      <c r="AW649" s="4"/>
      <c r="AX649" s="4"/>
      <c r="AY649" s="4"/>
      <c r="AZ649" s="4"/>
      <c r="BA649" s="4"/>
      <c r="BB649" s="4"/>
      <c r="BC649" s="4"/>
      <c r="BD649" s="4"/>
      <c r="BE649" s="4"/>
      <c r="BF649" s="4"/>
    </row>
    <row r="650" spans="1:58">
      <c r="A650" s="4"/>
      <c r="B650" s="3"/>
      <c r="C650" s="3"/>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5"/>
      <c r="AR650" s="4"/>
      <c r="AS650" s="4"/>
      <c r="AT650" s="4"/>
      <c r="AU650" s="4"/>
      <c r="AV650" s="4"/>
      <c r="AW650" s="4"/>
      <c r="AX650" s="4"/>
      <c r="AY650" s="4"/>
      <c r="AZ650" s="4"/>
      <c r="BA650" s="4"/>
      <c r="BB650" s="4"/>
      <c r="BC650" s="4"/>
      <c r="BD650" s="4"/>
      <c r="BE650" s="4"/>
      <c r="BF650" s="4"/>
    </row>
    <row r="651" spans="1:58">
      <c r="A651" s="4"/>
      <c r="B651" s="3"/>
      <c r="C651" s="3"/>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5"/>
      <c r="AR651" s="4"/>
      <c r="AS651" s="4"/>
      <c r="AT651" s="4"/>
      <c r="AU651" s="4"/>
      <c r="AV651" s="4"/>
      <c r="AW651" s="4"/>
      <c r="AX651" s="4"/>
      <c r="AY651" s="4"/>
      <c r="AZ651" s="4"/>
      <c r="BA651" s="4"/>
      <c r="BB651" s="4"/>
      <c r="BC651" s="4"/>
      <c r="BD651" s="4"/>
      <c r="BE651" s="4"/>
      <c r="BF651" s="4"/>
    </row>
    <row r="652" spans="1:58">
      <c r="A652" s="4"/>
      <c r="B652" s="3"/>
      <c r="C652" s="3"/>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5"/>
      <c r="AR652" s="4"/>
      <c r="AS652" s="4"/>
      <c r="AT652" s="4"/>
      <c r="AU652" s="4"/>
      <c r="AV652" s="4"/>
      <c r="AW652" s="4"/>
      <c r="AX652" s="4"/>
      <c r="AY652" s="4"/>
      <c r="AZ652" s="4"/>
      <c r="BA652" s="4"/>
      <c r="BB652" s="4"/>
      <c r="BC652" s="4"/>
      <c r="BD652" s="4"/>
      <c r="BE652" s="4"/>
      <c r="BF652" s="4"/>
    </row>
    <row r="653" spans="1:58">
      <c r="A653" s="4"/>
      <c r="B653" s="3"/>
      <c r="C653" s="3"/>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5"/>
      <c r="AR653" s="4"/>
      <c r="AS653" s="4"/>
      <c r="AT653" s="4"/>
      <c r="AU653" s="4"/>
      <c r="AV653" s="4"/>
      <c r="AW653" s="4"/>
      <c r="AX653" s="4"/>
      <c r="AY653" s="4"/>
      <c r="AZ653" s="4"/>
      <c r="BA653" s="4"/>
      <c r="BB653" s="4"/>
      <c r="BC653" s="4"/>
      <c r="BD653" s="4"/>
      <c r="BE653" s="4"/>
      <c r="BF653" s="4"/>
    </row>
    <row r="654" spans="1:58">
      <c r="A654" s="4"/>
      <c r="B654" s="3"/>
      <c r="C654" s="3"/>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5"/>
      <c r="AR654" s="4"/>
      <c r="AS654" s="4"/>
      <c r="AT654" s="4"/>
      <c r="AU654" s="4"/>
      <c r="AV654" s="4"/>
      <c r="AW654" s="4"/>
      <c r="AX654" s="4"/>
      <c r="AY654" s="4"/>
      <c r="AZ654" s="4"/>
      <c r="BA654" s="4"/>
      <c r="BB654" s="4"/>
      <c r="BC654" s="4"/>
      <c r="BD654" s="4"/>
      <c r="BE654" s="4"/>
      <c r="BF654" s="4"/>
    </row>
    <row r="655" spans="1:58">
      <c r="A655" s="4"/>
      <c r="B655" s="3"/>
      <c r="C655" s="3"/>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5"/>
      <c r="AR655" s="4"/>
      <c r="AS655" s="4"/>
      <c r="AT655" s="4"/>
      <c r="AU655" s="4"/>
      <c r="AV655" s="4"/>
      <c r="AW655" s="4"/>
      <c r="AX655" s="4"/>
      <c r="AY655" s="4"/>
      <c r="AZ655" s="4"/>
      <c r="BA655" s="4"/>
      <c r="BB655" s="4"/>
      <c r="BC655" s="4"/>
      <c r="BD655" s="4"/>
      <c r="BE655" s="4"/>
      <c r="BF655" s="4"/>
    </row>
    <row r="656" spans="1:58">
      <c r="A656" s="4"/>
      <c r="B656" s="3"/>
      <c r="C656" s="3"/>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5"/>
      <c r="AR656" s="4"/>
      <c r="AS656" s="4"/>
      <c r="AT656" s="4"/>
      <c r="AU656" s="4"/>
      <c r="AV656" s="4"/>
      <c r="AW656" s="4"/>
      <c r="AX656" s="4"/>
      <c r="AY656" s="4"/>
      <c r="AZ656" s="4"/>
      <c r="BA656" s="4"/>
      <c r="BB656" s="4"/>
      <c r="BC656" s="4"/>
      <c r="BD656" s="4"/>
      <c r="BE656" s="4"/>
      <c r="BF656" s="4"/>
    </row>
    <row r="657" spans="1:58">
      <c r="A657" s="4"/>
      <c r="B657" s="3"/>
      <c r="C657" s="3"/>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5"/>
      <c r="AR657" s="4"/>
      <c r="AS657" s="4"/>
      <c r="AT657" s="4"/>
      <c r="AU657" s="4"/>
      <c r="AV657" s="4"/>
      <c r="AW657" s="4"/>
      <c r="AX657" s="4"/>
      <c r="AY657" s="4"/>
      <c r="AZ657" s="4"/>
      <c r="BA657" s="4"/>
      <c r="BB657" s="4"/>
      <c r="BC657" s="4"/>
      <c r="BD657" s="4"/>
      <c r="BE657" s="4"/>
      <c r="BF657" s="4"/>
    </row>
    <row r="658" spans="1:58">
      <c r="A658" s="4"/>
      <c r="B658" s="3"/>
      <c r="C658" s="3"/>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5"/>
      <c r="AR658" s="4"/>
      <c r="AS658" s="4"/>
      <c r="AT658" s="4"/>
      <c r="AU658" s="4"/>
      <c r="AV658" s="4"/>
      <c r="AW658" s="4"/>
      <c r="AX658" s="4"/>
      <c r="AY658" s="4"/>
      <c r="AZ658" s="4"/>
      <c r="BA658" s="4"/>
      <c r="BB658" s="4"/>
      <c r="BC658" s="4"/>
      <c r="BD658" s="4"/>
      <c r="BE658" s="4"/>
      <c r="BF658" s="4"/>
    </row>
    <row r="659" spans="1:58">
      <c r="A659" s="4"/>
      <c r="B659" s="3"/>
      <c r="C659" s="3"/>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5"/>
      <c r="AR659" s="4"/>
      <c r="AS659" s="4"/>
      <c r="AT659" s="4"/>
      <c r="AU659" s="4"/>
      <c r="AV659" s="4"/>
      <c r="AW659" s="4"/>
      <c r="AX659" s="4"/>
      <c r="AY659" s="4"/>
      <c r="AZ659" s="4"/>
      <c r="BA659" s="4"/>
      <c r="BB659" s="4"/>
      <c r="BC659" s="4"/>
      <c r="BD659" s="4"/>
      <c r="BE659" s="4"/>
      <c r="BF659" s="4"/>
    </row>
    <row r="660" spans="1:58">
      <c r="A660" s="4"/>
      <c r="B660" s="3"/>
      <c r="C660" s="3"/>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5"/>
      <c r="AR660" s="4"/>
      <c r="AS660" s="4"/>
      <c r="AT660" s="4"/>
      <c r="AU660" s="4"/>
      <c r="AV660" s="4"/>
      <c r="AW660" s="4"/>
      <c r="AX660" s="4"/>
      <c r="AY660" s="4"/>
      <c r="AZ660" s="4"/>
      <c r="BA660" s="4"/>
      <c r="BB660" s="4"/>
      <c r="BC660" s="4"/>
      <c r="BD660" s="4"/>
      <c r="BE660" s="4"/>
      <c r="BF660" s="4"/>
    </row>
    <row r="661" spans="1:58">
      <c r="A661" s="4"/>
      <c r="B661" s="3"/>
      <c r="C661" s="3"/>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5"/>
      <c r="AR661" s="4"/>
      <c r="AS661" s="4"/>
      <c r="AT661" s="4"/>
      <c r="AU661" s="4"/>
      <c r="AV661" s="4"/>
      <c r="AW661" s="4"/>
      <c r="AX661" s="4"/>
      <c r="AY661" s="4"/>
      <c r="AZ661" s="4"/>
      <c r="BA661" s="4"/>
      <c r="BB661" s="4"/>
      <c r="BC661" s="4"/>
      <c r="BD661" s="4"/>
      <c r="BE661" s="4"/>
      <c r="BF661" s="4"/>
    </row>
    <row r="662" spans="1:58">
      <c r="A662" s="4"/>
      <c r="B662" s="3"/>
      <c r="C662" s="3"/>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5"/>
      <c r="AR662" s="4"/>
      <c r="AS662" s="4"/>
      <c r="AT662" s="4"/>
      <c r="AU662" s="4"/>
      <c r="AV662" s="4"/>
      <c r="AW662" s="4"/>
      <c r="AX662" s="4"/>
      <c r="AY662" s="4"/>
      <c r="AZ662" s="4"/>
      <c r="BA662" s="4"/>
      <c r="BB662" s="4"/>
      <c r="BC662" s="4"/>
      <c r="BD662" s="4"/>
      <c r="BE662" s="4"/>
      <c r="BF662" s="4"/>
    </row>
    <row r="663" spans="1:58">
      <c r="A663" s="4"/>
      <c r="B663" s="3"/>
      <c r="C663" s="3"/>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5"/>
      <c r="AR663" s="4"/>
      <c r="AS663" s="4"/>
      <c r="AT663" s="4"/>
      <c r="AU663" s="4"/>
      <c r="AV663" s="4"/>
      <c r="AW663" s="4"/>
      <c r="AX663" s="4"/>
      <c r="AY663" s="4"/>
      <c r="AZ663" s="4"/>
      <c r="BA663" s="4"/>
      <c r="BB663" s="4"/>
      <c r="BC663" s="4"/>
      <c r="BD663" s="4"/>
      <c r="BE663" s="4"/>
      <c r="BF663" s="4"/>
    </row>
    <row r="664" spans="1:58">
      <c r="A664" s="4"/>
      <c r="B664" s="3"/>
      <c r="C664" s="3"/>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5"/>
      <c r="AR664" s="4"/>
      <c r="AS664" s="4"/>
      <c r="AT664" s="4"/>
      <c r="AU664" s="4"/>
      <c r="AV664" s="4"/>
      <c r="AW664" s="4"/>
      <c r="AX664" s="4"/>
      <c r="AY664" s="4"/>
      <c r="AZ664" s="4"/>
      <c r="BA664" s="4"/>
      <c r="BB664" s="4"/>
      <c r="BC664" s="4"/>
      <c r="BD664" s="4"/>
      <c r="BE664" s="4"/>
      <c r="BF664" s="4"/>
    </row>
    <row r="665" spans="1:58">
      <c r="A665" s="4"/>
      <c r="B665" s="3"/>
      <c r="C665" s="3"/>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5"/>
      <c r="AR665" s="4"/>
      <c r="AS665" s="4"/>
      <c r="AT665" s="4"/>
      <c r="AU665" s="4"/>
      <c r="AV665" s="4"/>
      <c r="AW665" s="4"/>
      <c r="AX665" s="4"/>
      <c r="AY665" s="4"/>
      <c r="AZ665" s="4"/>
      <c r="BA665" s="4"/>
      <c r="BB665" s="4"/>
      <c r="BC665" s="4"/>
      <c r="BD665" s="4"/>
      <c r="BE665" s="4"/>
      <c r="BF665" s="4"/>
    </row>
    <row r="666" spans="1:58">
      <c r="A666" s="4"/>
      <c r="B666" s="3"/>
      <c r="C666" s="3"/>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5"/>
      <c r="AR666" s="4"/>
      <c r="AS666" s="4"/>
      <c r="AT666" s="4"/>
      <c r="AU666" s="4"/>
      <c r="AV666" s="4"/>
      <c r="AW666" s="4"/>
      <c r="AX666" s="4"/>
      <c r="AY666" s="4"/>
      <c r="AZ666" s="4"/>
      <c r="BA666" s="4"/>
      <c r="BB666" s="4"/>
      <c r="BC666" s="4"/>
      <c r="BD666" s="4"/>
      <c r="BE666" s="4"/>
      <c r="BF666" s="4"/>
    </row>
    <row r="667" spans="1:58">
      <c r="A667" s="4"/>
      <c r="B667" s="3"/>
      <c r="C667" s="3"/>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5"/>
      <c r="AR667" s="4"/>
      <c r="AS667" s="4"/>
      <c r="AT667" s="4"/>
      <c r="AU667" s="4"/>
      <c r="AV667" s="4"/>
      <c r="AW667" s="4"/>
      <c r="AX667" s="4"/>
      <c r="AY667" s="4"/>
      <c r="AZ667" s="4"/>
      <c r="BA667" s="4"/>
      <c r="BB667" s="4"/>
      <c r="BC667" s="4"/>
      <c r="BD667" s="4"/>
      <c r="BE667" s="4"/>
      <c r="BF667" s="4"/>
    </row>
    <row r="668" spans="1:58">
      <c r="A668" s="4"/>
      <c r="B668" s="3"/>
      <c r="C668" s="3"/>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5"/>
      <c r="AR668" s="4"/>
      <c r="AS668" s="4"/>
      <c r="AT668" s="4"/>
      <c r="AU668" s="4"/>
      <c r="AV668" s="4"/>
      <c r="AW668" s="4"/>
      <c r="AX668" s="4"/>
      <c r="AY668" s="4"/>
      <c r="AZ668" s="4"/>
      <c r="BA668" s="4"/>
      <c r="BB668" s="4"/>
      <c r="BC668" s="4"/>
      <c r="BD668" s="4"/>
      <c r="BE668" s="4"/>
      <c r="BF668" s="4"/>
    </row>
    <row r="669" spans="1:58">
      <c r="A669" s="4"/>
      <c r="B669" s="3"/>
      <c r="C669" s="3"/>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5"/>
      <c r="AR669" s="4"/>
      <c r="AS669" s="4"/>
      <c r="AT669" s="4"/>
      <c r="AU669" s="4"/>
      <c r="AV669" s="4"/>
      <c r="AW669" s="4"/>
      <c r="AX669" s="4"/>
      <c r="AY669" s="4"/>
      <c r="AZ669" s="4"/>
      <c r="BA669" s="4"/>
      <c r="BB669" s="4"/>
      <c r="BC669" s="4"/>
      <c r="BD669" s="4"/>
      <c r="BE669" s="4"/>
      <c r="BF669" s="4"/>
    </row>
    <row r="670" spans="1:58">
      <c r="A670" s="4"/>
      <c r="B670" s="3"/>
      <c r="C670" s="3"/>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5"/>
      <c r="AR670" s="4"/>
      <c r="AS670" s="4"/>
      <c r="AT670" s="4"/>
      <c r="AU670" s="4"/>
      <c r="AV670" s="4"/>
      <c r="AW670" s="4"/>
      <c r="AX670" s="4"/>
      <c r="AY670" s="4"/>
      <c r="AZ670" s="4"/>
      <c r="BA670" s="4"/>
      <c r="BB670" s="4"/>
      <c r="BC670" s="4"/>
      <c r="BD670" s="4"/>
      <c r="BE670" s="4"/>
      <c r="BF670" s="4"/>
    </row>
    <row r="671" spans="1:58">
      <c r="A671" s="4"/>
      <c r="B671" s="3"/>
      <c r="C671" s="3"/>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5"/>
      <c r="AR671" s="4"/>
      <c r="AS671" s="4"/>
      <c r="AT671" s="4"/>
      <c r="AU671" s="4"/>
      <c r="AV671" s="4"/>
      <c r="AW671" s="4"/>
      <c r="AX671" s="4"/>
      <c r="AY671" s="4"/>
      <c r="AZ671" s="4"/>
      <c r="BA671" s="4"/>
      <c r="BB671" s="4"/>
      <c r="BC671" s="4"/>
      <c r="BD671" s="4"/>
      <c r="BE671" s="4"/>
      <c r="BF671" s="4"/>
    </row>
    <row r="672" spans="1:58">
      <c r="A672" s="4"/>
      <c r="B672" s="3"/>
      <c r="C672" s="3"/>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5"/>
      <c r="AR672" s="4"/>
      <c r="AS672" s="4"/>
      <c r="AT672" s="4"/>
      <c r="AU672" s="4"/>
      <c r="AV672" s="4"/>
      <c r="AW672" s="4"/>
      <c r="AX672" s="4"/>
      <c r="AY672" s="4"/>
      <c r="AZ672" s="4"/>
      <c r="BA672" s="4"/>
      <c r="BB672" s="4"/>
      <c r="BC672" s="4"/>
      <c r="BD672" s="4"/>
      <c r="BE672" s="4"/>
      <c r="BF672" s="4"/>
    </row>
    <row r="673" spans="1:58">
      <c r="A673" s="4"/>
      <c r="B673" s="3"/>
      <c r="C673" s="3"/>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5"/>
      <c r="AR673" s="4"/>
      <c r="AS673" s="4"/>
      <c r="AT673" s="4"/>
      <c r="AU673" s="4"/>
      <c r="AV673" s="4"/>
      <c r="AW673" s="4"/>
      <c r="AX673" s="4"/>
      <c r="AY673" s="4"/>
      <c r="AZ673" s="4"/>
      <c r="BA673" s="4"/>
      <c r="BB673" s="4"/>
      <c r="BC673" s="4"/>
      <c r="BD673" s="4"/>
      <c r="BE673" s="4"/>
      <c r="BF673" s="4"/>
    </row>
    <row r="674" spans="1:58">
      <c r="A674" s="4"/>
      <c r="B674" s="3"/>
      <c r="C674" s="3"/>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5"/>
      <c r="AR674" s="4"/>
      <c r="AS674" s="4"/>
      <c r="AT674" s="4"/>
      <c r="AU674" s="4"/>
      <c r="AV674" s="4"/>
      <c r="AW674" s="4"/>
      <c r="AX674" s="4"/>
      <c r="AY674" s="4"/>
      <c r="AZ674" s="4"/>
      <c r="BA674" s="4"/>
      <c r="BB674" s="4"/>
      <c r="BC674" s="4"/>
      <c r="BD674" s="4"/>
      <c r="BE674" s="4"/>
      <c r="BF674" s="4"/>
    </row>
    <row r="675" spans="1:58">
      <c r="A675" s="4"/>
      <c r="B675" s="3"/>
      <c r="C675" s="3"/>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5"/>
      <c r="AR675" s="4"/>
      <c r="AS675" s="4"/>
      <c r="AT675" s="4"/>
      <c r="AU675" s="4"/>
      <c r="AV675" s="4"/>
      <c r="AW675" s="4"/>
      <c r="AX675" s="4"/>
      <c r="AY675" s="4"/>
      <c r="AZ675" s="4"/>
      <c r="BA675" s="4"/>
      <c r="BB675" s="4"/>
      <c r="BC675" s="4"/>
      <c r="BD675" s="4"/>
      <c r="BE675" s="4"/>
      <c r="BF675" s="4"/>
    </row>
    <row r="676" spans="1:58">
      <c r="A676" s="4"/>
      <c r="B676" s="3"/>
      <c r="C676" s="3"/>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5"/>
      <c r="AR676" s="4"/>
      <c r="AS676" s="4"/>
      <c r="AT676" s="4"/>
      <c r="AU676" s="4"/>
      <c r="AV676" s="4"/>
      <c r="AW676" s="4"/>
      <c r="AX676" s="4"/>
      <c r="AY676" s="4"/>
      <c r="AZ676" s="4"/>
      <c r="BA676" s="4"/>
      <c r="BB676" s="4"/>
      <c r="BC676" s="4"/>
      <c r="BD676" s="4"/>
      <c r="BE676" s="4"/>
      <c r="BF676" s="4"/>
    </row>
    <row r="677" spans="1:58">
      <c r="A677" s="4"/>
      <c r="B677" s="3"/>
      <c r="C677" s="3"/>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5"/>
      <c r="AR677" s="4"/>
      <c r="AS677" s="4"/>
      <c r="AT677" s="4"/>
      <c r="AU677" s="4"/>
      <c r="AV677" s="4"/>
      <c r="AW677" s="4"/>
      <c r="AX677" s="4"/>
      <c r="AY677" s="4"/>
      <c r="AZ677" s="4"/>
      <c r="BA677" s="4"/>
      <c r="BB677" s="4"/>
      <c r="BC677" s="4"/>
      <c r="BD677" s="4"/>
      <c r="BE677" s="4"/>
      <c r="BF677" s="4"/>
    </row>
    <row r="678" spans="1:58">
      <c r="A678" s="4"/>
      <c r="B678" s="3"/>
      <c r="C678" s="3"/>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5"/>
      <c r="AR678" s="4"/>
      <c r="AS678" s="4"/>
      <c r="AT678" s="4"/>
      <c r="AU678" s="4"/>
      <c r="AV678" s="4"/>
      <c r="AW678" s="4"/>
      <c r="AX678" s="4"/>
      <c r="AY678" s="4"/>
      <c r="AZ678" s="4"/>
      <c r="BA678" s="4"/>
      <c r="BB678" s="4"/>
      <c r="BC678" s="4"/>
      <c r="BD678" s="4"/>
      <c r="BE678" s="4"/>
      <c r="BF678" s="4"/>
    </row>
    <row r="679" spans="1:58">
      <c r="A679" s="4"/>
      <c r="B679" s="3"/>
      <c r="C679" s="3"/>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5"/>
      <c r="AR679" s="4"/>
      <c r="AS679" s="4"/>
      <c r="AT679" s="4"/>
      <c r="AU679" s="4"/>
      <c r="AV679" s="4"/>
      <c r="AW679" s="4"/>
      <c r="AX679" s="4"/>
      <c r="AY679" s="4"/>
      <c r="AZ679" s="4"/>
      <c r="BA679" s="4"/>
      <c r="BB679" s="4"/>
      <c r="BC679" s="4"/>
      <c r="BD679" s="4"/>
      <c r="BE679" s="4"/>
      <c r="BF679" s="4"/>
    </row>
    <row r="680" spans="1:58">
      <c r="A680" s="4"/>
      <c r="B680" s="3"/>
      <c r="C680" s="3"/>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5"/>
      <c r="AR680" s="4"/>
      <c r="AS680" s="4"/>
      <c r="AT680" s="4"/>
      <c r="AU680" s="4"/>
      <c r="AV680" s="4"/>
      <c r="AW680" s="4"/>
      <c r="AX680" s="4"/>
      <c r="AY680" s="4"/>
      <c r="AZ680" s="4"/>
      <c r="BA680" s="4"/>
      <c r="BB680" s="4"/>
      <c r="BC680" s="4"/>
      <c r="BD680" s="4"/>
      <c r="BE680" s="4"/>
      <c r="BF680" s="4"/>
    </row>
    <row r="681" spans="1:58">
      <c r="A681" s="4"/>
      <c r="B681" s="3"/>
      <c r="C681" s="3"/>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5"/>
      <c r="AR681" s="4"/>
      <c r="AS681" s="4"/>
      <c r="AT681" s="4"/>
      <c r="AU681" s="4"/>
      <c r="AV681" s="4"/>
      <c r="AW681" s="4"/>
      <c r="AX681" s="4"/>
      <c r="AY681" s="4"/>
      <c r="AZ681" s="4"/>
      <c r="BA681" s="4"/>
      <c r="BB681" s="4"/>
      <c r="BC681" s="4"/>
      <c r="BD681" s="4"/>
      <c r="BE681" s="4"/>
      <c r="BF681" s="4"/>
    </row>
    <row r="682" spans="1:58">
      <c r="A682" s="4"/>
      <c r="B682" s="3"/>
      <c r="C682" s="3"/>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5"/>
      <c r="AR682" s="4"/>
      <c r="AS682" s="4"/>
      <c r="AT682" s="4"/>
      <c r="AU682" s="4"/>
      <c r="AV682" s="4"/>
      <c r="AW682" s="4"/>
      <c r="AX682" s="4"/>
      <c r="AY682" s="4"/>
      <c r="AZ682" s="4"/>
      <c r="BA682" s="4"/>
      <c r="BB682" s="4"/>
      <c r="BC682" s="4"/>
      <c r="BD682" s="4"/>
      <c r="BE682" s="4"/>
      <c r="BF682" s="4"/>
    </row>
    <row r="683" spans="1:58">
      <c r="A683" s="4"/>
      <c r="B683" s="3"/>
      <c r="C683" s="3"/>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5"/>
      <c r="AR683" s="4"/>
      <c r="AS683" s="4"/>
      <c r="AT683" s="4"/>
      <c r="AU683" s="4"/>
      <c r="AV683" s="4"/>
      <c r="AW683" s="4"/>
      <c r="AX683" s="4"/>
      <c r="AY683" s="4"/>
      <c r="AZ683" s="4"/>
      <c r="BA683" s="4"/>
      <c r="BB683" s="4"/>
      <c r="BC683" s="4"/>
      <c r="BD683" s="4"/>
      <c r="BE683" s="4"/>
      <c r="BF683" s="4"/>
    </row>
    <row r="684" spans="1:58">
      <c r="A684" s="4"/>
      <c r="B684" s="3"/>
      <c r="C684" s="3"/>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5"/>
      <c r="AR684" s="4"/>
      <c r="AS684" s="4"/>
      <c r="AT684" s="4"/>
      <c r="AU684" s="4"/>
      <c r="AV684" s="4"/>
      <c r="AW684" s="4"/>
      <c r="AX684" s="4"/>
      <c r="AY684" s="4"/>
      <c r="AZ684" s="4"/>
      <c r="BA684" s="4"/>
      <c r="BB684" s="4"/>
      <c r="BC684" s="4"/>
      <c r="BD684" s="4"/>
      <c r="BE684" s="4"/>
      <c r="BF684" s="4"/>
    </row>
    <row r="685" spans="1:58">
      <c r="A685" s="4"/>
      <c r="B685" s="3"/>
      <c r="C685" s="3"/>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5"/>
      <c r="AR685" s="4"/>
      <c r="AS685" s="4"/>
      <c r="AT685" s="4"/>
      <c r="AU685" s="4"/>
      <c r="AV685" s="4"/>
      <c r="AW685" s="4"/>
      <c r="AX685" s="4"/>
      <c r="AY685" s="4"/>
      <c r="AZ685" s="4"/>
      <c r="BA685" s="4"/>
      <c r="BB685" s="4"/>
      <c r="BC685" s="4"/>
      <c r="BD685" s="4"/>
      <c r="BE685" s="4"/>
      <c r="BF685" s="4"/>
    </row>
    <row r="686" spans="1:58">
      <c r="A686" s="4"/>
      <c r="B686" s="3"/>
      <c r="C686" s="3"/>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5"/>
      <c r="AR686" s="4"/>
      <c r="AS686" s="4"/>
      <c r="AT686" s="4"/>
      <c r="AU686" s="4"/>
      <c r="AV686" s="4"/>
      <c r="AW686" s="4"/>
      <c r="AX686" s="4"/>
      <c r="AY686" s="4"/>
      <c r="AZ686" s="4"/>
      <c r="BA686" s="4"/>
      <c r="BB686" s="4"/>
      <c r="BC686" s="4"/>
      <c r="BD686" s="4"/>
      <c r="BE686" s="4"/>
      <c r="BF686" s="4"/>
    </row>
    <row r="687" spans="1:58">
      <c r="A687" s="4"/>
      <c r="B687" s="3"/>
      <c r="C687" s="3"/>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5"/>
      <c r="AR687" s="4"/>
      <c r="AS687" s="4"/>
      <c r="AT687" s="4"/>
      <c r="AU687" s="4"/>
      <c r="AV687" s="4"/>
      <c r="AW687" s="4"/>
      <c r="AX687" s="4"/>
      <c r="AY687" s="4"/>
      <c r="AZ687" s="4"/>
      <c r="BA687" s="4"/>
      <c r="BB687" s="4"/>
      <c r="BC687" s="4"/>
      <c r="BD687" s="4"/>
      <c r="BE687" s="4"/>
      <c r="BF687" s="4"/>
    </row>
    <row r="688" spans="1:58">
      <c r="A688" s="4"/>
      <c r="B688" s="3"/>
      <c r="C688" s="3"/>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5"/>
      <c r="AR688" s="4"/>
      <c r="AS688" s="4"/>
      <c r="AT688" s="4"/>
      <c r="AU688" s="4"/>
      <c r="AV688" s="4"/>
      <c r="AW688" s="4"/>
      <c r="AX688" s="4"/>
      <c r="AY688" s="4"/>
      <c r="AZ688" s="4"/>
      <c r="BA688" s="4"/>
      <c r="BB688" s="4"/>
      <c r="BC688" s="4"/>
      <c r="BD688" s="4"/>
      <c r="BE688" s="4"/>
      <c r="BF688" s="4"/>
    </row>
    <row r="689" spans="1:58">
      <c r="A689" s="4"/>
      <c r="B689" s="3"/>
      <c r="C689" s="3"/>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5"/>
      <c r="AR689" s="4"/>
      <c r="AS689" s="4"/>
      <c r="AT689" s="4"/>
      <c r="AU689" s="4"/>
      <c r="AV689" s="4"/>
      <c r="AW689" s="4"/>
      <c r="AX689" s="4"/>
      <c r="AY689" s="4"/>
      <c r="AZ689" s="4"/>
      <c r="BA689" s="4"/>
      <c r="BB689" s="4"/>
      <c r="BC689" s="4"/>
      <c r="BD689" s="4"/>
      <c r="BE689" s="4"/>
      <c r="BF689" s="4"/>
    </row>
    <row r="690" spans="1:58">
      <c r="A690" s="4"/>
      <c r="B690" s="3"/>
      <c r="C690" s="3"/>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5"/>
      <c r="AR690" s="4"/>
      <c r="AS690" s="4"/>
      <c r="AT690" s="4"/>
      <c r="AU690" s="4"/>
      <c r="AV690" s="4"/>
      <c r="AW690" s="4"/>
      <c r="AX690" s="4"/>
      <c r="AY690" s="4"/>
      <c r="AZ690" s="4"/>
      <c r="BA690" s="4"/>
      <c r="BB690" s="4"/>
      <c r="BC690" s="4"/>
      <c r="BD690" s="4"/>
      <c r="BE690" s="4"/>
      <c r="BF690" s="4"/>
    </row>
    <row r="691" spans="1:58">
      <c r="A691" s="4"/>
      <c r="B691" s="3"/>
      <c r="C691" s="3"/>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5"/>
      <c r="AR691" s="4"/>
      <c r="AS691" s="4"/>
      <c r="AT691" s="4"/>
      <c r="AU691" s="4"/>
      <c r="AV691" s="4"/>
      <c r="AW691" s="4"/>
      <c r="AX691" s="4"/>
      <c r="AY691" s="4"/>
      <c r="AZ691" s="4"/>
      <c r="BA691" s="4"/>
      <c r="BB691" s="4"/>
      <c r="BC691" s="4"/>
      <c r="BD691" s="4"/>
      <c r="BE691" s="4"/>
      <c r="BF691" s="4"/>
    </row>
    <row r="692" spans="1:58">
      <c r="A692" s="4"/>
      <c r="B692" s="3"/>
      <c r="C692" s="3"/>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5"/>
      <c r="AR692" s="4"/>
      <c r="AS692" s="4"/>
      <c r="AT692" s="4"/>
      <c r="AU692" s="4"/>
      <c r="AV692" s="4"/>
      <c r="AW692" s="4"/>
      <c r="AX692" s="4"/>
      <c r="AY692" s="4"/>
      <c r="AZ692" s="4"/>
      <c r="BA692" s="4"/>
      <c r="BB692" s="4"/>
      <c r="BC692" s="4"/>
      <c r="BD692" s="4"/>
      <c r="BE692" s="4"/>
      <c r="BF692" s="4"/>
    </row>
    <row r="693" spans="1:58">
      <c r="A693" s="4"/>
      <c r="B693" s="3"/>
      <c r="C693" s="3"/>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5"/>
      <c r="AR693" s="4"/>
      <c r="AS693" s="4"/>
      <c r="AT693" s="4"/>
      <c r="AU693" s="4"/>
      <c r="AV693" s="4"/>
      <c r="AW693" s="4"/>
      <c r="AX693" s="4"/>
      <c r="AY693" s="4"/>
      <c r="AZ693" s="4"/>
      <c r="BA693" s="4"/>
      <c r="BB693" s="4"/>
      <c r="BC693" s="4"/>
      <c r="BD693" s="4"/>
      <c r="BE693" s="4"/>
      <c r="BF693" s="4"/>
    </row>
    <row r="694" spans="1:58">
      <c r="A694" s="4"/>
      <c r="B694" s="3"/>
      <c r="C694" s="3"/>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5"/>
      <c r="AR694" s="4"/>
      <c r="AS694" s="4"/>
      <c r="AT694" s="4"/>
      <c r="AU694" s="4"/>
      <c r="AV694" s="4"/>
      <c r="AW694" s="4"/>
      <c r="AX694" s="4"/>
      <c r="AY694" s="4"/>
      <c r="AZ694" s="4"/>
      <c r="BA694" s="4"/>
      <c r="BB694" s="4"/>
      <c r="BC694" s="4"/>
      <c r="BD694" s="4"/>
      <c r="BE694" s="4"/>
      <c r="BF694" s="4"/>
    </row>
    <row r="695" spans="1:58">
      <c r="A695" s="4"/>
      <c r="B695" s="3"/>
      <c r="C695" s="3"/>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5"/>
      <c r="AR695" s="4"/>
      <c r="AS695" s="4"/>
      <c r="AT695" s="4"/>
      <c r="AU695" s="4"/>
      <c r="AV695" s="4"/>
      <c r="AW695" s="4"/>
      <c r="AX695" s="4"/>
      <c r="AY695" s="4"/>
      <c r="AZ695" s="4"/>
      <c r="BA695" s="4"/>
      <c r="BB695" s="4"/>
      <c r="BC695" s="4"/>
      <c r="BD695" s="4"/>
      <c r="BE695" s="4"/>
      <c r="BF695" s="4"/>
    </row>
    <row r="696" spans="1:58">
      <c r="A696" s="4"/>
      <c r="B696" s="3"/>
      <c r="C696" s="3"/>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5"/>
      <c r="AR696" s="4"/>
      <c r="AS696" s="4"/>
      <c r="AT696" s="4"/>
      <c r="AU696" s="4"/>
      <c r="AV696" s="4"/>
      <c r="AW696" s="4"/>
      <c r="AX696" s="4"/>
      <c r="AY696" s="4"/>
      <c r="AZ696" s="4"/>
      <c r="BA696" s="4"/>
      <c r="BB696" s="4"/>
      <c r="BC696" s="4"/>
      <c r="BD696" s="4"/>
      <c r="BE696" s="4"/>
      <c r="BF696" s="4"/>
    </row>
    <row r="697" spans="1:58">
      <c r="A697" s="4"/>
      <c r="B697" s="3"/>
      <c r="C697" s="3"/>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5"/>
      <c r="AR697" s="4"/>
      <c r="AS697" s="4"/>
      <c r="AT697" s="4"/>
      <c r="AU697" s="4"/>
      <c r="AV697" s="4"/>
      <c r="AW697" s="4"/>
      <c r="AX697" s="4"/>
      <c r="AY697" s="4"/>
      <c r="AZ697" s="4"/>
      <c r="BA697" s="4"/>
      <c r="BB697" s="4"/>
      <c r="BC697" s="4"/>
      <c r="BD697" s="4"/>
      <c r="BE697" s="4"/>
      <c r="BF697" s="4"/>
    </row>
    <row r="698" spans="1:58">
      <c r="A698" s="4"/>
      <c r="B698" s="3"/>
      <c r="C698" s="3"/>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5"/>
      <c r="AR698" s="4"/>
      <c r="AS698" s="4"/>
      <c r="AT698" s="4"/>
      <c r="AU698" s="4"/>
      <c r="AV698" s="4"/>
      <c r="AW698" s="4"/>
      <c r="AX698" s="4"/>
      <c r="AY698" s="4"/>
      <c r="AZ698" s="4"/>
      <c r="BA698" s="4"/>
      <c r="BB698" s="4"/>
      <c r="BC698" s="4"/>
      <c r="BD698" s="4"/>
      <c r="BE698" s="4"/>
      <c r="BF698" s="4"/>
    </row>
    <row r="699" spans="1:58">
      <c r="A699" s="4"/>
      <c r="B699" s="3"/>
      <c r="C699" s="3"/>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5"/>
      <c r="AR699" s="4"/>
      <c r="AS699" s="4"/>
      <c r="AT699" s="4"/>
      <c r="AU699" s="4"/>
      <c r="AV699" s="4"/>
      <c r="AW699" s="4"/>
      <c r="AX699" s="4"/>
      <c r="AY699" s="4"/>
      <c r="AZ699" s="4"/>
      <c r="BA699" s="4"/>
      <c r="BB699" s="4"/>
      <c r="BC699" s="4"/>
      <c r="BD699" s="4"/>
      <c r="BE699" s="4"/>
      <c r="BF699" s="4"/>
    </row>
    <row r="700" spans="1:58">
      <c r="A700" s="4"/>
      <c r="B700" s="3"/>
      <c r="C700" s="3"/>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5"/>
      <c r="AR700" s="4"/>
      <c r="AS700" s="4"/>
      <c r="AT700" s="4"/>
      <c r="AU700" s="4"/>
      <c r="AV700" s="4"/>
      <c r="AW700" s="4"/>
      <c r="AX700" s="4"/>
      <c r="AY700" s="4"/>
      <c r="AZ700" s="4"/>
      <c r="BA700" s="4"/>
      <c r="BB700" s="4"/>
      <c r="BC700" s="4"/>
      <c r="BD700" s="4"/>
      <c r="BE700" s="4"/>
      <c r="BF700" s="4"/>
    </row>
    <row r="701" spans="1:58">
      <c r="A701" s="4"/>
      <c r="B701" s="3"/>
      <c r="C701" s="3"/>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5"/>
      <c r="AR701" s="4"/>
      <c r="AS701" s="4"/>
      <c r="AT701" s="4"/>
      <c r="AU701" s="4"/>
      <c r="AV701" s="4"/>
      <c r="AW701" s="4"/>
      <c r="AX701" s="4"/>
      <c r="AY701" s="4"/>
      <c r="AZ701" s="4"/>
      <c r="BA701" s="4"/>
      <c r="BB701" s="4"/>
      <c r="BC701" s="4"/>
      <c r="BD701" s="4"/>
      <c r="BE701" s="4"/>
      <c r="BF701" s="4"/>
    </row>
    <row r="702" spans="1:58">
      <c r="A702" s="4"/>
      <c r="B702" s="3"/>
      <c r="C702" s="3"/>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5"/>
      <c r="AR702" s="4"/>
      <c r="AS702" s="4"/>
      <c r="AT702" s="4"/>
      <c r="AU702" s="4"/>
      <c r="AV702" s="4"/>
      <c r="AW702" s="4"/>
      <c r="AX702" s="4"/>
      <c r="AY702" s="4"/>
      <c r="AZ702" s="4"/>
      <c r="BA702" s="4"/>
      <c r="BB702" s="4"/>
      <c r="BC702" s="4"/>
      <c r="BD702" s="4"/>
      <c r="BE702" s="4"/>
      <c r="BF702" s="4"/>
    </row>
    <row r="703" spans="1:58">
      <c r="A703" s="4"/>
      <c r="B703" s="3"/>
      <c r="C703" s="3"/>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5"/>
      <c r="AR703" s="4"/>
      <c r="AS703" s="4"/>
      <c r="AT703" s="4"/>
      <c r="AU703" s="4"/>
      <c r="AV703" s="4"/>
      <c r="AW703" s="4"/>
      <c r="AX703" s="4"/>
      <c r="AY703" s="4"/>
      <c r="AZ703" s="4"/>
      <c r="BA703" s="4"/>
      <c r="BB703" s="4"/>
      <c r="BC703" s="4"/>
      <c r="BD703" s="4"/>
      <c r="BE703" s="4"/>
      <c r="BF703" s="4"/>
    </row>
    <row r="704" spans="1:58">
      <c r="A704" s="4"/>
      <c r="B704" s="3"/>
      <c r="C704" s="3"/>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5"/>
      <c r="AR704" s="4"/>
      <c r="AS704" s="4"/>
      <c r="AT704" s="4"/>
      <c r="AU704" s="4"/>
      <c r="AV704" s="4"/>
      <c r="AW704" s="4"/>
      <c r="AX704" s="4"/>
      <c r="AY704" s="4"/>
      <c r="AZ704" s="4"/>
      <c r="BA704" s="4"/>
      <c r="BB704" s="4"/>
      <c r="BC704" s="4"/>
      <c r="BD704" s="4"/>
      <c r="BE704" s="4"/>
      <c r="BF704" s="4"/>
    </row>
    <row r="705" spans="1:58">
      <c r="A705" s="4"/>
      <c r="B705" s="3"/>
      <c r="C705" s="3"/>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5"/>
      <c r="AR705" s="4"/>
      <c r="AS705" s="4"/>
      <c r="AT705" s="4"/>
      <c r="AU705" s="4"/>
      <c r="AV705" s="4"/>
      <c r="AW705" s="4"/>
      <c r="AX705" s="4"/>
      <c r="AY705" s="4"/>
      <c r="AZ705" s="4"/>
      <c r="BA705" s="4"/>
      <c r="BB705" s="4"/>
      <c r="BC705" s="4"/>
      <c r="BD705" s="4"/>
      <c r="BE705" s="4"/>
      <c r="BF705" s="4"/>
    </row>
    <row r="706" spans="1:58">
      <c r="A706" s="4"/>
      <c r="B706" s="3"/>
      <c r="C706" s="3"/>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5"/>
      <c r="AR706" s="4"/>
      <c r="AS706" s="4"/>
      <c r="AT706" s="4"/>
      <c r="AU706" s="4"/>
      <c r="AV706" s="4"/>
      <c r="AW706" s="4"/>
      <c r="AX706" s="4"/>
      <c r="AY706" s="4"/>
      <c r="AZ706" s="4"/>
      <c r="BA706" s="4"/>
      <c r="BB706" s="4"/>
      <c r="BC706" s="4"/>
      <c r="BD706" s="4"/>
      <c r="BE706" s="4"/>
      <c r="BF706" s="4"/>
    </row>
    <row r="707" spans="1:58">
      <c r="A707" s="4"/>
      <c r="B707" s="3"/>
      <c r="C707" s="3"/>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5"/>
      <c r="AR707" s="4"/>
      <c r="AS707" s="4"/>
      <c r="AT707" s="4"/>
      <c r="AU707" s="4"/>
      <c r="AV707" s="4"/>
      <c r="AW707" s="4"/>
      <c r="AX707" s="4"/>
      <c r="AY707" s="4"/>
      <c r="AZ707" s="4"/>
      <c r="BA707" s="4"/>
      <c r="BB707" s="4"/>
      <c r="BC707" s="4"/>
      <c r="BD707" s="4"/>
      <c r="BE707" s="4"/>
      <c r="BF707" s="4"/>
    </row>
    <row r="708" spans="1:58">
      <c r="A708" s="4"/>
      <c r="B708" s="3"/>
      <c r="C708" s="3"/>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5"/>
      <c r="AR708" s="4"/>
      <c r="AS708" s="4"/>
      <c r="AT708" s="4"/>
      <c r="AU708" s="4"/>
      <c r="AV708" s="4"/>
      <c r="AW708" s="4"/>
      <c r="AX708" s="4"/>
      <c r="AY708" s="4"/>
      <c r="AZ708" s="4"/>
      <c r="BA708" s="4"/>
      <c r="BB708" s="4"/>
      <c r="BC708" s="4"/>
      <c r="BD708" s="4"/>
      <c r="BE708" s="4"/>
      <c r="BF708" s="4"/>
    </row>
    <row r="709" spans="1:58">
      <c r="A709" s="4"/>
      <c r="B709" s="3"/>
      <c r="C709" s="3"/>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5"/>
      <c r="AR709" s="4"/>
      <c r="AS709" s="4"/>
      <c r="AT709" s="4"/>
      <c r="AU709" s="4"/>
      <c r="AV709" s="4"/>
      <c r="AW709" s="4"/>
      <c r="AX709" s="4"/>
      <c r="AY709" s="4"/>
      <c r="AZ709" s="4"/>
      <c r="BA709" s="4"/>
      <c r="BB709" s="4"/>
      <c r="BC709" s="4"/>
      <c r="BD709" s="4"/>
      <c r="BE709" s="4"/>
      <c r="BF709" s="4"/>
    </row>
    <row r="710" spans="1:58">
      <c r="A710" s="4"/>
      <c r="B710" s="3"/>
      <c r="C710" s="3"/>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5"/>
      <c r="AR710" s="4"/>
      <c r="AS710" s="4"/>
      <c r="AT710" s="4"/>
      <c r="AU710" s="4"/>
      <c r="AV710" s="4"/>
      <c r="AW710" s="4"/>
      <c r="AX710" s="4"/>
      <c r="AY710" s="4"/>
      <c r="AZ710" s="4"/>
      <c r="BA710" s="4"/>
      <c r="BB710" s="4"/>
      <c r="BC710" s="4"/>
      <c r="BD710" s="4"/>
      <c r="BE710" s="4"/>
      <c r="BF710" s="4"/>
    </row>
    <row r="711" spans="1:58">
      <c r="A711" s="4"/>
      <c r="B711" s="3"/>
      <c r="C711" s="3"/>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5"/>
      <c r="AR711" s="4"/>
      <c r="AS711" s="4"/>
      <c r="AT711" s="4"/>
      <c r="AU711" s="4"/>
      <c r="AV711" s="4"/>
      <c r="AW711" s="4"/>
      <c r="AX711" s="4"/>
      <c r="AY711" s="4"/>
      <c r="AZ711" s="4"/>
      <c r="BA711" s="4"/>
      <c r="BB711" s="4"/>
      <c r="BC711" s="4"/>
      <c r="BD711" s="4"/>
      <c r="BE711" s="4"/>
      <c r="BF711" s="4"/>
    </row>
    <row r="712" spans="1:58">
      <c r="A712" s="4"/>
      <c r="B712" s="3"/>
      <c r="C712" s="3"/>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5"/>
      <c r="AR712" s="4"/>
      <c r="AS712" s="4"/>
      <c r="AT712" s="4"/>
      <c r="AU712" s="4"/>
      <c r="AV712" s="4"/>
      <c r="AW712" s="4"/>
      <c r="AX712" s="4"/>
      <c r="AY712" s="4"/>
      <c r="AZ712" s="4"/>
      <c r="BA712" s="4"/>
      <c r="BB712" s="4"/>
      <c r="BC712" s="4"/>
      <c r="BD712" s="4"/>
      <c r="BE712" s="4"/>
      <c r="BF712" s="4"/>
    </row>
    <row r="713" spans="1:58">
      <c r="A713" s="4"/>
      <c r="B713" s="3"/>
      <c r="C713" s="3"/>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5"/>
      <c r="AR713" s="4"/>
      <c r="AS713" s="4"/>
      <c r="AT713" s="4"/>
      <c r="AU713" s="4"/>
      <c r="AV713" s="4"/>
      <c r="AW713" s="4"/>
      <c r="AX713" s="4"/>
      <c r="AY713" s="4"/>
      <c r="AZ713" s="4"/>
      <c r="BA713" s="4"/>
      <c r="BB713" s="4"/>
      <c r="BC713" s="4"/>
      <c r="BD713" s="4"/>
      <c r="BE713" s="4"/>
      <c r="BF713" s="4"/>
    </row>
    <row r="714" spans="1:58">
      <c r="A714" s="4"/>
      <c r="B714" s="3"/>
      <c r="C714" s="3"/>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5"/>
      <c r="AR714" s="4"/>
      <c r="AS714" s="4"/>
      <c r="AT714" s="4"/>
      <c r="AU714" s="4"/>
      <c r="AV714" s="4"/>
      <c r="AW714" s="4"/>
      <c r="AX714" s="4"/>
      <c r="AY714" s="4"/>
      <c r="AZ714" s="4"/>
      <c r="BA714" s="4"/>
      <c r="BB714" s="4"/>
      <c r="BC714" s="4"/>
      <c r="BD714" s="4"/>
      <c r="BE714" s="4"/>
      <c r="BF714" s="4"/>
    </row>
    <row r="715" spans="1:58">
      <c r="A715" s="4"/>
      <c r="B715" s="3"/>
      <c r="C715" s="3"/>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5"/>
      <c r="AR715" s="4"/>
      <c r="AS715" s="4"/>
      <c r="AT715" s="4"/>
      <c r="AU715" s="4"/>
      <c r="AV715" s="4"/>
      <c r="AW715" s="4"/>
      <c r="AX715" s="4"/>
      <c r="AY715" s="4"/>
      <c r="AZ715" s="4"/>
      <c r="BA715" s="4"/>
      <c r="BB715" s="4"/>
      <c r="BC715" s="4"/>
      <c r="BD715" s="4"/>
      <c r="BE715" s="4"/>
      <c r="BF715" s="4"/>
    </row>
    <row r="716" spans="1:58">
      <c r="A716" s="4"/>
      <c r="B716" s="3"/>
      <c r="C716" s="3"/>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5"/>
      <c r="AR716" s="4"/>
      <c r="AS716" s="4"/>
      <c r="AT716" s="4"/>
      <c r="AU716" s="4"/>
      <c r="AV716" s="4"/>
      <c r="AW716" s="4"/>
      <c r="AX716" s="4"/>
      <c r="AY716" s="4"/>
      <c r="AZ716" s="4"/>
      <c r="BA716" s="4"/>
      <c r="BB716" s="4"/>
      <c r="BC716" s="4"/>
      <c r="BD716" s="4"/>
      <c r="BE716" s="4"/>
      <c r="BF716" s="4"/>
    </row>
    <row r="717" spans="1:58">
      <c r="A717" s="4"/>
      <c r="B717" s="3"/>
      <c r="C717" s="3"/>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5"/>
      <c r="AR717" s="4"/>
      <c r="AS717" s="4"/>
      <c r="AT717" s="4"/>
      <c r="AU717" s="4"/>
      <c r="AV717" s="4"/>
      <c r="AW717" s="4"/>
      <c r="AX717" s="4"/>
      <c r="AY717" s="4"/>
      <c r="AZ717" s="4"/>
      <c r="BA717" s="4"/>
      <c r="BB717" s="4"/>
      <c r="BC717" s="4"/>
      <c r="BD717" s="4"/>
      <c r="BE717" s="4"/>
      <c r="BF717" s="4"/>
    </row>
    <row r="718" spans="1:58">
      <c r="A718" s="4"/>
      <c r="B718" s="3"/>
      <c r="C718" s="3"/>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5"/>
      <c r="AR718" s="4"/>
      <c r="AS718" s="4"/>
      <c r="AT718" s="4"/>
      <c r="AU718" s="4"/>
      <c r="AV718" s="4"/>
      <c r="AW718" s="4"/>
      <c r="AX718" s="4"/>
      <c r="AY718" s="4"/>
      <c r="AZ718" s="4"/>
      <c r="BA718" s="4"/>
      <c r="BB718" s="4"/>
      <c r="BC718" s="4"/>
      <c r="BD718" s="4"/>
      <c r="BE718" s="4"/>
      <c r="BF718" s="4"/>
    </row>
    <row r="719" spans="1:58">
      <c r="A719" s="4"/>
      <c r="B719" s="3"/>
      <c r="C719" s="3"/>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5"/>
      <c r="AR719" s="4"/>
      <c r="AS719" s="4"/>
      <c r="AT719" s="4"/>
      <c r="AU719" s="4"/>
      <c r="AV719" s="4"/>
      <c r="AW719" s="4"/>
      <c r="AX719" s="4"/>
      <c r="AY719" s="4"/>
      <c r="AZ719" s="4"/>
      <c r="BA719" s="4"/>
      <c r="BB719" s="4"/>
      <c r="BC719" s="4"/>
      <c r="BD719" s="4"/>
      <c r="BE719" s="4"/>
      <c r="BF719" s="4"/>
    </row>
    <row r="720" spans="1:58">
      <c r="A720" s="4"/>
      <c r="B720" s="3"/>
      <c r="C720" s="3"/>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5"/>
      <c r="AR720" s="4"/>
      <c r="AS720" s="4"/>
      <c r="AT720" s="4"/>
      <c r="AU720" s="4"/>
      <c r="AV720" s="4"/>
      <c r="AW720" s="4"/>
      <c r="AX720" s="4"/>
      <c r="AY720" s="4"/>
      <c r="AZ720" s="4"/>
      <c r="BA720" s="4"/>
      <c r="BB720" s="4"/>
      <c r="BC720" s="4"/>
      <c r="BD720" s="4"/>
      <c r="BE720" s="4"/>
      <c r="BF720" s="4"/>
    </row>
    <row r="721" spans="1:58">
      <c r="A721" s="4"/>
      <c r="B721" s="3"/>
      <c r="C721" s="3"/>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5"/>
      <c r="AR721" s="4"/>
      <c r="AS721" s="4"/>
      <c r="AT721" s="4"/>
      <c r="AU721" s="4"/>
      <c r="AV721" s="4"/>
      <c r="AW721" s="4"/>
      <c r="AX721" s="4"/>
      <c r="AY721" s="4"/>
      <c r="AZ721" s="4"/>
      <c r="BA721" s="4"/>
      <c r="BB721" s="4"/>
      <c r="BC721" s="4"/>
      <c r="BD721" s="4"/>
      <c r="BE721" s="4"/>
      <c r="BF721" s="4"/>
    </row>
    <row r="722" spans="1:58">
      <c r="A722" s="4"/>
      <c r="B722" s="3"/>
      <c r="C722" s="3"/>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5"/>
      <c r="AR722" s="4"/>
      <c r="AS722" s="4"/>
      <c r="AT722" s="4"/>
      <c r="AU722" s="4"/>
      <c r="AV722" s="4"/>
      <c r="AW722" s="4"/>
      <c r="AX722" s="4"/>
      <c r="AY722" s="4"/>
      <c r="AZ722" s="4"/>
      <c r="BA722" s="4"/>
      <c r="BB722" s="4"/>
      <c r="BC722" s="4"/>
      <c r="BD722" s="4"/>
      <c r="BE722" s="4"/>
      <c r="BF722" s="4"/>
    </row>
    <row r="723" spans="1:58">
      <c r="A723" s="4"/>
      <c r="B723" s="3"/>
      <c r="C723" s="3"/>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5"/>
      <c r="AR723" s="4"/>
      <c r="AS723" s="4"/>
      <c r="AT723" s="4"/>
      <c r="AU723" s="4"/>
      <c r="AV723" s="4"/>
      <c r="AW723" s="4"/>
      <c r="AX723" s="4"/>
      <c r="AY723" s="4"/>
      <c r="AZ723" s="4"/>
      <c r="BA723" s="4"/>
      <c r="BB723" s="4"/>
      <c r="BC723" s="4"/>
      <c r="BD723" s="4"/>
      <c r="BE723" s="4"/>
      <c r="BF723" s="4"/>
    </row>
    <row r="724" spans="1:58">
      <c r="A724" s="4"/>
      <c r="B724" s="3"/>
      <c r="C724" s="3"/>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5"/>
      <c r="AR724" s="4"/>
      <c r="AS724" s="4"/>
      <c r="AT724" s="4"/>
      <c r="AU724" s="4"/>
      <c r="AV724" s="4"/>
      <c r="AW724" s="4"/>
      <c r="AX724" s="4"/>
      <c r="AY724" s="4"/>
      <c r="AZ724" s="4"/>
      <c r="BA724" s="4"/>
      <c r="BB724" s="4"/>
      <c r="BC724" s="4"/>
      <c r="BD724" s="4"/>
      <c r="BE724" s="4"/>
      <c r="BF724" s="4"/>
    </row>
    <row r="725" spans="1:58">
      <c r="A725" s="4"/>
      <c r="B725" s="3"/>
      <c r="C725" s="3"/>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5"/>
      <c r="AR725" s="4"/>
      <c r="AS725" s="4"/>
      <c r="AT725" s="4"/>
      <c r="AU725" s="4"/>
      <c r="AV725" s="4"/>
      <c r="AW725" s="4"/>
      <c r="AX725" s="4"/>
      <c r="AY725" s="4"/>
      <c r="AZ725" s="4"/>
      <c r="BA725" s="4"/>
      <c r="BB725" s="4"/>
      <c r="BC725" s="4"/>
      <c r="BD725" s="4"/>
      <c r="BE725" s="4"/>
      <c r="BF725" s="4"/>
    </row>
    <row r="726" spans="1:58">
      <c r="A726" s="4"/>
      <c r="B726" s="3"/>
      <c r="C726" s="3"/>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5"/>
      <c r="AR726" s="4"/>
      <c r="AS726" s="4"/>
      <c r="AT726" s="4"/>
      <c r="AU726" s="4"/>
      <c r="AV726" s="4"/>
      <c r="AW726" s="4"/>
      <c r="AX726" s="4"/>
      <c r="AY726" s="4"/>
      <c r="AZ726" s="4"/>
      <c r="BA726" s="4"/>
      <c r="BB726" s="4"/>
      <c r="BC726" s="4"/>
      <c r="BD726" s="4"/>
      <c r="BE726" s="4"/>
      <c r="BF726" s="4"/>
    </row>
    <row r="727" spans="1:58">
      <c r="A727" s="4"/>
      <c r="B727" s="3"/>
      <c r="C727" s="3"/>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5"/>
      <c r="AR727" s="4"/>
      <c r="AS727" s="4"/>
      <c r="AT727" s="4"/>
      <c r="AU727" s="4"/>
      <c r="AV727" s="4"/>
      <c r="AW727" s="4"/>
      <c r="AX727" s="4"/>
      <c r="AY727" s="4"/>
      <c r="AZ727" s="4"/>
      <c r="BA727" s="4"/>
      <c r="BB727" s="4"/>
      <c r="BC727" s="4"/>
      <c r="BD727" s="4"/>
      <c r="BE727" s="4"/>
      <c r="BF727" s="4"/>
    </row>
    <row r="728" spans="1:58">
      <c r="A728" s="4"/>
      <c r="B728" s="3"/>
      <c r="C728" s="3"/>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5"/>
      <c r="AR728" s="4"/>
      <c r="AS728" s="4"/>
      <c r="AT728" s="4"/>
      <c r="AU728" s="4"/>
      <c r="AV728" s="4"/>
      <c r="AW728" s="4"/>
      <c r="AX728" s="4"/>
      <c r="AY728" s="4"/>
      <c r="AZ728" s="4"/>
      <c r="BA728" s="4"/>
      <c r="BB728" s="4"/>
      <c r="BC728" s="4"/>
      <c r="BD728" s="4"/>
      <c r="BE728" s="4"/>
      <c r="BF728" s="4"/>
    </row>
    <row r="729" spans="1:58">
      <c r="A729" s="4"/>
      <c r="B729" s="3"/>
      <c r="C729" s="3"/>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5"/>
      <c r="AR729" s="4"/>
      <c r="AS729" s="4"/>
      <c r="AT729" s="4"/>
      <c r="AU729" s="4"/>
      <c r="AV729" s="4"/>
      <c r="AW729" s="4"/>
      <c r="AX729" s="4"/>
      <c r="AY729" s="4"/>
      <c r="AZ729" s="4"/>
      <c r="BA729" s="4"/>
      <c r="BB729" s="4"/>
      <c r="BC729" s="4"/>
      <c r="BD729" s="4"/>
      <c r="BE729" s="4"/>
      <c r="BF729" s="4"/>
    </row>
    <row r="730" spans="1:58">
      <c r="A730" s="4"/>
      <c r="B730" s="3"/>
      <c r="C730" s="3"/>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5"/>
      <c r="AR730" s="4"/>
      <c r="AS730" s="4"/>
      <c r="AT730" s="4"/>
      <c r="AU730" s="4"/>
      <c r="AV730" s="4"/>
      <c r="AW730" s="4"/>
      <c r="AX730" s="4"/>
      <c r="AY730" s="4"/>
      <c r="AZ730" s="4"/>
      <c r="BA730" s="4"/>
      <c r="BB730" s="4"/>
      <c r="BC730" s="4"/>
      <c r="BD730" s="4"/>
      <c r="BE730" s="4"/>
      <c r="BF730" s="4"/>
    </row>
    <row r="731" spans="1:58">
      <c r="A731" s="4"/>
      <c r="B731" s="3"/>
      <c r="C731" s="3"/>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5"/>
      <c r="AR731" s="4"/>
      <c r="AS731" s="4"/>
      <c r="AT731" s="4"/>
      <c r="AU731" s="4"/>
      <c r="AV731" s="4"/>
      <c r="AW731" s="4"/>
      <c r="AX731" s="4"/>
      <c r="AY731" s="4"/>
      <c r="AZ731" s="4"/>
      <c r="BA731" s="4"/>
      <c r="BB731" s="4"/>
      <c r="BC731" s="4"/>
      <c r="BD731" s="4"/>
      <c r="BE731" s="4"/>
      <c r="BF731" s="4"/>
    </row>
    <row r="732" spans="1:58">
      <c r="A732" s="4"/>
      <c r="B732" s="3"/>
      <c r="C732" s="3"/>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5"/>
      <c r="AR732" s="4"/>
      <c r="AS732" s="4"/>
      <c r="AT732" s="4"/>
      <c r="AU732" s="4"/>
      <c r="AV732" s="4"/>
      <c r="AW732" s="4"/>
      <c r="AX732" s="4"/>
      <c r="AY732" s="4"/>
      <c r="AZ732" s="4"/>
      <c r="BA732" s="4"/>
      <c r="BB732" s="4"/>
      <c r="BC732" s="4"/>
      <c r="BD732" s="4"/>
      <c r="BE732" s="4"/>
      <c r="BF732" s="4"/>
    </row>
    <row r="733" spans="1:58">
      <c r="A733" s="4"/>
      <c r="B733" s="3"/>
      <c r="C733" s="3"/>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5"/>
      <c r="AR733" s="4"/>
      <c r="AS733" s="4"/>
      <c r="AT733" s="4"/>
      <c r="AU733" s="4"/>
      <c r="AV733" s="4"/>
      <c r="AW733" s="4"/>
      <c r="AX733" s="4"/>
      <c r="AY733" s="4"/>
      <c r="AZ733" s="4"/>
      <c r="BA733" s="4"/>
      <c r="BB733" s="4"/>
      <c r="BC733" s="4"/>
      <c r="BD733" s="4"/>
      <c r="BE733" s="4"/>
      <c r="BF733" s="4"/>
    </row>
    <row r="734" spans="1:58">
      <c r="A734" s="4"/>
      <c r="B734" s="3"/>
      <c r="C734" s="3"/>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5"/>
      <c r="AR734" s="4"/>
      <c r="AS734" s="4"/>
      <c r="AT734" s="4"/>
      <c r="AU734" s="4"/>
      <c r="AV734" s="4"/>
      <c r="AW734" s="4"/>
      <c r="AX734" s="4"/>
      <c r="AY734" s="4"/>
      <c r="AZ734" s="4"/>
      <c r="BA734" s="4"/>
      <c r="BB734" s="4"/>
      <c r="BC734" s="4"/>
      <c r="BD734" s="4"/>
      <c r="BE734" s="4"/>
      <c r="BF734" s="4"/>
    </row>
    <row r="735" spans="1:58">
      <c r="A735" s="4"/>
      <c r="B735" s="3"/>
      <c r="C735" s="3"/>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5"/>
      <c r="AR735" s="4"/>
      <c r="AS735" s="4"/>
      <c r="AT735" s="4"/>
      <c r="AU735" s="4"/>
      <c r="AV735" s="4"/>
      <c r="AW735" s="4"/>
      <c r="AX735" s="4"/>
      <c r="AY735" s="4"/>
      <c r="AZ735" s="4"/>
      <c r="BA735" s="4"/>
      <c r="BB735" s="4"/>
      <c r="BC735" s="4"/>
      <c r="BD735" s="4"/>
      <c r="BE735" s="4"/>
      <c r="BF735" s="4"/>
    </row>
    <row r="736" spans="1:58">
      <c r="A736" s="4"/>
      <c r="B736" s="3"/>
      <c r="C736" s="3"/>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5"/>
      <c r="AR736" s="4"/>
      <c r="AS736" s="4"/>
      <c r="AT736" s="4"/>
      <c r="AU736" s="4"/>
      <c r="AV736" s="4"/>
      <c r="AW736" s="4"/>
      <c r="AX736" s="4"/>
      <c r="AY736" s="4"/>
      <c r="AZ736" s="4"/>
      <c r="BA736" s="4"/>
      <c r="BB736" s="4"/>
      <c r="BC736" s="4"/>
      <c r="BD736" s="4"/>
      <c r="BE736" s="4"/>
      <c r="BF736" s="4"/>
    </row>
    <row r="737" spans="1:58">
      <c r="A737" s="4"/>
      <c r="B737" s="3"/>
      <c r="C737" s="3"/>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5"/>
      <c r="AR737" s="4"/>
      <c r="AS737" s="4"/>
      <c r="AT737" s="4"/>
      <c r="AU737" s="4"/>
      <c r="AV737" s="4"/>
      <c r="AW737" s="4"/>
      <c r="AX737" s="4"/>
      <c r="AY737" s="4"/>
      <c r="AZ737" s="4"/>
      <c r="BA737" s="4"/>
      <c r="BB737" s="4"/>
      <c r="BC737" s="4"/>
      <c r="BD737" s="4"/>
      <c r="BE737" s="4"/>
      <c r="BF737" s="4"/>
    </row>
    <row r="738" spans="1:58">
      <c r="A738" s="4"/>
      <c r="B738" s="3"/>
      <c r="C738" s="3"/>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5"/>
      <c r="AR738" s="4"/>
      <c r="AS738" s="4"/>
      <c r="AT738" s="4"/>
      <c r="AU738" s="4"/>
      <c r="AV738" s="4"/>
      <c r="AW738" s="4"/>
      <c r="AX738" s="4"/>
      <c r="AY738" s="4"/>
      <c r="AZ738" s="4"/>
      <c r="BA738" s="4"/>
      <c r="BB738" s="4"/>
      <c r="BC738" s="4"/>
      <c r="BD738" s="4"/>
      <c r="BE738" s="4"/>
      <c r="BF738" s="4"/>
    </row>
    <row r="739" spans="1:58">
      <c r="A739" s="4"/>
      <c r="B739" s="3"/>
      <c r="C739" s="3"/>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5"/>
      <c r="AR739" s="4"/>
      <c r="AS739" s="4"/>
      <c r="AT739" s="4"/>
      <c r="AU739" s="4"/>
      <c r="AV739" s="4"/>
      <c r="AW739" s="4"/>
      <c r="AX739" s="4"/>
      <c r="AY739" s="4"/>
      <c r="AZ739" s="4"/>
      <c r="BA739" s="4"/>
      <c r="BB739" s="4"/>
      <c r="BC739" s="4"/>
      <c r="BD739" s="4"/>
      <c r="BE739" s="4"/>
      <c r="BF739" s="4"/>
    </row>
    <row r="740" spans="1:58">
      <c r="A740" s="4"/>
      <c r="B740" s="3"/>
      <c r="C740" s="3"/>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5"/>
      <c r="AR740" s="4"/>
      <c r="AS740" s="4"/>
      <c r="AT740" s="4"/>
      <c r="AU740" s="4"/>
      <c r="AV740" s="4"/>
      <c r="AW740" s="4"/>
      <c r="AX740" s="4"/>
      <c r="AY740" s="4"/>
      <c r="AZ740" s="4"/>
      <c r="BA740" s="4"/>
      <c r="BB740" s="4"/>
      <c r="BC740" s="4"/>
      <c r="BD740" s="4"/>
      <c r="BE740" s="4"/>
      <c r="BF740" s="4"/>
    </row>
    <row r="741" spans="1:58">
      <c r="A741" s="4"/>
      <c r="B741" s="3"/>
      <c r="C741" s="3"/>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5"/>
      <c r="AR741" s="4"/>
      <c r="AS741" s="4"/>
      <c r="AT741" s="4"/>
      <c r="AU741" s="4"/>
      <c r="AV741" s="4"/>
      <c r="AW741" s="4"/>
      <c r="AX741" s="4"/>
      <c r="AY741" s="4"/>
      <c r="AZ741" s="4"/>
      <c r="BA741" s="4"/>
      <c r="BB741" s="4"/>
      <c r="BC741" s="4"/>
      <c r="BD741" s="4"/>
      <c r="BE741" s="4"/>
      <c r="BF741" s="4"/>
    </row>
    <row r="742" spans="1:58">
      <c r="A742" s="4"/>
      <c r="B742" s="3"/>
      <c r="C742" s="3"/>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5"/>
      <c r="AR742" s="4"/>
      <c r="AS742" s="4"/>
      <c r="AT742" s="4"/>
      <c r="AU742" s="4"/>
      <c r="AV742" s="4"/>
      <c r="AW742" s="4"/>
      <c r="AX742" s="4"/>
      <c r="AY742" s="4"/>
      <c r="AZ742" s="4"/>
      <c r="BA742" s="4"/>
      <c r="BB742" s="4"/>
      <c r="BC742" s="4"/>
      <c r="BD742" s="4"/>
      <c r="BE742" s="4"/>
      <c r="BF742" s="4"/>
    </row>
    <row r="743" spans="1:58">
      <c r="A743" s="4"/>
      <c r="B743" s="3"/>
      <c r="C743" s="3"/>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5"/>
      <c r="AR743" s="4"/>
      <c r="AS743" s="4"/>
      <c r="AT743" s="4"/>
      <c r="AU743" s="4"/>
      <c r="AV743" s="4"/>
      <c r="AW743" s="4"/>
      <c r="AX743" s="4"/>
      <c r="AY743" s="4"/>
      <c r="AZ743" s="4"/>
      <c r="BA743" s="4"/>
      <c r="BB743" s="4"/>
      <c r="BC743" s="4"/>
      <c r="BD743" s="4"/>
      <c r="BE743" s="4"/>
      <c r="BF743" s="4"/>
    </row>
    <row r="744" spans="1:58">
      <c r="A744" s="4"/>
      <c r="B744" s="3"/>
      <c r="C744" s="3"/>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5"/>
      <c r="AR744" s="4"/>
      <c r="AS744" s="4"/>
      <c r="AT744" s="4"/>
      <c r="AU744" s="4"/>
      <c r="AV744" s="4"/>
      <c r="AW744" s="4"/>
      <c r="AX744" s="4"/>
      <c r="AY744" s="4"/>
      <c r="AZ744" s="4"/>
      <c r="BA744" s="4"/>
      <c r="BB744" s="4"/>
      <c r="BC744" s="4"/>
      <c r="BD744" s="4"/>
      <c r="BE744" s="4"/>
      <c r="BF744" s="4"/>
    </row>
    <row r="745" spans="1:58">
      <c r="A745" s="4"/>
      <c r="B745" s="3"/>
      <c r="C745" s="3"/>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5"/>
      <c r="AR745" s="4"/>
      <c r="AS745" s="4"/>
      <c r="AT745" s="4"/>
      <c r="AU745" s="4"/>
      <c r="AV745" s="4"/>
      <c r="AW745" s="4"/>
      <c r="AX745" s="4"/>
      <c r="AY745" s="4"/>
      <c r="AZ745" s="4"/>
      <c r="BA745" s="4"/>
      <c r="BB745" s="4"/>
      <c r="BC745" s="4"/>
      <c r="BD745" s="4"/>
      <c r="BE745" s="4"/>
      <c r="BF745" s="4"/>
    </row>
    <row r="746" spans="1:58">
      <c r="A746" s="4"/>
      <c r="B746" s="3"/>
      <c r="C746" s="3"/>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5"/>
      <c r="AR746" s="4"/>
      <c r="AS746" s="4"/>
      <c r="AT746" s="4"/>
      <c r="AU746" s="4"/>
      <c r="AV746" s="4"/>
      <c r="AW746" s="4"/>
      <c r="AX746" s="4"/>
      <c r="AY746" s="4"/>
      <c r="AZ746" s="4"/>
      <c r="BA746" s="4"/>
      <c r="BB746" s="4"/>
      <c r="BC746" s="4"/>
      <c r="BD746" s="4"/>
      <c r="BE746" s="4"/>
      <c r="BF746" s="4"/>
    </row>
    <row r="747" spans="1:58">
      <c r="A747" s="4"/>
      <c r="B747" s="3"/>
      <c r="C747" s="3"/>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5"/>
      <c r="AR747" s="4"/>
      <c r="AS747" s="4"/>
      <c r="AT747" s="4"/>
      <c r="AU747" s="4"/>
      <c r="AV747" s="4"/>
      <c r="AW747" s="4"/>
      <c r="AX747" s="4"/>
      <c r="AY747" s="4"/>
      <c r="AZ747" s="4"/>
      <c r="BA747" s="4"/>
      <c r="BB747" s="4"/>
      <c r="BC747" s="4"/>
      <c r="BD747" s="4"/>
      <c r="BE747" s="4"/>
      <c r="BF747" s="4"/>
    </row>
    <row r="748" spans="1:58">
      <c r="A748" s="4"/>
      <c r="B748" s="3"/>
      <c r="C748" s="3"/>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5"/>
      <c r="AR748" s="4"/>
      <c r="AS748" s="4"/>
      <c r="AT748" s="4"/>
      <c r="AU748" s="4"/>
      <c r="AV748" s="4"/>
      <c r="AW748" s="4"/>
      <c r="AX748" s="4"/>
      <c r="AY748" s="4"/>
      <c r="AZ748" s="4"/>
      <c r="BA748" s="4"/>
      <c r="BB748" s="4"/>
      <c r="BC748" s="4"/>
      <c r="BD748" s="4"/>
      <c r="BE748" s="4"/>
      <c r="BF748" s="4"/>
    </row>
    <row r="749" spans="1:58">
      <c r="A749" s="4"/>
      <c r="B749" s="3"/>
      <c r="C749" s="3"/>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5"/>
      <c r="AR749" s="4"/>
      <c r="AS749" s="4"/>
      <c r="AT749" s="4"/>
      <c r="AU749" s="4"/>
      <c r="AV749" s="4"/>
      <c r="AW749" s="4"/>
      <c r="AX749" s="4"/>
      <c r="AY749" s="4"/>
      <c r="AZ749" s="4"/>
      <c r="BA749" s="4"/>
      <c r="BB749" s="4"/>
      <c r="BC749" s="4"/>
      <c r="BD749" s="4"/>
      <c r="BE749" s="4"/>
      <c r="BF749" s="4"/>
    </row>
    <row r="750" spans="1:58">
      <c r="A750" s="4"/>
      <c r="B750" s="3"/>
      <c r="C750" s="3"/>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5"/>
      <c r="AR750" s="4"/>
      <c r="AS750" s="4"/>
      <c r="AT750" s="4"/>
      <c r="AU750" s="4"/>
      <c r="AV750" s="4"/>
      <c r="AW750" s="4"/>
      <c r="AX750" s="4"/>
      <c r="AY750" s="4"/>
      <c r="AZ750" s="4"/>
      <c r="BA750" s="4"/>
      <c r="BB750" s="4"/>
      <c r="BC750" s="4"/>
      <c r="BD750" s="4"/>
      <c r="BE750" s="4"/>
      <c r="BF750" s="4"/>
    </row>
    <row r="751" spans="1:58">
      <c r="A751" s="4"/>
      <c r="B751" s="3"/>
      <c r="C751" s="3"/>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5"/>
      <c r="AR751" s="4"/>
      <c r="AS751" s="4"/>
      <c r="AT751" s="4"/>
      <c r="AU751" s="4"/>
      <c r="AV751" s="4"/>
      <c r="AW751" s="4"/>
      <c r="AX751" s="4"/>
      <c r="AY751" s="4"/>
      <c r="AZ751" s="4"/>
      <c r="BA751" s="4"/>
      <c r="BB751" s="4"/>
      <c r="BC751" s="4"/>
      <c r="BD751" s="4"/>
      <c r="BE751" s="4"/>
      <c r="BF751" s="4"/>
    </row>
    <row r="752" spans="1:58">
      <c r="A752" s="4"/>
      <c r="B752" s="3"/>
      <c r="C752" s="3"/>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5"/>
      <c r="AR752" s="4"/>
      <c r="AS752" s="4"/>
      <c r="AT752" s="4"/>
      <c r="AU752" s="4"/>
      <c r="AV752" s="4"/>
      <c r="AW752" s="4"/>
      <c r="AX752" s="4"/>
      <c r="AY752" s="4"/>
      <c r="AZ752" s="4"/>
      <c r="BA752" s="4"/>
      <c r="BB752" s="4"/>
      <c r="BC752" s="4"/>
      <c r="BD752" s="4"/>
      <c r="BE752" s="4"/>
      <c r="BF752" s="4"/>
    </row>
    <row r="753" spans="1:58">
      <c r="A753" s="4"/>
      <c r="B753" s="3"/>
      <c r="C753" s="3"/>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5"/>
      <c r="AR753" s="4"/>
      <c r="AS753" s="4"/>
      <c r="AT753" s="4"/>
      <c r="AU753" s="4"/>
      <c r="AV753" s="4"/>
      <c r="AW753" s="4"/>
      <c r="AX753" s="4"/>
      <c r="AY753" s="4"/>
      <c r="AZ753" s="4"/>
      <c r="BA753" s="4"/>
      <c r="BB753" s="4"/>
      <c r="BC753" s="4"/>
      <c r="BD753" s="4"/>
      <c r="BE753" s="4"/>
      <c r="BF753" s="4"/>
    </row>
    <row r="754" spans="1:58">
      <c r="A754" s="4"/>
      <c r="B754" s="3"/>
      <c r="C754" s="3"/>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5"/>
      <c r="AR754" s="4"/>
      <c r="AS754" s="4"/>
      <c r="AT754" s="4"/>
      <c r="AU754" s="4"/>
      <c r="AV754" s="4"/>
      <c r="AW754" s="4"/>
      <c r="AX754" s="4"/>
      <c r="AY754" s="4"/>
      <c r="AZ754" s="4"/>
      <c r="BA754" s="4"/>
      <c r="BB754" s="4"/>
      <c r="BC754" s="4"/>
      <c r="BD754" s="4"/>
      <c r="BE754" s="4"/>
      <c r="BF754" s="4"/>
    </row>
    <row r="755" spans="1:58">
      <c r="A755" s="4"/>
      <c r="B755" s="3"/>
      <c r="C755" s="3"/>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5"/>
      <c r="AR755" s="4"/>
      <c r="AS755" s="4"/>
      <c r="AT755" s="4"/>
      <c r="AU755" s="4"/>
      <c r="AV755" s="4"/>
      <c r="AW755" s="4"/>
      <c r="AX755" s="4"/>
      <c r="AY755" s="4"/>
      <c r="AZ755" s="4"/>
      <c r="BA755" s="4"/>
      <c r="BB755" s="4"/>
      <c r="BC755" s="4"/>
      <c r="BD755" s="4"/>
      <c r="BE755" s="4"/>
      <c r="BF755" s="4"/>
    </row>
    <row r="756" spans="1:58">
      <c r="A756" s="4"/>
      <c r="B756" s="3"/>
      <c r="C756" s="3"/>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5"/>
      <c r="AR756" s="4"/>
      <c r="AS756" s="4"/>
      <c r="AT756" s="4"/>
      <c r="AU756" s="4"/>
      <c r="AV756" s="4"/>
      <c r="AW756" s="4"/>
      <c r="AX756" s="4"/>
      <c r="AY756" s="4"/>
      <c r="AZ756" s="4"/>
      <c r="BA756" s="4"/>
      <c r="BB756" s="4"/>
      <c r="BC756" s="4"/>
      <c r="BD756" s="4"/>
      <c r="BE756" s="4"/>
      <c r="BF756" s="4"/>
    </row>
    <row r="757" spans="1:58">
      <c r="A757" s="4"/>
      <c r="B757" s="3"/>
      <c r="C757" s="3"/>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5"/>
      <c r="AR757" s="4"/>
      <c r="AS757" s="4"/>
      <c r="AT757" s="4"/>
      <c r="AU757" s="4"/>
      <c r="AV757" s="4"/>
      <c r="AW757" s="4"/>
      <c r="AX757" s="4"/>
      <c r="AY757" s="4"/>
      <c r="AZ757" s="4"/>
      <c r="BA757" s="4"/>
      <c r="BB757" s="4"/>
      <c r="BC757" s="4"/>
      <c r="BD757" s="4"/>
      <c r="BE757" s="4"/>
      <c r="BF757" s="4"/>
    </row>
    <row r="758" spans="1:58">
      <c r="A758" s="4"/>
      <c r="B758" s="3"/>
      <c r="C758" s="3"/>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5"/>
      <c r="AR758" s="4"/>
      <c r="AS758" s="4"/>
      <c r="AT758" s="4"/>
      <c r="AU758" s="4"/>
      <c r="AV758" s="4"/>
      <c r="AW758" s="4"/>
      <c r="AX758" s="4"/>
      <c r="AY758" s="4"/>
      <c r="AZ758" s="4"/>
      <c r="BA758" s="4"/>
      <c r="BB758" s="4"/>
      <c r="BC758" s="4"/>
      <c r="BD758" s="4"/>
      <c r="BE758" s="4"/>
      <c r="BF758" s="4"/>
    </row>
    <row r="759" spans="1:58">
      <c r="A759" s="4"/>
      <c r="B759" s="3"/>
      <c r="C759" s="3"/>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5"/>
      <c r="AR759" s="4"/>
      <c r="AS759" s="4"/>
      <c r="AT759" s="4"/>
      <c r="AU759" s="4"/>
      <c r="AV759" s="4"/>
      <c r="AW759" s="4"/>
      <c r="AX759" s="4"/>
      <c r="AY759" s="4"/>
      <c r="AZ759" s="4"/>
      <c r="BA759" s="4"/>
      <c r="BB759" s="4"/>
      <c r="BC759" s="4"/>
      <c r="BD759" s="4"/>
      <c r="BE759" s="4"/>
      <c r="BF759" s="4"/>
    </row>
    <row r="760" spans="1:58">
      <c r="A760" s="4"/>
      <c r="B760" s="3"/>
      <c r="C760" s="3"/>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5"/>
      <c r="AR760" s="4"/>
      <c r="AS760" s="4"/>
      <c r="AT760" s="4"/>
      <c r="AU760" s="4"/>
      <c r="AV760" s="4"/>
      <c r="AW760" s="4"/>
      <c r="AX760" s="4"/>
      <c r="AY760" s="4"/>
      <c r="AZ760" s="4"/>
      <c r="BA760" s="4"/>
      <c r="BB760" s="4"/>
      <c r="BC760" s="4"/>
      <c r="BD760" s="4"/>
      <c r="BE760" s="4"/>
      <c r="BF760" s="4"/>
    </row>
    <row r="761" spans="1:58">
      <c r="A761" s="4"/>
      <c r="B761" s="3"/>
      <c r="C761" s="3"/>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5"/>
      <c r="AR761" s="4"/>
      <c r="AS761" s="4"/>
      <c r="AT761" s="4"/>
      <c r="AU761" s="4"/>
      <c r="AV761" s="4"/>
      <c r="AW761" s="4"/>
      <c r="AX761" s="4"/>
      <c r="AY761" s="4"/>
      <c r="AZ761" s="4"/>
      <c r="BA761" s="4"/>
      <c r="BB761" s="4"/>
      <c r="BC761" s="4"/>
      <c r="BD761" s="4"/>
      <c r="BE761" s="4"/>
      <c r="BF761" s="4"/>
    </row>
    <row r="762" spans="1:58">
      <c r="A762" s="4"/>
      <c r="B762" s="3"/>
      <c r="C762" s="3"/>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5"/>
      <c r="AR762" s="4"/>
      <c r="AS762" s="4"/>
      <c r="AT762" s="4"/>
      <c r="AU762" s="4"/>
      <c r="AV762" s="4"/>
      <c r="AW762" s="4"/>
      <c r="AX762" s="4"/>
      <c r="AY762" s="4"/>
      <c r="AZ762" s="4"/>
      <c r="BA762" s="4"/>
      <c r="BB762" s="4"/>
      <c r="BC762" s="4"/>
      <c r="BD762" s="4"/>
      <c r="BE762" s="4"/>
      <c r="BF762" s="4"/>
    </row>
    <row r="763" spans="1:58">
      <c r="A763" s="4"/>
      <c r="B763" s="3"/>
      <c r="C763" s="3"/>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5"/>
      <c r="AR763" s="4"/>
      <c r="AS763" s="4"/>
      <c r="AT763" s="4"/>
      <c r="AU763" s="4"/>
      <c r="AV763" s="4"/>
      <c r="AW763" s="4"/>
      <c r="AX763" s="4"/>
      <c r="AY763" s="4"/>
      <c r="AZ763" s="4"/>
      <c r="BA763" s="4"/>
      <c r="BB763" s="4"/>
      <c r="BC763" s="4"/>
      <c r="BD763" s="4"/>
      <c r="BE763" s="4"/>
      <c r="BF763" s="4"/>
    </row>
    <row r="764" spans="1:58">
      <c r="A764" s="4"/>
      <c r="B764" s="3"/>
      <c r="C764" s="3"/>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5"/>
      <c r="AR764" s="4"/>
      <c r="AS764" s="4"/>
      <c r="AT764" s="4"/>
      <c r="AU764" s="4"/>
      <c r="AV764" s="4"/>
      <c r="AW764" s="4"/>
      <c r="AX764" s="4"/>
      <c r="AY764" s="4"/>
      <c r="AZ764" s="4"/>
      <c r="BA764" s="4"/>
      <c r="BB764" s="4"/>
      <c r="BC764" s="4"/>
      <c r="BD764" s="4"/>
      <c r="BE764" s="4"/>
      <c r="BF764" s="4"/>
    </row>
    <row r="765" spans="1:58">
      <c r="A765" s="4"/>
      <c r="B765" s="3"/>
      <c r="C765" s="3"/>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5"/>
      <c r="AR765" s="4"/>
      <c r="AS765" s="4"/>
      <c r="AT765" s="4"/>
      <c r="AU765" s="4"/>
      <c r="AV765" s="4"/>
      <c r="AW765" s="4"/>
      <c r="AX765" s="4"/>
      <c r="AY765" s="4"/>
      <c r="AZ765" s="4"/>
      <c r="BA765" s="4"/>
      <c r="BB765" s="4"/>
      <c r="BC765" s="4"/>
      <c r="BD765" s="4"/>
      <c r="BE765" s="4"/>
      <c r="BF765" s="4"/>
    </row>
    <row r="766" spans="1:58">
      <c r="A766" s="4"/>
      <c r="B766" s="3"/>
      <c r="C766" s="3"/>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5"/>
      <c r="AR766" s="4"/>
      <c r="AS766" s="4"/>
      <c r="AT766" s="4"/>
      <c r="AU766" s="4"/>
      <c r="AV766" s="4"/>
      <c r="AW766" s="4"/>
      <c r="AX766" s="4"/>
      <c r="AY766" s="4"/>
      <c r="AZ766" s="4"/>
      <c r="BA766" s="4"/>
      <c r="BB766" s="4"/>
      <c r="BC766" s="4"/>
      <c r="BD766" s="4"/>
      <c r="BE766" s="4"/>
      <c r="BF766" s="4"/>
    </row>
    <row r="767" spans="1:58">
      <c r="A767" s="4"/>
      <c r="B767" s="3"/>
      <c r="C767" s="3"/>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5"/>
      <c r="AR767" s="4"/>
      <c r="AS767" s="4"/>
      <c r="AT767" s="4"/>
      <c r="AU767" s="4"/>
      <c r="AV767" s="4"/>
      <c r="AW767" s="4"/>
      <c r="AX767" s="4"/>
      <c r="AY767" s="4"/>
      <c r="AZ767" s="4"/>
      <c r="BA767" s="4"/>
      <c r="BB767" s="4"/>
      <c r="BC767" s="4"/>
      <c r="BD767" s="4"/>
      <c r="BE767" s="4"/>
      <c r="BF767" s="4"/>
    </row>
    <row r="768" spans="1:58">
      <c r="A768" s="4"/>
      <c r="B768" s="3"/>
      <c r="C768" s="3"/>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5"/>
      <c r="AR768" s="4"/>
      <c r="AS768" s="4"/>
      <c r="AT768" s="4"/>
      <c r="AU768" s="4"/>
      <c r="AV768" s="4"/>
      <c r="AW768" s="4"/>
      <c r="AX768" s="4"/>
      <c r="AY768" s="4"/>
      <c r="AZ768" s="4"/>
      <c r="BA768" s="4"/>
      <c r="BB768" s="4"/>
      <c r="BC768" s="4"/>
      <c r="BD768" s="4"/>
      <c r="BE768" s="4"/>
      <c r="BF768" s="4"/>
    </row>
    <row r="769" spans="1:58">
      <c r="A769" s="4"/>
      <c r="B769" s="3"/>
      <c r="C769" s="3"/>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5"/>
      <c r="AR769" s="4"/>
      <c r="AS769" s="4"/>
      <c r="AT769" s="4"/>
      <c r="AU769" s="4"/>
      <c r="AV769" s="4"/>
      <c r="AW769" s="4"/>
      <c r="AX769" s="4"/>
      <c r="AY769" s="4"/>
      <c r="AZ769" s="4"/>
      <c r="BA769" s="4"/>
      <c r="BB769" s="4"/>
      <c r="BC769" s="4"/>
      <c r="BD769" s="4"/>
      <c r="BE769" s="4"/>
      <c r="BF769" s="4"/>
    </row>
    <row r="770" spans="1:58">
      <c r="A770" s="4"/>
      <c r="B770" s="3"/>
      <c r="C770" s="3"/>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5"/>
      <c r="AR770" s="4"/>
      <c r="AS770" s="4"/>
      <c r="AT770" s="4"/>
      <c r="AU770" s="4"/>
      <c r="AV770" s="4"/>
      <c r="AW770" s="4"/>
      <c r="AX770" s="4"/>
      <c r="AY770" s="4"/>
      <c r="AZ770" s="4"/>
      <c r="BA770" s="4"/>
      <c r="BB770" s="4"/>
      <c r="BC770" s="4"/>
      <c r="BD770" s="4"/>
      <c r="BE770" s="4"/>
      <c r="BF770" s="4"/>
    </row>
    <row r="771" spans="1:58">
      <c r="A771" s="4"/>
      <c r="B771" s="3"/>
      <c r="C771" s="3"/>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5"/>
      <c r="AR771" s="4"/>
      <c r="AS771" s="4"/>
      <c r="AT771" s="4"/>
      <c r="AU771" s="4"/>
      <c r="AV771" s="4"/>
      <c r="AW771" s="4"/>
      <c r="AX771" s="4"/>
      <c r="AY771" s="4"/>
      <c r="AZ771" s="4"/>
      <c r="BA771" s="4"/>
      <c r="BB771" s="4"/>
      <c r="BC771" s="4"/>
      <c r="BD771" s="4"/>
      <c r="BE771" s="4"/>
      <c r="BF771" s="4"/>
    </row>
    <row r="772" spans="1:58">
      <c r="A772" s="4"/>
      <c r="B772" s="3"/>
      <c r="C772" s="3"/>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5"/>
      <c r="AR772" s="4"/>
      <c r="AS772" s="4"/>
      <c r="AT772" s="4"/>
      <c r="AU772" s="4"/>
      <c r="AV772" s="4"/>
      <c r="AW772" s="4"/>
      <c r="AX772" s="4"/>
      <c r="AY772" s="4"/>
      <c r="AZ772" s="4"/>
      <c r="BA772" s="4"/>
      <c r="BB772" s="4"/>
      <c r="BC772" s="4"/>
      <c r="BD772" s="4"/>
      <c r="BE772" s="4"/>
      <c r="BF772" s="4"/>
    </row>
    <row r="773" spans="1:58">
      <c r="A773" s="4"/>
      <c r="B773" s="3"/>
      <c r="C773" s="3"/>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5"/>
      <c r="AR773" s="4"/>
      <c r="AS773" s="4"/>
      <c r="AT773" s="4"/>
      <c r="AU773" s="4"/>
      <c r="AV773" s="4"/>
      <c r="AW773" s="4"/>
      <c r="AX773" s="4"/>
      <c r="AY773" s="4"/>
      <c r="AZ773" s="4"/>
      <c r="BA773" s="4"/>
      <c r="BB773" s="4"/>
      <c r="BC773" s="4"/>
      <c r="BD773" s="4"/>
      <c r="BE773" s="4"/>
      <c r="BF773" s="4"/>
    </row>
    <row r="774" spans="1:58">
      <c r="A774" s="4"/>
      <c r="B774" s="3"/>
      <c r="C774" s="3"/>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5"/>
      <c r="AR774" s="4"/>
      <c r="AS774" s="4"/>
      <c r="AT774" s="4"/>
      <c r="AU774" s="4"/>
      <c r="AV774" s="4"/>
      <c r="AW774" s="4"/>
      <c r="AX774" s="4"/>
      <c r="AY774" s="4"/>
      <c r="AZ774" s="4"/>
      <c r="BA774" s="4"/>
      <c r="BB774" s="4"/>
      <c r="BC774" s="4"/>
      <c r="BD774" s="4"/>
      <c r="BE774" s="4"/>
      <c r="BF774" s="4"/>
    </row>
    <row r="775" spans="1:58">
      <c r="A775" s="4"/>
      <c r="B775" s="3"/>
      <c r="C775" s="3"/>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5"/>
      <c r="AR775" s="4"/>
      <c r="AS775" s="4"/>
      <c r="AT775" s="4"/>
      <c r="AU775" s="4"/>
      <c r="AV775" s="4"/>
      <c r="AW775" s="4"/>
      <c r="AX775" s="4"/>
      <c r="AY775" s="4"/>
      <c r="AZ775" s="4"/>
      <c r="BA775" s="4"/>
      <c r="BB775" s="4"/>
      <c r="BC775" s="4"/>
      <c r="BD775" s="4"/>
      <c r="BE775" s="4"/>
      <c r="BF775" s="4"/>
    </row>
    <row r="776" spans="1:58">
      <c r="A776" s="4"/>
      <c r="B776" s="3"/>
      <c r="C776" s="3"/>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5"/>
      <c r="AR776" s="4"/>
      <c r="AS776" s="4"/>
      <c r="AT776" s="4"/>
      <c r="AU776" s="4"/>
      <c r="AV776" s="4"/>
      <c r="AW776" s="4"/>
      <c r="AX776" s="4"/>
      <c r="AY776" s="4"/>
      <c r="AZ776" s="4"/>
      <c r="BA776" s="4"/>
      <c r="BB776" s="4"/>
      <c r="BC776" s="4"/>
      <c r="BD776" s="4"/>
      <c r="BE776" s="4"/>
      <c r="BF776" s="4"/>
    </row>
    <row r="777" spans="1:58">
      <c r="A777" s="4"/>
      <c r="B777" s="3"/>
      <c r="C777" s="3"/>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5"/>
      <c r="AR777" s="4"/>
      <c r="AS777" s="4"/>
      <c r="AT777" s="4"/>
      <c r="AU777" s="4"/>
      <c r="AV777" s="4"/>
      <c r="AW777" s="4"/>
      <c r="AX777" s="4"/>
      <c r="AY777" s="4"/>
      <c r="AZ777" s="4"/>
      <c r="BA777" s="4"/>
      <c r="BB777" s="4"/>
      <c r="BC777" s="4"/>
      <c r="BD777" s="4"/>
      <c r="BE777" s="4"/>
      <c r="BF777" s="4"/>
    </row>
    <row r="778" spans="1:58">
      <c r="A778" s="4"/>
      <c r="B778" s="3"/>
      <c r="C778" s="3"/>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5"/>
      <c r="AR778" s="4"/>
      <c r="AS778" s="4"/>
      <c r="AT778" s="4"/>
      <c r="AU778" s="4"/>
      <c r="AV778" s="4"/>
      <c r="AW778" s="4"/>
      <c r="AX778" s="4"/>
      <c r="AY778" s="4"/>
      <c r="AZ778" s="4"/>
      <c r="BA778" s="4"/>
      <c r="BB778" s="4"/>
      <c r="BC778" s="4"/>
      <c r="BD778" s="4"/>
      <c r="BE778" s="4"/>
      <c r="BF778" s="4"/>
    </row>
    <row r="779" spans="1:58">
      <c r="A779" s="4"/>
      <c r="B779" s="3"/>
      <c r="C779" s="3"/>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5"/>
      <c r="AR779" s="4"/>
      <c r="AS779" s="4"/>
      <c r="AT779" s="4"/>
      <c r="AU779" s="4"/>
      <c r="AV779" s="4"/>
      <c r="AW779" s="4"/>
      <c r="AX779" s="4"/>
      <c r="AY779" s="4"/>
      <c r="AZ779" s="4"/>
      <c r="BA779" s="4"/>
      <c r="BB779" s="4"/>
      <c r="BC779" s="4"/>
      <c r="BD779" s="4"/>
      <c r="BE779" s="4"/>
      <c r="BF779" s="4"/>
    </row>
    <row r="780" spans="1:58">
      <c r="A780" s="4"/>
      <c r="B780" s="3"/>
      <c r="C780" s="3"/>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5"/>
      <c r="AR780" s="4"/>
      <c r="AS780" s="4"/>
      <c r="AT780" s="4"/>
      <c r="AU780" s="4"/>
      <c r="AV780" s="4"/>
      <c r="AW780" s="4"/>
      <c r="AX780" s="4"/>
      <c r="AY780" s="4"/>
      <c r="AZ780" s="4"/>
      <c r="BA780" s="4"/>
      <c r="BB780" s="4"/>
      <c r="BC780" s="4"/>
      <c r="BD780" s="4"/>
      <c r="BE780" s="4"/>
      <c r="BF780" s="4"/>
    </row>
    <row r="781" spans="1:58">
      <c r="A781" s="4"/>
      <c r="B781" s="3"/>
      <c r="C781" s="3"/>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5"/>
      <c r="AR781" s="4"/>
      <c r="AS781" s="4"/>
      <c r="AT781" s="4"/>
      <c r="AU781" s="4"/>
      <c r="AV781" s="4"/>
      <c r="AW781" s="4"/>
      <c r="AX781" s="4"/>
      <c r="AY781" s="4"/>
      <c r="AZ781" s="4"/>
      <c r="BA781" s="4"/>
      <c r="BB781" s="4"/>
      <c r="BC781" s="4"/>
      <c r="BD781" s="4"/>
      <c r="BE781" s="4"/>
      <c r="BF781" s="4"/>
    </row>
    <row r="782" spans="1:58">
      <c r="A782" s="4"/>
      <c r="B782" s="3"/>
      <c r="C782" s="3"/>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5"/>
      <c r="AR782" s="4"/>
      <c r="AS782" s="4"/>
      <c r="AT782" s="4"/>
      <c r="AU782" s="4"/>
      <c r="AV782" s="4"/>
      <c r="AW782" s="4"/>
      <c r="AX782" s="4"/>
      <c r="AY782" s="4"/>
      <c r="AZ782" s="4"/>
      <c r="BA782" s="4"/>
      <c r="BB782" s="4"/>
      <c r="BC782" s="4"/>
      <c r="BD782" s="4"/>
      <c r="BE782" s="4"/>
      <c r="BF782" s="4"/>
    </row>
    <row r="783" spans="1:58">
      <c r="A783" s="4"/>
      <c r="B783" s="3"/>
      <c r="C783" s="3"/>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5"/>
      <c r="AR783" s="4"/>
      <c r="AS783" s="4"/>
      <c r="AT783" s="4"/>
      <c r="AU783" s="4"/>
      <c r="AV783" s="4"/>
      <c r="AW783" s="4"/>
      <c r="AX783" s="4"/>
      <c r="AY783" s="4"/>
      <c r="AZ783" s="4"/>
      <c r="BA783" s="4"/>
      <c r="BB783" s="4"/>
      <c r="BC783" s="4"/>
      <c r="BD783" s="4"/>
      <c r="BE783" s="4"/>
      <c r="BF783" s="4"/>
    </row>
    <row r="784" spans="1:58">
      <c r="A784" s="4"/>
      <c r="B784" s="3"/>
      <c r="C784" s="3"/>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5"/>
      <c r="AR784" s="4"/>
      <c r="AS784" s="4"/>
      <c r="AT784" s="4"/>
      <c r="AU784" s="4"/>
      <c r="AV784" s="4"/>
      <c r="AW784" s="4"/>
      <c r="AX784" s="4"/>
      <c r="AY784" s="4"/>
      <c r="AZ784" s="4"/>
      <c r="BA784" s="4"/>
      <c r="BB784" s="4"/>
      <c r="BC784" s="4"/>
      <c r="BD784" s="4"/>
      <c r="BE784" s="4"/>
      <c r="BF784" s="4"/>
    </row>
    <row r="785" spans="1:58">
      <c r="A785" s="4"/>
      <c r="B785" s="3"/>
      <c r="C785" s="3"/>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5"/>
      <c r="AR785" s="4"/>
      <c r="AS785" s="4"/>
      <c r="AT785" s="4"/>
      <c r="AU785" s="4"/>
      <c r="AV785" s="4"/>
      <c r="AW785" s="4"/>
      <c r="AX785" s="4"/>
      <c r="AY785" s="4"/>
      <c r="AZ785" s="4"/>
      <c r="BA785" s="4"/>
      <c r="BB785" s="4"/>
      <c r="BC785" s="4"/>
      <c r="BD785" s="4"/>
      <c r="BE785" s="4"/>
      <c r="BF785" s="4"/>
    </row>
    <row r="786" spans="1:58">
      <c r="A786" s="4"/>
      <c r="B786" s="3"/>
      <c r="C786" s="3"/>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5"/>
      <c r="AR786" s="4"/>
      <c r="AS786" s="4"/>
      <c r="AT786" s="4"/>
      <c r="AU786" s="4"/>
      <c r="AV786" s="4"/>
      <c r="AW786" s="4"/>
      <c r="AX786" s="4"/>
      <c r="AY786" s="4"/>
      <c r="AZ786" s="4"/>
      <c r="BA786" s="4"/>
      <c r="BB786" s="4"/>
      <c r="BC786" s="4"/>
      <c r="BD786" s="4"/>
      <c r="BE786" s="4"/>
      <c r="BF786" s="4"/>
    </row>
    <row r="787" spans="1:58">
      <c r="A787" s="4"/>
      <c r="B787" s="3"/>
      <c r="C787" s="3"/>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5"/>
      <c r="AR787" s="4"/>
      <c r="AS787" s="4"/>
      <c r="AT787" s="4"/>
      <c r="AU787" s="4"/>
      <c r="AV787" s="4"/>
      <c r="AW787" s="4"/>
      <c r="AX787" s="4"/>
      <c r="AY787" s="4"/>
      <c r="AZ787" s="4"/>
      <c r="BA787" s="4"/>
      <c r="BB787" s="4"/>
      <c r="BC787" s="4"/>
      <c r="BD787" s="4"/>
      <c r="BE787" s="4"/>
      <c r="BF787" s="4"/>
    </row>
    <row r="788" spans="1:58">
      <c r="A788" s="4"/>
      <c r="B788" s="3"/>
      <c r="C788" s="3"/>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5"/>
      <c r="AR788" s="4"/>
      <c r="AS788" s="4"/>
      <c r="AT788" s="4"/>
      <c r="AU788" s="4"/>
      <c r="AV788" s="4"/>
      <c r="AW788" s="4"/>
      <c r="AX788" s="4"/>
      <c r="AY788" s="4"/>
      <c r="AZ788" s="4"/>
      <c r="BA788" s="4"/>
      <c r="BB788" s="4"/>
      <c r="BC788" s="4"/>
      <c r="BD788" s="4"/>
      <c r="BE788" s="4"/>
      <c r="BF788" s="4"/>
    </row>
    <row r="789" spans="1:58">
      <c r="A789" s="4"/>
      <c r="B789" s="3"/>
      <c r="C789" s="3"/>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5"/>
      <c r="AR789" s="4"/>
      <c r="AS789" s="4"/>
      <c r="AT789" s="4"/>
      <c r="AU789" s="4"/>
      <c r="AV789" s="4"/>
      <c r="AW789" s="4"/>
      <c r="AX789" s="4"/>
      <c r="AY789" s="4"/>
      <c r="AZ789" s="4"/>
      <c r="BA789" s="4"/>
      <c r="BB789" s="4"/>
      <c r="BC789" s="4"/>
      <c r="BD789" s="4"/>
      <c r="BE789" s="4"/>
      <c r="BF789" s="4"/>
    </row>
    <row r="790" spans="1:58">
      <c r="A790" s="4"/>
      <c r="B790" s="3"/>
      <c r="C790" s="3"/>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5"/>
      <c r="AR790" s="4"/>
      <c r="AS790" s="4"/>
      <c r="AT790" s="4"/>
      <c r="AU790" s="4"/>
      <c r="AV790" s="4"/>
      <c r="AW790" s="4"/>
      <c r="AX790" s="4"/>
      <c r="AY790" s="4"/>
      <c r="AZ790" s="4"/>
      <c r="BA790" s="4"/>
      <c r="BB790" s="4"/>
      <c r="BC790" s="4"/>
      <c r="BD790" s="4"/>
      <c r="BE790" s="4"/>
      <c r="BF790" s="4"/>
    </row>
    <row r="791" spans="1:58">
      <c r="A791" s="4"/>
      <c r="B791" s="3"/>
      <c r="C791" s="3"/>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5"/>
      <c r="AR791" s="4"/>
      <c r="AS791" s="4"/>
      <c r="AT791" s="4"/>
      <c r="AU791" s="4"/>
      <c r="AV791" s="4"/>
      <c r="AW791" s="4"/>
      <c r="AX791" s="4"/>
      <c r="AY791" s="4"/>
      <c r="AZ791" s="4"/>
      <c r="BA791" s="4"/>
      <c r="BB791" s="4"/>
      <c r="BC791" s="4"/>
      <c r="BD791" s="4"/>
      <c r="BE791" s="4"/>
      <c r="BF791" s="4"/>
    </row>
    <row r="792" spans="1:58">
      <c r="A792" s="4"/>
      <c r="B792" s="3"/>
      <c r="C792" s="3"/>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5"/>
      <c r="AR792" s="4"/>
      <c r="AS792" s="4"/>
      <c r="AT792" s="4"/>
      <c r="AU792" s="4"/>
      <c r="AV792" s="4"/>
      <c r="AW792" s="4"/>
      <c r="AX792" s="4"/>
      <c r="AY792" s="4"/>
      <c r="AZ792" s="4"/>
      <c r="BA792" s="4"/>
      <c r="BB792" s="4"/>
      <c r="BC792" s="4"/>
      <c r="BD792" s="4"/>
      <c r="BE792" s="4"/>
      <c r="BF792" s="4"/>
    </row>
    <row r="793" spans="1:58">
      <c r="A793" s="4"/>
      <c r="B793" s="3"/>
      <c r="C793" s="3"/>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5"/>
      <c r="AR793" s="4"/>
      <c r="AS793" s="4"/>
      <c r="AT793" s="4"/>
      <c r="AU793" s="4"/>
      <c r="AV793" s="4"/>
      <c r="AW793" s="4"/>
      <c r="AX793" s="4"/>
      <c r="AY793" s="4"/>
      <c r="AZ793" s="4"/>
      <c r="BA793" s="4"/>
      <c r="BB793" s="4"/>
      <c r="BC793" s="4"/>
      <c r="BD793" s="4"/>
      <c r="BE793" s="4"/>
      <c r="BF793" s="4"/>
    </row>
    <row r="794" spans="1:58">
      <c r="A794" s="4"/>
      <c r="B794" s="3"/>
      <c r="C794" s="3"/>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5"/>
      <c r="AR794" s="4"/>
      <c r="AS794" s="4"/>
      <c r="AT794" s="4"/>
      <c r="AU794" s="4"/>
      <c r="AV794" s="4"/>
      <c r="AW794" s="4"/>
      <c r="AX794" s="4"/>
      <c r="AY794" s="4"/>
      <c r="AZ794" s="4"/>
      <c r="BA794" s="4"/>
      <c r="BB794" s="4"/>
      <c r="BC794" s="4"/>
      <c r="BD794" s="4"/>
      <c r="BE794" s="4"/>
      <c r="BF794" s="4"/>
    </row>
    <row r="795" spans="1:58">
      <c r="A795" s="4"/>
      <c r="B795" s="3"/>
      <c r="C795" s="3"/>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5"/>
      <c r="AR795" s="4"/>
      <c r="AS795" s="4"/>
      <c r="AT795" s="4"/>
      <c r="AU795" s="4"/>
      <c r="AV795" s="4"/>
      <c r="AW795" s="4"/>
      <c r="AX795" s="4"/>
      <c r="AY795" s="4"/>
      <c r="AZ795" s="4"/>
      <c r="BA795" s="4"/>
      <c r="BB795" s="4"/>
      <c r="BC795" s="4"/>
      <c r="BD795" s="4"/>
      <c r="BE795" s="4"/>
      <c r="BF795" s="4"/>
    </row>
    <row r="796" spans="1:58">
      <c r="A796" s="4"/>
      <c r="B796" s="3"/>
      <c r="C796" s="3"/>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5"/>
      <c r="AR796" s="4"/>
      <c r="AS796" s="4"/>
      <c r="AT796" s="4"/>
      <c r="AU796" s="4"/>
      <c r="AV796" s="4"/>
      <c r="AW796" s="4"/>
      <c r="AX796" s="4"/>
      <c r="AY796" s="4"/>
      <c r="AZ796" s="4"/>
      <c r="BA796" s="4"/>
      <c r="BB796" s="4"/>
      <c r="BC796" s="4"/>
      <c r="BD796" s="4"/>
      <c r="BE796" s="4"/>
      <c r="BF796" s="4"/>
    </row>
    <row r="797" spans="1:58">
      <c r="A797" s="4"/>
      <c r="B797" s="3"/>
      <c r="C797" s="3"/>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5"/>
      <c r="AR797" s="4"/>
      <c r="AS797" s="4"/>
      <c r="AT797" s="4"/>
      <c r="AU797" s="4"/>
      <c r="AV797" s="4"/>
      <c r="AW797" s="4"/>
      <c r="AX797" s="4"/>
      <c r="AY797" s="4"/>
      <c r="AZ797" s="4"/>
      <c r="BA797" s="4"/>
      <c r="BB797" s="4"/>
      <c r="BC797" s="4"/>
      <c r="BD797" s="4"/>
      <c r="BE797" s="4"/>
      <c r="BF797" s="4"/>
    </row>
    <row r="798" spans="1:58">
      <c r="A798" s="4"/>
      <c r="B798" s="3"/>
      <c r="C798" s="3"/>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5"/>
      <c r="AR798" s="4"/>
      <c r="AS798" s="4"/>
      <c r="AT798" s="4"/>
      <c r="AU798" s="4"/>
      <c r="AV798" s="4"/>
      <c r="AW798" s="4"/>
      <c r="AX798" s="4"/>
      <c r="AY798" s="4"/>
      <c r="AZ798" s="4"/>
      <c r="BA798" s="4"/>
      <c r="BB798" s="4"/>
      <c r="BC798" s="4"/>
      <c r="BD798" s="4"/>
      <c r="BE798" s="4"/>
      <c r="BF798" s="4"/>
    </row>
    <row r="799" spans="1:58">
      <c r="A799" s="4"/>
      <c r="B799" s="3"/>
      <c r="C799" s="3"/>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5"/>
      <c r="AR799" s="4"/>
      <c r="AS799" s="4"/>
      <c r="AT799" s="4"/>
      <c r="AU799" s="4"/>
      <c r="AV799" s="4"/>
      <c r="AW799" s="4"/>
      <c r="AX799" s="4"/>
      <c r="AY799" s="4"/>
      <c r="AZ799" s="4"/>
      <c r="BA799" s="4"/>
      <c r="BB799" s="4"/>
      <c r="BC799" s="4"/>
      <c r="BD799" s="4"/>
      <c r="BE799" s="4"/>
      <c r="BF799" s="4"/>
    </row>
    <row r="800" spans="1:58">
      <c r="A800" s="4"/>
      <c r="B800" s="3"/>
      <c r="C800" s="3"/>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5"/>
      <c r="AR800" s="4"/>
      <c r="AS800" s="4"/>
      <c r="AT800" s="4"/>
      <c r="AU800" s="4"/>
      <c r="AV800" s="4"/>
      <c r="AW800" s="4"/>
      <c r="AX800" s="4"/>
      <c r="AY800" s="4"/>
      <c r="AZ800" s="4"/>
      <c r="BA800" s="4"/>
      <c r="BB800" s="4"/>
      <c r="BC800" s="4"/>
      <c r="BD800" s="4"/>
      <c r="BE800" s="4"/>
      <c r="BF800" s="4"/>
    </row>
    <row r="801" spans="1:58">
      <c r="A801" s="4"/>
      <c r="B801" s="3"/>
      <c r="C801" s="3"/>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5"/>
      <c r="AR801" s="4"/>
      <c r="AS801" s="4"/>
      <c r="AT801" s="4"/>
      <c r="AU801" s="4"/>
      <c r="AV801" s="4"/>
      <c r="AW801" s="4"/>
      <c r="AX801" s="4"/>
      <c r="AY801" s="4"/>
      <c r="AZ801" s="4"/>
      <c r="BA801" s="4"/>
      <c r="BB801" s="4"/>
      <c r="BC801" s="4"/>
      <c r="BD801" s="4"/>
      <c r="BE801" s="4"/>
      <c r="BF801" s="4"/>
    </row>
    <row r="802" spans="1:58">
      <c r="A802" s="4"/>
      <c r="B802" s="3"/>
      <c r="C802" s="3"/>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5"/>
      <c r="AR802" s="4"/>
      <c r="AS802" s="4"/>
      <c r="AT802" s="4"/>
      <c r="AU802" s="4"/>
      <c r="AV802" s="4"/>
      <c r="AW802" s="4"/>
      <c r="AX802" s="4"/>
      <c r="AY802" s="4"/>
      <c r="AZ802" s="4"/>
      <c r="BA802" s="4"/>
      <c r="BB802" s="4"/>
      <c r="BC802" s="4"/>
      <c r="BD802" s="4"/>
      <c r="BE802" s="4"/>
      <c r="BF802" s="4"/>
    </row>
    <row r="803" spans="1:58">
      <c r="A803" s="4"/>
      <c r="B803" s="3"/>
      <c r="C803" s="3"/>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5"/>
      <c r="AR803" s="4"/>
      <c r="AS803" s="4"/>
      <c r="AT803" s="4"/>
      <c r="AU803" s="4"/>
      <c r="AV803" s="4"/>
      <c r="AW803" s="4"/>
      <c r="AX803" s="4"/>
      <c r="AY803" s="4"/>
      <c r="AZ803" s="4"/>
      <c r="BA803" s="4"/>
      <c r="BB803" s="4"/>
      <c r="BC803" s="4"/>
      <c r="BD803" s="4"/>
      <c r="BE803" s="4"/>
      <c r="BF803" s="4"/>
    </row>
    <row r="804" spans="1:58">
      <c r="A804" s="4"/>
      <c r="B804" s="3"/>
      <c r="C804" s="3"/>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5"/>
      <c r="AR804" s="4"/>
      <c r="AS804" s="4"/>
      <c r="AT804" s="4"/>
      <c r="AU804" s="4"/>
      <c r="AV804" s="4"/>
      <c r="AW804" s="4"/>
      <c r="AX804" s="4"/>
      <c r="AY804" s="4"/>
      <c r="AZ804" s="4"/>
      <c r="BA804" s="4"/>
      <c r="BB804" s="4"/>
      <c r="BC804" s="4"/>
      <c r="BD804" s="4"/>
      <c r="BE804" s="4"/>
      <c r="BF804" s="4"/>
    </row>
    <row r="805" spans="1:58">
      <c r="A805" s="4"/>
      <c r="B805" s="3"/>
      <c r="C805" s="3"/>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5"/>
      <c r="AR805" s="4"/>
      <c r="AS805" s="4"/>
      <c r="AT805" s="4"/>
      <c r="AU805" s="4"/>
      <c r="AV805" s="4"/>
      <c r="AW805" s="4"/>
      <c r="AX805" s="4"/>
      <c r="AY805" s="4"/>
      <c r="AZ805" s="4"/>
      <c r="BA805" s="4"/>
      <c r="BB805" s="4"/>
      <c r="BC805" s="4"/>
      <c r="BD805" s="4"/>
      <c r="BE805" s="4"/>
      <c r="BF805" s="4"/>
    </row>
    <row r="806" spans="1:58">
      <c r="A806" s="4"/>
      <c r="B806" s="3"/>
      <c r="C806" s="3"/>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5"/>
      <c r="AR806" s="4"/>
      <c r="AS806" s="4"/>
      <c r="AT806" s="4"/>
      <c r="AU806" s="4"/>
      <c r="AV806" s="4"/>
      <c r="AW806" s="4"/>
      <c r="AX806" s="4"/>
      <c r="AY806" s="4"/>
      <c r="AZ806" s="4"/>
      <c r="BA806" s="4"/>
      <c r="BB806" s="4"/>
      <c r="BC806" s="4"/>
      <c r="BD806" s="4"/>
      <c r="BE806" s="4"/>
      <c r="BF806" s="4"/>
    </row>
    <row r="807" spans="1:58">
      <c r="A807" s="4"/>
      <c r="B807" s="3"/>
      <c r="C807" s="3"/>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5"/>
      <c r="AR807" s="4"/>
      <c r="AS807" s="4"/>
      <c r="AT807" s="4"/>
      <c r="AU807" s="4"/>
      <c r="AV807" s="4"/>
      <c r="AW807" s="4"/>
      <c r="AX807" s="4"/>
      <c r="AY807" s="4"/>
      <c r="AZ807" s="4"/>
      <c r="BA807" s="4"/>
      <c r="BB807" s="4"/>
      <c r="BC807" s="4"/>
      <c r="BD807" s="4"/>
      <c r="BE807" s="4"/>
      <c r="BF807" s="4"/>
    </row>
    <row r="808" spans="1:58">
      <c r="A808" s="4"/>
      <c r="B808" s="3"/>
      <c r="C808" s="3"/>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5"/>
      <c r="AR808" s="4"/>
      <c r="AS808" s="4"/>
      <c r="AT808" s="4"/>
      <c r="AU808" s="4"/>
      <c r="AV808" s="4"/>
      <c r="AW808" s="4"/>
      <c r="AX808" s="4"/>
      <c r="AY808" s="4"/>
      <c r="AZ808" s="4"/>
      <c r="BA808" s="4"/>
      <c r="BB808" s="4"/>
      <c r="BC808" s="4"/>
      <c r="BD808" s="4"/>
      <c r="BE808" s="4"/>
      <c r="BF808" s="4"/>
    </row>
    <row r="809" spans="1:58">
      <c r="A809" s="4"/>
      <c r="B809" s="3"/>
      <c r="C809" s="3"/>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5"/>
      <c r="AR809" s="4"/>
      <c r="AS809" s="4"/>
      <c r="AT809" s="4"/>
      <c r="AU809" s="4"/>
      <c r="AV809" s="4"/>
      <c r="AW809" s="4"/>
      <c r="AX809" s="4"/>
      <c r="AY809" s="4"/>
      <c r="AZ809" s="4"/>
      <c r="BA809" s="4"/>
      <c r="BB809" s="4"/>
      <c r="BC809" s="4"/>
      <c r="BD809" s="4"/>
      <c r="BE809" s="4"/>
      <c r="BF809" s="4"/>
    </row>
    <row r="810" spans="1:58">
      <c r="A810" s="4"/>
      <c r="B810" s="3"/>
      <c r="C810" s="3"/>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5"/>
      <c r="AR810" s="4"/>
      <c r="AS810" s="4"/>
      <c r="AT810" s="4"/>
      <c r="AU810" s="4"/>
      <c r="AV810" s="4"/>
      <c r="AW810" s="4"/>
      <c r="AX810" s="4"/>
      <c r="AY810" s="4"/>
      <c r="AZ810" s="4"/>
      <c r="BA810" s="4"/>
      <c r="BB810" s="4"/>
      <c r="BC810" s="4"/>
      <c r="BD810" s="4"/>
      <c r="BE810" s="4"/>
      <c r="BF810" s="4"/>
    </row>
    <row r="811" spans="1:58">
      <c r="A811" s="4"/>
      <c r="B811" s="3"/>
      <c r="C811" s="3"/>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5"/>
      <c r="AR811" s="4"/>
      <c r="AS811" s="4"/>
      <c r="AT811" s="4"/>
      <c r="AU811" s="4"/>
      <c r="AV811" s="4"/>
      <c r="AW811" s="4"/>
      <c r="AX811" s="4"/>
      <c r="AY811" s="4"/>
      <c r="AZ811" s="4"/>
      <c r="BA811" s="4"/>
      <c r="BB811" s="4"/>
      <c r="BC811" s="4"/>
      <c r="BD811" s="4"/>
      <c r="BE811" s="4"/>
      <c r="BF811" s="4"/>
    </row>
    <row r="812" spans="1:58">
      <c r="A812" s="4"/>
      <c r="B812" s="3"/>
      <c r="C812" s="3"/>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5"/>
      <c r="AR812" s="4"/>
      <c r="AS812" s="4"/>
      <c r="AT812" s="4"/>
      <c r="AU812" s="4"/>
      <c r="AV812" s="4"/>
      <c r="AW812" s="4"/>
      <c r="AX812" s="4"/>
      <c r="AY812" s="4"/>
      <c r="AZ812" s="4"/>
      <c r="BA812" s="4"/>
      <c r="BB812" s="4"/>
      <c r="BC812" s="4"/>
      <c r="BD812" s="4"/>
      <c r="BE812" s="4"/>
      <c r="BF812" s="4"/>
    </row>
    <row r="813" spans="1:58">
      <c r="A813" s="4"/>
      <c r="B813" s="3"/>
      <c r="C813" s="3"/>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5"/>
      <c r="AR813" s="4"/>
      <c r="AS813" s="4"/>
      <c r="AT813" s="4"/>
      <c r="AU813" s="4"/>
      <c r="AV813" s="4"/>
      <c r="AW813" s="4"/>
      <c r="AX813" s="4"/>
      <c r="AY813" s="4"/>
      <c r="AZ813" s="4"/>
      <c r="BA813" s="4"/>
      <c r="BB813" s="4"/>
      <c r="BC813" s="4"/>
      <c r="BD813" s="4"/>
      <c r="BE813" s="4"/>
      <c r="BF813" s="4"/>
    </row>
    <row r="814" spans="1:58">
      <c r="A814" s="4"/>
      <c r="B814" s="3"/>
      <c r="C814" s="3"/>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5"/>
      <c r="AR814" s="4"/>
      <c r="AS814" s="4"/>
      <c r="AT814" s="4"/>
      <c r="AU814" s="4"/>
      <c r="AV814" s="4"/>
      <c r="AW814" s="4"/>
      <c r="AX814" s="4"/>
      <c r="AY814" s="4"/>
      <c r="AZ814" s="4"/>
      <c r="BA814" s="4"/>
      <c r="BB814" s="4"/>
      <c r="BC814" s="4"/>
      <c r="BD814" s="4"/>
      <c r="BE814" s="4"/>
      <c r="BF814" s="4"/>
    </row>
    <row r="815" spans="1:58">
      <c r="A815" s="4"/>
      <c r="B815" s="3"/>
      <c r="C815" s="3"/>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5"/>
      <c r="AR815" s="4"/>
      <c r="AS815" s="4"/>
      <c r="AT815" s="4"/>
      <c r="AU815" s="4"/>
      <c r="AV815" s="4"/>
      <c r="AW815" s="4"/>
      <c r="AX815" s="4"/>
      <c r="AY815" s="4"/>
      <c r="AZ815" s="4"/>
      <c r="BA815" s="4"/>
      <c r="BB815" s="4"/>
      <c r="BC815" s="4"/>
      <c r="BD815" s="4"/>
      <c r="BE815" s="4"/>
      <c r="BF815" s="4"/>
    </row>
    <row r="816" spans="1:58">
      <c r="A816" s="4"/>
      <c r="B816" s="3"/>
      <c r="C816" s="3"/>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5"/>
      <c r="AR816" s="4"/>
      <c r="AS816" s="4"/>
      <c r="AT816" s="4"/>
      <c r="AU816" s="4"/>
      <c r="AV816" s="4"/>
      <c r="AW816" s="4"/>
      <c r="AX816" s="4"/>
      <c r="AY816" s="4"/>
      <c r="AZ816" s="4"/>
      <c r="BA816" s="4"/>
      <c r="BB816" s="4"/>
      <c r="BC816" s="4"/>
      <c r="BD816" s="4"/>
      <c r="BE816" s="4"/>
      <c r="BF816" s="4"/>
    </row>
    <row r="817" spans="1:58">
      <c r="A817" s="4"/>
      <c r="B817" s="3"/>
      <c r="C817" s="3"/>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5"/>
      <c r="AR817" s="4"/>
      <c r="AS817" s="4"/>
      <c r="AT817" s="4"/>
      <c r="AU817" s="4"/>
      <c r="AV817" s="4"/>
      <c r="AW817" s="4"/>
      <c r="AX817" s="4"/>
      <c r="AY817" s="4"/>
      <c r="AZ817" s="4"/>
      <c r="BA817" s="4"/>
      <c r="BB817" s="4"/>
      <c r="BC817" s="4"/>
      <c r="BD817" s="4"/>
      <c r="BE817" s="4"/>
      <c r="BF817" s="4"/>
    </row>
    <row r="818" spans="1:58">
      <c r="A818" s="4"/>
      <c r="B818" s="3"/>
      <c r="C818" s="3"/>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5"/>
      <c r="AR818" s="4"/>
      <c r="AS818" s="4"/>
      <c r="AT818" s="4"/>
      <c r="AU818" s="4"/>
      <c r="AV818" s="4"/>
      <c r="AW818" s="4"/>
      <c r="AX818" s="4"/>
      <c r="AY818" s="4"/>
      <c r="AZ818" s="4"/>
      <c r="BA818" s="4"/>
      <c r="BB818" s="4"/>
      <c r="BC818" s="4"/>
      <c r="BD818" s="4"/>
      <c r="BE818" s="4"/>
      <c r="BF818" s="4"/>
    </row>
    <row r="819" spans="1:58">
      <c r="A819" s="4"/>
      <c r="B819" s="3"/>
      <c r="C819" s="3"/>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5"/>
      <c r="AR819" s="4"/>
      <c r="AS819" s="4"/>
      <c r="AT819" s="4"/>
      <c r="AU819" s="4"/>
      <c r="AV819" s="4"/>
      <c r="AW819" s="4"/>
      <c r="AX819" s="4"/>
      <c r="AY819" s="4"/>
      <c r="AZ819" s="4"/>
      <c r="BA819" s="4"/>
      <c r="BB819" s="4"/>
      <c r="BC819" s="4"/>
      <c r="BD819" s="4"/>
      <c r="BE819" s="4"/>
      <c r="BF819" s="4"/>
    </row>
    <row r="820" spans="1:58">
      <c r="A820" s="4"/>
      <c r="B820" s="3"/>
      <c r="C820" s="3"/>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5"/>
      <c r="AR820" s="4"/>
      <c r="AS820" s="4"/>
      <c r="AT820" s="4"/>
      <c r="AU820" s="4"/>
      <c r="AV820" s="4"/>
      <c r="AW820" s="4"/>
      <c r="AX820" s="4"/>
      <c r="AY820" s="4"/>
      <c r="AZ820" s="4"/>
      <c r="BA820" s="4"/>
      <c r="BB820" s="4"/>
      <c r="BC820" s="4"/>
      <c r="BD820" s="4"/>
      <c r="BE820" s="4"/>
      <c r="BF820" s="4"/>
    </row>
    <row r="821" spans="1:58">
      <c r="A821" s="4"/>
      <c r="B821" s="3"/>
      <c r="C821" s="3"/>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5"/>
      <c r="AR821" s="4"/>
      <c r="AS821" s="4"/>
      <c r="AT821" s="4"/>
      <c r="AU821" s="4"/>
      <c r="AV821" s="4"/>
      <c r="AW821" s="4"/>
      <c r="AX821" s="4"/>
      <c r="AY821" s="4"/>
      <c r="AZ821" s="4"/>
      <c r="BA821" s="4"/>
      <c r="BB821" s="4"/>
      <c r="BC821" s="4"/>
      <c r="BD821" s="4"/>
      <c r="BE821" s="4"/>
      <c r="BF821" s="4"/>
    </row>
    <row r="822" spans="1:58">
      <c r="A822" s="4"/>
      <c r="B822" s="3"/>
      <c r="C822" s="3"/>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5"/>
      <c r="AR822" s="4"/>
      <c r="AS822" s="4"/>
      <c r="AT822" s="4"/>
      <c r="AU822" s="4"/>
      <c r="AV822" s="4"/>
      <c r="AW822" s="4"/>
      <c r="AX822" s="4"/>
      <c r="AY822" s="4"/>
      <c r="AZ822" s="4"/>
      <c r="BA822" s="4"/>
      <c r="BB822" s="4"/>
      <c r="BC822" s="4"/>
      <c r="BD822" s="4"/>
      <c r="BE822" s="4"/>
      <c r="BF822" s="4"/>
    </row>
    <row r="823" spans="1:58">
      <c r="A823" s="4"/>
      <c r="B823" s="3"/>
      <c r="C823" s="3"/>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5"/>
      <c r="AR823" s="4"/>
      <c r="AS823" s="4"/>
      <c r="AT823" s="4"/>
      <c r="AU823" s="4"/>
      <c r="AV823" s="4"/>
      <c r="AW823" s="4"/>
      <c r="AX823" s="4"/>
      <c r="AY823" s="4"/>
      <c r="AZ823" s="4"/>
      <c r="BA823" s="4"/>
      <c r="BB823" s="4"/>
      <c r="BC823" s="4"/>
      <c r="BD823" s="4"/>
      <c r="BE823" s="4"/>
      <c r="BF823" s="4"/>
    </row>
    <row r="824" spans="1:58">
      <c r="A824" s="4"/>
      <c r="B824" s="3"/>
      <c r="C824" s="3"/>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5"/>
      <c r="AR824" s="4"/>
      <c r="AS824" s="4"/>
      <c r="AT824" s="4"/>
      <c r="AU824" s="4"/>
      <c r="AV824" s="4"/>
      <c r="AW824" s="4"/>
      <c r="AX824" s="4"/>
      <c r="AY824" s="4"/>
      <c r="AZ824" s="4"/>
      <c r="BA824" s="4"/>
      <c r="BB824" s="4"/>
      <c r="BC824" s="4"/>
      <c r="BD824" s="4"/>
      <c r="BE824" s="4"/>
      <c r="BF824" s="4"/>
    </row>
    <row r="825" spans="1:58">
      <c r="A825" s="4"/>
      <c r="B825" s="3"/>
      <c r="C825" s="3"/>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5"/>
      <c r="AR825" s="4"/>
      <c r="AS825" s="4"/>
      <c r="AT825" s="4"/>
      <c r="AU825" s="4"/>
      <c r="AV825" s="4"/>
      <c r="AW825" s="4"/>
      <c r="AX825" s="4"/>
      <c r="AY825" s="4"/>
      <c r="AZ825" s="4"/>
      <c r="BA825" s="4"/>
      <c r="BB825" s="4"/>
      <c r="BC825" s="4"/>
      <c r="BD825" s="4"/>
      <c r="BE825" s="4"/>
      <c r="BF825" s="4"/>
    </row>
    <row r="826" spans="1:58">
      <c r="A826" s="4"/>
      <c r="B826" s="3"/>
      <c r="C826" s="3"/>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5"/>
      <c r="AR826" s="4"/>
      <c r="AS826" s="4"/>
      <c r="AT826" s="4"/>
      <c r="AU826" s="4"/>
      <c r="AV826" s="4"/>
      <c r="AW826" s="4"/>
      <c r="AX826" s="4"/>
      <c r="AY826" s="4"/>
      <c r="AZ826" s="4"/>
      <c r="BA826" s="4"/>
      <c r="BB826" s="4"/>
      <c r="BC826" s="4"/>
      <c r="BD826" s="4"/>
      <c r="BE826" s="4"/>
      <c r="BF826" s="4"/>
    </row>
    <row r="827" spans="1:58">
      <c r="A827" s="4"/>
      <c r="B827" s="3"/>
      <c r="C827" s="3"/>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5"/>
      <c r="AR827" s="4"/>
      <c r="AS827" s="4"/>
      <c r="AT827" s="4"/>
      <c r="AU827" s="4"/>
      <c r="AV827" s="4"/>
      <c r="AW827" s="4"/>
      <c r="AX827" s="4"/>
      <c r="AY827" s="4"/>
      <c r="AZ827" s="4"/>
      <c r="BA827" s="4"/>
      <c r="BB827" s="4"/>
      <c r="BC827" s="4"/>
      <c r="BD827" s="4"/>
      <c r="BE827" s="4"/>
      <c r="BF827" s="4"/>
    </row>
    <row r="828" spans="1:58">
      <c r="A828" s="4"/>
      <c r="B828" s="3"/>
      <c r="C828" s="3"/>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5"/>
      <c r="AR828" s="4"/>
      <c r="AS828" s="4"/>
      <c r="AT828" s="4"/>
      <c r="AU828" s="4"/>
      <c r="AV828" s="4"/>
      <c r="AW828" s="4"/>
      <c r="AX828" s="4"/>
      <c r="AY828" s="4"/>
      <c r="AZ828" s="4"/>
      <c r="BA828" s="4"/>
      <c r="BB828" s="4"/>
      <c r="BC828" s="4"/>
      <c r="BD828" s="4"/>
      <c r="BE828" s="4"/>
      <c r="BF828" s="4"/>
    </row>
    <row r="829" spans="1:58">
      <c r="A829" s="4"/>
      <c r="B829" s="3"/>
      <c r="C829" s="3"/>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5"/>
      <c r="AR829" s="4"/>
      <c r="AS829" s="4"/>
      <c r="AT829" s="4"/>
      <c r="AU829" s="4"/>
      <c r="AV829" s="4"/>
      <c r="AW829" s="4"/>
      <c r="AX829" s="4"/>
      <c r="AY829" s="4"/>
      <c r="AZ829" s="4"/>
      <c r="BA829" s="4"/>
      <c r="BB829" s="4"/>
      <c r="BC829" s="4"/>
      <c r="BD829" s="4"/>
      <c r="BE829" s="4"/>
      <c r="BF829" s="4"/>
    </row>
    <row r="830" spans="1:58">
      <c r="A830" s="4"/>
      <c r="B830" s="3"/>
      <c r="C830" s="3"/>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5"/>
      <c r="AR830" s="4"/>
      <c r="AS830" s="4"/>
      <c r="AT830" s="4"/>
      <c r="AU830" s="4"/>
      <c r="AV830" s="4"/>
      <c r="AW830" s="4"/>
      <c r="AX830" s="4"/>
      <c r="AY830" s="4"/>
      <c r="AZ830" s="4"/>
      <c r="BA830" s="4"/>
      <c r="BB830" s="4"/>
      <c r="BC830" s="4"/>
      <c r="BD830" s="4"/>
      <c r="BE830" s="4"/>
      <c r="BF830" s="4"/>
    </row>
    <row r="831" spans="1:58">
      <c r="A831" s="4"/>
      <c r="B831" s="3"/>
      <c r="C831" s="3"/>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5"/>
      <c r="AR831" s="4"/>
      <c r="AS831" s="4"/>
      <c r="AT831" s="4"/>
      <c r="AU831" s="4"/>
      <c r="AV831" s="4"/>
      <c r="AW831" s="4"/>
      <c r="AX831" s="4"/>
      <c r="AY831" s="4"/>
      <c r="AZ831" s="4"/>
      <c r="BA831" s="4"/>
      <c r="BB831" s="4"/>
      <c r="BC831" s="4"/>
      <c r="BD831" s="4"/>
      <c r="BE831" s="4"/>
      <c r="BF831" s="4"/>
    </row>
    <row r="832" spans="1:58">
      <c r="A832" s="4"/>
      <c r="B832" s="3"/>
      <c r="C832" s="3"/>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5"/>
      <c r="AR832" s="4"/>
      <c r="AS832" s="4"/>
      <c r="AT832" s="4"/>
      <c r="AU832" s="4"/>
      <c r="AV832" s="4"/>
      <c r="AW832" s="4"/>
      <c r="AX832" s="4"/>
      <c r="AY832" s="4"/>
      <c r="AZ832" s="4"/>
      <c r="BA832" s="4"/>
      <c r="BB832" s="4"/>
      <c r="BC832" s="4"/>
      <c r="BD832" s="4"/>
      <c r="BE832" s="4"/>
      <c r="BF832" s="4"/>
    </row>
    <row r="833" spans="1:58">
      <c r="A833" s="4"/>
      <c r="B833" s="3"/>
      <c r="C833" s="3"/>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5"/>
      <c r="AR833" s="4"/>
      <c r="AS833" s="4"/>
      <c r="AT833" s="4"/>
      <c r="AU833" s="4"/>
      <c r="AV833" s="4"/>
      <c r="AW833" s="4"/>
      <c r="AX833" s="4"/>
      <c r="AY833" s="4"/>
      <c r="AZ833" s="4"/>
      <c r="BA833" s="4"/>
      <c r="BB833" s="4"/>
      <c r="BC833" s="4"/>
      <c r="BD833" s="4"/>
      <c r="BE833" s="4"/>
      <c r="BF833" s="4"/>
    </row>
    <row r="834" spans="1:58">
      <c r="A834" s="4"/>
      <c r="B834" s="3"/>
      <c r="C834" s="3"/>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5"/>
      <c r="AR834" s="4"/>
      <c r="AS834" s="4"/>
      <c r="AT834" s="4"/>
      <c r="AU834" s="4"/>
      <c r="AV834" s="4"/>
      <c r="AW834" s="4"/>
      <c r="AX834" s="4"/>
      <c r="AY834" s="4"/>
      <c r="AZ834" s="4"/>
      <c r="BA834" s="4"/>
      <c r="BB834" s="4"/>
      <c r="BC834" s="4"/>
      <c r="BD834" s="4"/>
      <c r="BE834" s="4"/>
      <c r="BF834" s="4"/>
    </row>
    <row r="835" spans="1:58">
      <c r="A835" s="4"/>
      <c r="B835" s="3"/>
      <c r="C835" s="3"/>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5"/>
      <c r="AR835" s="4"/>
      <c r="AS835" s="4"/>
      <c r="AT835" s="4"/>
      <c r="AU835" s="4"/>
      <c r="AV835" s="4"/>
      <c r="AW835" s="4"/>
      <c r="AX835" s="4"/>
      <c r="AY835" s="4"/>
      <c r="AZ835" s="4"/>
      <c r="BA835" s="4"/>
      <c r="BB835" s="4"/>
      <c r="BC835" s="4"/>
      <c r="BD835" s="4"/>
      <c r="BE835" s="4"/>
      <c r="BF835" s="4"/>
    </row>
    <row r="836" spans="1:58">
      <c r="A836" s="4"/>
      <c r="B836" s="3"/>
      <c r="C836" s="3"/>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5"/>
      <c r="AR836" s="4"/>
      <c r="AS836" s="4"/>
      <c r="AT836" s="4"/>
      <c r="AU836" s="4"/>
      <c r="AV836" s="4"/>
      <c r="AW836" s="4"/>
      <c r="AX836" s="4"/>
      <c r="AY836" s="4"/>
      <c r="AZ836" s="4"/>
      <c r="BA836" s="4"/>
      <c r="BB836" s="4"/>
      <c r="BC836" s="4"/>
      <c r="BD836" s="4"/>
      <c r="BE836" s="4"/>
      <c r="BF836" s="4"/>
    </row>
    <row r="837" spans="1:58">
      <c r="A837" s="4"/>
      <c r="B837" s="3"/>
      <c r="C837" s="3"/>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5"/>
      <c r="AR837" s="4"/>
      <c r="AS837" s="4"/>
      <c r="AT837" s="4"/>
      <c r="AU837" s="4"/>
      <c r="AV837" s="4"/>
      <c r="AW837" s="4"/>
      <c r="AX837" s="4"/>
      <c r="AY837" s="4"/>
      <c r="AZ837" s="4"/>
      <c r="BA837" s="4"/>
      <c r="BB837" s="4"/>
      <c r="BC837" s="4"/>
      <c r="BD837" s="4"/>
      <c r="BE837" s="4"/>
      <c r="BF837" s="4"/>
    </row>
    <row r="838" spans="1:58">
      <c r="A838" s="4"/>
      <c r="B838" s="3"/>
      <c r="C838" s="3"/>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5"/>
      <c r="AR838" s="4"/>
      <c r="AS838" s="4"/>
      <c r="AT838" s="4"/>
      <c r="AU838" s="4"/>
      <c r="AV838" s="4"/>
      <c r="AW838" s="4"/>
      <c r="AX838" s="4"/>
      <c r="AY838" s="4"/>
      <c r="AZ838" s="4"/>
      <c r="BA838" s="4"/>
      <c r="BB838" s="4"/>
      <c r="BC838" s="4"/>
      <c r="BD838" s="4"/>
      <c r="BE838" s="4"/>
      <c r="BF838" s="4"/>
    </row>
    <row r="839" spans="1:58">
      <c r="A839" s="4"/>
      <c r="B839" s="3"/>
      <c r="C839" s="3"/>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5"/>
      <c r="AR839" s="4"/>
      <c r="AS839" s="4"/>
      <c r="AT839" s="4"/>
      <c r="AU839" s="4"/>
      <c r="AV839" s="4"/>
      <c r="AW839" s="4"/>
      <c r="AX839" s="4"/>
      <c r="AY839" s="4"/>
      <c r="AZ839" s="4"/>
      <c r="BA839" s="4"/>
      <c r="BB839" s="4"/>
      <c r="BC839" s="4"/>
      <c r="BD839" s="4"/>
      <c r="BE839" s="4"/>
      <c r="BF839" s="4"/>
    </row>
    <row r="840" spans="1:58">
      <c r="A840" s="4"/>
      <c r="B840" s="3"/>
      <c r="C840" s="3"/>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5"/>
      <c r="AR840" s="4"/>
      <c r="AS840" s="4"/>
      <c r="AT840" s="4"/>
      <c r="AU840" s="4"/>
      <c r="AV840" s="4"/>
      <c r="AW840" s="4"/>
      <c r="AX840" s="4"/>
      <c r="AY840" s="4"/>
      <c r="AZ840" s="4"/>
      <c r="BA840" s="4"/>
      <c r="BB840" s="4"/>
      <c r="BC840" s="4"/>
      <c r="BD840" s="4"/>
      <c r="BE840" s="4"/>
      <c r="BF840" s="4"/>
    </row>
    <row r="841" spans="1:58">
      <c r="A841" s="4"/>
      <c r="B841" s="3"/>
      <c r="C841" s="3"/>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5"/>
      <c r="AR841" s="4"/>
      <c r="AS841" s="4"/>
      <c r="AT841" s="4"/>
      <c r="AU841" s="4"/>
      <c r="AV841" s="4"/>
      <c r="AW841" s="4"/>
      <c r="AX841" s="4"/>
      <c r="AY841" s="4"/>
      <c r="AZ841" s="4"/>
      <c r="BA841" s="4"/>
      <c r="BB841" s="4"/>
      <c r="BC841" s="4"/>
      <c r="BD841" s="4"/>
      <c r="BE841" s="4"/>
      <c r="BF841" s="4"/>
    </row>
    <row r="842" spans="1:58">
      <c r="A842" s="4"/>
      <c r="B842" s="3"/>
      <c r="C842" s="3"/>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5"/>
      <c r="AR842" s="4"/>
      <c r="AS842" s="4"/>
      <c r="AT842" s="4"/>
      <c r="AU842" s="4"/>
      <c r="AV842" s="4"/>
      <c r="AW842" s="4"/>
      <c r="AX842" s="4"/>
      <c r="AY842" s="4"/>
      <c r="AZ842" s="4"/>
      <c r="BA842" s="4"/>
      <c r="BB842" s="4"/>
      <c r="BC842" s="4"/>
      <c r="BD842" s="4"/>
      <c r="BE842" s="4"/>
      <c r="BF842" s="4"/>
    </row>
    <row r="843" spans="1:58">
      <c r="A843" s="4"/>
      <c r="B843" s="3"/>
      <c r="C843" s="3"/>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5"/>
      <c r="AR843" s="4"/>
      <c r="AS843" s="4"/>
      <c r="AT843" s="4"/>
      <c r="AU843" s="4"/>
      <c r="AV843" s="4"/>
      <c r="AW843" s="4"/>
      <c r="AX843" s="4"/>
      <c r="AY843" s="4"/>
      <c r="AZ843" s="4"/>
      <c r="BA843" s="4"/>
      <c r="BB843" s="4"/>
      <c r="BC843" s="4"/>
      <c r="BD843" s="4"/>
      <c r="BE843" s="4"/>
      <c r="BF843" s="4"/>
    </row>
    <row r="844" spans="1:58">
      <c r="A844" s="4"/>
      <c r="B844" s="3"/>
      <c r="C844" s="3"/>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5"/>
      <c r="AR844" s="4"/>
      <c r="AS844" s="4"/>
      <c r="AT844" s="4"/>
      <c r="AU844" s="4"/>
      <c r="AV844" s="4"/>
      <c r="AW844" s="4"/>
      <c r="AX844" s="4"/>
      <c r="AY844" s="4"/>
      <c r="AZ844" s="4"/>
      <c r="BA844" s="4"/>
      <c r="BB844" s="4"/>
      <c r="BC844" s="4"/>
      <c r="BD844" s="4"/>
      <c r="BE844" s="4"/>
      <c r="BF844" s="4"/>
    </row>
    <row r="845" spans="1:58">
      <c r="A845" s="4"/>
      <c r="B845" s="3"/>
      <c r="C845" s="3"/>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5"/>
      <c r="AR845" s="4"/>
      <c r="AS845" s="4"/>
      <c r="AT845" s="4"/>
      <c r="AU845" s="4"/>
      <c r="AV845" s="4"/>
      <c r="AW845" s="4"/>
      <c r="AX845" s="4"/>
      <c r="AY845" s="4"/>
      <c r="AZ845" s="4"/>
      <c r="BA845" s="4"/>
      <c r="BB845" s="4"/>
      <c r="BC845" s="4"/>
      <c r="BD845" s="4"/>
      <c r="BE845" s="4"/>
      <c r="BF845" s="4"/>
    </row>
    <row r="846" spans="1:58">
      <c r="A846" s="4"/>
      <c r="B846" s="3"/>
      <c r="C846" s="3"/>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5"/>
      <c r="AR846" s="4"/>
      <c r="AS846" s="4"/>
      <c r="AT846" s="4"/>
      <c r="AU846" s="4"/>
      <c r="AV846" s="4"/>
      <c r="AW846" s="4"/>
      <c r="AX846" s="4"/>
      <c r="AY846" s="4"/>
      <c r="AZ846" s="4"/>
      <c r="BA846" s="4"/>
      <c r="BB846" s="4"/>
      <c r="BC846" s="4"/>
      <c r="BD846" s="4"/>
      <c r="BE846" s="4"/>
      <c r="BF846" s="4"/>
    </row>
    <row r="847" spans="1:58">
      <c r="A847" s="4"/>
      <c r="B847" s="3"/>
      <c r="C847" s="3"/>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5"/>
      <c r="AR847" s="4"/>
      <c r="AS847" s="4"/>
      <c r="AT847" s="4"/>
      <c r="AU847" s="4"/>
      <c r="AV847" s="4"/>
      <c r="AW847" s="4"/>
      <c r="AX847" s="4"/>
      <c r="AY847" s="4"/>
      <c r="AZ847" s="4"/>
      <c r="BA847" s="4"/>
      <c r="BB847" s="4"/>
      <c r="BC847" s="4"/>
      <c r="BD847" s="4"/>
      <c r="BE847" s="4"/>
      <c r="BF847" s="4"/>
    </row>
    <row r="848" spans="1:58">
      <c r="A848" s="4"/>
      <c r="B848" s="3"/>
      <c r="C848" s="3"/>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5"/>
      <c r="AR848" s="4"/>
      <c r="AS848" s="4"/>
      <c r="AT848" s="4"/>
      <c r="AU848" s="4"/>
      <c r="AV848" s="4"/>
      <c r="AW848" s="4"/>
      <c r="AX848" s="4"/>
      <c r="AY848" s="4"/>
      <c r="AZ848" s="4"/>
      <c r="BA848" s="4"/>
      <c r="BB848" s="4"/>
      <c r="BC848" s="4"/>
      <c r="BD848" s="4"/>
      <c r="BE848" s="4"/>
      <c r="BF848" s="4"/>
    </row>
    <row r="849" spans="1:58">
      <c r="A849" s="4"/>
      <c r="B849" s="3"/>
      <c r="C849" s="3"/>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5"/>
      <c r="AR849" s="4"/>
      <c r="AS849" s="4"/>
      <c r="AT849" s="4"/>
      <c r="AU849" s="4"/>
      <c r="AV849" s="4"/>
      <c r="AW849" s="4"/>
      <c r="AX849" s="4"/>
      <c r="AY849" s="4"/>
      <c r="AZ849" s="4"/>
      <c r="BA849" s="4"/>
      <c r="BB849" s="4"/>
      <c r="BC849" s="4"/>
      <c r="BD849" s="4"/>
      <c r="BE849" s="4"/>
      <c r="BF849" s="4"/>
    </row>
    <row r="850" spans="1:58">
      <c r="A850" s="4"/>
      <c r="B850" s="3"/>
      <c r="C850" s="3"/>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5"/>
      <c r="AR850" s="4"/>
      <c r="AS850" s="4"/>
      <c r="AT850" s="4"/>
      <c r="AU850" s="4"/>
      <c r="AV850" s="4"/>
      <c r="AW850" s="4"/>
      <c r="AX850" s="4"/>
      <c r="AY850" s="4"/>
      <c r="AZ850" s="4"/>
      <c r="BA850" s="4"/>
      <c r="BB850" s="4"/>
      <c r="BC850" s="4"/>
      <c r="BD850" s="4"/>
      <c r="BE850" s="4"/>
      <c r="BF850" s="4"/>
    </row>
    <row r="851" spans="1:58">
      <c r="A851" s="4"/>
      <c r="B851" s="3"/>
      <c r="C851" s="3"/>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5"/>
      <c r="AR851" s="4"/>
      <c r="AS851" s="4"/>
      <c r="AT851" s="4"/>
      <c r="AU851" s="4"/>
      <c r="AV851" s="4"/>
      <c r="AW851" s="4"/>
      <c r="AX851" s="4"/>
      <c r="AY851" s="4"/>
      <c r="AZ851" s="4"/>
      <c r="BA851" s="4"/>
      <c r="BB851" s="4"/>
      <c r="BC851" s="4"/>
      <c r="BD851" s="4"/>
      <c r="BE851" s="4"/>
      <c r="BF851" s="4"/>
    </row>
    <row r="852" spans="1:58">
      <c r="A852" s="4"/>
      <c r="B852" s="3"/>
      <c r="C852" s="3"/>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5"/>
      <c r="AR852" s="4"/>
      <c r="AS852" s="4"/>
      <c r="AT852" s="4"/>
      <c r="AU852" s="4"/>
      <c r="AV852" s="4"/>
      <c r="AW852" s="4"/>
      <c r="AX852" s="4"/>
      <c r="AY852" s="4"/>
      <c r="AZ852" s="4"/>
      <c r="BA852" s="4"/>
      <c r="BB852" s="4"/>
      <c r="BC852" s="4"/>
      <c r="BD852" s="4"/>
      <c r="BE852" s="4"/>
      <c r="BF852" s="4"/>
    </row>
    <row r="853" spans="1:58">
      <c r="A853" s="4"/>
      <c r="B853" s="3"/>
      <c r="C853" s="3"/>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5"/>
      <c r="AR853" s="4"/>
      <c r="AS853" s="4"/>
      <c r="AT853" s="4"/>
      <c r="AU853" s="4"/>
      <c r="AV853" s="4"/>
      <c r="AW853" s="4"/>
      <c r="AX853" s="4"/>
      <c r="AY853" s="4"/>
      <c r="AZ853" s="4"/>
      <c r="BA853" s="4"/>
      <c r="BB853" s="4"/>
      <c r="BC853" s="4"/>
      <c r="BD853" s="4"/>
      <c r="BE853" s="4"/>
      <c r="BF853" s="4"/>
    </row>
    <row r="854" spans="1:58">
      <c r="A854" s="4"/>
      <c r="B854" s="3"/>
      <c r="C854" s="3"/>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5"/>
      <c r="AR854" s="4"/>
      <c r="AS854" s="4"/>
      <c r="AT854" s="4"/>
      <c r="AU854" s="4"/>
      <c r="AV854" s="4"/>
      <c r="AW854" s="4"/>
      <c r="AX854" s="4"/>
      <c r="AY854" s="4"/>
      <c r="AZ854" s="4"/>
      <c r="BA854" s="4"/>
      <c r="BB854" s="4"/>
      <c r="BC854" s="4"/>
      <c r="BD854" s="4"/>
      <c r="BE854" s="4"/>
      <c r="BF854" s="4"/>
    </row>
    <row r="855" spans="1:58">
      <c r="A855" s="4"/>
      <c r="B855" s="3"/>
      <c r="C855" s="3"/>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5"/>
      <c r="AR855" s="4"/>
      <c r="AS855" s="4"/>
      <c r="AT855" s="4"/>
      <c r="AU855" s="4"/>
      <c r="AV855" s="4"/>
      <c r="AW855" s="4"/>
      <c r="AX855" s="4"/>
      <c r="AY855" s="4"/>
      <c r="AZ855" s="4"/>
      <c r="BA855" s="4"/>
      <c r="BB855" s="4"/>
      <c r="BC855" s="4"/>
      <c r="BD855" s="4"/>
      <c r="BE855" s="4"/>
      <c r="BF855" s="4"/>
    </row>
    <row r="856" spans="1:58">
      <c r="A856" s="4"/>
      <c r="B856" s="3"/>
      <c r="C856" s="3"/>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5"/>
      <c r="AR856" s="4"/>
      <c r="AS856" s="4"/>
      <c r="AT856" s="4"/>
      <c r="AU856" s="4"/>
      <c r="AV856" s="4"/>
      <c r="AW856" s="4"/>
      <c r="AX856" s="4"/>
      <c r="AY856" s="4"/>
      <c r="AZ856" s="4"/>
      <c r="BA856" s="4"/>
      <c r="BB856" s="4"/>
      <c r="BC856" s="4"/>
      <c r="BD856" s="4"/>
      <c r="BE856" s="4"/>
      <c r="BF856" s="4"/>
    </row>
    <row r="857" spans="1:58">
      <c r="A857" s="4"/>
      <c r="B857" s="3"/>
      <c r="C857" s="3"/>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5"/>
      <c r="AR857" s="4"/>
      <c r="AS857" s="4"/>
      <c r="AT857" s="4"/>
      <c r="AU857" s="4"/>
      <c r="AV857" s="4"/>
      <c r="AW857" s="4"/>
      <c r="AX857" s="4"/>
      <c r="AY857" s="4"/>
      <c r="AZ857" s="4"/>
      <c r="BA857" s="4"/>
      <c r="BB857" s="4"/>
      <c r="BC857" s="4"/>
      <c r="BD857" s="4"/>
      <c r="BE857" s="4"/>
      <c r="BF857" s="4"/>
    </row>
    <row r="858" spans="1:58">
      <c r="A858" s="4"/>
      <c r="B858" s="3"/>
      <c r="C858" s="3"/>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5"/>
      <c r="AR858" s="4"/>
      <c r="AS858" s="4"/>
      <c r="AT858" s="4"/>
      <c r="AU858" s="4"/>
      <c r="AV858" s="4"/>
      <c r="AW858" s="4"/>
      <c r="AX858" s="4"/>
      <c r="AY858" s="4"/>
      <c r="AZ858" s="4"/>
      <c r="BA858" s="4"/>
      <c r="BB858" s="4"/>
      <c r="BC858" s="4"/>
      <c r="BD858" s="4"/>
      <c r="BE858" s="4"/>
      <c r="BF858" s="4"/>
    </row>
    <row r="859" spans="1:58">
      <c r="A859" s="4"/>
      <c r="B859" s="3"/>
      <c r="C859" s="3"/>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5"/>
      <c r="AR859" s="4"/>
      <c r="AS859" s="4"/>
      <c r="AT859" s="4"/>
      <c r="AU859" s="4"/>
      <c r="AV859" s="4"/>
      <c r="AW859" s="4"/>
      <c r="AX859" s="4"/>
      <c r="AY859" s="4"/>
      <c r="AZ859" s="4"/>
      <c r="BA859" s="4"/>
      <c r="BB859" s="4"/>
      <c r="BC859" s="4"/>
      <c r="BD859" s="4"/>
      <c r="BE859" s="4"/>
      <c r="BF859" s="4"/>
    </row>
    <row r="860" spans="1:58">
      <c r="A860" s="4"/>
      <c r="B860" s="3"/>
      <c r="C860" s="3"/>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5"/>
      <c r="AR860" s="4"/>
      <c r="AS860" s="4"/>
      <c r="AT860" s="4"/>
      <c r="AU860" s="4"/>
      <c r="AV860" s="4"/>
      <c r="AW860" s="4"/>
      <c r="AX860" s="4"/>
      <c r="AY860" s="4"/>
      <c r="AZ860" s="4"/>
      <c r="BA860" s="4"/>
      <c r="BB860" s="4"/>
      <c r="BC860" s="4"/>
      <c r="BD860" s="4"/>
      <c r="BE860" s="4"/>
      <c r="BF860" s="4"/>
    </row>
    <row r="861" spans="1:58">
      <c r="A861" s="4"/>
      <c r="B861" s="3"/>
      <c r="C861" s="3"/>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5"/>
      <c r="AR861" s="4"/>
      <c r="AS861" s="4"/>
      <c r="AT861" s="4"/>
      <c r="AU861" s="4"/>
      <c r="AV861" s="4"/>
      <c r="AW861" s="4"/>
      <c r="AX861" s="4"/>
      <c r="AY861" s="4"/>
      <c r="AZ861" s="4"/>
      <c r="BA861" s="4"/>
      <c r="BB861" s="4"/>
      <c r="BC861" s="4"/>
      <c r="BD861" s="4"/>
      <c r="BE861" s="4"/>
      <c r="BF861" s="4"/>
    </row>
    <row r="862" spans="1:58">
      <c r="A862" s="4"/>
      <c r="B862" s="3"/>
      <c r="C862" s="3"/>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5"/>
      <c r="AR862" s="4"/>
      <c r="AS862" s="4"/>
      <c r="AT862" s="4"/>
      <c r="AU862" s="4"/>
      <c r="AV862" s="4"/>
      <c r="AW862" s="4"/>
      <c r="AX862" s="4"/>
      <c r="AY862" s="4"/>
      <c r="AZ862" s="4"/>
      <c r="BA862" s="4"/>
      <c r="BB862" s="4"/>
      <c r="BC862" s="4"/>
      <c r="BD862" s="4"/>
      <c r="BE862" s="4"/>
      <c r="BF862" s="4"/>
    </row>
    <row r="863" spans="1:58">
      <c r="A863" s="4"/>
      <c r="B863" s="3"/>
      <c r="C863" s="3"/>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5"/>
      <c r="AR863" s="4"/>
      <c r="AS863" s="4"/>
      <c r="AT863" s="4"/>
      <c r="AU863" s="4"/>
      <c r="AV863" s="4"/>
      <c r="AW863" s="4"/>
      <c r="AX863" s="4"/>
      <c r="AY863" s="4"/>
      <c r="AZ863" s="4"/>
      <c r="BA863" s="4"/>
      <c r="BB863" s="4"/>
      <c r="BC863" s="4"/>
      <c r="BD863" s="4"/>
      <c r="BE863" s="4"/>
      <c r="BF863" s="4"/>
    </row>
    <row r="864" spans="1:58">
      <c r="A864" s="4"/>
      <c r="B864" s="3"/>
      <c r="C864" s="3"/>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5"/>
      <c r="AR864" s="4"/>
      <c r="AS864" s="4"/>
      <c r="AT864" s="4"/>
      <c r="AU864" s="4"/>
      <c r="AV864" s="4"/>
      <c r="AW864" s="4"/>
      <c r="AX864" s="4"/>
      <c r="AY864" s="4"/>
      <c r="AZ864" s="4"/>
      <c r="BA864" s="4"/>
      <c r="BB864" s="4"/>
      <c r="BC864" s="4"/>
      <c r="BD864" s="4"/>
      <c r="BE864" s="4"/>
      <c r="BF864" s="4"/>
    </row>
    <row r="865" spans="1:58">
      <c r="A865" s="4"/>
      <c r="B865" s="3"/>
      <c r="C865" s="3"/>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5"/>
      <c r="AR865" s="4"/>
      <c r="AS865" s="4"/>
      <c r="AT865" s="4"/>
      <c r="AU865" s="4"/>
      <c r="AV865" s="4"/>
      <c r="AW865" s="4"/>
      <c r="AX865" s="4"/>
      <c r="AY865" s="4"/>
      <c r="AZ865" s="4"/>
      <c r="BA865" s="4"/>
      <c r="BB865" s="4"/>
      <c r="BC865" s="4"/>
      <c r="BD865" s="4"/>
      <c r="BE865" s="4"/>
      <c r="BF865" s="4"/>
    </row>
    <row r="866" spans="1:58">
      <c r="A866" s="4"/>
      <c r="B866" s="3"/>
      <c r="C866" s="3"/>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5"/>
      <c r="AR866" s="4"/>
      <c r="AS866" s="4"/>
      <c r="AT866" s="4"/>
      <c r="AU866" s="4"/>
      <c r="AV866" s="4"/>
      <c r="AW866" s="4"/>
      <c r="AX866" s="4"/>
      <c r="AY866" s="4"/>
      <c r="AZ866" s="4"/>
      <c r="BA866" s="4"/>
      <c r="BB866" s="4"/>
      <c r="BC866" s="4"/>
      <c r="BD866" s="4"/>
      <c r="BE866" s="4"/>
      <c r="BF866" s="4"/>
    </row>
    <row r="867" spans="1:58">
      <c r="A867" s="4"/>
      <c r="B867" s="3"/>
      <c r="C867" s="3"/>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5"/>
      <c r="AR867" s="4"/>
      <c r="AS867" s="4"/>
      <c r="AT867" s="4"/>
      <c r="AU867" s="4"/>
      <c r="AV867" s="4"/>
      <c r="AW867" s="4"/>
      <c r="AX867" s="4"/>
      <c r="AY867" s="4"/>
      <c r="AZ867" s="4"/>
      <c r="BA867" s="4"/>
      <c r="BB867" s="4"/>
      <c r="BC867" s="4"/>
      <c r="BD867" s="4"/>
      <c r="BE867" s="4"/>
      <c r="BF867" s="4"/>
    </row>
    <row r="868" spans="1:58">
      <c r="A868" s="4"/>
      <c r="B868" s="3"/>
      <c r="C868" s="3"/>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5"/>
      <c r="AR868" s="4"/>
      <c r="AS868" s="4"/>
      <c r="AT868" s="4"/>
      <c r="AU868" s="4"/>
      <c r="AV868" s="4"/>
      <c r="AW868" s="4"/>
      <c r="AX868" s="4"/>
      <c r="AY868" s="4"/>
      <c r="AZ868" s="4"/>
      <c r="BA868" s="4"/>
      <c r="BB868" s="4"/>
      <c r="BC868" s="4"/>
      <c r="BD868" s="4"/>
      <c r="BE868" s="4"/>
      <c r="BF868" s="4"/>
    </row>
    <row r="869" spans="1:58">
      <c r="A869" s="4"/>
      <c r="B869" s="3"/>
      <c r="C869" s="3"/>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5"/>
      <c r="AR869" s="4"/>
      <c r="AS869" s="4"/>
      <c r="AT869" s="4"/>
      <c r="AU869" s="4"/>
      <c r="AV869" s="4"/>
      <c r="AW869" s="4"/>
      <c r="AX869" s="4"/>
      <c r="AY869" s="4"/>
      <c r="AZ869" s="4"/>
      <c r="BA869" s="4"/>
      <c r="BB869" s="4"/>
      <c r="BC869" s="4"/>
      <c r="BD869" s="4"/>
      <c r="BE869" s="4"/>
      <c r="BF869" s="4"/>
    </row>
    <row r="870" spans="1:58">
      <c r="A870" s="4"/>
      <c r="B870" s="3"/>
      <c r="C870" s="3"/>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5"/>
      <c r="AR870" s="4"/>
      <c r="AS870" s="4"/>
      <c r="AT870" s="4"/>
      <c r="AU870" s="4"/>
      <c r="AV870" s="4"/>
      <c r="AW870" s="4"/>
      <c r="AX870" s="4"/>
      <c r="AY870" s="4"/>
      <c r="AZ870" s="4"/>
      <c r="BA870" s="4"/>
      <c r="BB870" s="4"/>
      <c r="BC870" s="4"/>
      <c r="BD870" s="4"/>
      <c r="BE870" s="4"/>
      <c r="BF870" s="4"/>
    </row>
    <row r="871" spans="1:58">
      <c r="A871" s="4"/>
      <c r="B871" s="3"/>
      <c r="C871" s="3"/>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5"/>
      <c r="AR871" s="4"/>
      <c r="AS871" s="4"/>
      <c r="AT871" s="4"/>
      <c r="AU871" s="4"/>
      <c r="AV871" s="4"/>
      <c r="AW871" s="4"/>
      <c r="AX871" s="4"/>
      <c r="AY871" s="4"/>
      <c r="AZ871" s="4"/>
      <c r="BA871" s="4"/>
      <c r="BB871" s="4"/>
      <c r="BC871" s="4"/>
      <c r="BD871" s="4"/>
      <c r="BE871" s="4"/>
      <c r="BF871" s="4"/>
    </row>
    <row r="872" spans="1:58">
      <c r="A872" s="4"/>
      <c r="B872" s="3"/>
      <c r="C872" s="3"/>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5"/>
      <c r="AR872" s="4"/>
      <c r="AS872" s="4"/>
      <c r="AT872" s="4"/>
      <c r="AU872" s="4"/>
      <c r="AV872" s="4"/>
      <c r="AW872" s="4"/>
      <c r="AX872" s="4"/>
      <c r="AY872" s="4"/>
      <c r="AZ872" s="4"/>
      <c r="BA872" s="4"/>
      <c r="BB872" s="4"/>
      <c r="BC872" s="4"/>
      <c r="BD872" s="4"/>
      <c r="BE872" s="4"/>
      <c r="BF872" s="4"/>
    </row>
    <row r="873" spans="1:58">
      <c r="A873" s="4"/>
      <c r="B873" s="3"/>
      <c r="C873" s="3"/>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5"/>
      <c r="AR873" s="4"/>
      <c r="AS873" s="4"/>
      <c r="AT873" s="4"/>
      <c r="AU873" s="4"/>
      <c r="AV873" s="4"/>
      <c r="AW873" s="4"/>
      <c r="AX873" s="4"/>
      <c r="AY873" s="4"/>
      <c r="AZ873" s="4"/>
      <c r="BA873" s="4"/>
      <c r="BB873" s="4"/>
      <c r="BC873" s="4"/>
      <c r="BD873" s="4"/>
      <c r="BE873" s="4"/>
      <c r="BF873" s="4"/>
    </row>
    <row r="874" spans="1:58">
      <c r="A874" s="4"/>
      <c r="B874" s="3"/>
      <c r="C874" s="3"/>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5"/>
      <c r="AR874" s="4"/>
      <c r="AS874" s="4"/>
      <c r="AT874" s="4"/>
      <c r="AU874" s="4"/>
      <c r="AV874" s="4"/>
      <c r="AW874" s="4"/>
      <c r="AX874" s="4"/>
      <c r="AY874" s="4"/>
      <c r="AZ874" s="4"/>
      <c r="BA874" s="4"/>
      <c r="BB874" s="4"/>
      <c r="BC874" s="4"/>
      <c r="BD874" s="4"/>
      <c r="BE874" s="4"/>
      <c r="BF874" s="4"/>
    </row>
    <row r="875" spans="1:58">
      <c r="A875" s="4"/>
      <c r="B875" s="3"/>
      <c r="C875" s="3"/>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5"/>
      <c r="AR875" s="4"/>
      <c r="AS875" s="4"/>
      <c r="AT875" s="4"/>
      <c r="AU875" s="4"/>
      <c r="AV875" s="4"/>
      <c r="AW875" s="4"/>
      <c r="AX875" s="4"/>
      <c r="AY875" s="4"/>
      <c r="AZ875" s="4"/>
      <c r="BA875" s="4"/>
      <c r="BB875" s="4"/>
      <c r="BC875" s="4"/>
      <c r="BD875" s="4"/>
      <c r="BE875" s="4"/>
      <c r="BF875" s="4"/>
    </row>
    <row r="876" spans="1:58">
      <c r="A876" s="4"/>
      <c r="B876" s="3"/>
      <c r="C876" s="3"/>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5"/>
      <c r="AR876" s="4"/>
      <c r="AS876" s="4"/>
      <c r="AT876" s="4"/>
      <c r="AU876" s="4"/>
      <c r="AV876" s="4"/>
      <c r="AW876" s="4"/>
      <c r="AX876" s="4"/>
      <c r="AY876" s="4"/>
      <c r="AZ876" s="4"/>
      <c r="BA876" s="4"/>
      <c r="BB876" s="4"/>
      <c r="BC876" s="4"/>
      <c r="BD876" s="4"/>
      <c r="BE876" s="4"/>
      <c r="BF876" s="4"/>
    </row>
    <row r="877" spans="1:58">
      <c r="A877" s="4"/>
      <c r="B877" s="3"/>
      <c r="C877" s="3"/>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5"/>
      <c r="AR877" s="4"/>
      <c r="AS877" s="4"/>
      <c r="AT877" s="4"/>
      <c r="AU877" s="4"/>
      <c r="AV877" s="4"/>
      <c r="AW877" s="4"/>
      <c r="AX877" s="4"/>
      <c r="AY877" s="4"/>
      <c r="AZ877" s="4"/>
      <c r="BA877" s="4"/>
      <c r="BB877" s="4"/>
      <c r="BC877" s="4"/>
      <c r="BD877" s="4"/>
      <c r="BE877" s="4"/>
      <c r="BF877" s="4"/>
    </row>
    <row r="878" spans="1:58">
      <c r="A878" s="4"/>
      <c r="B878" s="3"/>
      <c r="C878" s="3"/>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5"/>
      <c r="AR878" s="4"/>
      <c r="AS878" s="4"/>
      <c r="AT878" s="4"/>
      <c r="AU878" s="4"/>
      <c r="AV878" s="4"/>
      <c r="AW878" s="4"/>
      <c r="AX878" s="4"/>
      <c r="AY878" s="4"/>
      <c r="AZ878" s="4"/>
      <c r="BA878" s="4"/>
      <c r="BB878" s="4"/>
      <c r="BC878" s="4"/>
      <c r="BD878" s="4"/>
      <c r="BE878" s="4"/>
      <c r="BF878" s="4"/>
    </row>
    <row r="879" spans="1:58">
      <c r="A879" s="4"/>
      <c r="B879" s="3"/>
      <c r="C879" s="3"/>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5"/>
      <c r="AR879" s="4"/>
      <c r="AS879" s="4"/>
      <c r="AT879" s="4"/>
      <c r="AU879" s="4"/>
      <c r="AV879" s="4"/>
      <c r="AW879" s="4"/>
      <c r="AX879" s="4"/>
      <c r="AY879" s="4"/>
      <c r="AZ879" s="4"/>
      <c r="BA879" s="4"/>
      <c r="BB879" s="4"/>
      <c r="BC879" s="4"/>
      <c r="BD879" s="4"/>
      <c r="BE879" s="4"/>
      <c r="BF879" s="4"/>
    </row>
    <row r="880" spans="1:58">
      <c r="A880" s="4"/>
      <c r="B880" s="3"/>
      <c r="C880" s="3"/>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5"/>
      <c r="AR880" s="4"/>
      <c r="AS880" s="4"/>
      <c r="AT880" s="4"/>
      <c r="AU880" s="4"/>
      <c r="AV880" s="4"/>
      <c r="AW880" s="4"/>
      <c r="AX880" s="4"/>
      <c r="AY880" s="4"/>
      <c r="AZ880" s="4"/>
      <c r="BA880" s="4"/>
      <c r="BB880" s="4"/>
      <c r="BC880" s="4"/>
      <c r="BD880" s="4"/>
      <c r="BE880" s="4"/>
      <c r="BF880" s="4"/>
    </row>
    <row r="881" spans="1:58">
      <c r="A881" s="4"/>
      <c r="B881" s="3"/>
      <c r="C881" s="3"/>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5"/>
      <c r="AR881" s="4"/>
      <c r="AS881" s="4"/>
      <c r="AT881" s="4"/>
      <c r="AU881" s="4"/>
      <c r="AV881" s="4"/>
      <c r="AW881" s="4"/>
      <c r="AX881" s="4"/>
      <c r="AY881" s="4"/>
      <c r="AZ881" s="4"/>
      <c r="BA881" s="4"/>
      <c r="BB881" s="4"/>
      <c r="BC881" s="4"/>
      <c r="BD881" s="4"/>
      <c r="BE881" s="4"/>
      <c r="BF881" s="4"/>
    </row>
    <row r="882" spans="1:58">
      <c r="A882" s="4"/>
      <c r="B882" s="3"/>
      <c r="C882" s="3"/>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5"/>
      <c r="AR882" s="4"/>
      <c r="AS882" s="4"/>
      <c r="AT882" s="4"/>
      <c r="AU882" s="4"/>
      <c r="AV882" s="4"/>
      <c r="AW882" s="4"/>
      <c r="AX882" s="4"/>
      <c r="AY882" s="4"/>
      <c r="AZ882" s="4"/>
      <c r="BA882" s="4"/>
      <c r="BB882" s="4"/>
      <c r="BC882" s="4"/>
      <c r="BD882" s="4"/>
      <c r="BE882" s="4"/>
      <c r="BF882" s="4"/>
    </row>
    <row r="883" spans="1:58">
      <c r="A883" s="4"/>
      <c r="B883" s="3"/>
      <c r="C883" s="3"/>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5"/>
      <c r="AR883" s="4"/>
      <c r="AS883" s="4"/>
      <c r="AT883" s="4"/>
      <c r="AU883" s="4"/>
      <c r="AV883" s="4"/>
      <c r="AW883" s="4"/>
      <c r="AX883" s="4"/>
      <c r="AY883" s="4"/>
      <c r="AZ883" s="4"/>
      <c r="BA883" s="4"/>
      <c r="BB883" s="4"/>
      <c r="BC883" s="4"/>
      <c r="BD883" s="4"/>
      <c r="BE883" s="4"/>
      <c r="BF883" s="4"/>
    </row>
    <row r="884" spans="1:58">
      <c r="A884" s="4"/>
      <c r="B884" s="3"/>
      <c r="C884" s="3"/>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5"/>
      <c r="AR884" s="4"/>
      <c r="AS884" s="4"/>
      <c r="AT884" s="4"/>
      <c r="AU884" s="4"/>
      <c r="AV884" s="4"/>
      <c r="AW884" s="4"/>
      <c r="AX884" s="4"/>
      <c r="AY884" s="4"/>
      <c r="AZ884" s="4"/>
      <c r="BA884" s="4"/>
      <c r="BB884" s="4"/>
      <c r="BC884" s="4"/>
      <c r="BD884" s="4"/>
      <c r="BE884" s="4"/>
      <c r="BF884" s="4"/>
    </row>
    <row r="885" spans="1:58">
      <c r="A885" s="4"/>
      <c r="B885" s="3"/>
      <c r="C885" s="3"/>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5"/>
      <c r="AR885" s="4"/>
      <c r="AS885" s="4"/>
      <c r="AT885" s="4"/>
      <c r="AU885" s="4"/>
      <c r="AV885" s="4"/>
      <c r="AW885" s="4"/>
      <c r="AX885" s="4"/>
      <c r="AY885" s="4"/>
      <c r="AZ885" s="4"/>
      <c r="BA885" s="4"/>
      <c r="BB885" s="4"/>
      <c r="BC885" s="4"/>
      <c r="BD885" s="4"/>
      <c r="BE885" s="4"/>
      <c r="BF885" s="4"/>
    </row>
    <row r="886" spans="1:58">
      <c r="A886" s="4"/>
      <c r="B886" s="3"/>
      <c r="C886" s="3"/>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5"/>
      <c r="AR886" s="4"/>
      <c r="AS886" s="4"/>
      <c r="AT886" s="4"/>
      <c r="AU886" s="4"/>
      <c r="AV886" s="4"/>
      <c r="AW886" s="4"/>
      <c r="AX886" s="4"/>
      <c r="AY886" s="4"/>
      <c r="AZ886" s="4"/>
      <c r="BA886" s="4"/>
      <c r="BB886" s="4"/>
      <c r="BC886" s="4"/>
      <c r="BD886" s="4"/>
      <c r="BE886" s="4"/>
      <c r="BF886" s="4"/>
    </row>
    <row r="887" spans="1:58">
      <c r="A887" s="4"/>
      <c r="B887" s="3"/>
      <c r="C887" s="3"/>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5"/>
      <c r="AR887" s="4"/>
      <c r="AS887" s="4"/>
      <c r="AT887" s="4"/>
      <c r="AU887" s="4"/>
      <c r="AV887" s="4"/>
      <c r="AW887" s="4"/>
      <c r="AX887" s="4"/>
      <c r="AY887" s="4"/>
      <c r="AZ887" s="4"/>
      <c r="BA887" s="4"/>
      <c r="BB887" s="4"/>
      <c r="BC887" s="4"/>
      <c r="BD887" s="4"/>
      <c r="BE887" s="4"/>
      <c r="BF887" s="4"/>
    </row>
    <row r="888" spans="1:58">
      <c r="A888" s="4"/>
      <c r="B888" s="3"/>
      <c r="C888" s="3"/>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5"/>
      <c r="AR888" s="4"/>
      <c r="AS888" s="4"/>
      <c r="AT888" s="4"/>
      <c r="AU888" s="4"/>
      <c r="AV888" s="4"/>
      <c r="AW888" s="4"/>
      <c r="AX888" s="4"/>
      <c r="AY888" s="4"/>
      <c r="AZ888" s="4"/>
      <c r="BA888" s="4"/>
      <c r="BB888" s="4"/>
      <c r="BC888" s="4"/>
      <c r="BD888" s="4"/>
      <c r="BE888" s="4"/>
      <c r="BF888" s="4"/>
    </row>
    <row r="889" spans="1:58">
      <c r="A889" s="4"/>
      <c r="B889" s="3"/>
      <c r="C889" s="3"/>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5"/>
      <c r="AR889" s="4"/>
      <c r="AS889" s="4"/>
      <c r="AT889" s="4"/>
      <c r="AU889" s="4"/>
      <c r="AV889" s="4"/>
      <c r="AW889" s="4"/>
      <c r="AX889" s="4"/>
      <c r="AY889" s="4"/>
      <c r="AZ889" s="4"/>
      <c r="BA889" s="4"/>
      <c r="BB889" s="4"/>
      <c r="BC889" s="4"/>
      <c r="BD889" s="4"/>
      <c r="BE889" s="4"/>
      <c r="BF889" s="4"/>
    </row>
    <row r="890" spans="1:58">
      <c r="A890" s="4"/>
      <c r="B890" s="3"/>
      <c r="C890" s="3"/>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5"/>
      <c r="AR890" s="4"/>
      <c r="AS890" s="4"/>
      <c r="AT890" s="4"/>
      <c r="AU890" s="4"/>
      <c r="AV890" s="4"/>
      <c r="AW890" s="4"/>
      <c r="AX890" s="4"/>
      <c r="AY890" s="4"/>
      <c r="AZ890" s="4"/>
      <c r="BA890" s="4"/>
      <c r="BB890" s="4"/>
      <c r="BC890" s="4"/>
      <c r="BD890" s="4"/>
      <c r="BE890" s="4"/>
      <c r="BF890" s="4"/>
    </row>
    <row r="891" spans="1:58">
      <c r="A891" s="4"/>
      <c r="B891" s="3"/>
      <c r="C891" s="3"/>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5"/>
      <c r="AR891" s="4"/>
      <c r="AS891" s="4"/>
      <c r="AT891" s="4"/>
      <c r="AU891" s="4"/>
      <c r="AV891" s="4"/>
      <c r="AW891" s="4"/>
      <c r="AX891" s="4"/>
      <c r="AY891" s="4"/>
      <c r="AZ891" s="4"/>
      <c r="BA891" s="4"/>
      <c r="BB891" s="4"/>
      <c r="BC891" s="4"/>
      <c r="BD891" s="4"/>
      <c r="BE891" s="4"/>
      <c r="BF891" s="4"/>
    </row>
    <row r="892" spans="1:58">
      <c r="A892" s="4"/>
      <c r="B892" s="3"/>
      <c r="C892" s="3"/>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5"/>
      <c r="AR892" s="4"/>
      <c r="AS892" s="4"/>
      <c r="AT892" s="4"/>
      <c r="AU892" s="4"/>
      <c r="AV892" s="4"/>
      <c r="AW892" s="4"/>
      <c r="AX892" s="4"/>
      <c r="AY892" s="4"/>
      <c r="AZ892" s="4"/>
      <c r="BA892" s="4"/>
      <c r="BB892" s="4"/>
      <c r="BC892" s="4"/>
      <c r="BD892" s="4"/>
      <c r="BE892" s="4"/>
      <c r="BF892" s="4"/>
    </row>
    <row r="893" spans="1:58">
      <c r="A893" s="4"/>
      <c r="B893" s="3"/>
      <c r="C893" s="3"/>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5"/>
      <c r="AR893" s="4"/>
      <c r="AS893" s="4"/>
      <c r="AT893" s="4"/>
      <c r="AU893" s="4"/>
      <c r="AV893" s="4"/>
      <c r="AW893" s="4"/>
      <c r="AX893" s="4"/>
      <c r="AY893" s="4"/>
      <c r="AZ893" s="4"/>
      <c r="BA893" s="4"/>
      <c r="BB893" s="4"/>
      <c r="BC893" s="4"/>
      <c r="BD893" s="4"/>
      <c r="BE893" s="4"/>
      <c r="BF893" s="4"/>
    </row>
    <row r="894" spans="1:58">
      <c r="A894" s="4"/>
      <c r="B894" s="3"/>
      <c r="C894" s="3"/>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5"/>
      <c r="AR894" s="4"/>
      <c r="AS894" s="4"/>
      <c r="AT894" s="4"/>
      <c r="AU894" s="4"/>
      <c r="AV894" s="4"/>
      <c r="AW894" s="4"/>
      <c r="AX894" s="4"/>
      <c r="AY894" s="4"/>
      <c r="AZ894" s="4"/>
      <c r="BA894" s="4"/>
      <c r="BB894" s="4"/>
      <c r="BC894" s="4"/>
      <c r="BD894" s="4"/>
      <c r="BE894" s="4"/>
      <c r="BF894" s="4"/>
    </row>
    <row r="895" spans="1:58">
      <c r="A895" s="4"/>
      <c r="B895" s="3"/>
      <c r="C895" s="3"/>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5"/>
      <c r="AR895" s="4"/>
      <c r="AS895" s="4"/>
      <c r="AT895" s="4"/>
      <c r="AU895" s="4"/>
      <c r="AV895" s="4"/>
      <c r="AW895" s="4"/>
      <c r="AX895" s="4"/>
      <c r="AY895" s="4"/>
      <c r="AZ895" s="4"/>
      <c r="BA895" s="4"/>
      <c r="BB895" s="4"/>
      <c r="BC895" s="4"/>
      <c r="BD895" s="4"/>
      <c r="BE895" s="4"/>
      <c r="BF895" s="4"/>
    </row>
    <row r="896" spans="1:58">
      <c r="A896" s="4"/>
      <c r="B896" s="3"/>
      <c r="C896" s="3"/>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5"/>
      <c r="AR896" s="4"/>
      <c r="AS896" s="4"/>
      <c r="AT896" s="4"/>
      <c r="AU896" s="4"/>
      <c r="AV896" s="4"/>
      <c r="AW896" s="4"/>
      <c r="AX896" s="4"/>
      <c r="AY896" s="4"/>
      <c r="AZ896" s="4"/>
      <c r="BA896" s="4"/>
      <c r="BB896" s="4"/>
      <c r="BC896" s="4"/>
      <c r="BD896" s="4"/>
      <c r="BE896" s="4"/>
      <c r="BF896" s="4"/>
    </row>
    <row r="897" spans="1:58">
      <c r="A897" s="4"/>
      <c r="B897" s="3"/>
      <c r="C897" s="3"/>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5"/>
      <c r="AR897" s="4"/>
      <c r="AS897" s="4"/>
      <c r="AT897" s="4"/>
      <c r="AU897" s="4"/>
      <c r="AV897" s="4"/>
      <c r="AW897" s="4"/>
      <c r="AX897" s="4"/>
      <c r="AY897" s="4"/>
      <c r="AZ897" s="4"/>
      <c r="BA897" s="4"/>
      <c r="BB897" s="4"/>
      <c r="BC897" s="4"/>
      <c r="BD897" s="4"/>
      <c r="BE897" s="4"/>
      <c r="BF897" s="4"/>
    </row>
    <row r="898" spans="1:58">
      <c r="A898" s="4"/>
      <c r="B898" s="3"/>
      <c r="C898" s="3"/>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5"/>
      <c r="AR898" s="4"/>
      <c r="AS898" s="4"/>
      <c r="AT898" s="4"/>
      <c r="AU898" s="4"/>
      <c r="AV898" s="4"/>
      <c r="AW898" s="4"/>
      <c r="AX898" s="4"/>
      <c r="AY898" s="4"/>
      <c r="AZ898" s="4"/>
      <c r="BA898" s="4"/>
      <c r="BB898" s="4"/>
      <c r="BC898" s="4"/>
      <c r="BD898" s="4"/>
      <c r="BE898" s="4"/>
      <c r="BF898" s="4"/>
    </row>
    <row r="899" spans="1:58">
      <c r="A899" s="4"/>
      <c r="B899" s="3"/>
      <c r="C899" s="3"/>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5"/>
      <c r="AR899" s="4"/>
      <c r="AS899" s="4"/>
      <c r="AT899" s="4"/>
      <c r="AU899" s="4"/>
      <c r="AV899" s="4"/>
      <c r="AW899" s="4"/>
      <c r="AX899" s="4"/>
      <c r="AY899" s="4"/>
      <c r="AZ899" s="4"/>
      <c r="BA899" s="4"/>
      <c r="BB899" s="4"/>
      <c r="BC899" s="4"/>
      <c r="BD899" s="4"/>
      <c r="BE899" s="4"/>
      <c r="BF899" s="4"/>
    </row>
    <row r="900" spans="1:58">
      <c r="A900" s="4"/>
      <c r="B900" s="3"/>
      <c r="C900" s="3"/>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5"/>
      <c r="AR900" s="4"/>
      <c r="AS900" s="4"/>
      <c r="AT900" s="4"/>
      <c r="AU900" s="4"/>
      <c r="AV900" s="4"/>
      <c r="AW900" s="4"/>
      <c r="AX900" s="4"/>
      <c r="AY900" s="4"/>
      <c r="AZ900" s="4"/>
      <c r="BA900" s="4"/>
      <c r="BB900" s="4"/>
      <c r="BC900" s="4"/>
      <c r="BD900" s="4"/>
      <c r="BE900" s="4"/>
      <c r="BF900" s="4"/>
    </row>
    <row r="901" spans="1:58">
      <c r="A901" s="4"/>
      <c r="B901" s="3"/>
      <c r="C901" s="3"/>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5"/>
      <c r="AR901" s="4"/>
      <c r="AS901" s="4"/>
      <c r="AT901" s="4"/>
      <c r="AU901" s="4"/>
      <c r="AV901" s="4"/>
      <c r="AW901" s="4"/>
      <c r="AX901" s="4"/>
      <c r="AY901" s="4"/>
      <c r="AZ901" s="4"/>
      <c r="BA901" s="4"/>
      <c r="BB901" s="4"/>
      <c r="BC901" s="4"/>
      <c r="BD901" s="4"/>
      <c r="BE901" s="4"/>
      <c r="BF901" s="4"/>
    </row>
    <row r="902" spans="1:58">
      <c r="A902" s="4"/>
      <c r="B902" s="3"/>
      <c r="C902" s="3"/>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5"/>
      <c r="AR902" s="4"/>
      <c r="AS902" s="4"/>
      <c r="AT902" s="4"/>
      <c r="AU902" s="4"/>
      <c r="AV902" s="4"/>
      <c r="AW902" s="4"/>
      <c r="AX902" s="4"/>
      <c r="AY902" s="4"/>
      <c r="AZ902" s="4"/>
      <c r="BA902" s="4"/>
      <c r="BB902" s="4"/>
      <c r="BC902" s="4"/>
      <c r="BD902" s="4"/>
      <c r="BE902" s="4"/>
      <c r="BF902" s="4"/>
    </row>
    <row r="903" spans="1:58">
      <c r="A903" s="4"/>
      <c r="B903" s="3"/>
      <c r="C903" s="3"/>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5"/>
      <c r="AR903" s="4"/>
      <c r="AS903" s="4"/>
      <c r="AT903" s="4"/>
      <c r="AU903" s="4"/>
      <c r="AV903" s="4"/>
      <c r="AW903" s="4"/>
      <c r="AX903" s="4"/>
      <c r="AY903" s="4"/>
      <c r="AZ903" s="4"/>
      <c r="BA903" s="4"/>
      <c r="BB903" s="4"/>
      <c r="BC903" s="4"/>
      <c r="BD903" s="4"/>
      <c r="BE903" s="4"/>
      <c r="BF903" s="4"/>
    </row>
    <row r="904" spans="1:58">
      <c r="A904" s="4"/>
      <c r="B904" s="3"/>
      <c r="C904" s="3"/>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5"/>
      <c r="AR904" s="4"/>
      <c r="AS904" s="4"/>
      <c r="AT904" s="4"/>
      <c r="AU904" s="4"/>
      <c r="AV904" s="4"/>
      <c r="AW904" s="4"/>
      <c r="AX904" s="4"/>
      <c r="AY904" s="4"/>
      <c r="AZ904" s="4"/>
      <c r="BA904" s="4"/>
      <c r="BB904" s="4"/>
      <c r="BC904" s="4"/>
      <c r="BD904" s="4"/>
      <c r="BE904" s="4"/>
      <c r="BF904" s="4"/>
    </row>
    <row r="905" spans="1:58">
      <c r="A905" s="4"/>
      <c r="B905" s="3"/>
      <c r="C905" s="3"/>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5"/>
      <c r="AR905" s="4"/>
      <c r="AS905" s="4"/>
      <c r="AT905" s="4"/>
      <c r="AU905" s="4"/>
      <c r="AV905" s="4"/>
      <c r="AW905" s="4"/>
      <c r="AX905" s="4"/>
      <c r="AY905" s="4"/>
      <c r="AZ905" s="4"/>
      <c r="BA905" s="4"/>
      <c r="BB905" s="4"/>
      <c r="BC905" s="4"/>
      <c r="BD905" s="4"/>
      <c r="BE905" s="4"/>
      <c r="BF905" s="4"/>
    </row>
    <row r="906" spans="1:58">
      <c r="A906" s="4"/>
      <c r="B906" s="3"/>
      <c r="C906" s="3"/>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5"/>
      <c r="AR906" s="4"/>
      <c r="AS906" s="4"/>
      <c r="AT906" s="4"/>
      <c r="AU906" s="4"/>
      <c r="AV906" s="4"/>
      <c r="AW906" s="4"/>
      <c r="AX906" s="4"/>
      <c r="AY906" s="4"/>
      <c r="AZ906" s="4"/>
      <c r="BA906" s="4"/>
      <c r="BB906" s="4"/>
      <c r="BC906" s="4"/>
      <c r="BD906" s="4"/>
      <c r="BE906" s="4"/>
      <c r="BF906" s="4"/>
    </row>
    <row r="907" spans="1:58">
      <c r="A907" s="4"/>
      <c r="B907" s="3"/>
      <c r="C907" s="3"/>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5"/>
      <c r="AR907" s="4"/>
      <c r="AS907" s="4"/>
      <c r="AT907" s="4"/>
      <c r="AU907" s="4"/>
      <c r="AV907" s="4"/>
      <c r="AW907" s="4"/>
      <c r="AX907" s="4"/>
      <c r="AY907" s="4"/>
      <c r="AZ907" s="4"/>
      <c r="BA907" s="4"/>
      <c r="BB907" s="4"/>
      <c r="BC907" s="4"/>
      <c r="BD907" s="4"/>
      <c r="BE907" s="4"/>
      <c r="BF907" s="4"/>
    </row>
    <row r="908" spans="1:58">
      <c r="A908" s="4"/>
      <c r="B908" s="3"/>
      <c r="C908" s="3"/>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5"/>
      <c r="AR908" s="4"/>
      <c r="AS908" s="4"/>
      <c r="AT908" s="4"/>
      <c r="AU908" s="4"/>
      <c r="AV908" s="4"/>
      <c r="AW908" s="4"/>
      <c r="AX908" s="4"/>
      <c r="AY908" s="4"/>
      <c r="AZ908" s="4"/>
      <c r="BA908" s="4"/>
      <c r="BB908" s="4"/>
      <c r="BC908" s="4"/>
      <c r="BD908" s="4"/>
      <c r="BE908" s="4"/>
      <c r="BF908" s="4"/>
    </row>
    <row r="909" spans="1:58">
      <c r="A909" s="4"/>
      <c r="B909" s="3"/>
      <c r="C909" s="3"/>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5"/>
      <c r="AR909" s="4"/>
      <c r="AS909" s="4"/>
      <c r="AT909" s="4"/>
      <c r="AU909" s="4"/>
      <c r="AV909" s="4"/>
      <c r="AW909" s="4"/>
      <c r="AX909" s="4"/>
      <c r="AY909" s="4"/>
      <c r="AZ909" s="4"/>
      <c r="BA909" s="4"/>
      <c r="BB909" s="4"/>
      <c r="BC909" s="4"/>
      <c r="BD909" s="4"/>
      <c r="BE909" s="4"/>
      <c r="BF909" s="4"/>
    </row>
    <row r="910" spans="1:58">
      <c r="A910" s="4"/>
      <c r="B910" s="3"/>
      <c r="C910" s="3"/>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5"/>
      <c r="AR910" s="4"/>
      <c r="AS910" s="4"/>
      <c r="AT910" s="4"/>
      <c r="AU910" s="4"/>
      <c r="AV910" s="4"/>
      <c r="AW910" s="4"/>
      <c r="AX910" s="4"/>
      <c r="AY910" s="4"/>
      <c r="AZ910" s="4"/>
      <c r="BA910" s="4"/>
      <c r="BB910" s="4"/>
      <c r="BC910" s="4"/>
      <c r="BD910" s="4"/>
      <c r="BE910" s="4"/>
      <c r="BF910" s="4"/>
    </row>
    <row r="911" spans="1:58">
      <c r="A911" s="4"/>
      <c r="B911" s="3"/>
      <c r="C911" s="3"/>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5"/>
      <c r="AR911" s="4"/>
      <c r="AS911" s="4"/>
      <c r="AT911" s="4"/>
      <c r="AU911" s="4"/>
      <c r="AV911" s="4"/>
      <c r="AW911" s="4"/>
      <c r="AX911" s="4"/>
      <c r="AY911" s="4"/>
      <c r="AZ911" s="4"/>
      <c r="BA911" s="4"/>
      <c r="BB911" s="4"/>
      <c r="BC911" s="4"/>
      <c r="BD911" s="4"/>
      <c r="BE911" s="4"/>
      <c r="BF911" s="4"/>
    </row>
    <row r="912" spans="1:58">
      <c r="A912" s="4"/>
      <c r="B912" s="3"/>
      <c r="C912" s="3"/>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5"/>
      <c r="AR912" s="4"/>
      <c r="AS912" s="4"/>
      <c r="AT912" s="4"/>
      <c r="AU912" s="4"/>
      <c r="AV912" s="4"/>
      <c r="AW912" s="4"/>
      <c r="AX912" s="4"/>
      <c r="AY912" s="4"/>
      <c r="AZ912" s="4"/>
      <c r="BA912" s="4"/>
      <c r="BB912" s="4"/>
      <c r="BC912" s="4"/>
      <c r="BD912" s="4"/>
      <c r="BE912" s="4"/>
      <c r="BF912" s="4"/>
    </row>
    <row r="913" spans="1:58">
      <c r="A913" s="4"/>
      <c r="B913" s="3"/>
      <c r="C913" s="3"/>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5"/>
      <c r="AR913" s="4"/>
      <c r="AS913" s="4"/>
      <c r="AT913" s="4"/>
      <c r="AU913" s="4"/>
      <c r="AV913" s="4"/>
      <c r="AW913" s="4"/>
      <c r="AX913" s="4"/>
      <c r="AY913" s="4"/>
      <c r="AZ913" s="4"/>
      <c r="BA913" s="4"/>
      <c r="BB913" s="4"/>
      <c r="BC913" s="4"/>
      <c r="BD913" s="4"/>
      <c r="BE913" s="4"/>
      <c r="BF913" s="4"/>
    </row>
    <row r="914" spans="1:58">
      <c r="A914" s="4"/>
      <c r="B914" s="3"/>
      <c r="C914" s="3"/>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5"/>
      <c r="AR914" s="4"/>
      <c r="AS914" s="4"/>
      <c r="AT914" s="4"/>
      <c r="AU914" s="4"/>
      <c r="AV914" s="4"/>
      <c r="AW914" s="4"/>
      <c r="AX914" s="4"/>
      <c r="AY914" s="4"/>
      <c r="AZ914" s="4"/>
      <c r="BA914" s="4"/>
      <c r="BB914" s="4"/>
      <c r="BC914" s="4"/>
      <c r="BD914" s="4"/>
      <c r="BE914" s="4"/>
      <c r="BF914" s="4"/>
    </row>
    <row r="915" spans="1:58">
      <c r="A915" s="4"/>
      <c r="B915" s="3"/>
      <c r="C915" s="3"/>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5"/>
      <c r="AR915" s="4"/>
      <c r="AS915" s="4"/>
      <c r="AT915" s="4"/>
      <c r="AU915" s="4"/>
      <c r="AV915" s="4"/>
      <c r="AW915" s="4"/>
      <c r="AX915" s="4"/>
      <c r="AY915" s="4"/>
      <c r="AZ915" s="4"/>
      <c r="BA915" s="4"/>
      <c r="BB915" s="4"/>
      <c r="BC915" s="4"/>
      <c r="BD915" s="4"/>
      <c r="BE915" s="4"/>
      <c r="BF915" s="4"/>
    </row>
  </sheetData>
  <mergeCells count="53">
    <mergeCell ref="C64:C65"/>
    <mergeCell ref="D64:D65"/>
    <mergeCell ref="B57:B61"/>
    <mergeCell ref="C57:C61"/>
    <mergeCell ref="D57:D61"/>
    <mergeCell ref="B62:B63"/>
    <mergeCell ref="C62:C63"/>
    <mergeCell ref="D62:D63"/>
    <mergeCell ref="B64:B65"/>
    <mergeCell ref="B1:N1"/>
    <mergeCell ref="B3:BF3"/>
    <mergeCell ref="B6:B10"/>
    <mergeCell ref="C6:C10"/>
    <mergeCell ref="D6:D10"/>
    <mergeCell ref="C11:C14"/>
    <mergeCell ref="D11:D14"/>
    <mergeCell ref="B11:B14"/>
    <mergeCell ref="B15:B23"/>
    <mergeCell ref="C15:C23"/>
    <mergeCell ref="D15:D23"/>
    <mergeCell ref="B24:B26"/>
    <mergeCell ref="C24:C26"/>
    <mergeCell ref="D24:D26"/>
    <mergeCell ref="C32:C33"/>
    <mergeCell ref="D32:D33"/>
    <mergeCell ref="B27:B28"/>
    <mergeCell ref="C27:C28"/>
    <mergeCell ref="D27:D28"/>
    <mergeCell ref="B29:B31"/>
    <mergeCell ref="C29:C31"/>
    <mergeCell ref="D29:D31"/>
    <mergeCell ref="B32:B33"/>
    <mergeCell ref="B34:B38"/>
    <mergeCell ref="C34:C38"/>
    <mergeCell ref="D34:D38"/>
    <mergeCell ref="B39:B40"/>
    <mergeCell ref="C39:C40"/>
    <mergeCell ref="D39:D40"/>
    <mergeCell ref="B54:B56"/>
    <mergeCell ref="C54:C56"/>
    <mergeCell ref="D54:D56"/>
    <mergeCell ref="C41:C43"/>
    <mergeCell ref="D41:D43"/>
    <mergeCell ref="B41:B43"/>
    <mergeCell ref="C49:C53"/>
    <mergeCell ref="D49:D53"/>
    <mergeCell ref="B44:B46"/>
    <mergeCell ref="C44:C46"/>
    <mergeCell ref="D44:D46"/>
    <mergeCell ref="B47:B48"/>
    <mergeCell ref="C47:C48"/>
    <mergeCell ref="D47:D48"/>
    <mergeCell ref="B49:B53"/>
  </mergeCells>
  <pageMargins left="0" right="0" top="0" bottom="0" header="0" footer="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BH985"/>
  <sheetViews>
    <sheetView showGridLines="0" workbookViewId="0">
      <pane ySplit="1" topLeftCell="A3" activePane="bottomLeft" state="frozen"/>
      <selection pane="bottomLeft" activeCell="I3" sqref="I3"/>
    </sheetView>
  </sheetViews>
  <sheetFormatPr defaultColWidth="12.5703125" defaultRowHeight="15.75" customHeight="1" outlineLevelRow="2"/>
  <cols>
    <col min="1" max="1" width="5.42578125" customWidth="1"/>
    <col min="4" max="4" width="13.140625" customWidth="1"/>
    <col min="12" max="21" width="10.140625" customWidth="1"/>
    <col min="45" max="45" width="4.42578125" customWidth="1"/>
    <col min="46" max="46" width="12.85546875" customWidth="1"/>
    <col min="47" max="47" width="13.42578125" customWidth="1"/>
    <col min="48" max="48" width="7.7109375" customWidth="1"/>
    <col min="49" max="49" width="5.42578125" customWidth="1"/>
    <col min="50" max="50" width="4.85546875" customWidth="1"/>
    <col min="51" max="51" width="8" customWidth="1"/>
    <col min="52" max="52" width="4.85546875" customWidth="1"/>
    <col min="53" max="53" width="12.7109375" customWidth="1"/>
    <col min="54" max="54" width="13.42578125" customWidth="1"/>
    <col min="55" max="55" width="30.7109375" customWidth="1"/>
    <col min="56" max="56" width="12.85546875" customWidth="1"/>
    <col min="57" max="57" width="8.42578125" customWidth="1"/>
    <col min="58" max="58" width="11.5703125" customWidth="1"/>
    <col min="59" max="59" width="9.42578125" customWidth="1"/>
    <col min="60" max="60" width="4.42578125" customWidth="1"/>
  </cols>
  <sheetData>
    <row r="1" spans="1:60">
      <c r="A1" s="4"/>
      <c r="B1" s="2"/>
      <c r="C1" s="662" t="s">
        <v>499</v>
      </c>
      <c r="D1" s="769"/>
      <c r="E1" s="769"/>
      <c r="F1" s="769"/>
      <c r="G1" s="769"/>
      <c r="H1" s="769"/>
      <c r="I1" s="769"/>
      <c r="J1" s="769"/>
      <c r="K1" s="769"/>
      <c r="L1" s="769"/>
      <c r="M1" s="769"/>
      <c r="N1" s="769"/>
      <c r="O1" s="769"/>
      <c r="P1" s="769"/>
      <c r="Q1" s="4"/>
      <c r="R1" s="4"/>
      <c r="S1" s="4"/>
      <c r="T1" s="4"/>
      <c r="U1" s="4"/>
      <c r="V1" s="4"/>
      <c r="W1" s="4"/>
      <c r="X1" s="4"/>
      <c r="Y1" s="4"/>
      <c r="Z1" s="4"/>
      <c r="AA1" s="4"/>
      <c r="AB1" s="4"/>
      <c r="AC1" s="4"/>
      <c r="AD1" s="4"/>
      <c r="AE1" s="4"/>
      <c r="AF1" s="4"/>
      <c r="AG1" s="4"/>
      <c r="AH1" s="4"/>
      <c r="AI1" s="4"/>
      <c r="AJ1" s="4"/>
      <c r="AK1" s="4"/>
      <c r="AL1" s="4"/>
      <c r="AM1" s="4"/>
      <c r="AN1" s="4"/>
      <c r="AO1" s="4"/>
      <c r="AP1" s="4"/>
      <c r="AQ1" s="4"/>
      <c r="AR1" s="4"/>
      <c r="AS1" s="5"/>
      <c r="AT1" s="4"/>
      <c r="AU1" s="4"/>
      <c r="AV1" s="4"/>
      <c r="AW1" s="4"/>
      <c r="AX1" s="4"/>
      <c r="AY1" s="4"/>
      <c r="AZ1" s="4"/>
      <c r="BA1" s="4"/>
      <c r="BB1" s="4"/>
      <c r="BC1" s="4"/>
      <c r="BD1" s="4"/>
      <c r="BE1" s="4"/>
      <c r="BF1" s="4"/>
      <c r="BG1" s="4"/>
      <c r="BH1" s="4"/>
    </row>
    <row r="2" spans="1:60">
      <c r="A2" s="4"/>
      <c r="B2" s="3"/>
      <c r="C2" s="3"/>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5"/>
      <c r="AT2" s="4"/>
      <c r="AU2" s="4"/>
      <c r="AV2" s="4"/>
      <c r="AW2" s="4"/>
      <c r="AX2" s="4"/>
      <c r="AY2" s="4"/>
      <c r="AZ2" s="4"/>
      <c r="BA2" s="4"/>
      <c r="BB2" s="4"/>
      <c r="BC2" s="4"/>
      <c r="BD2" s="4"/>
      <c r="BE2" s="4"/>
      <c r="BF2" s="4"/>
      <c r="BG2" s="4"/>
      <c r="BH2" s="4"/>
    </row>
    <row r="3" spans="1:60">
      <c r="A3" s="4"/>
      <c r="B3" s="3"/>
      <c r="C3" s="3"/>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5"/>
      <c r="AT3" s="4"/>
      <c r="AU3" s="4"/>
      <c r="AV3" s="4"/>
      <c r="AW3" s="4"/>
      <c r="AX3" s="4"/>
      <c r="AY3" s="4"/>
      <c r="AZ3" s="4"/>
      <c r="BA3" s="4"/>
      <c r="BB3" s="4"/>
      <c r="BC3" s="4"/>
      <c r="BD3" s="4"/>
      <c r="BE3" s="4"/>
      <c r="BF3" s="4"/>
      <c r="BG3" s="4"/>
      <c r="BH3" s="4"/>
    </row>
    <row r="4" spans="1:60">
      <c r="A4" s="4"/>
      <c r="B4" s="673" t="s">
        <v>574</v>
      </c>
      <c r="C4" s="112"/>
      <c r="D4" s="113" t="s">
        <v>479</v>
      </c>
      <c r="E4" s="113" t="s">
        <v>557</v>
      </c>
      <c r="F4" s="113" t="s">
        <v>558</v>
      </c>
      <c r="G4" s="113" t="s">
        <v>484</v>
      </c>
      <c r="H4" s="113" t="s">
        <v>559</v>
      </c>
      <c r="I4" s="113" t="s">
        <v>486</v>
      </c>
      <c r="J4" s="114"/>
      <c r="K4" s="114"/>
      <c r="L4" s="115"/>
      <c r="M4" s="115"/>
      <c r="N4" s="4"/>
      <c r="O4" s="509"/>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5"/>
      <c r="AT4" s="4"/>
      <c r="AU4" s="4"/>
      <c r="AV4" s="4"/>
      <c r="AW4" s="4"/>
      <c r="AX4" s="4"/>
      <c r="AY4" s="4"/>
      <c r="AZ4" s="4"/>
      <c r="BA4" s="4"/>
      <c r="BB4" s="4"/>
      <c r="BC4" s="4"/>
      <c r="BD4" s="4"/>
      <c r="BE4" s="4"/>
      <c r="BF4" s="4"/>
      <c r="BG4" s="4"/>
      <c r="BH4" s="4"/>
    </row>
    <row r="5" spans="1:60">
      <c r="A5" s="4"/>
      <c r="B5" s="773"/>
      <c r="C5" s="116">
        <v>2024</v>
      </c>
      <c r="D5" s="100">
        <v>0</v>
      </c>
      <c r="E5" s="100">
        <v>0</v>
      </c>
      <c r="F5" s="510">
        <v>0</v>
      </c>
      <c r="G5" s="100">
        <v>0</v>
      </c>
      <c r="H5" s="100">
        <v>0</v>
      </c>
      <c r="I5" s="100">
        <v>0</v>
      </c>
      <c r="J5" s="511"/>
      <c r="K5" s="511"/>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5"/>
      <c r="AT5" s="4"/>
      <c r="AU5" s="4"/>
      <c r="AV5" s="4"/>
      <c r="AW5" s="4"/>
      <c r="AX5" s="4"/>
      <c r="AY5" s="4"/>
      <c r="AZ5" s="4"/>
      <c r="BA5" s="4"/>
      <c r="BB5" s="4"/>
      <c r="BC5" s="4"/>
      <c r="BD5" s="4"/>
      <c r="BE5" s="4"/>
      <c r="BF5" s="4"/>
      <c r="BG5" s="4"/>
      <c r="BH5" s="4"/>
    </row>
    <row r="6" spans="1:60" outlineLevel="2">
      <c r="A6" s="4"/>
      <c r="B6" s="674" t="s">
        <v>575</v>
      </c>
      <c r="C6" s="116" t="s">
        <v>501</v>
      </c>
      <c r="D6" s="100">
        <v>25</v>
      </c>
      <c r="E6" s="100">
        <v>0</v>
      </c>
      <c r="F6" s="510">
        <v>0</v>
      </c>
      <c r="G6" s="100">
        <v>0</v>
      </c>
      <c r="H6" s="100">
        <v>0</v>
      </c>
      <c r="I6" s="100">
        <v>0</v>
      </c>
      <c r="J6" s="511"/>
      <c r="K6" s="511"/>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5"/>
      <c r="AT6" s="4"/>
      <c r="AU6" s="4"/>
      <c r="AV6" s="4"/>
      <c r="AW6" s="4"/>
      <c r="AX6" s="4"/>
      <c r="AY6" s="4"/>
      <c r="AZ6" s="4"/>
      <c r="BA6" s="4"/>
      <c r="BB6" s="4"/>
      <c r="BC6" s="4"/>
      <c r="BD6" s="4"/>
      <c r="BE6" s="4"/>
      <c r="BF6" s="4"/>
      <c r="BG6" s="4"/>
      <c r="BH6" s="4"/>
    </row>
    <row r="7" spans="1:60" outlineLevel="2">
      <c r="A7" s="4"/>
      <c r="B7" s="774"/>
      <c r="C7" s="116" t="s">
        <v>502</v>
      </c>
      <c r="D7" s="100">
        <v>50</v>
      </c>
      <c r="E7" s="100">
        <v>0</v>
      </c>
      <c r="F7" s="510">
        <v>0</v>
      </c>
      <c r="G7" s="100">
        <v>0</v>
      </c>
      <c r="H7" s="100">
        <v>0</v>
      </c>
      <c r="I7" s="100">
        <v>0</v>
      </c>
      <c r="J7" s="511"/>
      <c r="K7" s="511"/>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5"/>
      <c r="AT7" s="4"/>
      <c r="AU7" s="4"/>
      <c r="AV7" s="4"/>
      <c r="AW7" s="4"/>
      <c r="AX7" s="4"/>
      <c r="AY7" s="4"/>
      <c r="AZ7" s="4"/>
      <c r="BA7" s="4"/>
      <c r="BB7" s="4"/>
      <c r="BC7" s="4"/>
      <c r="BD7" s="4"/>
      <c r="BE7" s="4"/>
      <c r="BF7" s="4"/>
      <c r="BG7" s="4"/>
      <c r="BH7" s="4"/>
    </row>
    <row r="8" spans="1:60" outlineLevel="2">
      <c r="A8" s="4"/>
      <c r="B8" s="774"/>
      <c r="C8" s="116" t="s">
        <v>503</v>
      </c>
      <c r="D8" s="100">
        <v>75</v>
      </c>
      <c r="E8" s="100">
        <v>0</v>
      </c>
      <c r="F8" s="510">
        <v>0</v>
      </c>
      <c r="G8" s="100">
        <v>0</v>
      </c>
      <c r="H8" s="100">
        <v>0</v>
      </c>
      <c r="I8" s="100">
        <v>0</v>
      </c>
      <c r="J8" s="511"/>
      <c r="K8" s="511"/>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5"/>
      <c r="AT8" s="4"/>
      <c r="AU8" s="4"/>
      <c r="AV8" s="4"/>
      <c r="AW8" s="4"/>
      <c r="AX8" s="4"/>
      <c r="AY8" s="4"/>
      <c r="AZ8" s="4"/>
      <c r="BA8" s="4"/>
      <c r="BB8" s="4"/>
      <c r="BC8" s="4"/>
      <c r="BD8" s="4"/>
      <c r="BE8" s="4"/>
      <c r="BF8" s="4"/>
      <c r="BG8" s="4"/>
      <c r="BH8" s="4"/>
    </row>
    <row r="9" spans="1:60" outlineLevel="2">
      <c r="A9" s="4"/>
      <c r="B9" s="774"/>
      <c r="C9" s="116" t="s">
        <v>504</v>
      </c>
      <c r="D9" s="100">
        <v>25</v>
      </c>
      <c r="E9" s="100">
        <v>0</v>
      </c>
      <c r="F9" s="510">
        <v>0</v>
      </c>
      <c r="G9" s="100">
        <v>0</v>
      </c>
      <c r="H9" s="100">
        <v>0</v>
      </c>
      <c r="I9" s="100">
        <v>0</v>
      </c>
      <c r="J9" s="511"/>
      <c r="K9" s="511"/>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5"/>
      <c r="AT9" s="4"/>
      <c r="AU9" s="4"/>
      <c r="AV9" s="4"/>
      <c r="AW9" s="4"/>
      <c r="AX9" s="4"/>
      <c r="AY9" s="4"/>
      <c r="AZ9" s="4"/>
      <c r="BA9" s="4"/>
      <c r="BB9" s="4"/>
      <c r="BC9" s="4"/>
      <c r="BD9" s="4"/>
      <c r="BE9" s="4"/>
      <c r="BF9" s="4"/>
      <c r="BG9" s="4"/>
      <c r="BH9" s="4"/>
    </row>
    <row r="10" spans="1:60" outlineLevel="2">
      <c r="A10" s="4"/>
      <c r="B10" s="773"/>
      <c r="C10" s="116" t="s">
        <v>505</v>
      </c>
      <c r="D10" s="100">
        <v>50</v>
      </c>
      <c r="E10" s="100">
        <v>0</v>
      </c>
      <c r="F10" s="510">
        <v>0</v>
      </c>
      <c r="G10" s="100">
        <v>0</v>
      </c>
      <c r="H10" s="100">
        <v>0</v>
      </c>
      <c r="I10" s="100">
        <v>0</v>
      </c>
      <c r="J10" s="511"/>
      <c r="K10" s="511"/>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5"/>
      <c r="AT10" s="4"/>
      <c r="AU10" s="4"/>
      <c r="AV10" s="4"/>
      <c r="AW10" s="4"/>
      <c r="AX10" s="4"/>
      <c r="AY10" s="4"/>
      <c r="AZ10" s="4"/>
      <c r="BA10" s="4"/>
      <c r="BB10" s="4"/>
      <c r="BC10" s="4"/>
      <c r="BD10" s="4"/>
      <c r="BE10" s="4"/>
      <c r="BF10" s="4"/>
      <c r="BG10" s="4"/>
      <c r="BH10" s="4"/>
    </row>
    <row r="11" spans="1:60" outlineLevel="1">
      <c r="A11" s="4"/>
      <c r="B11" s="670"/>
      <c r="C11" s="775"/>
      <c r="D11" s="775"/>
      <c r="E11" s="775"/>
      <c r="F11" s="775"/>
      <c r="G11" s="775"/>
      <c r="H11" s="775"/>
      <c r="I11" s="770"/>
      <c r="J11" s="511"/>
      <c r="K11" s="511"/>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5"/>
      <c r="AT11" s="4"/>
      <c r="AU11" s="4"/>
      <c r="AV11" s="4"/>
      <c r="AW11" s="4"/>
      <c r="AX11" s="4"/>
      <c r="AY11" s="4"/>
      <c r="AZ11" s="4"/>
      <c r="BA11" s="4"/>
      <c r="BB11" s="4"/>
      <c r="BC11" s="4"/>
      <c r="BD11" s="4"/>
      <c r="BE11" s="4"/>
      <c r="BF11" s="4"/>
      <c r="BG11" s="4"/>
      <c r="BH11" s="4"/>
    </row>
    <row r="12" spans="1:60" outlineLevel="2">
      <c r="A12" s="4"/>
      <c r="B12" s="674" t="s">
        <v>576</v>
      </c>
      <c r="C12" s="116" t="s">
        <v>506</v>
      </c>
      <c r="D12" s="100">
        <v>50</v>
      </c>
      <c r="E12" s="100">
        <v>0</v>
      </c>
      <c r="F12" s="510">
        <v>0</v>
      </c>
      <c r="G12" s="100">
        <v>0</v>
      </c>
      <c r="H12" s="100">
        <v>0</v>
      </c>
      <c r="I12" s="100">
        <v>0</v>
      </c>
      <c r="J12" s="511"/>
      <c r="K12" s="511"/>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5"/>
      <c r="AT12" s="4"/>
      <c r="AU12" s="4"/>
      <c r="AV12" s="4"/>
      <c r="AW12" s="4"/>
      <c r="AX12" s="4"/>
      <c r="AY12" s="4"/>
      <c r="AZ12" s="4"/>
      <c r="BA12" s="4"/>
      <c r="BB12" s="4"/>
      <c r="BC12" s="4"/>
      <c r="BD12" s="4"/>
      <c r="BE12" s="4"/>
      <c r="BF12" s="4"/>
      <c r="BG12" s="4"/>
      <c r="BH12" s="4"/>
    </row>
    <row r="13" spans="1:60" outlineLevel="2">
      <c r="A13" s="4"/>
      <c r="B13" s="774"/>
      <c r="C13" s="116" t="s">
        <v>507</v>
      </c>
      <c r="D13" s="100">
        <v>75</v>
      </c>
      <c r="E13" s="100">
        <v>0</v>
      </c>
      <c r="F13" s="510">
        <v>0</v>
      </c>
      <c r="G13" s="100">
        <v>0</v>
      </c>
      <c r="H13" s="100">
        <v>0</v>
      </c>
      <c r="I13" s="100">
        <v>0</v>
      </c>
      <c r="J13" s="511"/>
      <c r="K13" s="511"/>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5"/>
      <c r="AT13" s="4"/>
      <c r="AU13" s="4"/>
      <c r="AV13" s="4"/>
      <c r="AW13" s="4"/>
      <c r="AX13" s="4"/>
      <c r="AY13" s="4"/>
      <c r="AZ13" s="4"/>
      <c r="BA13" s="4"/>
      <c r="BB13" s="4"/>
      <c r="BC13" s="4"/>
      <c r="BD13" s="4"/>
      <c r="BE13" s="4"/>
      <c r="BF13" s="4"/>
      <c r="BG13" s="4"/>
      <c r="BH13" s="4"/>
    </row>
    <row r="14" spans="1:60" outlineLevel="2">
      <c r="A14" s="4"/>
      <c r="B14" s="774"/>
      <c r="C14" s="116" t="s">
        <v>508</v>
      </c>
      <c r="D14" s="100">
        <v>25</v>
      </c>
      <c r="E14" s="100">
        <v>0</v>
      </c>
      <c r="F14" s="510">
        <v>0</v>
      </c>
      <c r="G14" s="100">
        <v>0</v>
      </c>
      <c r="H14" s="100">
        <v>0</v>
      </c>
      <c r="I14" s="100">
        <v>0</v>
      </c>
      <c r="J14" s="511"/>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5"/>
      <c r="AT14" s="4"/>
      <c r="AU14" s="4"/>
      <c r="AV14" s="4"/>
      <c r="AW14" s="4"/>
      <c r="AX14" s="4"/>
      <c r="AY14" s="4"/>
      <c r="AZ14" s="4"/>
      <c r="BA14" s="4"/>
      <c r="BB14" s="4"/>
      <c r="BC14" s="4"/>
      <c r="BD14" s="4"/>
      <c r="BE14" s="4"/>
      <c r="BF14" s="4"/>
      <c r="BG14" s="4"/>
      <c r="BH14" s="4"/>
    </row>
    <row r="15" spans="1:60" outlineLevel="2">
      <c r="A15" s="4"/>
      <c r="B15" s="773"/>
      <c r="C15" s="116" t="s">
        <v>509</v>
      </c>
      <c r="D15" s="100">
        <v>50</v>
      </c>
      <c r="E15" s="100">
        <v>0</v>
      </c>
      <c r="F15" s="510">
        <v>0</v>
      </c>
      <c r="G15" s="100">
        <v>0</v>
      </c>
      <c r="H15" s="100">
        <v>0</v>
      </c>
      <c r="I15" s="100">
        <v>0</v>
      </c>
      <c r="J15" s="511"/>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5"/>
      <c r="AT15" s="4"/>
      <c r="AU15" s="4"/>
      <c r="AV15" s="4"/>
      <c r="AW15" s="4"/>
      <c r="AX15" s="4"/>
      <c r="AY15" s="4"/>
      <c r="AZ15" s="4"/>
      <c r="BA15" s="4"/>
      <c r="BB15" s="4"/>
      <c r="BC15" s="4"/>
      <c r="BD15" s="4"/>
      <c r="BE15" s="4"/>
      <c r="BF15" s="4"/>
      <c r="BG15" s="4"/>
      <c r="BH15" s="4"/>
    </row>
    <row r="16" spans="1:60" outlineLevel="1">
      <c r="A16" s="4"/>
      <c r="B16" s="670"/>
      <c r="C16" s="775"/>
      <c r="D16" s="775"/>
      <c r="E16" s="775"/>
      <c r="F16" s="775"/>
      <c r="G16" s="775"/>
      <c r="H16" s="775"/>
      <c r="I16" s="770"/>
      <c r="J16" s="511"/>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5"/>
      <c r="AT16" s="4"/>
      <c r="AU16" s="4"/>
      <c r="AV16" s="4"/>
      <c r="AW16" s="4"/>
      <c r="AX16" s="4"/>
      <c r="AY16" s="4"/>
      <c r="AZ16" s="4"/>
      <c r="BA16" s="4"/>
      <c r="BB16" s="4"/>
      <c r="BC16" s="4"/>
      <c r="BD16" s="4"/>
      <c r="BE16" s="4"/>
      <c r="BF16" s="4"/>
      <c r="BG16" s="4"/>
      <c r="BH16" s="4"/>
    </row>
    <row r="17" spans="1:60" outlineLevel="2">
      <c r="A17" s="4"/>
      <c r="B17" s="671" t="s">
        <v>577</v>
      </c>
      <c r="C17" s="117" t="s">
        <v>510</v>
      </c>
      <c r="D17" s="100">
        <v>75</v>
      </c>
      <c r="E17" s="100">
        <v>0</v>
      </c>
      <c r="F17" s="510">
        <v>0</v>
      </c>
      <c r="G17" s="100">
        <v>0</v>
      </c>
      <c r="H17" s="100">
        <v>0</v>
      </c>
      <c r="I17" s="100">
        <v>0</v>
      </c>
      <c r="J17" s="511"/>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5"/>
      <c r="AT17" s="4"/>
      <c r="AU17" s="4"/>
      <c r="AV17" s="4"/>
      <c r="AW17" s="4"/>
      <c r="AX17" s="4"/>
      <c r="AY17" s="4"/>
      <c r="AZ17" s="4"/>
      <c r="BA17" s="4"/>
      <c r="BB17" s="4"/>
      <c r="BC17" s="4"/>
      <c r="BD17" s="4"/>
      <c r="BE17" s="4"/>
      <c r="BF17" s="4"/>
      <c r="BG17" s="4"/>
      <c r="BH17" s="4"/>
    </row>
    <row r="18" spans="1:60" outlineLevel="2">
      <c r="A18" s="4"/>
      <c r="B18" s="774"/>
      <c r="C18" s="117" t="s">
        <v>511</v>
      </c>
      <c r="D18" s="100">
        <v>25</v>
      </c>
      <c r="E18" s="100">
        <v>0</v>
      </c>
      <c r="F18" s="510">
        <v>0</v>
      </c>
      <c r="G18" s="100">
        <v>0</v>
      </c>
      <c r="H18" s="100">
        <v>0</v>
      </c>
      <c r="I18" s="100">
        <v>0</v>
      </c>
      <c r="J18" s="511"/>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5"/>
      <c r="AT18" s="4"/>
      <c r="AU18" s="4"/>
      <c r="AV18" s="4"/>
      <c r="AW18" s="4"/>
      <c r="AX18" s="4"/>
      <c r="AY18" s="4"/>
      <c r="AZ18" s="4"/>
      <c r="BA18" s="4"/>
      <c r="BB18" s="4"/>
      <c r="BC18" s="4"/>
      <c r="BD18" s="4"/>
      <c r="BE18" s="4"/>
      <c r="BF18" s="4"/>
      <c r="BG18" s="4"/>
      <c r="BH18" s="4"/>
    </row>
    <row r="19" spans="1:60" outlineLevel="2">
      <c r="A19" s="4"/>
      <c r="B19" s="774"/>
      <c r="C19" s="117" t="s">
        <v>512</v>
      </c>
      <c r="D19" s="100">
        <v>50</v>
      </c>
      <c r="E19" s="100">
        <v>0</v>
      </c>
      <c r="F19" s="510">
        <v>0</v>
      </c>
      <c r="G19" s="100">
        <v>0</v>
      </c>
      <c r="H19" s="100">
        <v>0</v>
      </c>
      <c r="I19" s="100">
        <v>0</v>
      </c>
      <c r="J19" s="511"/>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5"/>
      <c r="AT19" s="4"/>
      <c r="AU19" s="4"/>
      <c r="AV19" s="4"/>
      <c r="AW19" s="4"/>
      <c r="AX19" s="4"/>
      <c r="AY19" s="4"/>
      <c r="AZ19" s="4"/>
      <c r="BA19" s="4"/>
      <c r="BB19" s="4"/>
      <c r="BC19" s="4"/>
      <c r="BD19" s="4"/>
      <c r="BE19" s="4"/>
      <c r="BF19" s="4"/>
      <c r="BG19" s="4"/>
      <c r="BH19" s="4"/>
    </row>
    <row r="20" spans="1:60" outlineLevel="2">
      <c r="A20" s="4"/>
      <c r="B20" s="773"/>
      <c r="C20" s="117" t="s">
        <v>513</v>
      </c>
      <c r="D20" s="100">
        <v>75</v>
      </c>
      <c r="E20" s="100">
        <v>0</v>
      </c>
      <c r="F20" s="510">
        <v>0</v>
      </c>
      <c r="G20" s="100">
        <v>0</v>
      </c>
      <c r="H20" s="100">
        <v>0</v>
      </c>
      <c r="I20" s="100">
        <v>0</v>
      </c>
      <c r="J20" s="511"/>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5"/>
      <c r="AT20" s="4"/>
      <c r="AU20" s="4"/>
      <c r="AV20" s="4"/>
      <c r="AW20" s="4"/>
      <c r="AX20" s="4"/>
      <c r="AY20" s="4"/>
      <c r="AZ20" s="4"/>
      <c r="BA20" s="4"/>
      <c r="BB20" s="4"/>
      <c r="BC20" s="4"/>
      <c r="BD20" s="4"/>
      <c r="BE20" s="4"/>
      <c r="BF20" s="4"/>
      <c r="BG20" s="4"/>
      <c r="BH20" s="4"/>
    </row>
    <row r="21" spans="1:60" outlineLevel="1">
      <c r="A21" s="4"/>
      <c r="B21" s="669"/>
      <c r="C21" s="775"/>
      <c r="D21" s="775"/>
      <c r="E21" s="775"/>
      <c r="F21" s="775"/>
      <c r="G21" s="775"/>
      <c r="H21" s="775"/>
      <c r="I21" s="770"/>
      <c r="J21" s="511"/>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5"/>
      <c r="AT21" s="4"/>
      <c r="AU21" s="4"/>
      <c r="AV21" s="4"/>
      <c r="AW21" s="4"/>
      <c r="AX21" s="4"/>
      <c r="AY21" s="4"/>
      <c r="AZ21" s="4"/>
      <c r="BA21" s="4"/>
      <c r="BB21" s="4"/>
      <c r="BC21" s="4"/>
      <c r="BD21" s="4"/>
      <c r="BE21" s="4"/>
      <c r="BF21" s="4"/>
      <c r="BG21" s="4"/>
      <c r="BH21" s="4"/>
    </row>
    <row r="22" spans="1:60" outlineLevel="2">
      <c r="A22" s="4"/>
      <c r="B22" s="671" t="s">
        <v>59</v>
      </c>
      <c r="C22" s="117" t="s">
        <v>514</v>
      </c>
      <c r="D22" s="100">
        <v>40</v>
      </c>
      <c r="E22" s="100">
        <v>0</v>
      </c>
      <c r="F22" s="510">
        <v>0</v>
      </c>
      <c r="G22" s="100">
        <v>0</v>
      </c>
      <c r="H22" s="100">
        <v>0</v>
      </c>
      <c r="I22" s="100">
        <v>0</v>
      </c>
      <c r="J22" s="511"/>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5"/>
      <c r="AT22" s="4"/>
      <c r="AU22" s="4"/>
      <c r="AV22" s="4"/>
      <c r="AW22" s="4"/>
      <c r="AX22" s="4"/>
      <c r="AY22" s="4"/>
      <c r="AZ22" s="4"/>
      <c r="BA22" s="4"/>
      <c r="BB22" s="4"/>
      <c r="BC22" s="4"/>
      <c r="BD22" s="4"/>
      <c r="BE22" s="4"/>
      <c r="BF22" s="4"/>
      <c r="BG22" s="4"/>
      <c r="BH22" s="4"/>
    </row>
    <row r="23" spans="1:60" outlineLevel="2">
      <c r="A23" s="4"/>
      <c r="B23" s="774"/>
      <c r="C23" s="117" t="s">
        <v>515</v>
      </c>
      <c r="D23" s="100">
        <v>40</v>
      </c>
      <c r="E23" s="100">
        <v>0</v>
      </c>
      <c r="F23" s="510">
        <v>0</v>
      </c>
      <c r="G23" s="100">
        <v>0</v>
      </c>
      <c r="H23" s="100">
        <v>0</v>
      </c>
      <c r="I23" s="100">
        <v>0</v>
      </c>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5"/>
      <c r="AT23" s="4"/>
      <c r="AU23" s="4"/>
      <c r="AV23" s="4"/>
      <c r="AW23" s="4"/>
      <c r="AX23" s="4"/>
      <c r="AY23" s="4"/>
      <c r="AZ23" s="4"/>
      <c r="BA23" s="4"/>
      <c r="BB23" s="4"/>
      <c r="BC23" s="4"/>
      <c r="BD23" s="4"/>
      <c r="BE23" s="4"/>
      <c r="BF23" s="4"/>
      <c r="BG23" s="4"/>
      <c r="BH23" s="4"/>
    </row>
    <row r="24" spans="1:60" outlineLevel="2">
      <c r="A24" s="4"/>
      <c r="B24" s="774"/>
      <c r="C24" s="117" t="s">
        <v>516</v>
      </c>
      <c r="D24" s="100">
        <v>40</v>
      </c>
      <c r="E24" s="100">
        <v>0</v>
      </c>
      <c r="F24" s="510">
        <v>0</v>
      </c>
      <c r="G24" s="100">
        <v>0</v>
      </c>
      <c r="H24" s="100">
        <v>0</v>
      </c>
      <c r="I24" s="100">
        <v>0</v>
      </c>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5"/>
      <c r="AT24" s="4"/>
      <c r="AU24" s="4"/>
      <c r="AV24" s="4"/>
      <c r="AW24" s="4"/>
      <c r="AX24" s="4"/>
      <c r="AY24" s="4"/>
      <c r="AZ24" s="4"/>
      <c r="BA24" s="4"/>
      <c r="BB24" s="4"/>
      <c r="BC24" s="4"/>
      <c r="BD24" s="4"/>
      <c r="BE24" s="4"/>
      <c r="BF24" s="4"/>
      <c r="BG24" s="4"/>
      <c r="BH24" s="4"/>
    </row>
    <row r="25" spans="1:60" outlineLevel="2">
      <c r="A25" s="4"/>
      <c r="B25" s="773"/>
      <c r="C25" s="117" t="s">
        <v>517</v>
      </c>
      <c r="D25" s="100">
        <v>40</v>
      </c>
      <c r="E25" s="100">
        <v>0</v>
      </c>
      <c r="F25" s="510">
        <v>0</v>
      </c>
      <c r="G25" s="100">
        <v>0</v>
      </c>
      <c r="H25" s="100">
        <v>0</v>
      </c>
      <c r="I25" s="100">
        <v>0</v>
      </c>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5"/>
      <c r="AT25" s="4"/>
      <c r="AU25" s="4"/>
      <c r="AV25" s="4"/>
      <c r="AW25" s="4"/>
      <c r="AX25" s="4"/>
      <c r="AY25" s="4"/>
      <c r="AZ25" s="4"/>
      <c r="BA25" s="4"/>
      <c r="BB25" s="4"/>
      <c r="BC25" s="4"/>
      <c r="BD25" s="4"/>
      <c r="BE25" s="4"/>
      <c r="BF25" s="4"/>
      <c r="BG25" s="4"/>
      <c r="BH25" s="4"/>
    </row>
    <row r="26" spans="1:60" outlineLevel="1">
      <c r="A26" s="4"/>
      <c r="B26" s="669"/>
      <c r="C26" s="775"/>
      <c r="D26" s="775"/>
      <c r="E26" s="775"/>
      <c r="F26" s="775"/>
      <c r="G26" s="775"/>
      <c r="H26" s="775"/>
      <c r="I26" s="770"/>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5"/>
      <c r="AT26" s="4"/>
      <c r="AU26" s="4"/>
      <c r="AV26" s="4"/>
      <c r="AW26" s="4"/>
      <c r="AX26" s="4"/>
      <c r="AY26" s="4"/>
      <c r="AZ26" s="4"/>
      <c r="BA26" s="4"/>
      <c r="BB26" s="4"/>
      <c r="BC26" s="4"/>
      <c r="BD26" s="4"/>
      <c r="BE26" s="4"/>
      <c r="BF26" s="4"/>
      <c r="BG26" s="4"/>
      <c r="BH26" s="4"/>
    </row>
    <row r="27" spans="1:60" outlineLevel="2">
      <c r="A27" s="4"/>
      <c r="B27" s="671" t="s">
        <v>578</v>
      </c>
      <c r="C27" s="117" t="s">
        <v>518</v>
      </c>
      <c r="D27" s="100">
        <v>40</v>
      </c>
      <c r="E27" s="100">
        <v>0</v>
      </c>
      <c r="F27" s="510">
        <v>0</v>
      </c>
      <c r="G27" s="100">
        <v>0</v>
      </c>
      <c r="H27" s="100">
        <v>0</v>
      </c>
      <c r="I27" s="100">
        <v>0</v>
      </c>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5"/>
      <c r="AT27" s="4"/>
      <c r="AU27" s="4"/>
      <c r="AV27" s="4"/>
      <c r="AW27" s="4"/>
      <c r="AX27" s="4"/>
      <c r="AY27" s="4"/>
      <c r="AZ27" s="4"/>
      <c r="BA27" s="4"/>
      <c r="BB27" s="4"/>
      <c r="BC27" s="4"/>
      <c r="BD27" s="4"/>
      <c r="BE27" s="4"/>
      <c r="BF27" s="4"/>
      <c r="BG27" s="4"/>
      <c r="BH27" s="4"/>
    </row>
    <row r="28" spans="1:60" outlineLevel="2">
      <c r="A28" s="4"/>
      <c r="B28" s="774"/>
      <c r="C28" s="117" t="s">
        <v>519</v>
      </c>
      <c r="D28" s="100">
        <v>40</v>
      </c>
      <c r="E28" s="100">
        <v>0</v>
      </c>
      <c r="F28" s="510">
        <v>0</v>
      </c>
      <c r="G28" s="100">
        <v>0</v>
      </c>
      <c r="H28" s="100">
        <v>0</v>
      </c>
      <c r="I28" s="100">
        <v>0</v>
      </c>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5"/>
      <c r="AT28" s="4"/>
      <c r="AU28" s="4"/>
      <c r="AV28" s="4"/>
      <c r="AW28" s="4"/>
      <c r="AX28" s="4"/>
      <c r="AY28" s="4"/>
      <c r="AZ28" s="4"/>
      <c r="BA28" s="4"/>
      <c r="BB28" s="4"/>
      <c r="BC28" s="4"/>
      <c r="BD28" s="4"/>
      <c r="BE28" s="4"/>
      <c r="BF28" s="4"/>
      <c r="BG28" s="4"/>
      <c r="BH28" s="4"/>
    </row>
    <row r="29" spans="1:60" outlineLevel="2">
      <c r="A29" s="4"/>
      <c r="B29" s="774"/>
      <c r="C29" s="117" t="s">
        <v>520</v>
      </c>
      <c r="D29" s="100">
        <v>40</v>
      </c>
      <c r="E29" s="100">
        <v>0</v>
      </c>
      <c r="F29" s="510">
        <v>0</v>
      </c>
      <c r="G29" s="100">
        <v>0</v>
      </c>
      <c r="H29" s="100">
        <v>0</v>
      </c>
      <c r="I29" s="100">
        <v>0</v>
      </c>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5"/>
      <c r="AT29" s="4"/>
      <c r="AU29" s="4"/>
      <c r="AV29" s="4"/>
      <c r="AW29" s="4"/>
      <c r="AX29" s="4"/>
      <c r="AY29" s="4"/>
      <c r="AZ29" s="4"/>
      <c r="BA29" s="4"/>
      <c r="BB29" s="4"/>
      <c r="BC29" s="4"/>
      <c r="BD29" s="4"/>
      <c r="BE29" s="4"/>
      <c r="BF29" s="4"/>
      <c r="BG29" s="4"/>
      <c r="BH29" s="4"/>
    </row>
    <row r="30" spans="1:60" outlineLevel="2">
      <c r="A30" s="4"/>
      <c r="B30" s="774"/>
      <c r="C30" s="117" t="s">
        <v>521</v>
      </c>
      <c r="D30" s="100">
        <v>40</v>
      </c>
      <c r="E30" s="100">
        <v>0</v>
      </c>
      <c r="F30" s="510">
        <v>0</v>
      </c>
      <c r="G30" s="100">
        <v>0</v>
      </c>
      <c r="H30" s="100">
        <v>0</v>
      </c>
      <c r="I30" s="100">
        <v>0</v>
      </c>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5"/>
      <c r="AT30" s="4"/>
      <c r="AU30" s="4"/>
      <c r="AV30" s="4"/>
      <c r="AW30" s="4"/>
      <c r="AX30" s="4"/>
      <c r="AY30" s="4"/>
      <c r="AZ30" s="4"/>
      <c r="BA30" s="4"/>
      <c r="BB30" s="4"/>
      <c r="BC30" s="4"/>
      <c r="BD30" s="4"/>
      <c r="BE30" s="4"/>
      <c r="BF30" s="4"/>
      <c r="BG30" s="4"/>
      <c r="BH30" s="4"/>
    </row>
    <row r="31" spans="1:60" outlineLevel="2">
      <c r="A31" s="4"/>
      <c r="B31" s="773"/>
      <c r="C31" s="117" t="s">
        <v>522</v>
      </c>
      <c r="D31" s="100">
        <v>40</v>
      </c>
      <c r="E31" s="100">
        <v>0</v>
      </c>
      <c r="F31" s="510">
        <v>0</v>
      </c>
      <c r="G31" s="100">
        <v>0</v>
      </c>
      <c r="H31" s="100">
        <v>0</v>
      </c>
      <c r="I31" s="100">
        <v>0</v>
      </c>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5"/>
      <c r="AT31" s="4"/>
      <c r="AU31" s="4"/>
      <c r="AV31" s="4"/>
      <c r="AW31" s="4"/>
      <c r="AX31" s="4"/>
      <c r="AY31" s="4"/>
      <c r="AZ31" s="4"/>
      <c r="BA31" s="4"/>
      <c r="BB31" s="4"/>
      <c r="BC31" s="4"/>
      <c r="BD31" s="4"/>
      <c r="BE31" s="4"/>
      <c r="BF31" s="4"/>
      <c r="BG31" s="4"/>
      <c r="BH31" s="4"/>
    </row>
    <row r="32" spans="1:60" outlineLevel="1">
      <c r="A32" s="4"/>
      <c r="B32" s="669"/>
      <c r="C32" s="775"/>
      <c r="D32" s="775"/>
      <c r="E32" s="775"/>
      <c r="F32" s="775"/>
      <c r="G32" s="775"/>
      <c r="H32" s="775"/>
      <c r="I32" s="770"/>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5"/>
      <c r="AT32" s="4"/>
      <c r="AU32" s="4"/>
      <c r="AV32" s="4"/>
      <c r="AW32" s="4"/>
      <c r="AX32" s="4"/>
      <c r="AY32" s="4"/>
      <c r="AZ32" s="4"/>
      <c r="BA32" s="4"/>
      <c r="BB32" s="4"/>
      <c r="BC32" s="4"/>
      <c r="BD32" s="4"/>
      <c r="BE32" s="4"/>
      <c r="BF32" s="4"/>
      <c r="BG32" s="4"/>
      <c r="BH32" s="4"/>
    </row>
    <row r="33" spans="1:60" outlineLevel="2">
      <c r="A33" s="4"/>
      <c r="B33" s="671" t="s">
        <v>579</v>
      </c>
      <c r="C33" s="117" t="s">
        <v>523</v>
      </c>
      <c r="D33" s="100">
        <v>40</v>
      </c>
      <c r="E33" s="100">
        <v>0</v>
      </c>
      <c r="F33" s="510">
        <v>0</v>
      </c>
      <c r="G33" s="100">
        <v>0</v>
      </c>
      <c r="H33" s="100">
        <v>0</v>
      </c>
      <c r="I33" s="100">
        <v>0</v>
      </c>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5"/>
      <c r="AT33" s="4"/>
      <c r="AU33" s="4"/>
      <c r="AV33" s="4"/>
      <c r="AW33" s="4"/>
      <c r="AX33" s="4"/>
      <c r="AY33" s="4"/>
      <c r="AZ33" s="4"/>
      <c r="BA33" s="4"/>
      <c r="BB33" s="4"/>
      <c r="BC33" s="4"/>
      <c r="BD33" s="4"/>
      <c r="BE33" s="4"/>
      <c r="BF33" s="4"/>
      <c r="BG33" s="4"/>
      <c r="BH33" s="4"/>
    </row>
    <row r="34" spans="1:60" outlineLevel="2">
      <c r="A34" s="4"/>
      <c r="B34" s="774"/>
      <c r="C34" s="117" t="s">
        <v>524</v>
      </c>
      <c r="D34" s="100">
        <v>40</v>
      </c>
      <c r="E34" s="100">
        <v>0</v>
      </c>
      <c r="F34" s="510">
        <v>0</v>
      </c>
      <c r="G34" s="100">
        <v>0</v>
      </c>
      <c r="H34" s="100">
        <v>0</v>
      </c>
      <c r="I34" s="100">
        <v>0</v>
      </c>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5"/>
      <c r="AT34" s="4"/>
      <c r="AU34" s="4"/>
      <c r="AV34" s="4"/>
      <c r="AW34" s="4"/>
      <c r="AX34" s="4"/>
      <c r="AY34" s="4"/>
      <c r="AZ34" s="4"/>
      <c r="BA34" s="4"/>
      <c r="BB34" s="4"/>
      <c r="BC34" s="4"/>
      <c r="BD34" s="4"/>
      <c r="BE34" s="4"/>
      <c r="BF34" s="4"/>
      <c r="BG34" s="4"/>
      <c r="BH34" s="4"/>
    </row>
    <row r="35" spans="1:60" outlineLevel="2">
      <c r="A35" s="4"/>
      <c r="B35" s="774"/>
      <c r="C35" s="117" t="s">
        <v>525</v>
      </c>
      <c r="D35" s="100">
        <v>40</v>
      </c>
      <c r="E35" s="100">
        <v>0</v>
      </c>
      <c r="F35" s="510">
        <v>0</v>
      </c>
      <c r="G35" s="100">
        <v>0</v>
      </c>
      <c r="H35" s="100">
        <v>0</v>
      </c>
      <c r="I35" s="100">
        <v>0</v>
      </c>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5"/>
      <c r="AT35" s="4"/>
      <c r="AU35" s="4"/>
      <c r="AV35" s="4"/>
      <c r="AW35" s="4"/>
      <c r="AX35" s="4"/>
      <c r="AY35" s="4"/>
      <c r="AZ35" s="4"/>
      <c r="BA35" s="4"/>
      <c r="BB35" s="4"/>
      <c r="BC35" s="4"/>
      <c r="BD35" s="4"/>
      <c r="BE35" s="4"/>
      <c r="BF35" s="4"/>
      <c r="BG35" s="4"/>
      <c r="BH35" s="4"/>
    </row>
    <row r="36" spans="1:60" outlineLevel="2">
      <c r="A36" s="4"/>
      <c r="B36" s="773"/>
      <c r="C36" s="117" t="s">
        <v>526</v>
      </c>
      <c r="D36" s="100">
        <v>40</v>
      </c>
      <c r="E36" s="100">
        <v>0</v>
      </c>
      <c r="F36" s="510">
        <v>0</v>
      </c>
      <c r="G36" s="100">
        <v>0</v>
      </c>
      <c r="H36" s="100">
        <v>0</v>
      </c>
      <c r="I36" s="100">
        <v>0</v>
      </c>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5"/>
      <c r="AT36" s="4"/>
      <c r="AU36" s="4"/>
      <c r="AV36" s="4"/>
      <c r="AW36" s="4"/>
      <c r="AX36" s="4"/>
      <c r="AY36" s="4"/>
      <c r="AZ36" s="4"/>
      <c r="BA36" s="4"/>
      <c r="BB36" s="4"/>
      <c r="BC36" s="4"/>
      <c r="BD36" s="4"/>
      <c r="BE36" s="4"/>
      <c r="BF36" s="4"/>
      <c r="BG36" s="4"/>
      <c r="BH36" s="4"/>
    </row>
    <row r="37" spans="1:60" outlineLevel="1">
      <c r="A37" s="4"/>
      <c r="B37" s="669"/>
      <c r="C37" s="775"/>
      <c r="D37" s="775"/>
      <c r="E37" s="775"/>
      <c r="F37" s="775"/>
      <c r="G37" s="775"/>
      <c r="H37" s="775"/>
      <c r="I37" s="770"/>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5"/>
      <c r="AT37" s="4"/>
      <c r="AU37" s="4"/>
      <c r="AV37" s="4"/>
      <c r="AW37" s="4"/>
      <c r="AX37" s="4"/>
      <c r="AY37" s="4"/>
      <c r="AZ37" s="4"/>
      <c r="BA37" s="4"/>
      <c r="BB37" s="4"/>
      <c r="BC37" s="4"/>
      <c r="BD37" s="4"/>
      <c r="BE37" s="4"/>
      <c r="BF37" s="4"/>
      <c r="BG37" s="4"/>
      <c r="BH37" s="4"/>
    </row>
    <row r="38" spans="1:60" outlineLevel="2">
      <c r="A38" s="4"/>
      <c r="B38" s="671" t="s">
        <v>580</v>
      </c>
      <c r="C38" s="117" t="s">
        <v>527</v>
      </c>
      <c r="D38" s="100">
        <v>40</v>
      </c>
      <c r="E38" s="100">
        <v>0</v>
      </c>
      <c r="F38" s="510">
        <v>0</v>
      </c>
      <c r="G38" s="100">
        <v>0</v>
      </c>
      <c r="H38" s="100">
        <v>0</v>
      </c>
      <c r="I38" s="100">
        <v>0</v>
      </c>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5"/>
      <c r="AT38" s="4"/>
      <c r="AU38" s="4"/>
      <c r="AV38" s="4"/>
      <c r="AW38" s="4"/>
      <c r="AX38" s="4"/>
      <c r="AY38" s="4"/>
      <c r="AZ38" s="4"/>
      <c r="BA38" s="4"/>
      <c r="BB38" s="4"/>
      <c r="BC38" s="4"/>
      <c r="BD38" s="4"/>
      <c r="BE38" s="4"/>
      <c r="BF38" s="4"/>
      <c r="BG38" s="4"/>
      <c r="BH38" s="4"/>
    </row>
    <row r="39" spans="1:60" outlineLevel="2">
      <c r="A39" s="4"/>
      <c r="B39" s="774"/>
      <c r="C39" s="117" t="s">
        <v>528</v>
      </c>
      <c r="D39" s="100">
        <v>40</v>
      </c>
      <c r="E39" s="100">
        <v>0</v>
      </c>
      <c r="F39" s="510">
        <v>0</v>
      </c>
      <c r="G39" s="100">
        <v>0</v>
      </c>
      <c r="H39" s="100">
        <v>0</v>
      </c>
      <c r="I39" s="100">
        <v>0</v>
      </c>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5"/>
      <c r="AT39" s="4"/>
      <c r="AU39" s="4"/>
      <c r="AV39" s="4"/>
      <c r="AW39" s="4"/>
      <c r="AX39" s="4"/>
      <c r="AY39" s="4"/>
      <c r="AZ39" s="4"/>
      <c r="BA39" s="4"/>
      <c r="BB39" s="4"/>
      <c r="BC39" s="4"/>
      <c r="BD39" s="4"/>
      <c r="BE39" s="4"/>
      <c r="BF39" s="4"/>
      <c r="BG39" s="4"/>
      <c r="BH39" s="4"/>
    </row>
    <row r="40" spans="1:60" outlineLevel="2">
      <c r="A40" s="4"/>
      <c r="B40" s="774"/>
      <c r="C40" s="117" t="s">
        <v>529</v>
      </c>
      <c r="D40" s="100">
        <v>40</v>
      </c>
      <c r="E40" s="100">
        <v>0</v>
      </c>
      <c r="F40" s="510">
        <v>0</v>
      </c>
      <c r="G40" s="100">
        <v>0</v>
      </c>
      <c r="H40" s="100">
        <v>0</v>
      </c>
      <c r="I40" s="100">
        <v>0</v>
      </c>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5"/>
      <c r="AT40" s="4"/>
      <c r="AU40" s="4"/>
      <c r="AV40" s="4"/>
      <c r="AW40" s="4"/>
      <c r="AX40" s="4"/>
      <c r="AY40" s="4"/>
      <c r="AZ40" s="4"/>
      <c r="BA40" s="4"/>
      <c r="BB40" s="4"/>
      <c r="BC40" s="4"/>
      <c r="BD40" s="4"/>
      <c r="BE40" s="4"/>
      <c r="BF40" s="4"/>
      <c r="BG40" s="4"/>
      <c r="BH40" s="4"/>
    </row>
    <row r="41" spans="1:60" outlineLevel="2">
      <c r="A41" s="4"/>
      <c r="B41" s="774"/>
      <c r="C41" s="117" t="s">
        <v>530</v>
      </c>
      <c r="D41" s="100">
        <v>40</v>
      </c>
      <c r="E41" s="100">
        <v>0</v>
      </c>
      <c r="F41" s="510">
        <v>0</v>
      </c>
      <c r="G41" s="100">
        <v>0</v>
      </c>
      <c r="H41" s="100">
        <v>0</v>
      </c>
      <c r="I41" s="100">
        <v>0</v>
      </c>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5"/>
      <c r="AT41" s="4"/>
      <c r="AU41" s="4"/>
      <c r="AV41" s="4"/>
      <c r="AW41" s="4"/>
      <c r="AX41" s="4"/>
      <c r="AY41" s="4"/>
      <c r="AZ41" s="4"/>
      <c r="BA41" s="4"/>
      <c r="BB41" s="4"/>
      <c r="BC41" s="4"/>
      <c r="BD41" s="4"/>
      <c r="BE41" s="4"/>
      <c r="BF41" s="4"/>
      <c r="BG41" s="4"/>
      <c r="BH41" s="4"/>
    </row>
    <row r="42" spans="1:60" outlineLevel="2">
      <c r="A42" s="4"/>
      <c r="B42" s="773"/>
      <c r="C42" s="117" t="s">
        <v>531</v>
      </c>
      <c r="D42" s="100">
        <v>40</v>
      </c>
      <c r="E42" s="100">
        <v>0</v>
      </c>
      <c r="F42" s="510">
        <v>0</v>
      </c>
      <c r="G42" s="100">
        <v>0</v>
      </c>
      <c r="H42" s="100">
        <v>0</v>
      </c>
      <c r="I42" s="100">
        <v>0</v>
      </c>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5"/>
      <c r="AT42" s="4"/>
      <c r="AU42" s="4"/>
      <c r="AV42" s="4"/>
      <c r="AW42" s="4"/>
      <c r="AX42" s="4"/>
      <c r="AY42" s="4"/>
      <c r="AZ42" s="4"/>
      <c r="BA42" s="4"/>
      <c r="BB42" s="4"/>
      <c r="BC42" s="4"/>
      <c r="BD42" s="4"/>
      <c r="BE42" s="4"/>
      <c r="BF42" s="4"/>
      <c r="BG42" s="4"/>
      <c r="BH42" s="4"/>
    </row>
    <row r="43" spans="1:60" outlineLevel="1">
      <c r="A43" s="4"/>
      <c r="B43" s="669"/>
      <c r="C43" s="775"/>
      <c r="D43" s="775"/>
      <c r="E43" s="775"/>
      <c r="F43" s="775"/>
      <c r="G43" s="775"/>
      <c r="H43" s="775"/>
      <c r="I43" s="770"/>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5"/>
      <c r="AT43" s="4"/>
      <c r="AU43" s="4"/>
      <c r="AV43" s="4"/>
      <c r="AW43" s="4"/>
      <c r="AX43" s="4"/>
      <c r="AY43" s="4"/>
      <c r="AZ43" s="4"/>
      <c r="BA43" s="4"/>
      <c r="BB43" s="4"/>
      <c r="BC43" s="4"/>
      <c r="BD43" s="4"/>
      <c r="BE43" s="4"/>
      <c r="BF43" s="4"/>
      <c r="BG43" s="4"/>
      <c r="BH43" s="4"/>
    </row>
    <row r="44" spans="1:60" outlineLevel="2">
      <c r="A44" s="4"/>
      <c r="B44" s="671" t="s">
        <v>581</v>
      </c>
      <c r="C44" s="117" t="s">
        <v>532</v>
      </c>
      <c r="D44" s="100">
        <v>40</v>
      </c>
      <c r="E44" s="100">
        <v>0</v>
      </c>
      <c r="F44" s="510">
        <v>0</v>
      </c>
      <c r="G44" s="100">
        <v>0</v>
      </c>
      <c r="H44" s="100">
        <v>0</v>
      </c>
      <c r="I44" s="100">
        <v>0</v>
      </c>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5"/>
      <c r="AT44" s="4"/>
      <c r="AU44" s="4"/>
      <c r="AV44" s="4"/>
      <c r="AW44" s="4"/>
      <c r="AX44" s="4"/>
      <c r="AY44" s="4"/>
      <c r="AZ44" s="4"/>
      <c r="BA44" s="4"/>
      <c r="BB44" s="4"/>
      <c r="BC44" s="4"/>
      <c r="BD44" s="4"/>
      <c r="BE44" s="4"/>
      <c r="BF44" s="4"/>
      <c r="BG44" s="4"/>
      <c r="BH44" s="4"/>
    </row>
    <row r="45" spans="1:60" outlineLevel="2">
      <c r="A45" s="4"/>
      <c r="B45" s="774"/>
      <c r="C45" s="117" t="s">
        <v>533</v>
      </c>
      <c r="D45" s="100">
        <v>40</v>
      </c>
      <c r="E45" s="100">
        <v>0</v>
      </c>
      <c r="F45" s="510">
        <v>0</v>
      </c>
      <c r="G45" s="100">
        <v>0</v>
      </c>
      <c r="H45" s="100">
        <v>0</v>
      </c>
      <c r="I45" s="100">
        <v>0</v>
      </c>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5"/>
      <c r="AT45" s="4"/>
      <c r="AU45" s="4"/>
      <c r="AV45" s="4"/>
      <c r="AW45" s="4"/>
      <c r="AX45" s="4"/>
      <c r="AY45" s="4"/>
      <c r="AZ45" s="4"/>
      <c r="BA45" s="4"/>
      <c r="BB45" s="4"/>
      <c r="BC45" s="4"/>
      <c r="BD45" s="4"/>
      <c r="BE45" s="4"/>
      <c r="BF45" s="4"/>
      <c r="BG45" s="4"/>
      <c r="BH45" s="4"/>
    </row>
    <row r="46" spans="1:60" outlineLevel="2">
      <c r="A46" s="4"/>
      <c r="B46" s="774"/>
      <c r="C46" s="117" t="s">
        <v>534</v>
      </c>
      <c r="D46" s="100">
        <v>40</v>
      </c>
      <c r="E46" s="100">
        <v>0</v>
      </c>
      <c r="F46" s="510">
        <v>0</v>
      </c>
      <c r="G46" s="100">
        <v>0</v>
      </c>
      <c r="H46" s="100">
        <v>0</v>
      </c>
      <c r="I46" s="100">
        <v>0</v>
      </c>
      <c r="J46" s="4"/>
      <c r="K46" s="4"/>
      <c r="L46" s="4"/>
      <c r="M46" s="4"/>
      <c r="N46" s="4"/>
      <c r="O46" s="91"/>
      <c r="P46" s="88"/>
      <c r="Q46" s="88"/>
      <c r="R46" s="88"/>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5"/>
      <c r="AT46" s="4"/>
      <c r="AU46" s="4"/>
      <c r="AV46" s="4"/>
      <c r="AW46" s="4"/>
      <c r="AX46" s="4"/>
      <c r="AY46" s="4"/>
      <c r="AZ46" s="4"/>
      <c r="BA46" s="4"/>
      <c r="BB46" s="4"/>
      <c r="BC46" s="4"/>
      <c r="BD46" s="4"/>
      <c r="BE46" s="4"/>
      <c r="BF46" s="4"/>
      <c r="BG46" s="4"/>
      <c r="BH46" s="4"/>
    </row>
    <row r="47" spans="1:60" outlineLevel="2">
      <c r="A47" s="4"/>
      <c r="B47" s="773"/>
      <c r="C47" s="117" t="s">
        <v>535</v>
      </c>
      <c r="D47" s="100">
        <v>40</v>
      </c>
      <c r="E47" s="100">
        <v>0</v>
      </c>
      <c r="F47" s="510">
        <v>0</v>
      </c>
      <c r="G47" s="100">
        <v>0</v>
      </c>
      <c r="H47" s="100">
        <v>0</v>
      </c>
      <c r="I47" s="100">
        <v>0</v>
      </c>
      <c r="J47" s="4"/>
      <c r="K47" s="4"/>
      <c r="L47" s="4"/>
      <c r="M47" s="4"/>
      <c r="N47" s="4"/>
      <c r="O47" s="86"/>
      <c r="P47" s="86"/>
      <c r="Q47" s="86"/>
      <c r="R47" s="86"/>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5"/>
      <c r="AT47" s="4"/>
      <c r="AU47" s="4"/>
      <c r="AV47" s="4"/>
      <c r="AW47" s="4"/>
      <c r="AX47" s="4"/>
      <c r="AY47" s="4"/>
      <c r="AZ47" s="4"/>
      <c r="BA47" s="4"/>
      <c r="BB47" s="4"/>
      <c r="BC47" s="4"/>
      <c r="BD47" s="4"/>
      <c r="BE47" s="4"/>
      <c r="BF47" s="4"/>
      <c r="BG47" s="4"/>
      <c r="BH47" s="4"/>
    </row>
    <row r="48" spans="1:60" outlineLevel="1">
      <c r="A48" s="4"/>
      <c r="B48" s="669"/>
      <c r="C48" s="775"/>
      <c r="D48" s="775"/>
      <c r="E48" s="775"/>
      <c r="F48" s="775"/>
      <c r="G48" s="775"/>
      <c r="H48" s="775"/>
      <c r="I48" s="770"/>
      <c r="J48" s="4"/>
      <c r="K48" s="4"/>
      <c r="L48" s="4"/>
      <c r="M48" s="4"/>
      <c r="N48" s="4"/>
      <c r="O48" s="86"/>
      <c r="P48" s="86"/>
      <c r="Q48" s="86"/>
      <c r="R48" s="86"/>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5"/>
      <c r="AT48" s="4"/>
      <c r="AU48" s="4"/>
      <c r="AV48" s="4"/>
      <c r="AW48" s="4"/>
      <c r="AX48" s="4"/>
      <c r="AY48" s="4"/>
      <c r="AZ48" s="4"/>
      <c r="BA48" s="4"/>
      <c r="BB48" s="4"/>
      <c r="BC48" s="4"/>
      <c r="BD48" s="4"/>
      <c r="BE48" s="4"/>
      <c r="BF48" s="4"/>
      <c r="BG48" s="4"/>
      <c r="BH48" s="4"/>
    </row>
    <row r="49" spans="1:60" outlineLevel="2">
      <c r="A49" s="4"/>
      <c r="B49" s="671" t="s">
        <v>472</v>
      </c>
      <c r="C49" s="117" t="s">
        <v>536</v>
      </c>
      <c r="D49" s="100">
        <v>40</v>
      </c>
      <c r="E49" s="100">
        <v>0</v>
      </c>
      <c r="F49" s="510">
        <v>0</v>
      </c>
      <c r="G49" s="100">
        <v>0</v>
      </c>
      <c r="H49" s="100">
        <v>0</v>
      </c>
      <c r="I49" s="100">
        <v>0</v>
      </c>
      <c r="J49" s="4"/>
      <c r="K49" s="4"/>
      <c r="L49" s="4"/>
      <c r="M49" s="4"/>
      <c r="N49" s="4"/>
      <c r="O49" s="86"/>
      <c r="P49" s="86"/>
      <c r="Q49" s="86"/>
      <c r="R49" s="86"/>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5"/>
      <c r="AT49" s="4"/>
      <c r="AU49" s="4"/>
      <c r="AV49" s="4"/>
      <c r="AW49" s="4"/>
      <c r="AX49" s="4"/>
      <c r="AY49" s="4"/>
      <c r="AZ49" s="4"/>
      <c r="BA49" s="4"/>
      <c r="BB49" s="4"/>
      <c r="BC49" s="4"/>
      <c r="BD49" s="4"/>
      <c r="BE49" s="4"/>
      <c r="BF49" s="4"/>
      <c r="BG49" s="4"/>
      <c r="BH49" s="4"/>
    </row>
    <row r="50" spans="1:60" outlineLevel="2">
      <c r="A50" s="4"/>
      <c r="B50" s="774"/>
      <c r="C50" s="117" t="s">
        <v>537</v>
      </c>
      <c r="D50" s="100">
        <v>40</v>
      </c>
      <c r="E50" s="100">
        <v>0</v>
      </c>
      <c r="F50" s="510">
        <v>0</v>
      </c>
      <c r="G50" s="100">
        <v>0</v>
      </c>
      <c r="H50" s="100">
        <v>0</v>
      </c>
      <c r="I50" s="100">
        <v>0</v>
      </c>
      <c r="J50" s="4"/>
      <c r="K50" s="4"/>
      <c r="L50" s="4"/>
      <c r="M50" s="4"/>
      <c r="N50" s="4"/>
      <c r="O50" s="86"/>
      <c r="P50" s="86"/>
      <c r="Q50" s="86"/>
      <c r="R50" s="86"/>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5"/>
      <c r="AT50" s="4"/>
      <c r="AU50" s="4"/>
      <c r="AV50" s="4"/>
      <c r="AW50" s="4"/>
      <c r="AX50" s="4"/>
      <c r="AY50" s="4"/>
      <c r="AZ50" s="4"/>
      <c r="BA50" s="4"/>
      <c r="BB50" s="4"/>
      <c r="BC50" s="4"/>
      <c r="BD50" s="4"/>
      <c r="BE50" s="4"/>
      <c r="BF50" s="4"/>
      <c r="BG50" s="4"/>
      <c r="BH50" s="4"/>
    </row>
    <row r="51" spans="1:60" outlineLevel="2">
      <c r="A51" s="4"/>
      <c r="B51" s="774"/>
      <c r="C51" s="117" t="s">
        <v>538</v>
      </c>
      <c r="D51" s="100">
        <v>40</v>
      </c>
      <c r="E51" s="100">
        <v>0</v>
      </c>
      <c r="F51" s="510">
        <v>0</v>
      </c>
      <c r="G51" s="100">
        <v>0</v>
      </c>
      <c r="H51" s="100">
        <v>0</v>
      </c>
      <c r="I51" s="100">
        <v>0</v>
      </c>
      <c r="J51" s="4"/>
      <c r="K51" s="4"/>
      <c r="L51" s="4"/>
      <c r="M51" s="4"/>
      <c r="N51" s="4"/>
      <c r="O51" s="86"/>
      <c r="P51" s="86"/>
      <c r="Q51" s="86"/>
      <c r="R51" s="86"/>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5"/>
      <c r="AT51" s="4"/>
      <c r="AU51" s="4"/>
      <c r="AV51" s="4"/>
      <c r="AW51" s="4"/>
      <c r="AX51" s="4"/>
      <c r="AY51" s="4"/>
      <c r="AZ51" s="4"/>
      <c r="BA51" s="4"/>
      <c r="BB51" s="4"/>
      <c r="BC51" s="4"/>
      <c r="BD51" s="4"/>
      <c r="BE51" s="4"/>
      <c r="BF51" s="4"/>
      <c r="BG51" s="4"/>
      <c r="BH51" s="4"/>
    </row>
    <row r="52" spans="1:60" outlineLevel="2">
      <c r="A52" s="4"/>
      <c r="B52" s="773"/>
      <c r="C52" s="117" t="s">
        <v>539</v>
      </c>
      <c r="D52" s="100">
        <v>40</v>
      </c>
      <c r="E52" s="100">
        <v>0</v>
      </c>
      <c r="F52" s="510">
        <v>0</v>
      </c>
      <c r="G52" s="100">
        <v>0</v>
      </c>
      <c r="H52" s="100">
        <v>0</v>
      </c>
      <c r="I52" s="100">
        <v>0</v>
      </c>
      <c r="J52" s="4"/>
      <c r="K52" s="4"/>
      <c r="L52" s="4"/>
      <c r="M52" s="4"/>
      <c r="N52" s="4"/>
      <c r="O52" s="86"/>
      <c r="P52" s="86"/>
      <c r="Q52" s="86"/>
      <c r="R52" s="86"/>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5"/>
      <c r="AT52" s="4"/>
      <c r="AU52" s="4"/>
      <c r="AV52" s="4"/>
      <c r="AW52" s="4"/>
      <c r="AX52" s="4"/>
      <c r="AY52" s="4"/>
      <c r="AZ52" s="4"/>
      <c r="BA52" s="4"/>
      <c r="BB52" s="4"/>
      <c r="BC52" s="4"/>
      <c r="BD52" s="4"/>
      <c r="BE52" s="4"/>
      <c r="BF52" s="4"/>
      <c r="BG52" s="4"/>
      <c r="BH52" s="4"/>
    </row>
    <row r="53" spans="1:60" outlineLevel="1">
      <c r="A53" s="4"/>
      <c r="B53" s="669"/>
      <c r="C53" s="775"/>
      <c r="D53" s="775"/>
      <c r="E53" s="775"/>
      <c r="F53" s="775"/>
      <c r="G53" s="775"/>
      <c r="H53" s="775"/>
      <c r="I53" s="770"/>
      <c r="J53" s="4"/>
      <c r="K53" s="4"/>
      <c r="L53" s="4"/>
      <c r="M53" s="4"/>
      <c r="N53" s="4"/>
      <c r="O53" s="86"/>
      <c r="P53" s="86"/>
      <c r="Q53" s="86"/>
      <c r="R53" s="86"/>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5"/>
      <c r="AT53" s="4"/>
      <c r="AU53" s="4"/>
      <c r="AV53" s="4"/>
      <c r="AW53" s="4"/>
      <c r="AX53" s="4"/>
      <c r="AY53" s="4"/>
      <c r="AZ53" s="4"/>
      <c r="BA53" s="4"/>
      <c r="BB53" s="4"/>
      <c r="BC53" s="4"/>
      <c r="BD53" s="4"/>
      <c r="BE53" s="4"/>
      <c r="BF53" s="4"/>
      <c r="BG53" s="4"/>
      <c r="BH53" s="4"/>
    </row>
    <row r="54" spans="1:60" outlineLevel="2">
      <c r="A54" s="4"/>
      <c r="B54" s="671" t="s">
        <v>582</v>
      </c>
      <c r="C54" s="117" t="s">
        <v>540</v>
      </c>
      <c r="D54" s="100">
        <v>40</v>
      </c>
      <c r="E54" s="100">
        <v>0</v>
      </c>
      <c r="F54" s="510">
        <v>0</v>
      </c>
      <c r="G54" s="100">
        <v>0</v>
      </c>
      <c r="H54" s="100">
        <v>0</v>
      </c>
      <c r="I54" s="100">
        <v>0</v>
      </c>
      <c r="J54" s="4"/>
      <c r="K54" s="4"/>
      <c r="L54" s="4"/>
      <c r="M54" s="4"/>
      <c r="N54" s="4"/>
      <c r="O54" s="86"/>
      <c r="P54" s="86"/>
      <c r="Q54" s="86"/>
      <c r="R54" s="86"/>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5"/>
      <c r="AT54" s="4"/>
      <c r="AU54" s="4"/>
      <c r="AV54" s="4"/>
      <c r="AW54" s="4"/>
      <c r="AX54" s="4"/>
      <c r="AY54" s="4"/>
      <c r="AZ54" s="4"/>
      <c r="BA54" s="4"/>
      <c r="BB54" s="4"/>
      <c r="BC54" s="4"/>
      <c r="BD54" s="4"/>
      <c r="BE54" s="4"/>
      <c r="BF54" s="4"/>
      <c r="BG54" s="4"/>
      <c r="BH54" s="4"/>
    </row>
    <row r="55" spans="1:60" outlineLevel="2">
      <c r="A55" s="4"/>
      <c r="B55" s="774"/>
      <c r="C55" s="117" t="s">
        <v>541</v>
      </c>
      <c r="D55" s="100">
        <v>40</v>
      </c>
      <c r="E55" s="100">
        <v>0</v>
      </c>
      <c r="F55" s="510">
        <v>0</v>
      </c>
      <c r="G55" s="100">
        <v>0</v>
      </c>
      <c r="H55" s="100">
        <v>0</v>
      </c>
      <c r="I55" s="100">
        <v>0</v>
      </c>
      <c r="J55" s="4"/>
      <c r="K55" s="4"/>
      <c r="L55" s="4"/>
      <c r="M55" s="4"/>
      <c r="N55" s="4"/>
      <c r="O55" s="86"/>
      <c r="P55" s="86"/>
      <c r="Q55" s="86"/>
      <c r="R55" s="86"/>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5"/>
      <c r="AT55" s="4"/>
      <c r="AU55" s="4"/>
      <c r="AV55" s="4"/>
      <c r="AW55" s="4"/>
      <c r="AX55" s="4"/>
      <c r="AY55" s="4"/>
      <c r="AZ55" s="4"/>
      <c r="BA55" s="4"/>
      <c r="BB55" s="4"/>
      <c r="BC55" s="4"/>
      <c r="BD55" s="4"/>
      <c r="BE55" s="4"/>
      <c r="BF55" s="4"/>
      <c r="BG55" s="4"/>
      <c r="BH55" s="4"/>
    </row>
    <row r="56" spans="1:60" outlineLevel="2">
      <c r="A56" s="4"/>
      <c r="B56" s="774"/>
      <c r="C56" s="117" t="s">
        <v>542</v>
      </c>
      <c r="D56" s="100">
        <v>40</v>
      </c>
      <c r="E56" s="100">
        <v>0</v>
      </c>
      <c r="F56" s="510">
        <v>0</v>
      </c>
      <c r="G56" s="100">
        <v>0</v>
      </c>
      <c r="H56" s="100">
        <v>0</v>
      </c>
      <c r="I56" s="100">
        <v>0</v>
      </c>
      <c r="J56" s="4"/>
      <c r="K56" s="4"/>
      <c r="L56" s="4"/>
      <c r="M56" s="4"/>
      <c r="N56" s="4"/>
      <c r="O56" s="86"/>
      <c r="P56" s="86"/>
      <c r="Q56" s="86"/>
      <c r="R56" s="86"/>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5"/>
      <c r="AT56" s="4"/>
      <c r="AU56" s="4"/>
      <c r="AV56" s="4"/>
      <c r="AW56" s="4"/>
      <c r="AX56" s="4"/>
      <c r="AY56" s="4"/>
      <c r="AZ56" s="4"/>
      <c r="BA56" s="4"/>
      <c r="BB56" s="4"/>
      <c r="BC56" s="4"/>
      <c r="BD56" s="4"/>
      <c r="BE56" s="4"/>
      <c r="BF56" s="4"/>
      <c r="BG56" s="4"/>
      <c r="BH56" s="4"/>
    </row>
    <row r="57" spans="1:60" outlineLevel="2">
      <c r="A57" s="4"/>
      <c r="B57" s="774"/>
      <c r="C57" s="117" t="s">
        <v>543</v>
      </c>
      <c r="D57" s="100">
        <v>40</v>
      </c>
      <c r="E57" s="100">
        <v>0</v>
      </c>
      <c r="F57" s="510">
        <v>0</v>
      </c>
      <c r="G57" s="100">
        <v>0</v>
      </c>
      <c r="H57" s="100">
        <v>0</v>
      </c>
      <c r="I57" s="100">
        <v>0</v>
      </c>
      <c r="J57" s="4"/>
      <c r="K57" s="4"/>
      <c r="L57" s="4"/>
      <c r="M57" s="4"/>
      <c r="N57" s="4"/>
      <c r="O57" s="86"/>
      <c r="P57" s="86"/>
      <c r="Q57" s="86"/>
      <c r="R57" s="86"/>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5"/>
      <c r="AT57" s="4"/>
      <c r="AU57" s="4"/>
      <c r="AV57" s="4"/>
      <c r="AW57" s="4"/>
      <c r="AX57" s="4"/>
      <c r="AY57" s="4"/>
      <c r="AZ57" s="4"/>
      <c r="BA57" s="4"/>
      <c r="BB57" s="4"/>
      <c r="BC57" s="4"/>
      <c r="BD57" s="4"/>
      <c r="BE57" s="4"/>
      <c r="BF57" s="4"/>
      <c r="BG57" s="4"/>
      <c r="BH57" s="4"/>
    </row>
    <row r="58" spans="1:60" outlineLevel="2">
      <c r="A58" s="4"/>
      <c r="B58" s="773"/>
      <c r="C58" s="117" t="s">
        <v>544</v>
      </c>
      <c r="D58" s="100">
        <v>40</v>
      </c>
      <c r="E58" s="100">
        <v>0</v>
      </c>
      <c r="F58" s="510">
        <v>0</v>
      </c>
      <c r="G58" s="100">
        <v>0</v>
      </c>
      <c r="H58" s="100">
        <v>0</v>
      </c>
      <c r="I58" s="100">
        <v>0</v>
      </c>
      <c r="J58" s="4"/>
      <c r="K58" s="4"/>
      <c r="L58" s="4"/>
      <c r="M58" s="4"/>
      <c r="N58" s="4"/>
      <c r="O58" s="86"/>
      <c r="P58" s="86"/>
      <c r="Q58" s="86"/>
      <c r="R58" s="86"/>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5"/>
      <c r="AT58" s="4"/>
      <c r="AU58" s="4"/>
      <c r="AV58" s="4"/>
      <c r="AW58" s="4"/>
      <c r="AX58" s="4"/>
      <c r="AY58" s="4"/>
      <c r="AZ58" s="4"/>
      <c r="BA58" s="4"/>
      <c r="BB58" s="4"/>
      <c r="BC58" s="4"/>
      <c r="BD58" s="4"/>
      <c r="BE58" s="4"/>
      <c r="BF58" s="4"/>
      <c r="BG58" s="4"/>
      <c r="BH58" s="4"/>
    </row>
    <row r="59" spans="1:60" outlineLevel="1">
      <c r="A59" s="4"/>
      <c r="B59" s="669"/>
      <c r="C59" s="775"/>
      <c r="D59" s="775"/>
      <c r="E59" s="775"/>
      <c r="F59" s="775"/>
      <c r="G59" s="775"/>
      <c r="H59" s="775"/>
      <c r="I59" s="770"/>
      <c r="J59" s="4"/>
      <c r="K59" s="4"/>
      <c r="L59" s="4"/>
      <c r="M59" s="4"/>
      <c r="N59" s="4"/>
      <c r="O59" s="86"/>
      <c r="P59" s="86"/>
      <c r="Q59" s="86"/>
      <c r="R59" s="86"/>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5"/>
      <c r="AT59" s="4"/>
      <c r="AU59" s="4"/>
      <c r="AV59" s="4"/>
      <c r="AW59" s="4"/>
      <c r="AX59" s="4"/>
      <c r="AY59" s="4"/>
      <c r="AZ59" s="4"/>
      <c r="BA59" s="4"/>
      <c r="BB59" s="4"/>
      <c r="BC59" s="4"/>
      <c r="BD59" s="4"/>
      <c r="BE59" s="4"/>
      <c r="BF59" s="4"/>
      <c r="BG59" s="4"/>
      <c r="BH59" s="4"/>
    </row>
    <row r="60" spans="1:60" outlineLevel="2">
      <c r="A60" s="4"/>
      <c r="B60" s="671" t="s">
        <v>474</v>
      </c>
      <c r="C60" s="117" t="s">
        <v>545</v>
      </c>
      <c r="D60" s="100">
        <v>40</v>
      </c>
      <c r="E60" s="100">
        <v>0</v>
      </c>
      <c r="F60" s="510">
        <v>0</v>
      </c>
      <c r="G60" s="100">
        <v>0</v>
      </c>
      <c r="H60" s="100">
        <v>0</v>
      </c>
      <c r="I60" s="100">
        <v>0</v>
      </c>
      <c r="J60" s="4"/>
      <c r="K60" s="4"/>
      <c r="L60" s="4"/>
      <c r="M60" s="4"/>
      <c r="N60" s="4"/>
      <c r="O60" s="86"/>
      <c r="P60" s="86"/>
      <c r="Q60" s="86"/>
      <c r="R60" s="86"/>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5"/>
      <c r="AT60" s="4"/>
      <c r="AU60" s="4"/>
      <c r="AV60" s="4"/>
      <c r="AW60" s="4"/>
      <c r="AX60" s="4"/>
      <c r="AY60" s="4"/>
      <c r="AZ60" s="4"/>
      <c r="BA60" s="4"/>
      <c r="BB60" s="4"/>
      <c r="BC60" s="4"/>
      <c r="BD60" s="4"/>
      <c r="BE60" s="4"/>
      <c r="BF60" s="4"/>
      <c r="BG60" s="4"/>
      <c r="BH60" s="4"/>
    </row>
    <row r="61" spans="1:60" outlineLevel="2">
      <c r="A61" s="4"/>
      <c r="B61" s="774"/>
      <c r="C61" s="117" t="s">
        <v>546</v>
      </c>
      <c r="D61" s="100">
        <v>40</v>
      </c>
      <c r="E61" s="100">
        <v>0</v>
      </c>
      <c r="F61" s="510">
        <v>0</v>
      </c>
      <c r="G61" s="100">
        <v>0</v>
      </c>
      <c r="H61" s="100">
        <v>0</v>
      </c>
      <c r="I61" s="100">
        <v>0</v>
      </c>
      <c r="J61" s="4"/>
      <c r="K61" s="4"/>
      <c r="L61" s="4"/>
      <c r="M61" s="4"/>
      <c r="N61" s="4"/>
      <c r="O61" s="86"/>
      <c r="P61" s="86"/>
      <c r="Q61" s="86"/>
      <c r="R61" s="86"/>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5"/>
      <c r="AT61" s="4"/>
      <c r="AU61" s="4"/>
      <c r="AV61" s="4"/>
      <c r="AW61" s="4"/>
      <c r="AX61" s="4"/>
      <c r="AY61" s="4"/>
      <c r="AZ61" s="4"/>
      <c r="BA61" s="4"/>
      <c r="BB61" s="4"/>
      <c r="BC61" s="4"/>
      <c r="BD61" s="4"/>
      <c r="BE61" s="4"/>
      <c r="BF61" s="4"/>
      <c r="BG61" s="4"/>
      <c r="BH61" s="4"/>
    </row>
    <row r="62" spans="1:60" outlineLevel="2">
      <c r="A62" s="4"/>
      <c r="B62" s="774"/>
      <c r="C62" s="117" t="s">
        <v>547</v>
      </c>
      <c r="D62" s="100">
        <v>40</v>
      </c>
      <c r="E62" s="100">
        <v>0</v>
      </c>
      <c r="F62" s="510">
        <v>0</v>
      </c>
      <c r="G62" s="100">
        <v>0</v>
      </c>
      <c r="H62" s="100">
        <v>0</v>
      </c>
      <c r="I62" s="100">
        <v>0</v>
      </c>
      <c r="J62" s="4"/>
      <c r="K62" s="4"/>
      <c r="L62" s="4"/>
      <c r="M62" s="4"/>
      <c r="N62" s="4"/>
      <c r="O62" s="86"/>
      <c r="P62" s="86"/>
      <c r="Q62" s="86"/>
      <c r="R62" s="86"/>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5"/>
      <c r="AT62" s="4"/>
      <c r="AU62" s="4"/>
      <c r="AV62" s="4"/>
      <c r="AW62" s="4"/>
      <c r="AX62" s="4"/>
      <c r="AY62" s="4"/>
      <c r="AZ62" s="4"/>
      <c r="BA62" s="4"/>
      <c r="BB62" s="4"/>
      <c r="BC62" s="4"/>
      <c r="BD62" s="4"/>
      <c r="BE62" s="4"/>
      <c r="BF62" s="4"/>
      <c r="BG62" s="4"/>
      <c r="BH62" s="4"/>
    </row>
    <row r="63" spans="1:60" outlineLevel="2">
      <c r="A63" s="4"/>
      <c r="B63" s="773"/>
      <c r="C63" s="117" t="s">
        <v>548</v>
      </c>
      <c r="D63" s="100">
        <v>40</v>
      </c>
      <c r="E63" s="100">
        <v>0</v>
      </c>
      <c r="F63" s="510">
        <v>0</v>
      </c>
      <c r="G63" s="100">
        <v>0</v>
      </c>
      <c r="H63" s="100">
        <v>0</v>
      </c>
      <c r="I63" s="100">
        <v>0</v>
      </c>
      <c r="J63" s="4"/>
      <c r="K63" s="4"/>
      <c r="L63" s="4"/>
      <c r="M63" s="4"/>
      <c r="N63" s="4"/>
      <c r="O63" s="86"/>
      <c r="P63" s="86"/>
      <c r="Q63" s="86"/>
      <c r="R63" s="86"/>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5"/>
      <c r="AT63" s="4"/>
      <c r="AU63" s="4"/>
      <c r="AV63" s="4"/>
      <c r="AW63" s="4"/>
      <c r="AX63" s="4"/>
      <c r="AY63" s="4"/>
      <c r="AZ63" s="4"/>
      <c r="BA63" s="4"/>
      <c r="BB63" s="4"/>
      <c r="BC63" s="4"/>
      <c r="BD63" s="4"/>
      <c r="BE63" s="4"/>
      <c r="BF63" s="4"/>
      <c r="BG63" s="4"/>
      <c r="BH63" s="4"/>
    </row>
    <row r="64" spans="1:60" outlineLevel="1">
      <c r="A64" s="4"/>
      <c r="B64" s="669"/>
      <c r="C64" s="775"/>
      <c r="D64" s="775"/>
      <c r="E64" s="775"/>
      <c r="F64" s="775"/>
      <c r="G64" s="775"/>
      <c r="H64" s="775"/>
      <c r="I64" s="770"/>
      <c r="J64" s="4"/>
      <c r="K64" s="4"/>
      <c r="L64" s="4"/>
      <c r="M64" s="4"/>
      <c r="N64" s="4"/>
      <c r="O64" s="86"/>
      <c r="P64" s="86"/>
      <c r="Q64" s="86"/>
      <c r="R64" s="86"/>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5"/>
      <c r="AT64" s="4"/>
      <c r="AU64" s="4"/>
      <c r="AV64" s="4"/>
      <c r="AW64" s="4"/>
      <c r="AX64" s="4"/>
      <c r="AY64" s="4"/>
      <c r="AZ64" s="4"/>
      <c r="BA64" s="4"/>
      <c r="BB64" s="4"/>
      <c r="BC64" s="4"/>
      <c r="BD64" s="4"/>
      <c r="BE64" s="4"/>
      <c r="BF64" s="4"/>
      <c r="BG64" s="4"/>
      <c r="BH64" s="4"/>
    </row>
    <row r="65" spans="1:60" outlineLevel="2">
      <c r="A65" s="4"/>
      <c r="B65" s="671" t="s">
        <v>583</v>
      </c>
      <c r="C65" s="117" t="s">
        <v>549</v>
      </c>
      <c r="D65" s="100">
        <v>40</v>
      </c>
      <c r="E65" s="100">
        <v>0</v>
      </c>
      <c r="F65" s="510">
        <v>0</v>
      </c>
      <c r="G65" s="100">
        <v>0</v>
      </c>
      <c r="H65" s="100">
        <v>0</v>
      </c>
      <c r="I65" s="100">
        <v>0</v>
      </c>
      <c r="J65" s="4"/>
      <c r="K65" s="4"/>
      <c r="L65" s="4"/>
      <c r="M65" s="4"/>
      <c r="N65" s="4"/>
      <c r="O65" s="86"/>
      <c r="P65" s="86"/>
      <c r="Q65" s="86"/>
      <c r="R65" s="86"/>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5"/>
      <c r="AT65" s="4"/>
      <c r="AU65" s="4"/>
      <c r="AV65" s="4"/>
      <c r="AW65" s="4"/>
      <c r="AX65" s="4"/>
      <c r="AY65" s="4"/>
      <c r="AZ65" s="4"/>
      <c r="BA65" s="4"/>
      <c r="BB65" s="4"/>
      <c r="BC65" s="4"/>
      <c r="BD65" s="4"/>
      <c r="BE65" s="4"/>
      <c r="BF65" s="4"/>
      <c r="BG65" s="4"/>
      <c r="BH65" s="4"/>
    </row>
    <row r="66" spans="1:60" outlineLevel="2">
      <c r="A66" s="4"/>
      <c r="B66" s="774"/>
      <c r="C66" s="117" t="s">
        <v>550</v>
      </c>
      <c r="D66" s="100">
        <v>40</v>
      </c>
      <c r="E66" s="100">
        <v>0</v>
      </c>
      <c r="F66" s="510">
        <v>0</v>
      </c>
      <c r="G66" s="100">
        <v>0</v>
      </c>
      <c r="H66" s="100">
        <v>0</v>
      </c>
      <c r="I66" s="100">
        <v>0</v>
      </c>
      <c r="J66" s="4"/>
      <c r="K66" s="4"/>
      <c r="L66" s="4"/>
      <c r="M66" s="4"/>
      <c r="N66" s="4"/>
      <c r="O66" s="86"/>
      <c r="P66" s="86"/>
      <c r="Q66" s="86"/>
      <c r="R66" s="86"/>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5"/>
      <c r="AT66" s="4"/>
      <c r="AU66" s="4"/>
      <c r="AV66" s="4"/>
      <c r="AW66" s="4"/>
      <c r="AX66" s="4"/>
      <c r="AY66" s="4"/>
      <c r="AZ66" s="4"/>
      <c r="BA66" s="4"/>
      <c r="BB66" s="4"/>
      <c r="BC66" s="4"/>
      <c r="BD66" s="4"/>
      <c r="BE66" s="4"/>
      <c r="BF66" s="4"/>
      <c r="BG66" s="4"/>
      <c r="BH66" s="4"/>
    </row>
    <row r="67" spans="1:60" outlineLevel="2">
      <c r="A67" s="4"/>
      <c r="B67" s="774"/>
      <c r="C67" s="117" t="s">
        <v>551</v>
      </c>
      <c r="D67" s="100">
        <v>40</v>
      </c>
      <c r="E67" s="100">
        <v>0</v>
      </c>
      <c r="F67" s="510">
        <v>0</v>
      </c>
      <c r="G67" s="100">
        <v>0</v>
      </c>
      <c r="H67" s="100">
        <v>0</v>
      </c>
      <c r="I67" s="100">
        <v>0</v>
      </c>
      <c r="J67" s="4"/>
      <c r="K67" s="4"/>
      <c r="L67" s="4"/>
      <c r="M67" s="4"/>
      <c r="N67" s="4"/>
      <c r="O67" s="86"/>
      <c r="P67" s="86"/>
      <c r="Q67" s="86"/>
      <c r="R67" s="86"/>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5"/>
      <c r="AT67" s="4"/>
      <c r="AU67" s="4"/>
      <c r="AV67" s="4"/>
      <c r="AW67" s="4"/>
      <c r="AX67" s="4"/>
      <c r="AY67" s="4"/>
      <c r="AZ67" s="4"/>
      <c r="BA67" s="4"/>
      <c r="BB67" s="4"/>
      <c r="BC67" s="4"/>
      <c r="BD67" s="4"/>
      <c r="BE67" s="4"/>
      <c r="BF67" s="4"/>
      <c r="BG67" s="4"/>
      <c r="BH67" s="4"/>
    </row>
    <row r="68" spans="1:60" outlineLevel="2">
      <c r="A68" s="4"/>
      <c r="B68" s="773"/>
      <c r="C68" s="117" t="s">
        <v>552</v>
      </c>
      <c r="D68" s="100">
        <v>40</v>
      </c>
      <c r="E68" s="100">
        <v>0</v>
      </c>
      <c r="F68" s="510">
        <v>0</v>
      </c>
      <c r="G68" s="100">
        <v>0</v>
      </c>
      <c r="H68" s="100">
        <v>0</v>
      </c>
      <c r="I68" s="100">
        <v>0</v>
      </c>
      <c r="J68" s="4"/>
      <c r="K68" s="4"/>
      <c r="L68" s="4"/>
      <c r="M68" s="4"/>
      <c r="N68" s="4"/>
      <c r="O68" s="86"/>
      <c r="P68" s="86"/>
      <c r="Q68" s="86"/>
      <c r="R68" s="86"/>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5"/>
      <c r="AT68" s="4"/>
      <c r="AU68" s="4"/>
      <c r="AV68" s="4"/>
      <c r="AW68" s="4"/>
      <c r="AX68" s="4"/>
      <c r="AY68" s="4"/>
      <c r="AZ68" s="4"/>
      <c r="BA68" s="4"/>
      <c r="BB68" s="4"/>
      <c r="BC68" s="4"/>
      <c r="BD68" s="4"/>
      <c r="BE68" s="4"/>
      <c r="BF68" s="4"/>
      <c r="BG68" s="4"/>
      <c r="BH68" s="4"/>
    </row>
    <row r="69" spans="1:60">
      <c r="A69" s="4"/>
      <c r="B69" s="3"/>
      <c r="C69" s="3"/>
      <c r="D69" s="4"/>
      <c r="E69" s="4"/>
      <c r="F69" s="4"/>
      <c r="G69" s="4"/>
      <c r="H69" s="4"/>
      <c r="I69" s="4"/>
      <c r="J69" s="4"/>
      <c r="K69" s="4"/>
      <c r="L69" s="4"/>
      <c r="M69" s="4"/>
      <c r="N69" s="4"/>
      <c r="O69" s="86"/>
      <c r="P69" s="86"/>
      <c r="Q69" s="86"/>
      <c r="R69" s="86"/>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5"/>
      <c r="AT69" s="4"/>
      <c r="AU69" s="4"/>
      <c r="AV69" s="4"/>
      <c r="AW69" s="4"/>
      <c r="AX69" s="4"/>
      <c r="AY69" s="4"/>
      <c r="AZ69" s="4"/>
      <c r="BA69" s="4"/>
      <c r="BB69" s="4"/>
      <c r="BC69" s="4"/>
      <c r="BD69" s="4"/>
      <c r="BE69" s="4"/>
      <c r="BF69" s="4"/>
      <c r="BG69" s="4"/>
      <c r="BH69" s="4"/>
    </row>
    <row r="70" spans="1:60">
      <c r="A70" s="4"/>
      <c r="B70" s="3"/>
      <c r="C70" s="3"/>
      <c r="D70" s="4"/>
      <c r="E70" s="4"/>
      <c r="F70" s="4"/>
      <c r="G70" s="4"/>
      <c r="H70" s="4"/>
      <c r="I70" s="4"/>
      <c r="J70" s="4"/>
      <c r="K70" s="4"/>
      <c r="L70" s="4"/>
      <c r="M70" s="4"/>
      <c r="N70" s="4"/>
      <c r="O70" s="86"/>
      <c r="P70" s="86"/>
      <c r="Q70" s="86"/>
      <c r="R70" s="86"/>
      <c r="S70" s="4"/>
      <c r="T70" s="4"/>
      <c r="U70" s="4"/>
      <c r="V70" s="4"/>
      <c r="W70" s="4"/>
      <c r="X70" s="4"/>
      <c r="Y70" s="4"/>
      <c r="Z70" s="4"/>
      <c r="AA70" s="4"/>
      <c r="AB70" s="4"/>
      <c r="AC70" s="4"/>
      <c r="AD70" s="4"/>
      <c r="AE70" s="4"/>
      <c r="AF70" s="4"/>
      <c r="AG70" s="4"/>
      <c r="AH70" s="4"/>
      <c r="AI70" s="4"/>
      <c r="AJ70" s="4"/>
      <c r="AK70" s="4"/>
      <c r="AL70" s="4"/>
      <c r="AM70" s="4"/>
      <c r="AN70" s="4"/>
      <c r="AO70" s="4"/>
      <c r="AP70" s="4"/>
      <c r="AQ70" s="4"/>
      <c r="AR70" s="4"/>
      <c r="AS70" s="5"/>
      <c r="AT70" s="4"/>
      <c r="AU70" s="4"/>
      <c r="AV70" s="4"/>
      <c r="AW70" s="4"/>
      <c r="AX70" s="4"/>
      <c r="AY70" s="4"/>
      <c r="AZ70" s="4"/>
      <c r="BA70" s="4"/>
      <c r="BB70" s="4"/>
      <c r="BC70" s="4"/>
      <c r="BD70" s="4"/>
      <c r="BE70" s="4"/>
      <c r="BF70" s="4"/>
      <c r="BG70" s="4"/>
      <c r="BH70" s="4"/>
    </row>
    <row r="71" spans="1:60">
      <c r="A71" s="4"/>
      <c r="B71" s="3"/>
      <c r="C71" s="3"/>
      <c r="D71" s="4"/>
      <c r="E71" s="4"/>
      <c r="F71" s="4"/>
      <c r="G71" s="4"/>
      <c r="H71" s="4"/>
      <c r="I71" s="4"/>
      <c r="J71" s="4"/>
      <c r="K71" s="4"/>
      <c r="L71" s="4"/>
      <c r="M71" s="4"/>
      <c r="N71" s="4"/>
      <c r="O71" s="86"/>
      <c r="P71" s="86"/>
      <c r="Q71" s="86"/>
      <c r="R71" s="86"/>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85"/>
      <c r="AT71" s="672" t="s">
        <v>465</v>
      </c>
      <c r="AU71" s="769"/>
      <c r="AV71" s="769"/>
      <c r="AW71" s="769"/>
      <c r="AX71" s="769"/>
      <c r="AY71" s="769"/>
      <c r="AZ71" s="769"/>
      <c r="BA71" s="769"/>
      <c r="BB71" s="769"/>
      <c r="BC71" s="769"/>
      <c r="BD71" s="769"/>
      <c r="BE71" s="769"/>
      <c r="BF71" s="769"/>
      <c r="BG71" s="769"/>
      <c r="BH71" s="769"/>
    </row>
    <row r="72" spans="1:60">
      <c r="A72" s="4"/>
      <c r="B72" s="673" t="s">
        <v>574</v>
      </c>
      <c r="C72" s="112"/>
      <c r="D72" s="113" t="s">
        <v>483</v>
      </c>
      <c r="E72" s="113" t="s">
        <v>564</v>
      </c>
      <c r="F72" s="113" t="s">
        <v>566</v>
      </c>
      <c r="G72" s="113" t="s">
        <v>565</v>
      </c>
      <c r="H72" s="113" t="s">
        <v>568</v>
      </c>
      <c r="I72" s="113" t="s">
        <v>569</v>
      </c>
      <c r="J72" s="114"/>
      <c r="K72" s="114"/>
      <c r="L72" s="115"/>
      <c r="M72" s="115"/>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c r="AP72" s="4"/>
      <c r="AQ72" s="4"/>
      <c r="AR72" s="4"/>
      <c r="AS72" s="85"/>
      <c r="AT72" s="4" t="s">
        <v>584</v>
      </c>
      <c r="AU72" s="4" t="s">
        <v>585</v>
      </c>
      <c r="AV72" s="4" t="s">
        <v>586</v>
      </c>
      <c r="AW72" s="4" t="s">
        <v>587</v>
      </c>
      <c r="AX72" s="4" t="s">
        <v>588</v>
      </c>
      <c r="AY72" s="4" t="s">
        <v>589</v>
      </c>
      <c r="AZ72" s="4" t="s">
        <v>590</v>
      </c>
      <c r="BA72" s="4" t="s">
        <v>591</v>
      </c>
      <c r="BB72" s="4" t="s">
        <v>592</v>
      </c>
      <c r="BC72" s="4" t="s">
        <v>593</v>
      </c>
      <c r="BD72" s="4" t="s">
        <v>594</v>
      </c>
      <c r="BE72" s="86" t="s">
        <v>595</v>
      </c>
      <c r="BF72" s="86" t="s">
        <v>136</v>
      </c>
      <c r="BG72" s="86" t="s">
        <v>596</v>
      </c>
      <c r="BH72" s="86" t="s">
        <v>597</v>
      </c>
    </row>
    <row r="73" spans="1:60">
      <c r="A73" s="4"/>
      <c r="B73" s="773"/>
      <c r="C73" s="116">
        <v>2024</v>
      </c>
      <c r="D73" s="100">
        <v>0</v>
      </c>
      <c r="E73" s="100">
        <v>0</v>
      </c>
      <c r="F73" s="510">
        <v>0</v>
      </c>
      <c r="G73" s="100">
        <v>0</v>
      </c>
      <c r="H73" s="100">
        <v>0</v>
      </c>
      <c r="I73" s="100">
        <v>0</v>
      </c>
      <c r="J73" s="511"/>
      <c r="K73" s="511"/>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4"/>
      <c r="AR73" s="4"/>
      <c r="AS73" s="85" t="s">
        <v>572</v>
      </c>
      <c r="AT73" s="4"/>
      <c r="AU73" s="4"/>
      <c r="AV73" s="4"/>
      <c r="AW73" s="4"/>
      <c r="AX73" s="4"/>
      <c r="AY73" s="4"/>
      <c r="AZ73" s="4"/>
      <c r="BA73" s="4"/>
      <c r="BB73" s="4"/>
      <c r="BC73" s="4"/>
      <c r="BD73" s="4"/>
      <c r="BE73" s="86"/>
      <c r="BF73" s="86"/>
      <c r="BG73" s="86"/>
      <c r="BH73" s="86"/>
    </row>
    <row r="74" spans="1:60" ht="18" customHeight="1" outlineLevel="2">
      <c r="A74" s="4"/>
      <c r="B74" s="674" t="s">
        <v>575</v>
      </c>
      <c r="C74" s="116" t="s">
        <v>501</v>
      </c>
      <c r="D74" s="100">
        <v>0</v>
      </c>
      <c r="E74" s="100">
        <v>0</v>
      </c>
      <c r="F74" s="510">
        <v>0</v>
      </c>
      <c r="G74" s="100">
        <v>0</v>
      </c>
      <c r="H74" s="100">
        <v>0</v>
      </c>
      <c r="I74" s="100">
        <v>0</v>
      </c>
      <c r="J74" s="511"/>
      <c r="K74" s="511"/>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c r="AP74" s="4"/>
      <c r="AQ74" s="4"/>
      <c r="AR74" s="4"/>
      <c r="AS74" s="85" t="s">
        <v>573</v>
      </c>
      <c r="AT74" s="4"/>
      <c r="AU74" s="4"/>
      <c r="AV74" s="4"/>
      <c r="AW74" s="4"/>
      <c r="AX74" s="4"/>
      <c r="AY74" s="4"/>
      <c r="AZ74" s="4"/>
      <c r="BA74" s="4"/>
      <c r="BB74" s="4"/>
      <c r="BC74" s="4"/>
      <c r="BD74" s="4"/>
      <c r="BE74" s="86"/>
      <c r="BF74" s="86"/>
      <c r="BG74" s="86"/>
      <c r="BH74" s="86"/>
    </row>
    <row r="75" spans="1:60" outlineLevel="2">
      <c r="A75" s="4"/>
      <c r="B75" s="774"/>
      <c r="C75" s="116" t="s">
        <v>502</v>
      </c>
      <c r="D75" s="100">
        <v>0</v>
      </c>
      <c r="E75" s="100">
        <v>0</v>
      </c>
      <c r="F75" s="510">
        <v>0</v>
      </c>
      <c r="G75" s="100">
        <v>0</v>
      </c>
      <c r="H75" s="100">
        <v>0</v>
      </c>
      <c r="I75" s="100">
        <v>0</v>
      </c>
      <c r="J75" s="511"/>
      <c r="K75" s="511"/>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c r="AP75" s="4"/>
      <c r="AQ75" s="4"/>
      <c r="AR75" s="4"/>
      <c r="AS75" s="5"/>
      <c r="AT75" s="4"/>
      <c r="AU75" s="4"/>
      <c r="AV75" s="4"/>
      <c r="AW75" s="4"/>
      <c r="AX75" s="4"/>
      <c r="AY75" s="4"/>
      <c r="AZ75" s="4"/>
      <c r="BA75" s="4"/>
      <c r="BB75" s="4"/>
      <c r="BC75" s="4"/>
      <c r="BD75" s="4"/>
      <c r="BE75" s="4"/>
      <c r="BF75" s="4"/>
      <c r="BG75" s="4"/>
      <c r="BH75" s="4"/>
    </row>
    <row r="76" spans="1:60" outlineLevel="2">
      <c r="A76" s="4"/>
      <c r="B76" s="774"/>
      <c r="C76" s="116" t="s">
        <v>503</v>
      </c>
      <c r="D76" s="100">
        <v>0</v>
      </c>
      <c r="E76" s="100">
        <v>0</v>
      </c>
      <c r="F76" s="510">
        <v>0</v>
      </c>
      <c r="G76" s="100">
        <v>0</v>
      </c>
      <c r="H76" s="100">
        <v>0</v>
      </c>
      <c r="I76" s="100">
        <v>0</v>
      </c>
      <c r="J76" s="511"/>
      <c r="K76" s="511"/>
      <c r="L76" s="4"/>
      <c r="M76" s="4"/>
      <c r="N76" s="86"/>
      <c r="O76" s="86"/>
      <c r="P76" s="86"/>
      <c r="Q76" s="86"/>
      <c r="R76" s="86"/>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5"/>
      <c r="AT76" s="4"/>
      <c r="AU76" s="4"/>
      <c r="AV76" s="4"/>
      <c r="AW76" s="4"/>
      <c r="AX76" s="4"/>
      <c r="AY76" s="4"/>
      <c r="AZ76" s="4"/>
      <c r="BA76" s="4"/>
      <c r="BB76" s="4"/>
      <c r="BC76" s="4"/>
      <c r="BD76" s="4"/>
      <c r="BE76" s="4"/>
      <c r="BF76" s="4"/>
      <c r="BG76" s="4"/>
      <c r="BH76" s="4"/>
    </row>
    <row r="77" spans="1:60" outlineLevel="2">
      <c r="A77" s="4"/>
      <c r="B77" s="774"/>
      <c r="C77" s="116" t="s">
        <v>504</v>
      </c>
      <c r="D77" s="100">
        <v>0</v>
      </c>
      <c r="E77" s="100">
        <v>0</v>
      </c>
      <c r="F77" s="510">
        <v>0</v>
      </c>
      <c r="G77" s="100">
        <v>0</v>
      </c>
      <c r="H77" s="100">
        <v>0</v>
      </c>
      <c r="I77" s="100">
        <v>0</v>
      </c>
      <c r="J77" s="511"/>
      <c r="K77" s="511"/>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5"/>
      <c r="AT77" s="4"/>
      <c r="AU77" s="4"/>
      <c r="AV77" s="4"/>
      <c r="AW77" s="88"/>
      <c r="AX77" s="88"/>
      <c r="AY77" s="88"/>
      <c r="AZ77" s="88"/>
      <c r="BA77" s="88"/>
      <c r="BB77" s="88"/>
      <c r="BC77" s="88"/>
      <c r="BD77" s="88"/>
      <c r="BE77" s="86"/>
      <c r="BF77" s="4"/>
      <c r="BG77" s="4"/>
      <c r="BH77" s="4"/>
    </row>
    <row r="78" spans="1:60" outlineLevel="2">
      <c r="A78" s="4"/>
      <c r="B78" s="773"/>
      <c r="C78" s="116" t="s">
        <v>505</v>
      </c>
      <c r="D78" s="100">
        <v>0</v>
      </c>
      <c r="E78" s="100">
        <v>0</v>
      </c>
      <c r="F78" s="510">
        <v>0</v>
      </c>
      <c r="G78" s="100">
        <v>0</v>
      </c>
      <c r="H78" s="100">
        <v>0</v>
      </c>
      <c r="I78" s="100">
        <v>0</v>
      </c>
      <c r="J78" s="511"/>
      <c r="K78" s="511"/>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89"/>
      <c r="AX78" s="4"/>
      <c r="AY78" s="4"/>
      <c r="AZ78" s="4"/>
      <c r="BA78" s="4"/>
      <c r="BB78" s="4"/>
      <c r="BC78" s="4"/>
      <c r="BD78" s="4"/>
      <c r="BE78" s="90"/>
      <c r="BF78" s="4"/>
      <c r="BG78" s="4"/>
      <c r="BH78" s="4"/>
    </row>
    <row r="79" spans="1:60" outlineLevel="1">
      <c r="A79" s="4"/>
      <c r="B79" s="670"/>
      <c r="C79" s="775"/>
      <c r="D79" s="775"/>
      <c r="E79" s="775"/>
      <c r="F79" s="775"/>
      <c r="G79" s="775"/>
      <c r="H79" s="775"/>
      <c r="I79" s="770"/>
      <c r="J79" s="511"/>
      <c r="K79" s="511"/>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c r="AW79" s="89"/>
      <c r="AX79" s="4"/>
      <c r="AY79" s="4"/>
      <c r="AZ79" s="4"/>
      <c r="BA79" s="4"/>
      <c r="BB79" s="4"/>
      <c r="BC79" s="4"/>
      <c r="BD79" s="4"/>
      <c r="BE79" s="90"/>
      <c r="BF79" s="4"/>
      <c r="BG79" s="4"/>
      <c r="BH79" s="4"/>
    </row>
    <row r="80" spans="1:60" outlineLevel="2">
      <c r="A80" s="4"/>
      <c r="B80" s="674" t="s">
        <v>576</v>
      </c>
      <c r="C80" s="116" t="s">
        <v>506</v>
      </c>
      <c r="D80" s="100">
        <v>0</v>
      </c>
      <c r="E80" s="100">
        <v>0</v>
      </c>
      <c r="F80" s="510">
        <v>0</v>
      </c>
      <c r="G80" s="100">
        <v>0</v>
      </c>
      <c r="H80" s="100">
        <v>0</v>
      </c>
      <c r="I80" s="100">
        <v>0</v>
      </c>
      <c r="J80" s="511"/>
      <c r="K80" s="511"/>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86"/>
      <c r="AX80" s="4"/>
      <c r="AY80" s="4"/>
      <c r="AZ80" s="4"/>
      <c r="BA80" s="4"/>
      <c r="BB80" s="4"/>
      <c r="BC80" s="4"/>
      <c r="BD80" s="4"/>
      <c r="BE80" s="4"/>
      <c r="BF80" s="91"/>
      <c r="BG80" s="91"/>
      <c r="BH80" s="91"/>
    </row>
    <row r="81" spans="1:60" outlineLevel="2">
      <c r="A81" s="4"/>
      <c r="B81" s="774"/>
      <c r="C81" s="116" t="s">
        <v>507</v>
      </c>
      <c r="D81" s="100">
        <v>0</v>
      </c>
      <c r="E81" s="100">
        <v>0</v>
      </c>
      <c r="F81" s="510">
        <v>0</v>
      </c>
      <c r="G81" s="100">
        <v>0</v>
      </c>
      <c r="H81" s="100">
        <v>0</v>
      </c>
      <c r="I81" s="100">
        <v>0</v>
      </c>
      <c r="J81" s="511"/>
      <c r="K81" s="511"/>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c r="AV81" s="4"/>
      <c r="AW81" s="86"/>
      <c r="AX81" s="4"/>
      <c r="AY81" s="4"/>
      <c r="AZ81" s="4"/>
      <c r="BA81" s="4"/>
      <c r="BB81" s="4"/>
      <c r="BC81" s="4"/>
      <c r="BD81" s="4"/>
      <c r="BE81" s="4"/>
      <c r="BF81" s="86"/>
      <c r="BG81" s="86"/>
      <c r="BH81" s="86"/>
    </row>
    <row r="82" spans="1:60" outlineLevel="2">
      <c r="A82" s="4"/>
      <c r="B82" s="774"/>
      <c r="C82" s="116" t="s">
        <v>508</v>
      </c>
      <c r="D82" s="100">
        <v>0</v>
      </c>
      <c r="E82" s="100">
        <v>0</v>
      </c>
      <c r="F82" s="510">
        <v>0</v>
      </c>
      <c r="G82" s="100">
        <v>0</v>
      </c>
      <c r="H82" s="100">
        <v>0</v>
      </c>
      <c r="I82" s="100">
        <v>0</v>
      </c>
      <c r="J82" s="511"/>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86"/>
      <c r="AX82" s="4"/>
      <c r="AY82" s="4"/>
      <c r="AZ82" s="4"/>
      <c r="BA82" s="4"/>
      <c r="BB82" s="4"/>
      <c r="BC82" s="4"/>
      <c r="BD82" s="4"/>
      <c r="BE82" s="4"/>
      <c r="BF82" s="86"/>
      <c r="BG82" s="86"/>
      <c r="BH82" s="86"/>
    </row>
    <row r="83" spans="1:60" outlineLevel="2">
      <c r="A83" s="4"/>
      <c r="B83" s="773"/>
      <c r="C83" s="116" t="s">
        <v>509</v>
      </c>
      <c r="D83" s="100">
        <v>0</v>
      </c>
      <c r="E83" s="100">
        <v>0</v>
      </c>
      <c r="F83" s="510">
        <v>0</v>
      </c>
      <c r="G83" s="100">
        <v>0</v>
      </c>
      <c r="H83" s="100">
        <v>0</v>
      </c>
      <c r="I83" s="100">
        <v>0</v>
      </c>
      <c r="J83" s="511"/>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c r="AP83" s="4"/>
      <c r="AQ83" s="4"/>
      <c r="AR83" s="4"/>
      <c r="AS83" s="4"/>
      <c r="AT83" s="4"/>
      <c r="AU83" s="4"/>
      <c r="AV83" s="4"/>
      <c r="AW83" s="86"/>
      <c r="AX83" s="4"/>
      <c r="AY83" s="4"/>
      <c r="AZ83" s="4"/>
      <c r="BA83" s="4"/>
      <c r="BB83" s="4"/>
      <c r="BC83" s="4"/>
      <c r="BD83" s="4"/>
      <c r="BE83" s="4"/>
      <c r="BF83" s="86"/>
      <c r="BG83" s="86"/>
      <c r="BH83" s="86"/>
    </row>
    <row r="84" spans="1:60" outlineLevel="1">
      <c r="A84" s="4"/>
      <c r="B84" s="670"/>
      <c r="C84" s="775"/>
      <c r="D84" s="775"/>
      <c r="E84" s="775"/>
      <c r="F84" s="775"/>
      <c r="G84" s="775"/>
      <c r="H84" s="775"/>
      <c r="I84" s="770"/>
      <c r="J84" s="511"/>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c r="AV84" s="4"/>
      <c r="AW84" s="86"/>
      <c r="AX84" s="4"/>
      <c r="AY84" s="4"/>
      <c r="AZ84" s="4"/>
      <c r="BA84" s="4"/>
      <c r="BB84" s="4"/>
      <c r="BC84" s="4"/>
      <c r="BD84" s="4"/>
      <c r="BE84" s="4"/>
      <c r="BF84" s="86"/>
      <c r="BG84" s="86"/>
      <c r="BH84" s="86"/>
    </row>
    <row r="85" spans="1:60" outlineLevel="2">
      <c r="A85" s="4"/>
      <c r="B85" s="671" t="s">
        <v>577</v>
      </c>
      <c r="C85" s="117" t="s">
        <v>510</v>
      </c>
      <c r="D85" s="100">
        <v>0</v>
      </c>
      <c r="E85" s="100">
        <v>0</v>
      </c>
      <c r="F85" s="510">
        <v>0</v>
      </c>
      <c r="G85" s="100">
        <v>0</v>
      </c>
      <c r="H85" s="100">
        <v>0</v>
      </c>
      <c r="I85" s="100">
        <v>0</v>
      </c>
      <c r="J85" s="511"/>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4"/>
      <c r="AV85" s="4"/>
      <c r="AW85" s="86"/>
      <c r="AX85" s="4"/>
      <c r="AY85" s="4"/>
      <c r="AZ85" s="4"/>
      <c r="BA85" s="4"/>
      <c r="BB85" s="4"/>
      <c r="BC85" s="4"/>
      <c r="BD85" s="4"/>
      <c r="BE85" s="4"/>
      <c r="BF85" s="86"/>
      <c r="BG85" s="86"/>
      <c r="BH85" s="86"/>
    </row>
    <row r="86" spans="1:60" outlineLevel="2">
      <c r="A86" s="4"/>
      <c r="B86" s="774"/>
      <c r="C86" s="117" t="s">
        <v>511</v>
      </c>
      <c r="D86" s="100">
        <v>0</v>
      </c>
      <c r="E86" s="100">
        <v>0</v>
      </c>
      <c r="F86" s="510">
        <v>0</v>
      </c>
      <c r="G86" s="100">
        <v>0</v>
      </c>
      <c r="H86" s="100">
        <v>0</v>
      </c>
      <c r="I86" s="100">
        <v>0</v>
      </c>
      <c r="J86" s="511"/>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86"/>
      <c r="AX86" s="4"/>
      <c r="AY86" s="4"/>
      <c r="AZ86" s="4"/>
      <c r="BA86" s="4"/>
      <c r="BB86" s="4"/>
      <c r="BC86" s="4"/>
      <c r="BD86" s="4"/>
      <c r="BE86" s="4"/>
      <c r="BF86" s="86"/>
      <c r="BG86" s="86"/>
      <c r="BH86" s="86"/>
    </row>
    <row r="87" spans="1:60" outlineLevel="2">
      <c r="A87" s="4"/>
      <c r="B87" s="774"/>
      <c r="C87" s="117" t="s">
        <v>512</v>
      </c>
      <c r="D87" s="100">
        <v>0</v>
      </c>
      <c r="E87" s="100">
        <v>0</v>
      </c>
      <c r="F87" s="510">
        <v>0</v>
      </c>
      <c r="G87" s="100">
        <v>0</v>
      </c>
      <c r="H87" s="100">
        <v>0</v>
      </c>
      <c r="I87" s="100">
        <v>0</v>
      </c>
      <c r="J87" s="511"/>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4"/>
      <c r="AR87" s="4"/>
      <c r="AS87" s="4"/>
      <c r="AT87" s="4"/>
      <c r="AU87" s="4"/>
      <c r="AV87" s="4"/>
      <c r="AW87" s="86"/>
      <c r="AX87" s="4"/>
      <c r="AY87" s="4"/>
      <c r="AZ87" s="4"/>
      <c r="BA87" s="4"/>
      <c r="BB87" s="4"/>
      <c r="BC87" s="4"/>
      <c r="BD87" s="4"/>
      <c r="BE87" s="4"/>
      <c r="BF87" s="86"/>
      <c r="BG87" s="86"/>
      <c r="BH87" s="86"/>
    </row>
    <row r="88" spans="1:60" outlineLevel="2">
      <c r="A88" s="4"/>
      <c r="B88" s="773"/>
      <c r="C88" s="117" t="s">
        <v>513</v>
      </c>
      <c r="D88" s="100">
        <v>0</v>
      </c>
      <c r="E88" s="100">
        <v>0</v>
      </c>
      <c r="F88" s="510">
        <v>0</v>
      </c>
      <c r="G88" s="100">
        <v>0</v>
      </c>
      <c r="H88" s="100">
        <v>0</v>
      </c>
      <c r="I88" s="100">
        <v>0</v>
      </c>
      <c r="J88" s="511"/>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86"/>
      <c r="AX88" s="4"/>
      <c r="AY88" s="4"/>
      <c r="AZ88" s="4"/>
      <c r="BA88" s="4"/>
      <c r="BB88" s="4"/>
      <c r="BC88" s="4"/>
      <c r="BD88" s="4"/>
      <c r="BE88" s="4"/>
      <c r="BF88" s="86"/>
      <c r="BG88" s="86"/>
      <c r="BH88" s="86"/>
    </row>
    <row r="89" spans="1:60" outlineLevel="1">
      <c r="A89" s="4"/>
      <c r="B89" s="669"/>
      <c r="C89" s="775"/>
      <c r="D89" s="775"/>
      <c r="E89" s="775"/>
      <c r="F89" s="775"/>
      <c r="G89" s="775"/>
      <c r="H89" s="775"/>
      <c r="I89" s="770"/>
      <c r="J89" s="511"/>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86"/>
      <c r="AX89" s="4"/>
      <c r="AY89" s="4"/>
      <c r="AZ89" s="4"/>
      <c r="BA89" s="4"/>
      <c r="BB89" s="4"/>
      <c r="BC89" s="4"/>
      <c r="BD89" s="4"/>
      <c r="BE89" s="4"/>
      <c r="BF89" s="86"/>
      <c r="BG89" s="86"/>
      <c r="BH89" s="86"/>
    </row>
    <row r="90" spans="1:60" outlineLevel="2">
      <c r="A90" s="4"/>
      <c r="B90" s="671" t="s">
        <v>59</v>
      </c>
      <c r="C90" s="117" t="s">
        <v>514</v>
      </c>
      <c r="D90" s="100">
        <v>0</v>
      </c>
      <c r="E90" s="100">
        <v>0</v>
      </c>
      <c r="F90" s="510">
        <v>0</v>
      </c>
      <c r="G90" s="100">
        <v>0</v>
      </c>
      <c r="H90" s="100">
        <v>0</v>
      </c>
      <c r="I90" s="100">
        <v>0</v>
      </c>
      <c r="J90" s="511"/>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86"/>
      <c r="AX90" s="4"/>
      <c r="AY90" s="4"/>
      <c r="AZ90" s="4"/>
      <c r="BA90" s="4"/>
      <c r="BB90" s="4"/>
      <c r="BC90" s="4"/>
      <c r="BD90" s="4"/>
      <c r="BE90" s="4"/>
      <c r="BF90" s="4"/>
      <c r="BG90" s="4"/>
      <c r="BH90" s="4"/>
    </row>
    <row r="91" spans="1:60" outlineLevel="2">
      <c r="A91" s="4"/>
      <c r="B91" s="774"/>
      <c r="C91" s="117" t="s">
        <v>515</v>
      </c>
      <c r="D91" s="100">
        <v>0</v>
      </c>
      <c r="E91" s="100">
        <v>0</v>
      </c>
      <c r="F91" s="510">
        <v>0</v>
      </c>
      <c r="G91" s="100">
        <v>0</v>
      </c>
      <c r="H91" s="100">
        <v>0</v>
      </c>
      <c r="I91" s="100">
        <v>0</v>
      </c>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86"/>
      <c r="AX91" s="4"/>
      <c r="AY91" s="4"/>
      <c r="AZ91" s="4"/>
      <c r="BA91" s="4"/>
      <c r="BB91" s="4"/>
      <c r="BC91" s="4"/>
      <c r="BD91" s="4"/>
      <c r="BE91" s="4"/>
      <c r="BF91" s="4"/>
      <c r="BG91" s="4"/>
      <c r="BH91" s="4"/>
    </row>
    <row r="92" spans="1:60" outlineLevel="2">
      <c r="A92" s="4"/>
      <c r="B92" s="774"/>
      <c r="C92" s="117" t="s">
        <v>516</v>
      </c>
      <c r="D92" s="100">
        <v>0</v>
      </c>
      <c r="E92" s="100">
        <v>0</v>
      </c>
      <c r="F92" s="510">
        <v>0</v>
      </c>
      <c r="G92" s="100">
        <v>0</v>
      </c>
      <c r="H92" s="100">
        <v>0</v>
      </c>
      <c r="I92" s="100">
        <v>0</v>
      </c>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86"/>
      <c r="AX92" s="4"/>
      <c r="AY92" s="4"/>
      <c r="AZ92" s="4"/>
      <c r="BA92" s="4"/>
      <c r="BB92" s="4"/>
      <c r="BC92" s="4"/>
      <c r="BD92" s="4"/>
      <c r="BE92" s="4"/>
      <c r="BF92" s="4"/>
      <c r="BG92" s="4"/>
      <c r="BH92" s="4"/>
    </row>
    <row r="93" spans="1:60" outlineLevel="2">
      <c r="A93" s="4"/>
      <c r="B93" s="773"/>
      <c r="C93" s="117" t="s">
        <v>517</v>
      </c>
      <c r="D93" s="100">
        <v>0</v>
      </c>
      <c r="E93" s="100">
        <v>0</v>
      </c>
      <c r="F93" s="510">
        <v>0</v>
      </c>
      <c r="G93" s="100">
        <v>0</v>
      </c>
      <c r="H93" s="100">
        <v>0</v>
      </c>
      <c r="I93" s="100">
        <v>0</v>
      </c>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86"/>
      <c r="AX93" s="4"/>
      <c r="AY93" s="4"/>
      <c r="AZ93" s="4"/>
      <c r="BA93" s="4"/>
      <c r="BB93" s="4"/>
      <c r="BC93" s="4"/>
      <c r="BD93" s="4"/>
      <c r="BE93" s="4"/>
      <c r="BF93" s="4"/>
      <c r="BG93" s="4"/>
      <c r="BH93" s="4"/>
    </row>
    <row r="94" spans="1:60" outlineLevel="1">
      <c r="A94" s="4"/>
      <c r="B94" s="669"/>
      <c r="C94" s="775"/>
      <c r="D94" s="775"/>
      <c r="E94" s="775"/>
      <c r="F94" s="775"/>
      <c r="G94" s="775"/>
      <c r="H94" s="775"/>
      <c r="I94" s="770"/>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86"/>
      <c r="AX94" s="4"/>
      <c r="AY94" s="4"/>
      <c r="AZ94" s="4"/>
      <c r="BA94" s="4"/>
      <c r="BB94" s="4"/>
      <c r="BC94" s="4"/>
      <c r="BD94" s="4"/>
      <c r="BE94" s="4"/>
      <c r="BF94" s="4"/>
      <c r="BG94" s="4"/>
      <c r="BH94" s="4"/>
    </row>
    <row r="95" spans="1:60" outlineLevel="2">
      <c r="A95" s="4"/>
      <c r="B95" s="671" t="s">
        <v>578</v>
      </c>
      <c r="C95" s="117" t="s">
        <v>518</v>
      </c>
      <c r="D95" s="100">
        <v>0</v>
      </c>
      <c r="E95" s="100">
        <v>0</v>
      </c>
      <c r="F95" s="510">
        <v>0</v>
      </c>
      <c r="G95" s="100">
        <v>0</v>
      </c>
      <c r="H95" s="100">
        <v>0</v>
      </c>
      <c r="I95" s="100">
        <v>0</v>
      </c>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86"/>
      <c r="AX95" s="4"/>
      <c r="AY95" s="4"/>
      <c r="AZ95" s="4"/>
      <c r="BA95" s="4"/>
      <c r="BB95" s="4"/>
      <c r="BC95" s="4"/>
      <c r="BD95" s="4"/>
      <c r="BE95" s="4"/>
      <c r="BF95" s="4"/>
      <c r="BG95" s="4"/>
      <c r="BH95" s="4"/>
    </row>
    <row r="96" spans="1:60" outlineLevel="2">
      <c r="A96" s="4"/>
      <c r="B96" s="774"/>
      <c r="C96" s="117" t="s">
        <v>519</v>
      </c>
      <c r="D96" s="100">
        <v>0</v>
      </c>
      <c r="E96" s="100">
        <v>0</v>
      </c>
      <c r="F96" s="510">
        <v>0</v>
      </c>
      <c r="G96" s="100">
        <v>0</v>
      </c>
      <c r="H96" s="100">
        <v>0</v>
      </c>
      <c r="I96" s="100">
        <v>0</v>
      </c>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86"/>
      <c r="AX96" s="4"/>
      <c r="AY96" s="4"/>
      <c r="AZ96" s="4"/>
      <c r="BA96" s="4"/>
      <c r="BB96" s="4"/>
      <c r="BC96" s="4"/>
      <c r="BD96" s="4"/>
      <c r="BE96" s="4"/>
      <c r="BF96" s="4"/>
      <c r="BG96" s="4"/>
      <c r="BH96" s="4"/>
    </row>
    <row r="97" spans="1:60" outlineLevel="2">
      <c r="A97" s="4"/>
      <c r="B97" s="774"/>
      <c r="C97" s="117" t="s">
        <v>520</v>
      </c>
      <c r="D97" s="100">
        <v>0</v>
      </c>
      <c r="E97" s="100">
        <v>0</v>
      </c>
      <c r="F97" s="510">
        <v>0</v>
      </c>
      <c r="G97" s="100">
        <v>0</v>
      </c>
      <c r="H97" s="100">
        <v>0</v>
      </c>
      <c r="I97" s="100">
        <v>0</v>
      </c>
      <c r="J97" s="4"/>
      <c r="K97" s="4"/>
      <c r="L97" s="4"/>
      <c r="M97" s="4"/>
      <c r="N97" s="4"/>
      <c r="O97" s="4"/>
      <c r="P97" s="4"/>
      <c r="Q97" s="4"/>
      <c r="R97" s="4"/>
      <c r="S97" s="4"/>
      <c r="T97" s="4"/>
      <c r="U97" s="4"/>
      <c r="V97" s="4"/>
      <c r="W97" s="86"/>
      <c r="X97" s="86"/>
      <c r="Y97" s="86"/>
      <c r="Z97" s="86"/>
      <c r="AA97" s="86"/>
      <c r="AB97" s="86"/>
      <c r="AC97" s="86"/>
      <c r="AD97" s="86"/>
      <c r="AE97" s="86"/>
      <c r="AF97" s="86"/>
      <c r="AG97" s="86"/>
      <c r="AH97" s="86"/>
      <c r="AI97" s="86"/>
      <c r="AJ97" s="86"/>
      <c r="AK97" s="86"/>
      <c r="AL97" s="86"/>
      <c r="AM97" s="86"/>
      <c r="AN97" s="86"/>
      <c r="AO97" s="86"/>
      <c r="AP97" s="86"/>
      <c r="AQ97" s="86"/>
      <c r="AR97" s="86"/>
      <c r="AS97" s="4"/>
      <c r="AT97" s="4"/>
      <c r="AU97" s="4"/>
      <c r="AV97" s="4"/>
      <c r="AW97" s="86"/>
      <c r="AX97" s="4"/>
      <c r="AY97" s="4"/>
      <c r="AZ97" s="4"/>
      <c r="BA97" s="4"/>
      <c r="BB97" s="4"/>
      <c r="BC97" s="4"/>
      <c r="BD97" s="4"/>
      <c r="BE97" s="4"/>
      <c r="BF97" s="86"/>
      <c r="BG97" s="86"/>
      <c r="BH97" s="86"/>
    </row>
    <row r="98" spans="1:60" outlineLevel="2">
      <c r="A98" s="4"/>
      <c r="B98" s="774"/>
      <c r="C98" s="117" t="s">
        <v>521</v>
      </c>
      <c r="D98" s="100">
        <v>0</v>
      </c>
      <c r="E98" s="100">
        <v>0</v>
      </c>
      <c r="F98" s="510">
        <v>0</v>
      </c>
      <c r="G98" s="100">
        <v>0</v>
      </c>
      <c r="H98" s="100">
        <v>0</v>
      </c>
      <c r="I98" s="100">
        <v>0</v>
      </c>
      <c r="J98" s="4"/>
      <c r="K98" s="4"/>
      <c r="L98" s="4"/>
      <c r="M98" s="4"/>
      <c r="N98" s="4"/>
      <c r="O98" s="4"/>
      <c r="P98" s="4"/>
      <c r="Q98" s="4"/>
      <c r="R98" s="4"/>
      <c r="S98" s="4"/>
      <c r="T98" s="4"/>
      <c r="U98" s="4"/>
      <c r="V98" s="4"/>
      <c r="W98" s="90"/>
      <c r="X98" s="90"/>
      <c r="Y98" s="90"/>
      <c r="Z98" s="90"/>
      <c r="AA98" s="90"/>
      <c r="AB98" s="90"/>
      <c r="AC98" s="90"/>
      <c r="AD98" s="90"/>
      <c r="AE98" s="90"/>
      <c r="AF98" s="90"/>
      <c r="AG98" s="90"/>
      <c r="AH98" s="90"/>
      <c r="AI98" s="90"/>
      <c r="AJ98" s="90"/>
      <c r="AK98" s="90"/>
      <c r="AL98" s="90"/>
      <c r="AM98" s="90"/>
      <c r="AN98" s="90"/>
      <c r="AO98" s="90"/>
      <c r="AP98" s="90"/>
      <c r="AQ98" s="90"/>
      <c r="AR98" s="90"/>
      <c r="AS98" s="92"/>
      <c r="AT98" s="90"/>
      <c r="AU98" s="90"/>
      <c r="AV98" s="90"/>
      <c r="AW98" s="93"/>
      <c r="AX98" s="4"/>
      <c r="AY98" s="4"/>
      <c r="AZ98" s="4"/>
      <c r="BA98" s="4"/>
      <c r="BB98" s="4"/>
      <c r="BC98" s="4"/>
      <c r="BD98" s="4"/>
      <c r="BE98" s="4"/>
      <c r="BF98" s="90"/>
      <c r="BG98" s="90"/>
      <c r="BH98" s="90"/>
    </row>
    <row r="99" spans="1:60" outlineLevel="2">
      <c r="A99" s="4"/>
      <c r="B99" s="773"/>
      <c r="C99" s="117" t="s">
        <v>522</v>
      </c>
      <c r="D99" s="100">
        <v>0</v>
      </c>
      <c r="E99" s="100">
        <v>0</v>
      </c>
      <c r="F99" s="510">
        <v>0</v>
      </c>
      <c r="G99" s="100">
        <v>0</v>
      </c>
      <c r="H99" s="100">
        <v>0</v>
      </c>
      <c r="I99" s="100">
        <v>0</v>
      </c>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c r="AR99" s="4"/>
      <c r="AS99" s="5"/>
      <c r="AT99" s="4"/>
      <c r="AU99" s="4"/>
      <c r="AV99" s="4"/>
      <c r="AW99" s="93"/>
      <c r="AX99" s="4"/>
      <c r="AY99" s="4"/>
      <c r="AZ99" s="4"/>
      <c r="BA99" s="4"/>
      <c r="BB99" s="4"/>
      <c r="BC99" s="4"/>
      <c r="BD99" s="4"/>
      <c r="BE99" s="4"/>
      <c r="BF99" s="4"/>
      <c r="BG99" s="4"/>
      <c r="BH99" s="4"/>
    </row>
    <row r="100" spans="1:60" outlineLevel="1">
      <c r="A100" s="4"/>
      <c r="B100" s="669"/>
      <c r="C100" s="775"/>
      <c r="D100" s="775"/>
      <c r="E100" s="775"/>
      <c r="F100" s="775"/>
      <c r="G100" s="775"/>
      <c r="H100" s="775"/>
      <c r="I100" s="770"/>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c r="AS100" s="5"/>
      <c r="AT100" s="4"/>
      <c r="AU100" s="4"/>
      <c r="AV100" s="4"/>
      <c r="AW100" s="93"/>
      <c r="AX100" s="4"/>
      <c r="AY100" s="4"/>
      <c r="AZ100" s="4"/>
      <c r="BA100" s="4"/>
      <c r="BB100" s="4"/>
      <c r="BC100" s="4"/>
      <c r="BD100" s="4"/>
      <c r="BE100" s="4"/>
      <c r="BF100" s="4"/>
      <c r="BG100" s="4"/>
      <c r="BH100" s="4"/>
    </row>
    <row r="101" spans="1:60" outlineLevel="2">
      <c r="A101" s="4"/>
      <c r="B101" s="671" t="s">
        <v>579</v>
      </c>
      <c r="C101" s="117" t="s">
        <v>523</v>
      </c>
      <c r="D101" s="100">
        <v>0</v>
      </c>
      <c r="E101" s="100">
        <v>0</v>
      </c>
      <c r="F101" s="510">
        <v>0</v>
      </c>
      <c r="G101" s="100">
        <v>0</v>
      </c>
      <c r="H101" s="100">
        <v>0</v>
      </c>
      <c r="I101" s="100">
        <v>0</v>
      </c>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c r="AR101" s="4"/>
      <c r="AS101" s="5"/>
      <c r="AT101" s="4"/>
      <c r="AU101" s="4"/>
      <c r="AV101" s="4"/>
      <c r="AW101" s="4"/>
      <c r="AX101" s="4"/>
      <c r="AY101" s="4"/>
      <c r="AZ101" s="4"/>
      <c r="BA101" s="4"/>
      <c r="BB101" s="4"/>
      <c r="BC101" s="4"/>
      <c r="BD101" s="4"/>
      <c r="BE101" s="4"/>
      <c r="BF101" s="4"/>
      <c r="BG101" s="4"/>
      <c r="BH101" s="4"/>
    </row>
    <row r="102" spans="1:60" outlineLevel="2">
      <c r="A102" s="4"/>
      <c r="B102" s="774"/>
      <c r="C102" s="117" t="s">
        <v>524</v>
      </c>
      <c r="D102" s="100">
        <v>0</v>
      </c>
      <c r="E102" s="100">
        <v>0</v>
      </c>
      <c r="F102" s="510">
        <v>0</v>
      </c>
      <c r="G102" s="100">
        <v>0</v>
      </c>
      <c r="H102" s="100">
        <v>0</v>
      </c>
      <c r="I102" s="100">
        <v>0</v>
      </c>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4"/>
      <c r="AR102" s="4"/>
      <c r="AS102" s="5"/>
      <c r="AT102" s="4"/>
      <c r="AU102" s="4"/>
      <c r="AV102" s="4"/>
      <c r="AW102" s="4"/>
      <c r="AX102" s="4"/>
      <c r="AY102" s="4"/>
      <c r="AZ102" s="4"/>
      <c r="BA102" s="4"/>
      <c r="BB102" s="4"/>
      <c r="BC102" s="4"/>
      <c r="BD102" s="4"/>
      <c r="BE102" s="4"/>
      <c r="BF102" s="4"/>
      <c r="BG102" s="4"/>
      <c r="BH102" s="4"/>
    </row>
    <row r="103" spans="1:60" outlineLevel="2">
      <c r="A103" s="4"/>
      <c r="B103" s="774"/>
      <c r="C103" s="117" t="s">
        <v>525</v>
      </c>
      <c r="D103" s="100">
        <v>0</v>
      </c>
      <c r="E103" s="100">
        <v>0</v>
      </c>
      <c r="F103" s="510">
        <v>0</v>
      </c>
      <c r="G103" s="100">
        <v>0</v>
      </c>
      <c r="H103" s="100">
        <v>0</v>
      </c>
      <c r="I103" s="100">
        <v>0</v>
      </c>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c r="AR103" s="4"/>
      <c r="AS103" s="5"/>
      <c r="AT103" s="4"/>
      <c r="AU103" s="4"/>
      <c r="AV103" s="4"/>
      <c r="AW103" s="4"/>
      <c r="AX103" s="4"/>
      <c r="AY103" s="4"/>
      <c r="AZ103" s="4"/>
      <c r="BA103" s="4"/>
      <c r="BB103" s="4"/>
      <c r="BC103" s="4"/>
      <c r="BD103" s="4"/>
      <c r="BE103" s="4"/>
      <c r="BF103" s="4"/>
      <c r="BG103" s="4"/>
      <c r="BH103" s="4"/>
    </row>
    <row r="104" spans="1:60" outlineLevel="2">
      <c r="A104" s="4"/>
      <c r="B104" s="773"/>
      <c r="C104" s="117" t="s">
        <v>526</v>
      </c>
      <c r="D104" s="100">
        <v>0</v>
      </c>
      <c r="E104" s="100">
        <v>0</v>
      </c>
      <c r="F104" s="510">
        <v>0</v>
      </c>
      <c r="G104" s="100">
        <v>0</v>
      </c>
      <c r="H104" s="100">
        <v>0</v>
      </c>
      <c r="I104" s="100">
        <v>0</v>
      </c>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c r="AR104" s="4"/>
      <c r="AS104" s="5"/>
      <c r="AT104" s="4"/>
      <c r="AU104" s="4"/>
      <c r="AV104" s="4"/>
      <c r="AW104" s="4"/>
      <c r="AX104" s="4"/>
      <c r="AY104" s="4"/>
      <c r="AZ104" s="4"/>
      <c r="BA104" s="4"/>
      <c r="BB104" s="4"/>
      <c r="BC104" s="4"/>
      <c r="BD104" s="4"/>
      <c r="BE104" s="4"/>
      <c r="BF104" s="4"/>
      <c r="BG104" s="4"/>
      <c r="BH104" s="4"/>
    </row>
    <row r="105" spans="1:60" outlineLevel="1">
      <c r="A105" s="4"/>
      <c r="B105" s="669"/>
      <c r="C105" s="775"/>
      <c r="D105" s="775"/>
      <c r="E105" s="775"/>
      <c r="F105" s="775"/>
      <c r="G105" s="775"/>
      <c r="H105" s="775"/>
      <c r="I105" s="770"/>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c r="AN105" s="4"/>
      <c r="AO105" s="4"/>
      <c r="AP105" s="4"/>
      <c r="AQ105" s="4"/>
      <c r="AR105" s="4"/>
      <c r="AS105" s="5"/>
      <c r="AT105" s="4"/>
      <c r="AU105" s="4"/>
      <c r="AV105" s="4"/>
      <c r="AW105" s="4"/>
      <c r="AX105" s="4"/>
      <c r="AY105" s="4"/>
      <c r="AZ105" s="4"/>
      <c r="BA105" s="4"/>
      <c r="BB105" s="4"/>
      <c r="BC105" s="4"/>
      <c r="BD105" s="4"/>
      <c r="BE105" s="4"/>
      <c r="BF105" s="4"/>
      <c r="BG105" s="4"/>
      <c r="BH105" s="4"/>
    </row>
    <row r="106" spans="1:60" outlineLevel="2">
      <c r="A106" s="4"/>
      <c r="B106" s="671" t="s">
        <v>580</v>
      </c>
      <c r="C106" s="117" t="s">
        <v>527</v>
      </c>
      <c r="D106" s="100">
        <v>0</v>
      </c>
      <c r="E106" s="100">
        <v>0</v>
      </c>
      <c r="F106" s="510">
        <v>0</v>
      </c>
      <c r="G106" s="100">
        <v>0</v>
      </c>
      <c r="H106" s="100">
        <v>0</v>
      </c>
      <c r="I106" s="100">
        <v>0</v>
      </c>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c r="AR106" s="4"/>
      <c r="AS106" s="5"/>
      <c r="AT106" s="4"/>
      <c r="AU106" s="4"/>
      <c r="AV106" s="4"/>
      <c r="AW106" s="4"/>
      <c r="AX106" s="4"/>
      <c r="AY106" s="4"/>
      <c r="AZ106" s="4"/>
      <c r="BA106" s="4"/>
      <c r="BB106" s="4"/>
      <c r="BC106" s="4"/>
      <c r="BD106" s="4"/>
      <c r="BE106" s="4"/>
      <c r="BF106" s="4"/>
      <c r="BG106" s="4"/>
      <c r="BH106" s="4"/>
    </row>
    <row r="107" spans="1:60" outlineLevel="2">
      <c r="A107" s="4"/>
      <c r="B107" s="774"/>
      <c r="C107" s="117" t="s">
        <v>528</v>
      </c>
      <c r="D107" s="100">
        <v>0</v>
      </c>
      <c r="E107" s="100">
        <v>0</v>
      </c>
      <c r="F107" s="510">
        <v>0</v>
      </c>
      <c r="G107" s="100">
        <v>0</v>
      </c>
      <c r="H107" s="100">
        <v>0</v>
      </c>
      <c r="I107" s="100">
        <v>0</v>
      </c>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c r="AR107" s="4"/>
      <c r="AS107" s="5"/>
      <c r="AT107" s="4"/>
      <c r="AU107" s="4"/>
      <c r="AV107" s="4"/>
      <c r="AW107" s="4"/>
      <c r="AX107" s="4"/>
      <c r="AY107" s="4"/>
      <c r="AZ107" s="4"/>
      <c r="BA107" s="4"/>
      <c r="BB107" s="4"/>
      <c r="BC107" s="4"/>
      <c r="BD107" s="4"/>
      <c r="BE107" s="4"/>
      <c r="BF107" s="4"/>
      <c r="BG107" s="4"/>
      <c r="BH107" s="4"/>
    </row>
    <row r="108" spans="1:60" outlineLevel="2">
      <c r="A108" s="4"/>
      <c r="B108" s="774"/>
      <c r="C108" s="117" t="s">
        <v>529</v>
      </c>
      <c r="D108" s="100">
        <v>0</v>
      </c>
      <c r="E108" s="100">
        <v>0</v>
      </c>
      <c r="F108" s="510">
        <v>0</v>
      </c>
      <c r="G108" s="100">
        <v>0</v>
      </c>
      <c r="H108" s="100">
        <v>0</v>
      </c>
      <c r="I108" s="100">
        <v>0</v>
      </c>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5"/>
      <c r="AT108" s="4"/>
      <c r="AU108" s="4"/>
      <c r="AV108" s="4"/>
      <c r="AW108" s="4"/>
      <c r="AX108" s="4"/>
      <c r="AY108" s="4"/>
      <c r="AZ108" s="4"/>
      <c r="BA108" s="4"/>
      <c r="BB108" s="4"/>
      <c r="BC108" s="4"/>
      <c r="BD108" s="4"/>
      <c r="BE108" s="4"/>
      <c r="BF108" s="4"/>
      <c r="BG108" s="4"/>
      <c r="BH108" s="4"/>
    </row>
    <row r="109" spans="1:60" outlineLevel="2">
      <c r="A109" s="4"/>
      <c r="B109" s="774"/>
      <c r="C109" s="117" t="s">
        <v>530</v>
      </c>
      <c r="D109" s="100">
        <v>0</v>
      </c>
      <c r="E109" s="100">
        <v>0</v>
      </c>
      <c r="F109" s="510">
        <v>0</v>
      </c>
      <c r="G109" s="100">
        <v>0</v>
      </c>
      <c r="H109" s="100">
        <v>0</v>
      </c>
      <c r="I109" s="100">
        <v>0</v>
      </c>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5"/>
      <c r="AT109" s="4"/>
      <c r="AU109" s="4"/>
      <c r="AV109" s="4"/>
      <c r="AW109" s="4"/>
      <c r="AX109" s="4"/>
      <c r="AY109" s="4"/>
      <c r="AZ109" s="4"/>
      <c r="BA109" s="4"/>
      <c r="BB109" s="4"/>
      <c r="BC109" s="4"/>
      <c r="BD109" s="4"/>
      <c r="BE109" s="4"/>
      <c r="BF109" s="4"/>
      <c r="BG109" s="4"/>
      <c r="BH109" s="4"/>
    </row>
    <row r="110" spans="1:60" outlineLevel="2">
      <c r="A110" s="4"/>
      <c r="B110" s="773"/>
      <c r="C110" s="117" t="s">
        <v>531</v>
      </c>
      <c r="D110" s="100">
        <v>0</v>
      </c>
      <c r="E110" s="100">
        <v>0</v>
      </c>
      <c r="F110" s="510">
        <v>0</v>
      </c>
      <c r="G110" s="100">
        <v>0</v>
      </c>
      <c r="H110" s="100">
        <v>0</v>
      </c>
      <c r="I110" s="100">
        <v>0</v>
      </c>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5"/>
      <c r="AT110" s="4"/>
      <c r="AU110" s="4"/>
      <c r="AV110" s="4"/>
      <c r="AW110" s="4"/>
      <c r="AX110" s="4"/>
      <c r="AY110" s="4"/>
      <c r="AZ110" s="4"/>
      <c r="BA110" s="4"/>
      <c r="BB110" s="4"/>
      <c r="BC110" s="4"/>
      <c r="BD110" s="4"/>
      <c r="BE110" s="4"/>
      <c r="BF110" s="4"/>
      <c r="BG110" s="4"/>
      <c r="BH110" s="4"/>
    </row>
    <row r="111" spans="1:60" outlineLevel="1">
      <c r="A111" s="4"/>
      <c r="B111" s="669"/>
      <c r="C111" s="775"/>
      <c r="D111" s="775"/>
      <c r="E111" s="775"/>
      <c r="F111" s="775"/>
      <c r="G111" s="775"/>
      <c r="H111" s="775"/>
      <c r="I111" s="770"/>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5"/>
      <c r="AT111" s="4"/>
      <c r="AU111" s="4"/>
      <c r="AV111" s="4"/>
      <c r="AW111" s="4"/>
      <c r="AX111" s="4"/>
      <c r="AY111" s="4"/>
      <c r="AZ111" s="4"/>
      <c r="BA111" s="4"/>
      <c r="BB111" s="4"/>
      <c r="BC111" s="4"/>
      <c r="BD111" s="4"/>
      <c r="BE111" s="4"/>
      <c r="BF111" s="4"/>
      <c r="BG111" s="4"/>
      <c r="BH111" s="4"/>
    </row>
    <row r="112" spans="1:60" outlineLevel="2">
      <c r="A112" s="4"/>
      <c r="B112" s="671" t="s">
        <v>581</v>
      </c>
      <c r="C112" s="117" t="s">
        <v>532</v>
      </c>
      <c r="D112" s="100">
        <v>0</v>
      </c>
      <c r="E112" s="100">
        <v>0</v>
      </c>
      <c r="F112" s="510">
        <v>0</v>
      </c>
      <c r="G112" s="100">
        <v>0</v>
      </c>
      <c r="H112" s="100">
        <v>0</v>
      </c>
      <c r="I112" s="100">
        <v>0</v>
      </c>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5"/>
      <c r="AT112" s="4"/>
      <c r="AU112" s="4"/>
      <c r="AV112" s="4"/>
      <c r="AW112" s="4"/>
      <c r="AX112" s="4"/>
      <c r="AY112" s="4"/>
      <c r="AZ112" s="4"/>
      <c r="BA112" s="4"/>
      <c r="BB112" s="4"/>
      <c r="BC112" s="4"/>
      <c r="BD112" s="4"/>
      <c r="BE112" s="4"/>
      <c r="BF112" s="4"/>
      <c r="BG112" s="4"/>
      <c r="BH112" s="4"/>
    </row>
    <row r="113" spans="1:60" outlineLevel="2">
      <c r="A113" s="4"/>
      <c r="B113" s="774"/>
      <c r="C113" s="117" t="s">
        <v>533</v>
      </c>
      <c r="D113" s="100">
        <v>0</v>
      </c>
      <c r="E113" s="100">
        <v>0</v>
      </c>
      <c r="F113" s="510">
        <v>0</v>
      </c>
      <c r="G113" s="100">
        <v>0</v>
      </c>
      <c r="H113" s="100">
        <v>0</v>
      </c>
      <c r="I113" s="100">
        <v>0</v>
      </c>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5"/>
      <c r="AT113" s="4"/>
      <c r="AU113" s="4"/>
      <c r="AV113" s="4"/>
      <c r="AW113" s="4"/>
      <c r="AX113" s="4"/>
      <c r="AY113" s="4"/>
      <c r="AZ113" s="4"/>
      <c r="BA113" s="4"/>
      <c r="BB113" s="4"/>
      <c r="BC113" s="4"/>
      <c r="BD113" s="4"/>
      <c r="BE113" s="4"/>
      <c r="BF113" s="4"/>
      <c r="BG113" s="4"/>
      <c r="BH113" s="4"/>
    </row>
    <row r="114" spans="1:60" outlineLevel="2">
      <c r="A114" s="4"/>
      <c r="B114" s="774"/>
      <c r="C114" s="117" t="s">
        <v>534</v>
      </c>
      <c r="D114" s="100">
        <v>0</v>
      </c>
      <c r="E114" s="100">
        <v>0</v>
      </c>
      <c r="F114" s="510">
        <v>0</v>
      </c>
      <c r="G114" s="100">
        <v>0</v>
      </c>
      <c r="H114" s="100">
        <v>0</v>
      </c>
      <c r="I114" s="100">
        <v>0</v>
      </c>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5"/>
      <c r="AT114" s="4"/>
      <c r="AU114" s="4"/>
      <c r="AV114" s="4"/>
      <c r="AW114" s="4"/>
      <c r="AX114" s="4"/>
      <c r="AY114" s="4"/>
      <c r="AZ114" s="4"/>
      <c r="BA114" s="4"/>
      <c r="BB114" s="4"/>
      <c r="BC114" s="4"/>
      <c r="BD114" s="4"/>
      <c r="BE114" s="4"/>
      <c r="BF114" s="4"/>
      <c r="BG114" s="4"/>
      <c r="BH114" s="4"/>
    </row>
    <row r="115" spans="1:60" outlineLevel="2">
      <c r="A115" s="4"/>
      <c r="B115" s="773"/>
      <c r="C115" s="117" t="s">
        <v>535</v>
      </c>
      <c r="D115" s="100">
        <v>0</v>
      </c>
      <c r="E115" s="100">
        <v>0</v>
      </c>
      <c r="F115" s="510">
        <v>0</v>
      </c>
      <c r="G115" s="100">
        <v>0</v>
      </c>
      <c r="H115" s="100">
        <v>0</v>
      </c>
      <c r="I115" s="100">
        <v>0</v>
      </c>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5"/>
      <c r="AT115" s="4"/>
      <c r="AU115" s="4"/>
      <c r="AV115" s="4"/>
      <c r="AW115" s="4"/>
      <c r="AX115" s="4"/>
      <c r="AY115" s="4"/>
      <c r="AZ115" s="4"/>
      <c r="BA115" s="4"/>
      <c r="BB115" s="4"/>
      <c r="BC115" s="4"/>
      <c r="BD115" s="4"/>
      <c r="BE115" s="4"/>
      <c r="BF115" s="4"/>
      <c r="BG115" s="4"/>
      <c r="BH115" s="4"/>
    </row>
    <row r="116" spans="1:60" outlineLevel="1">
      <c r="A116" s="4"/>
      <c r="B116" s="669"/>
      <c r="C116" s="775"/>
      <c r="D116" s="775"/>
      <c r="E116" s="775"/>
      <c r="F116" s="775"/>
      <c r="G116" s="775"/>
      <c r="H116" s="775"/>
      <c r="I116" s="770"/>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5"/>
      <c r="AT116" s="4"/>
      <c r="AU116" s="4"/>
      <c r="AV116" s="4"/>
      <c r="AW116" s="4"/>
      <c r="AX116" s="4"/>
      <c r="AY116" s="4"/>
      <c r="AZ116" s="4"/>
      <c r="BA116" s="4"/>
      <c r="BB116" s="4"/>
      <c r="BC116" s="4"/>
      <c r="BD116" s="4"/>
      <c r="BE116" s="4"/>
      <c r="BF116" s="4"/>
      <c r="BG116" s="4"/>
      <c r="BH116" s="4"/>
    </row>
    <row r="117" spans="1:60" outlineLevel="2">
      <c r="A117" s="4"/>
      <c r="B117" s="671" t="s">
        <v>472</v>
      </c>
      <c r="C117" s="117" t="s">
        <v>536</v>
      </c>
      <c r="D117" s="100">
        <v>0</v>
      </c>
      <c r="E117" s="100">
        <v>0</v>
      </c>
      <c r="F117" s="510">
        <v>0</v>
      </c>
      <c r="G117" s="100">
        <v>0</v>
      </c>
      <c r="H117" s="100">
        <v>0</v>
      </c>
      <c r="I117" s="100">
        <v>0</v>
      </c>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5"/>
      <c r="AT117" s="4"/>
      <c r="AU117" s="4"/>
      <c r="AV117" s="4"/>
      <c r="AW117" s="4"/>
      <c r="AX117" s="4"/>
      <c r="AY117" s="4"/>
      <c r="AZ117" s="4"/>
      <c r="BA117" s="4"/>
      <c r="BB117" s="4"/>
      <c r="BC117" s="4"/>
      <c r="BD117" s="4"/>
      <c r="BE117" s="4"/>
      <c r="BF117" s="4"/>
      <c r="BG117" s="4"/>
      <c r="BH117" s="4"/>
    </row>
    <row r="118" spans="1:60" outlineLevel="2">
      <c r="A118" s="4"/>
      <c r="B118" s="774"/>
      <c r="C118" s="117" t="s">
        <v>537</v>
      </c>
      <c r="D118" s="100">
        <v>0</v>
      </c>
      <c r="E118" s="100">
        <v>0</v>
      </c>
      <c r="F118" s="510">
        <v>0</v>
      </c>
      <c r="G118" s="100">
        <v>0</v>
      </c>
      <c r="H118" s="100">
        <v>0</v>
      </c>
      <c r="I118" s="100">
        <v>0</v>
      </c>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5"/>
      <c r="AT118" s="4"/>
      <c r="AU118" s="4"/>
      <c r="AV118" s="4"/>
      <c r="AW118" s="4"/>
      <c r="AX118" s="4"/>
      <c r="AY118" s="4"/>
      <c r="AZ118" s="4"/>
      <c r="BA118" s="4"/>
      <c r="BB118" s="4"/>
      <c r="BC118" s="4"/>
      <c r="BD118" s="4"/>
      <c r="BE118" s="4"/>
      <c r="BF118" s="4"/>
      <c r="BG118" s="4"/>
      <c r="BH118" s="4"/>
    </row>
    <row r="119" spans="1:60" outlineLevel="2">
      <c r="A119" s="4"/>
      <c r="B119" s="774"/>
      <c r="C119" s="117" t="s">
        <v>538</v>
      </c>
      <c r="D119" s="100">
        <v>0</v>
      </c>
      <c r="E119" s="100">
        <v>0</v>
      </c>
      <c r="F119" s="510">
        <v>0</v>
      </c>
      <c r="G119" s="100">
        <v>0</v>
      </c>
      <c r="H119" s="100">
        <v>0</v>
      </c>
      <c r="I119" s="100">
        <v>0</v>
      </c>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5"/>
      <c r="AT119" s="4"/>
      <c r="AU119" s="4"/>
      <c r="AV119" s="4"/>
      <c r="AW119" s="4"/>
      <c r="AX119" s="4"/>
      <c r="AY119" s="4"/>
      <c r="AZ119" s="4"/>
      <c r="BA119" s="4"/>
      <c r="BB119" s="4"/>
      <c r="BC119" s="4"/>
      <c r="BD119" s="4"/>
      <c r="BE119" s="4"/>
      <c r="BF119" s="4"/>
      <c r="BG119" s="4"/>
      <c r="BH119" s="4"/>
    </row>
    <row r="120" spans="1:60" outlineLevel="2">
      <c r="A120" s="4"/>
      <c r="B120" s="773"/>
      <c r="C120" s="117" t="s">
        <v>539</v>
      </c>
      <c r="D120" s="100">
        <v>0</v>
      </c>
      <c r="E120" s="100">
        <v>0</v>
      </c>
      <c r="F120" s="510">
        <v>0</v>
      </c>
      <c r="G120" s="100">
        <v>0</v>
      </c>
      <c r="H120" s="100">
        <v>0</v>
      </c>
      <c r="I120" s="100">
        <v>0</v>
      </c>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5"/>
      <c r="AT120" s="4"/>
      <c r="AU120" s="4"/>
      <c r="AV120" s="4"/>
      <c r="AW120" s="4"/>
      <c r="AX120" s="4"/>
      <c r="AY120" s="4"/>
      <c r="AZ120" s="4"/>
      <c r="BA120" s="4"/>
      <c r="BB120" s="4"/>
      <c r="BC120" s="4"/>
      <c r="BD120" s="4"/>
      <c r="BE120" s="4"/>
      <c r="BF120" s="4"/>
      <c r="BG120" s="4"/>
      <c r="BH120" s="4"/>
    </row>
    <row r="121" spans="1:60" outlineLevel="1">
      <c r="A121" s="4"/>
      <c r="B121" s="669"/>
      <c r="C121" s="775"/>
      <c r="D121" s="775"/>
      <c r="E121" s="775"/>
      <c r="F121" s="775"/>
      <c r="G121" s="775"/>
      <c r="H121" s="775"/>
      <c r="I121" s="770"/>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5"/>
      <c r="AT121" s="4"/>
      <c r="AU121" s="4"/>
      <c r="AV121" s="4"/>
      <c r="AW121" s="4"/>
      <c r="AX121" s="4"/>
      <c r="AY121" s="4"/>
      <c r="AZ121" s="4"/>
      <c r="BA121" s="4"/>
      <c r="BB121" s="4"/>
      <c r="BC121" s="4"/>
      <c r="BD121" s="4"/>
      <c r="BE121" s="4"/>
      <c r="BF121" s="4"/>
      <c r="BG121" s="4"/>
      <c r="BH121" s="4"/>
    </row>
    <row r="122" spans="1:60" outlineLevel="2">
      <c r="A122" s="4"/>
      <c r="B122" s="671" t="s">
        <v>582</v>
      </c>
      <c r="C122" s="117" t="s">
        <v>540</v>
      </c>
      <c r="D122" s="100">
        <v>0</v>
      </c>
      <c r="E122" s="100">
        <v>0</v>
      </c>
      <c r="F122" s="510">
        <v>0</v>
      </c>
      <c r="G122" s="100">
        <v>0</v>
      </c>
      <c r="H122" s="100">
        <v>0</v>
      </c>
      <c r="I122" s="100">
        <v>0</v>
      </c>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5"/>
      <c r="AT122" s="4"/>
      <c r="AU122" s="4"/>
      <c r="AV122" s="4"/>
      <c r="AW122" s="4"/>
      <c r="AX122" s="4"/>
      <c r="AY122" s="4"/>
      <c r="AZ122" s="4"/>
      <c r="BA122" s="4"/>
      <c r="BB122" s="4"/>
      <c r="BC122" s="4"/>
      <c r="BD122" s="4"/>
      <c r="BE122" s="4"/>
      <c r="BF122" s="4"/>
      <c r="BG122" s="4"/>
      <c r="BH122" s="4"/>
    </row>
    <row r="123" spans="1:60" outlineLevel="2">
      <c r="A123" s="4"/>
      <c r="B123" s="774"/>
      <c r="C123" s="117" t="s">
        <v>541</v>
      </c>
      <c r="D123" s="100">
        <v>0</v>
      </c>
      <c r="E123" s="100">
        <v>0</v>
      </c>
      <c r="F123" s="510">
        <v>0</v>
      </c>
      <c r="G123" s="100">
        <v>0</v>
      </c>
      <c r="H123" s="100">
        <v>0</v>
      </c>
      <c r="I123" s="100">
        <v>0</v>
      </c>
      <c r="J123" s="4"/>
      <c r="K123" s="4"/>
      <c r="L123" s="118"/>
      <c r="M123" s="118"/>
      <c r="N123" s="4"/>
      <c r="O123" s="118"/>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row>
    <row r="124" spans="1:60" outlineLevel="2">
      <c r="A124" s="4"/>
      <c r="B124" s="774"/>
      <c r="C124" s="117" t="s">
        <v>542</v>
      </c>
      <c r="D124" s="100">
        <v>0</v>
      </c>
      <c r="E124" s="100">
        <v>0</v>
      </c>
      <c r="F124" s="510">
        <v>0</v>
      </c>
      <c r="G124" s="100">
        <v>0</v>
      </c>
      <c r="H124" s="100">
        <v>0</v>
      </c>
      <c r="I124" s="100">
        <v>0</v>
      </c>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row>
    <row r="125" spans="1:60" outlineLevel="2">
      <c r="A125" s="4"/>
      <c r="B125" s="774"/>
      <c r="C125" s="117" t="s">
        <v>543</v>
      </c>
      <c r="D125" s="100">
        <v>0</v>
      </c>
      <c r="E125" s="100">
        <v>0</v>
      </c>
      <c r="F125" s="510">
        <v>0</v>
      </c>
      <c r="G125" s="100">
        <v>0</v>
      </c>
      <c r="H125" s="100">
        <v>0</v>
      </c>
      <c r="I125" s="100">
        <v>0</v>
      </c>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row>
    <row r="126" spans="1:60" outlineLevel="2">
      <c r="A126" s="4"/>
      <c r="B126" s="773"/>
      <c r="C126" s="117" t="s">
        <v>544</v>
      </c>
      <c r="D126" s="100">
        <v>0</v>
      </c>
      <c r="E126" s="100">
        <v>0</v>
      </c>
      <c r="F126" s="510">
        <v>0</v>
      </c>
      <c r="G126" s="100">
        <v>0</v>
      </c>
      <c r="H126" s="100">
        <v>0</v>
      </c>
      <c r="I126" s="100">
        <v>0</v>
      </c>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row>
    <row r="127" spans="1:60" outlineLevel="1">
      <c r="A127" s="4"/>
      <c r="B127" s="669"/>
      <c r="C127" s="775"/>
      <c r="D127" s="775"/>
      <c r="E127" s="775"/>
      <c r="F127" s="775"/>
      <c r="G127" s="775"/>
      <c r="H127" s="775"/>
      <c r="I127" s="770"/>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row>
    <row r="128" spans="1:60" outlineLevel="2">
      <c r="A128" s="4"/>
      <c r="B128" s="671" t="s">
        <v>474</v>
      </c>
      <c r="C128" s="117" t="s">
        <v>545</v>
      </c>
      <c r="D128" s="100">
        <v>0</v>
      </c>
      <c r="E128" s="100">
        <v>0</v>
      </c>
      <c r="F128" s="510">
        <v>0</v>
      </c>
      <c r="G128" s="100">
        <v>0</v>
      </c>
      <c r="H128" s="100">
        <v>0</v>
      </c>
      <c r="I128" s="100">
        <v>0</v>
      </c>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row>
    <row r="129" spans="1:60" outlineLevel="2">
      <c r="A129" s="4"/>
      <c r="B129" s="774"/>
      <c r="C129" s="117" t="s">
        <v>546</v>
      </c>
      <c r="D129" s="100">
        <v>0</v>
      </c>
      <c r="E129" s="100">
        <v>0</v>
      </c>
      <c r="F129" s="510">
        <v>0</v>
      </c>
      <c r="G129" s="100">
        <v>0</v>
      </c>
      <c r="H129" s="100">
        <v>0</v>
      </c>
      <c r="I129" s="100">
        <v>0</v>
      </c>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row>
    <row r="130" spans="1:60" outlineLevel="2">
      <c r="A130" s="4"/>
      <c r="B130" s="774"/>
      <c r="C130" s="117" t="s">
        <v>547</v>
      </c>
      <c r="D130" s="100">
        <v>0</v>
      </c>
      <c r="E130" s="100">
        <v>0</v>
      </c>
      <c r="F130" s="510">
        <v>0</v>
      </c>
      <c r="G130" s="100">
        <v>0</v>
      </c>
      <c r="H130" s="100">
        <v>0</v>
      </c>
      <c r="I130" s="100">
        <v>0</v>
      </c>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row>
    <row r="131" spans="1:60" outlineLevel="2">
      <c r="A131" s="4"/>
      <c r="B131" s="773"/>
      <c r="C131" s="117" t="s">
        <v>548</v>
      </c>
      <c r="D131" s="100">
        <v>0</v>
      </c>
      <c r="E131" s="100">
        <v>0</v>
      </c>
      <c r="F131" s="510">
        <v>0</v>
      </c>
      <c r="G131" s="100">
        <v>0</v>
      </c>
      <c r="H131" s="100">
        <v>0</v>
      </c>
      <c r="I131" s="100">
        <v>0</v>
      </c>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row>
    <row r="132" spans="1:60" outlineLevel="1">
      <c r="A132" s="4"/>
      <c r="B132" s="669"/>
      <c r="C132" s="775"/>
      <c r="D132" s="775"/>
      <c r="E132" s="775"/>
      <c r="F132" s="775"/>
      <c r="G132" s="775"/>
      <c r="H132" s="775"/>
      <c r="I132" s="770"/>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row>
    <row r="133" spans="1:60" outlineLevel="2">
      <c r="A133" s="4"/>
      <c r="B133" s="671" t="s">
        <v>583</v>
      </c>
      <c r="C133" s="117" t="s">
        <v>549</v>
      </c>
      <c r="D133" s="100">
        <v>0</v>
      </c>
      <c r="E133" s="100">
        <v>0</v>
      </c>
      <c r="F133" s="510">
        <v>0</v>
      </c>
      <c r="G133" s="100">
        <v>0</v>
      </c>
      <c r="H133" s="100">
        <v>0</v>
      </c>
      <c r="I133" s="100">
        <v>0</v>
      </c>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row>
    <row r="134" spans="1:60" outlineLevel="2">
      <c r="A134" s="4"/>
      <c r="B134" s="774"/>
      <c r="C134" s="117" t="s">
        <v>550</v>
      </c>
      <c r="D134" s="100">
        <v>0</v>
      </c>
      <c r="E134" s="100">
        <v>0</v>
      </c>
      <c r="F134" s="510">
        <v>0</v>
      </c>
      <c r="G134" s="100">
        <v>0</v>
      </c>
      <c r="H134" s="100">
        <v>0</v>
      </c>
      <c r="I134" s="100">
        <v>0</v>
      </c>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row>
    <row r="135" spans="1:60" outlineLevel="2">
      <c r="A135" s="4"/>
      <c r="B135" s="774"/>
      <c r="C135" s="117" t="s">
        <v>551</v>
      </c>
      <c r="D135" s="100">
        <v>0</v>
      </c>
      <c r="E135" s="100">
        <v>0</v>
      </c>
      <c r="F135" s="510">
        <v>0</v>
      </c>
      <c r="G135" s="100">
        <v>0</v>
      </c>
      <c r="H135" s="100">
        <v>0</v>
      </c>
      <c r="I135" s="100">
        <v>0</v>
      </c>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row>
    <row r="136" spans="1:60" outlineLevel="2">
      <c r="A136" s="4"/>
      <c r="B136" s="773"/>
      <c r="C136" s="117" t="s">
        <v>552</v>
      </c>
      <c r="D136" s="100">
        <v>0</v>
      </c>
      <c r="E136" s="100">
        <v>0</v>
      </c>
      <c r="F136" s="510">
        <v>0</v>
      </c>
      <c r="G136" s="100">
        <v>0</v>
      </c>
      <c r="H136" s="100">
        <v>0</v>
      </c>
      <c r="I136" s="100">
        <v>0</v>
      </c>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row>
    <row r="137" spans="1:60">
      <c r="A137" s="4"/>
      <c r="B137" s="3"/>
      <c r="C137" s="3"/>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5"/>
      <c r="AT137" s="4"/>
      <c r="AU137" s="4"/>
      <c r="AV137" s="4"/>
      <c r="AW137" s="4"/>
      <c r="AX137" s="4"/>
      <c r="AY137" s="4"/>
      <c r="AZ137" s="4"/>
      <c r="BA137" s="4"/>
      <c r="BB137" s="4"/>
      <c r="BC137" s="4"/>
      <c r="BD137" s="4"/>
      <c r="BE137" s="4"/>
      <c r="BF137" s="4"/>
      <c r="BG137" s="4"/>
      <c r="BH137" s="4"/>
    </row>
    <row r="138" spans="1:60">
      <c r="A138" s="4"/>
      <c r="B138" s="3"/>
      <c r="C138" s="3"/>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5"/>
      <c r="AT138" s="4"/>
      <c r="AU138" s="4"/>
      <c r="AV138" s="4"/>
      <c r="AW138" s="4"/>
      <c r="AX138" s="4"/>
      <c r="AY138" s="4"/>
      <c r="AZ138" s="4"/>
      <c r="BA138" s="4"/>
      <c r="BB138" s="4"/>
      <c r="BC138" s="4"/>
      <c r="BD138" s="4"/>
      <c r="BE138" s="4"/>
      <c r="BF138" s="4"/>
      <c r="BG138" s="4"/>
      <c r="BH138" s="4"/>
    </row>
    <row r="139" spans="1:60">
      <c r="A139" s="4"/>
      <c r="B139" s="3"/>
      <c r="C139" s="3"/>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5"/>
      <c r="AT139" s="4"/>
      <c r="AU139" s="4"/>
      <c r="AV139" s="4"/>
      <c r="AW139" s="4"/>
      <c r="AX139" s="4"/>
      <c r="AY139" s="4"/>
      <c r="AZ139" s="4"/>
      <c r="BA139" s="4"/>
      <c r="BB139" s="4"/>
      <c r="BC139" s="4"/>
      <c r="BD139" s="4"/>
      <c r="BE139" s="4"/>
      <c r="BF139" s="4"/>
      <c r="BG139" s="4"/>
      <c r="BH139" s="4"/>
    </row>
    <row r="140" spans="1:60">
      <c r="A140" s="4"/>
      <c r="B140" s="673" t="s">
        <v>574</v>
      </c>
      <c r="C140" s="112"/>
      <c r="D140" s="113" t="s">
        <v>481</v>
      </c>
      <c r="E140" s="113" t="s">
        <v>485</v>
      </c>
      <c r="F140" s="113" t="s">
        <v>561</v>
      </c>
      <c r="G140" s="113" t="s">
        <v>562</v>
      </c>
      <c r="H140" s="113" t="s">
        <v>563</v>
      </c>
      <c r="I140" s="11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5"/>
      <c r="AT140" s="4"/>
      <c r="AU140" s="4"/>
      <c r="AV140" s="4"/>
      <c r="AW140" s="4"/>
      <c r="AX140" s="4"/>
      <c r="AY140" s="4"/>
      <c r="AZ140" s="4"/>
      <c r="BA140" s="4"/>
      <c r="BB140" s="4"/>
      <c r="BC140" s="4"/>
      <c r="BD140" s="4"/>
      <c r="BE140" s="4"/>
      <c r="BF140" s="4"/>
      <c r="BG140" s="4"/>
      <c r="BH140" s="4"/>
    </row>
    <row r="141" spans="1:60">
      <c r="A141" s="4"/>
      <c r="B141" s="773"/>
      <c r="C141" s="116">
        <v>2024</v>
      </c>
      <c r="D141" s="100">
        <v>0</v>
      </c>
      <c r="E141" s="100">
        <v>0</v>
      </c>
      <c r="F141" s="510">
        <v>0</v>
      </c>
      <c r="G141" s="100">
        <v>0</v>
      </c>
      <c r="H141" s="100">
        <v>0</v>
      </c>
      <c r="I141" s="511"/>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5"/>
      <c r="AT141" s="4"/>
      <c r="AU141" s="4"/>
      <c r="AV141" s="4"/>
      <c r="AW141" s="4"/>
      <c r="AX141" s="4"/>
      <c r="AY141" s="4"/>
      <c r="AZ141" s="4"/>
      <c r="BA141" s="4"/>
      <c r="BB141" s="4"/>
      <c r="BC141" s="4"/>
      <c r="BD141" s="4"/>
      <c r="BE141" s="4"/>
      <c r="BF141" s="4"/>
      <c r="BG141" s="4"/>
      <c r="BH141" s="4"/>
    </row>
    <row r="142" spans="1:60" outlineLevel="2">
      <c r="A142" s="4"/>
      <c r="B142" s="674" t="s">
        <v>575</v>
      </c>
      <c r="C142" s="116" t="s">
        <v>501</v>
      </c>
      <c r="D142" s="100">
        <v>0</v>
      </c>
      <c r="E142" s="100">
        <v>0</v>
      </c>
      <c r="F142" s="510">
        <v>0</v>
      </c>
      <c r="G142" s="100">
        <v>0</v>
      </c>
      <c r="H142" s="100">
        <v>0</v>
      </c>
      <c r="I142" s="511"/>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5"/>
      <c r="AT142" s="4"/>
      <c r="AU142" s="4"/>
      <c r="AV142" s="4"/>
      <c r="AW142" s="4"/>
      <c r="AX142" s="4"/>
      <c r="AY142" s="4"/>
      <c r="AZ142" s="4"/>
      <c r="BA142" s="4"/>
      <c r="BB142" s="4"/>
      <c r="BC142" s="4"/>
      <c r="BD142" s="4"/>
      <c r="BE142" s="4"/>
      <c r="BF142" s="4"/>
      <c r="BG142" s="4"/>
      <c r="BH142" s="4"/>
    </row>
    <row r="143" spans="1:60" outlineLevel="2">
      <c r="A143" s="4"/>
      <c r="B143" s="774"/>
      <c r="C143" s="116" t="s">
        <v>502</v>
      </c>
      <c r="D143" s="100">
        <v>0</v>
      </c>
      <c r="E143" s="100">
        <v>0</v>
      </c>
      <c r="F143" s="510">
        <v>0</v>
      </c>
      <c r="G143" s="100">
        <v>0</v>
      </c>
      <c r="H143" s="100">
        <v>0</v>
      </c>
      <c r="I143" s="511"/>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5"/>
      <c r="AT143" s="4"/>
      <c r="AU143" s="4"/>
      <c r="AV143" s="4"/>
      <c r="AW143" s="4"/>
      <c r="AX143" s="4"/>
      <c r="AY143" s="4"/>
      <c r="AZ143" s="4"/>
      <c r="BA143" s="4"/>
      <c r="BB143" s="4"/>
      <c r="BC143" s="4"/>
      <c r="BD143" s="4"/>
      <c r="BE143" s="4"/>
      <c r="BF143" s="4"/>
      <c r="BG143" s="4"/>
      <c r="BH143" s="4"/>
    </row>
    <row r="144" spans="1:60" outlineLevel="2">
      <c r="A144" s="4"/>
      <c r="B144" s="774"/>
      <c r="C144" s="116" t="s">
        <v>503</v>
      </c>
      <c r="D144" s="100">
        <v>0</v>
      </c>
      <c r="E144" s="100">
        <v>0</v>
      </c>
      <c r="F144" s="510">
        <v>0</v>
      </c>
      <c r="G144" s="100">
        <v>0</v>
      </c>
      <c r="H144" s="100">
        <v>0</v>
      </c>
      <c r="I144" s="511"/>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5"/>
      <c r="AT144" s="4"/>
      <c r="AU144" s="4"/>
      <c r="AV144" s="4"/>
      <c r="AW144" s="4"/>
      <c r="AX144" s="4"/>
      <c r="AY144" s="4"/>
      <c r="AZ144" s="4"/>
      <c r="BA144" s="4"/>
      <c r="BB144" s="4"/>
      <c r="BC144" s="4"/>
      <c r="BD144" s="4"/>
      <c r="BE144" s="4"/>
      <c r="BF144" s="4"/>
      <c r="BG144" s="4"/>
      <c r="BH144" s="4"/>
    </row>
    <row r="145" spans="1:60" outlineLevel="2">
      <c r="A145" s="4"/>
      <c r="B145" s="774"/>
      <c r="C145" s="116" t="s">
        <v>504</v>
      </c>
      <c r="D145" s="100">
        <v>0</v>
      </c>
      <c r="E145" s="100">
        <v>0</v>
      </c>
      <c r="F145" s="510">
        <v>0</v>
      </c>
      <c r="G145" s="100">
        <v>0</v>
      </c>
      <c r="H145" s="100">
        <v>0</v>
      </c>
      <c r="I145" s="511"/>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5"/>
      <c r="AT145" s="4"/>
      <c r="AU145" s="4"/>
      <c r="AV145" s="4"/>
      <c r="AW145" s="4"/>
      <c r="AX145" s="4"/>
      <c r="AY145" s="4"/>
      <c r="AZ145" s="4"/>
      <c r="BA145" s="4"/>
      <c r="BB145" s="4"/>
      <c r="BC145" s="4"/>
      <c r="BD145" s="4"/>
      <c r="BE145" s="4"/>
      <c r="BF145" s="4"/>
      <c r="BG145" s="4"/>
      <c r="BH145" s="4"/>
    </row>
    <row r="146" spans="1:60" outlineLevel="2">
      <c r="A146" s="4"/>
      <c r="B146" s="773"/>
      <c r="C146" s="116" t="s">
        <v>505</v>
      </c>
      <c r="D146" s="100">
        <v>0</v>
      </c>
      <c r="E146" s="100">
        <v>0</v>
      </c>
      <c r="F146" s="510">
        <v>0</v>
      </c>
      <c r="G146" s="100">
        <v>0</v>
      </c>
      <c r="H146" s="100">
        <v>0</v>
      </c>
      <c r="I146" s="511"/>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5"/>
      <c r="AT146" s="4"/>
      <c r="AU146" s="4"/>
      <c r="AV146" s="4"/>
      <c r="AW146" s="4"/>
      <c r="AX146" s="4"/>
      <c r="AY146" s="4"/>
      <c r="AZ146" s="4"/>
      <c r="BA146" s="4"/>
      <c r="BB146" s="4"/>
      <c r="BC146" s="4"/>
      <c r="BD146" s="4"/>
      <c r="BE146" s="4"/>
      <c r="BF146" s="4"/>
      <c r="BG146" s="4"/>
      <c r="BH146" s="4"/>
    </row>
    <row r="147" spans="1:60" outlineLevel="1">
      <c r="A147" s="4"/>
      <c r="B147" s="670"/>
      <c r="C147" s="775"/>
      <c r="D147" s="775"/>
      <c r="E147" s="775"/>
      <c r="F147" s="775"/>
      <c r="G147" s="775"/>
      <c r="H147" s="770"/>
      <c r="I147" s="511"/>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5"/>
      <c r="AT147" s="4"/>
      <c r="AU147" s="4"/>
      <c r="AV147" s="4"/>
      <c r="AW147" s="4"/>
      <c r="AX147" s="4"/>
      <c r="AY147" s="4"/>
      <c r="AZ147" s="4"/>
      <c r="BA147" s="4"/>
      <c r="BB147" s="4"/>
      <c r="BC147" s="4"/>
      <c r="BD147" s="4"/>
      <c r="BE147" s="4"/>
      <c r="BF147" s="4"/>
      <c r="BG147" s="4"/>
      <c r="BH147" s="4"/>
    </row>
    <row r="148" spans="1:60" outlineLevel="2">
      <c r="A148" s="4"/>
      <c r="B148" s="674" t="s">
        <v>576</v>
      </c>
      <c r="C148" s="116" t="s">
        <v>506</v>
      </c>
      <c r="D148" s="100">
        <v>0</v>
      </c>
      <c r="E148" s="100">
        <v>0</v>
      </c>
      <c r="F148" s="510">
        <v>0</v>
      </c>
      <c r="G148" s="100">
        <v>0</v>
      </c>
      <c r="H148" s="100">
        <v>0</v>
      </c>
      <c r="I148" s="511"/>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5"/>
      <c r="AT148" s="4"/>
      <c r="AU148" s="4"/>
      <c r="AV148" s="4"/>
      <c r="AW148" s="4"/>
      <c r="AX148" s="4"/>
      <c r="AY148" s="4"/>
      <c r="AZ148" s="4"/>
      <c r="BA148" s="4"/>
      <c r="BB148" s="4"/>
      <c r="BC148" s="4"/>
      <c r="BD148" s="4"/>
      <c r="BE148" s="4"/>
      <c r="BF148" s="4"/>
      <c r="BG148" s="4"/>
      <c r="BH148" s="4"/>
    </row>
    <row r="149" spans="1:60" outlineLevel="2">
      <c r="A149" s="4"/>
      <c r="B149" s="774"/>
      <c r="C149" s="116" t="s">
        <v>507</v>
      </c>
      <c r="D149" s="100">
        <v>0</v>
      </c>
      <c r="E149" s="100">
        <v>0</v>
      </c>
      <c r="F149" s="510">
        <v>0</v>
      </c>
      <c r="G149" s="100">
        <v>0</v>
      </c>
      <c r="H149" s="100">
        <v>0</v>
      </c>
      <c r="I149" s="511"/>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5"/>
      <c r="AT149" s="4"/>
      <c r="AU149" s="4"/>
      <c r="AV149" s="4"/>
      <c r="AW149" s="4"/>
      <c r="AX149" s="4"/>
      <c r="AY149" s="4"/>
      <c r="AZ149" s="4"/>
      <c r="BA149" s="4"/>
      <c r="BB149" s="4"/>
      <c r="BC149" s="4"/>
      <c r="BD149" s="4"/>
      <c r="BE149" s="4"/>
      <c r="BF149" s="4"/>
      <c r="BG149" s="4"/>
      <c r="BH149" s="4"/>
    </row>
    <row r="150" spans="1:60" outlineLevel="2">
      <c r="A150" s="4"/>
      <c r="B150" s="774"/>
      <c r="C150" s="116" t="s">
        <v>508</v>
      </c>
      <c r="D150" s="100">
        <v>0</v>
      </c>
      <c r="E150" s="100">
        <v>0</v>
      </c>
      <c r="F150" s="510">
        <v>0</v>
      </c>
      <c r="G150" s="100">
        <v>0</v>
      </c>
      <c r="H150" s="100">
        <v>0</v>
      </c>
      <c r="I150" s="511"/>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5"/>
      <c r="AT150" s="4"/>
      <c r="AU150" s="4"/>
      <c r="AV150" s="4"/>
      <c r="AW150" s="4"/>
      <c r="AX150" s="4"/>
      <c r="AY150" s="4"/>
      <c r="AZ150" s="4"/>
      <c r="BA150" s="4"/>
      <c r="BB150" s="4"/>
      <c r="BC150" s="4"/>
      <c r="BD150" s="4"/>
      <c r="BE150" s="4"/>
      <c r="BF150" s="4"/>
      <c r="BG150" s="4"/>
      <c r="BH150" s="4"/>
    </row>
    <row r="151" spans="1:60" outlineLevel="2">
      <c r="A151" s="4"/>
      <c r="B151" s="773"/>
      <c r="C151" s="116" t="s">
        <v>509</v>
      </c>
      <c r="D151" s="100">
        <v>0</v>
      </c>
      <c r="E151" s="100">
        <v>0</v>
      </c>
      <c r="F151" s="510">
        <v>0</v>
      </c>
      <c r="G151" s="100">
        <v>0</v>
      </c>
      <c r="H151" s="100">
        <v>0</v>
      </c>
      <c r="I151" s="511"/>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5"/>
      <c r="AT151" s="4"/>
      <c r="AU151" s="4"/>
      <c r="AV151" s="4"/>
      <c r="AW151" s="4"/>
      <c r="AX151" s="4"/>
      <c r="AY151" s="4"/>
      <c r="AZ151" s="4"/>
      <c r="BA151" s="4"/>
      <c r="BB151" s="4"/>
      <c r="BC151" s="4"/>
      <c r="BD151" s="4"/>
      <c r="BE151" s="4"/>
      <c r="BF151" s="4"/>
      <c r="BG151" s="4"/>
      <c r="BH151" s="4"/>
    </row>
    <row r="152" spans="1:60" outlineLevel="1">
      <c r="A152" s="4"/>
      <c r="B152" s="670"/>
      <c r="C152" s="775"/>
      <c r="D152" s="775"/>
      <c r="E152" s="775"/>
      <c r="F152" s="775"/>
      <c r="G152" s="775"/>
      <c r="H152" s="770"/>
      <c r="I152" s="511"/>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5"/>
      <c r="AT152" s="4"/>
      <c r="AU152" s="4"/>
      <c r="AV152" s="4"/>
      <c r="AW152" s="4"/>
      <c r="AX152" s="4"/>
      <c r="AY152" s="4"/>
      <c r="AZ152" s="4"/>
      <c r="BA152" s="4"/>
      <c r="BB152" s="4"/>
      <c r="BC152" s="4"/>
      <c r="BD152" s="4"/>
      <c r="BE152" s="4"/>
      <c r="BF152" s="4"/>
      <c r="BG152" s="4"/>
      <c r="BH152" s="4"/>
    </row>
    <row r="153" spans="1:60" outlineLevel="2">
      <c r="A153" s="4"/>
      <c r="B153" s="671" t="s">
        <v>577</v>
      </c>
      <c r="C153" s="117" t="s">
        <v>510</v>
      </c>
      <c r="D153" s="100">
        <v>0</v>
      </c>
      <c r="E153" s="100">
        <v>0</v>
      </c>
      <c r="F153" s="510">
        <v>0</v>
      </c>
      <c r="G153" s="100">
        <v>0</v>
      </c>
      <c r="H153" s="100">
        <v>0</v>
      </c>
      <c r="I153" s="511"/>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5"/>
      <c r="AT153" s="4"/>
      <c r="AU153" s="4"/>
      <c r="AV153" s="4"/>
      <c r="AW153" s="4"/>
      <c r="AX153" s="4"/>
      <c r="AY153" s="4"/>
      <c r="AZ153" s="4"/>
      <c r="BA153" s="4"/>
      <c r="BB153" s="4"/>
      <c r="BC153" s="4"/>
      <c r="BD153" s="4"/>
      <c r="BE153" s="4"/>
      <c r="BF153" s="4"/>
      <c r="BG153" s="4"/>
      <c r="BH153" s="4"/>
    </row>
    <row r="154" spans="1:60" outlineLevel="2">
      <c r="A154" s="4"/>
      <c r="B154" s="774"/>
      <c r="C154" s="117" t="s">
        <v>511</v>
      </c>
      <c r="D154" s="100">
        <v>0</v>
      </c>
      <c r="E154" s="100">
        <v>0</v>
      </c>
      <c r="F154" s="510">
        <v>0</v>
      </c>
      <c r="G154" s="100">
        <v>0</v>
      </c>
      <c r="H154" s="100">
        <v>0</v>
      </c>
      <c r="I154" s="511"/>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5"/>
      <c r="AT154" s="4"/>
      <c r="AU154" s="4"/>
      <c r="AV154" s="4"/>
      <c r="AW154" s="4"/>
      <c r="AX154" s="4"/>
      <c r="AY154" s="4"/>
      <c r="AZ154" s="4"/>
      <c r="BA154" s="4"/>
      <c r="BB154" s="4"/>
      <c r="BC154" s="4"/>
      <c r="BD154" s="4"/>
      <c r="BE154" s="4"/>
      <c r="BF154" s="4"/>
      <c r="BG154" s="4"/>
      <c r="BH154" s="4"/>
    </row>
    <row r="155" spans="1:60" outlineLevel="2">
      <c r="A155" s="4"/>
      <c r="B155" s="774"/>
      <c r="C155" s="117" t="s">
        <v>512</v>
      </c>
      <c r="D155" s="100">
        <v>0</v>
      </c>
      <c r="E155" s="100">
        <v>0</v>
      </c>
      <c r="F155" s="510">
        <v>0</v>
      </c>
      <c r="G155" s="100">
        <v>0</v>
      </c>
      <c r="H155" s="100">
        <v>0</v>
      </c>
      <c r="I155" s="511"/>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5"/>
      <c r="AT155" s="4"/>
      <c r="AU155" s="4"/>
      <c r="AV155" s="4"/>
      <c r="AW155" s="4"/>
      <c r="AX155" s="4"/>
      <c r="AY155" s="4"/>
      <c r="AZ155" s="4"/>
      <c r="BA155" s="4"/>
      <c r="BB155" s="4"/>
      <c r="BC155" s="4"/>
      <c r="BD155" s="4"/>
      <c r="BE155" s="4"/>
      <c r="BF155" s="4"/>
      <c r="BG155" s="4"/>
      <c r="BH155" s="4"/>
    </row>
    <row r="156" spans="1:60" outlineLevel="2">
      <c r="A156" s="4"/>
      <c r="B156" s="773"/>
      <c r="C156" s="117" t="s">
        <v>513</v>
      </c>
      <c r="D156" s="100">
        <v>0</v>
      </c>
      <c r="E156" s="100">
        <v>0</v>
      </c>
      <c r="F156" s="510">
        <v>0</v>
      </c>
      <c r="G156" s="100">
        <v>0</v>
      </c>
      <c r="H156" s="100">
        <v>0</v>
      </c>
      <c r="I156" s="511"/>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5"/>
      <c r="AT156" s="4"/>
      <c r="AU156" s="4"/>
      <c r="AV156" s="4"/>
      <c r="AW156" s="4"/>
      <c r="AX156" s="4"/>
      <c r="AY156" s="4"/>
      <c r="AZ156" s="4"/>
      <c r="BA156" s="4"/>
      <c r="BB156" s="4"/>
      <c r="BC156" s="4"/>
      <c r="BD156" s="4"/>
      <c r="BE156" s="4"/>
      <c r="BF156" s="4"/>
      <c r="BG156" s="4"/>
      <c r="BH156" s="4"/>
    </row>
    <row r="157" spans="1:60" outlineLevel="1">
      <c r="A157" s="4"/>
      <c r="B157" s="669"/>
      <c r="C157" s="775"/>
      <c r="D157" s="775"/>
      <c r="E157" s="775"/>
      <c r="F157" s="775"/>
      <c r="G157" s="775"/>
      <c r="H157" s="770"/>
      <c r="I157" s="511"/>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5"/>
      <c r="AT157" s="4"/>
      <c r="AU157" s="4"/>
      <c r="AV157" s="4"/>
      <c r="AW157" s="4"/>
      <c r="AX157" s="4"/>
      <c r="AY157" s="4"/>
      <c r="AZ157" s="4"/>
      <c r="BA157" s="4"/>
      <c r="BB157" s="4"/>
      <c r="BC157" s="4"/>
      <c r="BD157" s="4"/>
      <c r="BE157" s="4"/>
      <c r="BF157" s="4"/>
      <c r="BG157" s="4"/>
      <c r="BH157" s="4"/>
    </row>
    <row r="158" spans="1:60" outlineLevel="2">
      <c r="A158" s="4"/>
      <c r="B158" s="671" t="s">
        <v>59</v>
      </c>
      <c r="C158" s="117" t="s">
        <v>514</v>
      </c>
      <c r="D158" s="100">
        <v>0</v>
      </c>
      <c r="E158" s="100">
        <v>0</v>
      </c>
      <c r="F158" s="510">
        <v>0</v>
      </c>
      <c r="G158" s="100">
        <v>0</v>
      </c>
      <c r="H158" s="100">
        <v>0</v>
      </c>
      <c r="I158" s="511"/>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5"/>
      <c r="AT158" s="4"/>
      <c r="AU158" s="4"/>
      <c r="AV158" s="4"/>
      <c r="AW158" s="4"/>
      <c r="AX158" s="4"/>
      <c r="AY158" s="4"/>
      <c r="AZ158" s="4"/>
      <c r="BA158" s="4"/>
      <c r="BB158" s="4"/>
      <c r="BC158" s="4"/>
      <c r="BD158" s="4"/>
      <c r="BE158" s="4"/>
      <c r="BF158" s="4"/>
      <c r="BG158" s="4"/>
      <c r="BH158" s="4"/>
    </row>
    <row r="159" spans="1:60" outlineLevel="2">
      <c r="A159" s="4"/>
      <c r="B159" s="774"/>
      <c r="C159" s="117" t="s">
        <v>515</v>
      </c>
      <c r="D159" s="100">
        <v>0</v>
      </c>
      <c r="E159" s="100">
        <v>0</v>
      </c>
      <c r="F159" s="510">
        <v>0</v>
      </c>
      <c r="G159" s="100">
        <v>0</v>
      </c>
      <c r="H159" s="100">
        <v>0</v>
      </c>
      <c r="I159" s="511"/>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5"/>
      <c r="AT159" s="4"/>
      <c r="AU159" s="4"/>
      <c r="AV159" s="4"/>
      <c r="AW159" s="4"/>
      <c r="AX159" s="4"/>
      <c r="AY159" s="4"/>
      <c r="AZ159" s="4"/>
      <c r="BA159" s="4"/>
      <c r="BB159" s="4"/>
      <c r="BC159" s="4"/>
      <c r="BD159" s="4"/>
      <c r="BE159" s="4"/>
      <c r="BF159" s="4"/>
      <c r="BG159" s="4"/>
      <c r="BH159" s="4"/>
    </row>
    <row r="160" spans="1:60" outlineLevel="2">
      <c r="A160" s="4"/>
      <c r="B160" s="774"/>
      <c r="C160" s="117" t="s">
        <v>516</v>
      </c>
      <c r="D160" s="100">
        <v>0</v>
      </c>
      <c r="E160" s="100">
        <v>0</v>
      </c>
      <c r="F160" s="510">
        <v>0</v>
      </c>
      <c r="G160" s="100">
        <v>0</v>
      </c>
      <c r="H160" s="100">
        <v>0</v>
      </c>
      <c r="I160" s="511"/>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5"/>
      <c r="AT160" s="4"/>
      <c r="AU160" s="4"/>
      <c r="AV160" s="4"/>
      <c r="AW160" s="4"/>
      <c r="AX160" s="4"/>
      <c r="AY160" s="4"/>
      <c r="AZ160" s="4"/>
      <c r="BA160" s="4"/>
      <c r="BB160" s="4"/>
      <c r="BC160" s="4"/>
      <c r="BD160" s="4"/>
      <c r="BE160" s="4"/>
      <c r="BF160" s="4"/>
      <c r="BG160" s="4"/>
      <c r="BH160" s="4"/>
    </row>
    <row r="161" spans="1:60" outlineLevel="2">
      <c r="A161" s="4"/>
      <c r="B161" s="773"/>
      <c r="C161" s="117" t="s">
        <v>517</v>
      </c>
      <c r="D161" s="100">
        <v>0</v>
      </c>
      <c r="E161" s="100">
        <v>0</v>
      </c>
      <c r="F161" s="510">
        <v>0</v>
      </c>
      <c r="G161" s="100">
        <v>0</v>
      </c>
      <c r="H161" s="100">
        <v>0</v>
      </c>
      <c r="I161" s="511"/>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5"/>
      <c r="AT161" s="4"/>
      <c r="AU161" s="4"/>
      <c r="AV161" s="4"/>
      <c r="AW161" s="4"/>
      <c r="AX161" s="4"/>
      <c r="AY161" s="4"/>
      <c r="AZ161" s="4"/>
      <c r="BA161" s="4"/>
      <c r="BB161" s="4"/>
      <c r="BC161" s="4"/>
      <c r="BD161" s="4"/>
      <c r="BE161" s="4"/>
      <c r="BF161" s="4"/>
      <c r="BG161" s="4"/>
      <c r="BH161" s="4"/>
    </row>
    <row r="162" spans="1:60" outlineLevel="1">
      <c r="A162" s="4"/>
      <c r="B162" s="669"/>
      <c r="C162" s="775"/>
      <c r="D162" s="775"/>
      <c r="E162" s="775"/>
      <c r="F162" s="775"/>
      <c r="G162" s="775"/>
      <c r="H162" s="770"/>
      <c r="I162" s="511"/>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5"/>
      <c r="AT162" s="4"/>
      <c r="AU162" s="4"/>
      <c r="AV162" s="4"/>
      <c r="AW162" s="4"/>
      <c r="AX162" s="4"/>
      <c r="AY162" s="4"/>
      <c r="AZ162" s="4"/>
      <c r="BA162" s="4"/>
      <c r="BB162" s="4"/>
      <c r="BC162" s="4"/>
      <c r="BD162" s="4"/>
      <c r="BE162" s="4"/>
      <c r="BF162" s="4"/>
      <c r="BG162" s="4"/>
      <c r="BH162" s="4"/>
    </row>
    <row r="163" spans="1:60" outlineLevel="2">
      <c r="A163" s="4"/>
      <c r="B163" s="671" t="s">
        <v>578</v>
      </c>
      <c r="C163" s="117" t="s">
        <v>518</v>
      </c>
      <c r="D163" s="100">
        <v>0</v>
      </c>
      <c r="E163" s="100">
        <v>0</v>
      </c>
      <c r="F163" s="510">
        <v>0</v>
      </c>
      <c r="G163" s="100">
        <v>0</v>
      </c>
      <c r="H163" s="100">
        <v>0</v>
      </c>
      <c r="I163" s="511"/>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5"/>
      <c r="AT163" s="4"/>
      <c r="AU163" s="4"/>
      <c r="AV163" s="4"/>
      <c r="AW163" s="4"/>
      <c r="AX163" s="4"/>
      <c r="AY163" s="4"/>
      <c r="AZ163" s="4"/>
      <c r="BA163" s="4"/>
      <c r="BB163" s="4"/>
      <c r="BC163" s="4"/>
      <c r="BD163" s="4"/>
      <c r="BE163" s="4"/>
      <c r="BF163" s="4"/>
      <c r="BG163" s="4"/>
      <c r="BH163" s="4"/>
    </row>
    <row r="164" spans="1:60" outlineLevel="2">
      <c r="A164" s="4"/>
      <c r="B164" s="774"/>
      <c r="C164" s="117" t="s">
        <v>519</v>
      </c>
      <c r="D164" s="100">
        <v>0</v>
      </c>
      <c r="E164" s="100">
        <v>0</v>
      </c>
      <c r="F164" s="510">
        <v>0</v>
      </c>
      <c r="G164" s="100">
        <v>0</v>
      </c>
      <c r="H164" s="100">
        <v>0</v>
      </c>
      <c r="I164" s="511"/>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5"/>
      <c r="AT164" s="4"/>
      <c r="AU164" s="4"/>
      <c r="AV164" s="4"/>
      <c r="AW164" s="4"/>
      <c r="AX164" s="4"/>
      <c r="AY164" s="4"/>
      <c r="AZ164" s="4"/>
      <c r="BA164" s="4"/>
      <c r="BB164" s="4"/>
      <c r="BC164" s="4"/>
      <c r="BD164" s="4"/>
      <c r="BE164" s="4"/>
      <c r="BF164" s="4"/>
      <c r="BG164" s="4"/>
      <c r="BH164" s="4"/>
    </row>
    <row r="165" spans="1:60" outlineLevel="2">
      <c r="A165" s="4"/>
      <c r="B165" s="774"/>
      <c r="C165" s="117" t="s">
        <v>520</v>
      </c>
      <c r="D165" s="100">
        <v>0</v>
      </c>
      <c r="E165" s="100">
        <v>0</v>
      </c>
      <c r="F165" s="510">
        <v>0</v>
      </c>
      <c r="G165" s="100">
        <v>0</v>
      </c>
      <c r="H165" s="100">
        <v>0</v>
      </c>
      <c r="I165" s="511"/>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5"/>
      <c r="AT165" s="4"/>
      <c r="AU165" s="4"/>
      <c r="AV165" s="4"/>
      <c r="AW165" s="4"/>
      <c r="AX165" s="4"/>
      <c r="AY165" s="4"/>
      <c r="AZ165" s="4"/>
      <c r="BA165" s="4"/>
      <c r="BB165" s="4"/>
      <c r="BC165" s="4"/>
      <c r="BD165" s="4"/>
      <c r="BE165" s="4"/>
      <c r="BF165" s="4"/>
      <c r="BG165" s="4"/>
      <c r="BH165" s="4"/>
    </row>
    <row r="166" spans="1:60" outlineLevel="2">
      <c r="A166" s="4"/>
      <c r="B166" s="774"/>
      <c r="C166" s="117" t="s">
        <v>521</v>
      </c>
      <c r="D166" s="100">
        <v>0</v>
      </c>
      <c r="E166" s="100">
        <v>0</v>
      </c>
      <c r="F166" s="510">
        <v>0</v>
      </c>
      <c r="G166" s="100">
        <v>0</v>
      </c>
      <c r="H166" s="100">
        <v>0</v>
      </c>
      <c r="I166" s="511"/>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5"/>
      <c r="AT166" s="4"/>
      <c r="AU166" s="4"/>
      <c r="AV166" s="4"/>
      <c r="AW166" s="4"/>
      <c r="AX166" s="4"/>
      <c r="AY166" s="4"/>
      <c r="AZ166" s="4"/>
      <c r="BA166" s="4"/>
      <c r="BB166" s="4"/>
      <c r="BC166" s="4"/>
      <c r="BD166" s="4"/>
      <c r="BE166" s="4"/>
      <c r="BF166" s="4"/>
      <c r="BG166" s="4"/>
      <c r="BH166" s="4"/>
    </row>
    <row r="167" spans="1:60" outlineLevel="2">
      <c r="A167" s="4"/>
      <c r="B167" s="773"/>
      <c r="C167" s="117" t="s">
        <v>522</v>
      </c>
      <c r="D167" s="100">
        <v>0</v>
      </c>
      <c r="E167" s="100">
        <v>0</v>
      </c>
      <c r="F167" s="510">
        <v>0</v>
      </c>
      <c r="G167" s="100">
        <v>0</v>
      </c>
      <c r="H167" s="100">
        <v>0</v>
      </c>
      <c r="I167" s="511"/>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5"/>
      <c r="AT167" s="4"/>
      <c r="AU167" s="4"/>
      <c r="AV167" s="4"/>
      <c r="AW167" s="4"/>
      <c r="AX167" s="4"/>
      <c r="AY167" s="4"/>
      <c r="AZ167" s="4"/>
      <c r="BA167" s="4"/>
      <c r="BB167" s="4"/>
      <c r="BC167" s="4"/>
      <c r="BD167" s="4"/>
      <c r="BE167" s="4"/>
      <c r="BF167" s="4"/>
      <c r="BG167" s="4"/>
      <c r="BH167" s="4"/>
    </row>
    <row r="168" spans="1:60" outlineLevel="1">
      <c r="A168" s="4"/>
      <c r="B168" s="669"/>
      <c r="C168" s="775"/>
      <c r="D168" s="775"/>
      <c r="E168" s="775"/>
      <c r="F168" s="775"/>
      <c r="G168" s="775"/>
      <c r="H168" s="770"/>
      <c r="I168" s="511"/>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5"/>
      <c r="AT168" s="4"/>
      <c r="AU168" s="4"/>
      <c r="AV168" s="4"/>
      <c r="AW168" s="4"/>
      <c r="AX168" s="4"/>
      <c r="AY168" s="4"/>
      <c r="AZ168" s="4"/>
      <c r="BA168" s="4"/>
      <c r="BB168" s="4"/>
      <c r="BC168" s="4"/>
      <c r="BD168" s="4"/>
      <c r="BE168" s="4"/>
      <c r="BF168" s="4"/>
      <c r="BG168" s="4"/>
      <c r="BH168" s="4"/>
    </row>
    <row r="169" spans="1:60" outlineLevel="2">
      <c r="A169" s="4"/>
      <c r="B169" s="671" t="s">
        <v>579</v>
      </c>
      <c r="C169" s="117" t="s">
        <v>523</v>
      </c>
      <c r="D169" s="100">
        <v>0</v>
      </c>
      <c r="E169" s="100">
        <v>0</v>
      </c>
      <c r="F169" s="510">
        <v>0</v>
      </c>
      <c r="G169" s="100">
        <v>0</v>
      </c>
      <c r="H169" s="100">
        <v>0</v>
      </c>
      <c r="I169" s="511"/>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5"/>
      <c r="AT169" s="4"/>
      <c r="AU169" s="4"/>
      <c r="AV169" s="4"/>
      <c r="AW169" s="4"/>
      <c r="AX169" s="4"/>
      <c r="AY169" s="4"/>
      <c r="AZ169" s="4"/>
      <c r="BA169" s="4"/>
      <c r="BB169" s="4"/>
      <c r="BC169" s="4"/>
      <c r="BD169" s="4"/>
      <c r="BE169" s="4"/>
      <c r="BF169" s="4"/>
      <c r="BG169" s="4"/>
      <c r="BH169" s="4"/>
    </row>
    <row r="170" spans="1:60" outlineLevel="2">
      <c r="A170" s="4"/>
      <c r="B170" s="774"/>
      <c r="C170" s="117" t="s">
        <v>524</v>
      </c>
      <c r="D170" s="100">
        <v>0</v>
      </c>
      <c r="E170" s="100">
        <v>0</v>
      </c>
      <c r="F170" s="510">
        <v>0</v>
      </c>
      <c r="G170" s="100">
        <v>0</v>
      </c>
      <c r="H170" s="100">
        <v>0</v>
      </c>
      <c r="I170" s="511"/>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5"/>
      <c r="AT170" s="4"/>
      <c r="AU170" s="4"/>
      <c r="AV170" s="4"/>
      <c r="AW170" s="4"/>
      <c r="AX170" s="4"/>
      <c r="AY170" s="4"/>
      <c r="AZ170" s="4"/>
      <c r="BA170" s="4"/>
      <c r="BB170" s="4"/>
      <c r="BC170" s="4"/>
      <c r="BD170" s="4"/>
      <c r="BE170" s="4"/>
      <c r="BF170" s="4"/>
      <c r="BG170" s="4"/>
      <c r="BH170" s="4"/>
    </row>
    <row r="171" spans="1:60" outlineLevel="2">
      <c r="A171" s="4"/>
      <c r="B171" s="774"/>
      <c r="C171" s="117" t="s">
        <v>525</v>
      </c>
      <c r="D171" s="100">
        <v>0</v>
      </c>
      <c r="E171" s="100">
        <v>0</v>
      </c>
      <c r="F171" s="510">
        <v>0</v>
      </c>
      <c r="G171" s="100">
        <v>0</v>
      </c>
      <c r="H171" s="100">
        <v>0</v>
      </c>
      <c r="I171" s="511"/>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5"/>
      <c r="AT171" s="4"/>
      <c r="AU171" s="4"/>
      <c r="AV171" s="4"/>
      <c r="AW171" s="4"/>
      <c r="AX171" s="4"/>
      <c r="AY171" s="4"/>
      <c r="AZ171" s="4"/>
      <c r="BA171" s="4"/>
      <c r="BB171" s="4"/>
      <c r="BC171" s="4"/>
      <c r="BD171" s="4"/>
      <c r="BE171" s="4"/>
      <c r="BF171" s="4"/>
      <c r="BG171" s="4"/>
      <c r="BH171" s="4"/>
    </row>
    <row r="172" spans="1:60" outlineLevel="2">
      <c r="A172" s="4"/>
      <c r="B172" s="773"/>
      <c r="C172" s="117" t="s">
        <v>526</v>
      </c>
      <c r="D172" s="100">
        <v>0</v>
      </c>
      <c r="E172" s="100">
        <v>0</v>
      </c>
      <c r="F172" s="510">
        <v>0</v>
      </c>
      <c r="G172" s="100">
        <v>0</v>
      </c>
      <c r="H172" s="100">
        <v>0</v>
      </c>
      <c r="I172" s="511"/>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5"/>
      <c r="AT172" s="4"/>
      <c r="AU172" s="4"/>
      <c r="AV172" s="4"/>
      <c r="AW172" s="4"/>
      <c r="AX172" s="4"/>
      <c r="AY172" s="4"/>
      <c r="AZ172" s="4"/>
      <c r="BA172" s="4"/>
      <c r="BB172" s="4"/>
      <c r="BC172" s="4"/>
      <c r="BD172" s="4"/>
      <c r="BE172" s="4"/>
      <c r="BF172" s="4"/>
      <c r="BG172" s="4"/>
      <c r="BH172" s="4"/>
    </row>
    <row r="173" spans="1:60" outlineLevel="1">
      <c r="A173" s="4"/>
      <c r="B173" s="669"/>
      <c r="C173" s="775"/>
      <c r="D173" s="775"/>
      <c r="E173" s="775"/>
      <c r="F173" s="775"/>
      <c r="G173" s="775"/>
      <c r="H173" s="770"/>
      <c r="I173" s="511"/>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5"/>
      <c r="AT173" s="4"/>
      <c r="AU173" s="4"/>
      <c r="AV173" s="4"/>
      <c r="AW173" s="4"/>
      <c r="AX173" s="4"/>
      <c r="AY173" s="4"/>
      <c r="AZ173" s="4"/>
      <c r="BA173" s="4"/>
      <c r="BB173" s="4"/>
      <c r="BC173" s="4"/>
      <c r="BD173" s="4"/>
      <c r="BE173" s="4"/>
      <c r="BF173" s="4"/>
      <c r="BG173" s="4"/>
      <c r="BH173" s="4"/>
    </row>
    <row r="174" spans="1:60" outlineLevel="2">
      <c r="A174" s="4"/>
      <c r="B174" s="671" t="s">
        <v>580</v>
      </c>
      <c r="C174" s="117" t="s">
        <v>527</v>
      </c>
      <c r="D174" s="100">
        <v>0</v>
      </c>
      <c r="E174" s="100">
        <v>0</v>
      </c>
      <c r="F174" s="510">
        <v>0</v>
      </c>
      <c r="G174" s="100">
        <v>0</v>
      </c>
      <c r="H174" s="100">
        <v>0</v>
      </c>
      <c r="I174" s="511"/>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5"/>
      <c r="AT174" s="4"/>
      <c r="AU174" s="4"/>
      <c r="AV174" s="4"/>
      <c r="AW174" s="4"/>
      <c r="AX174" s="4"/>
      <c r="AY174" s="4"/>
      <c r="AZ174" s="4"/>
      <c r="BA174" s="4"/>
      <c r="BB174" s="4"/>
      <c r="BC174" s="4"/>
      <c r="BD174" s="4"/>
      <c r="BE174" s="4"/>
      <c r="BF174" s="4"/>
      <c r="BG174" s="4"/>
      <c r="BH174" s="4"/>
    </row>
    <row r="175" spans="1:60" outlineLevel="2">
      <c r="A175" s="4"/>
      <c r="B175" s="774"/>
      <c r="C175" s="117" t="s">
        <v>528</v>
      </c>
      <c r="D175" s="100">
        <v>0</v>
      </c>
      <c r="E175" s="100">
        <v>0</v>
      </c>
      <c r="F175" s="510">
        <v>0</v>
      </c>
      <c r="G175" s="100">
        <v>0</v>
      </c>
      <c r="H175" s="100">
        <v>0</v>
      </c>
      <c r="I175" s="511"/>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5"/>
      <c r="AT175" s="4"/>
      <c r="AU175" s="4"/>
      <c r="AV175" s="4"/>
      <c r="AW175" s="4"/>
      <c r="AX175" s="4"/>
      <c r="AY175" s="4"/>
      <c r="AZ175" s="4"/>
      <c r="BA175" s="4"/>
      <c r="BB175" s="4"/>
      <c r="BC175" s="4"/>
      <c r="BD175" s="4"/>
      <c r="BE175" s="4"/>
      <c r="BF175" s="4"/>
      <c r="BG175" s="4"/>
      <c r="BH175" s="4"/>
    </row>
    <row r="176" spans="1:60" outlineLevel="2">
      <c r="A176" s="4"/>
      <c r="B176" s="774"/>
      <c r="C176" s="117" t="s">
        <v>529</v>
      </c>
      <c r="D176" s="100">
        <v>0</v>
      </c>
      <c r="E176" s="100">
        <v>0</v>
      </c>
      <c r="F176" s="510">
        <v>0</v>
      </c>
      <c r="G176" s="100">
        <v>0</v>
      </c>
      <c r="H176" s="100">
        <v>0</v>
      </c>
      <c r="I176" s="511"/>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5"/>
      <c r="AT176" s="4"/>
      <c r="AU176" s="4"/>
      <c r="AV176" s="4"/>
      <c r="AW176" s="4"/>
      <c r="AX176" s="4"/>
      <c r="AY176" s="4"/>
      <c r="AZ176" s="4"/>
      <c r="BA176" s="4"/>
      <c r="BB176" s="4"/>
      <c r="BC176" s="4"/>
      <c r="BD176" s="4"/>
      <c r="BE176" s="4"/>
      <c r="BF176" s="4"/>
      <c r="BG176" s="4"/>
      <c r="BH176" s="4"/>
    </row>
    <row r="177" spans="1:60" outlineLevel="2">
      <c r="A177" s="4"/>
      <c r="B177" s="774"/>
      <c r="C177" s="117" t="s">
        <v>530</v>
      </c>
      <c r="D177" s="100">
        <v>0</v>
      </c>
      <c r="E177" s="100">
        <v>0</v>
      </c>
      <c r="F177" s="510">
        <v>0</v>
      </c>
      <c r="G177" s="100">
        <v>0</v>
      </c>
      <c r="H177" s="100">
        <v>0</v>
      </c>
      <c r="I177" s="511"/>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5"/>
      <c r="AT177" s="4"/>
      <c r="AU177" s="4"/>
      <c r="AV177" s="4"/>
      <c r="AW177" s="4"/>
      <c r="AX177" s="4"/>
      <c r="AY177" s="4"/>
      <c r="AZ177" s="4"/>
      <c r="BA177" s="4"/>
      <c r="BB177" s="4"/>
      <c r="BC177" s="4"/>
      <c r="BD177" s="4"/>
      <c r="BE177" s="4"/>
      <c r="BF177" s="4"/>
      <c r="BG177" s="4"/>
      <c r="BH177" s="4"/>
    </row>
    <row r="178" spans="1:60" outlineLevel="2">
      <c r="A178" s="4"/>
      <c r="B178" s="773"/>
      <c r="C178" s="117" t="s">
        <v>531</v>
      </c>
      <c r="D178" s="100">
        <v>0</v>
      </c>
      <c r="E178" s="100">
        <v>0</v>
      </c>
      <c r="F178" s="510">
        <v>0</v>
      </c>
      <c r="G178" s="100">
        <v>0</v>
      </c>
      <c r="H178" s="100">
        <v>0</v>
      </c>
      <c r="I178" s="511"/>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5"/>
      <c r="AT178" s="4"/>
      <c r="AU178" s="4"/>
      <c r="AV178" s="4"/>
      <c r="AW178" s="4"/>
      <c r="AX178" s="4"/>
      <c r="AY178" s="4"/>
      <c r="AZ178" s="4"/>
      <c r="BA178" s="4"/>
      <c r="BB178" s="4"/>
      <c r="BC178" s="4"/>
      <c r="BD178" s="4"/>
      <c r="BE178" s="4"/>
      <c r="BF178" s="4"/>
      <c r="BG178" s="4"/>
      <c r="BH178" s="4"/>
    </row>
    <row r="179" spans="1:60" outlineLevel="1">
      <c r="A179" s="4"/>
      <c r="B179" s="669"/>
      <c r="C179" s="775"/>
      <c r="D179" s="775"/>
      <c r="E179" s="775"/>
      <c r="F179" s="775"/>
      <c r="G179" s="775"/>
      <c r="H179" s="770"/>
      <c r="I179" s="511"/>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5"/>
      <c r="AT179" s="4"/>
      <c r="AU179" s="4"/>
      <c r="AV179" s="4"/>
      <c r="AW179" s="4"/>
      <c r="AX179" s="4"/>
      <c r="AY179" s="4"/>
      <c r="AZ179" s="4"/>
      <c r="BA179" s="4"/>
      <c r="BB179" s="4"/>
      <c r="BC179" s="4"/>
      <c r="BD179" s="4"/>
      <c r="BE179" s="4"/>
      <c r="BF179" s="4"/>
      <c r="BG179" s="4"/>
      <c r="BH179" s="4"/>
    </row>
    <row r="180" spans="1:60" outlineLevel="2">
      <c r="A180" s="4"/>
      <c r="B180" s="671" t="s">
        <v>581</v>
      </c>
      <c r="C180" s="117" t="s">
        <v>532</v>
      </c>
      <c r="D180" s="100">
        <v>0</v>
      </c>
      <c r="E180" s="100">
        <v>0</v>
      </c>
      <c r="F180" s="510">
        <v>0</v>
      </c>
      <c r="G180" s="100">
        <v>0</v>
      </c>
      <c r="H180" s="100">
        <v>0</v>
      </c>
      <c r="I180" s="511"/>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5"/>
      <c r="AT180" s="4"/>
      <c r="AU180" s="4"/>
      <c r="AV180" s="4"/>
      <c r="AW180" s="4"/>
      <c r="AX180" s="4"/>
      <c r="AY180" s="4"/>
      <c r="AZ180" s="4"/>
      <c r="BA180" s="4"/>
      <c r="BB180" s="4"/>
      <c r="BC180" s="4"/>
      <c r="BD180" s="4"/>
      <c r="BE180" s="4"/>
      <c r="BF180" s="4"/>
      <c r="BG180" s="4"/>
      <c r="BH180" s="4"/>
    </row>
    <row r="181" spans="1:60" outlineLevel="2">
      <c r="A181" s="4"/>
      <c r="B181" s="774"/>
      <c r="C181" s="117" t="s">
        <v>533</v>
      </c>
      <c r="D181" s="100">
        <v>0</v>
      </c>
      <c r="E181" s="100">
        <v>0</v>
      </c>
      <c r="F181" s="510">
        <v>0</v>
      </c>
      <c r="G181" s="100">
        <v>0</v>
      </c>
      <c r="H181" s="100">
        <v>0</v>
      </c>
      <c r="I181" s="511"/>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5"/>
      <c r="AT181" s="4"/>
      <c r="AU181" s="4"/>
      <c r="AV181" s="4"/>
      <c r="AW181" s="4"/>
      <c r="AX181" s="4"/>
      <c r="AY181" s="4"/>
      <c r="AZ181" s="4"/>
      <c r="BA181" s="4"/>
      <c r="BB181" s="4"/>
      <c r="BC181" s="4"/>
      <c r="BD181" s="4"/>
      <c r="BE181" s="4"/>
      <c r="BF181" s="4"/>
      <c r="BG181" s="4"/>
      <c r="BH181" s="4"/>
    </row>
    <row r="182" spans="1:60" outlineLevel="2">
      <c r="A182" s="4"/>
      <c r="B182" s="774"/>
      <c r="C182" s="117" t="s">
        <v>534</v>
      </c>
      <c r="D182" s="100">
        <v>0</v>
      </c>
      <c r="E182" s="100">
        <v>0</v>
      </c>
      <c r="F182" s="510">
        <v>0</v>
      </c>
      <c r="G182" s="100">
        <v>0</v>
      </c>
      <c r="H182" s="100">
        <v>0</v>
      </c>
      <c r="I182" s="511"/>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5"/>
      <c r="AT182" s="4"/>
      <c r="AU182" s="4"/>
      <c r="AV182" s="4"/>
      <c r="AW182" s="4"/>
      <c r="AX182" s="4"/>
      <c r="AY182" s="4"/>
      <c r="AZ182" s="4"/>
      <c r="BA182" s="4"/>
      <c r="BB182" s="4"/>
      <c r="BC182" s="4"/>
      <c r="BD182" s="4"/>
      <c r="BE182" s="4"/>
      <c r="BF182" s="4"/>
      <c r="BG182" s="4"/>
      <c r="BH182" s="4"/>
    </row>
    <row r="183" spans="1:60" outlineLevel="2">
      <c r="A183" s="4"/>
      <c r="B183" s="773"/>
      <c r="C183" s="117" t="s">
        <v>535</v>
      </c>
      <c r="D183" s="100">
        <v>0</v>
      </c>
      <c r="E183" s="100">
        <v>0</v>
      </c>
      <c r="F183" s="510">
        <v>0</v>
      </c>
      <c r="G183" s="100">
        <v>0</v>
      </c>
      <c r="H183" s="100">
        <v>0</v>
      </c>
      <c r="I183" s="511"/>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5"/>
      <c r="AT183" s="4"/>
      <c r="AU183" s="4"/>
      <c r="AV183" s="4"/>
      <c r="AW183" s="4"/>
      <c r="AX183" s="4"/>
      <c r="AY183" s="4"/>
      <c r="AZ183" s="4"/>
      <c r="BA183" s="4"/>
      <c r="BB183" s="4"/>
      <c r="BC183" s="4"/>
      <c r="BD183" s="4"/>
      <c r="BE183" s="4"/>
      <c r="BF183" s="4"/>
      <c r="BG183" s="4"/>
      <c r="BH183" s="4"/>
    </row>
    <row r="184" spans="1:60" outlineLevel="1">
      <c r="A184" s="4"/>
      <c r="B184" s="669"/>
      <c r="C184" s="775"/>
      <c r="D184" s="775"/>
      <c r="E184" s="775"/>
      <c r="F184" s="775"/>
      <c r="G184" s="775"/>
      <c r="H184" s="770"/>
      <c r="I184" s="511"/>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5"/>
      <c r="AT184" s="4"/>
      <c r="AU184" s="4"/>
      <c r="AV184" s="4"/>
      <c r="AW184" s="4"/>
      <c r="AX184" s="4"/>
      <c r="AY184" s="4"/>
      <c r="AZ184" s="4"/>
      <c r="BA184" s="4"/>
      <c r="BB184" s="4"/>
      <c r="BC184" s="4"/>
      <c r="BD184" s="4"/>
      <c r="BE184" s="4"/>
      <c r="BF184" s="4"/>
      <c r="BG184" s="4"/>
      <c r="BH184" s="4"/>
    </row>
    <row r="185" spans="1:60" outlineLevel="2">
      <c r="A185" s="4"/>
      <c r="B185" s="671" t="s">
        <v>472</v>
      </c>
      <c r="C185" s="117" t="s">
        <v>536</v>
      </c>
      <c r="D185" s="100">
        <v>0</v>
      </c>
      <c r="E185" s="100">
        <v>0</v>
      </c>
      <c r="F185" s="510">
        <v>0</v>
      </c>
      <c r="G185" s="100">
        <v>0</v>
      </c>
      <c r="H185" s="100">
        <v>0</v>
      </c>
      <c r="I185" s="511"/>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5"/>
      <c r="AT185" s="4"/>
      <c r="AU185" s="4"/>
      <c r="AV185" s="4"/>
      <c r="AW185" s="4"/>
      <c r="AX185" s="4"/>
      <c r="AY185" s="4"/>
      <c r="AZ185" s="4"/>
      <c r="BA185" s="4"/>
      <c r="BB185" s="4"/>
      <c r="BC185" s="4"/>
      <c r="BD185" s="4"/>
      <c r="BE185" s="4"/>
      <c r="BF185" s="4"/>
      <c r="BG185" s="4"/>
      <c r="BH185" s="4"/>
    </row>
    <row r="186" spans="1:60" outlineLevel="2">
      <c r="A186" s="4"/>
      <c r="B186" s="774"/>
      <c r="C186" s="117" t="s">
        <v>537</v>
      </c>
      <c r="D186" s="100">
        <v>0</v>
      </c>
      <c r="E186" s="100">
        <v>0</v>
      </c>
      <c r="F186" s="510">
        <v>0</v>
      </c>
      <c r="G186" s="100">
        <v>0</v>
      </c>
      <c r="H186" s="100">
        <v>0</v>
      </c>
      <c r="I186" s="511"/>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5"/>
      <c r="AT186" s="4"/>
      <c r="AU186" s="4"/>
      <c r="AV186" s="4"/>
      <c r="AW186" s="4"/>
      <c r="AX186" s="4"/>
      <c r="AY186" s="4"/>
      <c r="AZ186" s="4"/>
      <c r="BA186" s="4"/>
      <c r="BB186" s="4"/>
      <c r="BC186" s="4"/>
      <c r="BD186" s="4"/>
      <c r="BE186" s="4"/>
      <c r="BF186" s="4"/>
      <c r="BG186" s="4"/>
      <c r="BH186" s="4"/>
    </row>
    <row r="187" spans="1:60" outlineLevel="2">
      <c r="A187" s="4"/>
      <c r="B187" s="774"/>
      <c r="C187" s="117" t="s">
        <v>538</v>
      </c>
      <c r="D187" s="100">
        <v>0</v>
      </c>
      <c r="E187" s="100">
        <v>0</v>
      </c>
      <c r="F187" s="510">
        <v>0</v>
      </c>
      <c r="G187" s="100">
        <v>0</v>
      </c>
      <c r="H187" s="100">
        <v>0</v>
      </c>
      <c r="I187" s="511"/>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5"/>
      <c r="AT187" s="4"/>
      <c r="AU187" s="4"/>
      <c r="AV187" s="4"/>
      <c r="AW187" s="4"/>
      <c r="AX187" s="4"/>
      <c r="AY187" s="4"/>
      <c r="AZ187" s="4"/>
      <c r="BA187" s="4"/>
      <c r="BB187" s="4"/>
      <c r="BC187" s="4"/>
      <c r="BD187" s="4"/>
      <c r="BE187" s="4"/>
      <c r="BF187" s="4"/>
      <c r="BG187" s="4"/>
      <c r="BH187" s="4"/>
    </row>
    <row r="188" spans="1:60" outlineLevel="2">
      <c r="A188" s="4"/>
      <c r="B188" s="773"/>
      <c r="C188" s="117" t="s">
        <v>539</v>
      </c>
      <c r="D188" s="100">
        <v>0</v>
      </c>
      <c r="E188" s="100">
        <v>0</v>
      </c>
      <c r="F188" s="510">
        <v>0</v>
      </c>
      <c r="G188" s="100">
        <v>0</v>
      </c>
      <c r="H188" s="100">
        <v>0</v>
      </c>
      <c r="I188" s="511"/>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5"/>
      <c r="AT188" s="4"/>
      <c r="AU188" s="4"/>
      <c r="AV188" s="4"/>
      <c r="AW188" s="4"/>
      <c r="AX188" s="4"/>
      <c r="AY188" s="4"/>
      <c r="AZ188" s="4"/>
      <c r="BA188" s="4"/>
      <c r="BB188" s="4"/>
      <c r="BC188" s="4"/>
      <c r="BD188" s="4"/>
      <c r="BE188" s="4"/>
      <c r="BF188" s="4"/>
      <c r="BG188" s="4"/>
      <c r="BH188" s="4"/>
    </row>
    <row r="189" spans="1:60" outlineLevel="1">
      <c r="A189" s="4"/>
      <c r="B189" s="669"/>
      <c r="C189" s="775"/>
      <c r="D189" s="775"/>
      <c r="E189" s="775"/>
      <c r="F189" s="775"/>
      <c r="G189" s="775"/>
      <c r="H189" s="770"/>
      <c r="I189" s="511"/>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5"/>
      <c r="AT189" s="4"/>
      <c r="AU189" s="4"/>
      <c r="AV189" s="4"/>
      <c r="AW189" s="4"/>
      <c r="AX189" s="4"/>
      <c r="AY189" s="4"/>
      <c r="AZ189" s="4"/>
      <c r="BA189" s="4"/>
      <c r="BB189" s="4"/>
      <c r="BC189" s="4"/>
      <c r="BD189" s="4"/>
      <c r="BE189" s="4"/>
      <c r="BF189" s="4"/>
      <c r="BG189" s="4"/>
      <c r="BH189" s="4"/>
    </row>
    <row r="190" spans="1:60" outlineLevel="2">
      <c r="A190" s="4"/>
      <c r="B190" s="671" t="s">
        <v>582</v>
      </c>
      <c r="C190" s="117" t="s">
        <v>540</v>
      </c>
      <c r="D190" s="100">
        <v>0</v>
      </c>
      <c r="E190" s="100">
        <v>0</v>
      </c>
      <c r="F190" s="510">
        <v>0</v>
      </c>
      <c r="G190" s="100">
        <v>0</v>
      </c>
      <c r="H190" s="100">
        <v>0</v>
      </c>
      <c r="I190" s="511"/>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5"/>
      <c r="AT190" s="4"/>
      <c r="AU190" s="4"/>
      <c r="AV190" s="4"/>
      <c r="AW190" s="4"/>
      <c r="AX190" s="4"/>
      <c r="AY190" s="4"/>
      <c r="AZ190" s="4"/>
      <c r="BA190" s="4"/>
      <c r="BB190" s="4"/>
      <c r="BC190" s="4"/>
      <c r="BD190" s="4"/>
      <c r="BE190" s="4"/>
      <c r="BF190" s="4"/>
      <c r="BG190" s="4"/>
      <c r="BH190" s="4"/>
    </row>
    <row r="191" spans="1:60" outlineLevel="2">
      <c r="A191" s="4"/>
      <c r="B191" s="774"/>
      <c r="C191" s="117" t="s">
        <v>541</v>
      </c>
      <c r="D191" s="100">
        <v>0</v>
      </c>
      <c r="E191" s="100">
        <v>0</v>
      </c>
      <c r="F191" s="510">
        <v>0</v>
      </c>
      <c r="G191" s="100">
        <v>0</v>
      </c>
      <c r="H191" s="100">
        <v>0</v>
      </c>
      <c r="I191" s="511"/>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5"/>
      <c r="AT191" s="4"/>
      <c r="AU191" s="4"/>
      <c r="AV191" s="4"/>
      <c r="AW191" s="4"/>
      <c r="AX191" s="4"/>
      <c r="AY191" s="4"/>
      <c r="AZ191" s="4"/>
      <c r="BA191" s="4"/>
      <c r="BB191" s="4"/>
      <c r="BC191" s="4"/>
      <c r="BD191" s="4"/>
      <c r="BE191" s="4"/>
      <c r="BF191" s="4"/>
      <c r="BG191" s="4"/>
      <c r="BH191" s="4"/>
    </row>
    <row r="192" spans="1:60" outlineLevel="2">
      <c r="A192" s="4"/>
      <c r="B192" s="774"/>
      <c r="C192" s="117" t="s">
        <v>542</v>
      </c>
      <c r="D192" s="100">
        <v>0</v>
      </c>
      <c r="E192" s="100">
        <v>0</v>
      </c>
      <c r="F192" s="510">
        <v>0</v>
      </c>
      <c r="G192" s="100">
        <v>0</v>
      </c>
      <c r="H192" s="100">
        <v>0</v>
      </c>
      <c r="I192" s="511"/>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5"/>
      <c r="AT192" s="4"/>
      <c r="AU192" s="4"/>
      <c r="AV192" s="4"/>
      <c r="AW192" s="4"/>
      <c r="AX192" s="4"/>
      <c r="AY192" s="4"/>
      <c r="AZ192" s="4"/>
      <c r="BA192" s="4"/>
      <c r="BB192" s="4"/>
      <c r="BC192" s="4"/>
      <c r="BD192" s="4"/>
      <c r="BE192" s="4"/>
      <c r="BF192" s="4"/>
      <c r="BG192" s="4"/>
      <c r="BH192" s="4"/>
    </row>
    <row r="193" spans="1:60" outlineLevel="2">
      <c r="A193" s="4"/>
      <c r="B193" s="774"/>
      <c r="C193" s="117" t="s">
        <v>543</v>
      </c>
      <c r="D193" s="100">
        <v>0</v>
      </c>
      <c r="E193" s="100">
        <v>0</v>
      </c>
      <c r="F193" s="510">
        <v>0</v>
      </c>
      <c r="G193" s="100">
        <v>0</v>
      </c>
      <c r="H193" s="100">
        <v>0</v>
      </c>
      <c r="I193" s="511"/>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5"/>
      <c r="AT193" s="4"/>
      <c r="AU193" s="4"/>
      <c r="AV193" s="4"/>
      <c r="AW193" s="4"/>
      <c r="AX193" s="4"/>
      <c r="AY193" s="4"/>
      <c r="AZ193" s="4"/>
      <c r="BA193" s="4"/>
      <c r="BB193" s="4"/>
      <c r="BC193" s="4"/>
      <c r="BD193" s="4"/>
      <c r="BE193" s="4"/>
      <c r="BF193" s="4"/>
      <c r="BG193" s="4"/>
      <c r="BH193" s="4"/>
    </row>
    <row r="194" spans="1:60" outlineLevel="2">
      <c r="A194" s="4"/>
      <c r="B194" s="773"/>
      <c r="C194" s="117" t="s">
        <v>544</v>
      </c>
      <c r="D194" s="100">
        <v>0</v>
      </c>
      <c r="E194" s="100">
        <v>0</v>
      </c>
      <c r="F194" s="510">
        <v>0</v>
      </c>
      <c r="G194" s="100">
        <v>0</v>
      </c>
      <c r="H194" s="100">
        <v>0</v>
      </c>
      <c r="I194" s="511"/>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5"/>
      <c r="AT194" s="4"/>
      <c r="AU194" s="4"/>
      <c r="AV194" s="4"/>
      <c r="AW194" s="4"/>
      <c r="AX194" s="4"/>
      <c r="AY194" s="4"/>
      <c r="AZ194" s="4"/>
      <c r="BA194" s="4"/>
      <c r="BB194" s="4"/>
      <c r="BC194" s="4"/>
      <c r="BD194" s="4"/>
      <c r="BE194" s="4"/>
      <c r="BF194" s="4"/>
      <c r="BG194" s="4"/>
      <c r="BH194" s="4"/>
    </row>
    <row r="195" spans="1:60" outlineLevel="1">
      <c r="A195" s="4"/>
      <c r="B195" s="669"/>
      <c r="C195" s="775"/>
      <c r="D195" s="775"/>
      <c r="E195" s="775"/>
      <c r="F195" s="775"/>
      <c r="G195" s="775"/>
      <c r="H195" s="770"/>
      <c r="I195" s="511"/>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5"/>
      <c r="AT195" s="4"/>
      <c r="AU195" s="4"/>
      <c r="AV195" s="4"/>
      <c r="AW195" s="4"/>
      <c r="AX195" s="4"/>
      <c r="AY195" s="4"/>
      <c r="AZ195" s="4"/>
      <c r="BA195" s="4"/>
      <c r="BB195" s="4"/>
      <c r="BC195" s="4"/>
      <c r="BD195" s="4"/>
      <c r="BE195" s="4"/>
      <c r="BF195" s="4"/>
      <c r="BG195" s="4"/>
      <c r="BH195" s="4"/>
    </row>
    <row r="196" spans="1:60" outlineLevel="2">
      <c r="A196" s="4"/>
      <c r="B196" s="671" t="s">
        <v>474</v>
      </c>
      <c r="C196" s="117" t="s">
        <v>545</v>
      </c>
      <c r="D196" s="100">
        <v>0</v>
      </c>
      <c r="E196" s="100">
        <v>0</v>
      </c>
      <c r="F196" s="510">
        <v>0</v>
      </c>
      <c r="G196" s="100">
        <v>0</v>
      </c>
      <c r="H196" s="100">
        <v>0</v>
      </c>
      <c r="I196" s="511"/>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5"/>
      <c r="AT196" s="4"/>
      <c r="AU196" s="4"/>
      <c r="AV196" s="4"/>
      <c r="AW196" s="4"/>
      <c r="AX196" s="4"/>
      <c r="AY196" s="4"/>
      <c r="AZ196" s="4"/>
      <c r="BA196" s="4"/>
      <c r="BB196" s="4"/>
      <c r="BC196" s="4"/>
      <c r="BD196" s="4"/>
      <c r="BE196" s="4"/>
      <c r="BF196" s="4"/>
      <c r="BG196" s="4"/>
      <c r="BH196" s="4"/>
    </row>
    <row r="197" spans="1:60" outlineLevel="2">
      <c r="A197" s="4"/>
      <c r="B197" s="774"/>
      <c r="C197" s="117" t="s">
        <v>546</v>
      </c>
      <c r="D197" s="100">
        <v>0</v>
      </c>
      <c r="E197" s="100">
        <v>0</v>
      </c>
      <c r="F197" s="510">
        <v>0</v>
      </c>
      <c r="G197" s="100">
        <v>0</v>
      </c>
      <c r="H197" s="100">
        <v>0</v>
      </c>
      <c r="I197" s="511"/>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5"/>
      <c r="AT197" s="4"/>
      <c r="AU197" s="4"/>
      <c r="AV197" s="4"/>
      <c r="AW197" s="4"/>
      <c r="AX197" s="4"/>
      <c r="AY197" s="4"/>
      <c r="AZ197" s="4"/>
      <c r="BA197" s="4"/>
      <c r="BB197" s="4"/>
      <c r="BC197" s="4"/>
      <c r="BD197" s="4"/>
      <c r="BE197" s="4"/>
      <c r="BF197" s="4"/>
      <c r="BG197" s="4"/>
      <c r="BH197" s="4"/>
    </row>
    <row r="198" spans="1:60" outlineLevel="2">
      <c r="A198" s="4"/>
      <c r="B198" s="774"/>
      <c r="C198" s="117" t="s">
        <v>547</v>
      </c>
      <c r="D198" s="100">
        <v>0</v>
      </c>
      <c r="E198" s="100">
        <v>0</v>
      </c>
      <c r="F198" s="510">
        <v>0</v>
      </c>
      <c r="G198" s="100">
        <v>0</v>
      </c>
      <c r="H198" s="100">
        <v>0</v>
      </c>
      <c r="I198" s="511"/>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5"/>
      <c r="AT198" s="4"/>
      <c r="AU198" s="4"/>
      <c r="AV198" s="4"/>
      <c r="AW198" s="4"/>
      <c r="AX198" s="4"/>
      <c r="AY198" s="4"/>
      <c r="AZ198" s="4"/>
      <c r="BA198" s="4"/>
      <c r="BB198" s="4"/>
      <c r="BC198" s="4"/>
      <c r="BD198" s="4"/>
      <c r="BE198" s="4"/>
      <c r="BF198" s="4"/>
      <c r="BG198" s="4"/>
      <c r="BH198" s="4"/>
    </row>
    <row r="199" spans="1:60" outlineLevel="2">
      <c r="A199" s="4"/>
      <c r="B199" s="773"/>
      <c r="C199" s="117" t="s">
        <v>548</v>
      </c>
      <c r="D199" s="100">
        <v>0</v>
      </c>
      <c r="E199" s="100">
        <v>0</v>
      </c>
      <c r="F199" s="510">
        <v>0</v>
      </c>
      <c r="G199" s="100">
        <v>0</v>
      </c>
      <c r="H199" s="100">
        <v>0</v>
      </c>
      <c r="I199" s="511"/>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5"/>
      <c r="AT199" s="4"/>
      <c r="AU199" s="4"/>
      <c r="AV199" s="4"/>
      <c r="AW199" s="4"/>
      <c r="AX199" s="4"/>
      <c r="AY199" s="4"/>
      <c r="AZ199" s="4"/>
      <c r="BA199" s="4"/>
      <c r="BB199" s="4"/>
      <c r="BC199" s="4"/>
      <c r="BD199" s="4"/>
      <c r="BE199" s="4"/>
      <c r="BF199" s="4"/>
      <c r="BG199" s="4"/>
      <c r="BH199" s="4"/>
    </row>
    <row r="200" spans="1:60" outlineLevel="1">
      <c r="A200" s="4"/>
      <c r="B200" s="669"/>
      <c r="C200" s="775"/>
      <c r="D200" s="775"/>
      <c r="E200" s="775"/>
      <c r="F200" s="775"/>
      <c r="G200" s="775"/>
      <c r="H200" s="770"/>
      <c r="I200" s="511"/>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5"/>
      <c r="AT200" s="4"/>
      <c r="AU200" s="4"/>
      <c r="AV200" s="4"/>
      <c r="AW200" s="4"/>
      <c r="AX200" s="4"/>
      <c r="AY200" s="4"/>
      <c r="AZ200" s="4"/>
      <c r="BA200" s="4"/>
      <c r="BB200" s="4"/>
      <c r="BC200" s="4"/>
      <c r="BD200" s="4"/>
      <c r="BE200" s="4"/>
      <c r="BF200" s="4"/>
      <c r="BG200" s="4"/>
      <c r="BH200" s="4"/>
    </row>
    <row r="201" spans="1:60" outlineLevel="2">
      <c r="A201" s="4"/>
      <c r="B201" s="671" t="s">
        <v>583</v>
      </c>
      <c r="C201" s="117" t="s">
        <v>549</v>
      </c>
      <c r="D201" s="100">
        <v>0</v>
      </c>
      <c r="E201" s="100">
        <v>0</v>
      </c>
      <c r="F201" s="510">
        <v>0</v>
      </c>
      <c r="G201" s="100">
        <v>0</v>
      </c>
      <c r="H201" s="100">
        <v>0</v>
      </c>
      <c r="I201" s="511"/>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5"/>
      <c r="AT201" s="4"/>
      <c r="AU201" s="4"/>
      <c r="AV201" s="4"/>
      <c r="AW201" s="4"/>
      <c r="AX201" s="4"/>
      <c r="AY201" s="4"/>
      <c r="AZ201" s="4"/>
      <c r="BA201" s="4"/>
      <c r="BB201" s="4"/>
      <c r="BC201" s="4"/>
      <c r="BD201" s="4"/>
      <c r="BE201" s="4"/>
      <c r="BF201" s="4"/>
      <c r="BG201" s="4"/>
      <c r="BH201" s="4"/>
    </row>
    <row r="202" spans="1:60" outlineLevel="2">
      <c r="A202" s="4"/>
      <c r="B202" s="774"/>
      <c r="C202" s="117" t="s">
        <v>550</v>
      </c>
      <c r="D202" s="100">
        <v>0</v>
      </c>
      <c r="E202" s="100">
        <v>0</v>
      </c>
      <c r="F202" s="510">
        <v>0</v>
      </c>
      <c r="G202" s="100">
        <v>0</v>
      </c>
      <c r="H202" s="100">
        <v>0</v>
      </c>
      <c r="I202" s="511"/>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5"/>
      <c r="AT202" s="4"/>
      <c r="AU202" s="4"/>
      <c r="AV202" s="4"/>
      <c r="AW202" s="4"/>
      <c r="AX202" s="4"/>
      <c r="AY202" s="4"/>
      <c r="AZ202" s="4"/>
      <c r="BA202" s="4"/>
      <c r="BB202" s="4"/>
      <c r="BC202" s="4"/>
      <c r="BD202" s="4"/>
      <c r="BE202" s="4"/>
      <c r="BF202" s="4"/>
      <c r="BG202" s="4"/>
      <c r="BH202" s="4"/>
    </row>
    <row r="203" spans="1:60" outlineLevel="2">
      <c r="A203" s="4"/>
      <c r="B203" s="774"/>
      <c r="C203" s="117" t="s">
        <v>551</v>
      </c>
      <c r="D203" s="100">
        <v>0</v>
      </c>
      <c r="E203" s="100">
        <v>0</v>
      </c>
      <c r="F203" s="510">
        <v>0</v>
      </c>
      <c r="G203" s="100">
        <v>0</v>
      </c>
      <c r="H203" s="100">
        <v>0</v>
      </c>
      <c r="I203" s="511"/>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5"/>
      <c r="AT203" s="4"/>
      <c r="AU203" s="4"/>
      <c r="AV203" s="4"/>
      <c r="AW203" s="4"/>
      <c r="AX203" s="4"/>
      <c r="AY203" s="4"/>
      <c r="AZ203" s="4"/>
      <c r="BA203" s="4"/>
      <c r="BB203" s="4"/>
      <c r="BC203" s="4"/>
      <c r="BD203" s="4"/>
      <c r="BE203" s="4"/>
      <c r="BF203" s="4"/>
      <c r="BG203" s="4"/>
      <c r="BH203" s="4"/>
    </row>
    <row r="204" spans="1:60" outlineLevel="2">
      <c r="A204" s="4"/>
      <c r="B204" s="773"/>
      <c r="C204" s="117" t="s">
        <v>552</v>
      </c>
      <c r="D204" s="100">
        <v>0</v>
      </c>
      <c r="E204" s="100">
        <v>0</v>
      </c>
      <c r="F204" s="510">
        <v>0</v>
      </c>
      <c r="G204" s="100">
        <v>0</v>
      </c>
      <c r="H204" s="100">
        <v>0</v>
      </c>
      <c r="I204" s="511"/>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5"/>
      <c r="AT204" s="4"/>
      <c r="AU204" s="4"/>
      <c r="AV204" s="4"/>
      <c r="AW204" s="4"/>
      <c r="AX204" s="4"/>
      <c r="AY204" s="4"/>
      <c r="AZ204" s="4"/>
      <c r="BA204" s="4"/>
      <c r="BB204" s="4"/>
      <c r="BC204" s="4"/>
      <c r="BD204" s="4"/>
      <c r="BE204" s="4"/>
      <c r="BF204" s="4"/>
      <c r="BG204" s="4"/>
      <c r="BH204" s="4"/>
    </row>
    <row r="205" spans="1:60">
      <c r="A205" s="4"/>
      <c r="B205" s="3"/>
      <c r="C205" s="3"/>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5"/>
      <c r="AT205" s="4"/>
      <c r="AU205" s="4"/>
      <c r="AV205" s="4"/>
      <c r="AW205" s="4"/>
      <c r="AX205" s="4"/>
      <c r="AY205" s="4"/>
      <c r="AZ205" s="4"/>
      <c r="BA205" s="4"/>
      <c r="BB205" s="4"/>
      <c r="BC205" s="4"/>
      <c r="BD205" s="4"/>
      <c r="BE205" s="4"/>
      <c r="BF205" s="4"/>
      <c r="BG205" s="4"/>
      <c r="BH205" s="4"/>
    </row>
    <row r="206" spans="1:60">
      <c r="A206" s="4"/>
      <c r="B206" s="3"/>
      <c r="C206" s="3"/>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5"/>
      <c r="AT206" s="4"/>
      <c r="AU206" s="4"/>
      <c r="AV206" s="4"/>
      <c r="AW206" s="4"/>
      <c r="AX206" s="4"/>
      <c r="AY206" s="4"/>
      <c r="AZ206" s="4"/>
      <c r="BA206" s="4"/>
      <c r="BB206" s="4"/>
      <c r="BC206" s="4"/>
      <c r="BD206" s="4"/>
      <c r="BE206" s="4"/>
      <c r="BF206" s="4"/>
      <c r="BG206" s="4"/>
      <c r="BH206" s="4"/>
    </row>
    <row r="207" spans="1:60">
      <c r="A207" s="4"/>
      <c r="B207" s="3"/>
      <c r="C207" s="3"/>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5"/>
      <c r="AT207" s="4"/>
      <c r="AU207" s="4"/>
      <c r="AV207" s="4"/>
      <c r="AW207" s="4"/>
      <c r="AX207" s="4"/>
      <c r="AY207" s="4"/>
      <c r="AZ207" s="4"/>
      <c r="BA207" s="4"/>
      <c r="BB207" s="4"/>
      <c r="BC207" s="4"/>
      <c r="BD207" s="4"/>
      <c r="BE207" s="4"/>
      <c r="BF207" s="4"/>
      <c r="BG207" s="4"/>
      <c r="BH207" s="4"/>
    </row>
    <row r="208" spans="1:60">
      <c r="A208" s="4"/>
      <c r="B208" s="3"/>
      <c r="C208" s="3"/>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5"/>
      <c r="AT208" s="4"/>
      <c r="AU208" s="4"/>
      <c r="AV208" s="4"/>
      <c r="AW208" s="4"/>
      <c r="AX208" s="4"/>
      <c r="AY208" s="4"/>
      <c r="AZ208" s="4"/>
      <c r="BA208" s="4"/>
      <c r="BB208" s="4"/>
      <c r="BC208" s="4"/>
      <c r="BD208" s="4"/>
      <c r="BE208" s="4"/>
      <c r="BF208" s="4"/>
      <c r="BG208" s="4"/>
      <c r="BH208" s="4"/>
    </row>
    <row r="209" spans="1:60">
      <c r="A209" s="4"/>
      <c r="B209" s="3"/>
      <c r="C209" s="3"/>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5"/>
      <c r="AT209" s="4"/>
      <c r="AU209" s="4"/>
      <c r="AV209" s="4"/>
      <c r="AW209" s="4"/>
      <c r="AX209" s="4"/>
      <c r="AY209" s="4"/>
      <c r="AZ209" s="4"/>
      <c r="BA209" s="4"/>
      <c r="BB209" s="4"/>
      <c r="BC209" s="4"/>
      <c r="BD209" s="4"/>
      <c r="BE209" s="4"/>
      <c r="BF209" s="4"/>
      <c r="BG209" s="4"/>
      <c r="BH209" s="4"/>
    </row>
    <row r="210" spans="1:60">
      <c r="A210" s="4"/>
      <c r="B210" s="3"/>
      <c r="C210" s="3"/>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5"/>
      <c r="AT210" s="4"/>
      <c r="AU210" s="4"/>
      <c r="AV210" s="4"/>
      <c r="AW210" s="4"/>
      <c r="AX210" s="4"/>
      <c r="AY210" s="4"/>
      <c r="AZ210" s="4"/>
      <c r="BA210" s="4"/>
      <c r="BB210" s="4"/>
      <c r="BC210" s="4"/>
      <c r="BD210" s="4"/>
      <c r="BE210" s="4"/>
      <c r="BF210" s="4"/>
      <c r="BG210" s="4"/>
      <c r="BH210" s="4"/>
    </row>
    <row r="211" spans="1:60">
      <c r="A211" s="4"/>
      <c r="B211" s="3"/>
      <c r="C211" s="3"/>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5"/>
      <c r="AT211" s="4"/>
      <c r="AU211" s="4"/>
      <c r="AV211" s="4"/>
      <c r="AW211" s="4"/>
      <c r="AX211" s="4"/>
      <c r="AY211" s="4"/>
      <c r="AZ211" s="4"/>
      <c r="BA211" s="4"/>
      <c r="BB211" s="4"/>
      <c r="BC211" s="4"/>
      <c r="BD211" s="4"/>
      <c r="BE211" s="4"/>
      <c r="BF211" s="4"/>
      <c r="BG211" s="4"/>
      <c r="BH211" s="4"/>
    </row>
    <row r="212" spans="1:60">
      <c r="A212" s="4"/>
      <c r="B212" s="3"/>
      <c r="C212" s="3"/>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5"/>
      <c r="AT212" s="4"/>
      <c r="AU212" s="4"/>
      <c r="AV212" s="4"/>
      <c r="AW212" s="4"/>
      <c r="AX212" s="4"/>
      <c r="AY212" s="4"/>
      <c r="AZ212" s="4"/>
      <c r="BA212" s="4"/>
      <c r="BB212" s="4"/>
      <c r="BC212" s="4"/>
      <c r="BD212" s="4"/>
      <c r="BE212" s="4"/>
      <c r="BF212" s="4"/>
      <c r="BG212" s="4"/>
      <c r="BH212" s="4"/>
    </row>
    <row r="213" spans="1:60">
      <c r="A213" s="4"/>
      <c r="B213" s="3"/>
      <c r="C213" s="3"/>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5"/>
      <c r="AT213" s="4"/>
      <c r="AU213" s="4"/>
      <c r="AV213" s="4"/>
      <c r="AW213" s="4"/>
      <c r="AX213" s="4"/>
      <c r="AY213" s="4"/>
      <c r="AZ213" s="4"/>
      <c r="BA213" s="4"/>
      <c r="BB213" s="4"/>
      <c r="BC213" s="4"/>
      <c r="BD213" s="4"/>
      <c r="BE213" s="4"/>
      <c r="BF213" s="4"/>
      <c r="BG213" s="4"/>
      <c r="BH213" s="4"/>
    </row>
    <row r="214" spans="1:60">
      <c r="A214" s="4"/>
      <c r="B214" s="3"/>
      <c r="C214" s="3"/>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5"/>
      <c r="AT214" s="4"/>
      <c r="AU214" s="4"/>
      <c r="AV214" s="4"/>
      <c r="AW214" s="4"/>
      <c r="AX214" s="4"/>
      <c r="AY214" s="4"/>
      <c r="AZ214" s="4"/>
      <c r="BA214" s="4"/>
      <c r="BB214" s="4"/>
      <c r="BC214" s="4"/>
      <c r="BD214" s="4"/>
      <c r="BE214" s="4"/>
      <c r="BF214" s="4"/>
      <c r="BG214" s="4"/>
      <c r="BH214" s="4"/>
    </row>
    <row r="215" spans="1:60">
      <c r="A215" s="4"/>
      <c r="B215" s="3"/>
      <c r="C215" s="3"/>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5"/>
      <c r="AT215" s="4"/>
      <c r="AU215" s="4"/>
      <c r="AV215" s="4"/>
      <c r="AW215" s="4"/>
      <c r="AX215" s="4"/>
      <c r="AY215" s="4"/>
      <c r="AZ215" s="4"/>
      <c r="BA215" s="4"/>
      <c r="BB215" s="4"/>
      <c r="BC215" s="4"/>
      <c r="BD215" s="4"/>
      <c r="BE215" s="4"/>
      <c r="BF215" s="4"/>
      <c r="BG215" s="4"/>
      <c r="BH215" s="4"/>
    </row>
    <row r="216" spans="1:60">
      <c r="A216" s="4"/>
      <c r="B216" s="3"/>
      <c r="C216" s="3"/>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5"/>
      <c r="AT216" s="4"/>
      <c r="AU216" s="4"/>
      <c r="AV216" s="4"/>
      <c r="AW216" s="4"/>
      <c r="AX216" s="4"/>
      <c r="AY216" s="4"/>
      <c r="AZ216" s="4"/>
      <c r="BA216" s="4"/>
      <c r="BB216" s="4"/>
      <c r="BC216" s="4"/>
      <c r="BD216" s="4"/>
      <c r="BE216" s="4"/>
      <c r="BF216" s="4"/>
      <c r="BG216" s="4"/>
      <c r="BH216" s="4"/>
    </row>
    <row r="217" spans="1:60">
      <c r="A217" s="4"/>
      <c r="B217" s="3"/>
      <c r="C217" s="3"/>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5"/>
      <c r="AT217" s="4"/>
      <c r="AU217" s="4"/>
      <c r="AV217" s="4"/>
      <c r="AW217" s="4"/>
      <c r="AX217" s="4"/>
      <c r="AY217" s="4"/>
      <c r="AZ217" s="4"/>
      <c r="BA217" s="4"/>
      <c r="BB217" s="4"/>
      <c r="BC217" s="4"/>
      <c r="BD217" s="4"/>
      <c r="BE217" s="4"/>
      <c r="BF217" s="4"/>
      <c r="BG217" s="4"/>
      <c r="BH217" s="4"/>
    </row>
    <row r="218" spans="1:60">
      <c r="A218" s="4"/>
      <c r="B218" s="3"/>
      <c r="C218" s="3"/>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5"/>
      <c r="AT218" s="4"/>
      <c r="AU218" s="4"/>
      <c r="AV218" s="4"/>
      <c r="AW218" s="4"/>
      <c r="AX218" s="4"/>
      <c r="AY218" s="4"/>
      <c r="AZ218" s="4"/>
      <c r="BA218" s="4"/>
      <c r="BB218" s="4"/>
      <c r="BC218" s="4"/>
      <c r="BD218" s="4"/>
      <c r="BE218" s="4"/>
      <c r="BF218" s="4"/>
      <c r="BG218" s="4"/>
      <c r="BH218" s="4"/>
    </row>
    <row r="219" spans="1:60">
      <c r="A219" s="4"/>
      <c r="B219" s="3"/>
      <c r="C219" s="3"/>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5"/>
      <c r="AT219" s="4"/>
      <c r="AU219" s="4"/>
      <c r="AV219" s="4"/>
      <c r="AW219" s="4"/>
      <c r="AX219" s="4"/>
      <c r="AY219" s="4"/>
      <c r="AZ219" s="4"/>
      <c r="BA219" s="4"/>
      <c r="BB219" s="4"/>
      <c r="BC219" s="4"/>
      <c r="BD219" s="4"/>
      <c r="BE219" s="4"/>
      <c r="BF219" s="4"/>
      <c r="BG219" s="4"/>
      <c r="BH219" s="4"/>
    </row>
    <row r="220" spans="1:60">
      <c r="A220" s="4"/>
      <c r="B220" s="3"/>
      <c r="C220" s="3"/>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5"/>
      <c r="AT220" s="4"/>
      <c r="AU220" s="4"/>
      <c r="AV220" s="4"/>
      <c r="AW220" s="4"/>
      <c r="AX220" s="4"/>
      <c r="AY220" s="4"/>
      <c r="AZ220" s="4"/>
      <c r="BA220" s="4"/>
      <c r="BB220" s="4"/>
      <c r="BC220" s="4"/>
      <c r="BD220" s="4"/>
      <c r="BE220" s="4"/>
      <c r="BF220" s="4"/>
      <c r="BG220" s="4"/>
      <c r="BH220" s="4"/>
    </row>
    <row r="221" spans="1:60">
      <c r="A221" s="4"/>
      <c r="B221" s="3"/>
      <c r="C221" s="3"/>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5"/>
      <c r="AT221" s="4"/>
      <c r="AU221" s="4"/>
      <c r="AV221" s="4"/>
      <c r="AW221" s="4"/>
      <c r="AX221" s="4"/>
      <c r="AY221" s="4"/>
      <c r="AZ221" s="4"/>
      <c r="BA221" s="4"/>
      <c r="BB221" s="4"/>
      <c r="BC221" s="4"/>
      <c r="BD221" s="4"/>
      <c r="BE221" s="4"/>
      <c r="BF221" s="4"/>
      <c r="BG221" s="4"/>
      <c r="BH221" s="4"/>
    </row>
    <row r="222" spans="1:60">
      <c r="A222" s="4"/>
      <c r="B222" s="3"/>
      <c r="C222" s="3"/>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5"/>
      <c r="AT222" s="4"/>
      <c r="AU222" s="4"/>
      <c r="AV222" s="4"/>
      <c r="AW222" s="4"/>
      <c r="AX222" s="4"/>
      <c r="AY222" s="4"/>
      <c r="AZ222" s="4"/>
      <c r="BA222" s="4"/>
      <c r="BB222" s="4"/>
      <c r="BC222" s="4"/>
      <c r="BD222" s="4"/>
      <c r="BE222" s="4"/>
      <c r="BF222" s="4"/>
      <c r="BG222" s="4"/>
      <c r="BH222" s="4"/>
    </row>
    <row r="223" spans="1:60">
      <c r="A223" s="4"/>
      <c r="B223" s="3"/>
      <c r="C223" s="3"/>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5"/>
      <c r="AT223" s="4"/>
      <c r="AU223" s="4"/>
      <c r="AV223" s="4"/>
      <c r="AW223" s="4"/>
      <c r="AX223" s="4"/>
      <c r="AY223" s="4"/>
      <c r="AZ223" s="4"/>
      <c r="BA223" s="4"/>
      <c r="BB223" s="4"/>
      <c r="BC223" s="4"/>
      <c r="BD223" s="4"/>
      <c r="BE223" s="4"/>
      <c r="BF223" s="4"/>
      <c r="BG223" s="4"/>
      <c r="BH223" s="4"/>
    </row>
    <row r="224" spans="1:60">
      <c r="A224" s="4"/>
      <c r="B224" s="3"/>
      <c r="C224" s="3"/>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5"/>
      <c r="AT224" s="4"/>
      <c r="AU224" s="4"/>
      <c r="AV224" s="4"/>
      <c r="AW224" s="4"/>
      <c r="AX224" s="4"/>
      <c r="AY224" s="4"/>
      <c r="AZ224" s="4"/>
      <c r="BA224" s="4"/>
      <c r="BB224" s="4"/>
      <c r="BC224" s="4"/>
      <c r="BD224" s="4"/>
      <c r="BE224" s="4"/>
      <c r="BF224" s="4"/>
      <c r="BG224" s="4"/>
      <c r="BH224" s="4"/>
    </row>
    <row r="225" spans="1:60">
      <c r="A225" s="4"/>
      <c r="B225" s="3"/>
      <c r="C225" s="3"/>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5"/>
      <c r="AT225" s="4"/>
      <c r="AU225" s="4"/>
      <c r="AV225" s="4"/>
      <c r="AW225" s="4"/>
      <c r="AX225" s="4"/>
      <c r="AY225" s="4"/>
      <c r="AZ225" s="4"/>
      <c r="BA225" s="4"/>
      <c r="BB225" s="4"/>
      <c r="BC225" s="4"/>
      <c r="BD225" s="4"/>
      <c r="BE225" s="4"/>
      <c r="BF225" s="4"/>
      <c r="BG225" s="4"/>
      <c r="BH225" s="4"/>
    </row>
    <row r="226" spans="1:60">
      <c r="A226" s="4"/>
      <c r="B226" s="3"/>
      <c r="C226" s="3"/>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5"/>
      <c r="AT226" s="4"/>
      <c r="AU226" s="4"/>
      <c r="AV226" s="4"/>
      <c r="AW226" s="4"/>
      <c r="AX226" s="4"/>
      <c r="AY226" s="4"/>
      <c r="AZ226" s="4"/>
      <c r="BA226" s="4"/>
      <c r="BB226" s="4"/>
      <c r="BC226" s="4"/>
      <c r="BD226" s="4"/>
      <c r="BE226" s="4"/>
      <c r="BF226" s="4"/>
      <c r="BG226" s="4"/>
      <c r="BH226" s="4"/>
    </row>
    <row r="227" spans="1:60">
      <c r="A227" s="4"/>
      <c r="B227" s="3"/>
      <c r="C227" s="3"/>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5"/>
      <c r="AT227" s="4"/>
      <c r="AU227" s="4"/>
      <c r="AV227" s="4"/>
      <c r="AW227" s="4"/>
      <c r="AX227" s="4"/>
      <c r="AY227" s="4"/>
      <c r="AZ227" s="4"/>
      <c r="BA227" s="4"/>
      <c r="BB227" s="4"/>
      <c r="BC227" s="4"/>
      <c r="BD227" s="4"/>
      <c r="BE227" s="4"/>
      <c r="BF227" s="4"/>
      <c r="BG227" s="4"/>
      <c r="BH227" s="4"/>
    </row>
    <row r="228" spans="1:60">
      <c r="A228" s="4"/>
      <c r="B228" s="3"/>
      <c r="C228" s="3"/>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5"/>
      <c r="AT228" s="4"/>
      <c r="AU228" s="4"/>
      <c r="AV228" s="4"/>
      <c r="AW228" s="4"/>
      <c r="AX228" s="4"/>
      <c r="AY228" s="4"/>
      <c r="AZ228" s="4"/>
      <c r="BA228" s="4"/>
      <c r="BB228" s="4"/>
      <c r="BC228" s="4"/>
      <c r="BD228" s="4"/>
      <c r="BE228" s="4"/>
      <c r="BF228" s="4"/>
      <c r="BG228" s="4"/>
      <c r="BH228" s="4"/>
    </row>
    <row r="229" spans="1:60">
      <c r="A229" s="4"/>
      <c r="B229" s="3"/>
      <c r="C229" s="3"/>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5"/>
      <c r="AT229" s="4"/>
      <c r="AU229" s="4"/>
      <c r="AV229" s="4"/>
      <c r="AW229" s="4"/>
      <c r="AX229" s="4"/>
      <c r="AY229" s="4"/>
      <c r="AZ229" s="4"/>
      <c r="BA229" s="4"/>
      <c r="BB229" s="4"/>
      <c r="BC229" s="4"/>
      <c r="BD229" s="4"/>
      <c r="BE229" s="4"/>
      <c r="BF229" s="4"/>
      <c r="BG229" s="4"/>
      <c r="BH229" s="4"/>
    </row>
    <row r="230" spans="1:60">
      <c r="A230" s="4"/>
      <c r="B230" s="3"/>
      <c r="C230" s="3"/>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5"/>
      <c r="AT230" s="4"/>
      <c r="AU230" s="4"/>
      <c r="AV230" s="4"/>
      <c r="AW230" s="4"/>
      <c r="AX230" s="4"/>
      <c r="AY230" s="4"/>
      <c r="AZ230" s="4"/>
      <c r="BA230" s="4"/>
      <c r="BB230" s="4"/>
      <c r="BC230" s="4"/>
      <c r="BD230" s="4"/>
      <c r="BE230" s="4"/>
      <c r="BF230" s="4"/>
      <c r="BG230" s="4"/>
      <c r="BH230" s="4"/>
    </row>
    <row r="231" spans="1:60">
      <c r="A231" s="4"/>
      <c r="B231" s="3"/>
      <c r="C231" s="3"/>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5"/>
      <c r="AT231" s="4"/>
      <c r="AU231" s="4"/>
      <c r="AV231" s="4"/>
      <c r="AW231" s="4"/>
      <c r="AX231" s="4"/>
      <c r="AY231" s="4"/>
      <c r="AZ231" s="4"/>
      <c r="BA231" s="4"/>
      <c r="BB231" s="4"/>
      <c r="BC231" s="4"/>
      <c r="BD231" s="4"/>
      <c r="BE231" s="4"/>
      <c r="BF231" s="4"/>
      <c r="BG231" s="4"/>
      <c r="BH231" s="4"/>
    </row>
    <row r="232" spans="1:60">
      <c r="A232" s="4"/>
      <c r="B232" s="3"/>
      <c r="C232" s="3"/>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5"/>
      <c r="AT232" s="4"/>
      <c r="AU232" s="4"/>
      <c r="AV232" s="4"/>
      <c r="AW232" s="4"/>
      <c r="AX232" s="4"/>
      <c r="AY232" s="4"/>
      <c r="AZ232" s="4"/>
      <c r="BA232" s="4"/>
      <c r="BB232" s="4"/>
      <c r="BC232" s="4"/>
      <c r="BD232" s="4"/>
      <c r="BE232" s="4"/>
      <c r="BF232" s="4"/>
      <c r="BG232" s="4"/>
      <c r="BH232" s="4"/>
    </row>
    <row r="233" spans="1:60">
      <c r="A233" s="4"/>
      <c r="B233" s="3"/>
      <c r="C233" s="3"/>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5"/>
      <c r="AT233" s="4"/>
      <c r="AU233" s="4"/>
      <c r="AV233" s="4"/>
      <c r="AW233" s="4"/>
      <c r="AX233" s="4"/>
      <c r="AY233" s="4"/>
      <c r="AZ233" s="4"/>
      <c r="BA233" s="4"/>
      <c r="BB233" s="4"/>
      <c r="BC233" s="4"/>
      <c r="BD233" s="4"/>
      <c r="BE233" s="4"/>
      <c r="BF233" s="4"/>
      <c r="BG233" s="4"/>
      <c r="BH233" s="4"/>
    </row>
    <row r="234" spans="1:60">
      <c r="A234" s="4"/>
      <c r="B234" s="3"/>
      <c r="C234" s="3"/>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5"/>
      <c r="AT234" s="4"/>
      <c r="AU234" s="4"/>
      <c r="AV234" s="4"/>
      <c r="AW234" s="4"/>
      <c r="AX234" s="4"/>
      <c r="AY234" s="4"/>
      <c r="AZ234" s="4"/>
      <c r="BA234" s="4"/>
      <c r="BB234" s="4"/>
      <c r="BC234" s="4"/>
      <c r="BD234" s="4"/>
      <c r="BE234" s="4"/>
      <c r="BF234" s="4"/>
      <c r="BG234" s="4"/>
      <c r="BH234" s="4"/>
    </row>
    <row r="235" spans="1:60">
      <c r="A235" s="4"/>
      <c r="B235" s="3"/>
      <c r="C235" s="3"/>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5"/>
      <c r="AT235" s="4"/>
      <c r="AU235" s="4"/>
      <c r="AV235" s="4"/>
      <c r="AW235" s="4"/>
      <c r="AX235" s="4"/>
      <c r="AY235" s="4"/>
      <c r="AZ235" s="4"/>
      <c r="BA235" s="4"/>
      <c r="BB235" s="4"/>
      <c r="BC235" s="4"/>
      <c r="BD235" s="4"/>
      <c r="BE235" s="4"/>
      <c r="BF235" s="4"/>
      <c r="BG235" s="4"/>
      <c r="BH235" s="4"/>
    </row>
    <row r="236" spans="1:60">
      <c r="A236" s="4"/>
      <c r="B236" s="3"/>
      <c r="C236" s="3"/>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5"/>
      <c r="AT236" s="4"/>
      <c r="AU236" s="4"/>
      <c r="AV236" s="4"/>
      <c r="AW236" s="4"/>
      <c r="AX236" s="4"/>
      <c r="AY236" s="4"/>
      <c r="AZ236" s="4"/>
      <c r="BA236" s="4"/>
      <c r="BB236" s="4"/>
      <c r="BC236" s="4"/>
      <c r="BD236" s="4"/>
      <c r="BE236" s="4"/>
      <c r="BF236" s="4"/>
      <c r="BG236" s="4"/>
      <c r="BH236" s="4"/>
    </row>
    <row r="237" spans="1:60">
      <c r="A237" s="4"/>
      <c r="B237" s="3"/>
      <c r="C237" s="3"/>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5"/>
      <c r="AT237" s="4"/>
      <c r="AU237" s="4"/>
      <c r="AV237" s="4"/>
      <c r="AW237" s="4"/>
      <c r="AX237" s="4"/>
      <c r="AY237" s="4"/>
      <c r="AZ237" s="4"/>
      <c r="BA237" s="4"/>
      <c r="BB237" s="4"/>
      <c r="BC237" s="4"/>
      <c r="BD237" s="4"/>
      <c r="BE237" s="4"/>
      <c r="BF237" s="4"/>
      <c r="BG237" s="4"/>
      <c r="BH237" s="4"/>
    </row>
    <row r="238" spans="1:60">
      <c r="A238" s="4"/>
      <c r="B238" s="3"/>
      <c r="C238" s="3"/>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5"/>
      <c r="AT238" s="4"/>
      <c r="AU238" s="4"/>
      <c r="AV238" s="4"/>
      <c r="AW238" s="4"/>
      <c r="AX238" s="4"/>
      <c r="AY238" s="4"/>
      <c r="AZ238" s="4"/>
      <c r="BA238" s="4"/>
      <c r="BB238" s="4"/>
      <c r="BC238" s="4"/>
      <c r="BD238" s="4"/>
      <c r="BE238" s="4"/>
      <c r="BF238" s="4"/>
      <c r="BG238" s="4"/>
      <c r="BH238" s="4"/>
    </row>
    <row r="239" spans="1:60">
      <c r="A239" s="4"/>
      <c r="B239" s="3"/>
      <c r="C239" s="3"/>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5"/>
      <c r="AT239" s="4"/>
      <c r="AU239" s="4"/>
      <c r="AV239" s="4"/>
      <c r="AW239" s="4"/>
      <c r="AX239" s="4"/>
      <c r="AY239" s="4"/>
      <c r="AZ239" s="4"/>
      <c r="BA239" s="4"/>
      <c r="BB239" s="4"/>
      <c r="BC239" s="4"/>
      <c r="BD239" s="4"/>
      <c r="BE239" s="4"/>
      <c r="BF239" s="4"/>
      <c r="BG239" s="4"/>
      <c r="BH239" s="4"/>
    </row>
    <row r="240" spans="1:60">
      <c r="A240" s="4"/>
      <c r="B240" s="3"/>
      <c r="C240" s="3"/>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5"/>
      <c r="AT240" s="4"/>
      <c r="AU240" s="4"/>
      <c r="AV240" s="4"/>
      <c r="AW240" s="4"/>
      <c r="AX240" s="4"/>
      <c r="AY240" s="4"/>
      <c r="AZ240" s="4"/>
      <c r="BA240" s="4"/>
      <c r="BB240" s="4"/>
      <c r="BC240" s="4"/>
      <c r="BD240" s="4"/>
      <c r="BE240" s="4"/>
      <c r="BF240" s="4"/>
      <c r="BG240" s="4"/>
      <c r="BH240" s="4"/>
    </row>
    <row r="241" spans="1:60">
      <c r="A241" s="4"/>
      <c r="B241" s="3"/>
      <c r="C241" s="3"/>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5"/>
      <c r="AT241" s="4"/>
      <c r="AU241" s="4"/>
      <c r="AV241" s="4"/>
      <c r="AW241" s="4"/>
      <c r="AX241" s="4"/>
      <c r="AY241" s="4"/>
      <c r="AZ241" s="4"/>
      <c r="BA241" s="4"/>
      <c r="BB241" s="4"/>
      <c r="BC241" s="4"/>
      <c r="BD241" s="4"/>
      <c r="BE241" s="4"/>
      <c r="BF241" s="4"/>
      <c r="BG241" s="4"/>
      <c r="BH241" s="4"/>
    </row>
    <row r="242" spans="1:60">
      <c r="A242" s="4"/>
      <c r="B242" s="3"/>
      <c r="C242" s="3"/>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5"/>
      <c r="AT242" s="4"/>
      <c r="AU242" s="4"/>
      <c r="AV242" s="4"/>
      <c r="AW242" s="4"/>
      <c r="AX242" s="4"/>
      <c r="AY242" s="4"/>
      <c r="AZ242" s="4"/>
      <c r="BA242" s="4"/>
      <c r="BB242" s="4"/>
      <c r="BC242" s="4"/>
      <c r="BD242" s="4"/>
      <c r="BE242" s="4"/>
      <c r="BF242" s="4"/>
      <c r="BG242" s="4"/>
      <c r="BH242" s="4"/>
    </row>
    <row r="243" spans="1:60">
      <c r="A243" s="4"/>
      <c r="B243" s="3"/>
      <c r="C243" s="3"/>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5"/>
      <c r="AT243" s="4"/>
      <c r="AU243" s="4"/>
      <c r="AV243" s="4"/>
      <c r="AW243" s="4"/>
      <c r="AX243" s="4"/>
      <c r="AY243" s="4"/>
      <c r="AZ243" s="4"/>
      <c r="BA243" s="4"/>
      <c r="BB243" s="4"/>
      <c r="BC243" s="4"/>
      <c r="BD243" s="4"/>
      <c r="BE243" s="4"/>
      <c r="BF243" s="4"/>
      <c r="BG243" s="4"/>
      <c r="BH243" s="4"/>
    </row>
    <row r="244" spans="1:60">
      <c r="A244" s="4"/>
      <c r="B244" s="3"/>
      <c r="C244" s="3"/>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5"/>
      <c r="AT244" s="4"/>
      <c r="AU244" s="4"/>
      <c r="AV244" s="4"/>
      <c r="AW244" s="4"/>
      <c r="AX244" s="4"/>
      <c r="AY244" s="4"/>
      <c r="AZ244" s="4"/>
      <c r="BA244" s="4"/>
      <c r="BB244" s="4"/>
      <c r="BC244" s="4"/>
      <c r="BD244" s="4"/>
      <c r="BE244" s="4"/>
      <c r="BF244" s="4"/>
      <c r="BG244" s="4"/>
      <c r="BH244" s="4"/>
    </row>
    <row r="245" spans="1:60">
      <c r="A245" s="4"/>
      <c r="B245" s="3"/>
      <c r="C245" s="3"/>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5"/>
      <c r="AT245" s="4"/>
      <c r="AU245" s="4"/>
      <c r="AV245" s="4"/>
      <c r="AW245" s="4"/>
      <c r="AX245" s="4"/>
      <c r="AY245" s="4"/>
      <c r="AZ245" s="4"/>
      <c r="BA245" s="4"/>
      <c r="BB245" s="4"/>
      <c r="BC245" s="4"/>
      <c r="BD245" s="4"/>
      <c r="BE245" s="4"/>
      <c r="BF245" s="4"/>
      <c r="BG245" s="4"/>
      <c r="BH245" s="4"/>
    </row>
    <row r="246" spans="1:60">
      <c r="A246" s="4"/>
      <c r="B246" s="3"/>
      <c r="C246" s="3"/>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5"/>
      <c r="AT246" s="4"/>
      <c r="AU246" s="4"/>
      <c r="AV246" s="4"/>
      <c r="AW246" s="4"/>
      <c r="AX246" s="4"/>
      <c r="AY246" s="4"/>
      <c r="AZ246" s="4"/>
      <c r="BA246" s="4"/>
      <c r="BB246" s="4"/>
      <c r="BC246" s="4"/>
      <c r="BD246" s="4"/>
      <c r="BE246" s="4"/>
      <c r="BF246" s="4"/>
      <c r="BG246" s="4"/>
      <c r="BH246" s="4"/>
    </row>
    <row r="247" spans="1:60">
      <c r="A247" s="4"/>
      <c r="B247" s="3"/>
      <c r="C247" s="3"/>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5"/>
      <c r="AT247" s="4"/>
      <c r="AU247" s="4"/>
      <c r="AV247" s="4"/>
      <c r="AW247" s="4"/>
      <c r="AX247" s="4"/>
      <c r="AY247" s="4"/>
      <c r="AZ247" s="4"/>
      <c r="BA247" s="4"/>
      <c r="BB247" s="4"/>
      <c r="BC247" s="4"/>
      <c r="BD247" s="4"/>
      <c r="BE247" s="4"/>
      <c r="BF247" s="4"/>
      <c r="BG247" s="4"/>
      <c r="BH247" s="4"/>
    </row>
    <row r="248" spans="1:60">
      <c r="A248" s="4"/>
      <c r="B248" s="3"/>
      <c r="C248" s="3"/>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5"/>
      <c r="AT248" s="4"/>
      <c r="AU248" s="4"/>
      <c r="AV248" s="4"/>
      <c r="AW248" s="4"/>
      <c r="AX248" s="4"/>
      <c r="AY248" s="4"/>
      <c r="AZ248" s="4"/>
      <c r="BA248" s="4"/>
      <c r="BB248" s="4"/>
      <c r="BC248" s="4"/>
      <c r="BD248" s="4"/>
      <c r="BE248" s="4"/>
      <c r="BF248" s="4"/>
      <c r="BG248" s="4"/>
      <c r="BH248" s="4"/>
    </row>
    <row r="249" spans="1:60">
      <c r="A249" s="4"/>
      <c r="B249" s="3"/>
      <c r="C249" s="3"/>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5"/>
      <c r="AT249" s="4"/>
      <c r="AU249" s="4"/>
      <c r="AV249" s="4"/>
      <c r="AW249" s="4"/>
      <c r="AX249" s="4"/>
      <c r="AY249" s="4"/>
      <c r="AZ249" s="4"/>
      <c r="BA249" s="4"/>
      <c r="BB249" s="4"/>
      <c r="BC249" s="4"/>
      <c r="BD249" s="4"/>
      <c r="BE249" s="4"/>
      <c r="BF249" s="4"/>
      <c r="BG249" s="4"/>
      <c r="BH249" s="4"/>
    </row>
    <row r="250" spans="1:60">
      <c r="A250" s="4"/>
      <c r="B250" s="3"/>
      <c r="C250" s="3"/>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5"/>
      <c r="AT250" s="4"/>
      <c r="AU250" s="4"/>
      <c r="AV250" s="4"/>
      <c r="AW250" s="4"/>
      <c r="AX250" s="4"/>
      <c r="AY250" s="4"/>
      <c r="AZ250" s="4"/>
      <c r="BA250" s="4"/>
      <c r="BB250" s="4"/>
      <c r="BC250" s="4"/>
      <c r="BD250" s="4"/>
      <c r="BE250" s="4"/>
      <c r="BF250" s="4"/>
      <c r="BG250" s="4"/>
      <c r="BH250" s="4"/>
    </row>
    <row r="251" spans="1:60">
      <c r="A251" s="4"/>
      <c r="B251" s="3"/>
      <c r="C251" s="3"/>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5"/>
      <c r="AT251" s="4"/>
      <c r="AU251" s="4"/>
      <c r="AV251" s="4"/>
      <c r="AW251" s="4"/>
      <c r="AX251" s="4"/>
      <c r="AY251" s="4"/>
      <c r="AZ251" s="4"/>
      <c r="BA251" s="4"/>
      <c r="BB251" s="4"/>
      <c r="BC251" s="4"/>
      <c r="BD251" s="4"/>
      <c r="BE251" s="4"/>
      <c r="BF251" s="4"/>
      <c r="BG251" s="4"/>
      <c r="BH251" s="4"/>
    </row>
    <row r="252" spans="1:60">
      <c r="A252" s="4"/>
      <c r="B252" s="3"/>
      <c r="C252" s="3"/>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5"/>
      <c r="AT252" s="4"/>
      <c r="AU252" s="4"/>
      <c r="AV252" s="4"/>
      <c r="AW252" s="4"/>
      <c r="AX252" s="4"/>
      <c r="AY252" s="4"/>
      <c r="AZ252" s="4"/>
      <c r="BA252" s="4"/>
      <c r="BB252" s="4"/>
      <c r="BC252" s="4"/>
      <c r="BD252" s="4"/>
      <c r="BE252" s="4"/>
      <c r="BF252" s="4"/>
      <c r="BG252" s="4"/>
      <c r="BH252" s="4"/>
    </row>
    <row r="253" spans="1:60">
      <c r="A253" s="4"/>
      <c r="B253" s="3"/>
      <c r="C253" s="3"/>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5"/>
      <c r="AT253" s="4"/>
      <c r="AU253" s="4"/>
      <c r="AV253" s="4"/>
      <c r="AW253" s="4"/>
      <c r="AX253" s="4"/>
      <c r="AY253" s="4"/>
      <c r="AZ253" s="4"/>
      <c r="BA253" s="4"/>
      <c r="BB253" s="4"/>
      <c r="BC253" s="4"/>
      <c r="BD253" s="4"/>
      <c r="BE253" s="4"/>
      <c r="BF253" s="4"/>
      <c r="BG253" s="4"/>
      <c r="BH253" s="4"/>
    </row>
    <row r="254" spans="1:60">
      <c r="A254" s="4"/>
      <c r="B254" s="3"/>
      <c r="C254" s="3"/>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5"/>
      <c r="AT254" s="4"/>
      <c r="AU254" s="4"/>
      <c r="AV254" s="4"/>
      <c r="AW254" s="4"/>
      <c r="AX254" s="4"/>
      <c r="AY254" s="4"/>
      <c r="AZ254" s="4"/>
      <c r="BA254" s="4"/>
      <c r="BB254" s="4"/>
      <c r="BC254" s="4"/>
      <c r="BD254" s="4"/>
      <c r="BE254" s="4"/>
      <c r="BF254" s="4"/>
      <c r="BG254" s="4"/>
      <c r="BH254" s="4"/>
    </row>
    <row r="255" spans="1:60">
      <c r="A255" s="4"/>
      <c r="B255" s="3"/>
      <c r="C255" s="3"/>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5"/>
      <c r="AT255" s="4"/>
      <c r="AU255" s="4"/>
      <c r="AV255" s="4"/>
      <c r="AW255" s="4"/>
      <c r="AX255" s="4"/>
      <c r="AY255" s="4"/>
      <c r="AZ255" s="4"/>
      <c r="BA255" s="4"/>
      <c r="BB255" s="4"/>
      <c r="BC255" s="4"/>
      <c r="BD255" s="4"/>
      <c r="BE255" s="4"/>
      <c r="BF255" s="4"/>
      <c r="BG255" s="4"/>
      <c r="BH255" s="4"/>
    </row>
    <row r="256" spans="1:60">
      <c r="A256" s="4"/>
      <c r="B256" s="3"/>
      <c r="C256" s="3"/>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5"/>
      <c r="AT256" s="4"/>
      <c r="AU256" s="4"/>
      <c r="AV256" s="4"/>
      <c r="AW256" s="4"/>
      <c r="AX256" s="4"/>
      <c r="AY256" s="4"/>
      <c r="AZ256" s="4"/>
      <c r="BA256" s="4"/>
      <c r="BB256" s="4"/>
      <c r="BC256" s="4"/>
      <c r="BD256" s="4"/>
      <c r="BE256" s="4"/>
      <c r="BF256" s="4"/>
      <c r="BG256" s="4"/>
      <c r="BH256" s="4"/>
    </row>
    <row r="257" spans="1:60">
      <c r="A257" s="4"/>
      <c r="B257" s="3"/>
      <c r="C257" s="3"/>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5"/>
      <c r="AT257" s="4"/>
      <c r="AU257" s="4"/>
      <c r="AV257" s="4"/>
      <c r="AW257" s="4"/>
      <c r="AX257" s="4"/>
      <c r="AY257" s="4"/>
      <c r="AZ257" s="4"/>
      <c r="BA257" s="4"/>
      <c r="BB257" s="4"/>
      <c r="BC257" s="4"/>
      <c r="BD257" s="4"/>
      <c r="BE257" s="4"/>
      <c r="BF257" s="4"/>
      <c r="BG257" s="4"/>
      <c r="BH257" s="4"/>
    </row>
    <row r="258" spans="1:60">
      <c r="A258" s="4"/>
      <c r="B258" s="3"/>
      <c r="C258" s="3"/>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5"/>
      <c r="AT258" s="4"/>
      <c r="AU258" s="4"/>
      <c r="AV258" s="4"/>
      <c r="AW258" s="4"/>
      <c r="AX258" s="4"/>
      <c r="AY258" s="4"/>
      <c r="AZ258" s="4"/>
      <c r="BA258" s="4"/>
      <c r="BB258" s="4"/>
      <c r="BC258" s="4"/>
      <c r="BD258" s="4"/>
      <c r="BE258" s="4"/>
      <c r="BF258" s="4"/>
      <c r="BG258" s="4"/>
      <c r="BH258" s="4"/>
    </row>
    <row r="259" spans="1:60">
      <c r="A259" s="4"/>
      <c r="B259" s="3"/>
      <c r="C259" s="3"/>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5"/>
      <c r="AT259" s="4"/>
      <c r="AU259" s="4"/>
      <c r="AV259" s="4"/>
      <c r="AW259" s="4"/>
      <c r="AX259" s="4"/>
      <c r="AY259" s="4"/>
      <c r="AZ259" s="4"/>
      <c r="BA259" s="4"/>
      <c r="BB259" s="4"/>
      <c r="BC259" s="4"/>
      <c r="BD259" s="4"/>
      <c r="BE259" s="4"/>
      <c r="BF259" s="4"/>
      <c r="BG259" s="4"/>
      <c r="BH259" s="4"/>
    </row>
    <row r="260" spans="1:60">
      <c r="A260" s="4"/>
      <c r="B260" s="3"/>
      <c r="C260" s="3"/>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5"/>
      <c r="AT260" s="4"/>
      <c r="AU260" s="4"/>
      <c r="AV260" s="4"/>
      <c r="AW260" s="4"/>
      <c r="AX260" s="4"/>
      <c r="AY260" s="4"/>
      <c r="AZ260" s="4"/>
      <c r="BA260" s="4"/>
      <c r="BB260" s="4"/>
      <c r="BC260" s="4"/>
      <c r="BD260" s="4"/>
      <c r="BE260" s="4"/>
      <c r="BF260" s="4"/>
      <c r="BG260" s="4"/>
      <c r="BH260" s="4"/>
    </row>
    <row r="261" spans="1:60">
      <c r="A261" s="4"/>
      <c r="B261" s="3"/>
      <c r="C261" s="3"/>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5"/>
      <c r="AT261" s="4"/>
      <c r="AU261" s="4"/>
      <c r="AV261" s="4"/>
      <c r="AW261" s="4"/>
      <c r="AX261" s="4"/>
      <c r="AY261" s="4"/>
      <c r="AZ261" s="4"/>
      <c r="BA261" s="4"/>
      <c r="BB261" s="4"/>
      <c r="BC261" s="4"/>
      <c r="BD261" s="4"/>
      <c r="BE261" s="4"/>
      <c r="BF261" s="4"/>
      <c r="BG261" s="4"/>
      <c r="BH261" s="4"/>
    </row>
    <row r="262" spans="1:60">
      <c r="A262" s="4"/>
      <c r="B262" s="3"/>
      <c r="C262" s="3"/>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5"/>
      <c r="AT262" s="4"/>
      <c r="AU262" s="4"/>
      <c r="AV262" s="4"/>
      <c r="AW262" s="4"/>
      <c r="AX262" s="4"/>
      <c r="AY262" s="4"/>
      <c r="AZ262" s="4"/>
      <c r="BA262" s="4"/>
      <c r="BB262" s="4"/>
      <c r="BC262" s="4"/>
      <c r="BD262" s="4"/>
      <c r="BE262" s="4"/>
      <c r="BF262" s="4"/>
      <c r="BG262" s="4"/>
      <c r="BH262" s="4"/>
    </row>
    <row r="263" spans="1:60">
      <c r="A263" s="4"/>
      <c r="B263" s="3"/>
      <c r="C263" s="3"/>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5"/>
      <c r="AT263" s="4"/>
      <c r="AU263" s="4"/>
      <c r="AV263" s="4"/>
      <c r="AW263" s="4"/>
      <c r="AX263" s="4"/>
      <c r="AY263" s="4"/>
      <c r="AZ263" s="4"/>
      <c r="BA263" s="4"/>
      <c r="BB263" s="4"/>
      <c r="BC263" s="4"/>
      <c r="BD263" s="4"/>
      <c r="BE263" s="4"/>
      <c r="BF263" s="4"/>
      <c r="BG263" s="4"/>
      <c r="BH263" s="4"/>
    </row>
    <row r="264" spans="1:60">
      <c r="A264" s="4"/>
      <c r="B264" s="3"/>
      <c r="C264" s="3"/>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5"/>
      <c r="AT264" s="4"/>
      <c r="AU264" s="4"/>
      <c r="AV264" s="4"/>
      <c r="AW264" s="4"/>
      <c r="AX264" s="4"/>
      <c r="AY264" s="4"/>
      <c r="AZ264" s="4"/>
      <c r="BA264" s="4"/>
      <c r="BB264" s="4"/>
      <c r="BC264" s="4"/>
      <c r="BD264" s="4"/>
      <c r="BE264" s="4"/>
      <c r="BF264" s="4"/>
      <c r="BG264" s="4"/>
      <c r="BH264" s="4"/>
    </row>
    <row r="265" spans="1:60">
      <c r="A265" s="4"/>
      <c r="B265" s="3"/>
      <c r="C265" s="3"/>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5"/>
      <c r="AT265" s="4"/>
      <c r="AU265" s="4"/>
      <c r="AV265" s="4"/>
      <c r="AW265" s="4"/>
      <c r="AX265" s="4"/>
      <c r="AY265" s="4"/>
      <c r="AZ265" s="4"/>
      <c r="BA265" s="4"/>
      <c r="BB265" s="4"/>
      <c r="BC265" s="4"/>
      <c r="BD265" s="4"/>
      <c r="BE265" s="4"/>
      <c r="BF265" s="4"/>
      <c r="BG265" s="4"/>
      <c r="BH265" s="4"/>
    </row>
    <row r="266" spans="1:60">
      <c r="A266" s="4"/>
      <c r="B266" s="3"/>
      <c r="C266" s="3"/>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5"/>
      <c r="AT266" s="4"/>
      <c r="AU266" s="4"/>
      <c r="AV266" s="4"/>
      <c r="AW266" s="4"/>
      <c r="AX266" s="4"/>
      <c r="AY266" s="4"/>
      <c r="AZ266" s="4"/>
      <c r="BA266" s="4"/>
      <c r="BB266" s="4"/>
      <c r="BC266" s="4"/>
      <c r="BD266" s="4"/>
      <c r="BE266" s="4"/>
      <c r="BF266" s="4"/>
      <c r="BG266" s="4"/>
      <c r="BH266" s="4"/>
    </row>
    <row r="267" spans="1:60">
      <c r="A267" s="4"/>
      <c r="B267" s="3"/>
      <c r="C267" s="3"/>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5"/>
      <c r="AT267" s="4"/>
      <c r="AU267" s="4"/>
      <c r="AV267" s="4"/>
      <c r="AW267" s="4"/>
      <c r="AX267" s="4"/>
      <c r="AY267" s="4"/>
      <c r="AZ267" s="4"/>
      <c r="BA267" s="4"/>
      <c r="BB267" s="4"/>
      <c r="BC267" s="4"/>
      <c r="BD267" s="4"/>
      <c r="BE267" s="4"/>
      <c r="BF267" s="4"/>
      <c r="BG267" s="4"/>
      <c r="BH267" s="4"/>
    </row>
    <row r="268" spans="1:60">
      <c r="A268" s="4"/>
      <c r="B268" s="3"/>
      <c r="C268" s="3"/>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5"/>
      <c r="AT268" s="4"/>
      <c r="AU268" s="4"/>
      <c r="AV268" s="4"/>
      <c r="AW268" s="4"/>
      <c r="AX268" s="4"/>
      <c r="AY268" s="4"/>
      <c r="AZ268" s="4"/>
      <c r="BA268" s="4"/>
      <c r="BB268" s="4"/>
      <c r="BC268" s="4"/>
      <c r="BD268" s="4"/>
      <c r="BE268" s="4"/>
      <c r="BF268" s="4"/>
      <c r="BG268" s="4"/>
      <c r="BH268" s="4"/>
    </row>
    <row r="269" spans="1:60">
      <c r="A269" s="4"/>
      <c r="B269" s="3"/>
      <c r="C269" s="3"/>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5"/>
      <c r="AT269" s="4"/>
      <c r="AU269" s="4"/>
      <c r="AV269" s="4"/>
      <c r="AW269" s="4"/>
      <c r="AX269" s="4"/>
      <c r="AY269" s="4"/>
      <c r="AZ269" s="4"/>
      <c r="BA269" s="4"/>
      <c r="BB269" s="4"/>
      <c r="BC269" s="4"/>
      <c r="BD269" s="4"/>
      <c r="BE269" s="4"/>
      <c r="BF269" s="4"/>
      <c r="BG269" s="4"/>
      <c r="BH269" s="4"/>
    </row>
    <row r="270" spans="1:60">
      <c r="A270" s="4"/>
      <c r="B270" s="3"/>
      <c r="C270" s="3"/>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5"/>
      <c r="AT270" s="4"/>
      <c r="AU270" s="4"/>
      <c r="AV270" s="4"/>
      <c r="AW270" s="4"/>
      <c r="AX270" s="4"/>
      <c r="AY270" s="4"/>
      <c r="AZ270" s="4"/>
      <c r="BA270" s="4"/>
      <c r="BB270" s="4"/>
      <c r="BC270" s="4"/>
      <c r="BD270" s="4"/>
      <c r="BE270" s="4"/>
      <c r="BF270" s="4"/>
      <c r="BG270" s="4"/>
      <c r="BH270" s="4"/>
    </row>
    <row r="271" spans="1:60">
      <c r="A271" s="4"/>
      <c r="B271" s="3"/>
      <c r="C271" s="3"/>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5"/>
      <c r="AT271" s="4"/>
      <c r="AU271" s="4"/>
      <c r="AV271" s="4"/>
      <c r="AW271" s="4"/>
      <c r="AX271" s="4"/>
      <c r="AY271" s="4"/>
      <c r="AZ271" s="4"/>
      <c r="BA271" s="4"/>
      <c r="BB271" s="4"/>
      <c r="BC271" s="4"/>
      <c r="BD271" s="4"/>
      <c r="BE271" s="4"/>
      <c r="BF271" s="4"/>
      <c r="BG271" s="4"/>
      <c r="BH271" s="4"/>
    </row>
    <row r="272" spans="1:60">
      <c r="A272" s="4"/>
      <c r="B272" s="3"/>
      <c r="C272" s="3"/>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5"/>
      <c r="AT272" s="4"/>
      <c r="AU272" s="4"/>
      <c r="AV272" s="4"/>
      <c r="AW272" s="4"/>
      <c r="AX272" s="4"/>
      <c r="AY272" s="4"/>
      <c r="AZ272" s="4"/>
      <c r="BA272" s="4"/>
      <c r="BB272" s="4"/>
      <c r="BC272" s="4"/>
      <c r="BD272" s="4"/>
      <c r="BE272" s="4"/>
      <c r="BF272" s="4"/>
      <c r="BG272" s="4"/>
      <c r="BH272" s="4"/>
    </row>
    <row r="273" spans="1:60">
      <c r="A273" s="4"/>
      <c r="B273" s="3"/>
      <c r="C273" s="3"/>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5"/>
      <c r="AT273" s="4"/>
      <c r="AU273" s="4"/>
      <c r="AV273" s="4"/>
      <c r="AW273" s="4"/>
      <c r="AX273" s="4"/>
      <c r="AY273" s="4"/>
      <c r="AZ273" s="4"/>
      <c r="BA273" s="4"/>
      <c r="BB273" s="4"/>
      <c r="BC273" s="4"/>
      <c r="BD273" s="4"/>
      <c r="BE273" s="4"/>
      <c r="BF273" s="4"/>
      <c r="BG273" s="4"/>
      <c r="BH273" s="4"/>
    </row>
    <row r="274" spans="1:60">
      <c r="A274" s="4"/>
      <c r="B274" s="3"/>
      <c r="C274" s="3"/>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5"/>
      <c r="AT274" s="4"/>
      <c r="AU274" s="4"/>
      <c r="AV274" s="4"/>
      <c r="AW274" s="4"/>
      <c r="AX274" s="4"/>
      <c r="AY274" s="4"/>
      <c r="AZ274" s="4"/>
      <c r="BA274" s="4"/>
      <c r="BB274" s="4"/>
      <c r="BC274" s="4"/>
      <c r="BD274" s="4"/>
      <c r="BE274" s="4"/>
      <c r="BF274" s="4"/>
      <c r="BG274" s="4"/>
      <c r="BH274" s="4"/>
    </row>
    <row r="275" spans="1:60">
      <c r="A275" s="4"/>
      <c r="B275" s="3"/>
      <c r="C275" s="3"/>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5"/>
      <c r="AT275" s="4"/>
      <c r="AU275" s="4"/>
      <c r="AV275" s="4"/>
      <c r="AW275" s="4"/>
      <c r="AX275" s="4"/>
      <c r="AY275" s="4"/>
      <c r="AZ275" s="4"/>
      <c r="BA275" s="4"/>
      <c r="BB275" s="4"/>
      <c r="BC275" s="4"/>
      <c r="BD275" s="4"/>
      <c r="BE275" s="4"/>
      <c r="BF275" s="4"/>
      <c r="BG275" s="4"/>
      <c r="BH275" s="4"/>
    </row>
    <row r="276" spans="1:60">
      <c r="A276" s="4"/>
      <c r="B276" s="3"/>
      <c r="C276" s="3"/>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5"/>
      <c r="AT276" s="4"/>
      <c r="AU276" s="4"/>
      <c r="AV276" s="4"/>
      <c r="AW276" s="4"/>
      <c r="AX276" s="4"/>
      <c r="AY276" s="4"/>
      <c r="AZ276" s="4"/>
      <c r="BA276" s="4"/>
      <c r="BB276" s="4"/>
      <c r="BC276" s="4"/>
      <c r="BD276" s="4"/>
      <c r="BE276" s="4"/>
      <c r="BF276" s="4"/>
      <c r="BG276" s="4"/>
      <c r="BH276" s="4"/>
    </row>
    <row r="277" spans="1:60">
      <c r="A277" s="4"/>
      <c r="B277" s="3"/>
      <c r="C277" s="3"/>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5"/>
      <c r="AT277" s="4"/>
      <c r="AU277" s="4"/>
      <c r="AV277" s="4"/>
      <c r="AW277" s="4"/>
      <c r="AX277" s="4"/>
      <c r="AY277" s="4"/>
      <c r="AZ277" s="4"/>
      <c r="BA277" s="4"/>
      <c r="BB277" s="4"/>
      <c r="BC277" s="4"/>
      <c r="BD277" s="4"/>
      <c r="BE277" s="4"/>
      <c r="BF277" s="4"/>
      <c r="BG277" s="4"/>
      <c r="BH277" s="4"/>
    </row>
    <row r="278" spans="1:60">
      <c r="A278" s="4"/>
      <c r="B278" s="3"/>
      <c r="C278" s="3"/>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5"/>
      <c r="AT278" s="4"/>
      <c r="AU278" s="4"/>
      <c r="AV278" s="4"/>
      <c r="AW278" s="4"/>
      <c r="AX278" s="4"/>
      <c r="AY278" s="4"/>
      <c r="AZ278" s="4"/>
      <c r="BA278" s="4"/>
      <c r="BB278" s="4"/>
      <c r="BC278" s="4"/>
      <c r="BD278" s="4"/>
      <c r="BE278" s="4"/>
      <c r="BF278" s="4"/>
      <c r="BG278" s="4"/>
      <c r="BH278" s="4"/>
    </row>
    <row r="279" spans="1:60">
      <c r="A279" s="4"/>
      <c r="B279" s="3"/>
      <c r="C279" s="3"/>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5"/>
      <c r="AT279" s="4"/>
      <c r="AU279" s="4"/>
      <c r="AV279" s="4"/>
      <c r="AW279" s="4"/>
      <c r="AX279" s="4"/>
      <c r="AY279" s="4"/>
      <c r="AZ279" s="4"/>
      <c r="BA279" s="4"/>
      <c r="BB279" s="4"/>
      <c r="BC279" s="4"/>
      <c r="BD279" s="4"/>
      <c r="BE279" s="4"/>
      <c r="BF279" s="4"/>
      <c r="BG279" s="4"/>
      <c r="BH279" s="4"/>
    </row>
    <row r="280" spans="1:60">
      <c r="A280" s="4"/>
      <c r="B280" s="3"/>
      <c r="C280" s="3"/>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5"/>
      <c r="AT280" s="4"/>
      <c r="AU280" s="4"/>
      <c r="AV280" s="4"/>
      <c r="AW280" s="4"/>
      <c r="AX280" s="4"/>
      <c r="AY280" s="4"/>
      <c r="AZ280" s="4"/>
      <c r="BA280" s="4"/>
      <c r="BB280" s="4"/>
      <c r="BC280" s="4"/>
      <c r="BD280" s="4"/>
      <c r="BE280" s="4"/>
      <c r="BF280" s="4"/>
      <c r="BG280" s="4"/>
      <c r="BH280" s="4"/>
    </row>
    <row r="281" spans="1:60">
      <c r="A281" s="4"/>
      <c r="B281" s="3"/>
      <c r="C281" s="3"/>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5"/>
      <c r="AT281" s="4"/>
      <c r="AU281" s="4"/>
      <c r="AV281" s="4"/>
      <c r="AW281" s="4"/>
      <c r="AX281" s="4"/>
      <c r="AY281" s="4"/>
      <c r="AZ281" s="4"/>
      <c r="BA281" s="4"/>
      <c r="BB281" s="4"/>
      <c r="BC281" s="4"/>
      <c r="BD281" s="4"/>
      <c r="BE281" s="4"/>
      <c r="BF281" s="4"/>
      <c r="BG281" s="4"/>
      <c r="BH281" s="4"/>
    </row>
    <row r="282" spans="1:60">
      <c r="A282" s="4"/>
      <c r="B282" s="3"/>
      <c r="C282" s="3"/>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5"/>
      <c r="AT282" s="4"/>
      <c r="AU282" s="4"/>
      <c r="AV282" s="4"/>
      <c r="AW282" s="4"/>
      <c r="AX282" s="4"/>
      <c r="AY282" s="4"/>
      <c r="AZ282" s="4"/>
      <c r="BA282" s="4"/>
      <c r="BB282" s="4"/>
      <c r="BC282" s="4"/>
      <c r="BD282" s="4"/>
      <c r="BE282" s="4"/>
      <c r="BF282" s="4"/>
      <c r="BG282" s="4"/>
      <c r="BH282" s="4"/>
    </row>
    <row r="283" spans="1:60">
      <c r="A283" s="4"/>
      <c r="B283" s="3"/>
      <c r="C283" s="3"/>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5"/>
      <c r="AT283" s="4"/>
      <c r="AU283" s="4"/>
      <c r="AV283" s="4"/>
      <c r="AW283" s="4"/>
      <c r="AX283" s="4"/>
      <c r="AY283" s="4"/>
      <c r="AZ283" s="4"/>
      <c r="BA283" s="4"/>
      <c r="BB283" s="4"/>
      <c r="BC283" s="4"/>
      <c r="BD283" s="4"/>
      <c r="BE283" s="4"/>
      <c r="BF283" s="4"/>
      <c r="BG283" s="4"/>
      <c r="BH283" s="4"/>
    </row>
    <row r="284" spans="1:60">
      <c r="A284" s="4"/>
      <c r="B284" s="3"/>
      <c r="C284" s="3"/>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5"/>
      <c r="AT284" s="4"/>
      <c r="AU284" s="4"/>
      <c r="AV284" s="4"/>
      <c r="AW284" s="4"/>
      <c r="AX284" s="4"/>
      <c r="AY284" s="4"/>
      <c r="AZ284" s="4"/>
      <c r="BA284" s="4"/>
      <c r="BB284" s="4"/>
      <c r="BC284" s="4"/>
      <c r="BD284" s="4"/>
      <c r="BE284" s="4"/>
      <c r="BF284" s="4"/>
      <c r="BG284" s="4"/>
      <c r="BH284" s="4"/>
    </row>
    <row r="285" spans="1:60">
      <c r="A285" s="4"/>
      <c r="B285" s="3"/>
      <c r="C285" s="3"/>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5"/>
      <c r="AT285" s="4"/>
      <c r="AU285" s="4"/>
      <c r="AV285" s="4"/>
      <c r="AW285" s="4"/>
      <c r="AX285" s="4"/>
      <c r="AY285" s="4"/>
      <c r="AZ285" s="4"/>
      <c r="BA285" s="4"/>
      <c r="BB285" s="4"/>
      <c r="BC285" s="4"/>
      <c r="BD285" s="4"/>
      <c r="BE285" s="4"/>
      <c r="BF285" s="4"/>
      <c r="BG285" s="4"/>
      <c r="BH285" s="4"/>
    </row>
    <row r="286" spans="1:60">
      <c r="A286" s="4"/>
      <c r="B286" s="3"/>
      <c r="C286" s="3"/>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5"/>
      <c r="AT286" s="4"/>
      <c r="AU286" s="4"/>
      <c r="AV286" s="4"/>
      <c r="AW286" s="4"/>
      <c r="AX286" s="4"/>
      <c r="AY286" s="4"/>
      <c r="AZ286" s="4"/>
      <c r="BA286" s="4"/>
      <c r="BB286" s="4"/>
      <c r="BC286" s="4"/>
      <c r="BD286" s="4"/>
      <c r="BE286" s="4"/>
      <c r="BF286" s="4"/>
      <c r="BG286" s="4"/>
      <c r="BH286" s="4"/>
    </row>
    <row r="287" spans="1:60">
      <c r="A287" s="4"/>
      <c r="B287" s="3"/>
      <c r="C287" s="3"/>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5"/>
      <c r="AT287" s="4"/>
      <c r="AU287" s="4"/>
      <c r="AV287" s="4"/>
      <c r="AW287" s="4"/>
      <c r="AX287" s="4"/>
      <c r="AY287" s="4"/>
      <c r="AZ287" s="4"/>
      <c r="BA287" s="4"/>
      <c r="BB287" s="4"/>
      <c r="BC287" s="4"/>
      <c r="BD287" s="4"/>
      <c r="BE287" s="4"/>
      <c r="BF287" s="4"/>
      <c r="BG287" s="4"/>
      <c r="BH287" s="4"/>
    </row>
    <row r="288" spans="1:60">
      <c r="A288" s="4"/>
      <c r="B288" s="3"/>
      <c r="C288" s="3"/>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5"/>
      <c r="AT288" s="4"/>
      <c r="AU288" s="4"/>
      <c r="AV288" s="4"/>
      <c r="AW288" s="4"/>
      <c r="AX288" s="4"/>
      <c r="AY288" s="4"/>
      <c r="AZ288" s="4"/>
      <c r="BA288" s="4"/>
      <c r="BB288" s="4"/>
      <c r="BC288" s="4"/>
      <c r="BD288" s="4"/>
      <c r="BE288" s="4"/>
      <c r="BF288" s="4"/>
      <c r="BG288" s="4"/>
      <c r="BH288" s="4"/>
    </row>
    <row r="289" spans="1:60">
      <c r="A289" s="4"/>
      <c r="B289" s="3"/>
      <c r="C289" s="3"/>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5"/>
      <c r="AT289" s="4"/>
      <c r="AU289" s="4"/>
      <c r="AV289" s="4"/>
      <c r="AW289" s="4"/>
      <c r="AX289" s="4"/>
      <c r="AY289" s="4"/>
      <c r="AZ289" s="4"/>
      <c r="BA289" s="4"/>
      <c r="BB289" s="4"/>
      <c r="BC289" s="4"/>
      <c r="BD289" s="4"/>
      <c r="BE289" s="4"/>
      <c r="BF289" s="4"/>
      <c r="BG289" s="4"/>
      <c r="BH289" s="4"/>
    </row>
    <row r="290" spans="1:60">
      <c r="A290" s="4"/>
      <c r="B290" s="3"/>
      <c r="C290" s="3"/>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5"/>
      <c r="AT290" s="4"/>
      <c r="AU290" s="4"/>
      <c r="AV290" s="4"/>
      <c r="AW290" s="4"/>
      <c r="AX290" s="4"/>
      <c r="AY290" s="4"/>
      <c r="AZ290" s="4"/>
      <c r="BA290" s="4"/>
      <c r="BB290" s="4"/>
      <c r="BC290" s="4"/>
      <c r="BD290" s="4"/>
      <c r="BE290" s="4"/>
      <c r="BF290" s="4"/>
      <c r="BG290" s="4"/>
      <c r="BH290" s="4"/>
    </row>
    <row r="291" spans="1:60">
      <c r="A291" s="4"/>
      <c r="B291" s="3"/>
      <c r="C291" s="3"/>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5"/>
      <c r="AT291" s="4"/>
      <c r="AU291" s="4"/>
      <c r="AV291" s="4"/>
      <c r="AW291" s="4"/>
      <c r="AX291" s="4"/>
      <c r="AY291" s="4"/>
      <c r="AZ291" s="4"/>
      <c r="BA291" s="4"/>
      <c r="BB291" s="4"/>
      <c r="BC291" s="4"/>
      <c r="BD291" s="4"/>
      <c r="BE291" s="4"/>
      <c r="BF291" s="4"/>
      <c r="BG291" s="4"/>
      <c r="BH291" s="4"/>
    </row>
    <row r="292" spans="1:60">
      <c r="A292" s="4"/>
      <c r="B292" s="3"/>
      <c r="C292" s="3"/>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5"/>
      <c r="AT292" s="4"/>
      <c r="AU292" s="4"/>
      <c r="AV292" s="4"/>
      <c r="AW292" s="4"/>
      <c r="AX292" s="4"/>
      <c r="AY292" s="4"/>
      <c r="AZ292" s="4"/>
      <c r="BA292" s="4"/>
      <c r="BB292" s="4"/>
      <c r="BC292" s="4"/>
      <c r="BD292" s="4"/>
      <c r="BE292" s="4"/>
      <c r="BF292" s="4"/>
      <c r="BG292" s="4"/>
      <c r="BH292" s="4"/>
    </row>
    <row r="293" spans="1:60">
      <c r="A293" s="4"/>
      <c r="B293" s="3"/>
      <c r="C293" s="3"/>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5"/>
      <c r="AT293" s="4"/>
      <c r="AU293" s="4"/>
      <c r="AV293" s="4"/>
      <c r="AW293" s="4"/>
      <c r="AX293" s="4"/>
      <c r="AY293" s="4"/>
      <c r="AZ293" s="4"/>
      <c r="BA293" s="4"/>
      <c r="BB293" s="4"/>
      <c r="BC293" s="4"/>
      <c r="BD293" s="4"/>
      <c r="BE293" s="4"/>
      <c r="BF293" s="4"/>
      <c r="BG293" s="4"/>
      <c r="BH293" s="4"/>
    </row>
    <row r="294" spans="1:60">
      <c r="A294" s="4"/>
      <c r="B294" s="3"/>
      <c r="C294" s="3"/>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5"/>
      <c r="AT294" s="4"/>
      <c r="AU294" s="4"/>
      <c r="AV294" s="4"/>
      <c r="AW294" s="4"/>
      <c r="AX294" s="4"/>
      <c r="AY294" s="4"/>
      <c r="AZ294" s="4"/>
      <c r="BA294" s="4"/>
      <c r="BB294" s="4"/>
      <c r="BC294" s="4"/>
      <c r="BD294" s="4"/>
      <c r="BE294" s="4"/>
      <c r="BF294" s="4"/>
      <c r="BG294" s="4"/>
      <c r="BH294" s="4"/>
    </row>
    <row r="295" spans="1:60">
      <c r="A295" s="4"/>
      <c r="B295" s="3"/>
      <c r="C295" s="3"/>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5"/>
      <c r="AT295" s="4"/>
      <c r="AU295" s="4"/>
      <c r="AV295" s="4"/>
      <c r="AW295" s="4"/>
      <c r="AX295" s="4"/>
      <c r="AY295" s="4"/>
      <c r="AZ295" s="4"/>
      <c r="BA295" s="4"/>
      <c r="BB295" s="4"/>
      <c r="BC295" s="4"/>
      <c r="BD295" s="4"/>
      <c r="BE295" s="4"/>
      <c r="BF295" s="4"/>
      <c r="BG295" s="4"/>
      <c r="BH295" s="4"/>
    </row>
    <row r="296" spans="1:60">
      <c r="A296" s="4"/>
      <c r="B296" s="3"/>
      <c r="C296" s="3"/>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5"/>
      <c r="AT296" s="4"/>
      <c r="AU296" s="4"/>
      <c r="AV296" s="4"/>
      <c r="AW296" s="4"/>
      <c r="AX296" s="4"/>
      <c r="AY296" s="4"/>
      <c r="AZ296" s="4"/>
      <c r="BA296" s="4"/>
      <c r="BB296" s="4"/>
      <c r="BC296" s="4"/>
      <c r="BD296" s="4"/>
      <c r="BE296" s="4"/>
      <c r="BF296" s="4"/>
      <c r="BG296" s="4"/>
      <c r="BH296" s="4"/>
    </row>
    <row r="297" spans="1:60">
      <c r="A297" s="4"/>
      <c r="B297" s="3"/>
      <c r="C297" s="3"/>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5"/>
      <c r="AT297" s="4"/>
      <c r="AU297" s="4"/>
      <c r="AV297" s="4"/>
      <c r="AW297" s="4"/>
      <c r="AX297" s="4"/>
      <c r="AY297" s="4"/>
      <c r="AZ297" s="4"/>
      <c r="BA297" s="4"/>
      <c r="BB297" s="4"/>
      <c r="BC297" s="4"/>
      <c r="BD297" s="4"/>
      <c r="BE297" s="4"/>
      <c r="BF297" s="4"/>
      <c r="BG297" s="4"/>
      <c r="BH297" s="4"/>
    </row>
    <row r="298" spans="1:60">
      <c r="A298" s="4"/>
      <c r="B298" s="3"/>
      <c r="C298" s="3"/>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5"/>
      <c r="AT298" s="4"/>
      <c r="AU298" s="4"/>
      <c r="AV298" s="4"/>
      <c r="AW298" s="4"/>
      <c r="AX298" s="4"/>
      <c r="AY298" s="4"/>
      <c r="AZ298" s="4"/>
      <c r="BA298" s="4"/>
      <c r="BB298" s="4"/>
      <c r="BC298" s="4"/>
      <c r="BD298" s="4"/>
      <c r="BE298" s="4"/>
      <c r="BF298" s="4"/>
      <c r="BG298" s="4"/>
      <c r="BH298" s="4"/>
    </row>
    <row r="299" spans="1:60">
      <c r="A299" s="4"/>
      <c r="B299" s="3"/>
      <c r="C299" s="3"/>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5"/>
      <c r="AT299" s="4"/>
      <c r="AU299" s="4"/>
      <c r="AV299" s="4"/>
      <c r="AW299" s="4"/>
      <c r="AX299" s="4"/>
      <c r="AY299" s="4"/>
      <c r="AZ299" s="4"/>
      <c r="BA299" s="4"/>
      <c r="BB299" s="4"/>
      <c r="BC299" s="4"/>
      <c r="BD299" s="4"/>
      <c r="BE299" s="4"/>
      <c r="BF299" s="4"/>
      <c r="BG299" s="4"/>
      <c r="BH299" s="4"/>
    </row>
    <row r="300" spans="1:60">
      <c r="A300" s="4"/>
      <c r="B300" s="3"/>
      <c r="C300" s="3"/>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5"/>
      <c r="AT300" s="4"/>
      <c r="AU300" s="4"/>
      <c r="AV300" s="4"/>
      <c r="AW300" s="4"/>
      <c r="AX300" s="4"/>
      <c r="AY300" s="4"/>
      <c r="AZ300" s="4"/>
      <c r="BA300" s="4"/>
      <c r="BB300" s="4"/>
      <c r="BC300" s="4"/>
      <c r="BD300" s="4"/>
      <c r="BE300" s="4"/>
      <c r="BF300" s="4"/>
      <c r="BG300" s="4"/>
      <c r="BH300" s="4"/>
    </row>
    <row r="301" spans="1:60">
      <c r="A301" s="4"/>
      <c r="B301" s="3"/>
      <c r="C301" s="3"/>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5"/>
      <c r="AT301" s="4"/>
      <c r="AU301" s="4"/>
      <c r="AV301" s="4"/>
      <c r="AW301" s="4"/>
      <c r="AX301" s="4"/>
      <c r="AY301" s="4"/>
      <c r="AZ301" s="4"/>
      <c r="BA301" s="4"/>
      <c r="BB301" s="4"/>
      <c r="BC301" s="4"/>
      <c r="BD301" s="4"/>
      <c r="BE301" s="4"/>
      <c r="BF301" s="4"/>
      <c r="BG301" s="4"/>
      <c r="BH301" s="4"/>
    </row>
    <row r="302" spans="1:60">
      <c r="A302" s="4"/>
      <c r="B302" s="3"/>
      <c r="C302" s="3"/>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5"/>
      <c r="AT302" s="4"/>
      <c r="AU302" s="4"/>
      <c r="AV302" s="4"/>
      <c r="AW302" s="4"/>
      <c r="AX302" s="4"/>
      <c r="AY302" s="4"/>
      <c r="AZ302" s="4"/>
      <c r="BA302" s="4"/>
      <c r="BB302" s="4"/>
      <c r="BC302" s="4"/>
      <c r="BD302" s="4"/>
      <c r="BE302" s="4"/>
      <c r="BF302" s="4"/>
      <c r="BG302" s="4"/>
      <c r="BH302" s="4"/>
    </row>
    <row r="303" spans="1:60">
      <c r="A303" s="4"/>
      <c r="B303" s="3"/>
      <c r="C303" s="3"/>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5"/>
      <c r="AT303" s="4"/>
      <c r="AU303" s="4"/>
      <c r="AV303" s="4"/>
      <c r="AW303" s="4"/>
      <c r="AX303" s="4"/>
      <c r="AY303" s="4"/>
      <c r="AZ303" s="4"/>
      <c r="BA303" s="4"/>
      <c r="BB303" s="4"/>
      <c r="BC303" s="4"/>
      <c r="BD303" s="4"/>
      <c r="BE303" s="4"/>
      <c r="BF303" s="4"/>
      <c r="BG303" s="4"/>
      <c r="BH303" s="4"/>
    </row>
    <row r="304" spans="1:60">
      <c r="A304" s="4"/>
      <c r="B304" s="3"/>
      <c r="C304" s="3"/>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5"/>
      <c r="AT304" s="4"/>
      <c r="AU304" s="4"/>
      <c r="AV304" s="4"/>
      <c r="AW304" s="4"/>
      <c r="AX304" s="4"/>
      <c r="AY304" s="4"/>
      <c r="AZ304" s="4"/>
      <c r="BA304" s="4"/>
      <c r="BB304" s="4"/>
      <c r="BC304" s="4"/>
      <c r="BD304" s="4"/>
      <c r="BE304" s="4"/>
      <c r="BF304" s="4"/>
      <c r="BG304" s="4"/>
      <c r="BH304" s="4"/>
    </row>
    <row r="305" spans="1:60">
      <c r="A305" s="4"/>
      <c r="B305" s="3"/>
      <c r="C305" s="3"/>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5"/>
      <c r="AT305" s="4"/>
      <c r="AU305" s="4"/>
      <c r="AV305" s="4"/>
      <c r="AW305" s="4"/>
      <c r="AX305" s="4"/>
      <c r="AY305" s="4"/>
      <c r="AZ305" s="4"/>
      <c r="BA305" s="4"/>
      <c r="BB305" s="4"/>
      <c r="BC305" s="4"/>
      <c r="BD305" s="4"/>
      <c r="BE305" s="4"/>
      <c r="BF305" s="4"/>
      <c r="BG305" s="4"/>
      <c r="BH305" s="4"/>
    </row>
    <row r="306" spans="1:60">
      <c r="A306" s="4"/>
      <c r="B306" s="3"/>
      <c r="C306" s="3"/>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5"/>
      <c r="AT306" s="4"/>
      <c r="AU306" s="4"/>
      <c r="AV306" s="4"/>
      <c r="AW306" s="4"/>
      <c r="AX306" s="4"/>
      <c r="AY306" s="4"/>
      <c r="AZ306" s="4"/>
      <c r="BA306" s="4"/>
      <c r="BB306" s="4"/>
      <c r="BC306" s="4"/>
      <c r="BD306" s="4"/>
      <c r="BE306" s="4"/>
      <c r="BF306" s="4"/>
      <c r="BG306" s="4"/>
      <c r="BH306" s="4"/>
    </row>
    <row r="307" spans="1:60">
      <c r="A307" s="4"/>
      <c r="B307" s="3"/>
      <c r="C307" s="3"/>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5"/>
      <c r="AT307" s="4"/>
      <c r="AU307" s="4"/>
      <c r="AV307" s="4"/>
      <c r="AW307" s="4"/>
      <c r="AX307" s="4"/>
      <c r="AY307" s="4"/>
      <c r="AZ307" s="4"/>
      <c r="BA307" s="4"/>
      <c r="BB307" s="4"/>
      <c r="BC307" s="4"/>
      <c r="BD307" s="4"/>
      <c r="BE307" s="4"/>
      <c r="BF307" s="4"/>
      <c r="BG307" s="4"/>
      <c r="BH307" s="4"/>
    </row>
    <row r="308" spans="1:60">
      <c r="A308" s="4"/>
      <c r="B308" s="3"/>
      <c r="C308" s="3"/>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5"/>
      <c r="AT308" s="4"/>
      <c r="AU308" s="4"/>
      <c r="AV308" s="4"/>
      <c r="AW308" s="4"/>
      <c r="AX308" s="4"/>
      <c r="AY308" s="4"/>
      <c r="AZ308" s="4"/>
      <c r="BA308" s="4"/>
      <c r="BB308" s="4"/>
      <c r="BC308" s="4"/>
      <c r="BD308" s="4"/>
      <c r="BE308" s="4"/>
      <c r="BF308" s="4"/>
      <c r="BG308" s="4"/>
      <c r="BH308" s="4"/>
    </row>
    <row r="309" spans="1:60">
      <c r="A309" s="4"/>
      <c r="B309" s="3"/>
      <c r="C309" s="3"/>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5"/>
      <c r="AT309" s="4"/>
      <c r="AU309" s="4"/>
      <c r="AV309" s="4"/>
      <c r="AW309" s="4"/>
      <c r="AX309" s="4"/>
      <c r="AY309" s="4"/>
      <c r="AZ309" s="4"/>
      <c r="BA309" s="4"/>
      <c r="BB309" s="4"/>
      <c r="BC309" s="4"/>
      <c r="BD309" s="4"/>
      <c r="BE309" s="4"/>
      <c r="BF309" s="4"/>
      <c r="BG309" s="4"/>
      <c r="BH309" s="4"/>
    </row>
    <row r="310" spans="1:60">
      <c r="A310" s="4"/>
      <c r="B310" s="3"/>
      <c r="C310" s="3"/>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5"/>
      <c r="AT310" s="4"/>
      <c r="AU310" s="4"/>
      <c r="AV310" s="4"/>
      <c r="AW310" s="4"/>
      <c r="AX310" s="4"/>
      <c r="AY310" s="4"/>
      <c r="AZ310" s="4"/>
      <c r="BA310" s="4"/>
      <c r="BB310" s="4"/>
      <c r="BC310" s="4"/>
      <c r="BD310" s="4"/>
      <c r="BE310" s="4"/>
      <c r="BF310" s="4"/>
      <c r="BG310" s="4"/>
      <c r="BH310" s="4"/>
    </row>
    <row r="311" spans="1:60">
      <c r="A311" s="4"/>
      <c r="B311" s="3"/>
      <c r="C311" s="3"/>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5"/>
      <c r="AT311" s="4"/>
      <c r="AU311" s="4"/>
      <c r="AV311" s="4"/>
      <c r="AW311" s="4"/>
      <c r="AX311" s="4"/>
      <c r="AY311" s="4"/>
      <c r="AZ311" s="4"/>
      <c r="BA311" s="4"/>
      <c r="BB311" s="4"/>
      <c r="BC311" s="4"/>
      <c r="BD311" s="4"/>
      <c r="BE311" s="4"/>
      <c r="BF311" s="4"/>
      <c r="BG311" s="4"/>
      <c r="BH311" s="4"/>
    </row>
    <row r="312" spans="1:60">
      <c r="A312" s="4"/>
      <c r="B312" s="3"/>
      <c r="C312" s="3"/>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5"/>
      <c r="AT312" s="4"/>
      <c r="AU312" s="4"/>
      <c r="AV312" s="4"/>
      <c r="AW312" s="4"/>
      <c r="AX312" s="4"/>
      <c r="AY312" s="4"/>
      <c r="AZ312" s="4"/>
      <c r="BA312" s="4"/>
      <c r="BB312" s="4"/>
      <c r="BC312" s="4"/>
      <c r="BD312" s="4"/>
      <c r="BE312" s="4"/>
      <c r="BF312" s="4"/>
      <c r="BG312" s="4"/>
      <c r="BH312" s="4"/>
    </row>
    <row r="313" spans="1:60">
      <c r="A313" s="4"/>
      <c r="B313" s="3"/>
      <c r="C313" s="3"/>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5"/>
      <c r="AT313" s="4"/>
      <c r="AU313" s="4"/>
      <c r="AV313" s="4"/>
      <c r="AW313" s="4"/>
      <c r="AX313" s="4"/>
      <c r="AY313" s="4"/>
      <c r="AZ313" s="4"/>
      <c r="BA313" s="4"/>
      <c r="BB313" s="4"/>
      <c r="BC313" s="4"/>
      <c r="BD313" s="4"/>
      <c r="BE313" s="4"/>
      <c r="BF313" s="4"/>
      <c r="BG313" s="4"/>
      <c r="BH313" s="4"/>
    </row>
    <row r="314" spans="1:60">
      <c r="A314" s="4"/>
      <c r="B314" s="3"/>
      <c r="C314" s="3"/>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5"/>
      <c r="AT314" s="4"/>
      <c r="AU314" s="4"/>
      <c r="AV314" s="4"/>
      <c r="AW314" s="4"/>
      <c r="AX314" s="4"/>
      <c r="AY314" s="4"/>
      <c r="AZ314" s="4"/>
      <c r="BA314" s="4"/>
      <c r="BB314" s="4"/>
      <c r="BC314" s="4"/>
      <c r="BD314" s="4"/>
      <c r="BE314" s="4"/>
      <c r="BF314" s="4"/>
      <c r="BG314" s="4"/>
      <c r="BH314" s="4"/>
    </row>
    <row r="315" spans="1:60">
      <c r="A315" s="4"/>
      <c r="B315" s="3"/>
      <c r="C315" s="3"/>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5"/>
      <c r="AT315" s="4"/>
      <c r="AU315" s="4"/>
      <c r="AV315" s="4"/>
      <c r="AW315" s="4"/>
      <c r="AX315" s="4"/>
      <c r="AY315" s="4"/>
      <c r="AZ315" s="4"/>
      <c r="BA315" s="4"/>
      <c r="BB315" s="4"/>
      <c r="BC315" s="4"/>
      <c r="BD315" s="4"/>
      <c r="BE315" s="4"/>
      <c r="BF315" s="4"/>
      <c r="BG315" s="4"/>
      <c r="BH315" s="4"/>
    </row>
    <row r="316" spans="1:60">
      <c r="A316" s="4"/>
      <c r="B316" s="3"/>
      <c r="C316" s="3"/>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5"/>
      <c r="AT316" s="4"/>
      <c r="AU316" s="4"/>
      <c r="AV316" s="4"/>
      <c r="AW316" s="4"/>
      <c r="AX316" s="4"/>
      <c r="AY316" s="4"/>
      <c r="AZ316" s="4"/>
      <c r="BA316" s="4"/>
      <c r="BB316" s="4"/>
      <c r="BC316" s="4"/>
      <c r="BD316" s="4"/>
      <c r="BE316" s="4"/>
      <c r="BF316" s="4"/>
      <c r="BG316" s="4"/>
      <c r="BH316" s="4"/>
    </row>
    <row r="317" spans="1:60">
      <c r="A317" s="4"/>
      <c r="B317" s="3"/>
      <c r="C317" s="3"/>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5"/>
      <c r="AT317" s="4"/>
      <c r="AU317" s="4"/>
      <c r="AV317" s="4"/>
      <c r="AW317" s="4"/>
      <c r="AX317" s="4"/>
      <c r="AY317" s="4"/>
      <c r="AZ317" s="4"/>
      <c r="BA317" s="4"/>
      <c r="BB317" s="4"/>
      <c r="BC317" s="4"/>
      <c r="BD317" s="4"/>
      <c r="BE317" s="4"/>
      <c r="BF317" s="4"/>
      <c r="BG317" s="4"/>
      <c r="BH317" s="4"/>
    </row>
    <row r="318" spans="1:60">
      <c r="A318" s="4"/>
      <c r="B318" s="3"/>
      <c r="C318" s="3"/>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5"/>
      <c r="AT318" s="4"/>
      <c r="AU318" s="4"/>
      <c r="AV318" s="4"/>
      <c r="AW318" s="4"/>
      <c r="AX318" s="4"/>
      <c r="AY318" s="4"/>
      <c r="AZ318" s="4"/>
      <c r="BA318" s="4"/>
      <c r="BB318" s="4"/>
      <c r="BC318" s="4"/>
      <c r="BD318" s="4"/>
      <c r="BE318" s="4"/>
      <c r="BF318" s="4"/>
      <c r="BG318" s="4"/>
      <c r="BH318" s="4"/>
    </row>
    <row r="319" spans="1:60">
      <c r="A319" s="4"/>
      <c r="B319" s="3"/>
      <c r="C319" s="3"/>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5"/>
      <c r="AT319" s="4"/>
      <c r="AU319" s="4"/>
      <c r="AV319" s="4"/>
      <c r="AW319" s="4"/>
      <c r="AX319" s="4"/>
      <c r="AY319" s="4"/>
      <c r="AZ319" s="4"/>
      <c r="BA319" s="4"/>
      <c r="BB319" s="4"/>
      <c r="BC319" s="4"/>
      <c r="BD319" s="4"/>
      <c r="BE319" s="4"/>
      <c r="BF319" s="4"/>
      <c r="BG319" s="4"/>
      <c r="BH319" s="4"/>
    </row>
    <row r="320" spans="1:60">
      <c r="A320" s="4"/>
      <c r="B320" s="3"/>
      <c r="C320" s="3"/>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5"/>
      <c r="AT320" s="4"/>
      <c r="AU320" s="4"/>
      <c r="AV320" s="4"/>
      <c r="AW320" s="4"/>
      <c r="AX320" s="4"/>
      <c r="AY320" s="4"/>
      <c r="AZ320" s="4"/>
      <c r="BA320" s="4"/>
      <c r="BB320" s="4"/>
      <c r="BC320" s="4"/>
      <c r="BD320" s="4"/>
      <c r="BE320" s="4"/>
      <c r="BF320" s="4"/>
      <c r="BG320" s="4"/>
      <c r="BH320" s="4"/>
    </row>
    <row r="321" spans="1:60">
      <c r="A321" s="4"/>
      <c r="B321" s="3"/>
      <c r="C321" s="3"/>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5"/>
      <c r="AT321" s="4"/>
      <c r="AU321" s="4"/>
      <c r="AV321" s="4"/>
      <c r="AW321" s="4"/>
      <c r="AX321" s="4"/>
      <c r="AY321" s="4"/>
      <c r="AZ321" s="4"/>
      <c r="BA321" s="4"/>
      <c r="BB321" s="4"/>
      <c r="BC321" s="4"/>
      <c r="BD321" s="4"/>
      <c r="BE321" s="4"/>
      <c r="BF321" s="4"/>
      <c r="BG321" s="4"/>
      <c r="BH321" s="4"/>
    </row>
    <row r="322" spans="1:60">
      <c r="A322" s="4"/>
      <c r="B322" s="3"/>
      <c r="C322" s="3"/>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5"/>
      <c r="AT322" s="4"/>
      <c r="AU322" s="4"/>
      <c r="AV322" s="4"/>
      <c r="AW322" s="4"/>
      <c r="AX322" s="4"/>
      <c r="AY322" s="4"/>
      <c r="AZ322" s="4"/>
      <c r="BA322" s="4"/>
      <c r="BB322" s="4"/>
      <c r="BC322" s="4"/>
      <c r="BD322" s="4"/>
      <c r="BE322" s="4"/>
      <c r="BF322" s="4"/>
      <c r="BG322" s="4"/>
      <c r="BH322" s="4"/>
    </row>
    <row r="323" spans="1:60">
      <c r="A323" s="4"/>
      <c r="B323" s="3"/>
      <c r="C323" s="3"/>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5"/>
      <c r="AT323" s="4"/>
      <c r="AU323" s="4"/>
      <c r="AV323" s="4"/>
      <c r="AW323" s="4"/>
      <c r="AX323" s="4"/>
      <c r="AY323" s="4"/>
      <c r="AZ323" s="4"/>
      <c r="BA323" s="4"/>
      <c r="BB323" s="4"/>
      <c r="BC323" s="4"/>
      <c r="BD323" s="4"/>
      <c r="BE323" s="4"/>
      <c r="BF323" s="4"/>
      <c r="BG323" s="4"/>
      <c r="BH323" s="4"/>
    </row>
    <row r="324" spans="1:60">
      <c r="A324" s="4"/>
      <c r="B324" s="3"/>
      <c r="C324" s="3"/>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5"/>
      <c r="AT324" s="4"/>
      <c r="AU324" s="4"/>
      <c r="AV324" s="4"/>
      <c r="AW324" s="4"/>
      <c r="AX324" s="4"/>
      <c r="AY324" s="4"/>
      <c r="AZ324" s="4"/>
      <c r="BA324" s="4"/>
      <c r="BB324" s="4"/>
      <c r="BC324" s="4"/>
      <c r="BD324" s="4"/>
      <c r="BE324" s="4"/>
      <c r="BF324" s="4"/>
      <c r="BG324" s="4"/>
      <c r="BH324" s="4"/>
    </row>
    <row r="325" spans="1:60">
      <c r="A325" s="4"/>
      <c r="B325" s="3"/>
      <c r="C325" s="3"/>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5"/>
      <c r="AT325" s="4"/>
      <c r="AU325" s="4"/>
      <c r="AV325" s="4"/>
      <c r="AW325" s="4"/>
      <c r="AX325" s="4"/>
      <c r="AY325" s="4"/>
      <c r="AZ325" s="4"/>
      <c r="BA325" s="4"/>
      <c r="BB325" s="4"/>
      <c r="BC325" s="4"/>
      <c r="BD325" s="4"/>
      <c r="BE325" s="4"/>
      <c r="BF325" s="4"/>
      <c r="BG325" s="4"/>
      <c r="BH325" s="4"/>
    </row>
    <row r="326" spans="1:60">
      <c r="A326" s="4"/>
      <c r="B326" s="3"/>
      <c r="C326" s="3"/>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5"/>
      <c r="AT326" s="4"/>
      <c r="AU326" s="4"/>
      <c r="AV326" s="4"/>
      <c r="AW326" s="4"/>
      <c r="AX326" s="4"/>
      <c r="AY326" s="4"/>
      <c r="AZ326" s="4"/>
      <c r="BA326" s="4"/>
      <c r="BB326" s="4"/>
      <c r="BC326" s="4"/>
      <c r="BD326" s="4"/>
      <c r="BE326" s="4"/>
      <c r="BF326" s="4"/>
      <c r="BG326" s="4"/>
      <c r="BH326" s="4"/>
    </row>
    <row r="327" spans="1:60">
      <c r="A327" s="4"/>
      <c r="B327" s="3"/>
      <c r="C327" s="3"/>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5"/>
      <c r="AT327" s="4"/>
      <c r="AU327" s="4"/>
      <c r="AV327" s="4"/>
      <c r="AW327" s="4"/>
      <c r="AX327" s="4"/>
      <c r="AY327" s="4"/>
      <c r="AZ327" s="4"/>
      <c r="BA327" s="4"/>
      <c r="BB327" s="4"/>
      <c r="BC327" s="4"/>
      <c r="BD327" s="4"/>
      <c r="BE327" s="4"/>
      <c r="BF327" s="4"/>
      <c r="BG327" s="4"/>
      <c r="BH327" s="4"/>
    </row>
    <row r="328" spans="1:60">
      <c r="A328" s="4"/>
      <c r="B328" s="3"/>
      <c r="C328" s="3"/>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5"/>
      <c r="AT328" s="4"/>
      <c r="AU328" s="4"/>
      <c r="AV328" s="4"/>
      <c r="AW328" s="4"/>
      <c r="AX328" s="4"/>
      <c r="AY328" s="4"/>
      <c r="AZ328" s="4"/>
      <c r="BA328" s="4"/>
      <c r="BB328" s="4"/>
      <c r="BC328" s="4"/>
      <c r="BD328" s="4"/>
      <c r="BE328" s="4"/>
      <c r="BF328" s="4"/>
      <c r="BG328" s="4"/>
      <c r="BH328" s="4"/>
    </row>
    <row r="329" spans="1:60">
      <c r="A329" s="4"/>
      <c r="B329" s="3"/>
      <c r="C329" s="3"/>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5"/>
      <c r="AT329" s="4"/>
      <c r="AU329" s="4"/>
      <c r="AV329" s="4"/>
      <c r="AW329" s="4"/>
      <c r="AX329" s="4"/>
      <c r="AY329" s="4"/>
      <c r="AZ329" s="4"/>
      <c r="BA329" s="4"/>
      <c r="BB329" s="4"/>
      <c r="BC329" s="4"/>
      <c r="BD329" s="4"/>
      <c r="BE329" s="4"/>
      <c r="BF329" s="4"/>
      <c r="BG329" s="4"/>
      <c r="BH329" s="4"/>
    </row>
    <row r="330" spans="1:60">
      <c r="A330" s="4"/>
      <c r="B330" s="3"/>
      <c r="C330" s="3"/>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5"/>
      <c r="AT330" s="4"/>
      <c r="AU330" s="4"/>
      <c r="AV330" s="4"/>
      <c r="AW330" s="4"/>
      <c r="AX330" s="4"/>
      <c r="AY330" s="4"/>
      <c r="AZ330" s="4"/>
      <c r="BA330" s="4"/>
      <c r="BB330" s="4"/>
      <c r="BC330" s="4"/>
      <c r="BD330" s="4"/>
      <c r="BE330" s="4"/>
      <c r="BF330" s="4"/>
      <c r="BG330" s="4"/>
      <c r="BH330" s="4"/>
    </row>
    <row r="331" spans="1:60">
      <c r="A331" s="4"/>
      <c r="B331" s="3"/>
      <c r="C331" s="3"/>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5"/>
      <c r="AT331" s="4"/>
      <c r="AU331" s="4"/>
      <c r="AV331" s="4"/>
      <c r="AW331" s="4"/>
      <c r="AX331" s="4"/>
      <c r="AY331" s="4"/>
      <c r="AZ331" s="4"/>
      <c r="BA331" s="4"/>
      <c r="BB331" s="4"/>
      <c r="BC331" s="4"/>
      <c r="BD331" s="4"/>
      <c r="BE331" s="4"/>
      <c r="BF331" s="4"/>
      <c r="BG331" s="4"/>
      <c r="BH331" s="4"/>
    </row>
    <row r="332" spans="1:60">
      <c r="A332" s="4"/>
      <c r="B332" s="3"/>
      <c r="C332" s="3"/>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5"/>
      <c r="AT332" s="4"/>
      <c r="AU332" s="4"/>
      <c r="AV332" s="4"/>
      <c r="AW332" s="4"/>
      <c r="AX332" s="4"/>
      <c r="AY332" s="4"/>
      <c r="AZ332" s="4"/>
      <c r="BA332" s="4"/>
      <c r="BB332" s="4"/>
      <c r="BC332" s="4"/>
      <c r="BD332" s="4"/>
      <c r="BE332" s="4"/>
      <c r="BF332" s="4"/>
      <c r="BG332" s="4"/>
      <c r="BH332" s="4"/>
    </row>
    <row r="333" spans="1:60">
      <c r="A333" s="4"/>
      <c r="B333" s="3"/>
      <c r="C333" s="3"/>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5"/>
      <c r="AT333" s="4"/>
      <c r="AU333" s="4"/>
      <c r="AV333" s="4"/>
      <c r="AW333" s="4"/>
      <c r="AX333" s="4"/>
      <c r="AY333" s="4"/>
      <c r="AZ333" s="4"/>
      <c r="BA333" s="4"/>
      <c r="BB333" s="4"/>
      <c r="BC333" s="4"/>
      <c r="BD333" s="4"/>
      <c r="BE333" s="4"/>
      <c r="BF333" s="4"/>
      <c r="BG333" s="4"/>
      <c r="BH333" s="4"/>
    </row>
    <row r="334" spans="1:60">
      <c r="A334" s="4"/>
      <c r="B334" s="3"/>
      <c r="C334" s="3"/>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5"/>
      <c r="AT334" s="4"/>
      <c r="AU334" s="4"/>
      <c r="AV334" s="4"/>
      <c r="AW334" s="4"/>
      <c r="AX334" s="4"/>
      <c r="AY334" s="4"/>
      <c r="AZ334" s="4"/>
      <c r="BA334" s="4"/>
      <c r="BB334" s="4"/>
      <c r="BC334" s="4"/>
      <c r="BD334" s="4"/>
      <c r="BE334" s="4"/>
      <c r="BF334" s="4"/>
      <c r="BG334" s="4"/>
      <c r="BH334" s="4"/>
    </row>
    <row r="335" spans="1:60">
      <c r="A335" s="4"/>
      <c r="B335" s="3"/>
      <c r="C335" s="3"/>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5"/>
      <c r="AT335" s="4"/>
      <c r="AU335" s="4"/>
      <c r="AV335" s="4"/>
      <c r="AW335" s="4"/>
      <c r="AX335" s="4"/>
      <c r="AY335" s="4"/>
      <c r="AZ335" s="4"/>
      <c r="BA335" s="4"/>
      <c r="BB335" s="4"/>
      <c r="BC335" s="4"/>
      <c r="BD335" s="4"/>
      <c r="BE335" s="4"/>
      <c r="BF335" s="4"/>
      <c r="BG335" s="4"/>
      <c r="BH335" s="4"/>
    </row>
    <row r="336" spans="1:60">
      <c r="A336" s="4"/>
      <c r="B336" s="3"/>
      <c r="C336" s="3"/>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5"/>
      <c r="AT336" s="4"/>
      <c r="AU336" s="4"/>
      <c r="AV336" s="4"/>
      <c r="AW336" s="4"/>
      <c r="AX336" s="4"/>
      <c r="AY336" s="4"/>
      <c r="AZ336" s="4"/>
      <c r="BA336" s="4"/>
      <c r="BB336" s="4"/>
      <c r="BC336" s="4"/>
      <c r="BD336" s="4"/>
      <c r="BE336" s="4"/>
      <c r="BF336" s="4"/>
      <c r="BG336" s="4"/>
      <c r="BH336" s="4"/>
    </row>
    <row r="337" spans="1:60">
      <c r="A337" s="4"/>
      <c r="B337" s="3"/>
      <c r="C337" s="3"/>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5"/>
      <c r="AT337" s="4"/>
      <c r="AU337" s="4"/>
      <c r="AV337" s="4"/>
      <c r="AW337" s="4"/>
      <c r="AX337" s="4"/>
      <c r="AY337" s="4"/>
      <c r="AZ337" s="4"/>
      <c r="BA337" s="4"/>
      <c r="BB337" s="4"/>
      <c r="BC337" s="4"/>
      <c r="BD337" s="4"/>
      <c r="BE337" s="4"/>
      <c r="BF337" s="4"/>
      <c r="BG337" s="4"/>
      <c r="BH337" s="4"/>
    </row>
    <row r="338" spans="1:60">
      <c r="A338" s="4"/>
      <c r="B338" s="3"/>
      <c r="C338" s="3"/>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5"/>
      <c r="AT338" s="4"/>
      <c r="AU338" s="4"/>
      <c r="AV338" s="4"/>
      <c r="AW338" s="4"/>
      <c r="AX338" s="4"/>
      <c r="AY338" s="4"/>
      <c r="AZ338" s="4"/>
      <c r="BA338" s="4"/>
      <c r="BB338" s="4"/>
      <c r="BC338" s="4"/>
      <c r="BD338" s="4"/>
      <c r="BE338" s="4"/>
      <c r="BF338" s="4"/>
      <c r="BG338" s="4"/>
      <c r="BH338" s="4"/>
    </row>
    <row r="339" spans="1:60">
      <c r="A339" s="4"/>
      <c r="B339" s="3"/>
      <c r="C339" s="3"/>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5"/>
      <c r="AT339" s="4"/>
      <c r="AU339" s="4"/>
      <c r="AV339" s="4"/>
      <c r="AW339" s="4"/>
      <c r="AX339" s="4"/>
      <c r="AY339" s="4"/>
      <c r="AZ339" s="4"/>
      <c r="BA339" s="4"/>
      <c r="BB339" s="4"/>
      <c r="BC339" s="4"/>
      <c r="BD339" s="4"/>
      <c r="BE339" s="4"/>
      <c r="BF339" s="4"/>
      <c r="BG339" s="4"/>
      <c r="BH339" s="4"/>
    </row>
    <row r="340" spans="1:60">
      <c r="A340" s="4"/>
      <c r="B340" s="3"/>
      <c r="C340" s="3"/>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5"/>
      <c r="AT340" s="4"/>
      <c r="AU340" s="4"/>
      <c r="AV340" s="4"/>
      <c r="AW340" s="4"/>
      <c r="AX340" s="4"/>
      <c r="AY340" s="4"/>
      <c r="AZ340" s="4"/>
      <c r="BA340" s="4"/>
      <c r="BB340" s="4"/>
      <c r="BC340" s="4"/>
      <c r="BD340" s="4"/>
      <c r="BE340" s="4"/>
      <c r="BF340" s="4"/>
      <c r="BG340" s="4"/>
      <c r="BH340" s="4"/>
    </row>
    <row r="341" spans="1:60">
      <c r="A341" s="4"/>
      <c r="B341" s="3"/>
      <c r="C341" s="3"/>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5"/>
      <c r="AT341" s="4"/>
      <c r="AU341" s="4"/>
      <c r="AV341" s="4"/>
      <c r="AW341" s="4"/>
      <c r="AX341" s="4"/>
      <c r="AY341" s="4"/>
      <c r="AZ341" s="4"/>
      <c r="BA341" s="4"/>
      <c r="BB341" s="4"/>
      <c r="BC341" s="4"/>
      <c r="BD341" s="4"/>
      <c r="BE341" s="4"/>
      <c r="BF341" s="4"/>
      <c r="BG341" s="4"/>
      <c r="BH341" s="4"/>
    </row>
    <row r="342" spans="1:60">
      <c r="A342" s="4"/>
      <c r="B342" s="3"/>
      <c r="C342" s="3"/>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5"/>
      <c r="AT342" s="4"/>
      <c r="AU342" s="4"/>
      <c r="AV342" s="4"/>
      <c r="AW342" s="4"/>
      <c r="AX342" s="4"/>
      <c r="AY342" s="4"/>
      <c r="AZ342" s="4"/>
      <c r="BA342" s="4"/>
      <c r="BB342" s="4"/>
      <c r="BC342" s="4"/>
      <c r="BD342" s="4"/>
      <c r="BE342" s="4"/>
      <c r="BF342" s="4"/>
      <c r="BG342" s="4"/>
      <c r="BH342" s="4"/>
    </row>
    <row r="343" spans="1:60">
      <c r="A343" s="4"/>
      <c r="B343" s="3"/>
      <c r="C343" s="3"/>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5"/>
      <c r="AT343" s="4"/>
      <c r="AU343" s="4"/>
      <c r="AV343" s="4"/>
      <c r="AW343" s="4"/>
      <c r="AX343" s="4"/>
      <c r="AY343" s="4"/>
      <c r="AZ343" s="4"/>
      <c r="BA343" s="4"/>
      <c r="BB343" s="4"/>
      <c r="BC343" s="4"/>
      <c r="BD343" s="4"/>
      <c r="BE343" s="4"/>
      <c r="BF343" s="4"/>
      <c r="BG343" s="4"/>
      <c r="BH343" s="4"/>
    </row>
    <row r="344" spans="1:60">
      <c r="A344" s="4"/>
      <c r="B344" s="3"/>
      <c r="C344" s="3"/>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5"/>
      <c r="AT344" s="4"/>
      <c r="AU344" s="4"/>
      <c r="AV344" s="4"/>
      <c r="AW344" s="4"/>
      <c r="AX344" s="4"/>
      <c r="AY344" s="4"/>
      <c r="AZ344" s="4"/>
      <c r="BA344" s="4"/>
      <c r="BB344" s="4"/>
      <c r="BC344" s="4"/>
      <c r="BD344" s="4"/>
      <c r="BE344" s="4"/>
      <c r="BF344" s="4"/>
      <c r="BG344" s="4"/>
      <c r="BH344" s="4"/>
    </row>
    <row r="345" spans="1:60">
      <c r="A345" s="4"/>
      <c r="B345" s="3"/>
      <c r="C345" s="3"/>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5"/>
      <c r="AT345" s="4"/>
      <c r="AU345" s="4"/>
      <c r="AV345" s="4"/>
      <c r="AW345" s="4"/>
      <c r="AX345" s="4"/>
      <c r="AY345" s="4"/>
      <c r="AZ345" s="4"/>
      <c r="BA345" s="4"/>
      <c r="BB345" s="4"/>
      <c r="BC345" s="4"/>
      <c r="BD345" s="4"/>
      <c r="BE345" s="4"/>
      <c r="BF345" s="4"/>
      <c r="BG345" s="4"/>
      <c r="BH345" s="4"/>
    </row>
    <row r="346" spans="1:60">
      <c r="A346" s="4"/>
      <c r="B346" s="3"/>
      <c r="C346" s="3"/>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5"/>
      <c r="AT346" s="4"/>
      <c r="AU346" s="4"/>
      <c r="AV346" s="4"/>
      <c r="AW346" s="4"/>
      <c r="AX346" s="4"/>
      <c r="AY346" s="4"/>
      <c r="AZ346" s="4"/>
      <c r="BA346" s="4"/>
      <c r="BB346" s="4"/>
      <c r="BC346" s="4"/>
      <c r="BD346" s="4"/>
      <c r="BE346" s="4"/>
      <c r="BF346" s="4"/>
      <c r="BG346" s="4"/>
      <c r="BH346" s="4"/>
    </row>
    <row r="347" spans="1:60">
      <c r="A347" s="4"/>
      <c r="B347" s="3"/>
      <c r="C347" s="3"/>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5"/>
      <c r="AT347" s="4"/>
      <c r="AU347" s="4"/>
      <c r="AV347" s="4"/>
      <c r="AW347" s="4"/>
      <c r="AX347" s="4"/>
      <c r="AY347" s="4"/>
      <c r="AZ347" s="4"/>
      <c r="BA347" s="4"/>
      <c r="BB347" s="4"/>
      <c r="BC347" s="4"/>
      <c r="BD347" s="4"/>
      <c r="BE347" s="4"/>
      <c r="BF347" s="4"/>
      <c r="BG347" s="4"/>
      <c r="BH347" s="4"/>
    </row>
    <row r="348" spans="1:60">
      <c r="A348" s="4"/>
      <c r="B348" s="3"/>
      <c r="C348" s="3"/>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5"/>
      <c r="AT348" s="4"/>
      <c r="AU348" s="4"/>
      <c r="AV348" s="4"/>
      <c r="AW348" s="4"/>
      <c r="AX348" s="4"/>
      <c r="AY348" s="4"/>
      <c r="AZ348" s="4"/>
      <c r="BA348" s="4"/>
      <c r="BB348" s="4"/>
      <c r="BC348" s="4"/>
      <c r="BD348" s="4"/>
      <c r="BE348" s="4"/>
      <c r="BF348" s="4"/>
      <c r="BG348" s="4"/>
      <c r="BH348" s="4"/>
    </row>
    <row r="349" spans="1:60">
      <c r="A349" s="4"/>
      <c r="B349" s="3"/>
      <c r="C349" s="3"/>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5"/>
      <c r="AT349" s="4"/>
      <c r="AU349" s="4"/>
      <c r="AV349" s="4"/>
      <c r="AW349" s="4"/>
      <c r="AX349" s="4"/>
      <c r="AY349" s="4"/>
      <c r="AZ349" s="4"/>
      <c r="BA349" s="4"/>
      <c r="BB349" s="4"/>
      <c r="BC349" s="4"/>
      <c r="BD349" s="4"/>
      <c r="BE349" s="4"/>
      <c r="BF349" s="4"/>
      <c r="BG349" s="4"/>
      <c r="BH349" s="4"/>
    </row>
    <row r="350" spans="1:60">
      <c r="A350" s="4"/>
      <c r="B350" s="3"/>
      <c r="C350" s="3"/>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5"/>
      <c r="AT350" s="4"/>
      <c r="AU350" s="4"/>
      <c r="AV350" s="4"/>
      <c r="AW350" s="4"/>
      <c r="AX350" s="4"/>
      <c r="AY350" s="4"/>
      <c r="AZ350" s="4"/>
      <c r="BA350" s="4"/>
      <c r="BB350" s="4"/>
      <c r="BC350" s="4"/>
      <c r="BD350" s="4"/>
      <c r="BE350" s="4"/>
      <c r="BF350" s="4"/>
      <c r="BG350" s="4"/>
      <c r="BH350" s="4"/>
    </row>
    <row r="351" spans="1:60">
      <c r="A351" s="4"/>
      <c r="B351" s="3"/>
      <c r="C351" s="3"/>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5"/>
      <c r="AT351" s="4"/>
      <c r="AU351" s="4"/>
      <c r="AV351" s="4"/>
      <c r="AW351" s="4"/>
      <c r="AX351" s="4"/>
      <c r="AY351" s="4"/>
      <c r="AZ351" s="4"/>
      <c r="BA351" s="4"/>
      <c r="BB351" s="4"/>
      <c r="BC351" s="4"/>
      <c r="BD351" s="4"/>
      <c r="BE351" s="4"/>
      <c r="BF351" s="4"/>
      <c r="BG351" s="4"/>
      <c r="BH351" s="4"/>
    </row>
    <row r="352" spans="1:60">
      <c r="A352" s="4"/>
      <c r="B352" s="3"/>
      <c r="C352" s="3"/>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5"/>
      <c r="AT352" s="4"/>
      <c r="AU352" s="4"/>
      <c r="AV352" s="4"/>
      <c r="AW352" s="4"/>
      <c r="AX352" s="4"/>
      <c r="AY352" s="4"/>
      <c r="AZ352" s="4"/>
      <c r="BA352" s="4"/>
      <c r="BB352" s="4"/>
      <c r="BC352" s="4"/>
      <c r="BD352" s="4"/>
      <c r="BE352" s="4"/>
      <c r="BF352" s="4"/>
      <c r="BG352" s="4"/>
      <c r="BH352" s="4"/>
    </row>
    <row r="353" spans="1:60">
      <c r="A353" s="4"/>
      <c r="B353" s="3"/>
      <c r="C353" s="3"/>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5"/>
      <c r="AT353" s="4"/>
      <c r="AU353" s="4"/>
      <c r="AV353" s="4"/>
      <c r="AW353" s="4"/>
      <c r="AX353" s="4"/>
      <c r="AY353" s="4"/>
      <c r="AZ353" s="4"/>
      <c r="BA353" s="4"/>
      <c r="BB353" s="4"/>
      <c r="BC353" s="4"/>
      <c r="BD353" s="4"/>
      <c r="BE353" s="4"/>
      <c r="BF353" s="4"/>
      <c r="BG353" s="4"/>
      <c r="BH353" s="4"/>
    </row>
    <row r="354" spans="1:60">
      <c r="A354" s="4"/>
      <c r="B354" s="3"/>
      <c r="C354" s="3"/>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5"/>
      <c r="AT354" s="4"/>
      <c r="AU354" s="4"/>
      <c r="AV354" s="4"/>
      <c r="AW354" s="4"/>
      <c r="AX354" s="4"/>
      <c r="AY354" s="4"/>
      <c r="AZ354" s="4"/>
      <c r="BA354" s="4"/>
      <c r="BB354" s="4"/>
      <c r="BC354" s="4"/>
      <c r="BD354" s="4"/>
      <c r="BE354" s="4"/>
      <c r="BF354" s="4"/>
      <c r="BG354" s="4"/>
      <c r="BH354" s="4"/>
    </row>
    <row r="355" spans="1:60">
      <c r="A355" s="4"/>
      <c r="B355" s="3"/>
      <c r="C355" s="3"/>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5"/>
      <c r="AT355" s="4"/>
      <c r="AU355" s="4"/>
      <c r="AV355" s="4"/>
      <c r="AW355" s="4"/>
      <c r="AX355" s="4"/>
      <c r="AY355" s="4"/>
      <c r="AZ355" s="4"/>
      <c r="BA355" s="4"/>
      <c r="BB355" s="4"/>
      <c r="BC355" s="4"/>
      <c r="BD355" s="4"/>
      <c r="BE355" s="4"/>
      <c r="BF355" s="4"/>
      <c r="BG355" s="4"/>
      <c r="BH355" s="4"/>
    </row>
    <row r="356" spans="1:60">
      <c r="A356" s="4"/>
      <c r="B356" s="3"/>
      <c r="C356" s="3"/>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5"/>
      <c r="AT356" s="4"/>
      <c r="AU356" s="4"/>
      <c r="AV356" s="4"/>
      <c r="AW356" s="4"/>
      <c r="AX356" s="4"/>
      <c r="AY356" s="4"/>
      <c r="AZ356" s="4"/>
      <c r="BA356" s="4"/>
      <c r="BB356" s="4"/>
      <c r="BC356" s="4"/>
      <c r="BD356" s="4"/>
      <c r="BE356" s="4"/>
      <c r="BF356" s="4"/>
      <c r="BG356" s="4"/>
      <c r="BH356" s="4"/>
    </row>
    <row r="357" spans="1:60">
      <c r="A357" s="4"/>
      <c r="B357" s="3"/>
      <c r="C357" s="3"/>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5"/>
      <c r="AT357" s="4"/>
      <c r="AU357" s="4"/>
      <c r="AV357" s="4"/>
      <c r="AW357" s="4"/>
      <c r="AX357" s="4"/>
      <c r="AY357" s="4"/>
      <c r="AZ357" s="4"/>
      <c r="BA357" s="4"/>
      <c r="BB357" s="4"/>
      <c r="BC357" s="4"/>
      <c r="BD357" s="4"/>
      <c r="BE357" s="4"/>
      <c r="BF357" s="4"/>
      <c r="BG357" s="4"/>
      <c r="BH357" s="4"/>
    </row>
    <row r="358" spans="1:60">
      <c r="A358" s="4"/>
      <c r="B358" s="3"/>
      <c r="C358" s="3"/>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5"/>
      <c r="AT358" s="4"/>
      <c r="AU358" s="4"/>
      <c r="AV358" s="4"/>
      <c r="AW358" s="4"/>
      <c r="AX358" s="4"/>
      <c r="AY358" s="4"/>
      <c r="AZ358" s="4"/>
      <c r="BA358" s="4"/>
      <c r="BB358" s="4"/>
      <c r="BC358" s="4"/>
      <c r="BD358" s="4"/>
      <c r="BE358" s="4"/>
      <c r="BF358" s="4"/>
      <c r="BG358" s="4"/>
      <c r="BH358" s="4"/>
    </row>
    <row r="359" spans="1:60">
      <c r="A359" s="4"/>
      <c r="B359" s="3"/>
      <c r="C359" s="3"/>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5"/>
      <c r="AT359" s="4"/>
      <c r="AU359" s="4"/>
      <c r="AV359" s="4"/>
      <c r="AW359" s="4"/>
      <c r="AX359" s="4"/>
      <c r="AY359" s="4"/>
      <c r="AZ359" s="4"/>
      <c r="BA359" s="4"/>
      <c r="BB359" s="4"/>
      <c r="BC359" s="4"/>
      <c r="BD359" s="4"/>
      <c r="BE359" s="4"/>
      <c r="BF359" s="4"/>
      <c r="BG359" s="4"/>
      <c r="BH359" s="4"/>
    </row>
    <row r="360" spans="1:60">
      <c r="A360" s="4"/>
      <c r="B360" s="3"/>
      <c r="C360" s="3"/>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5"/>
      <c r="AT360" s="4"/>
      <c r="AU360" s="4"/>
      <c r="AV360" s="4"/>
      <c r="AW360" s="4"/>
      <c r="AX360" s="4"/>
      <c r="AY360" s="4"/>
      <c r="AZ360" s="4"/>
      <c r="BA360" s="4"/>
      <c r="BB360" s="4"/>
      <c r="BC360" s="4"/>
      <c r="BD360" s="4"/>
      <c r="BE360" s="4"/>
      <c r="BF360" s="4"/>
      <c r="BG360" s="4"/>
      <c r="BH360" s="4"/>
    </row>
    <row r="361" spans="1:60">
      <c r="A361" s="4"/>
      <c r="B361" s="3"/>
      <c r="C361" s="3"/>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5"/>
      <c r="AT361" s="4"/>
      <c r="AU361" s="4"/>
      <c r="AV361" s="4"/>
      <c r="AW361" s="4"/>
      <c r="AX361" s="4"/>
      <c r="AY361" s="4"/>
      <c r="AZ361" s="4"/>
      <c r="BA361" s="4"/>
      <c r="BB361" s="4"/>
      <c r="BC361" s="4"/>
      <c r="BD361" s="4"/>
      <c r="BE361" s="4"/>
      <c r="BF361" s="4"/>
      <c r="BG361" s="4"/>
      <c r="BH361" s="4"/>
    </row>
    <row r="362" spans="1:60">
      <c r="A362" s="4"/>
      <c r="B362" s="3"/>
      <c r="C362" s="3"/>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5"/>
      <c r="AT362" s="4"/>
      <c r="AU362" s="4"/>
      <c r="AV362" s="4"/>
      <c r="AW362" s="4"/>
      <c r="AX362" s="4"/>
      <c r="AY362" s="4"/>
      <c r="AZ362" s="4"/>
      <c r="BA362" s="4"/>
      <c r="BB362" s="4"/>
      <c r="BC362" s="4"/>
      <c r="BD362" s="4"/>
      <c r="BE362" s="4"/>
      <c r="BF362" s="4"/>
      <c r="BG362" s="4"/>
      <c r="BH362" s="4"/>
    </row>
    <row r="363" spans="1:60">
      <c r="A363" s="4"/>
      <c r="B363" s="3"/>
      <c r="C363" s="3"/>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5"/>
      <c r="AT363" s="4"/>
      <c r="AU363" s="4"/>
      <c r="AV363" s="4"/>
      <c r="AW363" s="4"/>
      <c r="AX363" s="4"/>
      <c r="AY363" s="4"/>
      <c r="AZ363" s="4"/>
      <c r="BA363" s="4"/>
      <c r="BB363" s="4"/>
      <c r="BC363" s="4"/>
      <c r="BD363" s="4"/>
      <c r="BE363" s="4"/>
      <c r="BF363" s="4"/>
      <c r="BG363" s="4"/>
      <c r="BH363" s="4"/>
    </row>
    <row r="364" spans="1:60">
      <c r="A364" s="4"/>
      <c r="B364" s="3"/>
      <c r="C364" s="3"/>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5"/>
      <c r="AT364" s="4"/>
      <c r="AU364" s="4"/>
      <c r="AV364" s="4"/>
      <c r="AW364" s="4"/>
      <c r="AX364" s="4"/>
      <c r="AY364" s="4"/>
      <c r="AZ364" s="4"/>
      <c r="BA364" s="4"/>
      <c r="BB364" s="4"/>
      <c r="BC364" s="4"/>
      <c r="BD364" s="4"/>
      <c r="BE364" s="4"/>
      <c r="BF364" s="4"/>
      <c r="BG364" s="4"/>
      <c r="BH364" s="4"/>
    </row>
    <row r="365" spans="1:60">
      <c r="A365" s="4"/>
      <c r="B365" s="3"/>
      <c r="C365" s="3"/>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5"/>
      <c r="AT365" s="4"/>
      <c r="AU365" s="4"/>
      <c r="AV365" s="4"/>
      <c r="AW365" s="4"/>
      <c r="AX365" s="4"/>
      <c r="AY365" s="4"/>
      <c r="AZ365" s="4"/>
      <c r="BA365" s="4"/>
      <c r="BB365" s="4"/>
      <c r="BC365" s="4"/>
      <c r="BD365" s="4"/>
      <c r="BE365" s="4"/>
      <c r="BF365" s="4"/>
      <c r="BG365" s="4"/>
      <c r="BH365" s="4"/>
    </row>
    <row r="366" spans="1:60">
      <c r="A366" s="4"/>
      <c r="B366" s="3"/>
      <c r="C366" s="3"/>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5"/>
      <c r="AT366" s="4"/>
      <c r="AU366" s="4"/>
      <c r="AV366" s="4"/>
      <c r="AW366" s="4"/>
      <c r="AX366" s="4"/>
      <c r="AY366" s="4"/>
      <c r="AZ366" s="4"/>
      <c r="BA366" s="4"/>
      <c r="BB366" s="4"/>
      <c r="BC366" s="4"/>
      <c r="BD366" s="4"/>
      <c r="BE366" s="4"/>
      <c r="BF366" s="4"/>
      <c r="BG366" s="4"/>
      <c r="BH366" s="4"/>
    </row>
    <row r="367" spans="1:60">
      <c r="A367" s="4"/>
      <c r="B367" s="3"/>
      <c r="C367" s="3"/>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5"/>
      <c r="AT367" s="4"/>
      <c r="AU367" s="4"/>
      <c r="AV367" s="4"/>
      <c r="AW367" s="4"/>
      <c r="AX367" s="4"/>
      <c r="AY367" s="4"/>
      <c r="AZ367" s="4"/>
      <c r="BA367" s="4"/>
      <c r="BB367" s="4"/>
      <c r="BC367" s="4"/>
      <c r="BD367" s="4"/>
      <c r="BE367" s="4"/>
      <c r="BF367" s="4"/>
      <c r="BG367" s="4"/>
      <c r="BH367" s="4"/>
    </row>
    <row r="368" spans="1:60">
      <c r="A368" s="4"/>
      <c r="B368" s="3"/>
      <c r="C368" s="3"/>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5"/>
      <c r="AT368" s="4"/>
      <c r="AU368" s="4"/>
      <c r="AV368" s="4"/>
      <c r="AW368" s="4"/>
      <c r="AX368" s="4"/>
      <c r="AY368" s="4"/>
      <c r="AZ368" s="4"/>
      <c r="BA368" s="4"/>
      <c r="BB368" s="4"/>
      <c r="BC368" s="4"/>
      <c r="BD368" s="4"/>
      <c r="BE368" s="4"/>
      <c r="BF368" s="4"/>
      <c r="BG368" s="4"/>
      <c r="BH368" s="4"/>
    </row>
    <row r="369" spans="1:60">
      <c r="A369" s="4"/>
      <c r="B369" s="3"/>
      <c r="C369" s="3"/>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5"/>
      <c r="AT369" s="4"/>
      <c r="AU369" s="4"/>
      <c r="AV369" s="4"/>
      <c r="AW369" s="4"/>
      <c r="AX369" s="4"/>
      <c r="AY369" s="4"/>
      <c r="AZ369" s="4"/>
      <c r="BA369" s="4"/>
      <c r="BB369" s="4"/>
      <c r="BC369" s="4"/>
      <c r="BD369" s="4"/>
      <c r="BE369" s="4"/>
      <c r="BF369" s="4"/>
      <c r="BG369" s="4"/>
      <c r="BH369" s="4"/>
    </row>
    <row r="370" spans="1:60">
      <c r="A370" s="4"/>
      <c r="B370" s="3"/>
      <c r="C370" s="3"/>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5"/>
      <c r="AT370" s="4"/>
      <c r="AU370" s="4"/>
      <c r="AV370" s="4"/>
      <c r="AW370" s="4"/>
      <c r="AX370" s="4"/>
      <c r="AY370" s="4"/>
      <c r="AZ370" s="4"/>
      <c r="BA370" s="4"/>
      <c r="BB370" s="4"/>
      <c r="BC370" s="4"/>
      <c r="BD370" s="4"/>
      <c r="BE370" s="4"/>
      <c r="BF370" s="4"/>
      <c r="BG370" s="4"/>
      <c r="BH370" s="4"/>
    </row>
    <row r="371" spans="1:60">
      <c r="A371" s="4"/>
      <c r="B371" s="3"/>
      <c r="C371" s="3"/>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5"/>
      <c r="AT371" s="4"/>
      <c r="AU371" s="4"/>
      <c r="AV371" s="4"/>
      <c r="AW371" s="4"/>
      <c r="AX371" s="4"/>
      <c r="AY371" s="4"/>
      <c r="AZ371" s="4"/>
      <c r="BA371" s="4"/>
      <c r="BB371" s="4"/>
      <c r="BC371" s="4"/>
      <c r="BD371" s="4"/>
      <c r="BE371" s="4"/>
      <c r="BF371" s="4"/>
      <c r="BG371" s="4"/>
      <c r="BH371" s="4"/>
    </row>
    <row r="372" spans="1:60">
      <c r="A372" s="4"/>
      <c r="B372" s="3"/>
      <c r="C372" s="3"/>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5"/>
      <c r="AT372" s="4"/>
      <c r="AU372" s="4"/>
      <c r="AV372" s="4"/>
      <c r="AW372" s="4"/>
      <c r="AX372" s="4"/>
      <c r="AY372" s="4"/>
      <c r="AZ372" s="4"/>
      <c r="BA372" s="4"/>
      <c r="BB372" s="4"/>
      <c r="BC372" s="4"/>
      <c r="BD372" s="4"/>
      <c r="BE372" s="4"/>
      <c r="BF372" s="4"/>
      <c r="BG372" s="4"/>
      <c r="BH372" s="4"/>
    </row>
    <row r="373" spans="1:60">
      <c r="A373" s="4"/>
      <c r="B373" s="3"/>
      <c r="C373" s="3"/>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5"/>
      <c r="AT373" s="4"/>
      <c r="AU373" s="4"/>
      <c r="AV373" s="4"/>
      <c r="AW373" s="4"/>
      <c r="AX373" s="4"/>
      <c r="AY373" s="4"/>
      <c r="AZ373" s="4"/>
      <c r="BA373" s="4"/>
      <c r="BB373" s="4"/>
      <c r="BC373" s="4"/>
      <c r="BD373" s="4"/>
      <c r="BE373" s="4"/>
      <c r="BF373" s="4"/>
      <c r="BG373" s="4"/>
      <c r="BH373" s="4"/>
    </row>
    <row r="374" spans="1:60">
      <c r="A374" s="4"/>
      <c r="B374" s="3"/>
      <c r="C374" s="3"/>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5"/>
      <c r="AT374" s="4"/>
      <c r="AU374" s="4"/>
      <c r="AV374" s="4"/>
      <c r="AW374" s="4"/>
      <c r="AX374" s="4"/>
      <c r="AY374" s="4"/>
      <c r="AZ374" s="4"/>
      <c r="BA374" s="4"/>
      <c r="BB374" s="4"/>
      <c r="BC374" s="4"/>
      <c r="BD374" s="4"/>
      <c r="BE374" s="4"/>
      <c r="BF374" s="4"/>
      <c r="BG374" s="4"/>
      <c r="BH374" s="4"/>
    </row>
    <row r="375" spans="1:60">
      <c r="A375" s="4"/>
      <c r="B375" s="3"/>
      <c r="C375" s="3"/>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5"/>
      <c r="AT375" s="4"/>
      <c r="AU375" s="4"/>
      <c r="AV375" s="4"/>
      <c r="AW375" s="4"/>
      <c r="AX375" s="4"/>
      <c r="AY375" s="4"/>
      <c r="AZ375" s="4"/>
      <c r="BA375" s="4"/>
      <c r="BB375" s="4"/>
      <c r="BC375" s="4"/>
      <c r="BD375" s="4"/>
      <c r="BE375" s="4"/>
      <c r="BF375" s="4"/>
      <c r="BG375" s="4"/>
      <c r="BH375" s="4"/>
    </row>
    <row r="376" spans="1:60">
      <c r="A376" s="4"/>
      <c r="B376" s="3"/>
      <c r="C376" s="3"/>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5"/>
      <c r="AT376" s="4"/>
      <c r="AU376" s="4"/>
      <c r="AV376" s="4"/>
      <c r="AW376" s="4"/>
      <c r="AX376" s="4"/>
      <c r="AY376" s="4"/>
      <c r="AZ376" s="4"/>
      <c r="BA376" s="4"/>
      <c r="BB376" s="4"/>
      <c r="BC376" s="4"/>
      <c r="BD376" s="4"/>
      <c r="BE376" s="4"/>
      <c r="BF376" s="4"/>
      <c r="BG376" s="4"/>
      <c r="BH376" s="4"/>
    </row>
    <row r="377" spans="1:60">
      <c r="A377" s="4"/>
      <c r="B377" s="3"/>
      <c r="C377" s="3"/>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5"/>
      <c r="AT377" s="4"/>
      <c r="AU377" s="4"/>
      <c r="AV377" s="4"/>
      <c r="AW377" s="4"/>
      <c r="AX377" s="4"/>
      <c r="AY377" s="4"/>
      <c r="AZ377" s="4"/>
      <c r="BA377" s="4"/>
      <c r="BB377" s="4"/>
      <c r="BC377" s="4"/>
      <c r="BD377" s="4"/>
      <c r="BE377" s="4"/>
      <c r="BF377" s="4"/>
      <c r="BG377" s="4"/>
      <c r="BH377" s="4"/>
    </row>
    <row r="378" spans="1:60">
      <c r="A378" s="4"/>
      <c r="B378" s="3"/>
      <c r="C378" s="3"/>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5"/>
      <c r="AT378" s="4"/>
      <c r="AU378" s="4"/>
      <c r="AV378" s="4"/>
      <c r="AW378" s="4"/>
      <c r="AX378" s="4"/>
      <c r="AY378" s="4"/>
      <c r="AZ378" s="4"/>
      <c r="BA378" s="4"/>
      <c r="BB378" s="4"/>
      <c r="BC378" s="4"/>
      <c r="BD378" s="4"/>
      <c r="BE378" s="4"/>
      <c r="BF378" s="4"/>
      <c r="BG378" s="4"/>
      <c r="BH378" s="4"/>
    </row>
    <row r="379" spans="1:60">
      <c r="A379" s="4"/>
      <c r="B379" s="3"/>
      <c r="C379" s="3"/>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5"/>
      <c r="AT379" s="4"/>
      <c r="AU379" s="4"/>
      <c r="AV379" s="4"/>
      <c r="AW379" s="4"/>
      <c r="AX379" s="4"/>
      <c r="AY379" s="4"/>
      <c r="AZ379" s="4"/>
      <c r="BA379" s="4"/>
      <c r="BB379" s="4"/>
      <c r="BC379" s="4"/>
      <c r="BD379" s="4"/>
      <c r="BE379" s="4"/>
      <c r="BF379" s="4"/>
      <c r="BG379" s="4"/>
      <c r="BH379" s="4"/>
    </row>
    <row r="380" spans="1:60">
      <c r="A380" s="4"/>
      <c r="B380" s="3"/>
      <c r="C380" s="3"/>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5"/>
      <c r="AT380" s="4"/>
      <c r="AU380" s="4"/>
      <c r="AV380" s="4"/>
      <c r="AW380" s="4"/>
      <c r="AX380" s="4"/>
      <c r="AY380" s="4"/>
      <c r="AZ380" s="4"/>
      <c r="BA380" s="4"/>
      <c r="BB380" s="4"/>
      <c r="BC380" s="4"/>
      <c r="BD380" s="4"/>
      <c r="BE380" s="4"/>
      <c r="BF380" s="4"/>
      <c r="BG380" s="4"/>
      <c r="BH380" s="4"/>
    </row>
    <row r="381" spans="1:60">
      <c r="A381" s="4"/>
      <c r="B381" s="3"/>
      <c r="C381" s="3"/>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5"/>
      <c r="AT381" s="4"/>
      <c r="AU381" s="4"/>
      <c r="AV381" s="4"/>
      <c r="AW381" s="4"/>
      <c r="AX381" s="4"/>
      <c r="AY381" s="4"/>
      <c r="AZ381" s="4"/>
      <c r="BA381" s="4"/>
      <c r="BB381" s="4"/>
      <c r="BC381" s="4"/>
      <c r="BD381" s="4"/>
      <c r="BE381" s="4"/>
      <c r="BF381" s="4"/>
      <c r="BG381" s="4"/>
      <c r="BH381" s="4"/>
    </row>
    <row r="382" spans="1:60">
      <c r="A382" s="4"/>
      <c r="B382" s="3"/>
      <c r="C382" s="3"/>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5"/>
      <c r="AT382" s="4"/>
      <c r="AU382" s="4"/>
      <c r="AV382" s="4"/>
      <c r="AW382" s="4"/>
      <c r="AX382" s="4"/>
      <c r="AY382" s="4"/>
      <c r="AZ382" s="4"/>
      <c r="BA382" s="4"/>
      <c r="BB382" s="4"/>
      <c r="BC382" s="4"/>
      <c r="BD382" s="4"/>
      <c r="BE382" s="4"/>
      <c r="BF382" s="4"/>
      <c r="BG382" s="4"/>
      <c r="BH382" s="4"/>
    </row>
    <row r="383" spans="1:60">
      <c r="A383" s="4"/>
      <c r="B383" s="3"/>
      <c r="C383" s="3"/>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5"/>
      <c r="AT383" s="4"/>
      <c r="AU383" s="4"/>
      <c r="AV383" s="4"/>
      <c r="AW383" s="4"/>
      <c r="AX383" s="4"/>
      <c r="AY383" s="4"/>
      <c r="AZ383" s="4"/>
      <c r="BA383" s="4"/>
      <c r="BB383" s="4"/>
      <c r="BC383" s="4"/>
      <c r="BD383" s="4"/>
      <c r="BE383" s="4"/>
      <c r="BF383" s="4"/>
      <c r="BG383" s="4"/>
      <c r="BH383" s="4"/>
    </row>
    <row r="384" spans="1:60">
      <c r="A384" s="4"/>
      <c r="B384" s="3"/>
      <c r="C384" s="3"/>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5"/>
      <c r="AT384" s="4"/>
      <c r="AU384" s="4"/>
      <c r="AV384" s="4"/>
      <c r="AW384" s="4"/>
      <c r="AX384" s="4"/>
      <c r="AY384" s="4"/>
      <c r="AZ384" s="4"/>
      <c r="BA384" s="4"/>
      <c r="BB384" s="4"/>
      <c r="BC384" s="4"/>
      <c r="BD384" s="4"/>
      <c r="BE384" s="4"/>
      <c r="BF384" s="4"/>
      <c r="BG384" s="4"/>
      <c r="BH384" s="4"/>
    </row>
    <row r="385" spans="1:60">
      <c r="A385" s="4"/>
      <c r="B385" s="3"/>
      <c r="C385" s="3"/>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5"/>
      <c r="AT385" s="4"/>
      <c r="AU385" s="4"/>
      <c r="AV385" s="4"/>
      <c r="AW385" s="4"/>
      <c r="AX385" s="4"/>
      <c r="AY385" s="4"/>
      <c r="AZ385" s="4"/>
      <c r="BA385" s="4"/>
      <c r="BB385" s="4"/>
      <c r="BC385" s="4"/>
      <c r="BD385" s="4"/>
      <c r="BE385" s="4"/>
      <c r="BF385" s="4"/>
      <c r="BG385" s="4"/>
      <c r="BH385" s="4"/>
    </row>
    <row r="386" spans="1:60">
      <c r="A386" s="4"/>
      <c r="B386" s="3"/>
      <c r="C386" s="3"/>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5"/>
      <c r="AT386" s="4"/>
      <c r="AU386" s="4"/>
      <c r="AV386" s="4"/>
      <c r="AW386" s="4"/>
      <c r="AX386" s="4"/>
      <c r="AY386" s="4"/>
      <c r="AZ386" s="4"/>
      <c r="BA386" s="4"/>
      <c r="BB386" s="4"/>
      <c r="BC386" s="4"/>
      <c r="BD386" s="4"/>
      <c r="BE386" s="4"/>
      <c r="BF386" s="4"/>
      <c r="BG386" s="4"/>
      <c r="BH386" s="4"/>
    </row>
    <row r="387" spans="1:60">
      <c r="A387" s="4"/>
      <c r="B387" s="3"/>
      <c r="C387" s="3"/>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5"/>
      <c r="AT387" s="4"/>
      <c r="AU387" s="4"/>
      <c r="AV387" s="4"/>
      <c r="AW387" s="4"/>
      <c r="AX387" s="4"/>
      <c r="AY387" s="4"/>
      <c r="AZ387" s="4"/>
      <c r="BA387" s="4"/>
      <c r="BB387" s="4"/>
      <c r="BC387" s="4"/>
      <c r="BD387" s="4"/>
      <c r="BE387" s="4"/>
      <c r="BF387" s="4"/>
      <c r="BG387" s="4"/>
      <c r="BH387" s="4"/>
    </row>
    <row r="388" spans="1:60">
      <c r="A388" s="4"/>
      <c r="B388" s="3"/>
      <c r="C388" s="3"/>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5"/>
      <c r="AT388" s="4"/>
      <c r="AU388" s="4"/>
      <c r="AV388" s="4"/>
      <c r="AW388" s="4"/>
      <c r="AX388" s="4"/>
      <c r="AY388" s="4"/>
      <c r="AZ388" s="4"/>
      <c r="BA388" s="4"/>
      <c r="BB388" s="4"/>
      <c r="BC388" s="4"/>
      <c r="BD388" s="4"/>
      <c r="BE388" s="4"/>
      <c r="BF388" s="4"/>
      <c r="BG388" s="4"/>
      <c r="BH388" s="4"/>
    </row>
    <row r="389" spans="1:60">
      <c r="A389" s="4"/>
      <c r="B389" s="3"/>
      <c r="C389" s="3"/>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5"/>
      <c r="AT389" s="4"/>
      <c r="AU389" s="4"/>
      <c r="AV389" s="4"/>
      <c r="AW389" s="4"/>
      <c r="AX389" s="4"/>
      <c r="AY389" s="4"/>
      <c r="AZ389" s="4"/>
      <c r="BA389" s="4"/>
      <c r="BB389" s="4"/>
      <c r="BC389" s="4"/>
      <c r="BD389" s="4"/>
      <c r="BE389" s="4"/>
      <c r="BF389" s="4"/>
      <c r="BG389" s="4"/>
      <c r="BH389" s="4"/>
    </row>
    <row r="390" spans="1:60">
      <c r="A390" s="4"/>
      <c r="B390" s="3"/>
      <c r="C390" s="3"/>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5"/>
      <c r="AT390" s="4"/>
      <c r="AU390" s="4"/>
      <c r="AV390" s="4"/>
      <c r="AW390" s="4"/>
      <c r="AX390" s="4"/>
      <c r="AY390" s="4"/>
      <c r="AZ390" s="4"/>
      <c r="BA390" s="4"/>
      <c r="BB390" s="4"/>
      <c r="BC390" s="4"/>
      <c r="BD390" s="4"/>
      <c r="BE390" s="4"/>
      <c r="BF390" s="4"/>
      <c r="BG390" s="4"/>
      <c r="BH390" s="4"/>
    </row>
    <row r="391" spans="1:60">
      <c r="A391" s="4"/>
      <c r="B391" s="3"/>
      <c r="C391" s="3"/>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5"/>
      <c r="AT391" s="4"/>
      <c r="AU391" s="4"/>
      <c r="AV391" s="4"/>
      <c r="AW391" s="4"/>
      <c r="AX391" s="4"/>
      <c r="AY391" s="4"/>
      <c r="AZ391" s="4"/>
      <c r="BA391" s="4"/>
      <c r="BB391" s="4"/>
      <c r="BC391" s="4"/>
      <c r="BD391" s="4"/>
      <c r="BE391" s="4"/>
      <c r="BF391" s="4"/>
      <c r="BG391" s="4"/>
      <c r="BH391" s="4"/>
    </row>
    <row r="392" spans="1:60">
      <c r="A392" s="4"/>
      <c r="B392" s="3"/>
      <c r="C392" s="3"/>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5"/>
      <c r="AT392" s="4"/>
      <c r="AU392" s="4"/>
      <c r="AV392" s="4"/>
      <c r="AW392" s="4"/>
      <c r="AX392" s="4"/>
      <c r="AY392" s="4"/>
      <c r="AZ392" s="4"/>
      <c r="BA392" s="4"/>
      <c r="BB392" s="4"/>
      <c r="BC392" s="4"/>
      <c r="BD392" s="4"/>
      <c r="BE392" s="4"/>
      <c r="BF392" s="4"/>
      <c r="BG392" s="4"/>
      <c r="BH392" s="4"/>
    </row>
    <row r="393" spans="1:60">
      <c r="A393" s="4"/>
      <c r="B393" s="3"/>
      <c r="C393" s="3"/>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5"/>
      <c r="AT393" s="4"/>
      <c r="AU393" s="4"/>
      <c r="AV393" s="4"/>
      <c r="AW393" s="4"/>
      <c r="AX393" s="4"/>
      <c r="AY393" s="4"/>
      <c r="AZ393" s="4"/>
      <c r="BA393" s="4"/>
      <c r="BB393" s="4"/>
      <c r="BC393" s="4"/>
      <c r="BD393" s="4"/>
      <c r="BE393" s="4"/>
      <c r="BF393" s="4"/>
      <c r="BG393" s="4"/>
      <c r="BH393" s="4"/>
    </row>
    <row r="394" spans="1:60">
      <c r="A394" s="4"/>
      <c r="B394" s="3"/>
      <c r="C394" s="3"/>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5"/>
      <c r="AT394" s="4"/>
      <c r="AU394" s="4"/>
      <c r="AV394" s="4"/>
      <c r="AW394" s="4"/>
      <c r="AX394" s="4"/>
      <c r="AY394" s="4"/>
      <c r="AZ394" s="4"/>
      <c r="BA394" s="4"/>
      <c r="BB394" s="4"/>
      <c r="BC394" s="4"/>
      <c r="BD394" s="4"/>
      <c r="BE394" s="4"/>
      <c r="BF394" s="4"/>
      <c r="BG394" s="4"/>
      <c r="BH394" s="4"/>
    </row>
    <row r="395" spans="1:60">
      <c r="A395" s="4"/>
      <c r="B395" s="3"/>
      <c r="C395" s="3"/>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5"/>
      <c r="AT395" s="4"/>
      <c r="AU395" s="4"/>
      <c r="AV395" s="4"/>
      <c r="AW395" s="4"/>
      <c r="AX395" s="4"/>
      <c r="AY395" s="4"/>
      <c r="AZ395" s="4"/>
      <c r="BA395" s="4"/>
      <c r="BB395" s="4"/>
      <c r="BC395" s="4"/>
      <c r="BD395" s="4"/>
      <c r="BE395" s="4"/>
      <c r="BF395" s="4"/>
      <c r="BG395" s="4"/>
      <c r="BH395" s="4"/>
    </row>
    <row r="396" spans="1:60">
      <c r="A396" s="4"/>
      <c r="B396" s="3"/>
      <c r="C396" s="3"/>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5"/>
      <c r="AT396" s="4"/>
      <c r="AU396" s="4"/>
      <c r="AV396" s="4"/>
      <c r="AW396" s="4"/>
      <c r="AX396" s="4"/>
      <c r="AY396" s="4"/>
      <c r="AZ396" s="4"/>
      <c r="BA396" s="4"/>
      <c r="BB396" s="4"/>
      <c r="BC396" s="4"/>
      <c r="BD396" s="4"/>
      <c r="BE396" s="4"/>
      <c r="BF396" s="4"/>
      <c r="BG396" s="4"/>
      <c r="BH396" s="4"/>
    </row>
    <row r="397" spans="1:60">
      <c r="A397" s="4"/>
      <c r="B397" s="3"/>
      <c r="C397" s="3"/>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5"/>
      <c r="AT397" s="4"/>
      <c r="AU397" s="4"/>
      <c r="AV397" s="4"/>
      <c r="AW397" s="4"/>
      <c r="AX397" s="4"/>
      <c r="AY397" s="4"/>
      <c r="AZ397" s="4"/>
      <c r="BA397" s="4"/>
      <c r="BB397" s="4"/>
      <c r="BC397" s="4"/>
      <c r="BD397" s="4"/>
      <c r="BE397" s="4"/>
      <c r="BF397" s="4"/>
      <c r="BG397" s="4"/>
      <c r="BH397" s="4"/>
    </row>
    <row r="398" spans="1:60">
      <c r="A398" s="4"/>
      <c r="B398" s="3"/>
      <c r="C398" s="3"/>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5"/>
      <c r="AT398" s="4"/>
      <c r="AU398" s="4"/>
      <c r="AV398" s="4"/>
      <c r="AW398" s="4"/>
      <c r="AX398" s="4"/>
      <c r="AY398" s="4"/>
      <c r="AZ398" s="4"/>
      <c r="BA398" s="4"/>
      <c r="BB398" s="4"/>
      <c r="BC398" s="4"/>
      <c r="BD398" s="4"/>
      <c r="BE398" s="4"/>
      <c r="BF398" s="4"/>
      <c r="BG398" s="4"/>
      <c r="BH398" s="4"/>
    </row>
    <row r="399" spans="1:60">
      <c r="A399" s="4"/>
      <c r="B399" s="3"/>
      <c r="C399" s="3"/>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5"/>
      <c r="AT399" s="4"/>
      <c r="AU399" s="4"/>
      <c r="AV399" s="4"/>
      <c r="AW399" s="4"/>
      <c r="AX399" s="4"/>
      <c r="AY399" s="4"/>
      <c r="AZ399" s="4"/>
      <c r="BA399" s="4"/>
      <c r="BB399" s="4"/>
      <c r="BC399" s="4"/>
      <c r="BD399" s="4"/>
      <c r="BE399" s="4"/>
      <c r="BF399" s="4"/>
      <c r="BG399" s="4"/>
      <c r="BH399" s="4"/>
    </row>
    <row r="400" spans="1:60">
      <c r="A400" s="4"/>
      <c r="B400" s="3"/>
      <c r="C400" s="3"/>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5"/>
      <c r="AT400" s="4"/>
      <c r="AU400" s="4"/>
      <c r="AV400" s="4"/>
      <c r="AW400" s="4"/>
      <c r="AX400" s="4"/>
      <c r="AY400" s="4"/>
      <c r="AZ400" s="4"/>
      <c r="BA400" s="4"/>
      <c r="BB400" s="4"/>
      <c r="BC400" s="4"/>
      <c r="BD400" s="4"/>
      <c r="BE400" s="4"/>
      <c r="BF400" s="4"/>
      <c r="BG400" s="4"/>
      <c r="BH400" s="4"/>
    </row>
    <row r="401" spans="1:60">
      <c r="A401" s="4"/>
      <c r="B401" s="3"/>
      <c r="C401" s="3"/>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5"/>
      <c r="AT401" s="4"/>
      <c r="AU401" s="4"/>
      <c r="AV401" s="4"/>
      <c r="AW401" s="4"/>
      <c r="AX401" s="4"/>
      <c r="AY401" s="4"/>
      <c r="AZ401" s="4"/>
      <c r="BA401" s="4"/>
      <c r="BB401" s="4"/>
      <c r="BC401" s="4"/>
      <c r="BD401" s="4"/>
      <c r="BE401" s="4"/>
      <c r="BF401" s="4"/>
      <c r="BG401" s="4"/>
      <c r="BH401" s="4"/>
    </row>
    <row r="402" spans="1:60">
      <c r="A402" s="4"/>
      <c r="B402" s="3"/>
      <c r="C402" s="3"/>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5"/>
      <c r="AT402" s="4"/>
      <c r="AU402" s="4"/>
      <c r="AV402" s="4"/>
      <c r="AW402" s="4"/>
      <c r="AX402" s="4"/>
      <c r="AY402" s="4"/>
      <c r="AZ402" s="4"/>
      <c r="BA402" s="4"/>
      <c r="BB402" s="4"/>
      <c r="BC402" s="4"/>
      <c r="BD402" s="4"/>
      <c r="BE402" s="4"/>
      <c r="BF402" s="4"/>
      <c r="BG402" s="4"/>
      <c r="BH402" s="4"/>
    </row>
    <row r="403" spans="1:60">
      <c r="A403" s="4"/>
      <c r="B403" s="3"/>
      <c r="C403" s="3"/>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5"/>
      <c r="AT403" s="4"/>
      <c r="AU403" s="4"/>
      <c r="AV403" s="4"/>
      <c r="AW403" s="4"/>
      <c r="AX403" s="4"/>
      <c r="AY403" s="4"/>
      <c r="AZ403" s="4"/>
      <c r="BA403" s="4"/>
      <c r="BB403" s="4"/>
      <c r="BC403" s="4"/>
      <c r="BD403" s="4"/>
      <c r="BE403" s="4"/>
      <c r="BF403" s="4"/>
      <c r="BG403" s="4"/>
      <c r="BH403" s="4"/>
    </row>
    <row r="404" spans="1:60">
      <c r="A404" s="4"/>
      <c r="B404" s="3"/>
      <c r="C404" s="3"/>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5"/>
      <c r="AT404" s="4"/>
      <c r="AU404" s="4"/>
      <c r="AV404" s="4"/>
      <c r="AW404" s="4"/>
      <c r="AX404" s="4"/>
      <c r="AY404" s="4"/>
      <c r="AZ404" s="4"/>
      <c r="BA404" s="4"/>
      <c r="BB404" s="4"/>
      <c r="BC404" s="4"/>
      <c r="BD404" s="4"/>
      <c r="BE404" s="4"/>
      <c r="BF404" s="4"/>
      <c r="BG404" s="4"/>
      <c r="BH404" s="4"/>
    </row>
    <row r="405" spans="1:60">
      <c r="A405" s="4"/>
      <c r="B405" s="3"/>
      <c r="C405" s="3"/>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5"/>
      <c r="AT405" s="4"/>
      <c r="AU405" s="4"/>
      <c r="AV405" s="4"/>
      <c r="AW405" s="4"/>
      <c r="AX405" s="4"/>
      <c r="AY405" s="4"/>
      <c r="AZ405" s="4"/>
      <c r="BA405" s="4"/>
      <c r="BB405" s="4"/>
      <c r="BC405" s="4"/>
      <c r="BD405" s="4"/>
      <c r="BE405" s="4"/>
      <c r="BF405" s="4"/>
      <c r="BG405" s="4"/>
      <c r="BH405" s="4"/>
    </row>
    <row r="406" spans="1:60">
      <c r="A406" s="4"/>
      <c r="B406" s="3"/>
      <c r="C406" s="3"/>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5"/>
      <c r="AT406" s="4"/>
      <c r="AU406" s="4"/>
      <c r="AV406" s="4"/>
      <c r="AW406" s="4"/>
      <c r="AX406" s="4"/>
      <c r="AY406" s="4"/>
      <c r="AZ406" s="4"/>
      <c r="BA406" s="4"/>
      <c r="BB406" s="4"/>
      <c r="BC406" s="4"/>
      <c r="BD406" s="4"/>
      <c r="BE406" s="4"/>
      <c r="BF406" s="4"/>
      <c r="BG406" s="4"/>
      <c r="BH406" s="4"/>
    </row>
    <row r="407" spans="1:60">
      <c r="A407" s="4"/>
      <c r="B407" s="3"/>
      <c r="C407" s="3"/>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5"/>
      <c r="AT407" s="4"/>
      <c r="AU407" s="4"/>
      <c r="AV407" s="4"/>
      <c r="AW407" s="4"/>
      <c r="AX407" s="4"/>
      <c r="AY407" s="4"/>
      <c r="AZ407" s="4"/>
      <c r="BA407" s="4"/>
      <c r="BB407" s="4"/>
      <c r="BC407" s="4"/>
      <c r="BD407" s="4"/>
      <c r="BE407" s="4"/>
      <c r="BF407" s="4"/>
      <c r="BG407" s="4"/>
      <c r="BH407" s="4"/>
    </row>
    <row r="408" spans="1:60">
      <c r="A408" s="4"/>
      <c r="B408" s="3"/>
      <c r="C408" s="3"/>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5"/>
      <c r="AT408" s="4"/>
      <c r="AU408" s="4"/>
      <c r="AV408" s="4"/>
      <c r="AW408" s="4"/>
      <c r="AX408" s="4"/>
      <c r="AY408" s="4"/>
      <c r="AZ408" s="4"/>
      <c r="BA408" s="4"/>
      <c r="BB408" s="4"/>
      <c r="BC408" s="4"/>
      <c r="BD408" s="4"/>
      <c r="BE408" s="4"/>
      <c r="BF408" s="4"/>
      <c r="BG408" s="4"/>
      <c r="BH408" s="4"/>
    </row>
    <row r="409" spans="1:60">
      <c r="A409" s="4"/>
      <c r="B409" s="3"/>
      <c r="C409" s="3"/>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5"/>
      <c r="AT409" s="4"/>
      <c r="AU409" s="4"/>
      <c r="AV409" s="4"/>
      <c r="AW409" s="4"/>
      <c r="AX409" s="4"/>
      <c r="AY409" s="4"/>
      <c r="AZ409" s="4"/>
      <c r="BA409" s="4"/>
      <c r="BB409" s="4"/>
      <c r="BC409" s="4"/>
      <c r="BD409" s="4"/>
      <c r="BE409" s="4"/>
      <c r="BF409" s="4"/>
      <c r="BG409" s="4"/>
      <c r="BH409" s="4"/>
    </row>
    <row r="410" spans="1:60">
      <c r="A410" s="4"/>
      <c r="B410" s="3"/>
      <c r="C410" s="3"/>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5"/>
      <c r="AT410" s="4"/>
      <c r="AU410" s="4"/>
      <c r="AV410" s="4"/>
      <c r="AW410" s="4"/>
      <c r="AX410" s="4"/>
      <c r="AY410" s="4"/>
      <c r="AZ410" s="4"/>
      <c r="BA410" s="4"/>
      <c r="BB410" s="4"/>
      <c r="BC410" s="4"/>
      <c r="BD410" s="4"/>
      <c r="BE410" s="4"/>
      <c r="BF410" s="4"/>
      <c r="BG410" s="4"/>
      <c r="BH410" s="4"/>
    </row>
    <row r="411" spans="1:60">
      <c r="A411" s="4"/>
      <c r="B411" s="3"/>
      <c r="C411" s="3"/>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5"/>
      <c r="AT411" s="4"/>
      <c r="AU411" s="4"/>
      <c r="AV411" s="4"/>
      <c r="AW411" s="4"/>
      <c r="AX411" s="4"/>
      <c r="AY411" s="4"/>
      <c r="AZ411" s="4"/>
      <c r="BA411" s="4"/>
      <c r="BB411" s="4"/>
      <c r="BC411" s="4"/>
      <c r="BD411" s="4"/>
      <c r="BE411" s="4"/>
      <c r="BF411" s="4"/>
      <c r="BG411" s="4"/>
      <c r="BH411" s="4"/>
    </row>
    <row r="412" spans="1:60">
      <c r="A412" s="4"/>
      <c r="B412" s="3"/>
      <c r="C412" s="3"/>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5"/>
      <c r="AT412" s="4"/>
      <c r="AU412" s="4"/>
      <c r="AV412" s="4"/>
      <c r="AW412" s="4"/>
      <c r="AX412" s="4"/>
      <c r="AY412" s="4"/>
      <c r="AZ412" s="4"/>
      <c r="BA412" s="4"/>
      <c r="BB412" s="4"/>
      <c r="BC412" s="4"/>
      <c r="BD412" s="4"/>
      <c r="BE412" s="4"/>
      <c r="BF412" s="4"/>
      <c r="BG412" s="4"/>
      <c r="BH412" s="4"/>
    </row>
    <row r="413" spans="1:60">
      <c r="A413" s="4"/>
      <c r="B413" s="3"/>
      <c r="C413" s="3"/>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5"/>
      <c r="AT413" s="4"/>
      <c r="AU413" s="4"/>
      <c r="AV413" s="4"/>
      <c r="AW413" s="4"/>
      <c r="AX413" s="4"/>
      <c r="AY413" s="4"/>
      <c r="AZ413" s="4"/>
      <c r="BA413" s="4"/>
      <c r="BB413" s="4"/>
      <c r="BC413" s="4"/>
      <c r="BD413" s="4"/>
      <c r="BE413" s="4"/>
      <c r="BF413" s="4"/>
      <c r="BG413" s="4"/>
      <c r="BH413" s="4"/>
    </row>
    <row r="414" spans="1:60">
      <c r="A414" s="4"/>
      <c r="B414" s="3"/>
      <c r="C414" s="3"/>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5"/>
      <c r="AT414" s="4"/>
      <c r="AU414" s="4"/>
      <c r="AV414" s="4"/>
      <c r="AW414" s="4"/>
      <c r="AX414" s="4"/>
      <c r="AY414" s="4"/>
      <c r="AZ414" s="4"/>
      <c r="BA414" s="4"/>
      <c r="BB414" s="4"/>
      <c r="BC414" s="4"/>
      <c r="BD414" s="4"/>
      <c r="BE414" s="4"/>
      <c r="BF414" s="4"/>
      <c r="BG414" s="4"/>
      <c r="BH414" s="4"/>
    </row>
    <row r="415" spans="1:60">
      <c r="A415" s="4"/>
      <c r="B415" s="3"/>
      <c r="C415" s="3"/>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5"/>
      <c r="AT415" s="4"/>
      <c r="AU415" s="4"/>
      <c r="AV415" s="4"/>
      <c r="AW415" s="4"/>
      <c r="AX415" s="4"/>
      <c r="AY415" s="4"/>
      <c r="AZ415" s="4"/>
      <c r="BA415" s="4"/>
      <c r="BB415" s="4"/>
      <c r="BC415" s="4"/>
      <c r="BD415" s="4"/>
      <c r="BE415" s="4"/>
      <c r="BF415" s="4"/>
      <c r="BG415" s="4"/>
      <c r="BH415" s="4"/>
    </row>
    <row r="416" spans="1:60">
      <c r="A416" s="4"/>
      <c r="B416" s="3"/>
      <c r="C416" s="3"/>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5"/>
      <c r="AT416" s="4"/>
      <c r="AU416" s="4"/>
      <c r="AV416" s="4"/>
      <c r="AW416" s="4"/>
      <c r="AX416" s="4"/>
      <c r="AY416" s="4"/>
      <c r="AZ416" s="4"/>
      <c r="BA416" s="4"/>
      <c r="BB416" s="4"/>
      <c r="BC416" s="4"/>
      <c r="BD416" s="4"/>
      <c r="BE416" s="4"/>
      <c r="BF416" s="4"/>
      <c r="BG416" s="4"/>
      <c r="BH416" s="4"/>
    </row>
    <row r="417" spans="1:60">
      <c r="A417" s="4"/>
      <c r="B417" s="3"/>
      <c r="C417" s="3"/>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5"/>
      <c r="AT417" s="4"/>
      <c r="AU417" s="4"/>
      <c r="AV417" s="4"/>
      <c r="AW417" s="4"/>
      <c r="AX417" s="4"/>
      <c r="AY417" s="4"/>
      <c r="AZ417" s="4"/>
      <c r="BA417" s="4"/>
      <c r="BB417" s="4"/>
      <c r="BC417" s="4"/>
      <c r="BD417" s="4"/>
      <c r="BE417" s="4"/>
      <c r="BF417" s="4"/>
      <c r="BG417" s="4"/>
      <c r="BH417" s="4"/>
    </row>
    <row r="418" spans="1:60">
      <c r="A418" s="4"/>
      <c r="B418" s="3"/>
      <c r="C418" s="3"/>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5"/>
      <c r="AT418" s="4"/>
      <c r="AU418" s="4"/>
      <c r="AV418" s="4"/>
      <c r="AW418" s="4"/>
      <c r="AX418" s="4"/>
      <c r="AY418" s="4"/>
      <c r="AZ418" s="4"/>
      <c r="BA418" s="4"/>
      <c r="BB418" s="4"/>
      <c r="BC418" s="4"/>
      <c r="BD418" s="4"/>
      <c r="BE418" s="4"/>
      <c r="BF418" s="4"/>
      <c r="BG418" s="4"/>
      <c r="BH418" s="4"/>
    </row>
    <row r="419" spans="1:60">
      <c r="A419" s="4"/>
      <c r="B419" s="3"/>
      <c r="C419" s="3"/>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5"/>
      <c r="AT419" s="4"/>
      <c r="AU419" s="4"/>
      <c r="AV419" s="4"/>
      <c r="AW419" s="4"/>
      <c r="AX419" s="4"/>
      <c r="AY419" s="4"/>
      <c r="AZ419" s="4"/>
      <c r="BA419" s="4"/>
      <c r="BB419" s="4"/>
      <c r="BC419" s="4"/>
      <c r="BD419" s="4"/>
      <c r="BE419" s="4"/>
      <c r="BF419" s="4"/>
      <c r="BG419" s="4"/>
      <c r="BH419" s="4"/>
    </row>
    <row r="420" spans="1:60">
      <c r="A420" s="4"/>
      <c r="B420" s="3"/>
      <c r="C420" s="3"/>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5"/>
      <c r="AT420" s="4"/>
      <c r="AU420" s="4"/>
      <c r="AV420" s="4"/>
      <c r="AW420" s="4"/>
      <c r="AX420" s="4"/>
      <c r="AY420" s="4"/>
      <c r="AZ420" s="4"/>
      <c r="BA420" s="4"/>
      <c r="BB420" s="4"/>
      <c r="BC420" s="4"/>
      <c r="BD420" s="4"/>
      <c r="BE420" s="4"/>
      <c r="BF420" s="4"/>
      <c r="BG420" s="4"/>
      <c r="BH420" s="4"/>
    </row>
    <row r="421" spans="1:60">
      <c r="A421" s="4"/>
      <c r="B421" s="3"/>
      <c r="C421" s="3"/>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5"/>
      <c r="AT421" s="4"/>
      <c r="AU421" s="4"/>
      <c r="AV421" s="4"/>
      <c r="AW421" s="4"/>
      <c r="AX421" s="4"/>
      <c r="AY421" s="4"/>
      <c r="AZ421" s="4"/>
      <c r="BA421" s="4"/>
      <c r="BB421" s="4"/>
      <c r="BC421" s="4"/>
      <c r="BD421" s="4"/>
      <c r="BE421" s="4"/>
      <c r="BF421" s="4"/>
      <c r="BG421" s="4"/>
      <c r="BH421" s="4"/>
    </row>
    <row r="422" spans="1:60">
      <c r="A422" s="4"/>
      <c r="B422" s="3"/>
      <c r="C422" s="3"/>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5"/>
      <c r="AT422" s="4"/>
      <c r="AU422" s="4"/>
      <c r="AV422" s="4"/>
      <c r="AW422" s="4"/>
      <c r="AX422" s="4"/>
      <c r="AY422" s="4"/>
      <c r="AZ422" s="4"/>
      <c r="BA422" s="4"/>
      <c r="BB422" s="4"/>
      <c r="BC422" s="4"/>
      <c r="BD422" s="4"/>
      <c r="BE422" s="4"/>
      <c r="BF422" s="4"/>
      <c r="BG422" s="4"/>
      <c r="BH422" s="4"/>
    </row>
    <row r="423" spans="1:60">
      <c r="A423" s="4"/>
      <c r="B423" s="3"/>
      <c r="C423" s="3"/>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5"/>
      <c r="AT423" s="4"/>
      <c r="AU423" s="4"/>
      <c r="AV423" s="4"/>
      <c r="AW423" s="4"/>
      <c r="AX423" s="4"/>
      <c r="AY423" s="4"/>
      <c r="AZ423" s="4"/>
      <c r="BA423" s="4"/>
      <c r="BB423" s="4"/>
      <c r="BC423" s="4"/>
      <c r="BD423" s="4"/>
      <c r="BE423" s="4"/>
      <c r="BF423" s="4"/>
      <c r="BG423" s="4"/>
      <c r="BH423" s="4"/>
    </row>
    <row r="424" spans="1:60">
      <c r="A424" s="4"/>
      <c r="B424" s="3"/>
      <c r="C424" s="3"/>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5"/>
      <c r="AT424" s="4"/>
      <c r="AU424" s="4"/>
      <c r="AV424" s="4"/>
      <c r="AW424" s="4"/>
      <c r="AX424" s="4"/>
      <c r="AY424" s="4"/>
      <c r="AZ424" s="4"/>
      <c r="BA424" s="4"/>
      <c r="BB424" s="4"/>
      <c r="BC424" s="4"/>
      <c r="BD424" s="4"/>
      <c r="BE424" s="4"/>
      <c r="BF424" s="4"/>
      <c r="BG424" s="4"/>
      <c r="BH424" s="4"/>
    </row>
    <row r="425" spans="1:60">
      <c r="A425" s="4"/>
      <c r="B425" s="3"/>
      <c r="C425" s="3"/>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5"/>
      <c r="AT425" s="4"/>
      <c r="AU425" s="4"/>
      <c r="AV425" s="4"/>
      <c r="AW425" s="4"/>
      <c r="AX425" s="4"/>
      <c r="AY425" s="4"/>
      <c r="AZ425" s="4"/>
      <c r="BA425" s="4"/>
      <c r="BB425" s="4"/>
      <c r="BC425" s="4"/>
      <c r="BD425" s="4"/>
      <c r="BE425" s="4"/>
      <c r="BF425" s="4"/>
      <c r="BG425" s="4"/>
      <c r="BH425" s="4"/>
    </row>
    <row r="426" spans="1:60">
      <c r="A426" s="4"/>
      <c r="B426" s="3"/>
      <c r="C426" s="3"/>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5"/>
      <c r="AT426" s="4"/>
      <c r="AU426" s="4"/>
      <c r="AV426" s="4"/>
      <c r="AW426" s="4"/>
      <c r="AX426" s="4"/>
      <c r="AY426" s="4"/>
      <c r="AZ426" s="4"/>
      <c r="BA426" s="4"/>
      <c r="BB426" s="4"/>
      <c r="BC426" s="4"/>
      <c r="BD426" s="4"/>
      <c r="BE426" s="4"/>
      <c r="BF426" s="4"/>
      <c r="BG426" s="4"/>
      <c r="BH426" s="4"/>
    </row>
    <row r="427" spans="1:60">
      <c r="A427" s="4"/>
      <c r="B427" s="3"/>
      <c r="C427" s="3"/>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5"/>
      <c r="AT427" s="4"/>
      <c r="AU427" s="4"/>
      <c r="AV427" s="4"/>
      <c r="AW427" s="4"/>
      <c r="AX427" s="4"/>
      <c r="AY427" s="4"/>
      <c r="AZ427" s="4"/>
      <c r="BA427" s="4"/>
      <c r="BB427" s="4"/>
      <c r="BC427" s="4"/>
      <c r="BD427" s="4"/>
      <c r="BE427" s="4"/>
      <c r="BF427" s="4"/>
      <c r="BG427" s="4"/>
      <c r="BH427" s="4"/>
    </row>
    <row r="428" spans="1:60">
      <c r="A428" s="4"/>
      <c r="B428" s="3"/>
      <c r="C428" s="3"/>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5"/>
      <c r="AT428" s="4"/>
      <c r="AU428" s="4"/>
      <c r="AV428" s="4"/>
      <c r="AW428" s="4"/>
      <c r="AX428" s="4"/>
      <c r="AY428" s="4"/>
      <c r="AZ428" s="4"/>
      <c r="BA428" s="4"/>
      <c r="BB428" s="4"/>
      <c r="BC428" s="4"/>
      <c r="BD428" s="4"/>
      <c r="BE428" s="4"/>
      <c r="BF428" s="4"/>
      <c r="BG428" s="4"/>
      <c r="BH428" s="4"/>
    </row>
    <row r="429" spans="1:60">
      <c r="A429" s="4"/>
      <c r="B429" s="3"/>
      <c r="C429" s="3"/>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5"/>
      <c r="AT429" s="4"/>
      <c r="AU429" s="4"/>
      <c r="AV429" s="4"/>
      <c r="AW429" s="4"/>
      <c r="AX429" s="4"/>
      <c r="AY429" s="4"/>
      <c r="AZ429" s="4"/>
      <c r="BA429" s="4"/>
      <c r="BB429" s="4"/>
      <c r="BC429" s="4"/>
      <c r="BD429" s="4"/>
      <c r="BE429" s="4"/>
      <c r="BF429" s="4"/>
      <c r="BG429" s="4"/>
      <c r="BH429" s="4"/>
    </row>
    <row r="430" spans="1:60">
      <c r="A430" s="4"/>
      <c r="B430" s="3"/>
      <c r="C430" s="3"/>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5"/>
      <c r="AT430" s="4"/>
      <c r="AU430" s="4"/>
      <c r="AV430" s="4"/>
      <c r="AW430" s="4"/>
      <c r="AX430" s="4"/>
      <c r="AY430" s="4"/>
      <c r="AZ430" s="4"/>
      <c r="BA430" s="4"/>
      <c r="BB430" s="4"/>
      <c r="BC430" s="4"/>
      <c r="BD430" s="4"/>
      <c r="BE430" s="4"/>
      <c r="BF430" s="4"/>
      <c r="BG430" s="4"/>
      <c r="BH430" s="4"/>
    </row>
    <row r="431" spans="1:60">
      <c r="A431" s="4"/>
      <c r="B431" s="3"/>
      <c r="C431" s="3"/>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5"/>
      <c r="AT431" s="4"/>
      <c r="AU431" s="4"/>
      <c r="AV431" s="4"/>
      <c r="AW431" s="4"/>
      <c r="AX431" s="4"/>
      <c r="AY431" s="4"/>
      <c r="AZ431" s="4"/>
      <c r="BA431" s="4"/>
      <c r="BB431" s="4"/>
      <c r="BC431" s="4"/>
      <c r="BD431" s="4"/>
      <c r="BE431" s="4"/>
      <c r="BF431" s="4"/>
      <c r="BG431" s="4"/>
      <c r="BH431" s="4"/>
    </row>
    <row r="432" spans="1:60">
      <c r="A432" s="4"/>
      <c r="B432" s="3"/>
      <c r="C432" s="3"/>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5"/>
      <c r="AT432" s="4"/>
      <c r="AU432" s="4"/>
      <c r="AV432" s="4"/>
      <c r="AW432" s="4"/>
      <c r="AX432" s="4"/>
      <c r="AY432" s="4"/>
      <c r="AZ432" s="4"/>
      <c r="BA432" s="4"/>
      <c r="BB432" s="4"/>
      <c r="BC432" s="4"/>
      <c r="BD432" s="4"/>
      <c r="BE432" s="4"/>
      <c r="BF432" s="4"/>
      <c r="BG432" s="4"/>
      <c r="BH432" s="4"/>
    </row>
    <row r="433" spans="1:60">
      <c r="A433" s="4"/>
      <c r="B433" s="3"/>
      <c r="C433" s="3"/>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5"/>
      <c r="AT433" s="4"/>
      <c r="AU433" s="4"/>
      <c r="AV433" s="4"/>
      <c r="AW433" s="4"/>
      <c r="AX433" s="4"/>
      <c r="AY433" s="4"/>
      <c r="AZ433" s="4"/>
      <c r="BA433" s="4"/>
      <c r="BB433" s="4"/>
      <c r="BC433" s="4"/>
      <c r="BD433" s="4"/>
      <c r="BE433" s="4"/>
      <c r="BF433" s="4"/>
      <c r="BG433" s="4"/>
      <c r="BH433" s="4"/>
    </row>
    <row r="434" spans="1:60">
      <c r="A434" s="4"/>
      <c r="B434" s="3"/>
      <c r="C434" s="3"/>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5"/>
      <c r="AT434" s="4"/>
      <c r="AU434" s="4"/>
      <c r="AV434" s="4"/>
      <c r="AW434" s="4"/>
      <c r="AX434" s="4"/>
      <c r="AY434" s="4"/>
      <c r="AZ434" s="4"/>
      <c r="BA434" s="4"/>
      <c r="BB434" s="4"/>
      <c r="BC434" s="4"/>
      <c r="BD434" s="4"/>
      <c r="BE434" s="4"/>
      <c r="BF434" s="4"/>
      <c r="BG434" s="4"/>
      <c r="BH434" s="4"/>
    </row>
    <row r="435" spans="1:60">
      <c r="A435" s="4"/>
      <c r="B435" s="3"/>
      <c r="C435" s="3"/>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5"/>
      <c r="AT435" s="4"/>
      <c r="AU435" s="4"/>
      <c r="AV435" s="4"/>
      <c r="AW435" s="4"/>
      <c r="AX435" s="4"/>
      <c r="AY435" s="4"/>
      <c r="AZ435" s="4"/>
      <c r="BA435" s="4"/>
      <c r="BB435" s="4"/>
      <c r="BC435" s="4"/>
      <c r="BD435" s="4"/>
      <c r="BE435" s="4"/>
      <c r="BF435" s="4"/>
      <c r="BG435" s="4"/>
      <c r="BH435" s="4"/>
    </row>
    <row r="436" spans="1:60">
      <c r="A436" s="4"/>
      <c r="B436" s="3"/>
      <c r="C436" s="3"/>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5"/>
      <c r="AT436" s="4"/>
      <c r="AU436" s="4"/>
      <c r="AV436" s="4"/>
      <c r="AW436" s="4"/>
      <c r="AX436" s="4"/>
      <c r="AY436" s="4"/>
      <c r="AZ436" s="4"/>
      <c r="BA436" s="4"/>
      <c r="BB436" s="4"/>
      <c r="BC436" s="4"/>
      <c r="BD436" s="4"/>
      <c r="BE436" s="4"/>
      <c r="BF436" s="4"/>
      <c r="BG436" s="4"/>
      <c r="BH436" s="4"/>
    </row>
    <row r="437" spans="1:60">
      <c r="A437" s="4"/>
      <c r="B437" s="3"/>
      <c r="C437" s="3"/>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5"/>
      <c r="AT437" s="4"/>
      <c r="AU437" s="4"/>
      <c r="AV437" s="4"/>
      <c r="AW437" s="4"/>
      <c r="AX437" s="4"/>
      <c r="AY437" s="4"/>
      <c r="AZ437" s="4"/>
      <c r="BA437" s="4"/>
      <c r="BB437" s="4"/>
      <c r="BC437" s="4"/>
      <c r="BD437" s="4"/>
      <c r="BE437" s="4"/>
      <c r="BF437" s="4"/>
      <c r="BG437" s="4"/>
      <c r="BH437" s="4"/>
    </row>
    <row r="438" spans="1:60">
      <c r="A438" s="4"/>
      <c r="B438" s="3"/>
      <c r="C438" s="3"/>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5"/>
      <c r="AT438" s="4"/>
      <c r="AU438" s="4"/>
      <c r="AV438" s="4"/>
      <c r="AW438" s="4"/>
      <c r="AX438" s="4"/>
      <c r="AY438" s="4"/>
      <c r="AZ438" s="4"/>
      <c r="BA438" s="4"/>
      <c r="BB438" s="4"/>
      <c r="BC438" s="4"/>
      <c r="BD438" s="4"/>
      <c r="BE438" s="4"/>
      <c r="BF438" s="4"/>
      <c r="BG438" s="4"/>
      <c r="BH438" s="4"/>
    </row>
    <row r="439" spans="1:60">
      <c r="A439" s="4"/>
      <c r="B439" s="3"/>
      <c r="C439" s="3"/>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5"/>
      <c r="AT439" s="4"/>
      <c r="AU439" s="4"/>
      <c r="AV439" s="4"/>
      <c r="AW439" s="4"/>
      <c r="AX439" s="4"/>
      <c r="AY439" s="4"/>
      <c r="AZ439" s="4"/>
      <c r="BA439" s="4"/>
      <c r="BB439" s="4"/>
      <c r="BC439" s="4"/>
      <c r="BD439" s="4"/>
      <c r="BE439" s="4"/>
      <c r="BF439" s="4"/>
      <c r="BG439" s="4"/>
      <c r="BH439" s="4"/>
    </row>
    <row r="440" spans="1:60">
      <c r="A440" s="4"/>
      <c r="B440" s="3"/>
      <c r="C440" s="3"/>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5"/>
      <c r="AT440" s="4"/>
      <c r="AU440" s="4"/>
      <c r="AV440" s="4"/>
      <c r="AW440" s="4"/>
      <c r="AX440" s="4"/>
      <c r="AY440" s="4"/>
      <c r="AZ440" s="4"/>
      <c r="BA440" s="4"/>
      <c r="BB440" s="4"/>
      <c r="BC440" s="4"/>
      <c r="BD440" s="4"/>
      <c r="BE440" s="4"/>
      <c r="BF440" s="4"/>
      <c r="BG440" s="4"/>
      <c r="BH440" s="4"/>
    </row>
    <row r="441" spans="1:60">
      <c r="A441" s="4"/>
      <c r="B441" s="3"/>
      <c r="C441" s="3"/>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5"/>
      <c r="AT441" s="4"/>
      <c r="AU441" s="4"/>
      <c r="AV441" s="4"/>
      <c r="AW441" s="4"/>
      <c r="AX441" s="4"/>
      <c r="AY441" s="4"/>
      <c r="AZ441" s="4"/>
      <c r="BA441" s="4"/>
      <c r="BB441" s="4"/>
      <c r="BC441" s="4"/>
      <c r="BD441" s="4"/>
      <c r="BE441" s="4"/>
      <c r="BF441" s="4"/>
      <c r="BG441" s="4"/>
      <c r="BH441" s="4"/>
    </row>
    <row r="442" spans="1:60">
      <c r="A442" s="4"/>
      <c r="B442" s="3"/>
      <c r="C442" s="3"/>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5"/>
      <c r="AT442" s="4"/>
      <c r="AU442" s="4"/>
      <c r="AV442" s="4"/>
      <c r="AW442" s="4"/>
      <c r="AX442" s="4"/>
      <c r="AY442" s="4"/>
      <c r="AZ442" s="4"/>
      <c r="BA442" s="4"/>
      <c r="BB442" s="4"/>
      <c r="BC442" s="4"/>
      <c r="BD442" s="4"/>
      <c r="BE442" s="4"/>
      <c r="BF442" s="4"/>
      <c r="BG442" s="4"/>
      <c r="BH442" s="4"/>
    </row>
    <row r="443" spans="1:60">
      <c r="A443" s="4"/>
      <c r="B443" s="3"/>
      <c r="C443" s="3"/>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5"/>
      <c r="AT443" s="4"/>
      <c r="AU443" s="4"/>
      <c r="AV443" s="4"/>
      <c r="AW443" s="4"/>
      <c r="AX443" s="4"/>
      <c r="AY443" s="4"/>
      <c r="AZ443" s="4"/>
      <c r="BA443" s="4"/>
      <c r="BB443" s="4"/>
      <c r="BC443" s="4"/>
      <c r="BD443" s="4"/>
      <c r="BE443" s="4"/>
      <c r="BF443" s="4"/>
      <c r="BG443" s="4"/>
      <c r="BH443" s="4"/>
    </row>
    <row r="444" spans="1:60">
      <c r="A444" s="4"/>
      <c r="B444" s="3"/>
      <c r="C444" s="3"/>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5"/>
      <c r="AT444" s="4"/>
      <c r="AU444" s="4"/>
      <c r="AV444" s="4"/>
      <c r="AW444" s="4"/>
      <c r="AX444" s="4"/>
      <c r="AY444" s="4"/>
      <c r="AZ444" s="4"/>
      <c r="BA444" s="4"/>
      <c r="BB444" s="4"/>
      <c r="BC444" s="4"/>
      <c r="BD444" s="4"/>
      <c r="BE444" s="4"/>
      <c r="BF444" s="4"/>
      <c r="BG444" s="4"/>
      <c r="BH444" s="4"/>
    </row>
    <row r="445" spans="1:60">
      <c r="A445" s="4"/>
      <c r="B445" s="3"/>
      <c r="C445" s="3"/>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5"/>
      <c r="AT445" s="4"/>
      <c r="AU445" s="4"/>
      <c r="AV445" s="4"/>
      <c r="AW445" s="4"/>
      <c r="AX445" s="4"/>
      <c r="AY445" s="4"/>
      <c r="AZ445" s="4"/>
      <c r="BA445" s="4"/>
      <c r="BB445" s="4"/>
      <c r="BC445" s="4"/>
      <c r="BD445" s="4"/>
      <c r="BE445" s="4"/>
      <c r="BF445" s="4"/>
      <c r="BG445" s="4"/>
      <c r="BH445" s="4"/>
    </row>
    <row r="446" spans="1:60">
      <c r="A446" s="4"/>
      <c r="B446" s="3"/>
      <c r="C446" s="3"/>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5"/>
      <c r="AT446" s="4"/>
      <c r="AU446" s="4"/>
      <c r="AV446" s="4"/>
      <c r="AW446" s="4"/>
      <c r="AX446" s="4"/>
      <c r="AY446" s="4"/>
      <c r="AZ446" s="4"/>
      <c r="BA446" s="4"/>
      <c r="BB446" s="4"/>
      <c r="BC446" s="4"/>
      <c r="BD446" s="4"/>
      <c r="BE446" s="4"/>
      <c r="BF446" s="4"/>
      <c r="BG446" s="4"/>
      <c r="BH446" s="4"/>
    </row>
    <row r="447" spans="1:60">
      <c r="A447" s="4"/>
      <c r="B447" s="3"/>
      <c r="C447" s="3"/>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5"/>
      <c r="AT447" s="4"/>
      <c r="AU447" s="4"/>
      <c r="AV447" s="4"/>
      <c r="AW447" s="4"/>
      <c r="AX447" s="4"/>
      <c r="AY447" s="4"/>
      <c r="AZ447" s="4"/>
      <c r="BA447" s="4"/>
      <c r="BB447" s="4"/>
      <c r="BC447" s="4"/>
      <c r="BD447" s="4"/>
      <c r="BE447" s="4"/>
      <c r="BF447" s="4"/>
      <c r="BG447" s="4"/>
      <c r="BH447" s="4"/>
    </row>
    <row r="448" spans="1:60">
      <c r="A448" s="4"/>
      <c r="B448" s="3"/>
      <c r="C448" s="3"/>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5"/>
      <c r="AT448" s="4"/>
      <c r="AU448" s="4"/>
      <c r="AV448" s="4"/>
      <c r="AW448" s="4"/>
      <c r="AX448" s="4"/>
      <c r="AY448" s="4"/>
      <c r="AZ448" s="4"/>
      <c r="BA448" s="4"/>
      <c r="BB448" s="4"/>
      <c r="BC448" s="4"/>
      <c r="BD448" s="4"/>
      <c r="BE448" s="4"/>
      <c r="BF448" s="4"/>
      <c r="BG448" s="4"/>
      <c r="BH448" s="4"/>
    </row>
    <row r="449" spans="1:60">
      <c r="A449" s="4"/>
      <c r="B449" s="3"/>
      <c r="C449" s="3"/>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5"/>
      <c r="AT449" s="4"/>
      <c r="AU449" s="4"/>
      <c r="AV449" s="4"/>
      <c r="AW449" s="4"/>
      <c r="AX449" s="4"/>
      <c r="AY449" s="4"/>
      <c r="AZ449" s="4"/>
      <c r="BA449" s="4"/>
      <c r="BB449" s="4"/>
      <c r="BC449" s="4"/>
      <c r="BD449" s="4"/>
      <c r="BE449" s="4"/>
      <c r="BF449" s="4"/>
      <c r="BG449" s="4"/>
      <c r="BH449" s="4"/>
    </row>
    <row r="450" spans="1:60">
      <c r="A450" s="4"/>
      <c r="B450" s="3"/>
      <c r="C450" s="3"/>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5"/>
      <c r="AT450" s="4"/>
      <c r="AU450" s="4"/>
      <c r="AV450" s="4"/>
      <c r="AW450" s="4"/>
      <c r="AX450" s="4"/>
      <c r="AY450" s="4"/>
      <c r="AZ450" s="4"/>
      <c r="BA450" s="4"/>
      <c r="BB450" s="4"/>
      <c r="BC450" s="4"/>
      <c r="BD450" s="4"/>
      <c r="BE450" s="4"/>
      <c r="BF450" s="4"/>
      <c r="BG450" s="4"/>
      <c r="BH450" s="4"/>
    </row>
    <row r="451" spans="1:60">
      <c r="A451" s="4"/>
      <c r="B451" s="3"/>
      <c r="C451" s="3"/>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5"/>
      <c r="AT451" s="4"/>
      <c r="AU451" s="4"/>
      <c r="AV451" s="4"/>
      <c r="AW451" s="4"/>
      <c r="AX451" s="4"/>
      <c r="AY451" s="4"/>
      <c r="AZ451" s="4"/>
      <c r="BA451" s="4"/>
      <c r="BB451" s="4"/>
      <c r="BC451" s="4"/>
      <c r="BD451" s="4"/>
      <c r="BE451" s="4"/>
      <c r="BF451" s="4"/>
      <c r="BG451" s="4"/>
      <c r="BH451" s="4"/>
    </row>
    <row r="452" spans="1:60">
      <c r="A452" s="4"/>
      <c r="B452" s="3"/>
      <c r="C452" s="3"/>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5"/>
      <c r="AT452" s="4"/>
      <c r="AU452" s="4"/>
      <c r="AV452" s="4"/>
      <c r="AW452" s="4"/>
      <c r="AX452" s="4"/>
      <c r="AY452" s="4"/>
      <c r="AZ452" s="4"/>
      <c r="BA452" s="4"/>
      <c r="BB452" s="4"/>
      <c r="BC452" s="4"/>
      <c r="BD452" s="4"/>
      <c r="BE452" s="4"/>
      <c r="BF452" s="4"/>
      <c r="BG452" s="4"/>
      <c r="BH452" s="4"/>
    </row>
    <row r="453" spans="1:60">
      <c r="A453" s="4"/>
      <c r="B453" s="3"/>
      <c r="C453" s="3"/>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5"/>
      <c r="AT453" s="4"/>
      <c r="AU453" s="4"/>
      <c r="AV453" s="4"/>
      <c r="AW453" s="4"/>
      <c r="AX453" s="4"/>
      <c r="AY453" s="4"/>
      <c r="AZ453" s="4"/>
      <c r="BA453" s="4"/>
      <c r="BB453" s="4"/>
      <c r="BC453" s="4"/>
      <c r="BD453" s="4"/>
      <c r="BE453" s="4"/>
      <c r="BF453" s="4"/>
      <c r="BG453" s="4"/>
      <c r="BH453" s="4"/>
    </row>
    <row r="454" spans="1:60">
      <c r="A454" s="4"/>
      <c r="B454" s="3"/>
      <c r="C454" s="3"/>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5"/>
      <c r="AT454" s="4"/>
      <c r="AU454" s="4"/>
      <c r="AV454" s="4"/>
      <c r="AW454" s="4"/>
      <c r="AX454" s="4"/>
      <c r="AY454" s="4"/>
      <c r="AZ454" s="4"/>
      <c r="BA454" s="4"/>
      <c r="BB454" s="4"/>
      <c r="BC454" s="4"/>
      <c r="BD454" s="4"/>
      <c r="BE454" s="4"/>
      <c r="BF454" s="4"/>
      <c r="BG454" s="4"/>
      <c r="BH454" s="4"/>
    </row>
    <row r="455" spans="1:60">
      <c r="A455" s="4"/>
      <c r="B455" s="3"/>
      <c r="C455" s="3"/>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5"/>
      <c r="AT455" s="4"/>
      <c r="AU455" s="4"/>
      <c r="AV455" s="4"/>
      <c r="AW455" s="4"/>
      <c r="AX455" s="4"/>
      <c r="AY455" s="4"/>
      <c r="AZ455" s="4"/>
      <c r="BA455" s="4"/>
      <c r="BB455" s="4"/>
      <c r="BC455" s="4"/>
      <c r="BD455" s="4"/>
      <c r="BE455" s="4"/>
      <c r="BF455" s="4"/>
      <c r="BG455" s="4"/>
      <c r="BH455" s="4"/>
    </row>
    <row r="456" spans="1:60">
      <c r="A456" s="4"/>
      <c r="B456" s="3"/>
      <c r="C456" s="3"/>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5"/>
      <c r="AT456" s="4"/>
      <c r="AU456" s="4"/>
      <c r="AV456" s="4"/>
      <c r="AW456" s="4"/>
      <c r="AX456" s="4"/>
      <c r="AY456" s="4"/>
      <c r="AZ456" s="4"/>
      <c r="BA456" s="4"/>
      <c r="BB456" s="4"/>
      <c r="BC456" s="4"/>
      <c r="BD456" s="4"/>
      <c r="BE456" s="4"/>
      <c r="BF456" s="4"/>
      <c r="BG456" s="4"/>
      <c r="BH456" s="4"/>
    </row>
    <row r="457" spans="1:60">
      <c r="A457" s="4"/>
      <c r="B457" s="3"/>
      <c r="C457" s="3"/>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5"/>
      <c r="AT457" s="4"/>
      <c r="AU457" s="4"/>
      <c r="AV457" s="4"/>
      <c r="AW457" s="4"/>
      <c r="AX457" s="4"/>
      <c r="AY457" s="4"/>
      <c r="AZ457" s="4"/>
      <c r="BA457" s="4"/>
      <c r="BB457" s="4"/>
      <c r="BC457" s="4"/>
      <c r="BD457" s="4"/>
      <c r="BE457" s="4"/>
      <c r="BF457" s="4"/>
      <c r="BG457" s="4"/>
      <c r="BH457" s="4"/>
    </row>
    <row r="458" spans="1:60">
      <c r="A458" s="4"/>
      <c r="B458" s="3"/>
      <c r="C458" s="3"/>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5"/>
      <c r="AT458" s="4"/>
      <c r="AU458" s="4"/>
      <c r="AV458" s="4"/>
      <c r="AW458" s="4"/>
      <c r="AX458" s="4"/>
      <c r="AY458" s="4"/>
      <c r="AZ458" s="4"/>
      <c r="BA458" s="4"/>
      <c r="BB458" s="4"/>
      <c r="BC458" s="4"/>
      <c r="BD458" s="4"/>
      <c r="BE458" s="4"/>
      <c r="BF458" s="4"/>
      <c r="BG458" s="4"/>
      <c r="BH458" s="4"/>
    </row>
    <row r="459" spans="1:60">
      <c r="A459" s="4"/>
      <c r="B459" s="3"/>
      <c r="C459" s="3"/>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5"/>
      <c r="AT459" s="4"/>
      <c r="AU459" s="4"/>
      <c r="AV459" s="4"/>
      <c r="AW459" s="4"/>
      <c r="AX459" s="4"/>
      <c r="AY459" s="4"/>
      <c r="AZ459" s="4"/>
      <c r="BA459" s="4"/>
      <c r="BB459" s="4"/>
      <c r="BC459" s="4"/>
      <c r="BD459" s="4"/>
      <c r="BE459" s="4"/>
      <c r="BF459" s="4"/>
      <c r="BG459" s="4"/>
      <c r="BH459" s="4"/>
    </row>
    <row r="460" spans="1:60">
      <c r="A460" s="4"/>
      <c r="B460" s="3"/>
      <c r="C460" s="3"/>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5"/>
      <c r="AT460" s="4"/>
      <c r="AU460" s="4"/>
      <c r="AV460" s="4"/>
      <c r="AW460" s="4"/>
      <c r="AX460" s="4"/>
      <c r="AY460" s="4"/>
      <c r="AZ460" s="4"/>
      <c r="BA460" s="4"/>
      <c r="BB460" s="4"/>
      <c r="BC460" s="4"/>
      <c r="BD460" s="4"/>
      <c r="BE460" s="4"/>
      <c r="BF460" s="4"/>
      <c r="BG460" s="4"/>
      <c r="BH460" s="4"/>
    </row>
    <row r="461" spans="1:60">
      <c r="A461" s="4"/>
      <c r="B461" s="3"/>
      <c r="C461" s="3"/>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5"/>
      <c r="AT461" s="4"/>
      <c r="AU461" s="4"/>
      <c r="AV461" s="4"/>
      <c r="AW461" s="4"/>
      <c r="AX461" s="4"/>
      <c r="AY461" s="4"/>
      <c r="AZ461" s="4"/>
      <c r="BA461" s="4"/>
      <c r="BB461" s="4"/>
      <c r="BC461" s="4"/>
      <c r="BD461" s="4"/>
      <c r="BE461" s="4"/>
      <c r="BF461" s="4"/>
      <c r="BG461" s="4"/>
      <c r="BH461" s="4"/>
    </row>
    <row r="462" spans="1:60">
      <c r="A462" s="4"/>
      <c r="B462" s="3"/>
      <c r="C462" s="3"/>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5"/>
      <c r="AT462" s="4"/>
      <c r="AU462" s="4"/>
      <c r="AV462" s="4"/>
      <c r="AW462" s="4"/>
      <c r="AX462" s="4"/>
      <c r="AY462" s="4"/>
      <c r="AZ462" s="4"/>
      <c r="BA462" s="4"/>
      <c r="BB462" s="4"/>
      <c r="BC462" s="4"/>
      <c r="BD462" s="4"/>
      <c r="BE462" s="4"/>
      <c r="BF462" s="4"/>
      <c r="BG462" s="4"/>
      <c r="BH462" s="4"/>
    </row>
    <row r="463" spans="1:60">
      <c r="A463" s="4"/>
      <c r="B463" s="3"/>
      <c r="C463" s="3"/>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5"/>
      <c r="AT463" s="4"/>
      <c r="AU463" s="4"/>
      <c r="AV463" s="4"/>
      <c r="AW463" s="4"/>
      <c r="AX463" s="4"/>
      <c r="AY463" s="4"/>
      <c r="AZ463" s="4"/>
      <c r="BA463" s="4"/>
      <c r="BB463" s="4"/>
      <c r="BC463" s="4"/>
      <c r="BD463" s="4"/>
      <c r="BE463" s="4"/>
      <c r="BF463" s="4"/>
      <c r="BG463" s="4"/>
      <c r="BH463" s="4"/>
    </row>
    <row r="464" spans="1:60">
      <c r="A464" s="4"/>
      <c r="B464" s="3"/>
      <c r="C464" s="3"/>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5"/>
      <c r="AT464" s="4"/>
      <c r="AU464" s="4"/>
      <c r="AV464" s="4"/>
      <c r="AW464" s="4"/>
      <c r="AX464" s="4"/>
      <c r="AY464" s="4"/>
      <c r="AZ464" s="4"/>
      <c r="BA464" s="4"/>
      <c r="BB464" s="4"/>
      <c r="BC464" s="4"/>
      <c r="BD464" s="4"/>
      <c r="BE464" s="4"/>
      <c r="BF464" s="4"/>
      <c r="BG464" s="4"/>
      <c r="BH464" s="4"/>
    </row>
    <row r="465" spans="1:60">
      <c r="A465" s="4"/>
      <c r="B465" s="3"/>
      <c r="C465" s="3"/>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5"/>
      <c r="AT465" s="4"/>
      <c r="AU465" s="4"/>
      <c r="AV465" s="4"/>
      <c r="AW465" s="4"/>
      <c r="AX465" s="4"/>
      <c r="AY465" s="4"/>
      <c r="AZ465" s="4"/>
      <c r="BA465" s="4"/>
      <c r="BB465" s="4"/>
      <c r="BC465" s="4"/>
      <c r="BD465" s="4"/>
      <c r="BE465" s="4"/>
      <c r="BF465" s="4"/>
      <c r="BG465" s="4"/>
      <c r="BH465" s="4"/>
    </row>
    <row r="466" spans="1:60">
      <c r="A466" s="4"/>
      <c r="B466" s="3"/>
      <c r="C466" s="3"/>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5"/>
      <c r="AT466" s="4"/>
      <c r="AU466" s="4"/>
      <c r="AV466" s="4"/>
      <c r="AW466" s="4"/>
      <c r="AX466" s="4"/>
      <c r="AY466" s="4"/>
      <c r="AZ466" s="4"/>
      <c r="BA466" s="4"/>
      <c r="BB466" s="4"/>
      <c r="BC466" s="4"/>
      <c r="BD466" s="4"/>
      <c r="BE466" s="4"/>
      <c r="BF466" s="4"/>
      <c r="BG466" s="4"/>
      <c r="BH466" s="4"/>
    </row>
    <row r="467" spans="1:60">
      <c r="A467" s="4"/>
      <c r="B467" s="3"/>
      <c r="C467" s="3"/>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5"/>
      <c r="AT467" s="4"/>
      <c r="AU467" s="4"/>
      <c r="AV467" s="4"/>
      <c r="AW467" s="4"/>
      <c r="AX467" s="4"/>
      <c r="AY467" s="4"/>
      <c r="AZ467" s="4"/>
      <c r="BA467" s="4"/>
      <c r="BB467" s="4"/>
      <c r="BC467" s="4"/>
      <c r="BD467" s="4"/>
      <c r="BE467" s="4"/>
      <c r="BF467" s="4"/>
      <c r="BG467" s="4"/>
      <c r="BH467" s="4"/>
    </row>
    <row r="468" spans="1:60">
      <c r="A468" s="4"/>
      <c r="B468" s="3"/>
      <c r="C468" s="3"/>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5"/>
      <c r="AT468" s="4"/>
      <c r="AU468" s="4"/>
      <c r="AV468" s="4"/>
      <c r="AW468" s="4"/>
      <c r="AX468" s="4"/>
      <c r="AY468" s="4"/>
      <c r="AZ468" s="4"/>
      <c r="BA468" s="4"/>
      <c r="BB468" s="4"/>
      <c r="BC468" s="4"/>
      <c r="BD468" s="4"/>
      <c r="BE468" s="4"/>
      <c r="BF468" s="4"/>
      <c r="BG468" s="4"/>
      <c r="BH468" s="4"/>
    </row>
    <row r="469" spans="1:60">
      <c r="A469" s="4"/>
      <c r="B469" s="3"/>
      <c r="C469" s="3"/>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5"/>
      <c r="AT469" s="4"/>
      <c r="AU469" s="4"/>
      <c r="AV469" s="4"/>
      <c r="AW469" s="4"/>
      <c r="AX469" s="4"/>
      <c r="AY469" s="4"/>
      <c r="AZ469" s="4"/>
      <c r="BA469" s="4"/>
      <c r="BB469" s="4"/>
      <c r="BC469" s="4"/>
      <c r="BD469" s="4"/>
      <c r="BE469" s="4"/>
      <c r="BF469" s="4"/>
      <c r="BG469" s="4"/>
      <c r="BH469" s="4"/>
    </row>
    <row r="470" spans="1:60">
      <c r="A470" s="4"/>
      <c r="B470" s="3"/>
      <c r="C470" s="3"/>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5"/>
      <c r="AT470" s="4"/>
      <c r="AU470" s="4"/>
      <c r="AV470" s="4"/>
      <c r="AW470" s="4"/>
      <c r="AX470" s="4"/>
      <c r="AY470" s="4"/>
      <c r="AZ470" s="4"/>
      <c r="BA470" s="4"/>
      <c r="BB470" s="4"/>
      <c r="BC470" s="4"/>
      <c r="BD470" s="4"/>
      <c r="BE470" s="4"/>
      <c r="BF470" s="4"/>
      <c r="BG470" s="4"/>
      <c r="BH470" s="4"/>
    </row>
    <row r="471" spans="1:60">
      <c r="A471" s="4"/>
      <c r="B471" s="3"/>
      <c r="C471" s="3"/>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5"/>
      <c r="AT471" s="4"/>
      <c r="AU471" s="4"/>
      <c r="AV471" s="4"/>
      <c r="AW471" s="4"/>
      <c r="AX471" s="4"/>
      <c r="AY471" s="4"/>
      <c r="AZ471" s="4"/>
      <c r="BA471" s="4"/>
      <c r="BB471" s="4"/>
      <c r="BC471" s="4"/>
      <c r="BD471" s="4"/>
      <c r="BE471" s="4"/>
      <c r="BF471" s="4"/>
      <c r="BG471" s="4"/>
      <c r="BH471" s="4"/>
    </row>
    <row r="472" spans="1:60">
      <c r="A472" s="4"/>
      <c r="B472" s="3"/>
      <c r="C472" s="3"/>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5"/>
      <c r="AT472" s="4"/>
      <c r="AU472" s="4"/>
      <c r="AV472" s="4"/>
      <c r="AW472" s="4"/>
      <c r="AX472" s="4"/>
      <c r="AY472" s="4"/>
      <c r="AZ472" s="4"/>
      <c r="BA472" s="4"/>
      <c r="BB472" s="4"/>
      <c r="BC472" s="4"/>
      <c r="BD472" s="4"/>
      <c r="BE472" s="4"/>
      <c r="BF472" s="4"/>
      <c r="BG472" s="4"/>
      <c r="BH472" s="4"/>
    </row>
    <row r="473" spans="1:60">
      <c r="A473" s="4"/>
      <c r="B473" s="3"/>
      <c r="C473" s="3"/>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5"/>
      <c r="AT473" s="4"/>
      <c r="AU473" s="4"/>
      <c r="AV473" s="4"/>
      <c r="AW473" s="4"/>
      <c r="AX473" s="4"/>
      <c r="AY473" s="4"/>
      <c r="AZ473" s="4"/>
      <c r="BA473" s="4"/>
      <c r="BB473" s="4"/>
      <c r="BC473" s="4"/>
      <c r="BD473" s="4"/>
      <c r="BE473" s="4"/>
      <c r="BF473" s="4"/>
      <c r="BG473" s="4"/>
      <c r="BH473" s="4"/>
    </row>
    <row r="474" spans="1:60">
      <c r="A474" s="4"/>
      <c r="B474" s="3"/>
      <c r="C474" s="3"/>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5"/>
      <c r="AT474" s="4"/>
      <c r="AU474" s="4"/>
      <c r="AV474" s="4"/>
      <c r="AW474" s="4"/>
      <c r="AX474" s="4"/>
      <c r="AY474" s="4"/>
      <c r="AZ474" s="4"/>
      <c r="BA474" s="4"/>
      <c r="BB474" s="4"/>
      <c r="BC474" s="4"/>
      <c r="BD474" s="4"/>
      <c r="BE474" s="4"/>
      <c r="BF474" s="4"/>
      <c r="BG474" s="4"/>
      <c r="BH474" s="4"/>
    </row>
    <row r="475" spans="1:60">
      <c r="A475" s="4"/>
      <c r="B475" s="3"/>
      <c r="C475" s="3"/>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5"/>
      <c r="AT475" s="4"/>
      <c r="AU475" s="4"/>
      <c r="AV475" s="4"/>
      <c r="AW475" s="4"/>
      <c r="AX475" s="4"/>
      <c r="AY475" s="4"/>
      <c r="AZ475" s="4"/>
      <c r="BA475" s="4"/>
      <c r="BB475" s="4"/>
      <c r="BC475" s="4"/>
      <c r="BD475" s="4"/>
      <c r="BE475" s="4"/>
      <c r="BF475" s="4"/>
      <c r="BG475" s="4"/>
      <c r="BH475" s="4"/>
    </row>
    <row r="476" spans="1:60">
      <c r="A476" s="4"/>
      <c r="B476" s="3"/>
      <c r="C476" s="3"/>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5"/>
      <c r="AT476" s="4"/>
      <c r="AU476" s="4"/>
      <c r="AV476" s="4"/>
      <c r="AW476" s="4"/>
      <c r="AX476" s="4"/>
      <c r="AY476" s="4"/>
      <c r="AZ476" s="4"/>
      <c r="BA476" s="4"/>
      <c r="BB476" s="4"/>
      <c r="BC476" s="4"/>
      <c r="BD476" s="4"/>
      <c r="BE476" s="4"/>
      <c r="BF476" s="4"/>
      <c r="BG476" s="4"/>
      <c r="BH476" s="4"/>
    </row>
    <row r="477" spans="1:60">
      <c r="A477" s="4"/>
      <c r="B477" s="3"/>
      <c r="C477" s="3"/>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5"/>
      <c r="AT477" s="4"/>
      <c r="AU477" s="4"/>
      <c r="AV477" s="4"/>
      <c r="AW477" s="4"/>
      <c r="AX477" s="4"/>
      <c r="AY477" s="4"/>
      <c r="AZ477" s="4"/>
      <c r="BA477" s="4"/>
      <c r="BB477" s="4"/>
      <c r="BC477" s="4"/>
      <c r="BD477" s="4"/>
      <c r="BE477" s="4"/>
      <c r="BF477" s="4"/>
      <c r="BG477" s="4"/>
      <c r="BH477" s="4"/>
    </row>
    <row r="478" spans="1:60">
      <c r="A478" s="4"/>
      <c r="B478" s="3"/>
      <c r="C478" s="3"/>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5"/>
      <c r="AT478" s="4"/>
      <c r="AU478" s="4"/>
      <c r="AV478" s="4"/>
      <c r="AW478" s="4"/>
      <c r="AX478" s="4"/>
      <c r="AY478" s="4"/>
      <c r="AZ478" s="4"/>
      <c r="BA478" s="4"/>
      <c r="BB478" s="4"/>
      <c r="BC478" s="4"/>
      <c r="BD478" s="4"/>
      <c r="BE478" s="4"/>
      <c r="BF478" s="4"/>
      <c r="BG478" s="4"/>
      <c r="BH478" s="4"/>
    </row>
    <row r="479" spans="1:60">
      <c r="A479" s="4"/>
      <c r="B479" s="3"/>
      <c r="C479" s="3"/>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5"/>
      <c r="AT479" s="4"/>
      <c r="AU479" s="4"/>
      <c r="AV479" s="4"/>
      <c r="AW479" s="4"/>
      <c r="AX479" s="4"/>
      <c r="AY479" s="4"/>
      <c r="AZ479" s="4"/>
      <c r="BA479" s="4"/>
      <c r="BB479" s="4"/>
      <c r="BC479" s="4"/>
      <c r="BD479" s="4"/>
      <c r="BE479" s="4"/>
      <c r="BF479" s="4"/>
      <c r="BG479" s="4"/>
      <c r="BH479" s="4"/>
    </row>
    <row r="480" spans="1:60">
      <c r="A480" s="4"/>
      <c r="B480" s="3"/>
      <c r="C480" s="3"/>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5"/>
      <c r="AT480" s="4"/>
      <c r="AU480" s="4"/>
      <c r="AV480" s="4"/>
      <c r="AW480" s="4"/>
      <c r="AX480" s="4"/>
      <c r="AY480" s="4"/>
      <c r="AZ480" s="4"/>
      <c r="BA480" s="4"/>
      <c r="BB480" s="4"/>
      <c r="BC480" s="4"/>
      <c r="BD480" s="4"/>
      <c r="BE480" s="4"/>
      <c r="BF480" s="4"/>
      <c r="BG480" s="4"/>
      <c r="BH480" s="4"/>
    </row>
    <row r="481" spans="1:60">
      <c r="A481" s="4"/>
      <c r="B481" s="3"/>
      <c r="C481" s="3"/>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5"/>
      <c r="AT481" s="4"/>
      <c r="AU481" s="4"/>
      <c r="AV481" s="4"/>
      <c r="AW481" s="4"/>
      <c r="AX481" s="4"/>
      <c r="AY481" s="4"/>
      <c r="AZ481" s="4"/>
      <c r="BA481" s="4"/>
      <c r="BB481" s="4"/>
      <c r="BC481" s="4"/>
      <c r="BD481" s="4"/>
      <c r="BE481" s="4"/>
      <c r="BF481" s="4"/>
      <c r="BG481" s="4"/>
      <c r="BH481" s="4"/>
    </row>
    <row r="482" spans="1:60">
      <c r="A482" s="4"/>
      <c r="B482" s="3"/>
      <c r="C482" s="3"/>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5"/>
      <c r="AT482" s="4"/>
      <c r="AU482" s="4"/>
      <c r="AV482" s="4"/>
      <c r="AW482" s="4"/>
      <c r="AX482" s="4"/>
      <c r="AY482" s="4"/>
      <c r="AZ482" s="4"/>
      <c r="BA482" s="4"/>
      <c r="BB482" s="4"/>
      <c r="BC482" s="4"/>
      <c r="BD482" s="4"/>
      <c r="BE482" s="4"/>
      <c r="BF482" s="4"/>
      <c r="BG482" s="4"/>
      <c r="BH482" s="4"/>
    </row>
    <row r="483" spans="1:60">
      <c r="A483" s="4"/>
      <c r="B483" s="3"/>
      <c r="C483" s="3"/>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5"/>
      <c r="AT483" s="4"/>
      <c r="AU483" s="4"/>
      <c r="AV483" s="4"/>
      <c r="AW483" s="4"/>
      <c r="AX483" s="4"/>
      <c r="AY483" s="4"/>
      <c r="AZ483" s="4"/>
      <c r="BA483" s="4"/>
      <c r="BB483" s="4"/>
      <c r="BC483" s="4"/>
      <c r="BD483" s="4"/>
      <c r="BE483" s="4"/>
      <c r="BF483" s="4"/>
      <c r="BG483" s="4"/>
      <c r="BH483" s="4"/>
    </row>
    <row r="484" spans="1:60">
      <c r="A484" s="4"/>
      <c r="B484" s="3"/>
      <c r="C484" s="3"/>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5"/>
      <c r="AT484" s="4"/>
      <c r="AU484" s="4"/>
      <c r="AV484" s="4"/>
      <c r="AW484" s="4"/>
      <c r="AX484" s="4"/>
      <c r="AY484" s="4"/>
      <c r="AZ484" s="4"/>
      <c r="BA484" s="4"/>
      <c r="BB484" s="4"/>
      <c r="BC484" s="4"/>
      <c r="BD484" s="4"/>
      <c r="BE484" s="4"/>
      <c r="BF484" s="4"/>
      <c r="BG484" s="4"/>
      <c r="BH484" s="4"/>
    </row>
    <row r="485" spans="1:60">
      <c r="A485" s="4"/>
      <c r="B485" s="3"/>
      <c r="C485" s="3"/>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5"/>
      <c r="AT485" s="4"/>
      <c r="AU485" s="4"/>
      <c r="AV485" s="4"/>
      <c r="AW485" s="4"/>
      <c r="AX485" s="4"/>
      <c r="AY485" s="4"/>
      <c r="AZ485" s="4"/>
      <c r="BA485" s="4"/>
      <c r="BB485" s="4"/>
      <c r="BC485" s="4"/>
      <c r="BD485" s="4"/>
      <c r="BE485" s="4"/>
      <c r="BF485" s="4"/>
      <c r="BG485" s="4"/>
      <c r="BH485" s="4"/>
    </row>
    <row r="486" spans="1:60">
      <c r="A486" s="4"/>
      <c r="B486" s="3"/>
      <c r="C486" s="3"/>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5"/>
      <c r="AT486" s="4"/>
      <c r="AU486" s="4"/>
      <c r="AV486" s="4"/>
      <c r="AW486" s="4"/>
      <c r="AX486" s="4"/>
      <c r="AY486" s="4"/>
      <c r="AZ486" s="4"/>
      <c r="BA486" s="4"/>
      <c r="BB486" s="4"/>
      <c r="BC486" s="4"/>
      <c r="BD486" s="4"/>
      <c r="BE486" s="4"/>
      <c r="BF486" s="4"/>
      <c r="BG486" s="4"/>
      <c r="BH486" s="4"/>
    </row>
    <row r="487" spans="1:60">
      <c r="A487" s="4"/>
      <c r="B487" s="3"/>
      <c r="C487" s="3"/>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5"/>
      <c r="AT487" s="4"/>
      <c r="AU487" s="4"/>
      <c r="AV487" s="4"/>
      <c r="AW487" s="4"/>
      <c r="AX487" s="4"/>
      <c r="AY487" s="4"/>
      <c r="AZ487" s="4"/>
      <c r="BA487" s="4"/>
      <c r="BB487" s="4"/>
      <c r="BC487" s="4"/>
      <c r="BD487" s="4"/>
      <c r="BE487" s="4"/>
      <c r="BF487" s="4"/>
      <c r="BG487" s="4"/>
      <c r="BH487" s="4"/>
    </row>
    <row r="488" spans="1:60">
      <c r="A488" s="4"/>
      <c r="B488" s="3"/>
      <c r="C488" s="3"/>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5"/>
      <c r="AT488" s="4"/>
      <c r="AU488" s="4"/>
      <c r="AV488" s="4"/>
      <c r="AW488" s="4"/>
      <c r="AX488" s="4"/>
      <c r="AY488" s="4"/>
      <c r="AZ488" s="4"/>
      <c r="BA488" s="4"/>
      <c r="BB488" s="4"/>
      <c r="BC488" s="4"/>
      <c r="BD488" s="4"/>
      <c r="BE488" s="4"/>
      <c r="BF488" s="4"/>
      <c r="BG488" s="4"/>
      <c r="BH488" s="4"/>
    </row>
    <row r="489" spans="1:60">
      <c r="A489" s="4"/>
      <c r="B489" s="3"/>
      <c r="C489" s="3"/>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5"/>
      <c r="AT489" s="4"/>
      <c r="AU489" s="4"/>
      <c r="AV489" s="4"/>
      <c r="AW489" s="4"/>
      <c r="AX489" s="4"/>
      <c r="AY489" s="4"/>
      <c r="AZ489" s="4"/>
      <c r="BA489" s="4"/>
      <c r="BB489" s="4"/>
      <c r="BC489" s="4"/>
      <c r="BD489" s="4"/>
      <c r="BE489" s="4"/>
      <c r="BF489" s="4"/>
      <c r="BG489" s="4"/>
      <c r="BH489" s="4"/>
    </row>
    <row r="490" spans="1:60">
      <c r="A490" s="4"/>
      <c r="B490" s="3"/>
      <c r="C490" s="3"/>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5"/>
      <c r="AT490" s="4"/>
      <c r="AU490" s="4"/>
      <c r="AV490" s="4"/>
      <c r="AW490" s="4"/>
      <c r="AX490" s="4"/>
      <c r="AY490" s="4"/>
      <c r="AZ490" s="4"/>
      <c r="BA490" s="4"/>
      <c r="BB490" s="4"/>
      <c r="BC490" s="4"/>
      <c r="BD490" s="4"/>
      <c r="BE490" s="4"/>
      <c r="BF490" s="4"/>
      <c r="BG490" s="4"/>
      <c r="BH490" s="4"/>
    </row>
    <row r="491" spans="1:60">
      <c r="A491" s="4"/>
      <c r="B491" s="3"/>
      <c r="C491" s="3"/>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5"/>
      <c r="AT491" s="4"/>
      <c r="AU491" s="4"/>
      <c r="AV491" s="4"/>
      <c r="AW491" s="4"/>
      <c r="AX491" s="4"/>
      <c r="AY491" s="4"/>
      <c r="AZ491" s="4"/>
      <c r="BA491" s="4"/>
      <c r="BB491" s="4"/>
      <c r="BC491" s="4"/>
      <c r="BD491" s="4"/>
      <c r="BE491" s="4"/>
      <c r="BF491" s="4"/>
      <c r="BG491" s="4"/>
      <c r="BH491" s="4"/>
    </row>
    <row r="492" spans="1:60">
      <c r="A492" s="4"/>
      <c r="B492" s="3"/>
      <c r="C492" s="3"/>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5"/>
      <c r="AT492" s="4"/>
      <c r="AU492" s="4"/>
      <c r="AV492" s="4"/>
      <c r="AW492" s="4"/>
      <c r="AX492" s="4"/>
      <c r="AY492" s="4"/>
      <c r="AZ492" s="4"/>
      <c r="BA492" s="4"/>
      <c r="BB492" s="4"/>
      <c r="BC492" s="4"/>
      <c r="BD492" s="4"/>
      <c r="BE492" s="4"/>
      <c r="BF492" s="4"/>
      <c r="BG492" s="4"/>
      <c r="BH492" s="4"/>
    </row>
    <row r="493" spans="1:60">
      <c r="A493" s="4"/>
      <c r="B493" s="3"/>
      <c r="C493" s="3"/>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5"/>
      <c r="AT493" s="4"/>
      <c r="AU493" s="4"/>
      <c r="AV493" s="4"/>
      <c r="AW493" s="4"/>
      <c r="AX493" s="4"/>
      <c r="AY493" s="4"/>
      <c r="AZ493" s="4"/>
      <c r="BA493" s="4"/>
      <c r="BB493" s="4"/>
      <c r="BC493" s="4"/>
      <c r="BD493" s="4"/>
      <c r="BE493" s="4"/>
      <c r="BF493" s="4"/>
      <c r="BG493" s="4"/>
      <c r="BH493" s="4"/>
    </row>
    <row r="494" spans="1:60">
      <c r="A494" s="4"/>
      <c r="B494" s="3"/>
      <c r="C494" s="3"/>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5"/>
      <c r="AT494" s="4"/>
      <c r="AU494" s="4"/>
      <c r="AV494" s="4"/>
      <c r="AW494" s="4"/>
      <c r="AX494" s="4"/>
      <c r="AY494" s="4"/>
      <c r="AZ494" s="4"/>
      <c r="BA494" s="4"/>
      <c r="BB494" s="4"/>
      <c r="BC494" s="4"/>
      <c r="BD494" s="4"/>
      <c r="BE494" s="4"/>
      <c r="BF494" s="4"/>
      <c r="BG494" s="4"/>
      <c r="BH494" s="4"/>
    </row>
    <row r="495" spans="1:60">
      <c r="A495" s="4"/>
      <c r="B495" s="3"/>
      <c r="C495" s="3"/>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5"/>
      <c r="AT495" s="4"/>
      <c r="AU495" s="4"/>
      <c r="AV495" s="4"/>
      <c r="AW495" s="4"/>
      <c r="AX495" s="4"/>
      <c r="AY495" s="4"/>
      <c r="AZ495" s="4"/>
      <c r="BA495" s="4"/>
      <c r="BB495" s="4"/>
      <c r="BC495" s="4"/>
      <c r="BD495" s="4"/>
      <c r="BE495" s="4"/>
      <c r="BF495" s="4"/>
      <c r="BG495" s="4"/>
      <c r="BH495" s="4"/>
    </row>
    <row r="496" spans="1:60">
      <c r="A496" s="4"/>
      <c r="B496" s="3"/>
      <c r="C496" s="3"/>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5"/>
      <c r="AT496" s="4"/>
      <c r="AU496" s="4"/>
      <c r="AV496" s="4"/>
      <c r="AW496" s="4"/>
      <c r="AX496" s="4"/>
      <c r="AY496" s="4"/>
      <c r="AZ496" s="4"/>
      <c r="BA496" s="4"/>
      <c r="BB496" s="4"/>
      <c r="BC496" s="4"/>
      <c r="BD496" s="4"/>
      <c r="BE496" s="4"/>
      <c r="BF496" s="4"/>
      <c r="BG496" s="4"/>
      <c r="BH496" s="4"/>
    </row>
    <row r="497" spans="1:60">
      <c r="A497" s="4"/>
      <c r="B497" s="3"/>
      <c r="C497" s="3"/>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5"/>
      <c r="AT497" s="4"/>
      <c r="AU497" s="4"/>
      <c r="AV497" s="4"/>
      <c r="AW497" s="4"/>
      <c r="AX497" s="4"/>
      <c r="AY497" s="4"/>
      <c r="AZ497" s="4"/>
      <c r="BA497" s="4"/>
      <c r="BB497" s="4"/>
      <c r="BC497" s="4"/>
      <c r="BD497" s="4"/>
      <c r="BE497" s="4"/>
      <c r="BF497" s="4"/>
      <c r="BG497" s="4"/>
      <c r="BH497" s="4"/>
    </row>
    <row r="498" spans="1:60">
      <c r="A498" s="4"/>
      <c r="B498" s="3"/>
      <c r="C498" s="3"/>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5"/>
      <c r="AT498" s="4"/>
      <c r="AU498" s="4"/>
      <c r="AV498" s="4"/>
      <c r="AW498" s="4"/>
      <c r="AX498" s="4"/>
      <c r="AY498" s="4"/>
      <c r="AZ498" s="4"/>
      <c r="BA498" s="4"/>
      <c r="BB498" s="4"/>
      <c r="BC498" s="4"/>
      <c r="BD498" s="4"/>
      <c r="BE498" s="4"/>
      <c r="BF498" s="4"/>
      <c r="BG498" s="4"/>
      <c r="BH498" s="4"/>
    </row>
    <row r="499" spans="1:60">
      <c r="A499" s="4"/>
      <c r="B499" s="3"/>
      <c r="C499" s="3"/>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5"/>
      <c r="AT499" s="4"/>
      <c r="AU499" s="4"/>
      <c r="AV499" s="4"/>
      <c r="AW499" s="4"/>
      <c r="AX499" s="4"/>
      <c r="AY499" s="4"/>
      <c r="AZ499" s="4"/>
      <c r="BA499" s="4"/>
      <c r="BB499" s="4"/>
      <c r="BC499" s="4"/>
      <c r="BD499" s="4"/>
      <c r="BE499" s="4"/>
      <c r="BF499" s="4"/>
      <c r="BG499" s="4"/>
      <c r="BH499" s="4"/>
    </row>
    <row r="500" spans="1:60">
      <c r="A500" s="4"/>
      <c r="B500" s="3"/>
      <c r="C500" s="3"/>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5"/>
      <c r="AT500" s="4"/>
      <c r="AU500" s="4"/>
      <c r="AV500" s="4"/>
      <c r="AW500" s="4"/>
      <c r="AX500" s="4"/>
      <c r="AY500" s="4"/>
      <c r="AZ500" s="4"/>
      <c r="BA500" s="4"/>
      <c r="BB500" s="4"/>
      <c r="BC500" s="4"/>
      <c r="BD500" s="4"/>
      <c r="BE500" s="4"/>
      <c r="BF500" s="4"/>
      <c r="BG500" s="4"/>
      <c r="BH500" s="4"/>
    </row>
    <row r="501" spans="1:60">
      <c r="A501" s="4"/>
      <c r="B501" s="3"/>
      <c r="C501" s="3"/>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5"/>
      <c r="AT501" s="4"/>
      <c r="AU501" s="4"/>
      <c r="AV501" s="4"/>
      <c r="AW501" s="4"/>
      <c r="AX501" s="4"/>
      <c r="AY501" s="4"/>
      <c r="AZ501" s="4"/>
      <c r="BA501" s="4"/>
      <c r="BB501" s="4"/>
      <c r="BC501" s="4"/>
      <c r="BD501" s="4"/>
      <c r="BE501" s="4"/>
      <c r="BF501" s="4"/>
      <c r="BG501" s="4"/>
      <c r="BH501" s="4"/>
    </row>
    <row r="502" spans="1:60">
      <c r="A502" s="4"/>
      <c r="B502" s="3"/>
      <c r="C502" s="3"/>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5"/>
      <c r="AT502" s="4"/>
      <c r="AU502" s="4"/>
      <c r="AV502" s="4"/>
      <c r="AW502" s="4"/>
      <c r="AX502" s="4"/>
      <c r="AY502" s="4"/>
      <c r="AZ502" s="4"/>
      <c r="BA502" s="4"/>
      <c r="BB502" s="4"/>
      <c r="BC502" s="4"/>
      <c r="BD502" s="4"/>
      <c r="BE502" s="4"/>
      <c r="BF502" s="4"/>
      <c r="BG502" s="4"/>
      <c r="BH502" s="4"/>
    </row>
    <row r="503" spans="1:60">
      <c r="A503" s="4"/>
      <c r="B503" s="3"/>
      <c r="C503" s="3"/>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5"/>
      <c r="AT503" s="4"/>
      <c r="AU503" s="4"/>
      <c r="AV503" s="4"/>
      <c r="AW503" s="4"/>
      <c r="AX503" s="4"/>
      <c r="AY503" s="4"/>
      <c r="AZ503" s="4"/>
      <c r="BA503" s="4"/>
      <c r="BB503" s="4"/>
      <c r="BC503" s="4"/>
      <c r="BD503" s="4"/>
      <c r="BE503" s="4"/>
      <c r="BF503" s="4"/>
      <c r="BG503" s="4"/>
      <c r="BH503" s="4"/>
    </row>
    <row r="504" spans="1:60">
      <c r="A504" s="4"/>
      <c r="B504" s="3"/>
      <c r="C504" s="3"/>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5"/>
      <c r="AT504" s="4"/>
      <c r="AU504" s="4"/>
      <c r="AV504" s="4"/>
      <c r="AW504" s="4"/>
      <c r="AX504" s="4"/>
      <c r="AY504" s="4"/>
      <c r="AZ504" s="4"/>
      <c r="BA504" s="4"/>
      <c r="BB504" s="4"/>
      <c r="BC504" s="4"/>
      <c r="BD504" s="4"/>
      <c r="BE504" s="4"/>
      <c r="BF504" s="4"/>
      <c r="BG504" s="4"/>
      <c r="BH504" s="4"/>
    </row>
    <row r="505" spans="1:60">
      <c r="A505" s="4"/>
      <c r="B505" s="3"/>
      <c r="C505" s="3"/>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5"/>
      <c r="AT505" s="4"/>
      <c r="AU505" s="4"/>
      <c r="AV505" s="4"/>
      <c r="AW505" s="4"/>
      <c r="AX505" s="4"/>
      <c r="AY505" s="4"/>
      <c r="AZ505" s="4"/>
      <c r="BA505" s="4"/>
      <c r="BB505" s="4"/>
      <c r="BC505" s="4"/>
      <c r="BD505" s="4"/>
      <c r="BE505" s="4"/>
      <c r="BF505" s="4"/>
      <c r="BG505" s="4"/>
      <c r="BH505" s="4"/>
    </row>
    <row r="506" spans="1:60">
      <c r="A506" s="4"/>
      <c r="B506" s="3"/>
      <c r="C506" s="3"/>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5"/>
      <c r="AT506" s="4"/>
      <c r="AU506" s="4"/>
      <c r="AV506" s="4"/>
      <c r="AW506" s="4"/>
      <c r="AX506" s="4"/>
      <c r="AY506" s="4"/>
      <c r="AZ506" s="4"/>
      <c r="BA506" s="4"/>
      <c r="BB506" s="4"/>
      <c r="BC506" s="4"/>
      <c r="BD506" s="4"/>
      <c r="BE506" s="4"/>
      <c r="BF506" s="4"/>
      <c r="BG506" s="4"/>
      <c r="BH506" s="4"/>
    </row>
    <row r="507" spans="1:60">
      <c r="A507" s="4"/>
      <c r="B507" s="3"/>
      <c r="C507" s="3"/>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5"/>
      <c r="AT507" s="4"/>
      <c r="AU507" s="4"/>
      <c r="AV507" s="4"/>
      <c r="AW507" s="4"/>
      <c r="AX507" s="4"/>
      <c r="AY507" s="4"/>
      <c r="AZ507" s="4"/>
      <c r="BA507" s="4"/>
      <c r="BB507" s="4"/>
      <c r="BC507" s="4"/>
      <c r="BD507" s="4"/>
      <c r="BE507" s="4"/>
      <c r="BF507" s="4"/>
      <c r="BG507" s="4"/>
      <c r="BH507" s="4"/>
    </row>
    <row r="508" spans="1:60">
      <c r="A508" s="4"/>
      <c r="B508" s="3"/>
      <c r="C508" s="3"/>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5"/>
      <c r="AT508" s="4"/>
      <c r="AU508" s="4"/>
      <c r="AV508" s="4"/>
      <c r="AW508" s="4"/>
      <c r="AX508" s="4"/>
      <c r="AY508" s="4"/>
      <c r="AZ508" s="4"/>
      <c r="BA508" s="4"/>
      <c r="BB508" s="4"/>
      <c r="BC508" s="4"/>
      <c r="BD508" s="4"/>
      <c r="BE508" s="4"/>
      <c r="BF508" s="4"/>
      <c r="BG508" s="4"/>
      <c r="BH508" s="4"/>
    </row>
    <row r="509" spans="1:60">
      <c r="A509" s="4"/>
      <c r="B509" s="3"/>
      <c r="C509" s="3"/>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5"/>
      <c r="AT509" s="4"/>
      <c r="AU509" s="4"/>
      <c r="AV509" s="4"/>
      <c r="AW509" s="4"/>
      <c r="AX509" s="4"/>
      <c r="AY509" s="4"/>
      <c r="AZ509" s="4"/>
      <c r="BA509" s="4"/>
      <c r="BB509" s="4"/>
      <c r="BC509" s="4"/>
      <c r="BD509" s="4"/>
      <c r="BE509" s="4"/>
      <c r="BF509" s="4"/>
      <c r="BG509" s="4"/>
      <c r="BH509" s="4"/>
    </row>
    <row r="510" spans="1:60">
      <c r="A510" s="4"/>
      <c r="B510" s="3"/>
      <c r="C510" s="3"/>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5"/>
      <c r="AT510" s="4"/>
      <c r="AU510" s="4"/>
      <c r="AV510" s="4"/>
      <c r="AW510" s="4"/>
      <c r="AX510" s="4"/>
      <c r="AY510" s="4"/>
      <c r="AZ510" s="4"/>
      <c r="BA510" s="4"/>
      <c r="BB510" s="4"/>
      <c r="BC510" s="4"/>
      <c r="BD510" s="4"/>
      <c r="BE510" s="4"/>
      <c r="BF510" s="4"/>
      <c r="BG510" s="4"/>
      <c r="BH510" s="4"/>
    </row>
    <row r="511" spans="1:60">
      <c r="A511" s="4"/>
      <c r="B511" s="3"/>
      <c r="C511" s="3"/>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5"/>
      <c r="AT511" s="4"/>
      <c r="AU511" s="4"/>
      <c r="AV511" s="4"/>
      <c r="AW511" s="4"/>
      <c r="AX511" s="4"/>
      <c r="AY511" s="4"/>
      <c r="AZ511" s="4"/>
      <c r="BA511" s="4"/>
      <c r="BB511" s="4"/>
      <c r="BC511" s="4"/>
      <c r="BD511" s="4"/>
      <c r="BE511" s="4"/>
      <c r="BF511" s="4"/>
      <c r="BG511" s="4"/>
      <c r="BH511" s="4"/>
    </row>
    <row r="512" spans="1:60">
      <c r="A512" s="4"/>
      <c r="B512" s="3"/>
      <c r="C512" s="3"/>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5"/>
      <c r="AT512" s="4"/>
      <c r="AU512" s="4"/>
      <c r="AV512" s="4"/>
      <c r="AW512" s="4"/>
      <c r="AX512" s="4"/>
      <c r="AY512" s="4"/>
      <c r="AZ512" s="4"/>
      <c r="BA512" s="4"/>
      <c r="BB512" s="4"/>
      <c r="BC512" s="4"/>
      <c r="BD512" s="4"/>
      <c r="BE512" s="4"/>
      <c r="BF512" s="4"/>
      <c r="BG512" s="4"/>
      <c r="BH512" s="4"/>
    </row>
    <row r="513" spans="1:60">
      <c r="A513" s="4"/>
      <c r="B513" s="3"/>
      <c r="C513" s="3"/>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5"/>
      <c r="AT513" s="4"/>
      <c r="AU513" s="4"/>
      <c r="AV513" s="4"/>
      <c r="AW513" s="4"/>
      <c r="AX513" s="4"/>
      <c r="AY513" s="4"/>
      <c r="AZ513" s="4"/>
      <c r="BA513" s="4"/>
      <c r="BB513" s="4"/>
      <c r="BC513" s="4"/>
      <c r="BD513" s="4"/>
      <c r="BE513" s="4"/>
      <c r="BF513" s="4"/>
      <c r="BG513" s="4"/>
      <c r="BH513" s="4"/>
    </row>
    <row r="514" spans="1:60">
      <c r="A514" s="4"/>
      <c r="B514" s="3"/>
      <c r="C514" s="3"/>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5"/>
      <c r="AT514" s="4"/>
      <c r="AU514" s="4"/>
      <c r="AV514" s="4"/>
      <c r="AW514" s="4"/>
      <c r="AX514" s="4"/>
      <c r="AY514" s="4"/>
      <c r="AZ514" s="4"/>
      <c r="BA514" s="4"/>
      <c r="BB514" s="4"/>
      <c r="BC514" s="4"/>
      <c r="BD514" s="4"/>
      <c r="BE514" s="4"/>
      <c r="BF514" s="4"/>
      <c r="BG514" s="4"/>
      <c r="BH514" s="4"/>
    </row>
    <row r="515" spans="1:60">
      <c r="A515" s="4"/>
      <c r="B515" s="3"/>
      <c r="C515" s="3"/>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5"/>
      <c r="AT515" s="4"/>
      <c r="AU515" s="4"/>
      <c r="AV515" s="4"/>
      <c r="AW515" s="4"/>
      <c r="AX515" s="4"/>
      <c r="AY515" s="4"/>
      <c r="AZ515" s="4"/>
      <c r="BA515" s="4"/>
      <c r="BB515" s="4"/>
      <c r="BC515" s="4"/>
      <c r="BD515" s="4"/>
      <c r="BE515" s="4"/>
      <c r="BF515" s="4"/>
      <c r="BG515" s="4"/>
      <c r="BH515" s="4"/>
    </row>
    <row r="516" spans="1:60">
      <c r="A516" s="4"/>
      <c r="B516" s="3"/>
      <c r="C516" s="3"/>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5"/>
      <c r="AT516" s="4"/>
      <c r="AU516" s="4"/>
      <c r="AV516" s="4"/>
      <c r="AW516" s="4"/>
      <c r="AX516" s="4"/>
      <c r="AY516" s="4"/>
      <c r="AZ516" s="4"/>
      <c r="BA516" s="4"/>
      <c r="BB516" s="4"/>
      <c r="BC516" s="4"/>
      <c r="BD516" s="4"/>
      <c r="BE516" s="4"/>
      <c r="BF516" s="4"/>
      <c r="BG516" s="4"/>
      <c r="BH516" s="4"/>
    </row>
    <row r="517" spans="1:60">
      <c r="A517" s="4"/>
      <c r="B517" s="3"/>
      <c r="C517" s="3"/>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5"/>
      <c r="AT517" s="4"/>
      <c r="AU517" s="4"/>
      <c r="AV517" s="4"/>
      <c r="AW517" s="4"/>
      <c r="AX517" s="4"/>
      <c r="AY517" s="4"/>
      <c r="AZ517" s="4"/>
      <c r="BA517" s="4"/>
      <c r="BB517" s="4"/>
      <c r="BC517" s="4"/>
      <c r="BD517" s="4"/>
      <c r="BE517" s="4"/>
      <c r="BF517" s="4"/>
      <c r="BG517" s="4"/>
      <c r="BH517" s="4"/>
    </row>
    <row r="518" spans="1:60">
      <c r="A518" s="4"/>
      <c r="B518" s="3"/>
      <c r="C518" s="3"/>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5"/>
      <c r="AT518" s="4"/>
      <c r="AU518" s="4"/>
      <c r="AV518" s="4"/>
      <c r="AW518" s="4"/>
      <c r="AX518" s="4"/>
      <c r="AY518" s="4"/>
      <c r="AZ518" s="4"/>
      <c r="BA518" s="4"/>
      <c r="BB518" s="4"/>
      <c r="BC518" s="4"/>
      <c r="BD518" s="4"/>
      <c r="BE518" s="4"/>
      <c r="BF518" s="4"/>
      <c r="BG518" s="4"/>
      <c r="BH518" s="4"/>
    </row>
    <row r="519" spans="1:60">
      <c r="A519" s="4"/>
      <c r="B519" s="3"/>
      <c r="C519" s="3"/>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5"/>
      <c r="AT519" s="4"/>
      <c r="AU519" s="4"/>
      <c r="AV519" s="4"/>
      <c r="AW519" s="4"/>
      <c r="AX519" s="4"/>
      <c r="AY519" s="4"/>
      <c r="AZ519" s="4"/>
      <c r="BA519" s="4"/>
      <c r="BB519" s="4"/>
      <c r="BC519" s="4"/>
      <c r="BD519" s="4"/>
      <c r="BE519" s="4"/>
      <c r="BF519" s="4"/>
      <c r="BG519" s="4"/>
      <c r="BH519" s="4"/>
    </row>
    <row r="520" spans="1:60">
      <c r="A520" s="4"/>
      <c r="B520" s="3"/>
      <c r="C520" s="3"/>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5"/>
      <c r="AT520" s="4"/>
      <c r="AU520" s="4"/>
      <c r="AV520" s="4"/>
      <c r="AW520" s="4"/>
      <c r="AX520" s="4"/>
      <c r="AY520" s="4"/>
      <c r="AZ520" s="4"/>
      <c r="BA520" s="4"/>
      <c r="BB520" s="4"/>
      <c r="BC520" s="4"/>
      <c r="BD520" s="4"/>
      <c r="BE520" s="4"/>
      <c r="BF520" s="4"/>
      <c r="BG520" s="4"/>
      <c r="BH520" s="4"/>
    </row>
    <row r="521" spans="1:60">
      <c r="A521" s="4"/>
      <c r="B521" s="3"/>
      <c r="C521" s="3"/>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5"/>
      <c r="AT521" s="4"/>
      <c r="AU521" s="4"/>
      <c r="AV521" s="4"/>
      <c r="AW521" s="4"/>
      <c r="AX521" s="4"/>
      <c r="AY521" s="4"/>
      <c r="AZ521" s="4"/>
      <c r="BA521" s="4"/>
      <c r="BB521" s="4"/>
      <c r="BC521" s="4"/>
      <c r="BD521" s="4"/>
      <c r="BE521" s="4"/>
      <c r="BF521" s="4"/>
      <c r="BG521" s="4"/>
      <c r="BH521" s="4"/>
    </row>
    <row r="522" spans="1:60">
      <c r="A522" s="4"/>
      <c r="B522" s="3"/>
      <c r="C522" s="3"/>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5"/>
      <c r="AT522" s="4"/>
      <c r="AU522" s="4"/>
      <c r="AV522" s="4"/>
      <c r="AW522" s="4"/>
      <c r="AX522" s="4"/>
      <c r="AY522" s="4"/>
      <c r="AZ522" s="4"/>
      <c r="BA522" s="4"/>
      <c r="BB522" s="4"/>
      <c r="BC522" s="4"/>
      <c r="BD522" s="4"/>
      <c r="BE522" s="4"/>
      <c r="BF522" s="4"/>
      <c r="BG522" s="4"/>
      <c r="BH522" s="4"/>
    </row>
    <row r="523" spans="1:60">
      <c r="A523" s="4"/>
      <c r="B523" s="3"/>
      <c r="C523" s="3"/>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5"/>
      <c r="AT523" s="4"/>
      <c r="AU523" s="4"/>
      <c r="AV523" s="4"/>
      <c r="AW523" s="4"/>
      <c r="AX523" s="4"/>
      <c r="AY523" s="4"/>
      <c r="AZ523" s="4"/>
      <c r="BA523" s="4"/>
      <c r="BB523" s="4"/>
      <c r="BC523" s="4"/>
      <c r="BD523" s="4"/>
      <c r="BE523" s="4"/>
      <c r="BF523" s="4"/>
      <c r="BG523" s="4"/>
      <c r="BH523" s="4"/>
    </row>
    <row r="524" spans="1:60">
      <c r="A524" s="4"/>
      <c r="B524" s="3"/>
      <c r="C524" s="3"/>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5"/>
      <c r="AT524" s="4"/>
      <c r="AU524" s="4"/>
      <c r="AV524" s="4"/>
      <c r="AW524" s="4"/>
      <c r="AX524" s="4"/>
      <c r="AY524" s="4"/>
      <c r="AZ524" s="4"/>
      <c r="BA524" s="4"/>
      <c r="BB524" s="4"/>
      <c r="BC524" s="4"/>
      <c r="BD524" s="4"/>
      <c r="BE524" s="4"/>
      <c r="BF524" s="4"/>
      <c r="BG524" s="4"/>
      <c r="BH524" s="4"/>
    </row>
    <row r="525" spans="1:60">
      <c r="A525" s="4"/>
      <c r="B525" s="3"/>
      <c r="C525" s="3"/>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5"/>
      <c r="AT525" s="4"/>
      <c r="AU525" s="4"/>
      <c r="AV525" s="4"/>
      <c r="AW525" s="4"/>
      <c r="AX525" s="4"/>
      <c r="AY525" s="4"/>
      <c r="AZ525" s="4"/>
      <c r="BA525" s="4"/>
      <c r="BB525" s="4"/>
      <c r="BC525" s="4"/>
      <c r="BD525" s="4"/>
      <c r="BE525" s="4"/>
      <c r="BF525" s="4"/>
      <c r="BG525" s="4"/>
      <c r="BH525" s="4"/>
    </row>
    <row r="526" spans="1:60">
      <c r="A526" s="4"/>
      <c r="B526" s="3"/>
      <c r="C526" s="3"/>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5"/>
      <c r="AT526" s="4"/>
      <c r="AU526" s="4"/>
      <c r="AV526" s="4"/>
      <c r="AW526" s="4"/>
      <c r="AX526" s="4"/>
      <c r="AY526" s="4"/>
      <c r="AZ526" s="4"/>
      <c r="BA526" s="4"/>
      <c r="BB526" s="4"/>
      <c r="BC526" s="4"/>
      <c r="BD526" s="4"/>
      <c r="BE526" s="4"/>
      <c r="BF526" s="4"/>
      <c r="BG526" s="4"/>
      <c r="BH526" s="4"/>
    </row>
    <row r="527" spans="1:60">
      <c r="A527" s="4"/>
      <c r="B527" s="3"/>
      <c r="C527" s="3"/>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5"/>
      <c r="AT527" s="4"/>
      <c r="AU527" s="4"/>
      <c r="AV527" s="4"/>
      <c r="AW527" s="4"/>
      <c r="AX527" s="4"/>
      <c r="AY527" s="4"/>
      <c r="AZ527" s="4"/>
      <c r="BA527" s="4"/>
      <c r="BB527" s="4"/>
      <c r="BC527" s="4"/>
      <c r="BD527" s="4"/>
      <c r="BE527" s="4"/>
      <c r="BF527" s="4"/>
      <c r="BG527" s="4"/>
      <c r="BH527" s="4"/>
    </row>
    <row r="528" spans="1:60">
      <c r="A528" s="4"/>
      <c r="B528" s="3"/>
      <c r="C528" s="3"/>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5"/>
      <c r="AT528" s="4"/>
      <c r="AU528" s="4"/>
      <c r="AV528" s="4"/>
      <c r="AW528" s="4"/>
      <c r="AX528" s="4"/>
      <c r="AY528" s="4"/>
      <c r="AZ528" s="4"/>
      <c r="BA528" s="4"/>
      <c r="BB528" s="4"/>
      <c r="BC528" s="4"/>
      <c r="BD528" s="4"/>
      <c r="BE528" s="4"/>
      <c r="BF528" s="4"/>
      <c r="BG528" s="4"/>
      <c r="BH528" s="4"/>
    </row>
    <row r="529" spans="1:60">
      <c r="A529" s="4"/>
      <c r="B529" s="3"/>
      <c r="C529" s="3"/>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5"/>
      <c r="AT529" s="4"/>
      <c r="AU529" s="4"/>
      <c r="AV529" s="4"/>
      <c r="AW529" s="4"/>
      <c r="AX529" s="4"/>
      <c r="AY529" s="4"/>
      <c r="AZ529" s="4"/>
      <c r="BA529" s="4"/>
      <c r="BB529" s="4"/>
      <c r="BC529" s="4"/>
      <c r="BD529" s="4"/>
      <c r="BE529" s="4"/>
      <c r="BF529" s="4"/>
      <c r="BG529" s="4"/>
      <c r="BH529" s="4"/>
    </row>
    <row r="530" spans="1:60">
      <c r="A530" s="4"/>
      <c r="B530" s="3"/>
      <c r="C530" s="3"/>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5"/>
      <c r="AT530" s="4"/>
      <c r="AU530" s="4"/>
      <c r="AV530" s="4"/>
      <c r="AW530" s="4"/>
      <c r="AX530" s="4"/>
      <c r="AY530" s="4"/>
      <c r="AZ530" s="4"/>
      <c r="BA530" s="4"/>
      <c r="BB530" s="4"/>
      <c r="BC530" s="4"/>
      <c r="BD530" s="4"/>
      <c r="BE530" s="4"/>
      <c r="BF530" s="4"/>
      <c r="BG530" s="4"/>
      <c r="BH530" s="4"/>
    </row>
    <row r="531" spans="1:60">
      <c r="A531" s="4"/>
      <c r="B531" s="3"/>
      <c r="C531" s="3"/>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5"/>
      <c r="AT531" s="4"/>
      <c r="AU531" s="4"/>
      <c r="AV531" s="4"/>
      <c r="AW531" s="4"/>
      <c r="AX531" s="4"/>
      <c r="AY531" s="4"/>
      <c r="AZ531" s="4"/>
      <c r="BA531" s="4"/>
      <c r="BB531" s="4"/>
      <c r="BC531" s="4"/>
      <c r="BD531" s="4"/>
      <c r="BE531" s="4"/>
      <c r="BF531" s="4"/>
      <c r="BG531" s="4"/>
      <c r="BH531" s="4"/>
    </row>
    <row r="532" spans="1:60">
      <c r="A532" s="4"/>
      <c r="B532" s="3"/>
      <c r="C532" s="3"/>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5"/>
      <c r="AT532" s="4"/>
      <c r="AU532" s="4"/>
      <c r="AV532" s="4"/>
      <c r="AW532" s="4"/>
      <c r="AX532" s="4"/>
      <c r="AY532" s="4"/>
      <c r="AZ532" s="4"/>
      <c r="BA532" s="4"/>
      <c r="BB532" s="4"/>
      <c r="BC532" s="4"/>
      <c r="BD532" s="4"/>
      <c r="BE532" s="4"/>
      <c r="BF532" s="4"/>
      <c r="BG532" s="4"/>
      <c r="BH532" s="4"/>
    </row>
    <row r="533" spans="1:60">
      <c r="A533" s="4"/>
      <c r="B533" s="3"/>
      <c r="C533" s="3"/>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5"/>
      <c r="AT533" s="4"/>
      <c r="AU533" s="4"/>
      <c r="AV533" s="4"/>
      <c r="AW533" s="4"/>
      <c r="AX533" s="4"/>
      <c r="AY533" s="4"/>
      <c r="AZ533" s="4"/>
      <c r="BA533" s="4"/>
      <c r="BB533" s="4"/>
      <c r="BC533" s="4"/>
      <c r="BD533" s="4"/>
      <c r="BE533" s="4"/>
      <c r="BF533" s="4"/>
      <c r="BG533" s="4"/>
      <c r="BH533" s="4"/>
    </row>
    <row r="534" spans="1:60">
      <c r="A534" s="4"/>
      <c r="B534" s="3"/>
      <c r="C534" s="3"/>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5"/>
      <c r="AT534" s="4"/>
      <c r="AU534" s="4"/>
      <c r="AV534" s="4"/>
      <c r="AW534" s="4"/>
      <c r="AX534" s="4"/>
      <c r="AY534" s="4"/>
      <c r="AZ534" s="4"/>
      <c r="BA534" s="4"/>
      <c r="BB534" s="4"/>
      <c r="BC534" s="4"/>
      <c r="BD534" s="4"/>
      <c r="BE534" s="4"/>
      <c r="BF534" s="4"/>
      <c r="BG534" s="4"/>
      <c r="BH534" s="4"/>
    </row>
    <row r="535" spans="1:60">
      <c r="A535" s="4"/>
      <c r="B535" s="3"/>
      <c r="C535" s="3"/>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5"/>
      <c r="AT535" s="4"/>
      <c r="AU535" s="4"/>
      <c r="AV535" s="4"/>
      <c r="AW535" s="4"/>
      <c r="AX535" s="4"/>
      <c r="AY535" s="4"/>
      <c r="AZ535" s="4"/>
      <c r="BA535" s="4"/>
      <c r="BB535" s="4"/>
      <c r="BC535" s="4"/>
      <c r="BD535" s="4"/>
      <c r="BE535" s="4"/>
      <c r="BF535" s="4"/>
      <c r="BG535" s="4"/>
      <c r="BH535" s="4"/>
    </row>
    <row r="536" spans="1:60">
      <c r="A536" s="4"/>
      <c r="B536" s="3"/>
      <c r="C536" s="3"/>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5"/>
      <c r="AT536" s="4"/>
      <c r="AU536" s="4"/>
      <c r="AV536" s="4"/>
      <c r="AW536" s="4"/>
      <c r="AX536" s="4"/>
      <c r="AY536" s="4"/>
      <c r="AZ536" s="4"/>
      <c r="BA536" s="4"/>
      <c r="BB536" s="4"/>
      <c r="BC536" s="4"/>
      <c r="BD536" s="4"/>
      <c r="BE536" s="4"/>
      <c r="BF536" s="4"/>
      <c r="BG536" s="4"/>
      <c r="BH536" s="4"/>
    </row>
    <row r="537" spans="1:60">
      <c r="A537" s="4"/>
      <c r="B537" s="3"/>
      <c r="C537" s="3"/>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5"/>
      <c r="AT537" s="4"/>
      <c r="AU537" s="4"/>
      <c r="AV537" s="4"/>
      <c r="AW537" s="4"/>
      <c r="AX537" s="4"/>
      <c r="AY537" s="4"/>
      <c r="AZ537" s="4"/>
      <c r="BA537" s="4"/>
      <c r="BB537" s="4"/>
      <c r="BC537" s="4"/>
      <c r="BD537" s="4"/>
      <c r="BE537" s="4"/>
      <c r="BF537" s="4"/>
      <c r="BG537" s="4"/>
      <c r="BH537" s="4"/>
    </row>
    <row r="538" spans="1:60">
      <c r="A538" s="4"/>
      <c r="B538" s="3"/>
      <c r="C538" s="3"/>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5"/>
      <c r="AT538" s="4"/>
      <c r="AU538" s="4"/>
      <c r="AV538" s="4"/>
      <c r="AW538" s="4"/>
      <c r="AX538" s="4"/>
      <c r="AY538" s="4"/>
      <c r="AZ538" s="4"/>
      <c r="BA538" s="4"/>
      <c r="BB538" s="4"/>
      <c r="BC538" s="4"/>
      <c r="BD538" s="4"/>
      <c r="BE538" s="4"/>
      <c r="BF538" s="4"/>
      <c r="BG538" s="4"/>
      <c r="BH538" s="4"/>
    </row>
    <row r="539" spans="1:60">
      <c r="A539" s="4"/>
      <c r="B539" s="3"/>
      <c r="C539" s="3"/>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5"/>
      <c r="AT539" s="4"/>
      <c r="AU539" s="4"/>
      <c r="AV539" s="4"/>
      <c r="AW539" s="4"/>
      <c r="AX539" s="4"/>
      <c r="AY539" s="4"/>
      <c r="AZ539" s="4"/>
      <c r="BA539" s="4"/>
      <c r="BB539" s="4"/>
      <c r="BC539" s="4"/>
      <c r="BD539" s="4"/>
      <c r="BE539" s="4"/>
      <c r="BF539" s="4"/>
      <c r="BG539" s="4"/>
      <c r="BH539" s="4"/>
    </row>
    <row r="540" spans="1:60">
      <c r="A540" s="4"/>
      <c r="B540" s="3"/>
      <c r="C540" s="3"/>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5"/>
      <c r="AT540" s="4"/>
      <c r="AU540" s="4"/>
      <c r="AV540" s="4"/>
      <c r="AW540" s="4"/>
      <c r="AX540" s="4"/>
      <c r="AY540" s="4"/>
      <c r="AZ540" s="4"/>
      <c r="BA540" s="4"/>
      <c r="BB540" s="4"/>
      <c r="BC540" s="4"/>
      <c r="BD540" s="4"/>
      <c r="BE540" s="4"/>
      <c r="BF540" s="4"/>
      <c r="BG540" s="4"/>
      <c r="BH540" s="4"/>
    </row>
    <row r="541" spans="1:60">
      <c r="A541" s="4"/>
      <c r="B541" s="3"/>
      <c r="C541" s="3"/>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5"/>
      <c r="AT541" s="4"/>
      <c r="AU541" s="4"/>
      <c r="AV541" s="4"/>
      <c r="AW541" s="4"/>
      <c r="AX541" s="4"/>
      <c r="AY541" s="4"/>
      <c r="AZ541" s="4"/>
      <c r="BA541" s="4"/>
      <c r="BB541" s="4"/>
      <c r="BC541" s="4"/>
      <c r="BD541" s="4"/>
      <c r="BE541" s="4"/>
      <c r="BF541" s="4"/>
      <c r="BG541" s="4"/>
      <c r="BH541" s="4"/>
    </row>
    <row r="542" spans="1:60">
      <c r="A542" s="4"/>
      <c r="B542" s="3"/>
      <c r="C542" s="3"/>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5"/>
      <c r="AT542" s="4"/>
      <c r="AU542" s="4"/>
      <c r="AV542" s="4"/>
      <c r="AW542" s="4"/>
      <c r="AX542" s="4"/>
      <c r="AY542" s="4"/>
      <c r="AZ542" s="4"/>
      <c r="BA542" s="4"/>
      <c r="BB542" s="4"/>
      <c r="BC542" s="4"/>
      <c r="BD542" s="4"/>
      <c r="BE542" s="4"/>
      <c r="BF542" s="4"/>
      <c r="BG542" s="4"/>
      <c r="BH542" s="4"/>
    </row>
    <row r="543" spans="1:60">
      <c r="A543" s="4"/>
      <c r="B543" s="3"/>
      <c r="C543" s="3"/>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5"/>
      <c r="AT543" s="4"/>
      <c r="AU543" s="4"/>
      <c r="AV543" s="4"/>
      <c r="AW543" s="4"/>
      <c r="AX543" s="4"/>
      <c r="AY543" s="4"/>
      <c r="AZ543" s="4"/>
      <c r="BA543" s="4"/>
      <c r="BB543" s="4"/>
      <c r="BC543" s="4"/>
      <c r="BD543" s="4"/>
      <c r="BE543" s="4"/>
      <c r="BF543" s="4"/>
      <c r="BG543" s="4"/>
      <c r="BH543" s="4"/>
    </row>
    <row r="544" spans="1:60">
      <c r="A544" s="4"/>
      <c r="B544" s="3"/>
      <c r="C544" s="3"/>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5"/>
      <c r="AT544" s="4"/>
      <c r="AU544" s="4"/>
      <c r="AV544" s="4"/>
      <c r="AW544" s="4"/>
      <c r="AX544" s="4"/>
      <c r="AY544" s="4"/>
      <c r="AZ544" s="4"/>
      <c r="BA544" s="4"/>
      <c r="BB544" s="4"/>
      <c r="BC544" s="4"/>
      <c r="BD544" s="4"/>
      <c r="BE544" s="4"/>
      <c r="BF544" s="4"/>
      <c r="BG544" s="4"/>
      <c r="BH544" s="4"/>
    </row>
    <row r="545" spans="1:60">
      <c r="A545" s="4"/>
      <c r="B545" s="3"/>
      <c r="C545" s="3"/>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5"/>
      <c r="AT545" s="4"/>
      <c r="AU545" s="4"/>
      <c r="AV545" s="4"/>
      <c r="AW545" s="4"/>
      <c r="AX545" s="4"/>
      <c r="AY545" s="4"/>
      <c r="AZ545" s="4"/>
      <c r="BA545" s="4"/>
      <c r="BB545" s="4"/>
      <c r="BC545" s="4"/>
      <c r="BD545" s="4"/>
      <c r="BE545" s="4"/>
      <c r="BF545" s="4"/>
      <c r="BG545" s="4"/>
      <c r="BH545" s="4"/>
    </row>
    <row r="546" spans="1:60">
      <c r="A546" s="4"/>
      <c r="B546" s="3"/>
      <c r="C546" s="3"/>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5"/>
      <c r="AT546" s="4"/>
      <c r="AU546" s="4"/>
      <c r="AV546" s="4"/>
      <c r="AW546" s="4"/>
      <c r="AX546" s="4"/>
      <c r="AY546" s="4"/>
      <c r="AZ546" s="4"/>
      <c r="BA546" s="4"/>
      <c r="BB546" s="4"/>
      <c r="BC546" s="4"/>
      <c r="BD546" s="4"/>
      <c r="BE546" s="4"/>
      <c r="BF546" s="4"/>
      <c r="BG546" s="4"/>
      <c r="BH546" s="4"/>
    </row>
    <row r="547" spans="1:60">
      <c r="A547" s="4"/>
      <c r="B547" s="3"/>
      <c r="C547" s="3"/>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5"/>
      <c r="AT547" s="4"/>
      <c r="AU547" s="4"/>
      <c r="AV547" s="4"/>
      <c r="AW547" s="4"/>
      <c r="AX547" s="4"/>
      <c r="AY547" s="4"/>
      <c r="AZ547" s="4"/>
      <c r="BA547" s="4"/>
      <c r="BB547" s="4"/>
      <c r="BC547" s="4"/>
      <c r="BD547" s="4"/>
      <c r="BE547" s="4"/>
      <c r="BF547" s="4"/>
      <c r="BG547" s="4"/>
      <c r="BH547" s="4"/>
    </row>
    <row r="548" spans="1:60">
      <c r="A548" s="4"/>
      <c r="B548" s="3"/>
      <c r="C548" s="3"/>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5"/>
      <c r="AT548" s="4"/>
      <c r="AU548" s="4"/>
      <c r="AV548" s="4"/>
      <c r="AW548" s="4"/>
      <c r="AX548" s="4"/>
      <c r="AY548" s="4"/>
      <c r="AZ548" s="4"/>
      <c r="BA548" s="4"/>
      <c r="BB548" s="4"/>
      <c r="BC548" s="4"/>
      <c r="BD548" s="4"/>
      <c r="BE548" s="4"/>
      <c r="BF548" s="4"/>
      <c r="BG548" s="4"/>
      <c r="BH548" s="4"/>
    </row>
    <row r="549" spans="1:60">
      <c r="A549" s="4"/>
      <c r="B549" s="3"/>
      <c r="C549" s="3"/>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5"/>
      <c r="AT549" s="4"/>
      <c r="AU549" s="4"/>
      <c r="AV549" s="4"/>
      <c r="AW549" s="4"/>
      <c r="AX549" s="4"/>
      <c r="AY549" s="4"/>
      <c r="AZ549" s="4"/>
      <c r="BA549" s="4"/>
      <c r="BB549" s="4"/>
      <c r="BC549" s="4"/>
      <c r="BD549" s="4"/>
      <c r="BE549" s="4"/>
      <c r="BF549" s="4"/>
      <c r="BG549" s="4"/>
      <c r="BH549" s="4"/>
    </row>
    <row r="550" spans="1:60">
      <c r="A550" s="4"/>
      <c r="B550" s="3"/>
      <c r="C550" s="3"/>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5"/>
      <c r="AT550" s="4"/>
      <c r="AU550" s="4"/>
      <c r="AV550" s="4"/>
      <c r="AW550" s="4"/>
      <c r="AX550" s="4"/>
      <c r="AY550" s="4"/>
      <c r="AZ550" s="4"/>
      <c r="BA550" s="4"/>
      <c r="BB550" s="4"/>
      <c r="BC550" s="4"/>
      <c r="BD550" s="4"/>
      <c r="BE550" s="4"/>
      <c r="BF550" s="4"/>
      <c r="BG550" s="4"/>
      <c r="BH550" s="4"/>
    </row>
    <row r="551" spans="1:60">
      <c r="A551" s="4"/>
      <c r="B551" s="3"/>
      <c r="C551" s="3"/>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5"/>
      <c r="AT551" s="4"/>
      <c r="AU551" s="4"/>
      <c r="AV551" s="4"/>
      <c r="AW551" s="4"/>
      <c r="AX551" s="4"/>
      <c r="AY551" s="4"/>
      <c r="AZ551" s="4"/>
      <c r="BA551" s="4"/>
      <c r="BB551" s="4"/>
      <c r="BC551" s="4"/>
      <c r="BD551" s="4"/>
      <c r="BE551" s="4"/>
      <c r="BF551" s="4"/>
      <c r="BG551" s="4"/>
      <c r="BH551" s="4"/>
    </row>
    <row r="552" spans="1:60">
      <c r="A552" s="4"/>
      <c r="B552" s="3"/>
      <c r="C552" s="3"/>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5"/>
      <c r="AT552" s="4"/>
      <c r="AU552" s="4"/>
      <c r="AV552" s="4"/>
      <c r="AW552" s="4"/>
      <c r="AX552" s="4"/>
      <c r="AY552" s="4"/>
      <c r="AZ552" s="4"/>
      <c r="BA552" s="4"/>
      <c r="BB552" s="4"/>
      <c r="BC552" s="4"/>
      <c r="BD552" s="4"/>
      <c r="BE552" s="4"/>
      <c r="BF552" s="4"/>
      <c r="BG552" s="4"/>
      <c r="BH552" s="4"/>
    </row>
    <row r="553" spans="1:60">
      <c r="A553" s="4"/>
      <c r="B553" s="3"/>
      <c r="C553" s="3"/>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5"/>
      <c r="AT553" s="4"/>
      <c r="AU553" s="4"/>
      <c r="AV553" s="4"/>
      <c r="AW553" s="4"/>
      <c r="AX553" s="4"/>
      <c r="AY553" s="4"/>
      <c r="AZ553" s="4"/>
      <c r="BA553" s="4"/>
      <c r="BB553" s="4"/>
      <c r="BC553" s="4"/>
      <c r="BD553" s="4"/>
      <c r="BE553" s="4"/>
      <c r="BF553" s="4"/>
      <c r="BG553" s="4"/>
      <c r="BH553" s="4"/>
    </row>
    <row r="554" spans="1:60">
      <c r="A554" s="4"/>
      <c r="B554" s="3"/>
      <c r="C554" s="3"/>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5"/>
      <c r="AT554" s="4"/>
      <c r="AU554" s="4"/>
      <c r="AV554" s="4"/>
      <c r="AW554" s="4"/>
      <c r="AX554" s="4"/>
      <c r="AY554" s="4"/>
      <c r="AZ554" s="4"/>
      <c r="BA554" s="4"/>
      <c r="BB554" s="4"/>
      <c r="BC554" s="4"/>
      <c r="BD554" s="4"/>
      <c r="BE554" s="4"/>
      <c r="BF554" s="4"/>
      <c r="BG554" s="4"/>
      <c r="BH554" s="4"/>
    </row>
    <row r="555" spans="1:60">
      <c r="A555" s="4"/>
      <c r="B555" s="3"/>
      <c r="C555" s="3"/>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5"/>
      <c r="AT555" s="4"/>
      <c r="AU555" s="4"/>
      <c r="AV555" s="4"/>
      <c r="AW555" s="4"/>
      <c r="AX555" s="4"/>
      <c r="AY555" s="4"/>
      <c r="AZ555" s="4"/>
      <c r="BA555" s="4"/>
      <c r="BB555" s="4"/>
      <c r="BC555" s="4"/>
      <c r="BD555" s="4"/>
      <c r="BE555" s="4"/>
      <c r="BF555" s="4"/>
      <c r="BG555" s="4"/>
      <c r="BH555" s="4"/>
    </row>
    <row r="556" spans="1:60">
      <c r="A556" s="4"/>
      <c r="B556" s="3"/>
      <c r="C556" s="3"/>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5"/>
      <c r="AT556" s="4"/>
      <c r="AU556" s="4"/>
      <c r="AV556" s="4"/>
      <c r="AW556" s="4"/>
      <c r="AX556" s="4"/>
      <c r="AY556" s="4"/>
      <c r="AZ556" s="4"/>
      <c r="BA556" s="4"/>
      <c r="BB556" s="4"/>
      <c r="BC556" s="4"/>
      <c r="BD556" s="4"/>
      <c r="BE556" s="4"/>
      <c r="BF556" s="4"/>
      <c r="BG556" s="4"/>
      <c r="BH556" s="4"/>
    </row>
    <row r="557" spans="1:60">
      <c r="A557" s="4"/>
      <c r="B557" s="3"/>
      <c r="C557" s="3"/>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5"/>
      <c r="AT557" s="4"/>
      <c r="AU557" s="4"/>
      <c r="AV557" s="4"/>
      <c r="AW557" s="4"/>
      <c r="AX557" s="4"/>
      <c r="AY557" s="4"/>
      <c r="AZ557" s="4"/>
      <c r="BA557" s="4"/>
      <c r="BB557" s="4"/>
      <c r="BC557" s="4"/>
      <c r="BD557" s="4"/>
      <c r="BE557" s="4"/>
      <c r="BF557" s="4"/>
      <c r="BG557" s="4"/>
      <c r="BH557" s="4"/>
    </row>
    <row r="558" spans="1:60">
      <c r="A558" s="4"/>
      <c r="B558" s="3"/>
      <c r="C558" s="3"/>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5"/>
      <c r="AT558" s="4"/>
      <c r="AU558" s="4"/>
      <c r="AV558" s="4"/>
      <c r="AW558" s="4"/>
      <c r="AX558" s="4"/>
      <c r="AY558" s="4"/>
      <c r="AZ558" s="4"/>
      <c r="BA558" s="4"/>
      <c r="BB558" s="4"/>
      <c r="BC558" s="4"/>
      <c r="BD558" s="4"/>
      <c r="BE558" s="4"/>
      <c r="BF558" s="4"/>
      <c r="BG558" s="4"/>
      <c r="BH558" s="4"/>
    </row>
    <row r="559" spans="1:60">
      <c r="A559" s="4"/>
      <c r="B559" s="3"/>
      <c r="C559" s="3"/>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5"/>
      <c r="AT559" s="4"/>
      <c r="AU559" s="4"/>
      <c r="AV559" s="4"/>
      <c r="AW559" s="4"/>
      <c r="AX559" s="4"/>
      <c r="AY559" s="4"/>
      <c r="AZ559" s="4"/>
      <c r="BA559" s="4"/>
      <c r="BB559" s="4"/>
      <c r="BC559" s="4"/>
      <c r="BD559" s="4"/>
      <c r="BE559" s="4"/>
      <c r="BF559" s="4"/>
      <c r="BG559" s="4"/>
      <c r="BH559" s="4"/>
    </row>
    <row r="560" spans="1:60">
      <c r="A560" s="4"/>
      <c r="B560" s="3"/>
      <c r="C560" s="3"/>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5"/>
      <c r="AT560" s="4"/>
      <c r="AU560" s="4"/>
      <c r="AV560" s="4"/>
      <c r="AW560" s="4"/>
      <c r="AX560" s="4"/>
      <c r="AY560" s="4"/>
      <c r="AZ560" s="4"/>
      <c r="BA560" s="4"/>
      <c r="BB560" s="4"/>
      <c r="BC560" s="4"/>
      <c r="BD560" s="4"/>
      <c r="BE560" s="4"/>
      <c r="BF560" s="4"/>
      <c r="BG560" s="4"/>
      <c r="BH560" s="4"/>
    </row>
    <row r="561" spans="1:60">
      <c r="A561" s="4"/>
      <c r="B561" s="3"/>
      <c r="C561" s="3"/>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5"/>
      <c r="AT561" s="4"/>
      <c r="AU561" s="4"/>
      <c r="AV561" s="4"/>
      <c r="AW561" s="4"/>
      <c r="AX561" s="4"/>
      <c r="AY561" s="4"/>
      <c r="AZ561" s="4"/>
      <c r="BA561" s="4"/>
      <c r="BB561" s="4"/>
      <c r="BC561" s="4"/>
      <c r="BD561" s="4"/>
      <c r="BE561" s="4"/>
      <c r="BF561" s="4"/>
      <c r="BG561" s="4"/>
      <c r="BH561" s="4"/>
    </row>
    <row r="562" spans="1:60">
      <c r="A562" s="4"/>
      <c r="B562" s="3"/>
      <c r="C562" s="3"/>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5"/>
      <c r="AT562" s="4"/>
      <c r="AU562" s="4"/>
      <c r="AV562" s="4"/>
      <c r="AW562" s="4"/>
      <c r="AX562" s="4"/>
      <c r="AY562" s="4"/>
      <c r="AZ562" s="4"/>
      <c r="BA562" s="4"/>
      <c r="BB562" s="4"/>
      <c r="BC562" s="4"/>
      <c r="BD562" s="4"/>
      <c r="BE562" s="4"/>
      <c r="BF562" s="4"/>
      <c r="BG562" s="4"/>
      <c r="BH562" s="4"/>
    </row>
    <row r="563" spans="1:60">
      <c r="A563" s="4"/>
      <c r="B563" s="3"/>
      <c r="C563" s="3"/>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5"/>
      <c r="AT563" s="4"/>
      <c r="AU563" s="4"/>
      <c r="AV563" s="4"/>
      <c r="AW563" s="4"/>
      <c r="AX563" s="4"/>
      <c r="AY563" s="4"/>
      <c r="AZ563" s="4"/>
      <c r="BA563" s="4"/>
      <c r="BB563" s="4"/>
      <c r="BC563" s="4"/>
      <c r="BD563" s="4"/>
      <c r="BE563" s="4"/>
      <c r="BF563" s="4"/>
      <c r="BG563" s="4"/>
      <c r="BH563" s="4"/>
    </row>
    <row r="564" spans="1:60">
      <c r="A564" s="4"/>
      <c r="B564" s="3"/>
      <c r="C564" s="3"/>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5"/>
      <c r="AT564" s="4"/>
      <c r="AU564" s="4"/>
      <c r="AV564" s="4"/>
      <c r="AW564" s="4"/>
      <c r="AX564" s="4"/>
      <c r="AY564" s="4"/>
      <c r="AZ564" s="4"/>
      <c r="BA564" s="4"/>
      <c r="BB564" s="4"/>
      <c r="BC564" s="4"/>
      <c r="BD564" s="4"/>
      <c r="BE564" s="4"/>
      <c r="BF564" s="4"/>
      <c r="BG564" s="4"/>
      <c r="BH564" s="4"/>
    </row>
    <row r="565" spans="1:60">
      <c r="A565" s="4"/>
      <c r="B565" s="3"/>
      <c r="C565" s="3"/>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5"/>
      <c r="AT565" s="4"/>
      <c r="AU565" s="4"/>
      <c r="AV565" s="4"/>
      <c r="AW565" s="4"/>
      <c r="AX565" s="4"/>
      <c r="AY565" s="4"/>
      <c r="AZ565" s="4"/>
      <c r="BA565" s="4"/>
      <c r="BB565" s="4"/>
      <c r="BC565" s="4"/>
      <c r="BD565" s="4"/>
      <c r="BE565" s="4"/>
      <c r="BF565" s="4"/>
      <c r="BG565" s="4"/>
      <c r="BH565" s="4"/>
    </row>
    <row r="566" spans="1:60">
      <c r="A566" s="4"/>
      <c r="B566" s="3"/>
      <c r="C566" s="3"/>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5"/>
      <c r="AT566" s="4"/>
      <c r="AU566" s="4"/>
      <c r="AV566" s="4"/>
      <c r="AW566" s="4"/>
      <c r="AX566" s="4"/>
      <c r="AY566" s="4"/>
      <c r="AZ566" s="4"/>
      <c r="BA566" s="4"/>
      <c r="BB566" s="4"/>
      <c r="BC566" s="4"/>
      <c r="BD566" s="4"/>
      <c r="BE566" s="4"/>
      <c r="BF566" s="4"/>
      <c r="BG566" s="4"/>
      <c r="BH566" s="4"/>
    </row>
    <row r="567" spans="1:60">
      <c r="A567" s="4"/>
      <c r="B567" s="3"/>
      <c r="C567" s="3"/>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5"/>
      <c r="AT567" s="4"/>
      <c r="AU567" s="4"/>
      <c r="AV567" s="4"/>
      <c r="AW567" s="4"/>
      <c r="AX567" s="4"/>
      <c r="AY567" s="4"/>
      <c r="AZ567" s="4"/>
      <c r="BA567" s="4"/>
      <c r="BB567" s="4"/>
      <c r="BC567" s="4"/>
      <c r="BD567" s="4"/>
      <c r="BE567" s="4"/>
      <c r="BF567" s="4"/>
      <c r="BG567" s="4"/>
      <c r="BH567" s="4"/>
    </row>
    <row r="568" spans="1:60">
      <c r="A568" s="4"/>
      <c r="B568" s="3"/>
      <c r="C568" s="3"/>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5"/>
      <c r="AT568" s="4"/>
      <c r="AU568" s="4"/>
      <c r="AV568" s="4"/>
      <c r="AW568" s="4"/>
      <c r="AX568" s="4"/>
      <c r="AY568" s="4"/>
      <c r="AZ568" s="4"/>
      <c r="BA568" s="4"/>
      <c r="BB568" s="4"/>
      <c r="BC568" s="4"/>
      <c r="BD568" s="4"/>
      <c r="BE568" s="4"/>
      <c r="BF568" s="4"/>
      <c r="BG568" s="4"/>
      <c r="BH568" s="4"/>
    </row>
    <row r="569" spans="1:60">
      <c r="A569" s="4"/>
      <c r="B569" s="3"/>
      <c r="C569" s="3"/>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5"/>
      <c r="AT569" s="4"/>
      <c r="AU569" s="4"/>
      <c r="AV569" s="4"/>
      <c r="AW569" s="4"/>
      <c r="AX569" s="4"/>
      <c r="AY569" s="4"/>
      <c r="AZ569" s="4"/>
      <c r="BA569" s="4"/>
      <c r="BB569" s="4"/>
      <c r="BC569" s="4"/>
      <c r="BD569" s="4"/>
      <c r="BE569" s="4"/>
      <c r="BF569" s="4"/>
      <c r="BG569" s="4"/>
      <c r="BH569" s="4"/>
    </row>
    <row r="570" spans="1:60">
      <c r="A570" s="4"/>
      <c r="B570" s="3"/>
      <c r="C570" s="3"/>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5"/>
      <c r="AT570" s="4"/>
      <c r="AU570" s="4"/>
      <c r="AV570" s="4"/>
      <c r="AW570" s="4"/>
      <c r="AX570" s="4"/>
      <c r="AY570" s="4"/>
      <c r="AZ570" s="4"/>
      <c r="BA570" s="4"/>
      <c r="BB570" s="4"/>
      <c r="BC570" s="4"/>
      <c r="BD570" s="4"/>
      <c r="BE570" s="4"/>
      <c r="BF570" s="4"/>
      <c r="BG570" s="4"/>
      <c r="BH570" s="4"/>
    </row>
    <row r="571" spans="1:60">
      <c r="A571" s="4"/>
      <c r="B571" s="3"/>
      <c r="C571" s="3"/>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5"/>
      <c r="AT571" s="4"/>
      <c r="AU571" s="4"/>
      <c r="AV571" s="4"/>
      <c r="AW571" s="4"/>
      <c r="AX571" s="4"/>
      <c r="AY571" s="4"/>
      <c r="AZ571" s="4"/>
      <c r="BA571" s="4"/>
      <c r="BB571" s="4"/>
      <c r="BC571" s="4"/>
      <c r="BD571" s="4"/>
      <c r="BE571" s="4"/>
      <c r="BF571" s="4"/>
      <c r="BG571" s="4"/>
      <c r="BH571" s="4"/>
    </row>
    <row r="572" spans="1:60">
      <c r="A572" s="4"/>
      <c r="B572" s="3"/>
      <c r="C572" s="3"/>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5"/>
      <c r="AT572" s="4"/>
      <c r="AU572" s="4"/>
      <c r="AV572" s="4"/>
      <c r="AW572" s="4"/>
      <c r="AX572" s="4"/>
      <c r="AY572" s="4"/>
      <c r="AZ572" s="4"/>
      <c r="BA572" s="4"/>
      <c r="BB572" s="4"/>
      <c r="BC572" s="4"/>
      <c r="BD572" s="4"/>
      <c r="BE572" s="4"/>
      <c r="BF572" s="4"/>
      <c r="BG572" s="4"/>
      <c r="BH572" s="4"/>
    </row>
    <row r="573" spans="1:60">
      <c r="A573" s="4"/>
      <c r="B573" s="3"/>
      <c r="C573" s="3"/>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5"/>
      <c r="AT573" s="4"/>
      <c r="AU573" s="4"/>
      <c r="AV573" s="4"/>
      <c r="AW573" s="4"/>
      <c r="AX573" s="4"/>
      <c r="AY573" s="4"/>
      <c r="AZ573" s="4"/>
      <c r="BA573" s="4"/>
      <c r="BB573" s="4"/>
      <c r="BC573" s="4"/>
      <c r="BD573" s="4"/>
      <c r="BE573" s="4"/>
      <c r="BF573" s="4"/>
      <c r="BG573" s="4"/>
      <c r="BH573" s="4"/>
    </row>
    <row r="574" spans="1:60">
      <c r="A574" s="4"/>
      <c r="B574" s="3"/>
      <c r="C574" s="3"/>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5"/>
      <c r="AT574" s="4"/>
      <c r="AU574" s="4"/>
      <c r="AV574" s="4"/>
      <c r="AW574" s="4"/>
      <c r="AX574" s="4"/>
      <c r="AY574" s="4"/>
      <c r="AZ574" s="4"/>
      <c r="BA574" s="4"/>
      <c r="BB574" s="4"/>
      <c r="BC574" s="4"/>
      <c r="BD574" s="4"/>
      <c r="BE574" s="4"/>
      <c r="BF574" s="4"/>
      <c r="BG574" s="4"/>
      <c r="BH574" s="4"/>
    </row>
    <row r="575" spans="1:60">
      <c r="A575" s="4"/>
      <c r="B575" s="3"/>
      <c r="C575" s="3"/>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5"/>
      <c r="AT575" s="4"/>
      <c r="AU575" s="4"/>
      <c r="AV575" s="4"/>
      <c r="AW575" s="4"/>
      <c r="AX575" s="4"/>
      <c r="AY575" s="4"/>
      <c r="AZ575" s="4"/>
      <c r="BA575" s="4"/>
      <c r="BB575" s="4"/>
      <c r="BC575" s="4"/>
      <c r="BD575" s="4"/>
      <c r="BE575" s="4"/>
      <c r="BF575" s="4"/>
      <c r="BG575" s="4"/>
      <c r="BH575" s="4"/>
    </row>
    <row r="576" spans="1:60">
      <c r="A576" s="4"/>
      <c r="B576" s="3"/>
      <c r="C576" s="3"/>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5"/>
      <c r="AT576" s="4"/>
      <c r="AU576" s="4"/>
      <c r="AV576" s="4"/>
      <c r="AW576" s="4"/>
      <c r="AX576" s="4"/>
      <c r="AY576" s="4"/>
      <c r="AZ576" s="4"/>
      <c r="BA576" s="4"/>
      <c r="BB576" s="4"/>
      <c r="BC576" s="4"/>
      <c r="BD576" s="4"/>
      <c r="BE576" s="4"/>
      <c r="BF576" s="4"/>
      <c r="BG576" s="4"/>
      <c r="BH576" s="4"/>
    </row>
    <row r="577" spans="1:60">
      <c r="A577" s="4"/>
      <c r="B577" s="3"/>
      <c r="C577" s="3"/>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5"/>
      <c r="AT577" s="4"/>
      <c r="AU577" s="4"/>
      <c r="AV577" s="4"/>
      <c r="AW577" s="4"/>
      <c r="AX577" s="4"/>
      <c r="AY577" s="4"/>
      <c r="AZ577" s="4"/>
      <c r="BA577" s="4"/>
      <c r="BB577" s="4"/>
      <c r="BC577" s="4"/>
      <c r="BD577" s="4"/>
      <c r="BE577" s="4"/>
      <c r="BF577" s="4"/>
      <c r="BG577" s="4"/>
      <c r="BH577" s="4"/>
    </row>
    <row r="578" spans="1:60">
      <c r="A578" s="4"/>
      <c r="B578" s="3"/>
      <c r="C578" s="3"/>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5"/>
      <c r="AT578" s="4"/>
      <c r="AU578" s="4"/>
      <c r="AV578" s="4"/>
      <c r="AW578" s="4"/>
      <c r="AX578" s="4"/>
      <c r="AY578" s="4"/>
      <c r="AZ578" s="4"/>
      <c r="BA578" s="4"/>
      <c r="BB578" s="4"/>
      <c r="BC578" s="4"/>
      <c r="BD578" s="4"/>
      <c r="BE578" s="4"/>
      <c r="BF578" s="4"/>
      <c r="BG578" s="4"/>
      <c r="BH578" s="4"/>
    </row>
    <row r="579" spans="1:60">
      <c r="A579" s="4"/>
      <c r="B579" s="3"/>
      <c r="C579" s="3"/>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5"/>
      <c r="AT579" s="4"/>
      <c r="AU579" s="4"/>
      <c r="AV579" s="4"/>
      <c r="AW579" s="4"/>
      <c r="AX579" s="4"/>
      <c r="AY579" s="4"/>
      <c r="AZ579" s="4"/>
      <c r="BA579" s="4"/>
      <c r="BB579" s="4"/>
      <c r="BC579" s="4"/>
      <c r="BD579" s="4"/>
      <c r="BE579" s="4"/>
      <c r="BF579" s="4"/>
      <c r="BG579" s="4"/>
      <c r="BH579" s="4"/>
    </row>
    <row r="580" spans="1:60">
      <c r="A580" s="4"/>
      <c r="B580" s="3"/>
      <c r="C580" s="3"/>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5"/>
      <c r="AT580" s="4"/>
      <c r="AU580" s="4"/>
      <c r="AV580" s="4"/>
      <c r="AW580" s="4"/>
      <c r="AX580" s="4"/>
      <c r="AY580" s="4"/>
      <c r="AZ580" s="4"/>
      <c r="BA580" s="4"/>
      <c r="BB580" s="4"/>
      <c r="BC580" s="4"/>
      <c r="BD580" s="4"/>
      <c r="BE580" s="4"/>
      <c r="BF580" s="4"/>
      <c r="BG580" s="4"/>
      <c r="BH580" s="4"/>
    </row>
    <row r="581" spans="1:60">
      <c r="A581" s="4"/>
      <c r="B581" s="3"/>
      <c r="C581" s="3"/>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5"/>
      <c r="AT581" s="4"/>
      <c r="AU581" s="4"/>
      <c r="AV581" s="4"/>
      <c r="AW581" s="4"/>
      <c r="AX581" s="4"/>
      <c r="AY581" s="4"/>
      <c r="AZ581" s="4"/>
      <c r="BA581" s="4"/>
      <c r="BB581" s="4"/>
      <c r="BC581" s="4"/>
      <c r="BD581" s="4"/>
      <c r="BE581" s="4"/>
      <c r="BF581" s="4"/>
      <c r="BG581" s="4"/>
      <c r="BH581" s="4"/>
    </row>
    <row r="582" spans="1:60">
      <c r="A582" s="4"/>
      <c r="B582" s="3"/>
      <c r="C582" s="3"/>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5"/>
      <c r="AT582" s="4"/>
      <c r="AU582" s="4"/>
      <c r="AV582" s="4"/>
      <c r="AW582" s="4"/>
      <c r="AX582" s="4"/>
      <c r="AY582" s="4"/>
      <c r="AZ582" s="4"/>
      <c r="BA582" s="4"/>
      <c r="BB582" s="4"/>
      <c r="BC582" s="4"/>
      <c r="BD582" s="4"/>
      <c r="BE582" s="4"/>
      <c r="BF582" s="4"/>
      <c r="BG582" s="4"/>
      <c r="BH582" s="4"/>
    </row>
    <row r="583" spans="1:60">
      <c r="A583" s="4"/>
      <c r="B583" s="3"/>
      <c r="C583" s="3"/>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5"/>
      <c r="AT583" s="4"/>
      <c r="AU583" s="4"/>
      <c r="AV583" s="4"/>
      <c r="AW583" s="4"/>
      <c r="AX583" s="4"/>
      <c r="AY583" s="4"/>
      <c r="AZ583" s="4"/>
      <c r="BA583" s="4"/>
      <c r="BB583" s="4"/>
      <c r="BC583" s="4"/>
      <c r="BD583" s="4"/>
      <c r="BE583" s="4"/>
      <c r="BF583" s="4"/>
      <c r="BG583" s="4"/>
      <c r="BH583" s="4"/>
    </row>
    <row r="584" spans="1:60">
      <c r="A584" s="4"/>
      <c r="B584" s="3"/>
      <c r="C584" s="3"/>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5"/>
      <c r="AT584" s="4"/>
      <c r="AU584" s="4"/>
      <c r="AV584" s="4"/>
      <c r="AW584" s="4"/>
      <c r="AX584" s="4"/>
      <c r="AY584" s="4"/>
      <c r="AZ584" s="4"/>
      <c r="BA584" s="4"/>
      <c r="BB584" s="4"/>
      <c r="BC584" s="4"/>
      <c r="BD584" s="4"/>
      <c r="BE584" s="4"/>
      <c r="BF584" s="4"/>
      <c r="BG584" s="4"/>
      <c r="BH584" s="4"/>
    </row>
    <row r="585" spans="1:60">
      <c r="A585" s="4"/>
      <c r="B585" s="3"/>
      <c r="C585" s="3"/>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5"/>
      <c r="AT585" s="4"/>
      <c r="AU585" s="4"/>
      <c r="AV585" s="4"/>
      <c r="AW585" s="4"/>
      <c r="AX585" s="4"/>
      <c r="AY585" s="4"/>
      <c r="AZ585" s="4"/>
      <c r="BA585" s="4"/>
      <c r="BB585" s="4"/>
      <c r="BC585" s="4"/>
      <c r="BD585" s="4"/>
      <c r="BE585" s="4"/>
      <c r="BF585" s="4"/>
      <c r="BG585" s="4"/>
      <c r="BH585" s="4"/>
    </row>
    <row r="586" spans="1:60">
      <c r="A586" s="4"/>
      <c r="B586" s="3"/>
      <c r="C586" s="3"/>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5"/>
      <c r="AT586" s="4"/>
      <c r="AU586" s="4"/>
      <c r="AV586" s="4"/>
      <c r="AW586" s="4"/>
      <c r="AX586" s="4"/>
      <c r="AY586" s="4"/>
      <c r="AZ586" s="4"/>
      <c r="BA586" s="4"/>
      <c r="BB586" s="4"/>
      <c r="BC586" s="4"/>
      <c r="BD586" s="4"/>
      <c r="BE586" s="4"/>
      <c r="BF586" s="4"/>
      <c r="BG586" s="4"/>
      <c r="BH586" s="4"/>
    </row>
    <row r="587" spans="1:60">
      <c r="A587" s="4"/>
      <c r="B587" s="3"/>
      <c r="C587" s="3"/>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5"/>
      <c r="AT587" s="4"/>
      <c r="AU587" s="4"/>
      <c r="AV587" s="4"/>
      <c r="AW587" s="4"/>
      <c r="AX587" s="4"/>
      <c r="AY587" s="4"/>
      <c r="AZ587" s="4"/>
      <c r="BA587" s="4"/>
      <c r="BB587" s="4"/>
      <c r="BC587" s="4"/>
      <c r="BD587" s="4"/>
      <c r="BE587" s="4"/>
      <c r="BF587" s="4"/>
      <c r="BG587" s="4"/>
      <c r="BH587" s="4"/>
    </row>
    <row r="588" spans="1:60">
      <c r="A588" s="4"/>
      <c r="B588" s="3"/>
      <c r="C588" s="3"/>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5"/>
      <c r="AT588" s="4"/>
      <c r="AU588" s="4"/>
      <c r="AV588" s="4"/>
      <c r="AW588" s="4"/>
      <c r="AX588" s="4"/>
      <c r="AY588" s="4"/>
      <c r="AZ588" s="4"/>
      <c r="BA588" s="4"/>
      <c r="BB588" s="4"/>
      <c r="BC588" s="4"/>
      <c r="BD588" s="4"/>
      <c r="BE588" s="4"/>
      <c r="BF588" s="4"/>
      <c r="BG588" s="4"/>
      <c r="BH588" s="4"/>
    </row>
    <row r="589" spans="1:60">
      <c r="A589" s="4"/>
      <c r="B589" s="3"/>
      <c r="C589" s="3"/>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5"/>
      <c r="AT589" s="4"/>
      <c r="AU589" s="4"/>
      <c r="AV589" s="4"/>
      <c r="AW589" s="4"/>
      <c r="AX589" s="4"/>
      <c r="AY589" s="4"/>
      <c r="AZ589" s="4"/>
      <c r="BA589" s="4"/>
      <c r="BB589" s="4"/>
      <c r="BC589" s="4"/>
      <c r="BD589" s="4"/>
      <c r="BE589" s="4"/>
      <c r="BF589" s="4"/>
      <c r="BG589" s="4"/>
      <c r="BH589" s="4"/>
    </row>
    <row r="590" spans="1:60">
      <c r="A590" s="4"/>
      <c r="B590" s="3"/>
      <c r="C590" s="3"/>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5"/>
      <c r="AT590" s="4"/>
      <c r="AU590" s="4"/>
      <c r="AV590" s="4"/>
      <c r="AW590" s="4"/>
      <c r="AX590" s="4"/>
      <c r="AY590" s="4"/>
      <c r="AZ590" s="4"/>
      <c r="BA590" s="4"/>
      <c r="BB590" s="4"/>
      <c r="BC590" s="4"/>
      <c r="BD590" s="4"/>
      <c r="BE590" s="4"/>
      <c r="BF590" s="4"/>
      <c r="BG590" s="4"/>
      <c r="BH590" s="4"/>
    </row>
    <row r="591" spans="1:60">
      <c r="A591" s="4"/>
      <c r="B591" s="3"/>
      <c r="C591" s="3"/>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5"/>
      <c r="AT591" s="4"/>
      <c r="AU591" s="4"/>
      <c r="AV591" s="4"/>
      <c r="AW591" s="4"/>
      <c r="AX591" s="4"/>
      <c r="AY591" s="4"/>
      <c r="AZ591" s="4"/>
      <c r="BA591" s="4"/>
      <c r="BB591" s="4"/>
      <c r="BC591" s="4"/>
      <c r="BD591" s="4"/>
      <c r="BE591" s="4"/>
      <c r="BF591" s="4"/>
      <c r="BG591" s="4"/>
      <c r="BH591" s="4"/>
    </row>
    <row r="592" spans="1:60">
      <c r="A592" s="4"/>
      <c r="B592" s="3"/>
      <c r="C592" s="3"/>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5"/>
      <c r="AT592" s="4"/>
      <c r="AU592" s="4"/>
      <c r="AV592" s="4"/>
      <c r="AW592" s="4"/>
      <c r="AX592" s="4"/>
      <c r="AY592" s="4"/>
      <c r="AZ592" s="4"/>
      <c r="BA592" s="4"/>
      <c r="BB592" s="4"/>
      <c r="BC592" s="4"/>
      <c r="BD592" s="4"/>
      <c r="BE592" s="4"/>
      <c r="BF592" s="4"/>
      <c r="BG592" s="4"/>
      <c r="BH592" s="4"/>
    </row>
    <row r="593" spans="1:60">
      <c r="A593" s="4"/>
      <c r="B593" s="3"/>
      <c r="C593" s="3"/>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5"/>
      <c r="AT593" s="4"/>
      <c r="AU593" s="4"/>
      <c r="AV593" s="4"/>
      <c r="AW593" s="4"/>
      <c r="AX593" s="4"/>
      <c r="AY593" s="4"/>
      <c r="AZ593" s="4"/>
      <c r="BA593" s="4"/>
      <c r="BB593" s="4"/>
      <c r="BC593" s="4"/>
      <c r="BD593" s="4"/>
      <c r="BE593" s="4"/>
      <c r="BF593" s="4"/>
      <c r="BG593" s="4"/>
      <c r="BH593" s="4"/>
    </row>
    <row r="594" spans="1:60">
      <c r="A594" s="4"/>
      <c r="B594" s="3"/>
      <c r="C594" s="3"/>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5"/>
      <c r="AT594" s="4"/>
      <c r="AU594" s="4"/>
      <c r="AV594" s="4"/>
      <c r="AW594" s="4"/>
      <c r="AX594" s="4"/>
      <c r="AY594" s="4"/>
      <c r="AZ594" s="4"/>
      <c r="BA594" s="4"/>
      <c r="BB594" s="4"/>
      <c r="BC594" s="4"/>
      <c r="BD594" s="4"/>
      <c r="BE594" s="4"/>
      <c r="BF594" s="4"/>
      <c r="BG594" s="4"/>
      <c r="BH594" s="4"/>
    </row>
    <row r="595" spans="1:60">
      <c r="A595" s="4"/>
      <c r="B595" s="3"/>
      <c r="C595" s="3"/>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5"/>
      <c r="AT595" s="4"/>
      <c r="AU595" s="4"/>
      <c r="AV595" s="4"/>
      <c r="AW595" s="4"/>
      <c r="AX595" s="4"/>
      <c r="AY595" s="4"/>
      <c r="AZ595" s="4"/>
      <c r="BA595" s="4"/>
      <c r="BB595" s="4"/>
      <c r="BC595" s="4"/>
      <c r="BD595" s="4"/>
      <c r="BE595" s="4"/>
      <c r="BF595" s="4"/>
      <c r="BG595" s="4"/>
      <c r="BH595" s="4"/>
    </row>
    <row r="596" spans="1:60">
      <c r="A596" s="4"/>
      <c r="B596" s="3"/>
      <c r="C596" s="3"/>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5"/>
      <c r="AT596" s="4"/>
      <c r="AU596" s="4"/>
      <c r="AV596" s="4"/>
      <c r="AW596" s="4"/>
      <c r="AX596" s="4"/>
      <c r="AY596" s="4"/>
      <c r="AZ596" s="4"/>
      <c r="BA596" s="4"/>
      <c r="BB596" s="4"/>
      <c r="BC596" s="4"/>
      <c r="BD596" s="4"/>
      <c r="BE596" s="4"/>
      <c r="BF596" s="4"/>
      <c r="BG596" s="4"/>
      <c r="BH596" s="4"/>
    </row>
    <row r="597" spans="1:60">
      <c r="A597" s="4"/>
      <c r="B597" s="3"/>
      <c r="C597" s="3"/>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5"/>
      <c r="AT597" s="4"/>
      <c r="AU597" s="4"/>
      <c r="AV597" s="4"/>
      <c r="AW597" s="4"/>
      <c r="AX597" s="4"/>
      <c r="AY597" s="4"/>
      <c r="AZ597" s="4"/>
      <c r="BA597" s="4"/>
      <c r="BB597" s="4"/>
      <c r="BC597" s="4"/>
      <c r="BD597" s="4"/>
      <c r="BE597" s="4"/>
      <c r="BF597" s="4"/>
      <c r="BG597" s="4"/>
      <c r="BH597" s="4"/>
    </row>
    <row r="598" spans="1:60">
      <c r="A598" s="4"/>
      <c r="B598" s="3"/>
      <c r="C598" s="3"/>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5"/>
      <c r="AT598" s="4"/>
      <c r="AU598" s="4"/>
      <c r="AV598" s="4"/>
      <c r="AW598" s="4"/>
      <c r="AX598" s="4"/>
      <c r="AY598" s="4"/>
      <c r="AZ598" s="4"/>
      <c r="BA598" s="4"/>
      <c r="BB598" s="4"/>
      <c r="BC598" s="4"/>
      <c r="BD598" s="4"/>
      <c r="BE598" s="4"/>
      <c r="BF598" s="4"/>
      <c r="BG598" s="4"/>
      <c r="BH598" s="4"/>
    </row>
    <row r="599" spans="1:60">
      <c r="A599" s="4"/>
      <c r="B599" s="3"/>
      <c r="C599" s="3"/>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5"/>
      <c r="AT599" s="4"/>
      <c r="AU599" s="4"/>
      <c r="AV599" s="4"/>
      <c r="AW599" s="4"/>
      <c r="AX599" s="4"/>
      <c r="AY599" s="4"/>
      <c r="AZ599" s="4"/>
      <c r="BA599" s="4"/>
      <c r="BB599" s="4"/>
      <c r="BC599" s="4"/>
      <c r="BD599" s="4"/>
      <c r="BE599" s="4"/>
      <c r="BF599" s="4"/>
      <c r="BG599" s="4"/>
      <c r="BH599" s="4"/>
    </row>
    <row r="600" spans="1:60">
      <c r="A600" s="4"/>
      <c r="B600" s="3"/>
      <c r="C600" s="3"/>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5"/>
      <c r="AT600" s="4"/>
      <c r="AU600" s="4"/>
      <c r="AV600" s="4"/>
      <c r="AW600" s="4"/>
      <c r="AX600" s="4"/>
      <c r="AY600" s="4"/>
      <c r="AZ600" s="4"/>
      <c r="BA600" s="4"/>
      <c r="BB600" s="4"/>
      <c r="BC600" s="4"/>
      <c r="BD600" s="4"/>
      <c r="BE600" s="4"/>
      <c r="BF600" s="4"/>
      <c r="BG600" s="4"/>
      <c r="BH600" s="4"/>
    </row>
    <row r="601" spans="1:60">
      <c r="A601" s="4"/>
      <c r="B601" s="3"/>
      <c r="C601" s="3"/>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5"/>
      <c r="AT601" s="4"/>
      <c r="AU601" s="4"/>
      <c r="AV601" s="4"/>
      <c r="AW601" s="4"/>
      <c r="AX601" s="4"/>
      <c r="AY601" s="4"/>
      <c r="AZ601" s="4"/>
      <c r="BA601" s="4"/>
      <c r="BB601" s="4"/>
      <c r="BC601" s="4"/>
      <c r="BD601" s="4"/>
      <c r="BE601" s="4"/>
      <c r="BF601" s="4"/>
      <c r="BG601" s="4"/>
      <c r="BH601" s="4"/>
    </row>
    <row r="602" spans="1:60">
      <c r="A602" s="4"/>
      <c r="B602" s="3"/>
      <c r="C602" s="3"/>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5"/>
      <c r="AT602" s="4"/>
      <c r="AU602" s="4"/>
      <c r="AV602" s="4"/>
      <c r="AW602" s="4"/>
      <c r="AX602" s="4"/>
      <c r="AY602" s="4"/>
      <c r="AZ602" s="4"/>
      <c r="BA602" s="4"/>
      <c r="BB602" s="4"/>
      <c r="BC602" s="4"/>
      <c r="BD602" s="4"/>
      <c r="BE602" s="4"/>
      <c r="BF602" s="4"/>
      <c r="BG602" s="4"/>
      <c r="BH602" s="4"/>
    </row>
    <row r="603" spans="1:60">
      <c r="A603" s="4"/>
      <c r="B603" s="3"/>
      <c r="C603" s="3"/>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5"/>
      <c r="AT603" s="4"/>
      <c r="AU603" s="4"/>
      <c r="AV603" s="4"/>
      <c r="AW603" s="4"/>
      <c r="AX603" s="4"/>
      <c r="AY603" s="4"/>
      <c r="AZ603" s="4"/>
      <c r="BA603" s="4"/>
      <c r="BB603" s="4"/>
      <c r="BC603" s="4"/>
      <c r="BD603" s="4"/>
      <c r="BE603" s="4"/>
      <c r="BF603" s="4"/>
      <c r="BG603" s="4"/>
      <c r="BH603" s="4"/>
    </row>
    <row r="604" spans="1:60">
      <c r="A604" s="4"/>
      <c r="B604" s="3"/>
      <c r="C604" s="3"/>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5"/>
      <c r="AT604" s="4"/>
      <c r="AU604" s="4"/>
      <c r="AV604" s="4"/>
      <c r="AW604" s="4"/>
      <c r="AX604" s="4"/>
      <c r="AY604" s="4"/>
      <c r="AZ604" s="4"/>
      <c r="BA604" s="4"/>
      <c r="BB604" s="4"/>
      <c r="BC604" s="4"/>
      <c r="BD604" s="4"/>
      <c r="BE604" s="4"/>
      <c r="BF604" s="4"/>
      <c r="BG604" s="4"/>
      <c r="BH604" s="4"/>
    </row>
    <row r="605" spans="1:60">
      <c r="A605" s="4"/>
      <c r="B605" s="3"/>
      <c r="C605" s="3"/>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5"/>
      <c r="AT605" s="4"/>
      <c r="AU605" s="4"/>
      <c r="AV605" s="4"/>
      <c r="AW605" s="4"/>
      <c r="AX605" s="4"/>
      <c r="AY605" s="4"/>
      <c r="AZ605" s="4"/>
      <c r="BA605" s="4"/>
      <c r="BB605" s="4"/>
      <c r="BC605" s="4"/>
      <c r="BD605" s="4"/>
      <c r="BE605" s="4"/>
      <c r="BF605" s="4"/>
      <c r="BG605" s="4"/>
      <c r="BH605" s="4"/>
    </row>
    <row r="606" spans="1:60">
      <c r="A606" s="4"/>
      <c r="B606" s="3"/>
      <c r="C606" s="3"/>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5"/>
      <c r="AT606" s="4"/>
      <c r="AU606" s="4"/>
      <c r="AV606" s="4"/>
      <c r="AW606" s="4"/>
      <c r="AX606" s="4"/>
      <c r="AY606" s="4"/>
      <c r="AZ606" s="4"/>
      <c r="BA606" s="4"/>
      <c r="BB606" s="4"/>
      <c r="BC606" s="4"/>
      <c r="BD606" s="4"/>
      <c r="BE606" s="4"/>
      <c r="BF606" s="4"/>
      <c r="BG606" s="4"/>
      <c r="BH606" s="4"/>
    </row>
    <row r="607" spans="1:60">
      <c r="A607" s="4"/>
      <c r="B607" s="3"/>
      <c r="C607" s="3"/>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5"/>
      <c r="AT607" s="4"/>
      <c r="AU607" s="4"/>
      <c r="AV607" s="4"/>
      <c r="AW607" s="4"/>
      <c r="AX607" s="4"/>
      <c r="AY607" s="4"/>
      <c r="AZ607" s="4"/>
      <c r="BA607" s="4"/>
      <c r="BB607" s="4"/>
      <c r="BC607" s="4"/>
      <c r="BD607" s="4"/>
      <c r="BE607" s="4"/>
      <c r="BF607" s="4"/>
      <c r="BG607" s="4"/>
      <c r="BH607" s="4"/>
    </row>
    <row r="608" spans="1:60">
      <c r="A608" s="4"/>
      <c r="B608" s="3"/>
      <c r="C608" s="3"/>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5"/>
      <c r="AT608" s="4"/>
      <c r="AU608" s="4"/>
      <c r="AV608" s="4"/>
      <c r="AW608" s="4"/>
      <c r="AX608" s="4"/>
      <c r="AY608" s="4"/>
      <c r="AZ608" s="4"/>
      <c r="BA608" s="4"/>
      <c r="BB608" s="4"/>
      <c r="BC608" s="4"/>
      <c r="BD608" s="4"/>
      <c r="BE608" s="4"/>
      <c r="BF608" s="4"/>
      <c r="BG608" s="4"/>
      <c r="BH608" s="4"/>
    </row>
    <row r="609" spans="1:60">
      <c r="A609" s="4"/>
      <c r="B609" s="3"/>
      <c r="C609" s="3"/>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5"/>
      <c r="AT609" s="4"/>
      <c r="AU609" s="4"/>
      <c r="AV609" s="4"/>
      <c r="AW609" s="4"/>
      <c r="AX609" s="4"/>
      <c r="AY609" s="4"/>
      <c r="AZ609" s="4"/>
      <c r="BA609" s="4"/>
      <c r="BB609" s="4"/>
      <c r="BC609" s="4"/>
      <c r="BD609" s="4"/>
      <c r="BE609" s="4"/>
      <c r="BF609" s="4"/>
      <c r="BG609" s="4"/>
      <c r="BH609" s="4"/>
    </row>
    <row r="610" spans="1:60">
      <c r="A610" s="4"/>
      <c r="B610" s="3"/>
      <c r="C610" s="3"/>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5"/>
      <c r="AT610" s="4"/>
      <c r="AU610" s="4"/>
      <c r="AV610" s="4"/>
      <c r="AW610" s="4"/>
      <c r="AX610" s="4"/>
      <c r="AY610" s="4"/>
      <c r="AZ610" s="4"/>
      <c r="BA610" s="4"/>
      <c r="BB610" s="4"/>
      <c r="BC610" s="4"/>
      <c r="BD610" s="4"/>
      <c r="BE610" s="4"/>
      <c r="BF610" s="4"/>
      <c r="BG610" s="4"/>
      <c r="BH610" s="4"/>
    </row>
    <row r="611" spans="1:60">
      <c r="A611" s="4"/>
      <c r="B611" s="3"/>
      <c r="C611" s="3"/>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5"/>
      <c r="AT611" s="4"/>
      <c r="AU611" s="4"/>
      <c r="AV611" s="4"/>
      <c r="AW611" s="4"/>
      <c r="AX611" s="4"/>
      <c r="AY611" s="4"/>
      <c r="AZ611" s="4"/>
      <c r="BA611" s="4"/>
      <c r="BB611" s="4"/>
      <c r="BC611" s="4"/>
      <c r="BD611" s="4"/>
      <c r="BE611" s="4"/>
      <c r="BF611" s="4"/>
      <c r="BG611" s="4"/>
      <c r="BH611" s="4"/>
    </row>
    <row r="612" spans="1:60">
      <c r="A612" s="4"/>
      <c r="B612" s="3"/>
      <c r="C612" s="3"/>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5"/>
      <c r="AT612" s="4"/>
      <c r="AU612" s="4"/>
      <c r="AV612" s="4"/>
      <c r="AW612" s="4"/>
      <c r="AX612" s="4"/>
      <c r="AY612" s="4"/>
      <c r="AZ612" s="4"/>
      <c r="BA612" s="4"/>
      <c r="BB612" s="4"/>
      <c r="BC612" s="4"/>
      <c r="BD612" s="4"/>
      <c r="BE612" s="4"/>
      <c r="BF612" s="4"/>
      <c r="BG612" s="4"/>
      <c r="BH612" s="4"/>
    </row>
    <row r="613" spans="1:60">
      <c r="A613" s="4"/>
      <c r="B613" s="3"/>
      <c r="C613" s="3"/>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5"/>
      <c r="AT613" s="4"/>
      <c r="AU613" s="4"/>
      <c r="AV613" s="4"/>
      <c r="AW613" s="4"/>
      <c r="AX613" s="4"/>
      <c r="AY613" s="4"/>
      <c r="AZ613" s="4"/>
      <c r="BA613" s="4"/>
      <c r="BB613" s="4"/>
      <c r="BC613" s="4"/>
      <c r="BD613" s="4"/>
      <c r="BE613" s="4"/>
      <c r="BF613" s="4"/>
      <c r="BG613" s="4"/>
      <c r="BH613" s="4"/>
    </row>
    <row r="614" spans="1:60">
      <c r="A614" s="4"/>
      <c r="B614" s="3"/>
      <c r="C614" s="3"/>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5"/>
      <c r="AT614" s="4"/>
      <c r="AU614" s="4"/>
      <c r="AV614" s="4"/>
      <c r="AW614" s="4"/>
      <c r="AX614" s="4"/>
      <c r="AY614" s="4"/>
      <c r="AZ614" s="4"/>
      <c r="BA614" s="4"/>
      <c r="BB614" s="4"/>
      <c r="BC614" s="4"/>
      <c r="BD614" s="4"/>
      <c r="BE614" s="4"/>
      <c r="BF614" s="4"/>
      <c r="BG614" s="4"/>
      <c r="BH614" s="4"/>
    </row>
    <row r="615" spans="1:60">
      <c r="A615" s="4"/>
      <c r="B615" s="3"/>
      <c r="C615" s="3"/>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5"/>
      <c r="AT615" s="4"/>
      <c r="AU615" s="4"/>
      <c r="AV615" s="4"/>
      <c r="AW615" s="4"/>
      <c r="AX615" s="4"/>
      <c r="AY615" s="4"/>
      <c r="AZ615" s="4"/>
      <c r="BA615" s="4"/>
      <c r="BB615" s="4"/>
      <c r="BC615" s="4"/>
      <c r="BD615" s="4"/>
      <c r="BE615" s="4"/>
      <c r="BF615" s="4"/>
      <c r="BG615" s="4"/>
      <c r="BH615" s="4"/>
    </row>
    <row r="616" spans="1:60">
      <c r="A616" s="4"/>
      <c r="B616" s="3"/>
      <c r="C616" s="3"/>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5"/>
      <c r="AT616" s="4"/>
      <c r="AU616" s="4"/>
      <c r="AV616" s="4"/>
      <c r="AW616" s="4"/>
      <c r="AX616" s="4"/>
      <c r="AY616" s="4"/>
      <c r="AZ616" s="4"/>
      <c r="BA616" s="4"/>
      <c r="BB616" s="4"/>
      <c r="BC616" s="4"/>
      <c r="BD616" s="4"/>
      <c r="BE616" s="4"/>
      <c r="BF616" s="4"/>
      <c r="BG616" s="4"/>
      <c r="BH616" s="4"/>
    </row>
    <row r="617" spans="1:60">
      <c r="A617" s="4"/>
      <c r="B617" s="3"/>
      <c r="C617" s="3"/>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5"/>
      <c r="AT617" s="4"/>
      <c r="AU617" s="4"/>
      <c r="AV617" s="4"/>
      <c r="AW617" s="4"/>
      <c r="AX617" s="4"/>
      <c r="AY617" s="4"/>
      <c r="AZ617" s="4"/>
      <c r="BA617" s="4"/>
      <c r="BB617" s="4"/>
      <c r="BC617" s="4"/>
      <c r="BD617" s="4"/>
      <c r="BE617" s="4"/>
      <c r="BF617" s="4"/>
      <c r="BG617" s="4"/>
      <c r="BH617" s="4"/>
    </row>
    <row r="618" spans="1:60">
      <c r="A618" s="4"/>
      <c r="B618" s="3"/>
      <c r="C618" s="3"/>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5"/>
      <c r="AT618" s="4"/>
      <c r="AU618" s="4"/>
      <c r="AV618" s="4"/>
      <c r="AW618" s="4"/>
      <c r="AX618" s="4"/>
      <c r="AY618" s="4"/>
      <c r="AZ618" s="4"/>
      <c r="BA618" s="4"/>
      <c r="BB618" s="4"/>
      <c r="BC618" s="4"/>
      <c r="BD618" s="4"/>
      <c r="BE618" s="4"/>
      <c r="BF618" s="4"/>
      <c r="BG618" s="4"/>
      <c r="BH618" s="4"/>
    </row>
    <row r="619" spans="1:60">
      <c r="A619" s="4"/>
      <c r="B619" s="3"/>
      <c r="C619" s="3"/>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5"/>
      <c r="AT619" s="4"/>
      <c r="AU619" s="4"/>
      <c r="AV619" s="4"/>
      <c r="AW619" s="4"/>
      <c r="AX619" s="4"/>
      <c r="AY619" s="4"/>
      <c r="AZ619" s="4"/>
      <c r="BA619" s="4"/>
      <c r="BB619" s="4"/>
      <c r="BC619" s="4"/>
      <c r="BD619" s="4"/>
      <c r="BE619" s="4"/>
      <c r="BF619" s="4"/>
      <c r="BG619" s="4"/>
      <c r="BH619" s="4"/>
    </row>
    <row r="620" spans="1:60">
      <c r="A620" s="4"/>
      <c r="B620" s="3"/>
      <c r="C620" s="3"/>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5"/>
      <c r="AT620" s="4"/>
      <c r="AU620" s="4"/>
      <c r="AV620" s="4"/>
      <c r="AW620" s="4"/>
      <c r="AX620" s="4"/>
      <c r="AY620" s="4"/>
      <c r="AZ620" s="4"/>
      <c r="BA620" s="4"/>
      <c r="BB620" s="4"/>
      <c r="BC620" s="4"/>
      <c r="BD620" s="4"/>
      <c r="BE620" s="4"/>
      <c r="BF620" s="4"/>
      <c r="BG620" s="4"/>
      <c r="BH620" s="4"/>
    </row>
    <row r="621" spans="1:60">
      <c r="A621" s="4"/>
      <c r="B621" s="3"/>
      <c r="C621" s="3"/>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5"/>
      <c r="AT621" s="4"/>
      <c r="AU621" s="4"/>
      <c r="AV621" s="4"/>
      <c r="AW621" s="4"/>
      <c r="AX621" s="4"/>
      <c r="AY621" s="4"/>
      <c r="AZ621" s="4"/>
      <c r="BA621" s="4"/>
      <c r="BB621" s="4"/>
      <c r="BC621" s="4"/>
      <c r="BD621" s="4"/>
      <c r="BE621" s="4"/>
      <c r="BF621" s="4"/>
      <c r="BG621" s="4"/>
      <c r="BH621" s="4"/>
    </row>
    <row r="622" spans="1:60">
      <c r="A622" s="4"/>
      <c r="B622" s="3"/>
      <c r="C622" s="3"/>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5"/>
      <c r="AT622" s="4"/>
      <c r="AU622" s="4"/>
      <c r="AV622" s="4"/>
      <c r="AW622" s="4"/>
      <c r="AX622" s="4"/>
      <c r="AY622" s="4"/>
      <c r="AZ622" s="4"/>
      <c r="BA622" s="4"/>
      <c r="BB622" s="4"/>
      <c r="BC622" s="4"/>
      <c r="BD622" s="4"/>
      <c r="BE622" s="4"/>
      <c r="BF622" s="4"/>
      <c r="BG622" s="4"/>
      <c r="BH622" s="4"/>
    </row>
    <row r="623" spans="1:60">
      <c r="A623" s="4"/>
      <c r="B623" s="3"/>
      <c r="C623" s="3"/>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5"/>
      <c r="AT623" s="4"/>
      <c r="AU623" s="4"/>
      <c r="AV623" s="4"/>
      <c r="AW623" s="4"/>
      <c r="AX623" s="4"/>
      <c r="AY623" s="4"/>
      <c r="AZ623" s="4"/>
      <c r="BA623" s="4"/>
      <c r="BB623" s="4"/>
      <c r="BC623" s="4"/>
      <c r="BD623" s="4"/>
      <c r="BE623" s="4"/>
      <c r="BF623" s="4"/>
      <c r="BG623" s="4"/>
      <c r="BH623" s="4"/>
    </row>
    <row r="624" spans="1:60">
      <c r="A624" s="4"/>
      <c r="B624" s="3"/>
      <c r="C624" s="3"/>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5"/>
      <c r="AT624" s="4"/>
      <c r="AU624" s="4"/>
      <c r="AV624" s="4"/>
      <c r="AW624" s="4"/>
      <c r="AX624" s="4"/>
      <c r="AY624" s="4"/>
      <c r="AZ624" s="4"/>
      <c r="BA624" s="4"/>
      <c r="BB624" s="4"/>
      <c r="BC624" s="4"/>
      <c r="BD624" s="4"/>
      <c r="BE624" s="4"/>
      <c r="BF624" s="4"/>
      <c r="BG624" s="4"/>
      <c r="BH624" s="4"/>
    </row>
    <row r="625" spans="1:60">
      <c r="A625" s="4"/>
      <c r="B625" s="3"/>
      <c r="C625" s="3"/>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5"/>
      <c r="AT625" s="4"/>
      <c r="AU625" s="4"/>
      <c r="AV625" s="4"/>
      <c r="AW625" s="4"/>
      <c r="AX625" s="4"/>
      <c r="AY625" s="4"/>
      <c r="AZ625" s="4"/>
      <c r="BA625" s="4"/>
      <c r="BB625" s="4"/>
      <c r="BC625" s="4"/>
      <c r="BD625" s="4"/>
      <c r="BE625" s="4"/>
      <c r="BF625" s="4"/>
      <c r="BG625" s="4"/>
      <c r="BH625" s="4"/>
    </row>
    <row r="626" spans="1:60">
      <c r="A626" s="4"/>
      <c r="B626" s="3"/>
      <c r="C626" s="3"/>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5"/>
      <c r="AT626" s="4"/>
      <c r="AU626" s="4"/>
      <c r="AV626" s="4"/>
      <c r="AW626" s="4"/>
      <c r="AX626" s="4"/>
      <c r="AY626" s="4"/>
      <c r="AZ626" s="4"/>
      <c r="BA626" s="4"/>
      <c r="BB626" s="4"/>
      <c r="BC626" s="4"/>
      <c r="BD626" s="4"/>
      <c r="BE626" s="4"/>
      <c r="BF626" s="4"/>
      <c r="BG626" s="4"/>
      <c r="BH626" s="4"/>
    </row>
    <row r="627" spans="1:60">
      <c r="A627" s="4"/>
      <c r="B627" s="3"/>
      <c r="C627" s="3"/>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5"/>
      <c r="AT627" s="4"/>
      <c r="AU627" s="4"/>
      <c r="AV627" s="4"/>
      <c r="AW627" s="4"/>
      <c r="AX627" s="4"/>
      <c r="AY627" s="4"/>
      <c r="AZ627" s="4"/>
      <c r="BA627" s="4"/>
      <c r="BB627" s="4"/>
      <c r="BC627" s="4"/>
      <c r="BD627" s="4"/>
      <c r="BE627" s="4"/>
      <c r="BF627" s="4"/>
      <c r="BG627" s="4"/>
      <c r="BH627" s="4"/>
    </row>
    <row r="628" spans="1:60">
      <c r="A628" s="4"/>
      <c r="B628" s="3"/>
      <c r="C628" s="3"/>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5"/>
      <c r="AT628" s="4"/>
      <c r="AU628" s="4"/>
      <c r="AV628" s="4"/>
      <c r="AW628" s="4"/>
      <c r="AX628" s="4"/>
      <c r="AY628" s="4"/>
      <c r="AZ628" s="4"/>
      <c r="BA628" s="4"/>
      <c r="BB628" s="4"/>
      <c r="BC628" s="4"/>
      <c r="BD628" s="4"/>
      <c r="BE628" s="4"/>
      <c r="BF628" s="4"/>
      <c r="BG628" s="4"/>
      <c r="BH628" s="4"/>
    </row>
    <row r="629" spans="1:60">
      <c r="A629" s="4"/>
      <c r="B629" s="3"/>
      <c r="C629" s="3"/>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5"/>
      <c r="AT629" s="4"/>
      <c r="AU629" s="4"/>
      <c r="AV629" s="4"/>
      <c r="AW629" s="4"/>
      <c r="AX629" s="4"/>
      <c r="AY629" s="4"/>
      <c r="AZ629" s="4"/>
      <c r="BA629" s="4"/>
      <c r="BB629" s="4"/>
      <c r="BC629" s="4"/>
      <c r="BD629" s="4"/>
      <c r="BE629" s="4"/>
      <c r="BF629" s="4"/>
      <c r="BG629" s="4"/>
      <c r="BH629" s="4"/>
    </row>
    <row r="630" spans="1:60">
      <c r="A630" s="4"/>
      <c r="B630" s="3"/>
      <c r="C630" s="3"/>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5"/>
      <c r="AT630" s="4"/>
      <c r="AU630" s="4"/>
      <c r="AV630" s="4"/>
      <c r="AW630" s="4"/>
      <c r="AX630" s="4"/>
      <c r="AY630" s="4"/>
      <c r="AZ630" s="4"/>
      <c r="BA630" s="4"/>
      <c r="BB630" s="4"/>
      <c r="BC630" s="4"/>
      <c r="BD630" s="4"/>
      <c r="BE630" s="4"/>
      <c r="BF630" s="4"/>
      <c r="BG630" s="4"/>
      <c r="BH630" s="4"/>
    </row>
    <row r="631" spans="1:60">
      <c r="A631" s="4"/>
      <c r="B631" s="3"/>
      <c r="C631" s="3"/>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5"/>
      <c r="AT631" s="4"/>
      <c r="AU631" s="4"/>
      <c r="AV631" s="4"/>
      <c r="AW631" s="4"/>
      <c r="AX631" s="4"/>
      <c r="AY631" s="4"/>
      <c r="AZ631" s="4"/>
      <c r="BA631" s="4"/>
      <c r="BB631" s="4"/>
      <c r="BC631" s="4"/>
      <c r="BD631" s="4"/>
      <c r="BE631" s="4"/>
      <c r="BF631" s="4"/>
      <c r="BG631" s="4"/>
      <c r="BH631" s="4"/>
    </row>
    <row r="632" spans="1:60">
      <c r="A632" s="4"/>
      <c r="B632" s="3"/>
      <c r="C632" s="3"/>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5"/>
      <c r="AT632" s="4"/>
      <c r="AU632" s="4"/>
      <c r="AV632" s="4"/>
      <c r="AW632" s="4"/>
      <c r="AX632" s="4"/>
      <c r="AY632" s="4"/>
      <c r="AZ632" s="4"/>
      <c r="BA632" s="4"/>
      <c r="BB632" s="4"/>
      <c r="BC632" s="4"/>
      <c r="BD632" s="4"/>
      <c r="BE632" s="4"/>
      <c r="BF632" s="4"/>
      <c r="BG632" s="4"/>
      <c r="BH632" s="4"/>
    </row>
    <row r="633" spans="1:60">
      <c r="A633" s="4"/>
      <c r="B633" s="3"/>
      <c r="C633" s="3"/>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5"/>
      <c r="AT633" s="4"/>
      <c r="AU633" s="4"/>
      <c r="AV633" s="4"/>
      <c r="AW633" s="4"/>
      <c r="AX633" s="4"/>
      <c r="AY633" s="4"/>
      <c r="AZ633" s="4"/>
      <c r="BA633" s="4"/>
      <c r="BB633" s="4"/>
      <c r="BC633" s="4"/>
      <c r="BD633" s="4"/>
      <c r="BE633" s="4"/>
      <c r="BF633" s="4"/>
      <c r="BG633" s="4"/>
      <c r="BH633" s="4"/>
    </row>
    <row r="634" spans="1:60">
      <c r="A634" s="4"/>
      <c r="B634" s="3"/>
      <c r="C634" s="3"/>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5"/>
      <c r="AT634" s="4"/>
      <c r="AU634" s="4"/>
      <c r="AV634" s="4"/>
      <c r="AW634" s="4"/>
      <c r="AX634" s="4"/>
      <c r="AY634" s="4"/>
      <c r="AZ634" s="4"/>
      <c r="BA634" s="4"/>
      <c r="BB634" s="4"/>
      <c r="BC634" s="4"/>
      <c r="BD634" s="4"/>
      <c r="BE634" s="4"/>
      <c r="BF634" s="4"/>
      <c r="BG634" s="4"/>
      <c r="BH634" s="4"/>
    </row>
    <row r="635" spans="1:60">
      <c r="A635" s="4"/>
      <c r="B635" s="3"/>
      <c r="C635" s="3"/>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5"/>
      <c r="AT635" s="4"/>
      <c r="AU635" s="4"/>
      <c r="AV635" s="4"/>
      <c r="AW635" s="4"/>
      <c r="AX635" s="4"/>
      <c r="AY635" s="4"/>
      <c r="AZ635" s="4"/>
      <c r="BA635" s="4"/>
      <c r="BB635" s="4"/>
      <c r="BC635" s="4"/>
      <c r="BD635" s="4"/>
      <c r="BE635" s="4"/>
      <c r="BF635" s="4"/>
      <c r="BG635" s="4"/>
      <c r="BH635" s="4"/>
    </row>
    <row r="636" spans="1:60">
      <c r="A636" s="4"/>
      <c r="B636" s="3"/>
      <c r="C636" s="3"/>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5"/>
      <c r="AT636" s="4"/>
      <c r="AU636" s="4"/>
      <c r="AV636" s="4"/>
      <c r="AW636" s="4"/>
      <c r="AX636" s="4"/>
      <c r="AY636" s="4"/>
      <c r="AZ636" s="4"/>
      <c r="BA636" s="4"/>
      <c r="BB636" s="4"/>
      <c r="BC636" s="4"/>
      <c r="BD636" s="4"/>
      <c r="BE636" s="4"/>
      <c r="BF636" s="4"/>
      <c r="BG636" s="4"/>
      <c r="BH636" s="4"/>
    </row>
    <row r="637" spans="1:60">
      <c r="A637" s="4"/>
      <c r="B637" s="3"/>
      <c r="C637" s="3"/>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5"/>
      <c r="AT637" s="4"/>
      <c r="AU637" s="4"/>
      <c r="AV637" s="4"/>
      <c r="AW637" s="4"/>
      <c r="AX637" s="4"/>
      <c r="AY637" s="4"/>
      <c r="AZ637" s="4"/>
      <c r="BA637" s="4"/>
      <c r="BB637" s="4"/>
      <c r="BC637" s="4"/>
      <c r="BD637" s="4"/>
      <c r="BE637" s="4"/>
      <c r="BF637" s="4"/>
      <c r="BG637" s="4"/>
      <c r="BH637" s="4"/>
    </row>
    <row r="638" spans="1:60">
      <c r="A638" s="4"/>
      <c r="B638" s="3"/>
      <c r="C638" s="3"/>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5"/>
      <c r="AT638" s="4"/>
      <c r="AU638" s="4"/>
      <c r="AV638" s="4"/>
      <c r="AW638" s="4"/>
      <c r="AX638" s="4"/>
      <c r="AY638" s="4"/>
      <c r="AZ638" s="4"/>
      <c r="BA638" s="4"/>
      <c r="BB638" s="4"/>
      <c r="BC638" s="4"/>
      <c r="BD638" s="4"/>
      <c r="BE638" s="4"/>
      <c r="BF638" s="4"/>
      <c r="BG638" s="4"/>
      <c r="BH638" s="4"/>
    </row>
    <row r="639" spans="1:60">
      <c r="A639" s="4"/>
      <c r="B639" s="3"/>
      <c r="C639" s="3"/>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5"/>
      <c r="AT639" s="4"/>
      <c r="AU639" s="4"/>
      <c r="AV639" s="4"/>
      <c r="AW639" s="4"/>
      <c r="AX639" s="4"/>
      <c r="AY639" s="4"/>
      <c r="AZ639" s="4"/>
      <c r="BA639" s="4"/>
      <c r="BB639" s="4"/>
      <c r="BC639" s="4"/>
      <c r="BD639" s="4"/>
      <c r="BE639" s="4"/>
      <c r="BF639" s="4"/>
      <c r="BG639" s="4"/>
      <c r="BH639" s="4"/>
    </row>
    <row r="640" spans="1:60">
      <c r="A640" s="4"/>
      <c r="B640" s="3"/>
      <c r="C640" s="3"/>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5"/>
      <c r="AT640" s="4"/>
      <c r="AU640" s="4"/>
      <c r="AV640" s="4"/>
      <c r="AW640" s="4"/>
      <c r="AX640" s="4"/>
      <c r="AY640" s="4"/>
      <c r="AZ640" s="4"/>
      <c r="BA640" s="4"/>
      <c r="BB640" s="4"/>
      <c r="BC640" s="4"/>
      <c r="BD640" s="4"/>
      <c r="BE640" s="4"/>
      <c r="BF640" s="4"/>
      <c r="BG640" s="4"/>
      <c r="BH640" s="4"/>
    </row>
    <row r="641" spans="1:60">
      <c r="A641" s="4"/>
      <c r="B641" s="3"/>
      <c r="C641" s="3"/>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5"/>
      <c r="AT641" s="4"/>
      <c r="AU641" s="4"/>
      <c r="AV641" s="4"/>
      <c r="AW641" s="4"/>
      <c r="AX641" s="4"/>
      <c r="AY641" s="4"/>
      <c r="AZ641" s="4"/>
      <c r="BA641" s="4"/>
      <c r="BB641" s="4"/>
      <c r="BC641" s="4"/>
      <c r="BD641" s="4"/>
      <c r="BE641" s="4"/>
      <c r="BF641" s="4"/>
      <c r="BG641" s="4"/>
      <c r="BH641" s="4"/>
    </row>
    <row r="642" spans="1:60">
      <c r="A642" s="4"/>
      <c r="B642" s="3"/>
      <c r="C642" s="3"/>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5"/>
      <c r="AT642" s="4"/>
      <c r="AU642" s="4"/>
      <c r="AV642" s="4"/>
      <c r="AW642" s="4"/>
      <c r="AX642" s="4"/>
      <c r="AY642" s="4"/>
      <c r="AZ642" s="4"/>
      <c r="BA642" s="4"/>
      <c r="BB642" s="4"/>
      <c r="BC642" s="4"/>
      <c r="BD642" s="4"/>
      <c r="BE642" s="4"/>
      <c r="BF642" s="4"/>
      <c r="BG642" s="4"/>
      <c r="BH642" s="4"/>
    </row>
    <row r="643" spans="1:60">
      <c r="A643" s="4"/>
      <c r="B643" s="3"/>
      <c r="C643" s="3"/>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5"/>
      <c r="AT643" s="4"/>
      <c r="AU643" s="4"/>
      <c r="AV643" s="4"/>
      <c r="AW643" s="4"/>
      <c r="AX643" s="4"/>
      <c r="AY643" s="4"/>
      <c r="AZ643" s="4"/>
      <c r="BA643" s="4"/>
      <c r="BB643" s="4"/>
      <c r="BC643" s="4"/>
      <c r="BD643" s="4"/>
      <c r="BE643" s="4"/>
      <c r="BF643" s="4"/>
      <c r="BG643" s="4"/>
      <c r="BH643" s="4"/>
    </row>
    <row r="644" spans="1:60">
      <c r="A644" s="4"/>
      <c r="B644" s="3"/>
      <c r="C644" s="3"/>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5"/>
      <c r="AT644" s="4"/>
      <c r="AU644" s="4"/>
      <c r="AV644" s="4"/>
      <c r="AW644" s="4"/>
      <c r="AX644" s="4"/>
      <c r="AY644" s="4"/>
      <c r="AZ644" s="4"/>
      <c r="BA644" s="4"/>
      <c r="BB644" s="4"/>
      <c r="BC644" s="4"/>
      <c r="BD644" s="4"/>
      <c r="BE644" s="4"/>
      <c r="BF644" s="4"/>
      <c r="BG644" s="4"/>
      <c r="BH644" s="4"/>
    </row>
    <row r="645" spans="1:60">
      <c r="A645" s="4"/>
      <c r="B645" s="3"/>
      <c r="C645" s="3"/>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5"/>
      <c r="AT645" s="4"/>
      <c r="AU645" s="4"/>
      <c r="AV645" s="4"/>
      <c r="AW645" s="4"/>
      <c r="AX645" s="4"/>
      <c r="AY645" s="4"/>
      <c r="AZ645" s="4"/>
      <c r="BA645" s="4"/>
      <c r="BB645" s="4"/>
      <c r="BC645" s="4"/>
      <c r="BD645" s="4"/>
      <c r="BE645" s="4"/>
      <c r="BF645" s="4"/>
      <c r="BG645" s="4"/>
      <c r="BH645" s="4"/>
    </row>
    <row r="646" spans="1:60">
      <c r="A646" s="4"/>
      <c r="B646" s="3"/>
      <c r="C646" s="3"/>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5"/>
      <c r="AT646" s="4"/>
      <c r="AU646" s="4"/>
      <c r="AV646" s="4"/>
      <c r="AW646" s="4"/>
      <c r="AX646" s="4"/>
      <c r="AY646" s="4"/>
      <c r="AZ646" s="4"/>
      <c r="BA646" s="4"/>
      <c r="BB646" s="4"/>
      <c r="BC646" s="4"/>
      <c r="BD646" s="4"/>
      <c r="BE646" s="4"/>
      <c r="BF646" s="4"/>
      <c r="BG646" s="4"/>
      <c r="BH646" s="4"/>
    </row>
    <row r="647" spans="1:60">
      <c r="A647" s="4"/>
      <c r="B647" s="3"/>
      <c r="C647" s="3"/>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5"/>
      <c r="AT647" s="4"/>
      <c r="AU647" s="4"/>
      <c r="AV647" s="4"/>
      <c r="AW647" s="4"/>
      <c r="AX647" s="4"/>
      <c r="AY647" s="4"/>
      <c r="AZ647" s="4"/>
      <c r="BA647" s="4"/>
      <c r="BB647" s="4"/>
      <c r="BC647" s="4"/>
      <c r="BD647" s="4"/>
      <c r="BE647" s="4"/>
      <c r="BF647" s="4"/>
      <c r="BG647" s="4"/>
      <c r="BH647" s="4"/>
    </row>
    <row r="648" spans="1:60">
      <c r="A648" s="4"/>
      <c r="B648" s="3"/>
      <c r="C648" s="3"/>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5"/>
      <c r="AT648" s="4"/>
      <c r="AU648" s="4"/>
      <c r="AV648" s="4"/>
      <c r="AW648" s="4"/>
      <c r="AX648" s="4"/>
      <c r="AY648" s="4"/>
      <c r="AZ648" s="4"/>
      <c r="BA648" s="4"/>
      <c r="BB648" s="4"/>
      <c r="BC648" s="4"/>
      <c r="BD648" s="4"/>
      <c r="BE648" s="4"/>
      <c r="BF648" s="4"/>
      <c r="BG648" s="4"/>
      <c r="BH648" s="4"/>
    </row>
    <row r="649" spans="1:60">
      <c r="A649" s="4"/>
      <c r="B649" s="3"/>
      <c r="C649" s="3"/>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5"/>
      <c r="AT649" s="4"/>
      <c r="AU649" s="4"/>
      <c r="AV649" s="4"/>
      <c r="AW649" s="4"/>
      <c r="AX649" s="4"/>
      <c r="AY649" s="4"/>
      <c r="AZ649" s="4"/>
      <c r="BA649" s="4"/>
      <c r="BB649" s="4"/>
      <c r="BC649" s="4"/>
      <c r="BD649" s="4"/>
      <c r="BE649" s="4"/>
      <c r="BF649" s="4"/>
      <c r="BG649" s="4"/>
      <c r="BH649" s="4"/>
    </row>
    <row r="650" spans="1:60">
      <c r="A650" s="4"/>
      <c r="B650" s="3"/>
      <c r="C650" s="3"/>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5"/>
      <c r="AT650" s="4"/>
      <c r="AU650" s="4"/>
      <c r="AV650" s="4"/>
      <c r="AW650" s="4"/>
      <c r="AX650" s="4"/>
      <c r="AY650" s="4"/>
      <c r="AZ650" s="4"/>
      <c r="BA650" s="4"/>
      <c r="BB650" s="4"/>
      <c r="BC650" s="4"/>
      <c r="BD650" s="4"/>
      <c r="BE650" s="4"/>
      <c r="BF650" s="4"/>
      <c r="BG650" s="4"/>
      <c r="BH650" s="4"/>
    </row>
    <row r="651" spans="1:60">
      <c r="A651" s="4"/>
      <c r="B651" s="3"/>
      <c r="C651" s="3"/>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5"/>
      <c r="AT651" s="4"/>
      <c r="AU651" s="4"/>
      <c r="AV651" s="4"/>
      <c r="AW651" s="4"/>
      <c r="AX651" s="4"/>
      <c r="AY651" s="4"/>
      <c r="AZ651" s="4"/>
      <c r="BA651" s="4"/>
      <c r="BB651" s="4"/>
      <c r="BC651" s="4"/>
      <c r="BD651" s="4"/>
      <c r="BE651" s="4"/>
      <c r="BF651" s="4"/>
      <c r="BG651" s="4"/>
      <c r="BH651" s="4"/>
    </row>
    <row r="652" spans="1:60">
      <c r="A652" s="4"/>
      <c r="B652" s="3"/>
      <c r="C652" s="3"/>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5"/>
      <c r="AT652" s="4"/>
      <c r="AU652" s="4"/>
      <c r="AV652" s="4"/>
      <c r="AW652" s="4"/>
      <c r="AX652" s="4"/>
      <c r="AY652" s="4"/>
      <c r="AZ652" s="4"/>
      <c r="BA652" s="4"/>
      <c r="BB652" s="4"/>
      <c r="BC652" s="4"/>
      <c r="BD652" s="4"/>
      <c r="BE652" s="4"/>
      <c r="BF652" s="4"/>
      <c r="BG652" s="4"/>
      <c r="BH652" s="4"/>
    </row>
    <row r="653" spans="1:60">
      <c r="A653" s="4"/>
      <c r="B653" s="3"/>
      <c r="C653" s="3"/>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5"/>
      <c r="AT653" s="4"/>
      <c r="AU653" s="4"/>
      <c r="AV653" s="4"/>
      <c r="AW653" s="4"/>
      <c r="AX653" s="4"/>
      <c r="AY653" s="4"/>
      <c r="AZ653" s="4"/>
      <c r="BA653" s="4"/>
      <c r="BB653" s="4"/>
      <c r="BC653" s="4"/>
      <c r="BD653" s="4"/>
      <c r="BE653" s="4"/>
      <c r="BF653" s="4"/>
      <c r="BG653" s="4"/>
      <c r="BH653" s="4"/>
    </row>
    <row r="654" spans="1:60">
      <c r="A654" s="4"/>
      <c r="B654" s="3"/>
      <c r="C654" s="3"/>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5"/>
      <c r="AT654" s="4"/>
      <c r="AU654" s="4"/>
      <c r="AV654" s="4"/>
      <c r="AW654" s="4"/>
      <c r="AX654" s="4"/>
      <c r="AY654" s="4"/>
      <c r="AZ654" s="4"/>
      <c r="BA654" s="4"/>
      <c r="BB654" s="4"/>
      <c r="BC654" s="4"/>
      <c r="BD654" s="4"/>
      <c r="BE654" s="4"/>
      <c r="BF654" s="4"/>
      <c r="BG654" s="4"/>
      <c r="BH654" s="4"/>
    </row>
    <row r="655" spans="1:60">
      <c r="A655" s="4"/>
      <c r="B655" s="3"/>
      <c r="C655" s="3"/>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5"/>
      <c r="AT655" s="4"/>
      <c r="AU655" s="4"/>
      <c r="AV655" s="4"/>
      <c r="AW655" s="4"/>
      <c r="AX655" s="4"/>
      <c r="AY655" s="4"/>
      <c r="AZ655" s="4"/>
      <c r="BA655" s="4"/>
      <c r="BB655" s="4"/>
      <c r="BC655" s="4"/>
      <c r="BD655" s="4"/>
      <c r="BE655" s="4"/>
      <c r="BF655" s="4"/>
      <c r="BG655" s="4"/>
      <c r="BH655" s="4"/>
    </row>
    <row r="656" spans="1:60">
      <c r="A656" s="4"/>
      <c r="B656" s="3"/>
      <c r="C656" s="3"/>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5"/>
      <c r="AT656" s="4"/>
      <c r="AU656" s="4"/>
      <c r="AV656" s="4"/>
      <c r="AW656" s="4"/>
      <c r="AX656" s="4"/>
      <c r="AY656" s="4"/>
      <c r="AZ656" s="4"/>
      <c r="BA656" s="4"/>
      <c r="BB656" s="4"/>
      <c r="BC656" s="4"/>
      <c r="BD656" s="4"/>
      <c r="BE656" s="4"/>
      <c r="BF656" s="4"/>
      <c r="BG656" s="4"/>
      <c r="BH656" s="4"/>
    </row>
    <row r="657" spans="1:60">
      <c r="A657" s="4"/>
      <c r="B657" s="3"/>
      <c r="C657" s="3"/>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5"/>
      <c r="AT657" s="4"/>
      <c r="AU657" s="4"/>
      <c r="AV657" s="4"/>
      <c r="AW657" s="4"/>
      <c r="AX657" s="4"/>
      <c r="AY657" s="4"/>
      <c r="AZ657" s="4"/>
      <c r="BA657" s="4"/>
      <c r="BB657" s="4"/>
      <c r="BC657" s="4"/>
      <c r="BD657" s="4"/>
      <c r="BE657" s="4"/>
      <c r="BF657" s="4"/>
      <c r="BG657" s="4"/>
      <c r="BH657" s="4"/>
    </row>
    <row r="658" spans="1:60">
      <c r="A658" s="4"/>
      <c r="B658" s="3"/>
      <c r="C658" s="3"/>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5"/>
      <c r="AT658" s="4"/>
      <c r="AU658" s="4"/>
      <c r="AV658" s="4"/>
      <c r="AW658" s="4"/>
      <c r="AX658" s="4"/>
      <c r="AY658" s="4"/>
      <c r="AZ658" s="4"/>
      <c r="BA658" s="4"/>
      <c r="BB658" s="4"/>
      <c r="BC658" s="4"/>
      <c r="BD658" s="4"/>
      <c r="BE658" s="4"/>
      <c r="BF658" s="4"/>
      <c r="BG658" s="4"/>
      <c r="BH658" s="4"/>
    </row>
    <row r="659" spans="1:60">
      <c r="A659" s="4"/>
      <c r="B659" s="3"/>
      <c r="C659" s="3"/>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5"/>
      <c r="AT659" s="4"/>
      <c r="AU659" s="4"/>
      <c r="AV659" s="4"/>
      <c r="AW659" s="4"/>
      <c r="AX659" s="4"/>
      <c r="AY659" s="4"/>
      <c r="AZ659" s="4"/>
      <c r="BA659" s="4"/>
      <c r="BB659" s="4"/>
      <c r="BC659" s="4"/>
      <c r="BD659" s="4"/>
      <c r="BE659" s="4"/>
      <c r="BF659" s="4"/>
      <c r="BG659" s="4"/>
      <c r="BH659" s="4"/>
    </row>
    <row r="660" spans="1:60">
      <c r="A660" s="4"/>
      <c r="B660" s="3"/>
      <c r="C660" s="3"/>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5"/>
      <c r="AT660" s="4"/>
      <c r="AU660" s="4"/>
      <c r="AV660" s="4"/>
      <c r="AW660" s="4"/>
      <c r="AX660" s="4"/>
      <c r="AY660" s="4"/>
      <c r="AZ660" s="4"/>
      <c r="BA660" s="4"/>
      <c r="BB660" s="4"/>
      <c r="BC660" s="4"/>
      <c r="BD660" s="4"/>
      <c r="BE660" s="4"/>
      <c r="BF660" s="4"/>
      <c r="BG660" s="4"/>
      <c r="BH660" s="4"/>
    </row>
    <row r="661" spans="1:60">
      <c r="A661" s="4"/>
      <c r="B661" s="3"/>
      <c r="C661" s="3"/>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5"/>
      <c r="AT661" s="4"/>
      <c r="AU661" s="4"/>
      <c r="AV661" s="4"/>
      <c r="AW661" s="4"/>
      <c r="AX661" s="4"/>
      <c r="AY661" s="4"/>
      <c r="AZ661" s="4"/>
      <c r="BA661" s="4"/>
      <c r="BB661" s="4"/>
      <c r="BC661" s="4"/>
      <c r="BD661" s="4"/>
      <c r="BE661" s="4"/>
      <c r="BF661" s="4"/>
      <c r="BG661" s="4"/>
      <c r="BH661" s="4"/>
    </row>
    <row r="662" spans="1:60">
      <c r="A662" s="4"/>
      <c r="B662" s="3"/>
      <c r="C662" s="3"/>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5"/>
      <c r="AT662" s="4"/>
      <c r="AU662" s="4"/>
      <c r="AV662" s="4"/>
      <c r="AW662" s="4"/>
      <c r="AX662" s="4"/>
      <c r="AY662" s="4"/>
      <c r="AZ662" s="4"/>
      <c r="BA662" s="4"/>
      <c r="BB662" s="4"/>
      <c r="BC662" s="4"/>
      <c r="BD662" s="4"/>
      <c r="BE662" s="4"/>
      <c r="BF662" s="4"/>
      <c r="BG662" s="4"/>
      <c r="BH662" s="4"/>
    </row>
    <row r="663" spans="1:60">
      <c r="A663" s="4"/>
      <c r="B663" s="3"/>
      <c r="C663" s="3"/>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5"/>
      <c r="AT663" s="4"/>
      <c r="AU663" s="4"/>
      <c r="AV663" s="4"/>
      <c r="AW663" s="4"/>
      <c r="AX663" s="4"/>
      <c r="AY663" s="4"/>
      <c r="AZ663" s="4"/>
      <c r="BA663" s="4"/>
      <c r="BB663" s="4"/>
      <c r="BC663" s="4"/>
      <c r="BD663" s="4"/>
      <c r="BE663" s="4"/>
      <c r="BF663" s="4"/>
      <c r="BG663" s="4"/>
      <c r="BH663" s="4"/>
    </row>
    <row r="664" spans="1:60">
      <c r="A664" s="4"/>
      <c r="B664" s="3"/>
      <c r="C664" s="3"/>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5"/>
      <c r="AT664" s="4"/>
      <c r="AU664" s="4"/>
      <c r="AV664" s="4"/>
      <c r="AW664" s="4"/>
      <c r="AX664" s="4"/>
      <c r="AY664" s="4"/>
      <c r="AZ664" s="4"/>
      <c r="BA664" s="4"/>
      <c r="BB664" s="4"/>
      <c r="BC664" s="4"/>
      <c r="BD664" s="4"/>
      <c r="BE664" s="4"/>
      <c r="BF664" s="4"/>
      <c r="BG664" s="4"/>
      <c r="BH664" s="4"/>
    </row>
    <row r="665" spans="1:60">
      <c r="A665" s="4"/>
      <c r="B665" s="3"/>
      <c r="C665" s="3"/>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5"/>
      <c r="AT665" s="4"/>
      <c r="AU665" s="4"/>
      <c r="AV665" s="4"/>
      <c r="AW665" s="4"/>
      <c r="AX665" s="4"/>
      <c r="AY665" s="4"/>
      <c r="AZ665" s="4"/>
      <c r="BA665" s="4"/>
      <c r="BB665" s="4"/>
      <c r="BC665" s="4"/>
      <c r="BD665" s="4"/>
      <c r="BE665" s="4"/>
      <c r="BF665" s="4"/>
      <c r="BG665" s="4"/>
      <c r="BH665" s="4"/>
    </row>
    <row r="666" spans="1:60">
      <c r="A666" s="4"/>
      <c r="B666" s="3"/>
      <c r="C666" s="3"/>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5"/>
      <c r="AT666" s="4"/>
      <c r="AU666" s="4"/>
      <c r="AV666" s="4"/>
      <c r="AW666" s="4"/>
      <c r="AX666" s="4"/>
      <c r="AY666" s="4"/>
      <c r="AZ666" s="4"/>
      <c r="BA666" s="4"/>
      <c r="BB666" s="4"/>
      <c r="BC666" s="4"/>
      <c r="BD666" s="4"/>
      <c r="BE666" s="4"/>
      <c r="BF666" s="4"/>
      <c r="BG666" s="4"/>
      <c r="BH666" s="4"/>
    </row>
    <row r="667" spans="1:60">
      <c r="A667" s="4"/>
      <c r="B667" s="3"/>
      <c r="C667" s="3"/>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5"/>
      <c r="AT667" s="4"/>
      <c r="AU667" s="4"/>
      <c r="AV667" s="4"/>
      <c r="AW667" s="4"/>
      <c r="AX667" s="4"/>
      <c r="AY667" s="4"/>
      <c r="AZ667" s="4"/>
      <c r="BA667" s="4"/>
      <c r="BB667" s="4"/>
      <c r="BC667" s="4"/>
      <c r="BD667" s="4"/>
      <c r="BE667" s="4"/>
      <c r="BF667" s="4"/>
      <c r="BG667" s="4"/>
      <c r="BH667" s="4"/>
    </row>
    <row r="668" spans="1:60">
      <c r="A668" s="4"/>
      <c r="B668" s="3"/>
      <c r="C668" s="3"/>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5"/>
      <c r="AT668" s="4"/>
      <c r="AU668" s="4"/>
      <c r="AV668" s="4"/>
      <c r="AW668" s="4"/>
      <c r="AX668" s="4"/>
      <c r="AY668" s="4"/>
      <c r="AZ668" s="4"/>
      <c r="BA668" s="4"/>
      <c r="BB668" s="4"/>
      <c r="BC668" s="4"/>
      <c r="BD668" s="4"/>
      <c r="BE668" s="4"/>
      <c r="BF668" s="4"/>
      <c r="BG668" s="4"/>
      <c r="BH668" s="4"/>
    </row>
    <row r="669" spans="1:60">
      <c r="A669" s="4"/>
      <c r="B669" s="3"/>
      <c r="C669" s="3"/>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5"/>
      <c r="AT669" s="4"/>
      <c r="AU669" s="4"/>
      <c r="AV669" s="4"/>
      <c r="AW669" s="4"/>
      <c r="AX669" s="4"/>
      <c r="AY669" s="4"/>
      <c r="AZ669" s="4"/>
      <c r="BA669" s="4"/>
      <c r="BB669" s="4"/>
      <c r="BC669" s="4"/>
      <c r="BD669" s="4"/>
      <c r="BE669" s="4"/>
      <c r="BF669" s="4"/>
      <c r="BG669" s="4"/>
      <c r="BH669" s="4"/>
    </row>
    <row r="670" spans="1:60">
      <c r="A670" s="4"/>
      <c r="B670" s="3"/>
      <c r="C670" s="3"/>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5"/>
      <c r="AT670" s="4"/>
      <c r="AU670" s="4"/>
      <c r="AV670" s="4"/>
      <c r="AW670" s="4"/>
      <c r="AX670" s="4"/>
      <c r="AY670" s="4"/>
      <c r="AZ670" s="4"/>
      <c r="BA670" s="4"/>
      <c r="BB670" s="4"/>
      <c r="BC670" s="4"/>
      <c r="BD670" s="4"/>
      <c r="BE670" s="4"/>
      <c r="BF670" s="4"/>
      <c r="BG670" s="4"/>
      <c r="BH670" s="4"/>
    </row>
    <row r="671" spans="1:60">
      <c r="A671" s="4"/>
      <c r="B671" s="3"/>
      <c r="C671" s="3"/>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5"/>
      <c r="AT671" s="4"/>
      <c r="AU671" s="4"/>
      <c r="AV671" s="4"/>
      <c r="AW671" s="4"/>
      <c r="AX671" s="4"/>
      <c r="AY671" s="4"/>
      <c r="AZ671" s="4"/>
      <c r="BA671" s="4"/>
      <c r="BB671" s="4"/>
      <c r="BC671" s="4"/>
      <c r="BD671" s="4"/>
      <c r="BE671" s="4"/>
      <c r="BF671" s="4"/>
      <c r="BG671" s="4"/>
      <c r="BH671" s="4"/>
    </row>
    <row r="672" spans="1:60">
      <c r="A672" s="4"/>
      <c r="B672" s="3"/>
      <c r="C672" s="3"/>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5"/>
      <c r="AT672" s="4"/>
      <c r="AU672" s="4"/>
      <c r="AV672" s="4"/>
      <c r="AW672" s="4"/>
      <c r="AX672" s="4"/>
      <c r="AY672" s="4"/>
      <c r="AZ672" s="4"/>
      <c r="BA672" s="4"/>
      <c r="BB672" s="4"/>
      <c r="BC672" s="4"/>
      <c r="BD672" s="4"/>
      <c r="BE672" s="4"/>
      <c r="BF672" s="4"/>
      <c r="BG672" s="4"/>
      <c r="BH672" s="4"/>
    </row>
    <row r="673" spans="1:60">
      <c r="A673" s="4"/>
      <c r="B673" s="3"/>
      <c r="C673" s="3"/>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5"/>
      <c r="AT673" s="4"/>
      <c r="AU673" s="4"/>
      <c r="AV673" s="4"/>
      <c r="AW673" s="4"/>
      <c r="AX673" s="4"/>
      <c r="AY673" s="4"/>
      <c r="AZ673" s="4"/>
      <c r="BA673" s="4"/>
      <c r="BB673" s="4"/>
      <c r="BC673" s="4"/>
      <c r="BD673" s="4"/>
      <c r="BE673" s="4"/>
      <c r="BF673" s="4"/>
      <c r="BG673" s="4"/>
      <c r="BH673" s="4"/>
    </row>
    <row r="674" spans="1:60">
      <c r="A674" s="4"/>
      <c r="B674" s="3"/>
      <c r="C674" s="3"/>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5"/>
      <c r="AT674" s="4"/>
      <c r="AU674" s="4"/>
      <c r="AV674" s="4"/>
      <c r="AW674" s="4"/>
      <c r="AX674" s="4"/>
      <c r="AY674" s="4"/>
      <c r="AZ674" s="4"/>
      <c r="BA674" s="4"/>
      <c r="BB674" s="4"/>
      <c r="BC674" s="4"/>
      <c r="BD674" s="4"/>
      <c r="BE674" s="4"/>
      <c r="BF674" s="4"/>
      <c r="BG674" s="4"/>
      <c r="BH674" s="4"/>
    </row>
    <row r="675" spans="1:60">
      <c r="A675" s="4"/>
      <c r="B675" s="3"/>
      <c r="C675" s="3"/>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5"/>
      <c r="AT675" s="4"/>
      <c r="AU675" s="4"/>
      <c r="AV675" s="4"/>
      <c r="AW675" s="4"/>
      <c r="AX675" s="4"/>
      <c r="AY675" s="4"/>
      <c r="AZ675" s="4"/>
      <c r="BA675" s="4"/>
      <c r="BB675" s="4"/>
      <c r="BC675" s="4"/>
      <c r="BD675" s="4"/>
      <c r="BE675" s="4"/>
      <c r="BF675" s="4"/>
      <c r="BG675" s="4"/>
      <c r="BH675" s="4"/>
    </row>
    <row r="676" spans="1:60">
      <c r="A676" s="4"/>
      <c r="B676" s="3"/>
      <c r="C676" s="3"/>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5"/>
      <c r="AT676" s="4"/>
      <c r="AU676" s="4"/>
      <c r="AV676" s="4"/>
      <c r="AW676" s="4"/>
      <c r="AX676" s="4"/>
      <c r="AY676" s="4"/>
      <c r="AZ676" s="4"/>
      <c r="BA676" s="4"/>
      <c r="BB676" s="4"/>
      <c r="BC676" s="4"/>
      <c r="BD676" s="4"/>
      <c r="BE676" s="4"/>
      <c r="BF676" s="4"/>
      <c r="BG676" s="4"/>
      <c r="BH676" s="4"/>
    </row>
    <row r="677" spans="1:60">
      <c r="A677" s="4"/>
      <c r="B677" s="3"/>
      <c r="C677" s="3"/>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5"/>
      <c r="AT677" s="4"/>
      <c r="AU677" s="4"/>
      <c r="AV677" s="4"/>
      <c r="AW677" s="4"/>
      <c r="AX677" s="4"/>
      <c r="AY677" s="4"/>
      <c r="AZ677" s="4"/>
      <c r="BA677" s="4"/>
      <c r="BB677" s="4"/>
      <c r="BC677" s="4"/>
      <c r="BD677" s="4"/>
      <c r="BE677" s="4"/>
      <c r="BF677" s="4"/>
      <c r="BG677" s="4"/>
      <c r="BH677" s="4"/>
    </row>
    <row r="678" spans="1:60">
      <c r="A678" s="4"/>
      <c r="B678" s="3"/>
      <c r="C678" s="3"/>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5"/>
      <c r="AT678" s="4"/>
      <c r="AU678" s="4"/>
      <c r="AV678" s="4"/>
      <c r="AW678" s="4"/>
      <c r="AX678" s="4"/>
      <c r="AY678" s="4"/>
      <c r="AZ678" s="4"/>
      <c r="BA678" s="4"/>
      <c r="BB678" s="4"/>
      <c r="BC678" s="4"/>
      <c r="BD678" s="4"/>
      <c r="BE678" s="4"/>
      <c r="BF678" s="4"/>
      <c r="BG678" s="4"/>
      <c r="BH678" s="4"/>
    </row>
    <row r="679" spans="1:60">
      <c r="A679" s="4"/>
      <c r="B679" s="3"/>
      <c r="C679" s="3"/>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5"/>
      <c r="AT679" s="4"/>
      <c r="AU679" s="4"/>
      <c r="AV679" s="4"/>
      <c r="AW679" s="4"/>
      <c r="AX679" s="4"/>
      <c r="AY679" s="4"/>
      <c r="AZ679" s="4"/>
      <c r="BA679" s="4"/>
      <c r="BB679" s="4"/>
      <c r="BC679" s="4"/>
      <c r="BD679" s="4"/>
      <c r="BE679" s="4"/>
      <c r="BF679" s="4"/>
      <c r="BG679" s="4"/>
      <c r="BH679" s="4"/>
    </row>
    <row r="680" spans="1:60">
      <c r="A680" s="4"/>
      <c r="B680" s="3"/>
      <c r="C680" s="3"/>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5"/>
      <c r="AT680" s="4"/>
      <c r="AU680" s="4"/>
      <c r="AV680" s="4"/>
      <c r="AW680" s="4"/>
      <c r="AX680" s="4"/>
      <c r="AY680" s="4"/>
      <c r="AZ680" s="4"/>
      <c r="BA680" s="4"/>
      <c r="BB680" s="4"/>
      <c r="BC680" s="4"/>
      <c r="BD680" s="4"/>
      <c r="BE680" s="4"/>
      <c r="BF680" s="4"/>
      <c r="BG680" s="4"/>
      <c r="BH680" s="4"/>
    </row>
    <row r="681" spans="1:60">
      <c r="A681" s="4"/>
      <c r="B681" s="3"/>
      <c r="C681" s="3"/>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5"/>
      <c r="AT681" s="4"/>
      <c r="AU681" s="4"/>
      <c r="AV681" s="4"/>
      <c r="AW681" s="4"/>
      <c r="AX681" s="4"/>
      <c r="AY681" s="4"/>
      <c r="AZ681" s="4"/>
      <c r="BA681" s="4"/>
      <c r="BB681" s="4"/>
      <c r="BC681" s="4"/>
      <c r="BD681" s="4"/>
      <c r="BE681" s="4"/>
      <c r="BF681" s="4"/>
      <c r="BG681" s="4"/>
      <c r="BH681" s="4"/>
    </row>
    <row r="682" spans="1:60">
      <c r="A682" s="4"/>
      <c r="B682" s="3"/>
      <c r="C682" s="3"/>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5"/>
      <c r="AT682" s="4"/>
      <c r="AU682" s="4"/>
      <c r="AV682" s="4"/>
      <c r="AW682" s="4"/>
      <c r="AX682" s="4"/>
      <c r="AY682" s="4"/>
      <c r="AZ682" s="4"/>
      <c r="BA682" s="4"/>
      <c r="BB682" s="4"/>
      <c r="BC682" s="4"/>
      <c r="BD682" s="4"/>
      <c r="BE682" s="4"/>
      <c r="BF682" s="4"/>
      <c r="BG682" s="4"/>
      <c r="BH682" s="4"/>
    </row>
    <row r="683" spans="1:60">
      <c r="A683" s="4"/>
      <c r="B683" s="3"/>
      <c r="C683" s="3"/>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5"/>
      <c r="AT683" s="4"/>
      <c r="AU683" s="4"/>
      <c r="AV683" s="4"/>
      <c r="AW683" s="4"/>
      <c r="AX683" s="4"/>
      <c r="AY683" s="4"/>
      <c r="AZ683" s="4"/>
      <c r="BA683" s="4"/>
      <c r="BB683" s="4"/>
      <c r="BC683" s="4"/>
      <c r="BD683" s="4"/>
      <c r="BE683" s="4"/>
      <c r="BF683" s="4"/>
      <c r="BG683" s="4"/>
      <c r="BH683" s="4"/>
    </row>
    <row r="684" spans="1:60">
      <c r="A684" s="4"/>
      <c r="B684" s="3"/>
      <c r="C684" s="3"/>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5"/>
      <c r="AT684" s="4"/>
      <c r="AU684" s="4"/>
      <c r="AV684" s="4"/>
      <c r="AW684" s="4"/>
      <c r="AX684" s="4"/>
      <c r="AY684" s="4"/>
      <c r="AZ684" s="4"/>
      <c r="BA684" s="4"/>
      <c r="BB684" s="4"/>
      <c r="BC684" s="4"/>
      <c r="BD684" s="4"/>
      <c r="BE684" s="4"/>
      <c r="BF684" s="4"/>
      <c r="BG684" s="4"/>
      <c r="BH684" s="4"/>
    </row>
    <row r="685" spans="1:60">
      <c r="A685" s="4"/>
      <c r="B685" s="3"/>
      <c r="C685" s="3"/>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5"/>
      <c r="AT685" s="4"/>
      <c r="AU685" s="4"/>
      <c r="AV685" s="4"/>
      <c r="AW685" s="4"/>
      <c r="AX685" s="4"/>
      <c r="AY685" s="4"/>
      <c r="AZ685" s="4"/>
      <c r="BA685" s="4"/>
      <c r="BB685" s="4"/>
      <c r="BC685" s="4"/>
      <c r="BD685" s="4"/>
      <c r="BE685" s="4"/>
      <c r="BF685" s="4"/>
      <c r="BG685" s="4"/>
      <c r="BH685" s="4"/>
    </row>
    <row r="686" spans="1:60">
      <c r="A686" s="4"/>
      <c r="B686" s="3"/>
      <c r="C686" s="3"/>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5"/>
      <c r="AT686" s="4"/>
      <c r="AU686" s="4"/>
      <c r="AV686" s="4"/>
      <c r="AW686" s="4"/>
      <c r="AX686" s="4"/>
      <c r="AY686" s="4"/>
      <c r="AZ686" s="4"/>
      <c r="BA686" s="4"/>
      <c r="BB686" s="4"/>
      <c r="BC686" s="4"/>
      <c r="BD686" s="4"/>
      <c r="BE686" s="4"/>
      <c r="BF686" s="4"/>
      <c r="BG686" s="4"/>
      <c r="BH686" s="4"/>
    </row>
    <row r="687" spans="1:60">
      <c r="A687" s="4"/>
      <c r="B687" s="3"/>
      <c r="C687" s="3"/>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5"/>
      <c r="AT687" s="4"/>
      <c r="AU687" s="4"/>
      <c r="AV687" s="4"/>
      <c r="AW687" s="4"/>
      <c r="AX687" s="4"/>
      <c r="AY687" s="4"/>
      <c r="AZ687" s="4"/>
      <c r="BA687" s="4"/>
      <c r="BB687" s="4"/>
      <c r="BC687" s="4"/>
      <c r="BD687" s="4"/>
      <c r="BE687" s="4"/>
      <c r="BF687" s="4"/>
      <c r="BG687" s="4"/>
      <c r="BH687" s="4"/>
    </row>
    <row r="688" spans="1:60">
      <c r="A688" s="4"/>
      <c r="B688" s="3"/>
      <c r="C688" s="3"/>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5"/>
      <c r="AT688" s="4"/>
      <c r="AU688" s="4"/>
      <c r="AV688" s="4"/>
      <c r="AW688" s="4"/>
      <c r="AX688" s="4"/>
      <c r="AY688" s="4"/>
      <c r="AZ688" s="4"/>
      <c r="BA688" s="4"/>
      <c r="BB688" s="4"/>
      <c r="BC688" s="4"/>
      <c r="BD688" s="4"/>
      <c r="BE688" s="4"/>
      <c r="BF688" s="4"/>
      <c r="BG688" s="4"/>
      <c r="BH688" s="4"/>
    </row>
    <row r="689" spans="1:60">
      <c r="A689" s="4"/>
      <c r="B689" s="3"/>
      <c r="C689" s="3"/>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5"/>
      <c r="AT689" s="4"/>
      <c r="AU689" s="4"/>
      <c r="AV689" s="4"/>
      <c r="AW689" s="4"/>
      <c r="AX689" s="4"/>
      <c r="AY689" s="4"/>
      <c r="AZ689" s="4"/>
      <c r="BA689" s="4"/>
      <c r="BB689" s="4"/>
      <c r="BC689" s="4"/>
      <c r="BD689" s="4"/>
      <c r="BE689" s="4"/>
      <c r="BF689" s="4"/>
      <c r="BG689" s="4"/>
      <c r="BH689" s="4"/>
    </row>
    <row r="690" spans="1:60">
      <c r="A690" s="4"/>
      <c r="B690" s="3"/>
      <c r="C690" s="3"/>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5"/>
      <c r="AT690" s="4"/>
      <c r="AU690" s="4"/>
      <c r="AV690" s="4"/>
      <c r="AW690" s="4"/>
      <c r="AX690" s="4"/>
      <c r="AY690" s="4"/>
      <c r="AZ690" s="4"/>
      <c r="BA690" s="4"/>
      <c r="BB690" s="4"/>
      <c r="BC690" s="4"/>
      <c r="BD690" s="4"/>
      <c r="BE690" s="4"/>
      <c r="BF690" s="4"/>
      <c r="BG690" s="4"/>
      <c r="BH690" s="4"/>
    </row>
    <row r="691" spans="1:60">
      <c r="A691" s="4"/>
      <c r="B691" s="3"/>
      <c r="C691" s="3"/>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5"/>
      <c r="AT691" s="4"/>
      <c r="AU691" s="4"/>
      <c r="AV691" s="4"/>
      <c r="AW691" s="4"/>
      <c r="AX691" s="4"/>
      <c r="AY691" s="4"/>
      <c r="AZ691" s="4"/>
      <c r="BA691" s="4"/>
      <c r="BB691" s="4"/>
      <c r="BC691" s="4"/>
      <c r="BD691" s="4"/>
      <c r="BE691" s="4"/>
      <c r="BF691" s="4"/>
      <c r="BG691" s="4"/>
      <c r="BH691" s="4"/>
    </row>
    <row r="692" spans="1:60">
      <c r="A692" s="4"/>
      <c r="B692" s="3"/>
      <c r="C692" s="3"/>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5"/>
      <c r="AT692" s="4"/>
      <c r="AU692" s="4"/>
      <c r="AV692" s="4"/>
      <c r="AW692" s="4"/>
      <c r="AX692" s="4"/>
      <c r="AY692" s="4"/>
      <c r="AZ692" s="4"/>
      <c r="BA692" s="4"/>
      <c r="BB692" s="4"/>
      <c r="BC692" s="4"/>
      <c r="BD692" s="4"/>
      <c r="BE692" s="4"/>
      <c r="BF692" s="4"/>
      <c r="BG692" s="4"/>
      <c r="BH692" s="4"/>
    </row>
    <row r="693" spans="1:60">
      <c r="A693" s="4"/>
      <c r="B693" s="3"/>
      <c r="C693" s="3"/>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5"/>
      <c r="AT693" s="4"/>
      <c r="AU693" s="4"/>
      <c r="AV693" s="4"/>
      <c r="AW693" s="4"/>
      <c r="AX693" s="4"/>
      <c r="AY693" s="4"/>
      <c r="AZ693" s="4"/>
      <c r="BA693" s="4"/>
      <c r="BB693" s="4"/>
      <c r="BC693" s="4"/>
      <c r="BD693" s="4"/>
      <c r="BE693" s="4"/>
      <c r="BF693" s="4"/>
      <c r="BG693" s="4"/>
      <c r="BH693" s="4"/>
    </row>
    <row r="694" spans="1:60">
      <c r="A694" s="4"/>
      <c r="B694" s="3"/>
      <c r="C694" s="3"/>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5"/>
      <c r="AT694" s="4"/>
      <c r="AU694" s="4"/>
      <c r="AV694" s="4"/>
      <c r="AW694" s="4"/>
      <c r="AX694" s="4"/>
      <c r="AY694" s="4"/>
      <c r="AZ694" s="4"/>
      <c r="BA694" s="4"/>
      <c r="BB694" s="4"/>
      <c r="BC694" s="4"/>
      <c r="BD694" s="4"/>
      <c r="BE694" s="4"/>
      <c r="BF694" s="4"/>
      <c r="BG694" s="4"/>
      <c r="BH694" s="4"/>
    </row>
    <row r="695" spans="1:60">
      <c r="A695" s="4"/>
      <c r="B695" s="3"/>
      <c r="C695" s="3"/>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5"/>
      <c r="AT695" s="4"/>
      <c r="AU695" s="4"/>
      <c r="AV695" s="4"/>
      <c r="AW695" s="4"/>
      <c r="AX695" s="4"/>
      <c r="AY695" s="4"/>
      <c r="AZ695" s="4"/>
      <c r="BA695" s="4"/>
      <c r="BB695" s="4"/>
      <c r="BC695" s="4"/>
      <c r="BD695" s="4"/>
      <c r="BE695" s="4"/>
      <c r="BF695" s="4"/>
      <c r="BG695" s="4"/>
      <c r="BH695" s="4"/>
    </row>
    <row r="696" spans="1:60">
      <c r="A696" s="4"/>
      <c r="B696" s="3"/>
      <c r="C696" s="3"/>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5"/>
      <c r="AT696" s="4"/>
      <c r="AU696" s="4"/>
      <c r="AV696" s="4"/>
      <c r="AW696" s="4"/>
      <c r="AX696" s="4"/>
      <c r="AY696" s="4"/>
      <c r="AZ696" s="4"/>
      <c r="BA696" s="4"/>
      <c r="BB696" s="4"/>
      <c r="BC696" s="4"/>
      <c r="BD696" s="4"/>
      <c r="BE696" s="4"/>
      <c r="BF696" s="4"/>
      <c r="BG696" s="4"/>
      <c r="BH696" s="4"/>
    </row>
    <row r="697" spans="1:60">
      <c r="A697" s="4"/>
      <c r="B697" s="3"/>
      <c r="C697" s="3"/>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5"/>
      <c r="AT697" s="4"/>
      <c r="AU697" s="4"/>
      <c r="AV697" s="4"/>
      <c r="AW697" s="4"/>
      <c r="AX697" s="4"/>
      <c r="AY697" s="4"/>
      <c r="AZ697" s="4"/>
      <c r="BA697" s="4"/>
      <c r="BB697" s="4"/>
      <c r="BC697" s="4"/>
      <c r="BD697" s="4"/>
      <c r="BE697" s="4"/>
      <c r="BF697" s="4"/>
      <c r="BG697" s="4"/>
      <c r="BH697" s="4"/>
    </row>
    <row r="698" spans="1:60">
      <c r="A698" s="4"/>
      <c r="B698" s="3"/>
      <c r="C698" s="3"/>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5"/>
      <c r="AT698" s="4"/>
      <c r="AU698" s="4"/>
      <c r="AV698" s="4"/>
      <c r="AW698" s="4"/>
      <c r="AX698" s="4"/>
      <c r="AY698" s="4"/>
      <c r="AZ698" s="4"/>
      <c r="BA698" s="4"/>
      <c r="BB698" s="4"/>
      <c r="BC698" s="4"/>
      <c r="BD698" s="4"/>
      <c r="BE698" s="4"/>
      <c r="BF698" s="4"/>
      <c r="BG698" s="4"/>
      <c r="BH698" s="4"/>
    </row>
    <row r="699" spans="1:60">
      <c r="A699" s="4"/>
      <c r="B699" s="3"/>
      <c r="C699" s="3"/>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5"/>
      <c r="AT699" s="4"/>
      <c r="AU699" s="4"/>
      <c r="AV699" s="4"/>
      <c r="AW699" s="4"/>
      <c r="AX699" s="4"/>
      <c r="AY699" s="4"/>
      <c r="AZ699" s="4"/>
      <c r="BA699" s="4"/>
      <c r="BB699" s="4"/>
      <c r="BC699" s="4"/>
      <c r="BD699" s="4"/>
      <c r="BE699" s="4"/>
      <c r="BF699" s="4"/>
      <c r="BG699" s="4"/>
      <c r="BH699" s="4"/>
    </row>
    <row r="700" spans="1:60">
      <c r="A700" s="4"/>
      <c r="B700" s="3"/>
      <c r="C700" s="3"/>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5"/>
      <c r="AT700" s="4"/>
      <c r="AU700" s="4"/>
      <c r="AV700" s="4"/>
      <c r="AW700" s="4"/>
      <c r="AX700" s="4"/>
      <c r="AY700" s="4"/>
      <c r="AZ700" s="4"/>
      <c r="BA700" s="4"/>
      <c r="BB700" s="4"/>
      <c r="BC700" s="4"/>
      <c r="BD700" s="4"/>
      <c r="BE700" s="4"/>
      <c r="BF700" s="4"/>
      <c r="BG700" s="4"/>
      <c r="BH700" s="4"/>
    </row>
    <row r="701" spans="1:60">
      <c r="A701" s="4"/>
      <c r="B701" s="3"/>
      <c r="C701" s="3"/>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5"/>
      <c r="AT701" s="4"/>
      <c r="AU701" s="4"/>
      <c r="AV701" s="4"/>
      <c r="AW701" s="4"/>
      <c r="AX701" s="4"/>
      <c r="AY701" s="4"/>
      <c r="AZ701" s="4"/>
      <c r="BA701" s="4"/>
      <c r="BB701" s="4"/>
      <c r="BC701" s="4"/>
      <c r="BD701" s="4"/>
      <c r="BE701" s="4"/>
      <c r="BF701" s="4"/>
      <c r="BG701" s="4"/>
      <c r="BH701" s="4"/>
    </row>
    <row r="702" spans="1:60">
      <c r="A702" s="4"/>
      <c r="B702" s="3"/>
      <c r="C702" s="3"/>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5"/>
      <c r="AT702" s="4"/>
      <c r="AU702" s="4"/>
      <c r="AV702" s="4"/>
      <c r="AW702" s="4"/>
      <c r="AX702" s="4"/>
      <c r="AY702" s="4"/>
      <c r="AZ702" s="4"/>
      <c r="BA702" s="4"/>
      <c r="BB702" s="4"/>
      <c r="BC702" s="4"/>
      <c r="BD702" s="4"/>
      <c r="BE702" s="4"/>
      <c r="BF702" s="4"/>
      <c r="BG702" s="4"/>
      <c r="BH702" s="4"/>
    </row>
    <row r="703" spans="1:60">
      <c r="A703" s="4"/>
      <c r="B703" s="3"/>
      <c r="C703" s="3"/>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5"/>
      <c r="AT703" s="4"/>
      <c r="AU703" s="4"/>
      <c r="AV703" s="4"/>
      <c r="AW703" s="4"/>
      <c r="AX703" s="4"/>
      <c r="AY703" s="4"/>
      <c r="AZ703" s="4"/>
      <c r="BA703" s="4"/>
      <c r="BB703" s="4"/>
      <c r="BC703" s="4"/>
      <c r="BD703" s="4"/>
      <c r="BE703" s="4"/>
      <c r="BF703" s="4"/>
      <c r="BG703" s="4"/>
      <c r="BH703" s="4"/>
    </row>
    <row r="704" spans="1:60">
      <c r="A704" s="4"/>
      <c r="B704" s="3"/>
      <c r="C704" s="3"/>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5"/>
      <c r="AT704" s="4"/>
      <c r="AU704" s="4"/>
      <c r="AV704" s="4"/>
      <c r="AW704" s="4"/>
      <c r="AX704" s="4"/>
      <c r="AY704" s="4"/>
      <c r="AZ704" s="4"/>
      <c r="BA704" s="4"/>
      <c r="BB704" s="4"/>
      <c r="BC704" s="4"/>
      <c r="BD704" s="4"/>
      <c r="BE704" s="4"/>
      <c r="BF704" s="4"/>
      <c r="BG704" s="4"/>
      <c r="BH704" s="4"/>
    </row>
    <row r="705" spans="1:60">
      <c r="A705" s="4"/>
      <c r="B705" s="3"/>
      <c r="C705" s="3"/>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5"/>
      <c r="AT705" s="4"/>
      <c r="AU705" s="4"/>
      <c r="AV705" s="4"/>
      <c r="AW705" s="4"/>
      <c r="AX705" s="4"/>
      <c r="AY705" s="4"/>
      <c r="AZ705" s="4"/>
      <c r="BA705" s="4"/>
      <c r="BB705" s="4"/>
      <c r="BC705" s="4"/>
      <c r="BD705" s="4"/>
      <c r="BE705" s="4"/>
      <c r="BF705" s="4"/>
      <c r="BG705" s="4"/>
      <c r="BH705" s="4"/>
    </row>
    <row r="706" spans="1:60">
      <c r="A706" s="4"/>
      <c r="B706" s="3"/>
      <c r="C706" s="3"/>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5"/>
      <c r="AT706" s="4"/>
      <c r="AU706" s="4"/>
      <c r="AV706" s="4"/>
      <c r="AW706" s="4"/>
      <c r="AX706" s="4"/>
      <c r="AY706" s="4"/>
      <c r="AZ706" s="4"/>
      <c r="BA706" s="4"/>
      <c r="BB706" s="4"/>
      <c r="BC706" s="4"/>
      <c r="BD706" s="4"/>
      <c r="BE706" s="4"/>
      <c r="BF706" s="4"/>
      <c r="BG706" s="4"/>
      <c r="BH706" s="4"/>
    </row>
    <row r="707" spans="1:60">
      <c r="A707" s="4"/>
      <c r="B707" s="3"/>
      <c r="C707" s="3"/>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5"/>
      <c r="AT707" s="4"/>
      <c r="AU707" s="4"/>
      <c r="AV707" s="4"/>
      <c r="AW707" s="4"/>
      <c r="AX707" s="4"/>
      <c r="AY707" s="4"/>
      <c r="AZ707" s="4"/>
      <c r="BA707" s="4"/>
      <c r="BB707" s="4"/>
      <c r="BC707" s="4"/>
      <c r="BD707" s="4"/>
      <c r="BE707" s="4"/>
      <c r="BF707" s="4"/>
      <c r="BG707" s="4"/>
      <c r="BH707" s="4"/>
    </row>
    <row r="708" spans="1:60">
      <c r="A708" s="4"/>
      <c r="B708" s="3"/>
      <c r="C708" s="3"/>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5"/>
      <c r="AT708" s="4"/>
      <c r="AU708" s="4"/>
      <c r="AV708" s="4"/>
      <c r="AW708" s="4"/>
      <c r="AX708" s="4"/>
      <c r="AY708" s="4"/>
      <c r="AZ708" s="4"/>
      <c r="BA708" s="4"/>
      <c r="BB708" s="4"/>
      <c r="BC708" s="4"/>
      <c r="BD708" s="4"/>
      <c r="BE708" s="4"/>
      <c r="BF708" s="4"/>
      <c r="BG708" s="4"/>
      <c r="BH708" s="4"/>
    </row>
    <row r="709" spans="1:60">
      <c r="A709" s="4"/>
      <c r="B709" s="3"/>
      <c r="C709" s="3"/>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5"/>
      <c r="AT709" s="4"/>
      <c r="AU709" s="4"/>
      <c r="AV709" s="4"/>
      <c r="AW709" s="4"/>
      <c r="AX709" s="4"/>
      <c r="AY709" s="4"/>
      <c r="AZ709" s="4"/>
      <c r="BA709" s="4"/>
      <c r="BB709" s="4"/>
      <c r="BC709" s="4"/>
      <c r="BD709" s="4"/>
      <c r="BE709" s="4"/>
      <c r="BF709" s="4"/>
      <c r="BG709" s="4"/>
      <c r="BH709" s="4"/>
    </row>
    <row r="710" spans="1:60">
      <c r="A710" s="4"/>
      <c r="B710" s="3"/>
      <c r="C710" s="3"/>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5"/>
      <c r="AT710" s="4"/>
      <c r="AU710" s="4"/>
      <c r="AV710" s="4"/>
      <c r="AW710" s="4"/>
      <c r="AX710" s="4"/>
      <c r="AY710" s="4"/>
      <c r="AZ710" s="4"/>
      <c r="BA710" s="4"/>
      <c r="BB710" s="4"/>
      <c r="BC710" s="4"/>
      <c r="BD710" s="4"/>
      <c r="BE710" s="4"/>
      <c r="BF710" s="4"/>
      <c r="BG710" s="4"/>
      <c r="BH710" s="4"/>
    </row>
    <row r="711" spans="1:60">
      <c r="A711" s="4"/>
      <c r="B711" s="3"/>
      <c r="C711" s="3"/>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5"/>
      <c r="AT711" s="4"/>
      <c r="AU711" s="4"/>
      <c r="AV711" s="4"/>
      <c r="AW711" s="4"/>
      <c r="AX711" s="4"/>
      <c r="AY711" s="4"/>
      <c r="AZ711" s="4"/>
      <c r="BA711" s="4"/>
      <c r="BB711" s="4"/>
      <c r="BC711" s="4"/>
      <c r="BD711" s="4"/>
      <c r="BE711" s="4"/>
      <c r="BF711" s="4"/>
      <c r="BG711" s="4"/>
      <c r="BH711" s="4"/>
    </row>
    <row r="712" spans="1:60">
      <c r="A712" s="4"/>
      <c r="B712" s="3"/>
      <c r="C712" s="3"/>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5"/>
      <c r="AT712" s="4"/>
      <c r="AU712" s="4"/>
      <c r="AV712" s="4"/>
      <c r="AW712" s="4"/>
      <c r="AX712" s="4"/>
      <c r="AY712" s="4"/>
      <c r="AZ712" s="4"/>
      <c r="BA712" s="4"/>
      <c r="BB712" s="4"/>
      <c r="BC712" s="4"/>
      <c r="BD712" s="4"/>
      <c r="BE712" s="4"/>
      <c r="BF712" s="4"/>
      <c r="BG712" s="4"/>
      <c r="BH712" s="4"/>
    </row>
    <row r="713" spans="1:60">
      <c r="A713" s="4"/>
      <c r="B713" s="3"/>
      <c r="C713" s="3"/>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5"/>
      <c r="AT713" s="4"/>
      <c r="AU713" s="4"/>
      <c r="AV713" s="4"/>
      <c r="AW713" s="4"/>
      <c r="AX713" s="4"/>
      <c r="AY713" s="4"/>
      <c r="AZ713" s="4"/>
      <c r="BA713" s="4"/>
      <c r="BB713" s="4"/>
      <c r="BC713" s="4"/>
      <c r="BD713" s="4"/>
      <c r="BE713" s="4"/>
      <c r="BF713" s="4"/>
      <c r="BG713" s="4"/>
      <c r="BH713" s="4"/>
    </row>
    <row r="714" spans="1:60">
      <c r="A714" s="4"/>
      <c r="B714" s="3"/>
      <c r="C714" s="3"/>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5"/>
      <c r="AT714" s="4"/>
      <c r="AU714" s="4"/>
      <c r="AV714" s="4"/>
      <c r="AW714" s="4"/>
      <c r="AX714" s="4"/>
      <c r="AY714" s="4"/>
      <c r="AZ714" s="4"/>
      <c r="BA714" s="4"/>
      <c r="BB714" s="4"/>
      <c r="BC714" s="4"/>
      <c r="BD714" s="4"/>
      <c r="BE714" s="4"/>
      <c r="BF714" s="4"/>
      <c r="BG714" s="4"/>
      <c r="BH714" s="4"/>
    </row>
    <row r="715" spans="1:60">
      <c r="A715" s="4"/>
      <c r="B715" s="3"/>
      <c r="C715" s="3"/>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5"/>
      <c r="AT715" s="4"/>
      <c r="AU715" s="4"/>
      <c r="AV715" s="4"/>
      <c r="AW715" s="4"/>
      <c r="AX715" s="4"/>
      <c r="AY715" s="4"/>
      <c r="AZ715" s="4"/>
      <c r="BA715" s="4"/>
      <c r="BB715" s="4"/>
      <c r="BC715" s="4"/>
      <c r="BD715" s="4"/>
      <c r="BE715" s="4"/>
      <c r="BF715" s="4"/>
      <c r="BG715" s="4"/>
      <c r="BH715" s="4"/>
    </row>
    <row r="716" spans="1:60">
      <c r="A716" s="4"/>
      <c r="B716" s="3"/>
      <c r="C716" s="3"/>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5"/>
      <c r="AT716" s="4"/>
      <c r="AU716" s="4"/>
      <c r="AV716" s="4"/>
      <c r="AW716" s="4"/>
      <c r="AX716" s="4"/>
      <c r="AY716" s="4"/>
      <c r="AZ716" s="4"/>
      <c r="BA716" s="4"/>
      <c r="BB716" s="4"/>
      <c r="BC716" s="4"/>
      <c r="BD716" s="4"/>
      <c r="BE716" s="4"/>
      <c r="BF716" s="4"/>
      <c r="BG716" s="4"/>
      <c r="BH716" s="4"/>
    </row>
    <row r="717" spans="1:60">
      <c r="A717" s="4"/>
      <c r="B717" s="3"/>
      <c r="C717" s="3"/>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5"/>
      <c r="AT717" s="4"/>
      <c r="AU717" s="4"/>
      <c r="AV717" s="4"/>
      <c r="AW717" s="4"/>
      <c r="AX717" s="4"/>
      <c r="AY717" s="4"/>
      <c r="AZ717" s="4"/>
      <c r="BA717" s="4"/>
      <c r="BB717" s="4"/>
      <c r="BC717" s="4"/>
      <c r="BD717" s="4"/>
      <c r="BE717" s="4"/>
      <c r="BF717" s="4"/>
      <c r="BG717" s="4"/>
      <c r="BH717" s="4"/>
    </row>
    <row r="718" spans="1:60">
      <c r="A718" s="4"/>
      <c r="B718" s="3"/>
      <c r="C718" s="3"/>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5"/>
      <c r="AT718" s="4"/>
      <c r="AU718" s="4"/>
      <c r="AV718" s="4"/>
      <c r="AW718" s="4"/>
      <c r="AX718" s="4"/>
      <c r="AY718" s="4"/>
      <c r="AZ718" s="4"/>
      <c r="BA718" s="4"/>
      <c r="BB718" s="4"/>
      <c r="BC718" s="4"/>
      <c r="BD718" s="4"/>
      <c r="BE718" s="4"/>
      <c r="BF718" s="4"/>
      <c r="BG718" s="4"/>
      <c r="BH718" s="4"/>
    </row>
    <row r="719" spans="1:60">
      <c r="A719" s="4"/>
      <c r="B719" s="3"/>
      <c r="C719" s="3"/>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5"/>
      <c r="AT719" s="4"/>
      <c r="AU719" s="4"/>
      <c r="AV719" s="4"/>
      <c r="AW719" s="4"/>
      <c r="AX719" s="4"/>
      <c r="AY719" s="4"/>
      <c r="AZ719" s="4"/>
      <c r="BA719" s="4"/>
      <c r="BB719" s="4"/>
      <c r="BC719" s="4"/>
      <c r="BD719" s="4"/>
      <c r="BE719" s="4"/>
      <c r="BF719" s="4"/>
      <c r="BG719" s="4"/>
      <c r="BH719" s="4"/>
    </row>
    <row r="720" spans="1:60">
      <c r="A720" s="4"/>
      <c r="B720" s="3"/>
      <c r="C720" s="3"/>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5"/>
      <c r="AT720" s="4"/>
      <c r="AU720" s="4"/>
      <c r="AV720" s="4"/>
      <c r="AW720" s="4"/>
      <c r="AX720" s="4"/>
      <c r="AY720" s="4"/>
      <c r="AZ720" s="4"/>
      <c r="BA720" s="4"/>
      <c r="BB720" s="4"/>
      <c r="BC720" s="4"/>
      <c r="BD720" s="4"/>
      <c r="BE720" s="4"/>
      <c r="BF720" s="4"/>
      <c r="BG720" s="4"/>
      <c r="BH720" s="4"/>
    </row>
    <row r="721" spans="1:60">
      <c r="A721" s="4"/>
      <c r="B721" s="3"/>
      <c r="C721" s="3"/>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5"/>
      <c r="AT721" s="4"/>
      <c r="AU721" s="4"/>
      <c r="AV721" s="4"/>
      <c r="AW721" s="4"/>
      <c r="AX721" s="4"/>
      <c r="AY721" s="4"/>
      <c r="AZ721" s="4"/>
      <c r="BA721" s="4"/>
      <c r="BB721" s="4"/>
      <c r="BC721" s="4"/>
      <c r="BD721" s="4"/>
      <c r="BE721" s="4"/>
      <c r="BF721" s="4"/>
      <c r="BG721" s="4"/>
      <c r="BH721" s="4"/>
    </row>
    <row r="722" spans="1:60">
      <c r="A722" s="4"/>
      <c r="B722" s="3"/>
      <c r="C722" s="3"/>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5"/>
      <c r="AT722" s="4"/>
      <c r="AU722" s="4"/>
      <c r="AV722" s="4"/>
      <c r="AW722" s="4"/>
      <c r="AX722" s="4"/>
      <c r="AY722" s="4"/>
      <c r="AZ722" s="4"/>
      <c r="BA722" s="4"/>
      <c r="BB722" s="4"/>
      <c r="BC722" s="4"/>
      <c r="BD722" s="4"/>
      <c r="BE722" s="4"/>
      <c r="BF722" s="4"/>
      <c r="BG722" s="4"/>
      <c r="BH722" s="4"/>
    </row>
    <row r="723" spans="1:60">
      <c r="A723" s="4"/>
      <c r="B723" s="3"/>
      <c r="C723" s="3"/>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5"/>
      <c r="AT723" s="4"/>
      <c r="AU723" s="4"/>
      <c r="AV723" s="4"/>
      <c r="AW723" s="4"/>
      <c r="AX723" s="4"/>
      <c r="AY723" s="4"/>
      <c r="AZ723" s="4"/>
      <c r="BA723" s="4"/>
      <c r="BB723" s="4"/>
      <c r="BC723" s="4"/>
      <c r="BD723" s="4"/>
      <c r="BE723" s="4"/>
      <c r="BF723" s="4"/>
      <c r="BG723" s="4"/>
      <c r="BH723" s="4"/>
    </row>
    <row r="724" spans="1:60">
      <c r="A724" s="4"/>
      <c r="B724" s="3"/>
      <c r="C724" s="3"/>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5"/>
      <c r="AT724" s="4"/>
      <c r="AU724" s="4"/>
      <c r="AV724" s="4"/>
      <c r="AW724" s="4"/>
      <c r="AX724" s="4"/>
      <c r="AY724" s="4"/>
      <c r="AZ724" s="4"/>
      <c r="BA724" s="4"/>
      <c r="BB724" s="4"/>
      <c r="BC724" s="4"/>
      <c r="BD724" s="4"/>
      <c r="BE724" s="4"/>
      <c r="BF724" s="4"/>
      <c r="BG724" s="4"/>
      <c r="BH724" s="4"/>
    </row>
    <row r="725" spans="1:60">
      <c r="A725" s="4"/>
      <c r="B725" s="3"/>
      <c r="C725" s="3"/>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5"/>
      <c r="AT725" s="4"/>
      <c r="AU725" s="4"/>
      <c r="AV725" s="4"/>
      <c r="AW725" s="4"/>
      <c r="AX725" s="4"/>
      <c r="AY725" s="4"/>
      <c r="AZ725" s="4"/>
      <c r="BA725" s="4"/>
      <c r="BB725" s="4"/>
      <c r="BC725" s="4"/>
      <c r="BD725" s="4"/>
      <c r="BE725" s="4"/>
      <c r="BF725" s="4"/>
      <c r="BG725" s="4"/>
      <c r="BH725" s="4"/>
    </row>
    <row r="726" spans="1:60">
      <c r="A726" s="4"/>
      <c r="B726" s="3"/>
      <c r="C726" s="3"/>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5"/>
      <c r="AT726" s="4"/>
      <c r="AU726" s="4"/>
      <c r="AV726" s="4"/>
      <c r="AW726" s="4"/>
      <c r="AX726" s="4"/>
      <c r="AY726" s="4"/>
      <c r="AZ726" s="4"/>
      <c r="BA726" s="4"/>
      <c r="BB726" s="4"/>
      <c r="BC726" s="4"/>
      <c r="BD726" s="4"/>
      <c r="BE726" s="4"/>
      <c r="BF726" s="4"/>
      <c r="BG726" s="4"/>
      <c r="BH726" s="4"/>
    </row>
    <row r="727" spans="1:60">
      <c r="A727" s="4"/>
      <c r="B727" s="3"/>
      <c r="C727" s="3"/>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5"/>
      <c r="AT727" s="4"/>
      <c r="AU727" s="4"/>
      <c r="AV727" s="4"/>
      <c r="AW727" s="4"/>
      <c r="AX727" s="4"/>
      <c r="AY727" s="4"/>
      <c r="AZ727" s="4"/>
      <c r="BA727" s="4"/>
      <c r="BB727" s="4"/>
      <c r="BC727" s="4"/>
      <c r="BD727" s="4"/>
      <c r="BE727" s="4"/>
      <c r="BF727" s="4"/>
      <c r="BG727" s="4"/>
      <c r="BH727" s="4"/>
    </row>
    <row r="728" spans="1:60">
      <c r="A728" s="4"/>
      <c r="B728" s="3"/>
      <c r="C728" s="3"/>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5"/>
      <c r="AT728" s="4"/>
      <c r="AU728" s="4"/>
      <c r="AV728" s="4"/>
      <c r="AW728" s="4"/>
      <c r="AX728" s="4"/>
      <c r="AY728" s="4"/>
      <c r="AZ728" s="4"/>
      <c r="BA728" s="4"/>
      <c r="BB728" s="4"/>
      <c r="BC728" s="4"/>
      <c r="BD728" s="4"/>
      <c r="BE728" s="4"/>
      <c r="BF728" s="4"/>
      <c r="BG728" s="4"/>
      <c r="BH728" s="4"/>
    </row>
    <row r="729" spans="1:60">
      <c r="A729" s="4"/>
      <c r="B729" s="3"/>
      <c r="C729" s="3"/>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5"/>
      <c r="AT729" s="4"/>
      <c r="AU729" s="4"/>
      <c r="AV729" s="4"/>
      <c r="AW729" s="4"/>
      <c r="AX729" s="4"/>
      <c r="AY729" s="4"/>
      <c r="AZ729" s="4"/>
      <c r="BA729" s="4"/>
      <c r="BB729" s="4"/>
      <c r="BC729" s="4"/>
      <c r="BD729" s="4"/>
      <c r="BE729" s="4"/>
      <c r="BF729" s="4"/>
      <c r="BG729" s="4"/>
      <c r="BH729" s="4"/>
    </row>
    <row r="730" spans="1:60">
      <c r="A730" s="4"/>
      <c r="B730" s="3"/>
      <c r="C730" s="3"/>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5"/>
      <c r="AT730" s="4"/>
      <c r="AU730" s="4"/>
      <c r="AV730" s="4"/>
      <c r="AW730" s="4"/>
      <c r="AX730" s="4"/>
      <c r="AY730" s="4"/>
      <c r="AZ730" s="4"/>
      <c r="BA730" s="4"/>
      <c r="BB730" s="4"/>
      <c r="BC730" s="4"/>
      <c r="BD730" s="4"/>
      <c r="BE730" s="4"/>
      <c r="BF730" s="4"/>
      <c r="BG730" s="4"/>
      <c r="BH730" s="4"/>
    </row>
    <row r="731" spans="1:60">
      <c r="A731" s="4"/>
      <c r="B731" s="3"/>
      <c r="C731" s="3"/>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5"/>
      <c r="AT731" s="4"/>
      <c r="AU731" s="4"/>
      <c r="AV731" s="4"/>
      <c r="AW731" s="4"/>
      <c r="AX731" s="4"/>
      <c r="AY731" s="4"/>
      <c r="AZ731" s="4"/>
      <c r="BA731" s="4"/>
      <c r="BB731" s="4"/>
      <c r="BC731" s="4"/>
      <c r="BD731" s="4"/>
      <c r="BE731" s="4"/>
      <c r="BF731" s="4"/>
      <c r="BG731" s="4"/>
      <c r="BH731" s="4"/>
    </row>
    <row r="732" spans="1:60">
      <c r="A732" s="4"/>
      <c r="B732" s="3"/>
      <c r="C732" s="3"/>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5"/>
      <c r="AT732" s="4"/>
      <c r="AU732" s="4"/>
      <c r="AV732" s="4"/>
      <c r="AW732" s="4"/>
      <c r="AX732" s="4"/>
      <c r="AY732" s="4"/>
      <c r="AZ732" s="4"/>
      <c r="BA732" s="4"/>
      <c r="BB732" s="4"/>
      <c r="BC732" s="4"/>
      <c r="BD732" s="4"/>
      <c r="BE732" s="4"/>
      <c r="BF732" s="4"/>
      <c r="BG732" s="4"/>
      <c r="BH732" s="4"/>
    </row>
    <row r="733" spans="1:60">
      <c r="A733" s="4"/>
      <c r="B733" s="3"/>
      <c r="C733" s="3"/>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5"/>
      <c r="AT733" s="4"/>
      <c r="AU733" s="4"/>
      <c r="AV733" s="4"/>
      <c r="AW733" s="4"/>
      <c r="AX733" s="4"/>
      <c r="AY733" s="4"/>
      <c r="AZ733" s="4"/>
      <c r="BA733" s="4"/>
      <c r="BB733" s="4"/>
      <c r="BC733" s="4"/>
      <c r="BD733" s="4"/>
      <c r="BE733" s="4"/>
      <c r="BF733" s="4"/>
      <c r="BG733" s="4"/>
      <c r="BH733" s="4"/>
    </row>
    <row r="734" spans="1:60">
      <c r="A734" s="4"/>
      <c r="B734" s="3"/>
      <c r="C734" s="3"/>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5"/>
      <c r="AT734" s="4"/>
      <c r="AU734" s="4"/>
      <c r="AV734" s="4"/>
      <c r="AW734" s="4"/>
      <c r="AX734" s="4"/>
      <c r="AY734" s="4"/>
      <c r="AZ734" s="4"/>
      <c r="BA734" s="4"/>
      <c r="BB734" s="4"/>
      <c r="BC734" s="4"/>
      <c r="BD734" s="4"/>
      <c r="BE734" s="4"/>
      <c r="BF734" s="4"/>
      <c r="BG734" s="4"/>
      <c r="BH734" s="4"/>
    </row>
    <row r="735" spans="1:60">
      <c r="A735" s="4"/>
      <c r="B735" s="3"/>
      <c r="C735" s="3"/>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5"/>
      <c r="AT735" s="4"/>
      <c r="AU735" s="4"/>
      <c r="AV735" s="4"/>
      <c r="AW735" s="4"/>
      <c r="AX735" s="4"/>
      <c r="AY735" s="4"/>
      <c r="AZ735" s="4"/>
      <c r="BA735" s="4"/>
      <c r="BB735" s="4"/>
      <c r="BC735" s="4"/>
      <c r="BD735" s="4"/>
      <c r="BE735" s="4"/>
      <c r="BF735" s="4"/>
      <c r="BG735" s="4"/>
      <c r="BH735" s="4"/>
    </row>
    <row r="736" spans="1:60">
      <c r="A736" s="4"/>
      <c r="B736" s="3"/>
      <c r="C736" s="3"/>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5"/>
      <c r="AT736" s="4"/>
      <c r="AU736" s="4"/>
      <c r="AV736" s="4"/>
      <c r="AW736" s="4"/>
      <c r="AX736" s="4"/>
      <c r="AY736" s="4"/>
      <c r="AZ736" s="4"/>
      <c r="BA736" s="4"/>
      <c r="BB736" s="4"/>
      <c r="BC736" s="4"/>
      <c r="BD736" s="4"/>
      <c r="BE736" s="4"/>
      <c r="BF736" s="4"/>
      <c r="BG736" s="4"/>
      <c r="BH736" s="4"/>
    </row>
    <row r="737" spans="1:60">
      <c r="A737" s="4"/>
      <c r="B737" s="3"/>
      <c r="C737" s="3"/>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5"/>
      <c r="AT737" s="4"/>
      <c r="AU737" s="4"/>
      <c r="AV737" s="4"/>
      <c r="AW737" s="4"/>
      <c r="AX737" s="4"/>
      <c r="AY737" s="4"/>
      <c r="AZ737" s="4"/>
      <c r="BA737" s="4"/>
      <c r="BB737" s="4"/>
      <c r="BC737" s="4"/>
      <c r="BD737" s="4"/>
      <c r="BE737" s="4"/>
      <c r="BF737" s="4"/>
      <c r="BG737" s="4"/>
      <c r="BH737" s="4"/>
    </row>
    <row r="738" spans="1:60">
      <c r="A738" s="4"/>
      <c r="B738" s="3"/>
      <c r="C738" s="3"/>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5"/>
      <c r="AT738" s="4"/>
      <c r="AU738" s="4"/>
      <c r="AV738" s="4"/>
      <c r="AW738" s="4"/>
      <c r="AX738" s="4"/>
      <c r="AY738" s="4"/>
      <c r="AZ738" s="4"/>
      <c r="BA738" s="4"/>
      <c r="BB738" s="4"/>
      <c r="BC738" s="4"/>
      <c r="BD738" s="4"/>
      <c r="BE738" s="4"/>
      <c r="BF738" s="4"/>
      <c r="BG738" s="4"/>
      <c r="BH738" s="4"/>
    </row>
    <row r="739" spans="1:60">
      <c r="A739" s="4"/>
      <c r="B739" s="3"/>
      <c r="C739" s="3"/>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5"/>
      <c r="AT739" s="4"/>
      <c r="AU739" s="4"/>
      <c r="AV739" s="4"/>
      <c r="AW739" s="4"/>
      <c r="AX739" s="4"/>
      <c r="AY739" s="4"/>
      <c r="AZ739" s="4"/>
      <c r="BA739" s="4"/>
      <c r="BB739" s="4"/>
      <c r="BC739" s="4"/>
      <c r="BD739" s="4"/>
      <c r="BE739" s="4"/>
      <c r="BF739" s="4"/>
      <c r="BG739" s="4"/>
      <c r="BH739" s="4"/>
    </row>
    <row r="740" spans="1:60">
      <c r="A740" s="4"/>
      <c r="B740" s="3"/>
      <c r="C740" s="3"/>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5"/>
      <c r="AT740" s="4"/>
      <c r="AU740" s="4"/>
      <c r="AV740" s="4"/>
      <c r="AW740" s="4"/>
      <c r="AX740" s="4"/>
      <c r="AY740" s="4"/>
      <c r="AZ740" s="4"/>
      <c r="BA740" s="4"/>
      <c r="BB740" s="4"/>
      <c r="BC740" s="4"/>
      <c r="BD740" s="4"/>
      <c r="BE740" s="4"/>
      <c r="BF740" s="4"/>
      <c r="BG740" s="4"/>
      <c r="BH740" s="4"/>
    </row>
    <row r="741" spans="1:60">
      <c r="A741" s="4"/>
      <c r="B741" s="3"/>
      <c r="C741" s="3"/>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5"/>
      <c r="AT741" s="4"/>
      <c r="AU741" s="4"/>
      <c r="AV741" s="4"/>
      <c r="AW741" s="4"/>
      <c r="AX741" s="4"/>
      <c r="AY741" s="4"/>
      <c r="AZ741" s="4"/>
      <c r="BA741" s="4"/>
      <c r="BB741" s="4"/>
      <c r="BC741" s="4"/>
      <c r="BD741" s="4"/>
      <c r="BE741" s="4"/>
      <c r="BF741" s="4"/>
      <c r="BG741" s="4"/>
      <c r="BH741" s="4"/>
    </row>
    <row r="742" spans="1:60">
      <c r="A742" s="4"/>
      <c r="B742" s="3"/>
      <c r="C742" s="3"/>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5"/>
      <c r="AT742" s="4"/>
      <c r="AU742" s="4"/>
      <c r="AV742" s="4"/>
      <c r="AW742" s="4"/>
      <c r="AX742" s="4"/>
      <c r="AY742" s="4"/>
      <c r="AZ742" s="4"/>
      <c r="BA742" s="4"/>
      <c r="BB742" s="4"/>
      <c r="BC742" s="4"/>
      <c r="BD742" s="4"/>
      <c r="BE742" s="4"/>
      <c r="BF742" s="4"/>
      <c r="BG742" s="4"/>
      <c r="BH742" s="4"/>
    </row>
    <row r="743" spans="1:60">
      <c r="A743" s="4"/>
      <c r="B743" s="3"/>
      <c r="C743" s="3"/>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5"/>
      <c r="AT743" s="4"/>
      <c r="AU743" s="4"/>
      <c r="AV743" s="4"/>
      <c r="AW743" s="4"/>
      <c r="AX743" s="4"/>
      <c r="AY743" s="4"/>
      <c r="AZ743" s="4"/>
      <c r="BA743" s="4"/>
      <c r="BB743" s="4"/>
      <c r="BC743" s="4"/>
      <c r="BD743" s="4"/>
      <c r="BE743" s="4"/>
      <c r="BF743" s="4"/>
      <c r="BG743" s="4"/>
      <c r="BH743" s="4"/>
    </row>
    <row r="744" spans="1:60">
      <c r="A744" s="4"/>
      <c r="B744" s="3"/>
      <c r="C744" s="3"/>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5"/>
      <c r="AT744" s="4"/>
      <c r="AU744" s="4"/>
      <c r="AV744" s="4"/>
      <c r="AW744" s="4"/>
      <c r="AX744" s="4"/>
      <c r="AY744" s="4"/>
      <c r="AZ744" s="4"/>
      <c r="BA744" s="4"/>
      <c r="BB744" s="4"/>
      <c r="BC744" s="4"/>
      <c r="BD744" s="4"/>
      <c r="BE744" s="4"/>
      <c r="BF744" s="4"/>
      <c r="BG744" s="4"/>
      <c r="BH744" s="4"/>
    </row>
    <row r="745" spans="1:60">
      <c r="A745" s="4"/>
      <c r="B745" s="3"/>
      <c r="C745" s="3"/>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5"/>
      <c r="AT745" s="4"/>
      <c r="AU745" s="4"/>
      <c r="AV745" s="4"/>
      <c r="AW745" s="4"/>
      <c r="AX745" s="4"/>
      <c r="AY745" s="4"/>
      <c r="AZ745" s="4"/>
      <c r="BA745" s="4"/>
      <c r="BB745" s="4"/>
      <c r="BC745" s="4"/>
      <c r="BD745" s="4"/>
      <c r="BE745" s="4"/>
      <c r="BF745" s="4"/>
      <c r="BG745" s="4"/>
      <c r="BH745" s="4"/>
    </row>
    <row r="746" spans="1:60">
      <c r="A746" s="4"/>
      <c r="B746" s="3"/>
      <c r="C746" s="3"/>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5"/>
      <c r="AT746" s="4"/>
      <c r="AU746" s="4"/>
      <c r="AV746" s="4"/>
      <c r="AW746" s="4"/>
      <c r="AX746" s="4"/>
      <c r="AY746" s="4"/>
      <c r="AZ746" s="4"/>
      <c r="BA746" s="4"/>
      <c r="BB746" s="4"/>
      <c r="BC746" s="4"/>
      <c r="BD746" s="4"/>
      <c r="BE746" s="4"/>
      <c r="BF746" s="4"/>
      <c r="BG746" s="4"/>
      <c r="BH746" s="4"/>
    </row>
    <row r="747" spans="1:60">
      <c r="A747" s="4"/>
      <c r="B747" s="3"/>
      <c r="C747" s="3"/>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5"/>
      <c r="AT747" s="4"/>
      <c r="AU747" s="4"/>
      <c r="AV747" s="4"/>
      <c r="AW747" s="4"/>
      <c r="AX747" s="4"/>
      <c r="AY747" s="4"/>
      <c r="AZ747" s="4"/>
      <c r="BA747" s="4"/>
      <c r="BB747" s="4"/>
      <c r="BC747" s="4"/>
      <c r="BD747" s="4"/>
      <c r="BE747" s="4"/>
      <c r="BF747" s="4"/>
      <c r="BG747" s="4"/>
      <c r="BH747" s="4"/>
    </row>
    <row r="748" spans="1:60">
      <c r="A748" s="4"/>
      <c r="B748" s="3"/>
      <c r="C748" s="3"/>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5"/>
      <c r="AT748" s="4"/>
      <c r="AU748" s="4"/>
      <c r="AV748" s="4"/>
      <c r="AW748" s="4"/>
      <c r="AX748" s="4"/>
      <c r="AY748" s="4"/>
      <c r="AZ748" s="4"/>
      <c r="BA748" s="4"/>
      <c r="BB748" s="4"/>
      <c r="BC748" s="4"/>
      <c r="BD748" s="4"/>
      <c r="BE748" s="4"/>
      <c r="BF748" s="4"/>
      <c r="BG748" s="4"/>
      <c r="BH748" s="4"/>
    </row>
    <row r="749" spans="1:60">
      <c r="A749" s="4"/>
      <c r="B749" s="3"/>
      <c r="C749" s="3"/>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5"/>
      <c r="AT749" s="4"/>
      <c r="AU749" s="4"/>
      <c r="AV749" s="4"/>
      <c r="AW749" s="4"/>
      <c r="AX749" s="4"/>
      <c r="AY749" s="4"/>
      <c r="AZ749" s="4"/>
      <c r="BA749" s="4"/>
      <c r="BB749" s="4"/>
      <c r="BC749" s="4"/>
      <c r="BD749" s="4"/>
      <c r="BE749" s="4"/>
      <c r="BF749" s="4"/>
      <c r="BG749" s="4"/>
      <c r="BH749" s="4"/>
    </row>
    <row r="750" spans="1:60">
      <c r="A750" s="4"/>
      <c r="B750" s="3"/>
      <c r="C750" s="3"/>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5"/>
      <c r="AT750" s="4"/>
      <c r="AU750" s="4"/>
      <c r="AV750" s="4"/>
      <c r="AW750" s="4"/>
      <c r="AX750" s="4"/>
      <c r="AY750" s="4"/>
      <c r="AZ750" s="4"/>
      <c r="BA750" s="4"/>
      <c r="BB750" s="4"/>
      <c r="BC750" s="4"/>
      <c r="BD750" s="4"/>
      <c r="BE750" s="4"/>
      <c r="BF750" s="4"/>
      <c r="BG750" s="4"/>
      <c r="BH750" s="4"/>
    </row>
    <row r="751" spans="1:60">
      <c r="A751" s="4"/>
      <c r="B751" s="3"/>
      <c r="C751" s="3"/>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5"/>
      <c r="AT751" s="4"/>
      <c r="AU751" s="4"/>
      <c r="AV751" s="4"/>
      <c r="AW751" s="4"/>
      <c r="AX751" s="4"/>
      <c r="AY751" s="4"/>
      <c r="AZ751" s="4"/>
      <c r="BA751" s="4"/>
      <c r="BB751" s="4"/>
      <c r="BC751" s="4"/>
      <c r="BD751" s="4"/>
      <c r="BE751" s="4"/>
      <c r="BF751" s="4"/>
      <c r="BG751" s="4"/>
      <c r="BH751" s="4"/>
    </row>
    <row r="752" spans="1:60">
      <c r="A752" s="4"/>
      <c r="B752" s="3"/>
      <c r="C752" s="3"/>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5"/>
      <c r="AT752" s="4"/>
      <c r="AU752" s="4"/>
      <c r="AV752" s="4"/>
      <c r="AW752" s="4"/>
      <c r="AX752" s="4"/>
      <c r="AY752" s="4"/>
      <c r="AZ752" s="4"/>
      <c r="BA752" s="4"/>
      <c r="BB752" s="4"/>
      <c r="BC752" s="4"/>
      <c r="BD752" s="4"/>
      <c r="BE752" s="4"/>
      <c r="BF752" s="4"/>
      <c r="BG752" s="4"/>
      <c r="BH752" s="4"/>
    </row>
    <row r="753" spans="1:60">
      <c r="A753" s="4"/>
      <c r="B753" s="3"/>
      <c r="C753" s="3"/>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5"/>
      <c r="AT753" s="4"/>
      <c r="AU753" s="4"/>
      <c r="AV753" s="4"/>
      <c r="AW753" s="4"/>
      <c r="AX753" s="4"/>
      <c r="AY753" s="4"/>
      <c r="AZ753" s="4"/>
      <c r="BA753" s="4"/>
      <c r="BB753" s="4"/>
      <c r="BC753" s="4"/>
      <c r="BD753" s="4"/>
      <c r="BE753" s="4"/>
      <c r="BF753" s="4"/>
      <c r="BG753" s="4"/>
      <c r="BH753" s="4"/>
    </row>
    <row r="754" spans="1:60">
      <c r="A754" s="4"/>
      <c r="B754" s="3"/>
      <c r="C754" s="3"/>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5"/>
      <c r="AT754" s="4"/>
      <c r="AU754" s="4"/>
      <c r="AV754" s="4"/>
      <c r="AW754" s="4"/>
      <c r="AX754" s="4"/>
      <c r="AY754" s="4"/>
      <c r="AZ754" s="4"/>
      <c r="BA754" s="4"/>
      <c r="BB754" s="4"/>
      <c r="BC754" s="4"/>
      <c r="BD754" s="4"/>
      <c r="BE754" s="4"/>
      <c r="BF754" s="4"/>
      <c r="BG754" s="4"/>
      <c r="BH754" s="4"/>
    </row>
    <row r="755" spans="1:60">
      <c r="A755" s="4"/>
      <c r="B755" s="3"/>
      <c r="C755" s="3"/>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5"/>
      <c r="AT755" s="4"/>
      <c r="AU755" s="4"/>
      <c r="AV755" s="4"/>
      <c r="AW755" s="4"/>
      <c r="AX755" s="4"/>
      <c r="AY755" s="4"/>
      <c r="AZ755" s="4"/>
      <c r="BA755" s="4"/>
      <c r="BB755" s="4"/>
      <c r="BC755" s="4"/>
      <c r="BD755" s="4"/>
      <c r="BE755" s="4"/>
      <c r="BF755" s="4"/>
      <c r="BG755" s="4"/>
      <c r="BH755" s="4"/>
    </row>
    <row r="756" spans="1:60">
      <c r="A756" s="4"/>
      <c r="B756" s="3"/>
      <c r="C756" s="3"/>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5"/>
      <c r="AT756" s="4"/>
      <c r="AU756" s="4"/>
      <c r="AV756" s="4"/>
      <c r="AW756" s="4"/>
      <c r="AX756" s="4"/>
      <c r="AY756" s="4"/>
      <c r="AZ756" s="4"/>
      <c r="BA756" s="4"/>
      <c r="BB756" s="4"/>
      <c r="BC756" s="4"/>
      <c r="BD756" s="4"/>
      <c r="BE756" s="4"/>
      <c r="BF756" s="4"/>
      <c r="BG756" s="4"/>
      <c r="BH756" s="4"/>
    </row>
    <row r="757" spans="1:60">
      <c r="A757" s="4"/>
      <c r="B757" s="3"/>
      <c r="C757" s="3"/>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5"/>
      <c r="AT757" s="4"/>
      <c r="AU757" s="4"/>
      <c r="AV757" s="4"/>
      <c r="AW757" s="4"/>
      <c r="AX757" s="4"/>
      <c r="AY757" s="4"/>
      <c r="AZ757" s="4"/>
      <c r="BA757" s="4"/>
      <c r="BB757" s="4"/>
      <c r="BC757" s="4"/>
      <c r="BD757" s="4"/>
      <c r="BE757" s="4"/>
      <c r="BF757" s="4"/>
      <c r="BG757" s="4"/>
      <c r="BH757" s="4"/>
    </row>
    <row r="758" spans="1:60">
      <c r="A758" s="4"/>
      <c r="B758" s="3"/>
      <c r="C758" s="3"/>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5"/>
      <c r="AT758" s="4"/>
      <c r="AU758" s="4"/>
      <c r="AV758" s="4"/>
      <c r="AW758" s="4"/>
      <c r="AX758" s="4"/>
      <c r="AY758" s="4"/>
      <c r="AZ758" s="4"/>
      <c r="BA758" s="4"/>
      <c r="BB758" s="4"/>
      <c r="BC758" s="4"/>
      <c r="BD758" s="4"/>
      <c r="BE758" s="4"/>
      <c r="BF758" s="4"/>
      <c r="BG758" s="4"/>
      <c r="BH758" s="4"/>
    </row>
    <row r="759" spans="1:60">
      <c r="A759" s="4"/>
      <c r="B759" s="3"/>
      <c r="C759" s="3"/>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5"/>
      <c r="AT759" s="4"/>
      <c r="AU759" s="4"/>
      <c r="AV759" s="4"/>
      <c r="AW759" s="4"/>
      <c r="AX759" s="4"/>
      <c r="AY759" s="4"/>
      <c r="AZ759" s="4"/>
      <c r="BA759" s="4"/>
      <c r="BB759" s="4"/>
      <c r="BC759" s="4"/>
      <c r="BD759" s="4"/>
      <c r="BE759" s="4"/>
      <c r="BF759" s="4"/>
      <c r="BG759" s="4"/>
      <c r="BH759" s="4"/>
    </row>
    <row r="760" spans="1:60">
      <c r="A760" s="4"/>
      <c r="B760" s="3"/>
      <c r="C760" s="3"/>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5"/>
      <c r="AT760" s="4"/>
      <c r="AU760" s="4"/>
      <c r="AV760" s="4"/>
      <c r="AW760" s="4"/>
      <c r="AX760" s="4"/>
      <c r="AY760" s="4"/>
      <c r="AZ760" s="4"/>
      <c r="BA760" s="4"/>
      <c r="BB760" s="4"/>
      <c r="BC760" s="4"/>
      <c r="BD760" s="4"/>
      <c r="BE760" s="4"/>
      <c r="BF760" s="4"/>
      <c r="BG760" s="4"/>
      <c r="BH760" s="4"/>
    </row>
    <row r="761" spans="1:60">
      <c r="A761" s="4"/>
      <c r="B761" s="3"/>
      <c r="C761" s="3"/>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5"/>
      <c r="AT761" s="4"/>
      <c r="AU761" s="4"/>
      <c r="AV761" s="4"/>
      <c r="AW761" s="4"/>
      <c r="AX761" s="4"/>
      <c r="AY761" s="4"/>
      <c r="AZ761" s="4"/>
      <c r="BA761" s="4"/>
      <c r="BB761" s="4"/>
      <c r="BC761" s="4"/>
      <c r="BD761" s="4"/>
      <c r="BE761" s="4"/>
      <c r="BF761" s="4"/>
      <c r="BG761" s="4"/>
      <c r="BH761" s="4"/>
    </row>
    <row r="762" spans="1:60">
      <c r="A762" s="4"/>
      <c r="B762" s="3"/>
      <c r="C762" s="3"/>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5"/>
      <c r="AT762" s="4"/>
      <c r="AU762" s="4"/>
      <c r="AV762" s="4"/>
      <c r="AW762" s="4"/>
      <c r="AX762" s="4"/>
      <c r="AY762" s="4"/>
      <c r="AZ762" s="4"/>
      <c r="BA762" s="4"/>
      <c r="BB762" s="4"/>
      <c r="BC762" s="4"/>
      <c r="BD762" s="4"/>
      <c r="BE762" s="4"/>
      <c r="BF762" s="4"/>
      <c r="BG762" s="4"/>
      <c r="BH762" s="4"/>
    </row>
    <row r="763" spans="1:60">
      <c r="A763" s="4"/>
      <c r="B763" s="3"/>
      <c r="C763" s="3"/>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5"/>
      <c r="AT763" s="4"/>
      <c r="AU763" s="4"/>
      <c r="AV763" s="4"/>
      <c r="AW763" s="4"/>
      <c r="AX763" s="4"/>
      <c r="AY763" s="4"/>
      <c r="AZ763" s="4"/>
      <c r="BA763" s="4"/>
      <c r="BB763" s="4"/>
      <c r="BC763" s="4"/>
      <c r="BD763" s="4"/>
      <c r="BE763" s="4"/>
      <c r="BF763" s="4"/>
      <c r="BG763" s="4"/>
      <c r="BH763" s="4"/>
    </row>
    <row r="764" spans="1:60">
      <c r="A764" s="4"/>
      <c r="B764" s="3"/>
      <c r="C764" s="3"/>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5"/>
      <c r="AT764" s="4"/>
      <c r="AU764" s="4"/>
      <c r="AV764" s="4"/>
      <c r="AW764" s="4"/>
      <c r="AX764" s="4"/>
      <c r="AY764" s="4"/>
      <c r="AZ764" s="4"/>
      <c r="BA764" s="4"/>
      <c r="BB764" s="4"/>
      <c r="BC764" s="4"/>
      <c r="BD764" s="4"/>
      <c r="BE764" s="4"/>
      <c r="BF764" s="4"/>
      <c r="BG764" s="4"/>
      <c r="BH764" s="4"/>
    </row>
    <row r="765" spans="1:60">
      <c r="A765" s="4"/>
      <c r="B765" s="3"/>
      <c r="C765" s="3"/>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5"/>
      <c r="AT765" s="4"/>
      <c r="AU765" s="4"/>
      <c r="AV765" s="4"/>
      <c r="AW765" s="4"/>
      <c r="AX765" s="4"/>
      <c r="AY765" s="4"/>
      <c r="AZ765" s="4"/>
      <c r="BA765" s="4"/>
      <c r="BB765" s="4"/>
      <c r="BC765" s="4"/>
      <c r="BD765" s="4"/>
      <c r="BE765" s="4"/>
      <c r="BF765" s="4"/>
      <c r="BG765" s="4"/>
      <c r="BH765" s="4"/>
    </row>
    <row r="766" spans="1:60">
      <c r="A766" s="4"/>
      <c r="B766" s="3"/>
      <c r="C766" s="3"/>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5"/>
      <c r="AT766" s="4"/>
      <c r="AU766" s="4"/>
      <c r="AV766" s="4"/>
      <c r="AW766" s="4"/>
      <c r="AX766" s="4"/>
      <c r="AY766" s="4"/>
      <c r="AZ766" s="4"/>
      <c r="BA766" s="4"/>
      <c r="BB766" s="4"/>
      <c r="BC766" s="4"/>
      <c r="BD766" s="4"/>
      <c r="BE766" s="4"/>
      <c r="BF766" s="4"/>
      <c r="BG766" s="4"/>
      <c r="BH766" s="4"/>
    </row>
    <row r="767" spans="1:60">
      <c r="A767" s="4"/>
      <c r="B767" s="3"/>
      <c r="C767" s="3"/>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5"/>
      <c r="AT767" s="4"/>
      <c r="AU767" s="4"/>
      <c r="AV767" s="4"/>
      <c r="AW767" s="4"/>
      <c r="AX767" s="4"/>
      <c r="AY767" s="4"/>
      <c r="AZ767" s="4"/>
      <c r="BA767" s="4"/>
      <c r="BB767" s="4"/>
      <c r="BC767" s="4"/>
      <c r="BD767" s="4"/>
      <c r="BE767" s="4"/>
      <c r="BF767" s="4"/>
      <c r="BG767" s="4"/>
      <c r="BH767" s="4"/>
    </row>
    <row r="768" spans="1:60">
      <c r="A768" s="4"/>
      <c r="B768" s="3"/>
      <c r="C768" s="3"/>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5"/>
      <c r="AT768" s="4"/>
      <c r="AU768" s="4"/>
      <c r="AV768" s="4"/>
      <c r="AW768" s="4"/>
      <c r="AX768" s="4"/>
      <c r="AY768" s="4"/>
      <c r="AZ768" s="4"/>
      <c r="BA768" s="4"/>
      <c r="BB768" s="4"/>
      <c r="BC768" s="4"/>
      <c r="BD768" s="4"/>
      <c r="BE768" s="4"/>
      <c r="BF768" s="4"/>
      <c r="BG768" s="4"/>
      <c r="BH768" s="4"/>
    </row>
    <row r="769" spans="1:60">
      <c r="A769" s="4"/>
      <c r="B769" s="3"/>
      <c r="C769" s="3"/>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5"/>
      <c r="AT769" s="4"/>
      <c r="AU769" s="4"/>
      <c r="AV769" s="4"/>
      <c r="AW769" s="4"/>
      <c r="AX769" s="4"/>
      <c r="AY769" s="4"/>
      <c r="AZ769" s="4"/>
      <c r="BA769" s="4"/>
      <c r="BB769" s="4"/>
      <c r="BC769" s="4"/>
      <c r="BD769" s="4"/>
      <c r="BE769" s="4"/>
      <c r="BF769" s="4"/>
      <c r="BG769" s="4"/>
      <c r="BH769" s="4"/>
    </row>
    <row r="770" spans="1:60">
      <c r="A770" s="4"/>
      <c r="B770" s="3"/>
      <c r="C770" s="3"/>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5"/>
      <c r="AT770" s="4"/>
      <c r="AU770" s="4"/>
      <c r="AV770" s="4"/>
      <c r="AW770" s="4"/>
      <c r="AX770" s="4"/>
      <c r="AY770" s="4"/>
      <c r="AZ770" s="4"/>
      <c r="BA770" s="4"/>
      <c r="BB770" s="4"/>
      <c r="BC770" s="4"/>
      <c r="BD770" s="4"/>
      <c r="BE770" s="4"/>
      <c r="BF770" s="4"/>
      <c r="BG770" s="4"/>
      <c r="BH770" s="4"/>
    </row>
    <row r="771" spans="1:60">
      <c r="A771" s="4"/>
      <c r="B771" s="3"/>
      <c r="C771" s="3"/>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5"/>
      <c r="AT771" s="4"/>
      <c r="AU771" s="4"/>
      <c r="AV771" s="4"/>
      <c r="AW771" s="4"/>
      <c r="AX771" s="4"/>
      <c r="AY771" s="4"/>
      <c r="AZ771" s="4"/>
      <c r="BA771" s="4"/>
      <c r="BB771" s="4"/>
      <c r="BC771" s="4"/>
      <c r="BD771" s="4"/>
      <c r="BE771" s="4"/>
      <c r="BF771" s="4"/>
      <c r="BG771" s="4"/>
      <c r="BH771" s="4"/>
    </row>
    <row r="772" spans="1:60">
      <c r="A772" s="4"/>
      <c r="B772" s="3"/>
      <c r="C772" s="3"/>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5"/>
      <c r="AT772" s="4"/>
      <c r="AU772" s="4"/>
      <c r="AV772" s="4"/>
      <c r="AW772" s="4"/>
      <c r="AX772" s="4"/>
      <c r="AY772" s="4"/>
      <c r="AZ772" s="4"/>
      <c r="BA772" s="4"/>
      <c r="BB772" s="4"/>
      <c r="BC772" s="4"/>
      <c r="BD772" s="4"/>
      <c r="BE772" s="4"/>
      <c r="BF772" s="4"/>
      <c r="BG772" s="4"/>
      <c r="BH772" s="4"/>
    </row>
    <row r="773" spans="1:60">
      <c r="A773" s="4"/>
      <c r="B773" s="3"/>
      <c r="C773" s="3"/>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5"/>
      <c r="AT773" s="4"/>
      <c r="AU773" s="4"/>
      <c r="AV773" s="4"/>
      <c r="AW773" s="4"/>
      <c r="AX773" s="4"/>
      <c r="AY773" s="4"/>
      <c r="AZ773" s="4"/>
      <c r="BA773" s="4"/>
      <c r="BB773" s="4"/>
      <c r="BC773" s="4"/>
      <c r="BD773" s="4"/>
      <c r="BE773" s="4"/>
      <c r="BF773" s="4"/>
      <c r="BG773" s="4"/>
      <c r="BH773" s="4"/>
    </row>
    <row r="774" spans="1:60">
      <c r="A774" s="4"/>
      <c r="B774" s="3"/>
      <c r="C774" s="3"/>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5"/>
      <c r="AT774" s="4"/>
      <c r="AU774" s="4"/>
      <c r="AV774" s="4"/>
      <c r="AW774" s="4"/>
      <c r="AX774" s="4"/>
      <c r="AY774" s="4"/>
      <c r="AZ774" s="4"/>
      <c r="BA774" s="4"/>
      <c r="BB774" s="4"/>
      <c r="BC774" s="4"/>
      <c r="BD774" s="4"/>
      <c r="BE774" s="4"/>
      <c r="BF774" s="4"/>
      <c r="BG774" s="4"/>
      <c r="BH774" s="4"/>
    </row>
    <row r="775" spans="1:60">
      <c r="A775" s="4"/>
      <c r="B775" s="3"/>
      <c r="C775" s="3"/>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5"/>
      <c r="AT775" s="4"/>
      <c r="AU775" s="4"/>
      <c r="AV775" s="4"/>
      <c r="AW775" s="4"/>
      <c r="AX775" s="4"/>
      <c r="AY775" s="4"/>
      <c r="AZ775" s="4"/>
      <c r="BA775" s="4"/>
      <c r="BB775" s="4"/>
      <c r="BC775" s="4"/>
      <c r="BD775" s="4"/>
      <c r="BE775" s="4"/>
      <c r="BF775" s="4"/>
      <c r="BG775" s="4"/>
      <c r="BH775" s="4"/>
    </row>
    <row r="776" spans="1:60">
      <c r="A776" s="4"/>
      <c r="B776" s="3"/>
      <c r="C776" s="3"/>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5"/>
      <c r="AT776" s="4"/>
      <c r="AU776" s="4"/>
      <c r="AV776" s="4"/>
      <c r="AW776" s="4"/>
      <c r="AX776" s="4"/>
      <c r="AY776" s="4"/>
      <c r="AZ776" s="4"/>
      <c r="BA776" s="4"/>
      <c r="BB776" s="4"/>
      <c r="BC776" s="4"/>
      <c r="BD776" s="4"/>
      <c r="BE776" s="4"/>
      <c r="BF776" s="4"/>
      <c r="BG776" s="4"/>
      <c r="BH776" s="4"/>
    </row>
    <row r="777" spans="1:60">
      <c r="A777" s="4"/>
      <c r="B777" s="3"/>
      <c r="C777" s="3"/>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5"/>
      <c r="AT777" s="4"/>
      <c r="AU777" s="4"/>
      <c r="AV777" s="4"/>
      <c r="AW777" s="4"/>
      <c r="AX777" s="4"/>
      <c r="AY777" s="4"/>
      <c r="AZ777" s="4"/>
      <c r="BA777" s="4"/>
      <c r="BB777" s="4"/>
      <c r="BC777" s="4"/>
      <c r="BD777" s="4"/>
      <c r="BE777" s="4"/>
      <c r="BF777" s="4"/>
      <c r="BG777" s="4"/>
      <c r="BH777" s="4"/>
    </row>
    <row r="778" spans="1:60">
      <c r="A778" s="4"/>
      <c r="B778" s="3"/>
      <c r="C778" s="3"/>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5"/>
      <c r="AT778" s="4"/>
      <c r="AU778" s="4"/>
      <c r="AV778" s="4"/>
      <c r="AW778" s="4"/>
      <c r="AX778" s="4"/>
      <c r="AY778" s="4"/>
      <c r="AZ778" s="4"/>
      <c r="BA778" s="4"/>
      <c r="BB778" s="4"/>
      <c r="BC778" s="4"/>
      <c r="BD778" s="4"/>
      <c r="BE778" s="4"/>
      <c r="BF778" s="4"/>
      <c r="BG778" s="4"/>
      <c r="BH778" s="4"/>
    </row>
    <row r="779" spans="1:60">
      <c r="A779" s="4"/>
      <c r="B779" s="3"/>
      <c r="C779" s="3"/>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5"/>
      <c r="AT779" s="4"/>
      <c r="AU779" s="4"/>
      <c r="AV779" s="4"/>
      <c r="AW779" s="4"/>
      <c r="AX779" s="4"/>
      <c r="AY779" s="4"/>
      <c r="AZ779" s="4"/>
      <c r="BA779" s="4"/>
      <c r="BB779" s="4"/>
      <c r="BC779" s="4"/>
      <c r="BD779" s="4"/>
      <c r="BE779" s="4"/>
      <c r="BF779" s="4"/>
      <c r="BG779" s="4"/>
      <c r="BH779" s="4"/>
    </row>
    <row r="780" spans="1:60">
      <c r="A780" s="4"/>
      <c r="B780" s="3"/>
      <c r="C780" s="3"/>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5"/>
      <c r="AT780" s="4"/>
      <c r="AU780" s="4"/>
      <c r="AV780" s="4"/>
      <c r="AW780" s="4"/>
      <c r="AX780" s="4"/>
      <c r="AY780" s="4"/>
      <c r="AZ780" s="4"/>
      <c r="BA780" s="4"/>
      <c r="BB780" s="4"/>
      <c r="BC780" s="4"/>
      <c r="BD780" s="4"/>
      <c r="BE780" s="4"/>
      <c r="BF780" s="4"/>
      <c r="BG780" s="4"/>
      <c r="BH780" s="4"/>
    </row>
    <row r="781" spans="1:60">
      <c r="A781" s="4"/>
      <c r="B781" s="3"/>
      <c r="C781" s="3"/>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5"/>
      <c r="AT781" s="4"/>
      <c r="AU781" s="4"/>
      <c r="AV781" s="4"/>
      <c r="AW781" s="4"/>
      <c r="AX781" s="4"/>
      <c r="AY781" s="4"/>
      <c r="AZ781" s="4"/>
      <c r="BA781" s="4"/>
      <c r="BB781" s="4"/>
      <c r="BC781" s="4"/>
      <c r="BD781" s="4"/>
      <c r="BE781" s="4"/>
      <c r="BF781" s="4"/>
      <c r="BG781" s="4"/>
      <c r="BH781" s="4"/>
    </row>
    <row r="782" spans="1:60">
      <c r="A782" s="4"/>
      <c r="B782" s="3"/>
      <c r="C782" s="3"/>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5"/>
      <c r="AT782" s="4"/>
      <c r="AU782" s="4"/>
      <c r="AV782" s="4"/>
      <c r="AW782" s="4"/>
      <c r="AX782" s="4"/>
      <c r="AY782" s="4"/>
      <c r="AZ782" s="4"/>
      <c r="BA782" s="4"/>
      <c r="BB782" s="4"/>
      <c r="BC782" s="4"/>
      <c r="BD782" s="4"/>
      <c r="BE782" s="4"/>
      <c r="BF782" s="4"/>
      <c r="BG782" s="4"/>
      <c r="BH782" s="4"/>
    </row>
    <row r="783" spans="1:60">
      <c r="A783" s="4"/>
      <c r="B783" s="3"/>
      <c r="C783" s="3"/>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5"/>
      <c r="AT783" s="4"/>
      <c r="AU783" s="4"/>
      <c r="AV783" s="4"/>
      <c r="AW783" s="4"/>
      <c r="AX783" s="4"/>
      <c r="AY783" s="4"/>
      <c r="AZ783" s="4"/>
      <c r="BA783" s="4"/>
      <c r="BB783" s="4"/>
      <c r="BC783" s="4"/>
      <c r="BD783" s="4"/>
      <c r="BE783" s="4"/>
      <c r="BF783" s="4"/>
      <c r="BG783" s="4"/>
      <c r="BH783" s="4"/>
    </row>
    <row r="784" spans="1:60">
      <c r="A784" s="4"/>
      <c r="B784" s="3"/>
      <c r="C784" s="3"/>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5"/>
      <c r="AT784" s="4"/>
      <c r="AU784" s="4"/>
      <c r="AV784" s="4"/>
      <c r="AW784" s="4"/>
      <c r="AX784" s="4"/>
      <c r="AY784" s="4"/>
      <c r="AZ784" s="4"/>
      <c r="BA784" s="4"/>
      <c r="BB784" s="4"/>
      <c r="BC784" s="4"/>
      <c r="BD784" s="4"/>
      <c r="BE784" s="4"/>
      <c r="BF784" s="4"/>
      <c r="BG784" s="4"/>
      <c r="BH784" s="4"/>
    </row>
    <row r="785" spans="1:60">
      <c r="A785" s="4"/>
      <c r="B785" s="3"/>
      <c r="C785" s="3"/>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5"/>
      <c r="AT785" s="4"/>
      <c r="AU785" s="4"/>
      <c r="AV785" s="4"/>
      <c r="AW785" s="4"/>
      <c r="AX785" s="4"/>
      <c r="AY785" s="4"/>
      <c r="AZ785" s="4"/>
      <c r="BA785" s="4"/>
      <c r="BB785" s="4"/>
      <c r="BC785" s="4"/>
      <c r="BD785" s="4"/>
      <c r="BE785" s="4"/>
      <c r="BF785" s="4"/>
      <c r="BG785" s="4"/>
      <c r="BH785" s="4"/>
    </row>
    <row r="786" spans="1:60">
      <c r="A786" s="4"/>
      <c r="B786" s="3"/>
      <c r="C786" s="3"/>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5"/>
      <c r="AT786" s="4"/>
      <c r="AU786" s="4"/>
      <c r="AV786" s="4"/>
      <c r="AW786" s="4"/>
      <c r="AX786" s="4"/>
      <c r="AY786" s="4"/>
      <c r="AZ786" s="4"/>
      <c r="BA786" s="4"/>
      <c r="BB786" s="4"/>
      <c r="BC786" s="4"/>
      <c r="BD786" s="4"/>
      <c r="BE786" s="4"/>
      <c r="BF786" s="4"/>
      <c r="BG786" s="4"/>
      <c r="BH786" s="4"/>
    </row>
    <row r="787" spans="1:60">
      <c r="A787" s="4"/>
      <c r="B787" s="3"/>
      <c r="C787" s="3"/>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5"/>
      <c r="AT787" s="4"/>
      <c r="AU787" s="4"/>
      <c r="AV787" s="4"/>
      <c r="AW787" s="4"/>
      <c r="AX787" s="4"/>
      <c r="AY787" s="4"/>
      <c r="AZ787" s="4"/>
      <c r="BA787" s="4"/>
      <c r="BB787" s="4"/>
      <c r="BC787" s="4"/>
      <c r="BD787" s="4"/>
      <c r="BE787" s="4"/>
      <c r="BF787" s="4"/>
      <c r="BG787" s="4"/>
      <c r="BH787" s="4"/>
    </row>
    <row r="788" spans="1:60">
      <c r="A788" s="4"/>
      <c r="B788" s="3"/>
      <c r="C788" s="3"/>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5"/>
      <c r="AT788" s="4"/>
      <c r="AU788" s="4"/>
      <c r="AV788" s="4"/>
      <c r="AW788" s="4"/>
      <c r="AX788" s="4"/>
      <c r="AY788" s="4"/>
      <c r="AZ788" s="4"/>
      <c r="BA788" s="4"/>
      <c r="BB788" s="4"/>
      <c r="BC788" s="4"/>
      <c r="BD788" s="4"/>
      <c r="BE788" s="4"/>
      <c r="BF788" s="4"/>
      <c r="BG788" s="4"/>
      <c r="BH788" s="4"/>
    </row>
    <row r="789" spans="1:60">
      <c r="A789" s="4"/>
      <c r="B789" s="3"/>
      <c r="C789" s="3"/>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5"/>
      <c r="AT789" s="4"/>
      <c r="AU789" s="4"/>
      <c r="AV789" s="4"/>
      <c r="AW789" s="4"/>
      <c r="AX789" s="4"/>
      <c r="AY789" s="4"/>
      <c r="AZ789" s="4"/>
      <c r="BA789" s="4"/>
      <c r="BB789" s="4"/>
      <c r="BC789" s="4"/>
      <c r="BD789" s="4"/>
      <c r="BE789" s="4"/>
      <c r="BF789" s="4"/>
      <c r="BG789" s="4"/>
      <c r="BH789" s="4"/>
    </row>
    <row r="790" spans="1:60">
      <c r="A790" s="4"/>
      <c r="B790" s="3"/>
      <c r="C790" s="3"/>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5"/>
      <c r="AT790" s="4"/>
      <c r="AU790" s="4"/>
      <c r="AV790" s="4"/>
      <c r="AW790" s="4"/>
      <c r="AX790" s="4"/>
      <c r="AY790" s="4"/>
      <c r="AZ790" s="4"/>
      <c r="BA790" s="4"/>
      <c r="BB790" s="4"/>
      <c r="BC790" s="4"/>
      <c r="BD790" s="4"/>
      <c r="BE790" s="4"/>
      <c r="BF790" s="4"/>
      <c r="BG790" s="4"/>
      <c r="BH790" s="4"/>
    </row>
    <row r="791" spans="1:60">
      <c r="A791" s="4"/>
      <c r="B791" s="3"/>
      <c r="C791" s="3"/>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5"/>
      <c r="AT791" s="4"/>
      <c r="AU791" s="4"/>
      <c r="AV791" s="4"/>
      <c r="AW791" s="4"/>
      <c r="AX791" s="4"/>
      <c r="AY791" s="4"/>
      <c r="AZ791" s="4"/>
      <c r="BA791" s="4"/>
      <c r="BB791" s="4"/>
      <c r="BC791" s="4"/>
      <c r="BD791" s="4"/>
      <c r="BE791" s="4"/>
      <c r="BF791" s="4"/>
      <c r="BG791" s="4"/>
      <c r="BH791" s="4"/>
    </row>
    <row r="792" spans="1:60">
      <c r="A792" s="4"/>
      <c r="B792" s="3"/>
      <c r="C792" s="3"/>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5"/>
      <c r="AT792" s="4"/>
      <c r="AU792" s="4"/>
      <c r="AV792" s="4"/>
      <c r="AW792" s="4"/>
      <c r="AX792" s="4"/>
      <c r="AY792" s="4"/>
      <c r="AZ792" s="4"/>
      <c r="BA792" s="4"/>
      <c r="BB792" s="4"/>
      <c r="BC792" s="4"/>
      <c r="BD792" s="4"/>
      <c r="BE792" s="4"/>
      <c r="BF792" s="4"/>
      <c r="BG792" s="4"/>
      <c r="BH792" s="4"/>
    </row>
    <row r="793" spans="1:60">
      <c r="A793" s="4"/>
      <c r="B793" s="3"/>
      <c r="C793" s="3"/>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5"/>
      <c r="AT793" s="4"/>
      <c r="AU793" s="4"/>
      <c r="AV793" s="4"/>
      <c r="AW793" s="4"/>
      <c r="AX793" s="4"/>
      <c r="AY793" s="4"/>
      <c r="AZ793" s="4"/>
      <c r="BA793" s="4"/>
      <c r="BB793" s="4"/>
      <c r="BC793" s="4"/>
      <c r="BD793" s="4"/>
      <c r="BE793" s="4"/>
      <c r="BF793" s="4"/>
      <c r="BG793" s="4"/>
      <c r="BH793" s="4"/>
    </row>
    <row r="794" spans="1:60">
      <c r="A794" s="4"/>
      <c r="B794" s="3"/>
      <c r="C794" s="3"/>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5"/>
      <c r="AT794" s="4"/>
      <c r="AU794" s="4"/>
      <c r="AV794" s="4"/>
      <c r="AW794" s="4"/>
      <c r="AX794" s="4"/>
      <c r="AY794" s="4"/>
      <c r="AZ794" s="4"/>
      <c r="BA794" s="4"/>
      <c r="BB794" s="4"/>
      <c r="BC794" s="4"/>
      <c r="BD794" s="4"/>
      <c r="BE794" s="4"/>
      <c r="BF794" s="4"/>
      <c r="BG794" s="4"/>
      <c r="BH794" s="4"/>
    </row>
    <row r="795" spans="1:60">
      <c r="A795" s="4"/>
      <c r="B795" s="3"/>
      <c r="C795" s="3"/>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5"/>
      <c r="AT795" s="4"/>
      <c r="AU795" s="4"/>
      <c r="AV795" s="4"/>
      <c r="AW795" s="4"/>
      <c r="AX795" s="4"/>
      <c r="AY795" s="4"/>
      <c r="AZ795" s="4"/>
      <c r="BA795" s="4"/>
      <c r="BB795" s="4"/>
      <c r="BC795" s="4"/>
      <c r="BD795" s="4"/>
      <c r="BE795" s="4"/>
      <c r="BF795" s="4"/>
      <c r="BG795" s="4"/>
      <c r="BH795" s="4"/>
    </row>
    <row r="796" spans="1:60">
      <c r="A796" s="4"/>
      <c r="B796" s="3"/>
      <c r="C796" s="3"/>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5"/>
      <c r="AT796" s="4"/>
      <c r="AU796" s="4"/>
      <c r="AV796" s="4"/>
      <c r="AW796" s="4"/>
      <c r="AX796" s="4"/>
      <c r="AY796" s="4"/>
      <c r="AZ796" s="4"/>
      <c r="BA796" s="4"/>
      <c r="BB796" s="4"/>
      <c r="BC796" s="4"/>
      <c r="BD796" s="4"/>
      <c r="BE796" s="4"/>
      <c r="BF796" s="4"/>
      <c r="BG796" s="4"/>
      <c r="BH796" s="4"/>
    </row>
    <row r="797" spans="1:60">
      <c r="A797" s="4"/>
      <c r="B797" s="3"/>
      <c r="C797" s="3"/>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5"/>
      <c r="AT797" s="4"/>
      <c r="AU797" s="4"/>
      <c r="AV797" s="4"/>
      <c r="AW797" s="4"/>
      <c r="AX797" s="4"/>
      <c r="AY797" s="4"/>
      <c r="AZ797" s="4"/>
      <c r="BA797" s="4"/>
      <c r="BB797" s="4"/>
      <c r="BC797" s="4"/>
      <c r="BD797" s="4"/>
      <c r="BE797" s="4"/>
      <c r="BF797" s="4"/>
      <c r="BG797" s="4"/>
      <c r="BH797" s="4"/>
    </row>
    <row r="798" spans="1:60">
      <c r="A798" s="4"/>
      <c r="B798" s="3"/>
      <c r="C798" s="3"/>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5"/>
      <c r="AT798" s="4"/>
      <c r="AU798" s="4"/>
      <c r="AV798" s="4"/>
      <c r="AW798" s="4"/>
      <c r="AX798" s="4"/>
      <c r="AY798" s="4"/>
      <c r="AZ798" s="4"/>
      <c r="BA798" s="4"/>
      <c r="BB798" s="4"/>
      <c r="BC798" s="4"/>
      <c r="BD798" s="4"/>
      <c r="BE798" s="4"/>
      <c r="BF798" s="4"/>
      <c r="BG798" s="4"/>
      <c r="BH798" s="4"/>
    </row>
    <row r="799" spans="1:60">
      <c r="A799" s="4"/>
      <c r="B799" s="3"/>
      <c r="C799" s="3"/>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5"/>
      <c r="AT799" s="4"/>
      <c r="AU799" s="4"/>
      <c r="AV799" s="4"/>
      <c r="AW799" s="4"/>
      <c r="AX799" s="4"/>
      <c r="AY799" s="4"/>
      <c r="AZ799" s="4"/>
      <c r="BA799" s="4"/>
      <c r="BB799" s="4"/>
      <c r="BC799" s="4"/>
      <c r="BD799" s="4"/>
      <c r="BE799" s="4"/>
      <c r="BF799" s="4"/>
      <c r="BG799" s="4"/>
      <c r="BH799" s="4"/>
    </row>
    <row r="800" spans="1:60">
      <c r="A800" s="4"/>
      <c r="B800" s="3"/>
      <c r="C800" s="3"/>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5"/>
      <c r="AT800" s="4"/>
      <c r="AU800" s="4"/>
      <c r="AV800" s="4"/>
      <c r="AW800" s="4"/>
      <c r="AX800" s="4"/>
      <c r="AY800" s="4"/>
      <c r="AZ800" s="4"/>
      <c r="BA800" s="4"/>
      <c r="BB800" s="4"/>
      <c r="BC800" s="4"/>
      <c r="BD800" s="4"/>
      <c r="BE800" s="4"/>
      <c r="BF800" s="4"/>
      <c r="BG800" s="4"/>
      <c r="BH800" s="4"/>
    </row>
    <row r="801" spans="1:60">
      <c r="A801" s="4"/>
      <c r="B801" s="3"/>
      <c r="C801" s="3"/>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5"/>
      <c r="AT801" s="4"/>
      <c r="AU801" s="4"/>
      <c r="AV801" s="4"/>
      <c r="AW801" s="4"/>
      <c r="AX801" s="4"/>
      <c r="AY801" s="4"/>
      <c r="AZ801" s="4"/>
      <c r="BA801" s="4"/>
      <c r="BB801" s="4"/>
      <c r="BC801" s="4"/>
      <c r="BD801" s="4"/>
      <c r="BE801" s="4"/>
      <c r="BF801" s="4"/>
      <c r="BG801" s="4"/>
      <c r="BH801" s="4"/>
    </row>
    <row r="802" spans="1:60">
      <c r="A802" s="4"/>
      <c r="B802" s="3"/>
      <c r="C802" s="3"/>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5"/>
      <c r="AT802" s="4"/>
      <c r="AU802" s="4"/>
      <c r="AV802" s="4"/>
      <c r="AW802" s="4"/>
      <c r="AX802" s="4"/>
      <c r="AY802" s="4"/>
      <c r="AZ802" s="4"/>
      <c r="BA802" s="4"/>
      <c r="BB802" s="4"/>
      <c r="BC802" s="4"/>
      <c r="BD802" s="4"/>
      <c r="BE802" s="4"/>
      <c r="BF802" s="4"/>
      <c r="BG802" s="4"/>
      <c r="BH802" s="4"/>
    </row>
    <row r="803" spans="1:60">
      <c r="A803" s="4"/>
      <c r="B803" s="3"/>
      <c r="C803" s="3"/>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5"/>
      <c r="AT803" s="4"/>
      <c r="AU803" s="4"/>
      <c r="AV803" s="4"/>
      <c r="AW803" s="4"/>
      <c r="AX803" s="4"/>
      <c r="AY803" s="4"/>
      <c r="AZ803" s="4"/>
      <c r="BA803" s="4"/>
      <c r="BB803" s="4"/>
      <c r="BC803" s="4"/>
      <c r="BD803" s="4"/>
      <c r="BE803" s="4"/>
      <c r="BF803" s="4"/>
      <c r="BG803" s="4"/>
      <c r="BH803" s="4"/>
    </row>
    <row r="804" spans="1:60">
      <c r="A804" s="4"/>
      <c r="B804" s="3"/>
      <c r="C804" s="3"/>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5"/>
      <c r="AT804" s="4"/>
      <c r="AU804" s="4"/>
      <c r="AV804" s="4"/>
      <c r="AW804" s="4"/>
      <c r="AX804" s="4"/>
      <c r="AY804" s="4"/>
      <c r="AZ804" s="4"/>
      <c r="BA804" s="4"/>
      <c r="BB804" s="4"/>
      <c r="BC804" s="4"/>
      <c r="BD804" s="4"/>
      <c r="BE804" s="4"/>
      <c r="BF804" s="4"/>
      <c r="BG804" s="4"/>
      <c r="BH804" s="4"/>
    </row>
    <row r="805" spans="1:60">
      <c r="A805" s="4"/>
      <c r="B805" s="3"/>
      <c r="C805" s="3"/>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5"/>
      <c r="AT805" s="4"/>
      <c r="AU805" s="4"/>
      <c r="AV805" s="4"/>
      <c r="AW805" s="4"/>
      <c r="AX805" s="4"/>
      <c r="AY805" s="4"/>
      <c r="AZ805" s="4"/>
      <c r="BA805" s="4"/>
      <c r="BB805" s="4"/>
      <c r="BC805" s="4"/>
      <c r="BD805" s="4"/>
      <c r="BE805" s="4"/>
      <c r="BF805" s="4"/>
      <c r="BG805" s="4"/>
      <c r="BH805" s="4"/>
    </row>
    <row r="806" spans="1:60">
      <c r="A806" s="4"/>
      <c r="B806" s="3"/>
      <c r="C806" s="3"/>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5"/>
      <c r="AT806" s="4"/>
      <c r="AU806" s="4"/>
      <c r="AV806" s="4"/>
      <c r="AW806" s="4"/>
      <c r="AX806" s="4"/>
      <c r="AY806" s="4"/>
      <c r="AZ806" s="4"/>
      <c r="BA806" s="4"/>
      <c r="BB806" s="4"/>
      <c r="BC806" s="4"/>
      <c r="BD806" s="4"/>
      <c r="BE806" s="4"/>
      <c r="BF806" s="4"/>
      <c r="BG806" s="4"/>
      <c r="BH806" s="4"/>
    </row>
    <row r="807" spans="1:60">
      <c r="A807" s="4"/>
      <c r="B807" s="3"/>
      <c r="C807" s="3"/>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5"/>
      <c r="AT807" s="4"/>
      <c r="AU807" s="4"/>
      <c r="AV807" s="4"/>
      <c r="AW807" s="4"/>
      <c r="AX807" s="4"/>
      <c r="AY807" s="4"/>
      <c r="AZ807" s="4"/>
      <c r="BA807" s="4"/>
      <c r="BB807" s="4"/>
      <c r="BC807" s="4"/>
      <c r="BD807" s="4"/>
      <c r="BE807" s="4"/>
      <c r="BF807" s="4"/>
      <c r="BG807" s="4"/>
      <c r="BH807" s="4"/>
    </row>
    <row r="808" spans="1:60">
      <c r="A808" s="4"/>
      <c r="B808" s="3"/>
      <c r="C808" s="3"/>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5"/>
      <c r="AT808" s="4"/>
      <c r="AU808" s="4"/>
      <c r="AV808" s="4"/>
      <c r="AW808" s="4"/>
      <c r="AX808" s="4"/>
      <c r="AY808" s="4"/>
      <c r="AZ808" s="4"/>
      <c r="BA808" s="4"/>
      <c r="BB808" s="4"/>
      <c r="BC808" s="4"/>
      <c r="BD808" s="4"/>
      <c r="BE808" s="4"/>
      <c r="BF808" s="4"/>
      <c r="BG808" s="4"/>
      <c r="BH808" s="4"/>
    </row>
    <row r="809" spans="1:60">
      <c r="A809" s="4"/>
      <c r="B809" s="3"/>
      <c r="C809" s="3"/>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5"/>
      <c r="AT809" s="4"/>
      <c r="AU809" s="4"/>
      <c r="AV809" s="4"/>
      <c r="AW809" s="4"/>
      <c r="AX809" s="4"/>
      <c r="AY809" s="4"/>
      <c r="AZ809" s="4"/>
      <c r="BA809" s="4"/>
      <c r="BB809" s="4"/>
      <c r="BC809" s="4"/>
      <c r="BD809" s="4"/>
      <c r="BE809" s="4"/>
      <c r="BF809" s="4"/>
      <c r="BG809" s="4"/>
      <c r="BH809" s="4"/>
    </row>
    <row r="810" spans="1:60">
      <c r="A810" s="4"/>
      <c r="B810" s="3"/>
      <c r="C810" s="3"/>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5"/>
      <c r="AT810" s="4"/>
      <c r="AU810" s="4"/>
      <c r="AV810" s="4"/>
      <c r="AW810" s="4"/>
      <c r="AX810" s="4"/>
      <c r="AY810" s="4"/>
      <c r="AZ810" s="4"/>
      <c r="BA810" s="4"/>
      <c r="BB810" s="4"/>
      <c r="BC810" s="4"/>
      <c r="BD810" s="4"/>
      <c r="BE810" s="4"/>
      <c r="BF810" s="4"/>
      <c r="BG810" s="4"/>
      <c r="BH810" s="4"/>
    </row>
    <row r="811" spans="1:60">
      <c r="A811" s="4"/>
      <c r="B811" s="3"/>
      <c r="C811" s="3"/>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5"/>
      <c r="AT811" s="4"/>
      <c r="AU811" s="4"/>
      <c r="AV811" s="4"/>
      <c r="AW811" s="4"/>
      <c r="AX811" s="4"/>
      <c r="AY811" s="4"/>
      <c r="AZ811" s="4"/>
      <c r="BA811" s="4"/>
      <c r="BB811" s="4"/>
      <c r="BC811" s="4"/>
      <c r="BD811" s="4"/>
      <c r="BE811" s="4"/>
      <c r="BF811" s="4"/>
      <c r="BG811" s="4"/>
      <c r="BH811" s="4"/>
    </row>
    <row r="812" spans="1:60">
      <c r="A812" s="4"/>
      <c r="B812" s="3"/>
      <c r="C812" s="3"/>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5"/>
      <c r="AT812" s="4"/>
      <c r="AU812" s="4"/>
      <c r="AV812" s="4"/>
      <c r="AW812" s="4"/>
      <c r="AX812" s="4"/>
      <c r="AY812" s="4"/>
      <c r="AZ812" s="4"/>
      <c r="BA812" s="4"/>
      <c r="BB812" s="4"/>
      <c r="BC812" s="4"/>
      <c r="BD812" s="4"/>
      <c r="BE812" s="4"/>
      <c r="BF812" s="4"/>
      <c r="BG812" s="4"/>
      <c r="BH812" s="4"/>
    </row>
    <row r="813" spans="1:60">
      <c r="A813" s="4"/>
      <c r="B813" s="3"/>
      <c r="C813" s="3"/>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5"/>
      <c r="AT813" s="4"/>
      <c r="AU813" s="4"/>
      <c r="AV813" s="4"/>
      <c r="AW813" s="4"/>
      <c r="AX813" s="4"/>
      <c r="AY813" s="4"/>
      <c r="AZ813" s="4"/>
      <c r="BA813" s="4"/>
      <c r="BB813" s="4"/>
      <c r="BC813" s="4"/>
      <c r="BD813" s="4"/>
      <c r="BE813" s="4"/>
      <c r="BF813" s="4"/>
      <c r="BG813" s="4"/>
      <c r="BH813" s="4"/>
    </row>
    <row r="814" spans="1:60">
      <c r="A814" s="4"/>
      <c r="B814" s="3"/>
      <c r="C814" s="3"/>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5"/>
      <c r="AT814" s="4"/>
      <c r="AU814" s="4"/>
      <c r="AV814" s="4"/>
      <c r="AW814" s="4"/>
      <c r="AX814" s="4"/>
      <c r="AY814" s="4"/>
      <c r="AZ814" s="4"/>
      <c r="BA814" s="4"/>
      <c r="BB814" s="4"/>
      <c r="BC814" s="4"/>
      <c r="BD814" s="4"/>
      <c r="BE814" s="4"/>
      <c r="BF814" s="4"/>
      <c r="BG814" s="4"/>
      <c r="BH814" s="4"/>
    </row>
    <row r="815" spans="1:60">
      <c r="A815" s="4"/>
      <c r="B815" s="3"/>
      <c r="C815" s="3"/>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5"/>
      <c r="AT815" s="4"/>
      <c r="AU815" s="4"/>
      <c r="AV815" s="4"/>
      <c r="AW815" s="4"/>
      <c r="AX815" s="4"/>
      <c r="AY815" s="4"/>
      <c r="AZ815" s="4"/>
      <c r="BA815" s="4"/>
      <c r="BB815" s="4"/>
      <c r="BC815" s="4"/>
      <c r="BD815" s="4"/>
      <c r="BE815" s="4"/>
      <c r="BF815" s="4"/>
      <c r="BG815" s="4"/>
      <c r="BH815" s="4"/>
    </row>
    <row r="816" spans="1:60">
      <c r="A816" s="4"/>
      <c r="B816" s="3"/>
      <c r="C816" s="3"/>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5"/>
      <c r="AT816" s="4"/>
      <c r="AU816" s="4"/>
      <c r="AV816" s="4"/>
      <c r="AW816" s="4"/>
      <c r="AX816" s="4"/>
      <c r="AY816" s="4"/>
      <c r="AZ816" s="4"/>
      <c r="BA816" s="4"/>
      <c r="BB816" s="4"/>
      <c r="BC816" s="4"/>
      <c r="BD816" s="4"/>
      <c r="BE816" s="4"/>
      <c r="BF816" s="4"/>
      <c r="BG816" s="4"/>
      <c r="BH816" s="4"/>
    </row>
    <row r="817" spans="1:60">
      <c r="A817" s="4"/>
      <c r="B817" s="3"/>
      <c r="C817" s="3"/>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5"/>
      <c r="AT817" s="4"/>
      <c r="AU817" s="4"/>
      <c r="AV817" s="4"/>
      <c r="AW817" s="4"/>
      <c r="AX817" s="4"/>
      <c r="AY817" s="4"/>
      <c r="AZ817" s="4"/>
      <c r="BA817" s="4"/>
      <c r="BB817" s="4"/>
      <c r="BC817" s="4"/>
      <c r="BD817" s="4"/>
      <c r="BE817" s="4"/>
      <c r="BF817" s="4"/>
      <c r="BG817" s="4"/>
      <c r="BH817" s="4"/>
    </row>
    <row r="818" spans="1:60">
      <c r="A818" s="4"/>
      <c r="B818" s="3"/>
      <c r="C818" s="3"/>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5"/>
      <c r="AT818" s="4"/>
      <c r="AU818" s="4"/>
      <c r="AV818" s="4"/>
      <c r="AW818" s="4"/>
      <c r="AX818" s="4"/>
      <c r="AY818" s="4"/>
      <c r="AZ818" s="4"/>
      <c r="BA818" s="4"/>
      <c r="BB818" s="4"/>
      <c r="BC818" s="4"/>
      <c r="BD818" s="4"/>
      <c r="BE818" s="4"/>
      <c r="BF818" s="4"/>
      <c r="BG818" s="4"/>
      <c r="BH818" s="4"/>
    </row>
    <row r="819" spans="1:60">
      <c r="A819" s="4"/>
      <c r="B819" s="3"/>
      <c r="C819" s="3"/>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5"/>
      <c r="AT819" s="4"/>
      <c r="AU819" s="4"/>
      <c r="AV819" s="4"/>
      <c r="AW819" s="4"/>
      <c r="AX819" s="4"/>
      <c r="AY819" s="4"/>
      <c r="AZ819" s="4"/>
      <c r="BA819" s="4"/>
      <c r="BB819" s="4"/>
      <c r="BC819" s="4"/>
      <c r="BD819" s="4"/>
      <c r="BE819" s="4"/>
      <c r="BF819" s="4"/>
      <c r="BG819" s="4"/>
      <c r="BH819" s="4"/>
    </row>
    <row r="820" spans="1:60">
      <c r="A820" s="4"/>
      <c r="B820" s="3"/>
      <c r="C820" s="3"/>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5"/>
      <c r="AT820" s="4"/>
      <c r="AU820" s="4"/>
      <c r="AV820" s="4"/>
      <c r="AW820" s="4"/>
      <c r="AX820" s="4"/>
      <c r="AY820" s="4"/>
      <c r="AZ820" s="4"/>
      <c r="BA820" s="4"/>
      <c r="BB820" s="4"/>
      <c r="BC820" s="4"/>
      <c r="BD820" s="4"/>
      <c r="BE820" s="4"/>
      <c r="BF820" s="4"/>
      <c r="BG820" s="4"/>
      <c r="BH820" s="4"/>
    </row>
    <row r="821" spans="1:60">
      <c r="A821" s="4"/>
      <c r="B821" s="3"/>
      <c r="C821" s="3"/>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5"/>
      <c r="AT821" s="4"/>
      <c r="AU821" s="4"/>
      <c r="AV821" s="4"/>
      <c r="AW821" s="4"/>
      <c r="AX821" s="4"/>
      <c r="AY821" s="4"/>
      <c r="AZ821" s="4"/>
      <c r="BA821" s="4"/>
      <c r="BB821" s="4"/>
      <c r="BC821" s="4"/>
      <c r="BD821" s="4"/>
      <c r="BE821" s="4"/>
      <c r="BF821" s="4"/>
      <c r="BG821" s="4"/>
      <c r="BH821" s="4"/>
    </row>
    <row r="822" spans="1:60">
      <c r="A822" s="4"/>
      <c r="B822" s="3"/>
      <c r="C822" s="3"/>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5"/>
      <c r="AT822" s="4"/>
      <c r="AU822" s="4"/>
      <c r="AV822" s="4"/>
      <c r="AW822" s="4"/>
      <c r="AX822" s="4"/>
      <c r="AY822" s="4"/>
      <c r="AZ822" s="4"/>
      <c r="BA822" s="4"/>
      <c r="BB822" s="4"/>
      <c r="BC822" s="4"/>
      <c r="BD822" s="4"/>
      <c r="BE822" s="4"/>
      <c r="BF822" s="4"/>
      <c r="BG822" s="4"/>
      <c r="BH822" s="4"/>
    </row>
    <row r="823" spans="1:60">
      <c r="A823" s="4"/>
      <c r="B823" s="3"/>
      <c r="C823" s="3"/>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5"/>
      <c r="AT823" s="4"/>
      <c r="AU823" s="4"/>
      <c r="AV823" s="4"/>
      <c r="AW823" s="4"/>
      <c r="AX823" s="4"/>
      <c r="AY823" s="4"/>
      <c r="AZ823" s="4"/>
      <c r="BA823" s="4"/>
      <c r="BB823" s="4"/>
      <c r="BC823" s="4"/>
      <c r="BD823" s="4"/>
      <c r="BE823" s="4"/>
      <c r="BF823" s="4"/>
      <c r="BG823" s="4"/>
      <c r="BH823" s="4"/>
    </row>
    <row r="824" spans="1:60">
      <c r="A824" s="4"/>
      <c r="B824" s="3"/>
      <c r="C824" s="3"/>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5"/>
      <c r="AT824" s="4"/>
      <c r="AU824" s="4"/>
      <c r="AV824" s="4"/>
      <c r="AW824" s="4"/>
      <c r="AX824" s="4"/>
      <c r="AY824" s="4"/>
      <c r="AZ824" s="4"/>
      <c r="BA824" s="4"/>
      <c r="BB824" s="4"/>
      <c r="BC824" s="4"/>
      <c r="BD824" s="4"/>
      <c r="BE824" s="4"/>
      <c r="BF824" s="4"/>
      <c r="BG824" s="4"/>
      <c r="BH824" s="4"/>
    </row>
    <row r="825" spans="1:60">
      <c r="A825" s="4"/>
      <c r="B825" s="3"/>
      <c r="C825" s="3"/>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5"/>
      <c r="AT825" s="4"/>
      <c r="AU825" s="4"/>
      <c r="AV825" s="4"/>
      <c r="AW825" s="4"/>
      <c r="AX825" s="4"/>
      <c r="AY825" s="4"/>
      <c r="AZ825" s="4"/>
      <c r="BA825" s="4"/>
      <c r="BB825" s="4"/>
      <c r="BC825" s="4"/>
      <c r="BD825" s="4"/>
      <c r="BE825" s="4"/>
      <c r="BF825" s="4"/>
      <c r="BG825" s="4"/>
      <c r="BH825" s="4"/>
    </row>
    <row r="826" spans="1:60">
      <c r="A826" s="4"/>
      <c r="B826" s="3"/>
      <c r="C826" s="3"/>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5"/>
      <c r="AT826" s="4"/>
      <c r="AU826" s="4"/>
      <c r="AV826" s="4"/>
      <c r="AW826" s="4"/>
      <c r="AX826" s="4"/>
      <c r="AY826" s="4"/>
      <c r="AZ826" s="4"/>
      <c r="BA826" s="4"/>
      <c r="BB826" s="4"/>
      <c r="BC826" s="4"/>
      <c r="BD826" s="4"/>
      <c r="BE826" s="4"/>
      <c r="BF826" s="4"/>
      <c r="BG826" s="4"/>
      <c r="BH826" s="4"/>
    </row>
    <row r="827" spans="1:60">
      <c r="A827" s="4"/>
      <c r="B827" s="3"/>
      <c r="C827" s="3"/>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5"/>
      <c r="AT827" s="4"/>
      <c r="AU827" s="4"/>
      <c r="AV827" s="4"/>
      <c r="AW827" s="4"/>
      <c r="AX827" s="4"/>
      <c r="AY827" s="4"/>
      <c r="AZ827" s="4"/>
      <c r="BA827" s="4"/>
      <c r="BB827" s="4"/>
      <c r="BC827" s="4"/>
      <c r="BD827" s="4"/>
      <c r="BE827" s="4"/>
      <c r="BF827" s="4"/>
      <c r="BG827" s="4"/>
      <c r="BH827" s="4"/>
    </row>
    <row r="828" spans="1:60">
      <c r="A828" s="4"/>
      <c r="B828" s="3"/>
      <c r="C828" s="3"/>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5"/>
      <c r="AT828" s="4"/>
      <c r="AU828" s="4"/>
      <c r="AV828" s="4"/>
      <c r="AW828" s="4"/>
      <c r="AX828" s="4"/>
      <c r="AY828" s="4"/>
      <c r="AZ828" s="4"/>
      <c r="BA828" s="4"/>
      <c r="BB828" s="4"/>
      <c r="BC828" s="4"/>
      <c r="BD828" s="4"/>
      <c r="BE828" s="4"/>
      <c r="BF828" s="4"/>
      <c r="BG828" s="4"/>
      <c r="BH828" s="4"/>
    </row>
    <row r="829" spans="1:60">
      <c r="A829" s="4"/>
      <c r="B829" s="3"/>
      <c r="C829" s="3"/>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5"/>
      <c r="AT829" s="4"/>
      <c r="AU829" s="4"/>
      <c r="AV829" s="4"/>
      <c r="AW829" s="4"/>
      <c r="AX829" s="4"/>
      <c r="AY829" s="4"/>
      <c r="AZ829" s="4"/>
      <c r="BA829" s="4"/>
      <c r="BB829" s="4"/>
      <c r="BC829" s="4"/>
      <c r="BD829" s="4"/>
      <c r="BE829" s="4"/>
      <c r="BF829" s="4"/>
      <c r="BG829" s="4"/>
      <c r="BH829" s="4"/>
    </row>
    <row r="830" spans="1:60">
      <c r="A830" s="4"/>
      <c r="B830" s="3"/>
      <c r="C830" s="3"/>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5"/>
      <c r="AT830" s="4"/>
      <c r="AU830" s="4"/>
      <c r="AV830" s="4"/>
      <c r="AW830" s="4"/>
      <c r="AX830" s="4"/>
      <c r="AY830" s="4"/>
      <c r="AZ830" s="4"/>
      <c r="BA830" s="4"/>
      <c r="BB830" s="4"/>
      <c r="BC830" s="4"/>
      <c r="BD830" s="4"/>
      <c r="BE830" s="4"/>
      <c r="BF830" s="4"/>
      <c r="BG830" s="4"/>
      <c r="BH830" s="4"/>
    </row>
    <row r="831" spans="1:60">
      <c r="A831" s="4"/>
      <c r="B831" s="3"/>
      <c r="C831" s="3"/>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5"/>
      <c r="AT831" s="4"/>
      <c r="AU831" s="4"/>
      <c r="AV831" s="4"/>
      <c r="AW831" s="4"/>
      <c r="AX831" s="4"/>
      <c r="AY831" s="4"/>
      <c r="AZ831" s="4"/>
      <c r="BA831" s="4"/>
      <c r="BB831" s="4"/>
      <c r="BC831" s="4"/>
      <c r="BD831" s="4"/>
      <c r="BE831" s="4"/>
      <c r="BF831" s="4"/>
      <c r="BG831" s="4"/>
      <c r="BH831" s="4"/>
    </row>
    <row r="832" spans="1:60">
      <c r="A832" s="4"/>
      <c r="B832" s="3"/>
      <c r="C832" s="3"/>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5"/>
      <c r="AT832" s="4"/>
      <c r="AU832" s="4"/>
      <c r="AV832" s="4"/>
      <c r="AW832" s="4"/>
      <c r="AX832" s="4"/>
      <c r="AY832" s="4"/>
      <c r="AZ832" s="4"/>
      <c r="BA832" s="4"/>
      <c r="BB832" s="4"/>
      <c r="BC832" s="4"/>
      <c r="BD832" s="4"/>
      <c r="BE832" s="4"/>
      <c r="BF832" s="4"/>
      <c r="BG832" s="4"/>
      <c r="BH832" s="4"/>
    </row>
    <row r="833" spans="1:60">
      <c r="A833" s="4"/>
      <c r="B833" s="3"/>
      <c r="C833" s="3"/>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5"/>
      <c r="AT833" s="4"/>
      <c r="AU833" s="4"/>
      <c r="AV833" s="4"/>
      <c r="AW833" s="4"/>
      <c r="AX833" s="4"/>
      <c r="AY833" s="4"/>
      <c r="AZ833" s="4"/>
      <c r="BA833" s="4"/>
      <c r="BB833" s="4"/>
      <c r="BC833" s="4"/>
      <c r="BD833" s="4"/>
      <c r="BE833" s="4"/>
      <c r="BF833" s="4"/>
      <c r="BG833" s="4"/>
      <c r="BH833" s="4"/>
    </row>
    <row r="834" spans="1:60">
      <c r="A834" s="4"/>
      <c r="B834" s="3"/>
      <c r="C834" s="3"/>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5"/>
      <c r="AT834" s="4"/>
      <c r="AU834" s="4"/>
      <c r="AV834" s="4"/>
      <c r="AW834" s="4"/>
      <c r="AX834" s="4"/>
      <c r="AY834" s="4"/>
      <c r="AZ834" s="4"/>
      <c r="BA834" s="4"/>
      <c r="BB834" s="4"/>
      <c r="BC834" s="4"/>
      <c r="BD834" s="4"/>
      <c r="BE834" s="4"/>
      <c r="BF834" s="4"/>
      <c r="BG834" s="4"/>
      <c r="BH834" s="4"/>
    </row>
    <row r="835" spans="1:60">
      <c r="A835" s="4"/>
      <c r="B835" s="3"/>
      <c r="C835" s="3"/>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5"/>
      <c r="AT835" s="4"/>
      <c r="AU835" s="4"/>
      <c r="AV835" s="4"/>
      <c r="AW835" s="4"/>
      <c r="AX835" s="4"/>
      <c r="AY835" s="4"/>
      <c r="AZ835" s="4"/>
      <c r="BA835" s="4"/>
      <c r="BB835" s="4"/>
      <c r="BC835" s="4"/>
      <c r="BD835" s="4"/>
      <c r="BE835" s="4"/>
      <c r="BF835" s="4"/>
      <c r="BG835" s="4"/>
      <c r="BH835" s="4"/>
    </row>
    <row r="836" spans="1:60">
      <c r="A836" s="4"/>
      <c r="B836" s="3"/>
      <c r="C836" s="3"/>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5"/>
      <c r="AT836" s="4"/>
      <c r="AU836" s="4"/>
      <c r="AV836" s="4"/>
      <c r="AW836" s="4"/>
      <c r="AX836" s="4"/>
      <c r="AY836" s="4"/>
      <c r="AZ836" s="4"/>
      <c r="BA836" s="4"/>
      <c r="BB836" s="4"/>
      <c r="BC836" s="4"/>
      <c r="BD836" s="4"/>
      <c r="BE836" s="4"/>
      <c r="BF836" s="4"/>
      <c r="BG836" s="4"/>
      <c r="BH836" s="4"/>
    </row>
    <row r="837" spans="1:60">
      <c r="A837" s="4"/>
      <c r="B837" s="3"/>
      <c r="C837" s="3"/>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5"/>
      <c r="AT837" s="4"/>
      <c r="AU837" s="4"/>
      <c r="AV837" s="4"/>
      <c r="AW837" s="4"/>
      <c r="AX837" s="4"/>
      <c r="AY837" s="4"/>
      <c r="AZ837" s="4"/>
      <c r="BA837" s="4"/>
      <c r="BB837" s="4"/>
      <c r="BC837" s="4"/>
      <c r="BD837" s="4"/>
      <c r="BE837" s="4"/>
      <c r="BF837" s="4"/>
      <c r="BG837" s="4"/>
      <c r="BH837" s="4"/>
    </row>
    <row r="838" spans="1:60">
      <c r="A838" s="4"/>
      <c r="B838" s="3"/>
      <c r="C838" s="3"/>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5"/>
      <c r="AT838" s="4"/>
      <c r="AU838" s="4"/>
      <c r="AV838" s="4"/>
      <c r="AW838" s="4"/>
      <c r="AX838" s="4"/>
      <c r="AY838" s="4"/>
      <c r="AZ838" s="4"/>
      <c r="BA838" s="4"/>
      <c r="BB838" s="4"/>
      <c r="BC838" s="4"/>
      <c r="BD838" s="4"/>
      <c r="BE838" s="4"/>
      <c r="BF838" s="4"/>
      <c r="BG838" s="4"/>
      <c r="BH838" s="4"/>
    </row>
    <row r="839" spans="1:60">
      <c r="A839" s="4"/>
      <c r="B839" s="3"/>
      <c r="C839" s="3"/>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5"/>
      <c r="AT839" s="4"/>
      <c r="AU839" s="4"/>
      <c r="AV839" s="4"/>
      <c r="AW839" s="4"/>
      <c r="AX839" s="4"/>
      <c r="AY839" s="4"/>
      <c r="AZ839" s="4"/>
      <c r="BA839" s="4"/>
      <c r="BB839" s="4"/>
      <c r="BC839" s="4"/>
      <c r="BD839" s="4"/>
      <c r="BE839" s="4"/>
      <c r="BF839" s="4"/>
      <c r="BG839" s="4"/>
      <c r="BH839" s="4"/>
    </row>
    <row r="840" spans="1:60">
      <c r="A840" s="4"/>
      <c r="B840" s="3"/>
      <c r="C840" s="3"/>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5"/>
      <c r="AT840" s="4"/>
      <c r="AU840" s="4"/>
      <c r="AV840" s="4"/>
      <c r="AW840" s="4"/>
      <c r="AX840" s="4"/>
      <c r="AY840" s="4"/>
      <c r="AZ840" s="4"/>
      <c r="BA840" s="4"/>
      <c r="BB840" s="4"/>
      <c r="BC840" s="4"/>
      <c r="BD840" s="4"/>
      <c r="BE840" s="4"/>
      <c r="BF840" s="4"/>
      <c r="BG840" s="4"/>
      <c r="BH840" s="4"/>
    </row>
    <row r="841" spans="1:60">
      <c r="A841" s="4"/>
      <c r="B841" s="3"/>
      <c r="C841" s="3"/>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5"/>
      <c r="AT841" s="4"/>
      <c r="AU841" s="4"/>
      <c r="AV841" s="4"/>
      <c r="AW841" s="4"/>
      <c r="AX841" s="4"/>
      <c r="AY841" s="4"/>
      <c r="AZ841" s="4"/>
      <c r="BA841" s="4"/>
      <c r="BB841" s="4"/>
      <c r="BC841" s="4"/>
      <c r="BD841" s="4"/>
      <c r="BE841" s="4"/>
      <c r="BF841" s="4"/>
      <c r="BG841" s="4"/>
      <c r="BH841" s="4"/>
    </row>
    <row r="842" spans="1:60">
      <c r="A842" s="4"/>
      <c r="B842" s="3"/>
      <c r="C842" s="3"/>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5"/>
      <c r="AT842" s="4"/>
      <c r="AU842" s="4"/>
      <c r="AV842" s="4"/>
      <c r="AW842" s="4"/>
      <c r="AX842" s="4"/>
      <c r="AY842" s="4"/>
      <c r="AZ842" s="4"/>
      <c r="BA842" s="4"/>
      <c r="BB842" s="4"/>
      <c r="BC842" s="4"/>
      <c r="BD842" s="4"/>
      <c r="BE842" s="4"/>
      <c r="BF842" s="4"/>
      <c r="BG842" s="4"/>
      <c r="BH842" s="4"/>
    </row>
    <row r="843" spans="1:60">
      <c r="A843" s="4"/>
      <c r="B843" s="3"/>
      <c r="C843" s="3"/>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5"/>
      <c r="AT843" s="4"/>
      <c r="AU843" s="4"/>
      <c r="AV843" s="4"/>
      <c r="AW843" s="4"/>
      <c r="AX843" s="4"/>
      <c r="AY843" s="4"/>
      <c r="AZ843" s="4"/>
      <c r="BA843" s="4"/>
      <c r="BB843" s="4"/>
      <c r="BC843" s="4"/>
      <c r="BD843" s="4"/>
      <c r="BE843" s="4"/>
      <c r="BF843" s="4"/>
      <c r="BG843" s="4"/>
      <c r="BH843" s="4"/>
    </row>
    <row r="844" spans="1:60">
      <c r="A844" s="4"/>
      <c r="B844" s="3"/>
      <c r="C844" s="3"/>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5"/>
      <c r="AT844" s="4"/>
      <c r="AU844" s="4"/>
      <c r="AV844" s="4"/>
      <c r="AW844" s="4"/>
      <c r="AX844" s="4"/>
      <c r="AY844" s="4"/>
      <c r="AZ844" s="4"/>
      <c r="BA844" s="4"/>
      <c r="BB844" s="4"/>
      <c r="BC844" s="4"/>
      <c r="BD844" s="4"/>
      <c r="BE844" s="4"/>
      <c r="BF844" s="4"/>
      <c r="BG844" s="4"/>
      <c r="BH844" s="4"/>
    </row>
    <row r="845" spans="1:60">
      <c r="A845" s="4"/>
      <c r="B845" s="3"/>
      <c r="C845" s="3"/>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5"/>
      <c r="AT845" s="4"/>
      <c r="AU845" s="4"/>
      <c r="AV845" s="4"/>
      <c r="AW845" s="4"/>
      <c r="AX845" s="4"/>
      <c r="AY845" s="4"/>
      <c r="AZ845" s="4"/>
      <c r="BA845" s="4"/>
      <c r="BB845" s="4"/>
      <c r="BC845" s="4"/>
      <c r="BD845" s="4"/>
      <c r="BE845" s="4"/>
      <c r="BF845" s="4"/>
      <c r="BG845" s="4"/>
      <c r="BH845" s="4"/>
    </row>
    <row r="846" spans="1:60">
      <c r="A846" s="4"/>
      <c r="B846" s="3"/>
      <c r="C846" s="3"/>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5"/>
      <c r="AT846" s="4"/>
      <c r="AU846" s="4"/>
      <c r="AV846" s="4"/>
      <c r="AW846" s="4"/>
      <c r="AX846" s="4"/>
      <c r="AY846" s="4"/>
      <c r="AZ846" s="4"/>
      <c r="BA846" s="4"/>
      <c r="BB846" s="4"/>
      <c r="BC846" s="4"/>
      <c r="BD846" s="4"/>
      <c r="BE846" s="4"/>
      <c r="BF846" s="4"/>
      <c r="BG846" s="4"/>
      <c r="BH846" s="4"/>
    </row>
    <row r="847" spans="1:60">
      <c r="A847" s="4"/>
      <c r="B847" s="3"/>
      <c r="C847" s="3"/>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5"/>
      <c r="AT847" s="4"/>
      <c r="AU847" s="4"/>
      <c r="AV847" s="4"/>
      <c r="AW847" s="4"/>
      <c r="AX847" s="4"/>
      <c r="AY847" s="4"/>
      <c r="AZ847" s="4"/>
      <c r="BA847" s="4"/>
      <c r="BB847" s="4"/>
      <c r="BC847" s="4"/>
      <c r="BD847" s="4"/>
      <c r="BE847" s="4"/>
      <c r="BF847" s="4"/>
      <c r="BG847" s="4"/>
      <c r="BH847" s="4"/>
    </row>
    <row r="848" spans="1:60">
      <c r="A848" s="4"/>
      <c r="B848" s="3"/>
      <c r="C848" s="3"/>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5"/>
      <c r="AT848" s="4"/>
      <c r="AU848" s="4"/>
      <c r="AV848" s="4"/>
      <c r="AW848" s="4"/>
      <c r="AX848" s="4"/>
      <c r="AY848" s="4"/>
      <c r="AZ848" s="4"/>
      <c r="BA848" s="4"/>
      <c r="BB848" s="4"/>
      <c r="BC848" s="4"/>
      <c r="BD848" s="4"/>
      <c r="BE848" s="4"/>
      <c r="BF848" s="4"/>
      <c r="BG848" s="4"/>
      <c r="BH848" s="4"/>
    </row>
    <row r="849" spans="1:60">
      <c r="A849" s="4"/>
      <c r="B849" s="3"/>
      <c r="C849" s="3"/>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5"/>
      <c r="AT849" s="4"/>
      <c r="AU849" s="4"/>
      <c r="AV849" s="4"/>
      <c r="AW849" s="4"/>
      <c r="AX849" s="4"/>
      <c r="AY849" s="4"/>
      <c r="AZ849" s="4"/>
      <c r="BA849" s="4"/>
      <c r="BB849" s="4"/>
      <c r="BC849" s="4"/>
      <c r="BD849" s="4"/>
      <c r="BE849" s="4"/>
      <c r="BF849" s="4"/>
      <c r="BG849" s="4"/>
      <c r="BH849" s="4"/>
    </row>
    <row r="850" spans="1:60">
      <c r="A850" s="4"/>
      <c r="B850" s="3"/>
      <c r="C850" s="3"/>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5"/>
      <c r="AT850" s="4"/>
      <c r="AU850" s="4"/>
      <c r="AV850" s="4"/>
      <c r="AW850" s="4"/>
      <c r="AX850" s="4"/>
      <c r="AY850" s="4"/>
      <c r="AZ850" s="4"/>
      <c r="BA850" s="4"/>
      <c r="BB850" s="4"/>
      <c r="BC850" s="4"/>
      <c r="BD850" s="4"/>
      <c r="BE850" s="4"/>
      <c r="BF850" s="4"/>
      <c r="BG850" s="4"/>
      <c r="BH850" s="4"/>
    </row>
    <row r="851" spans="1:60">
      <c r="A851" s="4"/>
      <c r="B851" s="3"/>
      <c r="C851" s="3"/>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5"/>
      <c r="AT851" s="4"/>
      <c r="AU851" s="4"/>
      <c r="AV851" s="4"/>
      <c r="AW851" s="4"/>
      <c r="AX851" s="4"/>
      <c r="AY851" s="4"/>
      <c r="AZ851" s="4"/>
      <c r="BA851" s="4"/>
      <c r="BB851" s="4"/>
      <c r="BC851" s="4"/>
      <c r="BD851" s="4"/>
      <c r="BE851" s="4"/>
      <c r="BF851" s="4"/>
      <c r="BG851" s="4"/>
      <c r="BH851" s="4"/>
    </row>
    <row r="852" spans="1:60">
      <c r="A852" s="4"/>
      <c r="B852" s="3"/>
      <c r="C852" s="3"/>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5"/>
      <c r="AT852" s="4"/>
      <c r="AU852" s="4"/>
      <c r="AV852" s="4"/>
      <c r="AW852" s="4"/>
      <c r="AX852" s="4"/>
      <c r="AY852" s="4"/>
      <c r="AZ852" s="4"/>
      <c r="BA852" s="4"/>
      <c r="BB852" s="4"/>
      <c r="BC852" s="4"/>
      <c r="BD852" s="4"/>
      <c r="BE852" s="4"/>
      <c r="BF852" s="4"/>
      <c r="BG852" s="4"/>
      <c r="BH852" s="4"/>
    </row>
    <row r="853" spans="1:60">
      <c r="A853" s="4"/>
      <c r="B853" s="3"/>
      <c r="C853" s="3"/>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5"/>
      <c r="AT853" s="4"/>
      <c r="AU853" s="4"/>
      <c r="AV853" s="4"/>
      <c r="AW853" s="4"/>
      <c r="AX853" s="4"/>
      <c r="AY853" s="4"/>
      <c r="AZ853" s="4"/>
      <c r="BA853" s="4"/>
      <c r="BB853" s="4"/>
      <c r="BC853" s="4"/>
      <c r="BD853" s="4"/>
      <c r="BE853" s="4"/>
      <c r="BF853" s="4"/>
      <c r="BG853" s="4"/>
      <c r="BH853" s="4"/>
    </row>
    <row r="854" spans="1:60">
      <c r="A854" s="4"/>
      <c r="B854" s="3"/>
      <c r="C854" s="3"/>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5"/>
      <c r="AT854" s="4"/>
      <c r="AU854" s="4"/>
      <c r="AV854" s="4"/>
      <c r="AW854" s="4"/>
      <c r="AX854" s="4"/>
      <c r="AY854" s="4"/>
      <c r="AZ854" s="4"/>
      <c r="BA854" s="4"/>
      <c r="BB854" s="4"/>
      <c r="BC854" s="4"/>
      <c r="BD854" s="4"/>
      <c r="BE854" s="4"/>
      <c r="BF854" s="4"/>
      <c r="BG854" s="4"/>
      <c r="BH854" s="4"/>
    </row>
    <row r="855" spans="1:60">
      <c r="A855" s="4"/>
      <c r="B855" s="3"/>
      <c r="C855" s="3"/>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5"/>
      <c r="AT855" s="4"/>
      <c r="AU855" s="4"/>
      <c r="AV855" s="4"/>
      <c r="AW855" s="4"/>
      <c r="AX855" s="4"/>
      <c r="AY855" s="4"/>
      <c r="AZ855" s="4"/>
      <c r="BA855" s="4"/>
      <c r="BB855" s="4"/>
      <c r="BC855" s="4"/>
      <c r="BD855" s="4"/>
      <c r="BE855" s="4"/>
      <c r="BF855" s="4"/>
      <c r="BG855" s="4"/>
      <c r="BH855" s="4"/>
    </row>
    <row r="856" spans="1:60">
      <c r="A856" s="4"/>
      <c r="B856" s="3"/>
      <c r="C856" s="3"/>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5"/>
      <c r="AT856" s="4"/>
      <c r="AU856" s="4"/>
      <c r="AV856" s="4"/>
      <c r="AW856" s="4"/>
      <c r="AX856" s="4"/>
      <c r="AY856" s="4"/>
      <c r="AZ856" s="4"/>
      <c r="BA856" s="4"/>
      <c r="BB856" s="4"/>
      <c r="BC856" s="4"/>
      <c r="BD856" s="4"/>
      <c r="BE856" s="4"/>
      <c r="BF856" s="4"/>
      <c r="BG856" s="4"/>
      <c r="BH856" s="4"/>
    </row>
    <row r="857" spans="1:60">
      <c r="A857" s="4"/>
      <c r="B857" s="3"/>
      <c r="C857" s="3"/>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5"/>
      <c r="AT857" s="4"/>
      <c r="AU857" s="4"/>
      <c r="AV857" s="4"/>
      <c r="AW857" s="4"/>
      <c r="AX857" s="4"/>
      <c r="AY857" s="4"/>
      <c r="AZ857" s="4"/>
      <c r="BA857" s="4"/>
      <c r="BB857" s="4"/>
      <c r="BC857" s="4"/>
      <c r="BD857" s="4"/>
      <c r="BE857" s="4"/>
      <c r="BF857" s="4"/>
      <c r="BG857" s="4"/>
      <c r="BH857" s="4"/>
    </row>
    <row r="858" spans="1:60">
      <c r="A858" s="4"/>
      <c r="B858" s="3"/>
      <c r="C858" s="3"/>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5"/>
      <c r="AT858" s="4"/>
      <c r="AU858" s="4"/>
      <c r="AV858" s="4"/>
      <c r="AW858" s="4"/>
      <c r="AX858" s="4"/>
      <c r="AY858" s="4"/>
      <c r="AZ858" s="4"/>
      <c r="BA858" s="4"/>
      <c r="BB858" s="4"/>
      <c r="BC858" s="4"/>
      <c r="BD858" s="4"/>
      <c r="BE858" s="4"/>
      <c r="BF858" s="4"/>
      <c r="BG858" s="4"/>
      <c r="BH858" s="4"/>
    </row>
    <row r="859" spans="1:60">
      <c r="A859" s="4"/>
      <c r="B859" s="3"/>
      <c r="C859" s="3"/>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5"/>
      <c r="AT859" s="4"/>
      <c r="AU859" s="4"/>
      <c r="AV859" s="4"/>
      <c r="AW859" s="4"/>
      <c r="AX859" s="4"/>
      <c r="AY859" s="4"/>
      <c r="AZ859" s="4"/>
      <c r="BA859" s="4"/>
      <c r="BB859" s="4"/>
      <c r="BC859" s="4"/>
      <c r="BD859" s="4"/>
      <c r="BE859" s="4"/>
      <c r="BF859" s="4"/>
      <c r="BG859" s="4"/>
      <c r="BH859" s="4"/>
    </row>
    <row r="860" spans="1:60">
      <c r="A860" s="4"/>
      <c r="B860" s="3"/>
      <c r="C860" s="3"/>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5"/>
      <c r="AT860" s="4"/>
      <c r="AU860" s="4"/>
      <c r="AV860" s="4"/>
      <c r="AW860" s="4"/>
      <c r="AX860" s="4"/>
      <c r="AY860" s="4"/>
      <c r="AZ860" s="4"/>
      <c r="BA860" s="4"/>
      <c r="BB860" s="4"/>
      <c r="BC860" s="4"/>
      <c r="BD860" s="4"/>
      <c r="BE860" s="4"/>
      <c r="BF860" s="4"/>
      <c r="BG860" s="4"/>
      <c r="BH860" s="4"/>
    </row>
    <row r="861" spans="1:60">
      <c r="A861" s="4"/>
      <c r="B861" s="3"/>
      <c r="C861" s="3"/>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5"/>
      <c r="AT861" s="4"/>
      <c r="AU861" s="4"/>
      <c r="AV861" s="4"/>
      <c r="AW861" s="4"/>
      <c r="AX861" s="4"/>
      <c r="AY861" s="4"/>
      <c r="AZ861" s="4"/>
      <c r="BA861" s="4"/>
      <c r="BB861" s="4"/>
      <c r="BC861" s="4"/>
      <c r="BD861" s="4"/>
      <c r="BE861" s="4"/>
      <c r="BF861" s="4"/>
      <c r="BG861" s="4"/>
      <c r="BH861" s="4"/>
    </row>
    <row r="862" spans="1:60">
      <c r="A862" s="4"/>
      <c r="B862" s="3"/>
      <c r="C862" s="3"/>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5"/>
      <c r="AT862" s="4"/>
      <c r="AU862" s="4"/>
      <c r="AV862" s="4"/>
      <c r="AW862" s="4"/>
      <c r="AX862" s="4"/>
      <c r="AY862" s="4"/>
      <c r="AZ862" s="4"/>
      <c r="BA862" s="4"/>
      <c r="BB862" s="4"/>
      <c r="BC862" s="4"/>
      <c r="BD862" s="4"/>
      <c r="BE862" s="4"/>
      <c r="BF862" s="4"/>
      <c r="BG862" s="4"/>
      <c r="BH862" s="4"/>
    </row>
    <row r="863" spans="1:60">
      <c r="A863" s="4"/>
      <c r="B863" s="3"/>
      <c r="C863" s="3"/>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5"/>
      <c r="AT863" s="4"/>
      <c r="AU863" s="4"/>
      <c r="AV863" s="4"/>
      <c r="AW863" s="4"/>
      <c r="AX863" s="4"/>
      <c r="AY863" s="4"/>
      <c r="AZ863" s="4"/>
      <c r="BA863" s="4"/>
      <c r="BB863" s="4"/>
      <c r="BC863" s="4"/>
      <c r="BD863" s="4"/>
      <c r="BE863" s="4"/>
      <c r="BF863" s="4"/>
      <c r="BG863" s="4"/>
      <c r="BH863" s="4"/>
    </row>
    <row r="864" spans="1:60">
      <c r="A864" s="4"/>
      <c r="B864" s="3"/>
      <c r="C864" s="3"/>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5"/>
      <c r="AT864" s="4"/>
      <c r="AU864" s="4"/>
      <c r="AV864" s="4"/>
      <c r="AW864" s="4"/>
      <c r="AX864" s="4"/>
      <c r="AY864" s="4"/>
      <c r="AZ864" s="4"/>
      <c r="BA864" s="4"/>
      <c r="BB864" s="4"/>
      <c r="BC864" s="4"/>
      <c r="BD864" s="4"/>
      <c r="BE864" s="4"/>
      <c r="BF864" s="4"/>
      <c r="BG864" s="4"/>
      <c r="BH864" s="4"/>
    </row>
    <row r="865" spans="1:60">
      <c r="A865" s="4"/>
      <c r="B865" s="3"/>
      <c r="C865" s="3"/>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5"/>
      <c r="AT865" s="4"/>
      <c r="AU865" s="4"/>
      <c r="AV865" s="4"/>
      <c r="AW865" s="4"/>
      <c r="AX865" s="4"/>
      <c r="AY865" s="4"/>
      <c r="AZ865" s="4"/>
      <c r="BA865" s="4"/>
      <c r="BB865" s="4"/>
      <c r="BC865" s="4"/>
      <c r="BD865" s="4"/>
      <c r="BE865" s="4"/>
      <c r="BF865" s="4"/>
      <c r="BG865" s="4"/>
      <c r="BH865" s="4"/>
    </row>
    <row r="866" spans="1:60">
      <c r="A866" s="4"/>
      <c r="B866" s="3"/>
      <c r="C866" s="3"/>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5"/>
      <c r="AT866" s="4"/>
      <c r="AU866" s="4"/>
      <c r="AV866" s="4"/>
      <c r="AW866" s="4"/>
      <c r="AX866" s="4"/>
      <c r="AY866" s="4"/>
      <c r="AZ866" s="4"/>
      <c r="BA866" s="4"/>
      <c r="BB866" s="4"/>
      <c r="BC866" s="4"/>
      <c r="BD866" s="4"/>
      <c r="BE866" s="4"/>
      <c r="BF866" s="4"/>
      <c r="BG866" s="4"/>
      <c r="BH866" s="4"/>
    </row>
    <row r="867" spans="1:60">
      <c r="A867" s="4"/>
      <c r="B867" s="3"/>
      <c r="C867" s="3"/>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5"/>
      <c r="AT867" s="4"/>
      <c r="AU867" s="4"/>
      <c r="AV867" s="4"/>
      <c r="AW867" s="4"/>
      <c r="AX867" s="4"/>
      <c r="AY867" s="4"/>
      <c r="AZ867" s="4"/>
      <c r="BA867" s="4"/>
      <c r="BB867" s="4"/>
      <c r="BC867" s="4"/>
      <c r="BD867" s="4"/>
      <c r="BE867" s="4"/>
      <c r="BF867" s="4"/>
      <c r="BG867" s="4"/>
      <c r="BH867" s="4"/>
    </row>
    <row r="868" spans="1:60">
      <c r="A868" s="4"/>
      <c r="B868" s="3"/>
      <c r="C868" s="3"/>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5"/>
      <c r="AT868" s="4"/>
      <c r="AU868" s="4"/>
      <c r="AV868" s="4"/>
      <c r="AW868" s="4"/>
      <c r="AX868" s="4"/>
      <c r="AY868" s="4"/>
      <c r="AZ868" s="4"/>
      <c r="BA868" s="4"/>
      <c r="BB868" s="4"/>
      <c r="BC868" s="4"/>
      <c r="BD868" s="4"/>
      <c r="BE868" s="4"/>
      <c r="BF868" s="4"/>
      <c r="BG868" s="4"/>
      <c r="BH868" s="4"/>
    </row>
    <row r="869" spans="1:60">
      <c r="A869" s="4"/>
      <c r="B869" s="3"/>
      <c r="C869" s="3"/>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5"/>
      <c r="AT869" s="4"/>
      <c r="AU869" s="4"/>
      <c r="AV869" s="4"/>
      <c r="AW869" s="4"/>
      <c r="AX869" s="4"/>
      <c r="AY869" s="4"/>
      <c r="AZ869" s="4"/>
      <c r="BA869" s="4"/>
      <c r="BB869" s="4"/>
      <c r="BC869" s="4"/>
      <c r="BD869" s="4"/>
      <c r="BE869" s="4"/>
      <c r="BF869" s="4"/>
      <c r="BG869" s="4"/>
      <c r="BH869" s="4"/>
    </row>
    <row r="870" spans="1:60">
      <c r="A870" s="4"/>
      <c r="B870" s="3"/>
      <c r="C870" s="3"/>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5"/>
      <c r="AT870" s="4"/>
      <c r="AU870" s="4"/>
      <c r="AV870" s="4"/>
      <c r="AW870" s="4"/>
      <c r="AX870" s="4"/>
      <c r="AY870" s="4"/>
      <c r="AZ870" s="4"/>
      <c r="BA870" s="4"/>
      <c r="BB870" s="4"/>
      <c r="BC870" s="4"/>
      <c r="BD870" s="4"/>
      <c r="BE870" s="4"/>
      <c r="BF870" s="4"/>
      <c r="BG870" s="4"/>
      <c r="BH870" s="4"/>
    </row>
    <row r="871" spans="1:60">
      <c r="A871" s="4"/>
      <c r="B871" s="3"/>
      <c r="C871" s="3"/>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5"/>
      <c r="AT871" s="4"/>
      <c r="AU871" s="4"/>
      <c r="AV871" s="4"/>
      <c r="AW871" s="4"/>
      <c r="AX871" s="4"/>
      <c r="AY871" s="4"/>
      <c r="AZ871" s="4"/>
      <c r="BA871" s="4"/>
      <c r="BB871" s="4"/>
      <c r="BC871" s="4"/>
      <c r="BD871" s="4"/>
      <c r="BE871" s="4"/>
      <c r="BF871" s="4"/>
      <c r="BG871" s="4"/>
      <c r="BH871" s="4"/>
    </row>
    <row r="872" spans="1:60">
      <c r="A872" s="4"/>
      <c r="B872" s="3"/>
      <c r="C872" s="3"/>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5"/>
      <c r="AT872" s="4"/>
      <c r="AU872" s="4"/>
      <c r="AV872" s="4"/>
      <c r="AW872" s="4"/>
      <c r="AX872" s="4"/>
      <c r="AY872" s="4"/>
      <c r="AZ872" s="4"/>
      <c r="BA872" s="4"/>
      <c r="BB872" s="4"/>
      <c r="BC872" s="4"/>
      <c r="BD872" s="4"/>
      <c r="BE872" s="4"/>
      <c r="BF872" s="4"/>
      <c r="BG872" s="4"/>
      <c r="BH872" s="4"/>
    </row>
    <row r="873" spans="1:60">
      <c r="A873" s="4"/>
      <c r="B873" s="3"/>
      <c r="C873" s="3"/>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5"/>
      <c r="AT873" s="4"/>
      <c r="AU873" s="4"/>
      <c r="AV873" s="4"/>
      <c r="AW873" s="4"/>
      <c r="AX873" s="4"/>
      <c r="AY873" s="4"/>
      <c r="AZ873" s="4"/>
      <c r="BA873" s="4"/>
      <c r="BB873" s="4"/>
      <c r="BC873" s="4"/>
      <c r="BD873" s="4"/>
      <c r="BE873" s="4"/>
      <c r="BF873" s="4"/>
      <c r="BG873" s="4"/>
      <c r="BH873" s="4"/>
    </row>
    <row r="874" spans="1:60">
      <c r="A874" s="4"/>
      <c r="B874" s="3"/>
      <c r="C874" s="3"/>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5"/>
      <c r="AT874" s="4"/>
      <c r="AU874" s="4"/>
      <c r="AV874" s="4"/>
      <c r="AW874" s="4"/>
      <c r="AX874" s="4"/>
      <c r="AY874" s="4"/>
      <c r="AZ874" s="4"/>
      <c r="BA874" s="4"/>
      <c r="BB874" s="4"/>
      <c r="BC874" s="4"/>
      <c r="BD874" s="4"/>
      <c r="BE874" s="4"/>
      <c r="BF874" s="4"/>
      <c r="BG874" s="4"/>
      <c r="BH874" s="4"/>
    </row>
    <row r="875" spans="1:60">
      <c r="A875" s="4"/>
      <c r="B875" s="3"/>
      <c r="C875" s="3"/>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5"/>
      <c r="AT875" s="4"/>
      <c r="AU875" s="4"/>
      <c r="AV875" s="4"/>
      <c r="AW875" s="4"/>
      <c r="AX875" s="4"/>
      <c r="AY875" s="4"/>
      <c r="AZ875" s="4"/>
      <c r="BA875" s="4"/>
      <c r="BB875" s="4"/>
      <c r="BC875" s="4"/>
      <c r="BD875" s="4"/>
      <c r="BE875" s="4"/>
      <c r="BF875" s="4"/>
      <c r="BG875" s="4"/>
      <c r="BH875" s="4"/>
    </row>
    <row r="876" spans="1:60">
      <c r="A876" s="4"/>
      <c r="B876" s="3"/>
      <c r="C876" s="3"/>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5"/>
      <c r="AT876" s="4"/>
      <c r="AU876" s="4"/>
      <c r="AV876" s="4"/>
      <c r="AW876" s="4"/>
      <c r="AX876" s="4"/>
      <c r="AY876" s="4"/>
      <c r="AZ876" s="4"/>
      <c r="BA876" s="4"/>
      <c r="BB876" s="4"/>
      <c r="BC876" s="4"/>
      <c r="BD876" s="4"/>
      <c r="BE876" s="4"/>
      <c r="BF876" s="4"/>
      <c r="BG876" s="4"/>
      <c r="BH876" s="4"/>
    </row>
    <row r="877" spans="1:60">
      <c r="A877" s="4"/>
      <c r="B877" s="3"/>
      <c r="C877" s="3"/>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5"/>
      <c r="AT877" s="4"/>
      <c r="AU877" s="4"/>
      <c r="AV877" s="4"/>
      <c r="AW877" s="4"/>
      <c r="AX877" s="4"/>
      <c r="AY877" s="4"/>
      <c r="AZ877" s="4"/>
      <c r="BA877" s="4"/>
      <c r="BB877" s="4"/>
      <c r="BC877" s="4"/>
      <c r="BD877" s="4"/>
      <c r="BE877" s="4"/>
      <c r="BF877" s="4"/>
      <c r="BG877" s="4"/>
      <c r="BH877" s="4"/>
    </row>
    <row r="878" spans="1:60">
      <c r="A878" s="4"/>
      <c r="B878" s="3"/>
      <c r="C878" s="3"/>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5"/>
      <c r="AT878" s="4"/>
      <c r="AU878" s="4"/>
      <c r="AV878" s="4"/>
      <c r="AW878" s="4"/>
      <c r="AX878" s="4"/>
      <c r="AY878" s="4"/>
      <c r="AZ878" s="4"/>
      <c r="BA878" s="4"/>
      <c r="BB878" s="4"/>
      <c r="BC878" s="4"/>
      <c r="BD878" s="4"/>
      <c r="BE878" s="4"/>
      <c r="BF878" s="4"/>
      <c r="BG878" s="4"/>
      <c r="BH878" s="4"/>
    </row>
    <row r="879" spans="1:60">
      <c r="A879" s="4"/>
      <c r="B879" s="3"/>
      <c r="C879" s="3"/>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5"/>
      <c r="AT879" s="4"/>
      <c r="AU879" s="4"/>
      <c r="AV879" s="4"/>
      <c r="AW879" s="4"/>
      <c r="AX879" s="4"/>
      <c r="AY879" s="4"/>
      <c r="AZ879" s="4"/>
      <c r="BA879" s="4"/>
      <c r="BB879" s="4"/>
      <c r="BC879" s="4"/>
      <c r="BD879" s="4"/>
      <c r="BE879" s="4"/>
      <c r="BF879" s="4"/>
      <c r="BG879" s="4"/>
      <c r="BH879" s="4"/>
    </row>
    <row r="880" spans="1:60">
      <c r="A880" s="4"/>
      <c r="B880" s="3"/>
      <c r="C880" s="3"/>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5"/>
      <c r="AT880" s="4"/>
      <c r="AU880" s="4"/>
      <c r="AV880" s="4"/>
      <c r="AW880" s="4"/>
      <c r="AX880" s="4"/>
      <c r="AY880" s="4"/>
      <c r="AZ880" s="4"/>
      <c r="BA880" s="4"/>
      <c r="BB880" s="4"/>
      <c r="BC880" s="4"/>
      <c r="BD880" s="4"/>
      <c r="BE880" s="4"/>
      <c r="BF880" s="4"/>
      <c r="BG880" s="4"/>
      <c r="BH880" s="4"/>
    </row>
    <row r="881" spans="1:60">
      <c r="A881" s="4"/>
      <c r="B881" s="3"/>
      <c r="C881" s="3"/>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5"/>
      <c r="AT881" s="4"/>
      <c r="AU881" s="4"/>
      <c r="AV881" s="4"/>
      <c r="AW881" s="4"/>
      <c r="AX881" s="4"/>
      <c r="AY881" s="4"/>
      <c r="AZ881" s="4"/>
      <c r="BA881" s="4"/>
      <c r="BB881" s="4"/>
      <c r="BC881" s="4"/>
      <c r="BD881" s="4"/>
      <c r="BE881" s="4"/>
      <c r="BF881" s="4"/>
      <c r="BG881" s="4"/>
      <c r="BH881" s="4"/>
    </row>
    <row r="882" spans="1:60">
      <c r="A882" s="4"/>
      <c r="B882" s="3"/>
      <c r="C882" s="3"/>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5"/>
      <c r="AT882" s="4"/>
      <c r="AU882" s="4"/>
      <c r="AV882" s="4"/>
      <c r="AW882" s="4"/>
      <c r="AX882" s="4"/>
      <c r="AY882" s="4"/>
      <c r="AZ882" s="4"/>
      <c r="BA882" s="4"/>
      <c r="BB882" s="4"/>
      <c r="BC882" s="4"/>
      <c r="BD882" s="4"/>
      <c r="BE882" s="4"/>
      <c r="BF882" s="4"/>
      <c r="BG882" s="4"/>
      <c r="BH882" s="4"/>
    </row>
    <row r="883" spans="1:60">
      <c r="A883" s="4"/>
      <c r="B883" s="3"/>
      <c r="C883" s="3"/>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5"/>
      <c r="AT883" s="4"/>
      <c r="AU883" s="4"/>
      <c r="AV883" s="4"/>
      <c r="AW883" s="4"/>
      <c r="AX883" s="4"/>
      <c r="AY883" s="4"/>
      <c r="AZ883" s="4"/>
      <c r="BA883" s="4"/>
      <c r="BB883" s="4"/>
      <c r="BC883" s="4"/>
      <c r="BD883" s="4"/>
      <c r="BE883" s="4"/>
      <c r="BF883" s="4"/>
      <c r="BG883" s="4"/>
      <c r="BH883" s="4"/>
    </row>
    <row r="884" spans="1:60">
      <c r="A884" s="4"/>
      <c r="B884" s="3"/>
      <c r="C884" s="3"/>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5"/>
      <c r="AT884" s="4"/>
      <c r="AU884" s="4"/>
      <c r="AV884" s="4"/>
      <c r="AW884" s="4"/>
      <c r="AX884" s="4"/>
      <c r="AY884" s="4"/>
      <c r="AZ884" s="4"/>
      <c r="BA884" s="4"/>
      <c r="BB884" s="4"/>
      <c r="BC884" s="4"/>
      <c r="BD884" s="4"/>
      <c r="BE884" s="4"/>
      <c r="BF884" s="4"/>
      <c r="BG884" s="4"/>
      <c r="BH884" s="4"/>
    </row>
    <row r="885" spans="1:60">
      <c r="A885" s="4"/>
      <c r="B885" s="3"/>
      <c r="C885" s="3"/>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5"/>
      <c r="AT885" s="4"/>
      <c r="AU885" s="4"/>
      <c r="AV885" s="4"/>
      <c r="AW885" s="4"/>
      <c r="AX885" s="4"/>
      <c r="AY885" s="4"/>
      <c r="AZ885" s="4"/>
      <c r="BA885" s="4"/>
      <c r="BB885" s="4"/>
      <c r="BC885" s="4"/>
      <c r="BD885" s="4"/>
      <c r="BE885" s="4"/>
      <c r="BF885" s="4"/>
      <c r="BG885" s="4"/>
      <c r="BH885" s="4"/>
    </row>
    <row r="886" spans="1:60">
      <c r="A886" s="4"/>
      <c r="B886" s="3"/>
      <c r="C886" s="3"/>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5"/>
      <c r="AT886" s="4"/>
      <c r="AU886" s="4"/>
      <c r="AV886" s="4"/>
      <c r="AW886" s="4"/>
      <c r="AX886" s="4"/>
      <c r="AY886" s="4"/>
      <c r="AZ886" s="4"/>
      <c r="BA886" s="4"/>
      <c r="BB886" s="4"/>
      <c r="BC886" s="4"/>
      <c r="BD886" s="4"/>
      <c r="BE886" s="4"/>
      <c r="BF886" s="4"/>
      <c r="BG886" s="4"/>
      <c r="BH886" s="4"/>
    </row>
    <row r="887" spans="1:60">
      <c r="A887" s="4"/>
      <c r="B887" s="3"/>
      <c r="C887" s="3"/>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5"/>
      <c r="AT887" s="4"/>
      <c r="AU887" s="4"/>
      <c r="AV887" s="4"/>
      <c r="AW887" s="4"/>
      <c r="AX887" s="4"/>
      <c r="AY887" s="4"/>
      <c r="AZ887" s="4"/>
      <c r="BA887" s="4"/>
      <c r="BB887" s="4"/>
      <c r="BC887" s="4"/>
      <c r="BD887" s="4"/>
      <c r="BE887" s="4"/>
      <c r="BF887" s="4"/>
      <c r="BG887" s="4"/>
      <c r="BH887" s="4"/>
    </row>
    <row r="888" spans="1:60">
      <c r="A888" s="4"/>
      <c r="B888" s="3"/>
      <c r="C888" s="3"/>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5"/>
      <c r="AT888" s="4"/>
      <c r="AU888" s="4"/>
      <c r="AV888" s="4"/>
      <c r="AW888" s="4"/>
      <c r="AX888" s="4"/>
      <c r="AY888" s="4"/>
      <c r="AZ888" s="4"/>
      <c r="BA888" s="4"/>
      <c r="BB888" s="4"/>
      <c r="BC888" s="4"/>
      <c r="BD888" s="4"/>
      <c r="BE888" s="4"/>
      <c r="BF888" s="4"/>
      <c r="BG888" s="4"/>
      <c r="BH888" s="4"/>
    </row>
    <row r="889" spans="1:60">
      <c r="A889" s="4"/>
      <c r="B889" s="3"/>
      <c r="C889" s="3"/>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5"/>
      <c r="AT889" s="4"/>
      <c r="AU889" s="4"/>
      <c r="AV889" s="4"/>
      <c r="AW889" s="4"/>
      <c r="AX889" s="4"/>
      <c r="AY889" s="4"/>
      <c r="AZ889" s="4"/>
      <c r="BA889" s="4"/>
      <c r="BB889" s="4"/>
      <c r="BC889" s="4"/>
      <c r="BD889" s="4"/>
      <c r="BE889" s="4"/>
      <c r="BF889" s="4"/>
      <c r="BG889" s="4"/>
      <c r="BH889" s="4"/>
    </row>
    <row r="890" spans="1:60">
      <c r="A890" s="4"/>
      <c r="B890" s="3"/>
      <c r="C890" s="3"/>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5"/>
      <c r="AT890" s="4"/>
      <c r="AU890" s="4"/>
      <c r="AV890" s="4"/>
      <c r="AW890" s="4"/>
      <c r="AX890" s="4"/>
      <c r="AY890" s="4"/>
      <c r="AZ890" s="4"/>
      <c r="BA890" s="4"/>
      <c r="BB890" s="4"/>
      <c r="BC890" s="4"/>
      <c r="BD890" s="4"/>
      <c r="BE890" s="4"/>
      <c r="BF890" s="4"/>
      <c r="BG890" s="4"/>
      <c r="BH890" s="4"/>
    </row>
    <row r="891" spans="1:60">
      <c r="A891" s="4"/>
      <c r="B891" s="3"/>
      <c r="C891" s="3"/>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5"/>
      <c r="AT891" s="4"/>
      <c r="AU891" s="4"/>
      <c r="AV891" s="4"/>
      <c r="AW891" s="4"/>
      <c r="AX891" s="4"/>
      <c r="AY891" s="4"/>
      <c r="AZ891" s="4"/>
      <c r="BA891" s="4"/>
      <c r="BB891" s="4"/>
      <c r="BC891" s="4"/>
      <c r="BD891" s="4"/>
      <c r="BE891" s="4"/>
      <c r="BF891" s="4"/>
      <c r="BG891" s="4"/>
      <c r="BH891" s="4"/>
    </row>
    <row r="892" spans="1:60">
      <c r="A892" s="4"/>
      <c r="B892" s="3"/>
      <c r="C892" s="3"/>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5"/>
      <c r="AT892" s="4"/>
      <c r="AU892" s="4"/>
      <c r="AV892" s="4"/>
      <c r="AW892" s="4"/>
      <c r="AX892" s="4"/>
      <c r="AY892" s="4"/>
      <c r="AZ892" s="4"/>
      <c r="BA892" s="4"/>
      <c r="BB892" s="4"/>
      <c r="BC892" s="4"/>
      <c r="BD892" s="4"/>
      <c r="BE892" s="4"/>
      <c r="BF892" s="4"/>
      <c r="BG892" s="4"/>
      <c r="BH892" s="4"/>
    </row>
    <row r="893" spans="1:60">
      <c r="A893" s="4"/>
      <c r="B893" s="3"/>
      <c r="C893" s="3"/>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5"/>
      <c r="AT893" s="4"/>
      <c r="AU893" s="4"/>
      <c r="AV893" s="4"/>
      <c r="AW893" s="4"/>
      <c r="AX893" s="4"/>
      <c r="AY893" s="4"/>
      <c r="AZ893" s="4"/>
      <c r="BA893" s="4"/>
      <c r="BB893" s="4"/>
      <c r="BC893" s="4"/>
      <c r="BD893" s="4"/>
      <c r="BE893" s="4"/>
      <c r="BF893" s="4"/>
      <c r="BG893" s="4"/>
      <c r="BH893" s="4"/>
    </row>
    <row r="894" spans="1:60">
      <c r="A894" s="4"/>
      <c r="B894" s="3"/>
      <c r="C894" s="3"/>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5"/>
      <c r="AT894" s="4"/>
      <c r="AU894" s="4"/>
      <c r="AV894" s="4"/>
      <c r="AW894" s="4"/>
      <c r="AX894" s="4"/>
      <c r="AY894" s="4"/>
      <c r="AZ894" s="4"/>
      <c r="BA894" s="4"/>
      <c r="BB894" s="4"/>
      <c r="BC894" s="4"/>
      <c r="BD894" s="4"/>
      <c r="BE894" s="4"/>
      <c r="BF894" s="4"/>
      <c r="BG894" s="4"/>
      <c r="BH894" s="4"/>
    </row>
    <row r="895" spans="1:60">
      <c r="A895" s="4"/>
      <c r="B895" s="3"/>
      <c r="C895" s="3"/>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5"/>
      <c r="AT895" s="4"/>
      <c r="AU895" s="4"/>
      <c r="AV895" s="4"/>
      <c r="AW895" s="4"/>
      <c r="AX895" s="4"/>
      <c r="AY895" s="4"/>
      <c r="AZ895" s="4"/>
      <c r="BA895" s="4"/>
      <c r="BB895" s="4"/>
      <c r="BC895" s="4"/>
      <c r="BD895" s="4"/>
      <c r="BE895" s="4"/>
      <c r="BF895" s="4"/>
      <c r="BG895" s="4"/>
      <c r="BH895" s="4"/>
    </row>
    <row r="896" spans="1:60">
      <c r="A896" s="4"/>
      <c r="B896" s="3"/>
      <c r="C896" s="3"/>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5"/>
      <c r="AT896" s="4"/>
      <c r="AU896" s="4"/>
      <c r="AV896" s="4"/>
      <c r="AW896" s="4"/>
      <c r="AX896" s="4"/>
      <c r="AY896" s="4"/>
      <c r="AZ896" s="4"/>
      <c r="BA896" s="4"/>
      <c r="BB896" s="4"/>
      <c r="BC896" s="4"/>
      <c r="BD896" s="4"/>
      <c r="BE896" s="4"/>
      <c r="BF896" s="4"/>
      <c r="BG896" s="4"/>
      <c r="BH896" s="4"/>
    </row>
    <row r="897" spans="1:60">
      <c r="A897" s="4"/>
      <c r="B897" s="3"/>
      <c r="C897" s="3"/>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5"/>
      <c r="AT897" s="4"/>
      <c r="AU897" s="4"/>
      <c r="AV897" s="4"/>
      <c r="AW897" s="4"/>
      <c r="AX897" s="4"/>
      <c r="AY897" s="4"/>
      <c r="AZ897" s="4"/>
      <c r="BA897" s="4"/>
      <c r="BB897" s="4"/>
      <c r="BC897" s="4"/>
      <c r="BD897" s="4"/>
      <c r="BE897" s="4"/>
      <c r="BF897" s="4"/>
      <c r="BG897" s="4"/>
      <c r="BH897" s="4"/>
    </row>
    <row r="898" spans="1:60">
      <c r="A898" s="4"/>
      <c r="B898" s="3"/>
      <c r="C898" s="3"/>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5"/>
      <c r="AT898" s="4"/>
      <c r="AU898" s="4"/>
      <c r="AV898" s="4"/>
      <c r="AW898" s="4"/>
      <c r="AX898" s="4"/>
      <c r="AY898" s="4"/>
      <c r="AZ898" s="4"/>
      <c r="BA898" s="4"/>
      <c r="BB898" s="4"/>
      <c r="BC898" s="4"/>
      <c r="BD898" s="4"/>
      <c r="BE898" s="4"/>
      <c r="BF898" s="4"/>
      <c r="BG898" s="4"/>
      <c r="BH898" s="4"/>
    </row>
    <row r="899" spans="1:60">
      <c r="A899" s="4"/>
      <c r="B899" s="3"/>
      <c r="C899" s="3"/>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5"/>
      <c r="AT899" s="4"/>
      <c r="AU899" s="4"/>
      <c r="AV899" s="4"/>
      <c r="AW899" s="4"/>
      <c r="AX899" s="4"/>
      <c r="AY899" s="4"/>
      <c r="AZ899" s="4"/>
      <c r="BA899" s="4"/>
      <c r="BB899" s="4"/>
      <c r="BC899" s="4"/>
      <c r="BD899" s="4"/>
      <c r="BE899" s="4"/>
      <c r="BF899" s="4"/>
      <c r="BG899" s="4"/>
      <c r="BH899" s="4"/>
    </row>
    <row r="900" spans="1:60">
      <c r="A900" s="4"/>
      <c r="B900" s="3"/>
      <c r="C900" s="3"/>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5"/>
      <c r="AT900" s="4"/>
      <c r="AU900" s="4"/>
      <c r="AV900" s="4"/>
      <c r="AW900" s="4"/>
      <c r="AX900" s="4"/>
      <c r="AY900" s="4"/>
      <c r="AZ900" s="4"/>
      <c r="BA900" s="4"/>
      <c r="BB900" s="4"/>
      <c r="BC900" s="4"/>
      <c r="BD900" s="4"/>
      <c r="BE900" s="4"/>
      <c r="BF900" s="4"/>
      <c r="BG900" s="4"/>
      <c r="BH900" s="4"/>
    </row>
    <row r="901" spans="1:60">
      <c r="A901" s="4"/>
      <c r="B901" s="3"/>
      <c r="C901" s="3"/>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5"/>
      <c r="AT901" s="4"/>
      <c r="AU901" s="4"/>
      <c r="AV901" s="4"/>
      <c r="AW901" s="4"/>
      <c r="AX901" s="4"/>
      <c r="AY901" s="4"/>
      <c r="AZ901" s="4"/>
      <c r="BA901" s="4"/>
      <c r="BB901" s="4"/>
      <c r="BC901" s="4"/>
      <c r="BD901" s="4"/>
      <c r="BE901" s="4"/>
      <c r="BF901" s="4"/>
      <c r="BG901" s="4"/>
      <c r="BH901" s="4"/>
    </row>
    <row r="902" spans="1:60">
      <c r="A902" s="4"/>
      <c r="B902" s="3"/>
      <c r="C902" s="3"/>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5"/>
      <c r="AT902" s="4"/>
      <c r="AU902" s="4"/>
      <c r="AV902" s="4"/>
      <c r="AW902" s="4"/>
      <c r="AX902" s="4"/>
      <c r="AY902" s="4"/>
      <c r="AZ902" s="4"/>
      <c r="BA902" s="4"/>
      <c r="BB902" s="4"/>
      <c r="BC902" s="4"/>
      <c r="BD902" s="4"/>
      <c r="BE902" s="4"/>
      <c r="BF902" s="4"/>
      <c r="BG902" s="4"/>
      <c r="BH902" s="4"/>
    </row>
    <row r="903" spans="1:60">
      <c r="A903" s="4"/>
      <c r="B903" s="3"/>
      <c r="C903" s="3"/>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5"/>
      <c r="AT903" s="4"/>
      <c r="AU903" s="4"/>
      <c r="AV903" s="4"/>
      <c r="AW903" s="4"/>
      <c r="AX903" s="4"/>
      <c r="AY903" s="4"/>
      <c r="AZ903" s="4"/>
      <c r="BA903" s="4"/>
      <c r="BB903" s="4"/>
      <c r="BC903" s="4"/>
      <c r="BD903" s="4"/>
      <c r="BE903" s="4"/>
      <c r="BF903" s="4"/>
      <c r="BG903" s="4"/>
      <c r="BH903" s="4"/>
    </row>
    <row r="904" spans="1:60">
      <c r="A904" s="4"/>
      <c r="B904" s="3"/>
      <c r="C904" s="3"/>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5"/>
      <c r="AT904" s="4"/>
      <c r="AU904" s="4"/>
      <c r="AV904" s="4"/>
      <c r="AW904" s="4"/>
      <c r="AX904" s="4"/>
      <c r="AY904" s="4"/>
      <c r="AZ904" s="4"/>
      <c r="BA904" s="4"/>
      <c r="BB904" s="4"/>
      <c r="BC904" s="4"/>
      <c r="BD904" s="4"/>
      <c r="BE904" s="4"/>
      <c r="BF904" s="4"/>
      <c r="BG904" s="4"/>
      <c r="BH904" s="4"/>
    </row>
    <row r="905" spans="1:60">
      <c r="A905" s="4"/>
      <c r="B905" s="3"/>
      <c r="C905" s="3"/>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5"/>
      <c r="AT905" s="4"/>
      <c r="AU905" s="4"/>
      <c r="AV905" s="4"/>
      <c r="AW905" s="4"/>
      <c r="AX905" s="4"/>
      <c r="AY905" s="4"/>
      <c r="AZ905" s="4"/>
      <c r="BA905" s="4"/>
      <c r="BB905" s="4"/>
      <c r="BC905" s="4"/>
      <c r="BD905" s="4"/>
      <c r="BE905" s="4"/>
      <c r="BF905" s="4"/>
      <c r="BG905" s="4"/>
      <c r="BH905" s="4"/>
    </row>
    <row r="906" spans="1:60">
      <c r="A906" s="4"/>
      <c r="B906" s="3"/>
      <c r="C906" s="3"/>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5"/>
      <c r="AT906" s="4"/>
      <c r="AU906" s="4"/>
      <c r="AV906" s="4"/>
      <c r="AW906" s="4"/>
      <c r="AX906" s="4"/>
      <c r="AY906" s="4"/>
      <c r="AZ906" s="4"/>
      <c r="BA906" s="4"/>
      <c r="BB906" s="4"/>
      <c r="BC906" s="4"/>
      <c r="BD906" s="4"/>
      <c r="BE906" s="4"/>
      <c r="BF906" s="4"/>
      <c r="BG906" s="4"/>
      <c r="BH906" s="4"/>
    </row>
    <row r="907" spans="1:60">
      <c r="A907" s="4"/>
      <c r="B907" s="3"/>
      <c r="C907" s="3"/>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5"/>
      <c r="AT907" s="4"/>
      <c r="AU907" s="4"/>
      <c r="AV907" s="4"/>
      <c r="AW907" s="4"/>
      <c r="AX907" s="4"/>
      <c r="AY907" s="4"/>
      <c r="AZ907" s="4"/>
      <c r="BA907" s="4"/>
      <c r="BB907" s="4"/>
      <c r="BC907" s="4"/>
      <c r="BD907" s="4"/>
      <c r="BE907" s="4"/>
      <c r="BF907" s="4"/>
      <c r="BG907" s="4"/>
      <c r="BH907" s="4"/>
    </row>
    <row r="908" spans="1:60">
      <c r="A908" s="4"/>
      <c r="B908" s="3"/>
      <c r="C908" s="3"/>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5"/>
      <c r="AT908" s="4"/>
      <c r="AU908" s="4"/>
      <c r="AV908" s="4"/>
      <c r="AW908" s="4"/>
      <c r="AX908" s="4"/>
      <c r="AY908" s="4"/>
      <c r="AZ908" s="4"/>
      <c r="BA908" s="4"/>
      <c r="BB908" s="4"/>
      <c r="BC908" s="4"/>
      <c r="BD908" s="4"/>
      <c r="BE908" s="4"/>
      <c r="BF908" s="4"/>
      <c r="BG908" s="4"/>
      <c r="BH908" s="4"/>
    </row>
    <row r="909" spans="1:60">
      <c r="A909" s="4"/>
      <c r="B909" s="3"/>
      <c r="C909" s="3"/>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5"/>
      <c r="AT909" s="4"/>
      <c r="AU909" s="4"/>
      <c r="AV909" s="4"/>
      <c r="AW909" s="4"/>
      <c r="AX909" s="4"/>
      <c r="AY909" s="4"/>
      <c r="AZ909" s="4"/>
      <c r="BA909" s="4"/>
      <c r="BB909" s="4"/>
      <c r="BC909" s="4"/>
      <c r="BD909" s="4"/>
      <c r="BE909" s="4"/>
      <c r="BF909" s="4"/>
      <c r="BG909" s="4"/>
      <c r="BH909" s="4"/>
    </row>
    <row r="910" spans="1:60">
      <c r="A910" s="4"/>
      <c r="B910" s="3"/>
      <c r="C910" s="3"/>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5"/>
      <c r="AT910" s="4"/>
      <c r="AU910" s="4"/>
      <c r="AV910" s="4"/>
      <c r="AW910" s="4"/>
      <c r="AX910" s="4"/>
      <c r="AY910" s="4"/>
      <c r="AZ910" s="4"/>
      <c r="BA910" s="4"/>
      <c r="BB910" s="4"/>
      <c r="BC910" s="4"/>
      <c r="BD910" s="4"/>
      <c r="BE910" s="4"/>
      <c r="BF910" s="4"/>
      <c r="BG910" s="4"/>
      <c r="BH910" s="4"/>
    </row>
    <row r="911" spans="1:60">
      <c r="A911" s="4"/>
      <c r="B911" s="3"/>
      <c r="C911" s="3"/>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5"/>
      <c r="AT911" s="4"/>
      <c r="AU911" s="4"/>
      <c r="AV911" s="4"/>
      <c r="AW911" s="4"/>
      <c r="AX911" s="4"/>
      <c r="AY911" s="4"/>
      <c r="AZ911" s="4"/>
      <c r="BA911" s="4"/>
      <c r="BB911" s="4"/>
      <c r="BC911" s="4"/>
      <c r="BD911" s="4"/>
      <c r="BE911" s="4"/>
      <c r="BF911" s="4"/>
      <c r="BG911" s="4"/>
      <c r="BH911" s="4"/>
    </row>
    <row r="912" spans="1:60">
      <c r="A912" s="4"/>
      <c r="B912" s="3"/>
      <c r="C912" s="3"/>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5"/>
      <c r="AT912" s="4"/>
      <c r="AU912" s="4"/>
      <c r="AV912" s="4"/>
      <c r="AW912" s="4"/>
      <c r="AX912" s="4"/>
      <c r="AY912" s="4"/>
      <c r="AZ912" s="4"/>
      <c r="BA912" s="4"/>
      <c r="BB912" s="4"/>
      <c r="BC912" s="4"/>
      <c r="BD912" s="4"/>
      <c r="BE912" s="4"/>
      <c r="BF912" s="4"/>
      <c r="BG912" s="4"/>
      <c r="BH912" s="4"/>
    </row>
    <row r="913" spans="1:60">
      <c r="A913" s="4"/>
      <c r="B913" s="3"/>
      <c r="C913" s="3"/>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5"/>
      <c r="AT913" s="4"/>
      <c r="AU913" s="4"/>
      <c r="AV913" s="4"/>
      <c r="AW913" s="4"/>
      <c r="AX913" s="4"/>
      <c r="AY913" s="4"/>
      <c r="AZ913" s="4"/>
      <c r="BA913" s="4"/>
      <c r="BB913" s="4"/>
      <c r="BC913" s="4"/>
      <c r="BD913" s="4"/>
      <c r="BE913" s="4"/>
      <c r="BF913" s="4"/>
      <c r="BG913" s="4"/>
      <c r="BH913" s="4"/>
    </row>
    <row r="914" spans="1:60">
      <c r="A914" s="4"/>
      <c r="B914" s="3"/>
      <c r="C914" s="3"/>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5"/>
      <c r="AT914" s="4"/>
      <c r="AU914" s="4"/>
      <c r="AV914" s="4"/>
      <c r="AW914" s="4"/>
      <c r="AX914" s="4"/>
      <c r="AY914" s="4"/>
      <c r="AZ914" s="4"/>
      <c r="BA914" s="4"/>
      <c r="BB914" s="4"/>
      <c r="BC914" s="4"/>
      <c r="BD914" s="4"/>
      <c r="BE914" s="4"/>
      <c r="BF914" s="4"/>
      <c r="BG914" s="4"/>
      <c r="BH914" s="4"/>
    </row>
    <row r="915" spans="1:60">
      <c r="A915" s="4"/>
      <c r="B915" s="3"/>
      <c r="C915" s="3"/>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5"/>
      <c r="AT915" s="4"/>
      <c r="AU915" s="4"/>
      <c r="AV915" s="4"/>
      <c r="AW915" s="4"/>
      <c r="AX915" s="4"/>
      <c r="AY915" s="4"/>
      <c r="AZ915" s="4"/>
      <c r="BA915" s="4"/>
      <c r="BB915" s="4"/>
      <c r="BC915" s="4"/>
      <c r="BD915" s="4"/>
      <c r="BE915" s="4"/>
      <c r="BF915" s="4"/>
      <c r="BG915" s="4"/>
      <c r="BH915" s="4"/>
    </row>
    <row r="916" spans="1:60">
      <c r="A916" s="4"/>
      <c r="B916" s="3"/>
      <c r="C916" s="3"/>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5"/>
      <c r="AT916" s="4"/>
      <c r="AU916" s="4"/>
      <c r="AV916" s="4"/>
      <c r="AW916" s="4"/>
      <c r="AX916" s="4"/>
      <c r="AY916" s="4"/>
      <c r="AZ916" s="4"/>
      <c r="BA916" s="4"/>
      <c r="BB916" s="4"/>
      <c r="BC916" s="4"/>
      <c r="BD916" s="4"/>
      <c r="BE916" s="4"/>
      <c r="BF916" s="4"/>
      <c r="BG916" s="4"/>
      <c r="BH916" s="4"/>
    </row>
    <row r="917" spans="1:60">
      <c r="A917" s="4"/>
      <c r="B917" s="3"/>
      <c r="C917" s="3"/>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5"/>
      <c r="AT917" s="4"/>
      <c r="AU917" s="4"/>
      <c r="AV917" s="4"/>
      <c r="AW917" s="4"/>
      <c r="AX917" s="4"/>
      <c r="AY917" s="4"/>
      <c r="AZ917" s="4"/>
      <c r="BA917" s="4"/>
      <c r="BB917" s="4"/>
      <c r="BC917" s="4"/>
      <c r="BD917" s="4"/>
      <c r="BE917" s="4"/>
      <c r="BF917" s="4"/>
      <c r="BG917" s="4"/>
      <c r="BH917" s="4"/>
    </row>
    <row r="918" spans="1:60">
      <c r="A918" s="4"/>
      <c r="B918" s="3"/>
      <c r="C918" s="3"/>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5"/>
      <c r="AT918" s="4"/>
      <c r="AU918" s="4"/>
      <c r="AV918" s="4"/>
      <c r="AW918" s="4"/>
      <c r="AX918" s="4"/>
      <c r="AY918" s="4"/>
      <c r="AZ918" s="4"/>
      <c r="BA918" s="4"/>
      <c r="BB918" s="4"/>
      <c r="BC918" s="4"/>
      <c r="BD918" s="4"/>
      <c r="BE918" s="4"/>
      <c r="BF918" s="4"/>
      <c r="BG918" s="4"/>
      <c r="BH918" s="4"/>
    </row>
    <row r="919" spans="1:60">
      <c r="A919" s="4"/>
      <c r="B919" s="3"/>
      <c r="C919" s="3"/>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5"/>
      <c r="AT919" s="4"/>
      <c r="AU919" s="4"/>
      <c r="AV919" s="4"/>
      <c r="AW919" s="4"/>
      <c r="AX919" s="4"/>
      <c r="AY919" s="4"/>
      <c r="AZ919" s="4"/>
      <c r="BA919" s="4"/>
      <c r="BB919" s="4"/>
      <c r="BC919" s="4"/>
      <c r="BD919" s="4"/>
      <c r="BE919" s="4"/>
      <c r="BF919" s="4"/>
      <c r="BG919" s="4"/>
      <c r="BH919" s="4"/>
    </row>
    <row r="920" spans="1:60">
      <c r="A920" s="4"/>
      <c r="B920" s="3"/>
      <c r="C920" s="3"/>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5"/>
      <c r="AT920" s="4"/>
      <c r="AU920" s="4"/>
      <c r="AV920" s="4"/>
      <c r="AW920" s="4"/>
      <c r="AX920" s="4"/>
      <c r="AY920" s="4"/>
      <c r="AZ920" s="4"/>
      <c r="BA920" s="4"/>
      <c r="BB920" s="4"/>
      <c r="BC920" s="4"/>
      <c r="BD920" s="4"/>
      <c r="BE920" s="4"/>
      <c r="BF920" s="4"/>
      <c r="BG920" s="4"/>
      <c r="BH920" s="4"/>
    </row>
    <row r="921" spans="1:60">
      <c r="A921" s="4"/>
      <c r="B921" s="3"/>
      <c r="C921" s="3"/>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5"/>
      <c r="AT921" s="4"/>
      <c r="AU921" s="4"/>
      <c r="AV921" s="4"/>
      <c r="AW921" s="4"/>
      <c r="AX921" s="4"/>
      <c r="AY921" s="4"/>
      <c r="AZ921" s="4"/>
      <c r="BA921" s="4"/>
      <c r="BB921" s="4"/>
      <c r="BC921" s="4"/>
      <c r="BD921" s="4"/>
      <c r="BE921" s="4"/>
      <c r="BF921" s="4"/>
      <c r="BG921" s="4"/>
      <c r="BH921" s="4"/>
    </row>
    <row r="922" spans="1:60">
      <c r="A922" s="4"/>
      <c r="B922" s="3"/>
      <c r="C922" s="3"/>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5"/>
      <c r="AT922" s="4"/>
      <c r="AU922" s="4"/>
      <c r="AV922" s="4"/>
      <c r="AW922" s="4"/>
      <c r="AX922" s="4"/>
      <c r="AY922" s="4"/>
      <c r="AZ922" s="4"/>
      <c r="BA922" s="4"/>
      <c r="BB922" s="4"/>
      <c r="BC922" s="4"/>
      <c r="BD922" s="4"/>
      <c r="BE922" s="4"/>
      <c r="BF922" s="4"/>
      <c r="BG922" s="4"/>
      <c r="BH922" s="4"/>
    </row>
    <row r="923" spans="1:60">
      <c r="A923" s="4"/>
      <c r="B923" s="3"/>
      <c r="C923" s="3"/>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5"/>
      <c r="AT923" s="4"/>
      <c r="AU923" s="4"/>
      <c r="AV923" s="4"/>
      <c r="AW923" s="4"/>
      <c r="AX923" s="4"/>
      <c r="AY923" s="4"/>
      <c r="AZ923" s="4"/>
      <c r="BA923" s="4"/>
      <c r="BB923" s="4"/>
      <c r="BC923" s="4"/>
      <c r="BD923" s="4"/>
      <c r="BE923" s="4"/>
      <c r="BF923" s="4"/>
      <c r="BG923" s="4"/>
      <c r="BH923" s="4"/>
    </row>
    <row r="924" spans="1:60">
      <c r="A924" s="4"/>
      <c r="B924" s="3"/>
      <c r="C924" s="3"/>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5"/>
      <c r="AT924" s="4"/>
      <c r="AU924" s="4"/>
      <c r="AV924" s="4"/>
      <c r="AW924" s="4"/>
      <c r="AX924" s="4"/>
      <c r="AY924" s="4"/>
      <c r="AZ924" s="4"/>
      <c r="BA924" s="4"/>
      <c r="BB924" s="4"/>
      <c r="BC924" s="4"/>
      <c r="BD924" s="4"/>
      <c r="BE924" s="4"/>
      <c r="BF924" s="4"/>
      <c r="BG924" s="4"/>
      <c r="BH924" s="4"/>
    </row>
    <row r="925" spans="1:60">
      <c r="A925" s="4"/>
      <c r="B925" s="3"/>
      <c r="C925" s="3"/>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5"/>
      <c r="AT925" s="4"/>
      <c r="AU925" s="4"/>
      <c r="AV925" s="4"/>
      <c r="AW925" s="4"/>
      <c r="AX925" s="4"/>
      <c r="AY925" s="4"/>
      <c r="AZ925" s="4"/>
      <c r="BA925" s="4"/>
      <c r="BB925" s="4"/>
      <c r="BC925" s="4"/>
      <c r="BD925" s="4"/>
      <c r="BE925" s="4"/>
      <c r="BF925" s="4"/>
      <c r="BG925" s="4"/>
      <c r="BH925" s="4"/>
    </row>
    <row r="926" spans="1:60">
      <c r="A926" s="4"/>
      <c r="B926" s="3"/>
      <c r="C926" s="3"/>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5"/>
      <c r="AT926" s="4"/>
      <c r="AU926" s="4"/>
      <c r="AV926" s="4"/>
      <c r="AW926" s="4"/>
      <c r="AX926" s="4"/>
      <c r="AY926" s="4"/>
      <c r="AZ926" s="4"/>
      <c r="BA926" s="4"/>
      <c r="BB926" s="4"/>
      <c r="BC926" s="4"/>
      <c r="BD926" s="4"/>
      <c r="BE926" s="4"/>
      <c r="BF926" s="4"/>
      <c r="BG926" s="4"/>
      <c r="BH926" s="4"/>
    </row>
    <row r="927" spans="1:60">
      <c r="A927" s="4"/>
      <c r="B927" s="3"/>
      <c r="C927" s="3"/>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5"/>
      <c r="AT927" s="4"/>
      <c r="AU927" s="4"/>
      <c r="AV927" s="4"/>
      <c r="AW927" s="4"/>
      <c r="AX927" s="4"/>
      <c r="AY927" s="4"/>
      <c r="AZ927" s="4"/>
      <c r="BA927" s="4"/>
      <c r="BB927" s="4"/>
      <c r="BC927" s="4"/>
      <c r="BD927" s="4"/>
      <c r="BE927" s="4"/>
      <c r="BF927" s="4"/>
      <c r="BG927" s="4"/>
      <c r="BH927" s="4"/>
    </row>
    <row r="928" spans="1:60">
      <c r="A928" s="4"/>
      <c r="B928" s="3"/>
      <c r="C928" s="3"/>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5"/>
      <c r="AT928" s="4"/>
      <c r="AU928" s="4"/>
      <c r="AV928" s="4"/>
      <c r="AW928" s="4"/>
      <c r="AX928" s="4"/>
      <c r="AY928" s="4"/>
      <c r="AZ928" s="4"/>
      <c r="BA928" s="4"/>
      <c r="BB928" s="4"/>
      <c r="BC928" s="4"/>
      <c r="BD928" s="4"/>
      <c r="BE928" s="4"/>
      <c r="BF928" s="4"/>
      <c r="BG928" s="4"/>
      <c r="BH928" s="4"/>
    </row>
    <row r="929" spans="1:60">
      <c r="A929" s="4"/>
      <c r="B929" s="3"/>
      <c r="C929" s="3"/>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5"/>
      <c r="AT929" s="4"/>
      <c r="AU929" s="4"/>
      <c r="AV929" s="4"/>
      <c r="AW929" s="4"/>
      <c r="AX929" s="4"/>
      <c r="AY929" s="4"/>
      <c r="AZ929" s="4"/>
      <c r="BA929" s="4"/>
      <c r="BB929" s="4"/>
      <c r="BC929" s="4"/>
      <c r="BD929" s="4"/>
      <c r="BE929" s="4"/>
      <c r="BF929" s="4"/>
      <c r="BG929" s="4"/>
      <c r="BH929" s="4"/>
    </row>
    <row r="930" spans="1:60">
      <c r="A930" s="4"/>
      <c r="B930" s="3"/>
      <c r="C930" s="3"/>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5"/>
      <c r="AT930" s="4"/>
      <c r="AU930" s="4"/>
      <c r="AV930" s="4"/>
      <c r="AW930" s="4"/>
      <c r="AX930" s="4"/>
      <c r="AY930" s="4"/>
      <c r="AZ930" s="4"/>
      <c r="BA930" s="4"/>
      <c r="BB930" s="4"/>
      <c r="BC930" s="4"/>
      <c r="BD930" s="4"/>
      <c r="BE930" s="4"/>
      <c r="BF930" s="4"/>
      <c r="BG930" s="4"/>
      <c r="BH930" s="4"/>
    </row>
    <row r="931" spans="1:60">
      <c r="A931" s="4"/>
      <c r="B931" s="3"/>
      <c r="C931" s="3"/>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5"/>
      <c r="AT931" s="4"/>
      <c r="AU931" s="4"/>
      <c r="AV931" s="4"/>
      <c r="AW931" s="4"/>
      <c r="AX931" s="4"/>
      <c r="AY931" s="4"/>
      <c r="AZ931" s="4"/>
      <c r="BA931" s="4"/>
      <c r="BB931" s="4"/>
      <c r="BC931" s="4"/>
      <c r="BD931" s="4"/>
      <c r="BE931" s="4"/>
      <c r="BF931" s="4"/>
      <c r="BG931" s="4"/>
      <c r="BH931" s="4"/>
    </row>
    <row r="932" spans="1:60">
      <c r="A932" s="4"/>
      <c r="B932" s="3"/>
      <c r="C932" s="3"/>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5"/>
      <c r="AT932" s="4"/>
      <c r="AU932" s="4"/>
      <c r="AV932" s="4"/>
      <c r="AW932" s="4"/>
      <c r="AX932" s="4"/>
      <c r="AY932" s="4"/>
      <c r="AZ932" s="4"/>
      <c r="BA932" s="4"/>
      <c r="BB932" s="4"/>
      <c r="BC932" s="4"/>
      <c r="BD932" s="4"/>
      <c r="BE932" s="4"/>
      <c r="BF932" s="4"/>
      <c r="BG932" s="4"/>
      <c r="BH932" s="4"/>
    </row>
    <row r="933" spans="1:60">
      <c r="A933" s="4"/>
      <c r="B933" s="3"/>
      <c r="C933" s="3"/>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5"/>
      <c r="AT933" s="4"/>
      <c r="AU933" s="4"/>
      <c r="AV933" s="4"/>
      <c r="AW933" s="4"/>
      <c r="AX933" s="4"/>
      <c r="AY933" s="4"/>
      <c r="AZ933" s="4"/>
      <c r="BA933" s="4"/>
      <c r="BB933" s="4"/>
      <c r="BC933" s="4"/>
      <c r="BD933" s="4"/>
      <c r="BE933" s="4"/>
      <c r="BF933" s="4"/>
      <c r="BG933" s="4"/>
      <c r="BH933" s="4"/>
    </row>
    <row r="934" spans="1:60">
      <c r="A934" s="4"/>
      <c r="B934" s="3"/>
      <c r="C934" s="3"/>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5"/>
      <c r="AT934" s="4"/>
      <c r="AU934" s="4"/>
      <c r="AV934" s="4"/>
      <c r="AW934" s="4"/>
      <c r="AX934" s="4"/>
      <c r="AY934" s="4"/>
      <c r="AZ934" s="4"/>
      <c r="BA934" s="4"/>
      <c r="BB934" s="4"/>
      <c r="BC934" s="4"/>
      <c r="BD934" s="4"/>
      <c r="BE934" s="4"/>
      <c r="BF934" s="4"/>
      <c r="BG934" s="4"/>
      <c r="BH934" s="4"/>
    </row>
    <row r="935" spans="1:60">
      <c r="A935" s="4"/>
      <c r="B935" s="3"/>
      <c r="C935" s="3"/>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5"/>
      <c r="AT935" s="4"/>
      <c r="AU935" s="4"/>
      <c r="AV935" s="4"/>
      <c r="AW935" s="4"/>
      <c r="AX935" s="4"/>
      <c r="AY935" s="4"/>
      <c r="AZ935" s="4"/>
      <c r="BA935" s="4"/>
      <c r="BB935" s="4"/>
      <c r="BC935" s="4"/>
      <c r="BD935" s="4"/>
      <c r="BE935" s="4"/>
      <c r="BF935" s="4"/>
      <c r="BG935" s="4"/>
      <c r="BH935" s="4"/>
    </row>
    <row r="936" spans="1:60">
      <c r="A936" s="4"/>
      <c r="B936" s="3"/>
      <c r="C936" s="3"/>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5"/>
      <c r="AT936" s="4"/>
      <c r="AU936" s="4"/>
      <c r="AV936" s="4"/>
      <c r="AW936" s="4"/>
      <c r="AX936" s="4"/>
      <c r="AY936" s="4"/>
      <c r="AZ936" s="4"/>
      <c r="BA936" s="4"/>
      <c r="BB936" s="4"/>
      <c r="BC936" s="4"/>
      <c r="BD936" s="4"/>
      <c r="BE936" s="4"/>
      <c r="BF936" s="4"/>
      <c r="BG936" s="4"/>
      <c r="BH936" s="4"/>
    </row>
    <row r="937" spans="1:60">
      <c r="A937" s="4"/>
      <c r="B937" s="3"/>
      <c r="C937" s="3"/>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5"/>
      <c r="AT937" s="4"/>
      <c r="AU937" s="4"/>
      <c r="AV937" s="4"/>
      <c r="AW937" s="4"/>
      <c r="AX937" s="4"/>
      <c r="AY937" s="4"/>
      <c r="AZ937" s="4"/>
      <c r="BA937" s="4"/>
      <c r="BB937" s="4"/>
      <c r="BC937" s="4"/>
      <c r="BD937" s="4"/>
      <c r="BE937" s="4"/>
      <c r="BF937" s="4"/>
      <c r="BG937" s="4"/>
      <c r="BH937" s="4"/>
    </row>
    <row r="938" spans="1:60">
      <c r="A938" s="4"/>
      <c r="B938" s="3"/>
      <c r="C938" s="3"/>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5"/>
      <c r="AT938" s="4"/>
      <c r="AU938" s="4"/>
      <c r="AV938" s="4"/>
      <c r="AW938" s="4"/>
      <c r="AX938" s="4"/>
      <c r="AY938" s="4"/>
      <c r="AZ938" s="4"/>
      <c r="BA938" s="4"/>
      <c r="BB938" s="4"/>
      <c r="BC938" s="4"/>
      <c r="BD938" s="4"/>
      <c r="BE938" s="4"/>
      <c r="BF938" s="4"/>
      <c r="BG938" s="4"/>
      <c r="BH938" s="4"/>
    </row>
    <row r="939" spans="1:60">
      <c r="A939" s="4"/>
      <c r="B939" s="3"/>
      <c r="C939" s="3"/>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5"/>
      <c r="AT939" s="4"/>
      <c r="AU939" s="4"/>
      <c r="AV939" s="4"/>
      <c r="AW939" s="4"/>
      <c r="AX939" s="4"/>
      <c r="AY939" s="4"/>
      <c r="AZ939" s="4"/>
      <c r="BA939" s="4"/>
      <c r="BB939" s="4"/>
      <c r="BC939" s="4"/>
      <c r="BD939" s="4"/>
      <c r="BE939" s="4"/>
      <c r="BF939" s="4"/>
      <c r="BG939" s="4"/>
      <c r="BH939" s="4"/>
    </row>
    <row r="940" spans="1:60">
      <c r="A940" s="4"/>
      <c r="B940" s="3"/>
      <c r="C940" s="3"/>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5"/>
      <c r="AT940" s="4"/>
      <c r="AU940" s="4"/>
      <c r="AV940" s="4"/>
      <c r="AW940" s="4"/>
      <c r="AX940" s="4"/>
      <c r="AY940" s="4"/>
      <c r="AZ940" s="4"/>
      <c r="BA940" s="4"/>
      <c r="BB940" s="4"/>
      <c r="BC940" s="4"/>
      <c r="BD940" s="4"/>
      <c r="BE940" s="4"/>
      <c r="BF940" s="4"/>
      <c r="BG940" s="4"/>
      <c r="BH940" s="4"/>
    </row>
    <row r="941" spans="1:60">
      <c r="A941" s="4"/>
      <c r="B941" s="3"/>
      <c r="C941" s="3"/>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5"/>
      <c r="AT941" s="4"/>
      <c r="AU941" s="4"/>
      <c r="AV941" s="4"/>
      <c r="AW941" s="4"/>
      <c r="AX941" s="4"/>
      <c r="AY941" s="4"/>
      <c r="AZ941" s="4"/>
      <c r="BA941" s="4"/>
      <c r="BB941" s="4"/>
      <c r="BC941" s="4"/>
      <c r="BD941" s="4"/>
      <c r="BE941" s="4"/>
      <c r="BF941" s="4"/>
      <c r="BG941" s="4"/>
      <c r="BH941" s="4"/>
    </row>
    <row r="942" spans="1:60">
      <c r="A942" s="4"/>
      <c r="B942" s="3"/>
      <c r="C942" s="3"/>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5"/>
      <c r="AT942" s="4"/>
      <c r="AU942" s="4"/>
      <c r="AV942" s="4"/>
      <c r="AW942" s="4"/>
      <c r="AX942" s="4"/>
      <c r="AY942" s="4"/>
      <c r="AZ942" s="4"/>
      <c r="BA942" s="4"/>
      <c r="BB942" s="4"/>
      <c r="BC942" s="4"/>
      <c r="BD942" s="4"/>
      <c r="BE942" s="4"/>
      <c r="BF942" s="4"/>
      <c r="BG942" s="4"/>
      <c r="BH942" s="4"/>
    </row>
    <row r="943" spans="1:60">
      <c r="A943" s="4"/>
      <c r="B943" s="3"/>
      <c r="C943" s="3"/>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5"/>
      <c r="AT943" s="4"/>
      <c r="AU943" s="4"/>
      <c r="AV943" s="4"/>
      <c r="AW943" s="4"/>
      <c r="AX943" s="4"/>
      <c r="AY943" s="4"/>
      <c r="AZ943" s="4"/>
      <c r="BA943" s="4"/>
      <c r="BB943" s="4"/>
      <c r="BC943" s="4"/>
      <c r="BD943" s="4"/>
      <c r="BE943" s="4"/>
      <c r="BF943" s="4"/>
      <c r="BG943" s="4"/>
      <c r="BH943" s="4"/>
    </row>
    <row r="944" spans="1:60">
      <c r="A944" s="4"/>
      <c r="B944" s="3"/>
      <c r="C944" s="3"/>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5"/>
      <c r="AT944" s="4"/>
      <c r="AU944" s="4"/>
      <c r="AV944" s="4"/>
      <c r="AW944" s="4"/>
      <c r="AX944" s="4"/>
      <c r="AY944" s="4"/>
      <c r="AZ944" s="4"/>
      <c r="BA944" s="4"/>
      <c r="BB944" s="4"/>
      <c r="BC944" s="4"/>
      <c r="BD944" s="4"/>
      <c r="BE944" s="4"/>
      <c r="BF944" s="4"/>
      <c r="BG944" s="4"/>
      <c r="BH944" s="4"/>
    </row>
    <row r="945" spans="1:60">
      <c r="A945" s="4"/>
      <c r="B945" s="3"/>
      <c r="C945" s="3"/>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5"/>
      <c r="AT945" s="4"/>
      <c r="AU945" s="4"/>
      <c r="AV945" s="4"/>
      <c r="AW945" s="4"/>
      <c r="AX945" s="4"/>
      <c r="AY945" s="4"/>
      <c r="AZ945" s="4"/>
      <c r="BA945" s="4"/>
      <c r="BB945" s="4"/>
      <c r="BC945" s="4"/>
      <c r="BD945" s="4"/>
      <c r="BE945" s="4"/>
      <c r="BF945" s="4"/>
      <c r="BG945" s="4"/>
      <c r="BH945" s="4"/>
    </row>
    <row r="946" spans="1:60">
      <c r="A946" s="4"/>
      <c r="B946" s="3"/>
      <c r="C946" s="3"/>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5"/>
      <c r="AT946" s="4"/>
      <c r="AU946" s="4"/>
      <c r="AV946" s="4"/>
      <c r="AW946" s="4"/>
      <c r="AX946" s="4"/>
      <c r="AY946" s="4"/>
      <c r="AZ946" s="4"/>
      <c r="BA946" s="4"/>
      <c r="BB946" s="4"/>
      <c r="BC946" s="4"/>
      <c r="BD946" s="4"/>
      <c r="BE946" s="4"/>
      <c r="BF946" s="4"/>
      <c r="BG946" s="4"/>
      <c r="BH946" s="4"/>
    </row>
    <row r="947" spans="1:60">
      <c r="A947" s="4"/>
      <c r="B947" s="3"/>
      <c r="C947" s="3"/>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5"/>
      <c r="AT947" s="4"/>
      <c r="AU947" s="4"/>
      <c r="AV947" s="4"/>
      <c r="AW947" s="4"/>
      <c r="AX947" s="4"/>
      <c r="AY947" s="4"/>
      <c r="AZ947" s="4"/>
      <c r="BA947" s="4"/>
      <c r="BB947" s="4"/>
      <c r="BC947" s="4"/>
      <c r="BD947" s="4"/>
      <c r="BE947" s="4"/>
      <c r="BF947" s="4"/>
      <c r="BG947" s="4"/>
      <c r="BH947" s="4"/>
    </row>
    <row r="948" spans="1:60">
      <c r="A948" s="4"/>
      <c r="B948" s="3"/>
      <c r="C948" s="3"/>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5"/>
      <c r="AT948" s="4"/>
      <c r="AU948" s="4"/>
      <c r="AV948" s="4"/>
      <c r="AW948" s="4"/>
      <c r="AX948" s="4"/>
      <c r="AY948" s="4"/>
      <c r="AZ948" s="4"/>
      <c r="BA948" s="4"/>
      <c r="BB948" s="4"/>
      <c r="BC948" s="4"/>
      <c r="BD948" s="4"/>
      <c r="BE948" s="4"/>
      <c r="BF948" s="4"/>
      <c r="BG948" s="4"/>
      <c r="BH948" s="4"/>
    </row>
    <row r="949" spans="1:60">
      <c r="A949" s="4"/>
      <c r="B949" s="3"/>
      <c r="C949" s="3"/>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5"/>
      <c r="AT949" s="4"/>
      <c r="AU949" s="4"/>
      <c r="AV949" s="4"/>
      <c r="AW949" s="4"/>
      <c r="AX949" s="4"/>
      <c r="AY949" s="4"/>
      <c r="AZ949" s="4"/>
      <c r="BA949" s="4"/>
      <c r="BB949" s="4"/>
      <c r="BC949" s="4"/>
      <c r="BD949" s="4"/>
      <c r="BE949" s="4"/>
      <c r="BF949" s="4"/>
      <c r="BG949" s="4"/>
      <c r="BH949" s="4"/>
    </row>
    <row r="950" spans="1:60">
      <c r="A950" s="4"/>
      <c r="B950" s="3"/>
      <c r="C950" s="3"/>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5"/>
      <c r="AT950" s="4"/>
      <c r="AU950" s="4"/>
      <c r="AV950" s="4"/>
      <c r="AW950" s="4"/>
      <c r="AX950" s="4"/>
      <c r="AY950" s="4"/>
      <c r="AZ950" s="4"/>
      <c r="BA950" s="4"/>
      <c r="BB950" s="4"/>
      <c r="BC950" s="4"/>
      <c r="BD950" s="4"/>
      <c r="BE950" s="4"/>
      <c r="BF950" s="4"/>
      <c r="BG950" s="4"/>
      <c r="BH950" s="4"/>
    </row>
    <row r="951" spans="1:60">
      <c r="A951" s="4"/>
      <c r="B951" s="3"/>
      <c r="C951" s="3"/>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5"/>
      <c r="AT951" s="4"/>
      <c r="AU951" s="4"/>
      <c r="AV951" s="4"/>
      <c r="AW951" s="4"/>
      <c r="AX951" s="4"/>
      <c r="AY951" s="4"/>
      <c r="AZ951" s="4"/>
      <c r="BA951" s="4"/>
      <c r="BB951" s="4"/>
      <c r="BC951" s="4"/>
      <c r="BD951" s="4"/>
      <c r="BE951" s="4"/>
      <c r="BF951" s="4"/>
      <c r="BG951" s="4"/>
      <c r="BH951" s="4"/>
    </row>
    <row r="952" spans="1:60">
      <c r="A952" s="4"/>
      <c r="B952" s="3"/>
      <c r="C952" s="3"/>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5"/>
      <c r="AT952" s="4"/>
      <c r="AU952" s="4"/>
      <c r="AV952" s="4"/>
      <c r="AW952" s="4"/>
      <c r="AX952" s="4"/>
      <c r="AY952" s="4"/>
      <c r="AZ952" s="4"/>
      <c r="BA952" s="4"/>
      <c r="BB952" s="4"/>
      <c r="BC952" s="4"/>
      <c r="BD952" s="4"/>
      <c r="BE952" s="4"/>
      <c r="BF952" s="4"/>
      <c r="BG952" s="4"/>
      <c r="BH952" s="4"/>
    </row>
    <row r="953" spans="1:60">
      <c r="A953" s="4"/>
      <c r="B953" s="3"/>
      <c r="C953" s="3"/>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5"/>
      <c r="AT953" s="4"/>
      <c r="AU953" s="4"/>
      <c r="AV953" s="4"/>
      <c r="AW953" s="4"/>
      <c r="AX953" s="4"/>
      <c r="AY953" s="4"/>
      <c r="AZ953" s="4"/>
      <c r="BA953" s="4"/>
      <c r="BB953" s="4"/>
      <c r="BC953" s="4"/>
      <c r="BD953" s="4"/>
      <c r="BE953" s="4"/>
      <c r="BF953" s="4"/>
      <c r="BG953" s="4"/>
      <c r="BH953" s="4"/>
    </row>
    <row r="954" spans="1:60">
      <c r="A954" s="4"/>
      <c r="B954" s="3"/>
      <c r="C954" s="3"/>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5"/>
      <c r="AT954" s="4"/>
      <c r="AU954" s="4"/>
      <c r="AV954" s="4"/>
      <c r="AW954" s="4"/>
      <c r="AX954" s="4"/>
      <c r="AY954" s="4"/>
      <c r="AZ954" s="4"/>
      <c r="BA954" s="4"/>
      <c r="BB954" s="4"/>
      <c r="BC954" s="4"/>
      <c r="BD954" s="4"/>
      <c r="BE954" s="4"/>
      <c r="BF954" s="4"/>
      <c r="BG954" s="4"/>
      <c r="BH954" s="4"/>
    </row>
    <row r="955" spans="1:60">
      <c r="A955" s="4"/>
      <c r="B955" s="3"/>
      <c r="C955" s="3"/>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5"/>
      <c r="AT955" s="4"/>
      <c r="AU955" s="4"/>
      <c r="AV955" s="4"/>
      <c r="AW955" s="4"/>
      <c r="AX955" s="4"/>
      <c r="AY955" s="4"/>
      <c r="AZ955" s="4"/>
      <c r="BA955" s="4"/>
      <c r="BB955" s="4"/>
      <c r="BC955" s="4"/>
      <c r="BD955" s="4"/>
      <c r="BE955" s="4"/>
      <c r="BF955" s="4"/>
      <c r="BG955" s="4"/>
      <c r="BH955" s="4"/>
    </row>
    <row r="956" spans="1:60">
      <c r="A956" s="4"/>
      <c r="B956" s="3"/>
      <c r="C956" s="3"/>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5"/>
      <c r="AT956" s="4"/>
      <c r="AU956" s="4"/>
      <c r="AV956" s="4"/>
      <c r="AW956" s="4"/>
      <c r="AX956" s="4"/>
      <c r="AY956" s="4"/>
      <c r="AZ956" s="4"/>
      <c r="BA956" s="4"/>
      <c r="BB956" s="4"/>
      <c r="BC956" s="4"/>
      <c r="BD956" s="4"/>
      <c r="BE956" s="4"/>
      <c r="BF956" s="4"/>
      <c r="BG956" s="4"/>
      <c r="BH956" s="4"/>
    </row>
    <row r="957" spans="1:60">
      <c r="A957" s="4"/>
      <c r="B957" s="3"/>
      <c r="C957" s="3"/>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5"/>
      <c r="AT957" s="4"/>
      <c r="AU957" s="4"/>
      <c r="AV957" s="4"/>
      <c r="AW957" s="4"/>
      <c r="AX957" s="4"/>
      <c r="AY957" s="4"/>
      <c r="AZ957" s="4"/>
      <c r="BA957" s="4"/>
      <c r="BB957" s="4"/>
      <c r="BC957" s="4"/>
      <c r="BD957" s="4"/>
      <c r="BE957" s="4"/>
      <c r="BF957" s="4"/>
      <c r="BG957" s="4"/>
      <c r="BH957" s="4"/>
    </row>
    <row r="958" spans="1:60">
      <c r="A958" s="4"/>
      <c r="B958" s="3"/>
      <c r="C958" s="3"/>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5"/>
      <c r="AT958" s="4"/>
      <c r="AU958" s="4"/>
      <c r="AV958" s="4"/>
      <c r="AW958" s="4"/>
      <c r="AX958" s="4"/>
      <c r="AY958" s="4"/>
      <c r="AZ958" s="4"/>
      <c r="BA958" s="4"/>
      <c r="BB958" s="4"/>
      <c r="BC958" s="4"/>
      <c r="BD958" s="4"/>
      <c r="BE958" s="4"/>
      <c r="BF958" s="4"/>
      <c r="BG958" s="4"/>
      <c r="BH958" s="4"/>
    </row>
    <row r="959" spans="1:60">
      <c r="A959" s="4"/>
      <c r="B959" s="3"/>
      <c r="C959" s="3"/>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5"/>
      <c r="AT959" s="4"/>
      <c r="AU959" s="4"/>
      <c r="AV959" s="4"/>
      <c r="AW959" s="4"/>
      <c r="AX959" s="4"/>
      <c r="AY959" s="4"/>
      <c r="AZ959" s="4"/>
      <c r="BA959" s="4"/>
      <c r="BB959" s="4"/>
      <c r="BC959" s="4"/>
      <c r="BD959" s="4"/>
      <c r="BE959" s="4"/>
      <c r="BF959" s="4"/>
      <c r="BG959" s="4"/>
      <c r="BH959" s="4"/>
    </row>
    <row r="960" spans="1:60">
      <c r="A960" s="4"/>
      <c r="B960" s="3"/>
      <c r="C960" s="3"/>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5"/>
      <c r="AT960" s="4"/>
      <c r="AU960" s="4"/>
      <c r="AV960" s="4"/>
      <c r="AW960" s="4"/>
      <c r="AX960" s="4"/>
      <c r="AY960" s="4"/>
      <c r="AZ960" s="4"/>
      <c r="BA960" s="4"/>
      <c r="BB960" s="4"/>
      <c r="BC960" s="4"/>
      <c r="BD960" s="4"/>
      <c r="BE960" s="4"/>
      <c r="BF960" s="4"/>
      <c r="BG960" s="4"/>
      <c r="BH960" s="4"/>
    </row>
    <row r="961" spans="1:60">
      <c r="A961" s="4"/>
      <c r="B961" s="3"/>
      <c r="C961" s="3"/>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5"/>
      <c r="AT961" s="4"/>
      <c r="AU961" s="4"/>
      <c r="AV961" s="4"/>
      <c r="AW961" s="4"/>
      <c r="AX961" s="4"/>
      <c r="AY961" s="4"/>
      <c r="AZ961" s="4"/>
      <c r="BA961" s="4"/>
      <c r="BB961" s="4"/>
      <c r="BC961" s="4"/>
      <c r="BD961" s="4"/>
      <c r="BE961" s="4"/>
      <c r="BF961" s="4"/>
      <c r="BG961" s="4"/>
      <c r="BH961" s="4"/>
    </row>
    <row r="962" spans="1:60">
      <c r="A962" s="4"/>
      <c r="B962" s="3"/>
      <c r="C962" s="3"/>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5"/>
      <c r="AT962" s="4"/>
      <c r="AU962" s="4"/>
      <c r="AV962" s="4"/>
      <c r="AW962" s="4"/>
      <c r="AX962" s="4"/>
      <c r="AY962" s="4"/>
      <c r="AZ962" s="4"/>
      <c r="BA962" s="4"/>
      <c r="BB962" s="4"/>
      <c r="BC962" s="4"/>
      <c r="BD962" s="4"/>
      <c r="BE962" s="4"/>
      <c r="BF962" s="4"/>
      <c r="BG962" s="4"/>
      <c r="BH962" s="4"/>
    </row>
    <row r="963" spans="1:60">
      <c r="A963" s="4"/>
      <c r="B963" s="3"/>
      <c r="C963" s="3"/>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5"/>
      <c r="AT963" s="4"/>
      <c r="AU963" s="4"/>
      <c r="AV963" s="4"/>
      <c r="AW963" s="4"/>
      <c r="AX963" s="4"/>
      <c r="AY963" s="4"/>
      <c r="AZ963" s="4"/>
      <c r="BA963" s="4"/>
      <c r="BB963" s="4"/>
      <c r="BC963" s="4"/>
      <c r="BD963" s="4"/>
      <c r="BE963" s="4"/>
      <c r="BF963" s="4"/>
      <c r="BG963" s="4"/>
      <c r="BH963" s="4"/>
    </row>
    <row r="964" spans="1:60">
      <c r="A964" s="4"/>
      <c r="B964" s="3"/>
      <c r="C964" s="3"/>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5"/>
      <c r="AT964" s="4"/>
      <c r="AU964" s="4"/>
      <c r="AV964" s="4"/>
      <c r="AW964" s="4"/>
      <c r="AX964" s="4"/>
      <c r="AY964" s="4"/>
      <c r="AZ964" s="4"/>
      <c r="BA964" s="4"/>
      <c r="BB964" s="4"/>
      <c r="BC964" s="4"/>
      <c r="BD964" s="4"/>
      <c r="BE964" s="4"/>
      <c r="BF964" s="4"/>
      <c r="BG964" s="4"/>
      <c r="BH964" s="4"/>
    </row>
    <row r="965" spans="1:60">
      <c r="A965" s="4"/>
      <c r="B965" s="3"/>
      <c r="C965" s="3"/>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5"/>
      <c r="AT965" s="4"/>
      <c r="AU965" s="4"/>
      <c r="AV965" s="4"/>
      <c r="AW965" s="4"/>
      <c r="AX965" s="4"/>
      <c r="AY965" s="4"/>
      <c r="AZ965" s="4"/>
      <c r="BA965" s="4"/>
      <c r="BB965" s="4"/>
      <c r="BC965" s="4"/>
      <c r="BD965" s="4"/>
      <c r="BE965" s="4"/>
      <c r="BF965" s="4"/>
      <c r="BG965" s="4"/>
      <c r="BH965" s="4"/>
    </row>
    <row r="966" spans="1:60">
      <c r="A966" s="4"/>
      <c r="B966" s="3"/>
      <c r="C966" s="3"/>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5"/>
      <c r="AT966" s="4"/>
      <c r="AU966" s="4"/>
      <c r="AV966" s="4"/>
      <c r="AW966" s="4"/>
      <c r="AX966" s="4"/>
      <c r="AY966" s="4"/>
      <c r="AZ966" s="4"/>
      <c r="BA966" s="4"/>
      <c r="BB966" s="4"/>
      <c r="BC966" s="4"/>
      <c r="BD966" s="4"/>
      <c r="BE966" s="4"/>
      <c r="BF966" s="4"/>
      <c r="BG966" s="4"/>
      <c r="BH966" s="4"/>
    </row>
    <row r="967" spans="1:60">
      <c r="A967" s="4"/>
      <c r="B967" s="3"/>
      <c r="C967" s="3"/>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5"/>
      <c r="AT967" s="4"/>
      <c r="AU967" s="4"/>
      <c r="AV967" s="4"/>
      <c r="AW967" s="4"/>
      <c r="AX967" s="4"/>
      <c r="AY967" s="4"/>
      <c r="AZ967" s="4"/>
      <c r="BA967" s="4"/>
      <c r="BB967" s="4"/>
      <c r="BC967" s="4"/>
      <c r="BD967" s="4"/>
      <c r="BE967" s="4"/>
      <c r="BF967" s="4"/>
      <c r="BG967" s="4"/>
      <c r="BH967" s="4"/>
    </row>
    <row r="968" spans="1:60">
      <c r="A968" s="4"/>
      <c r="B968" s="3"/>
      <c r="C968" s="3"/>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5"/>
      <c r="AT968" s="4"/>
      <c r="AU968" s="4"/>
      <c r="AV968" s="4"/>
      <c r="AW968" s="4"/>
      <c r="AX968" s="4"/>
      <c r="AY968" s="4"/>
      <c r="AZ968" s="4"/>
      <c r="BA968" s="4"/>
      <c r="BB968" s="4"/>
      <c r="BC968" s="4"/>
      <c r="BD968" s="4"/>
      <c r="BE968" s="4"/>
      <c r="BF968" s="4"/>
      <c r="BG968" s="4"/>
      <c r="BH968" s="4"/>
    </row>
    <row r="969" spans="1:60">
      <c r="A969" s="4"/>
      <c r="B969" s="3"/>
      <c r="C969" s="3"/>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5"/>
      <c r="AT969" s="4"/>
      <c r="AU969" s="4"/>
      <c r="AV969" s="4"/>
      <c r="AW969" s="4"/>
      <c r="AX969" s="4"/>
      <c r="AY969" s="4"/>
      <c r="AZ969" s="4"/>
      <c r="BA969" s="4"/>
      <c r="BB969" s="4"/>
      <c r="BC969" s="4"/>
      <c r="BD969" s="4"/>
      <c r="BE969" s="4"/>
      <c r="BF969" s="4"/>
      <c r="BG969" s="4"/>
      <c r="BH969" s="4"/>
    </row>
    <row r="970" spans="1:60">
      <c r="A970" s="4"/>
      <c r="B970" s="3"/>
      <c r="C970" s="3"/>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5"/>
      <c r="AT970" s="4"/>
      <c r="AU970" s="4"/>
      <c r="AV970" s="4"/>
      <c r="AW970" s="4"/>
      <c r="AX970" s="4"/>
      <c r="AY970" s="4"/>
      <c r="AZ970" s="4"/>
      <c r="BA970" s="4"/>
      <c r="BB970" s="4"/>
      <c r="BC970" s="4"/>
      <c r="BD970" s="4"/>
      <c r="BE970" s="4"/>
      <c r="BF970" s="4"/>
      <c r="BG970" s="4"/>
      <c r="BH970" s="4"/>
    </row>
    <row r="971" spans="1:60">
      <c r="A971" s="4"/>
      <c r="B971" s="3"/>
      <c r="C971" s="3"/>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5"/>
      <c r="AT971" s="4"/>
      <c r="AU971" s="4"/>
      <c r="AV971" s="4"/>
      <c r="AW971" s="4"/>
      <c r="AX971" s="4"/>
      <c r="AY971" s="4"/>
      <c r="AZ971" s="4"/>
      <c r="BA971" s="4"/>
      <c r="BB971" s="4"/>
      <c r="BC971" s="4"/>
      <c r="BD971" s="4"/>
      <c r="BE971" s="4"/>
      <c r="BF971" s="4"/>
      <c r="BG971" s="4"/>
      <c r="BH971" s="4"/>
    </row>
    <row r="972" spans="1:60">
      <c r="A972" s="4"/>
      <c r="B972" s="3"/>
      <c r="C972" s="3"/>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5"/>
      <c r="AT972" s="4"/>
      <c r="AU972" s="4"/>
      <c r="AV972" s="4"/>
      <c r="AW972" s="4"/>
      <c r="AX972" s="4"/>
      <c r="AY972" s="4"/>
      <c r="AZ972" s="4"/>
      <c r="BA972" s="4"/>
      <c r="BB972" s="4"/>
      <c r="BC972" s="4"/>
      <c r="BD972" s="4"/>
      <c r="BE972" s="4"/>
      <c r="BF972" s="4"/>
      <c r="BG972" s="4"/>
      <c r="BH972" s="4"/>
    </row>
    <row r="973" spans="1:60">
      <c r="A973" s="4"/>
      <c r="B973" s="3"/>
      <c r="C973" s="3"/>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5"/>
      <c r="AT973" s="4"/>
      <c r="AU973" s="4"/>
      <c r="AV973" s="4"/>
      <c r="AW973" s="4"/>
      <c r="AX973" s="4"/>
      <c r="AY973" s="4"/>
      <c r="AZ973" s="4"/>
      <c r="BA973" s="4"/>
      <c r="BB973" s="4"/>
      <c r="BC973" s="4"/>
      <c r="BD973" s="4"/>
      <c r="BE973" s="4"/>
      <c r="BF973" s="4"/>
      <c r="BG973" s="4"/>
      <c r="BH973" s="4"/>
    </row>
    <row r="974" spans="1:60">
      <c r="A974" s="4"/>
      <c r="B974" s="3"/>
      <c r="C974" s="3"/>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5"/>
      <c r="AT974" s="4"/>
      <c r="AU974" s="4"/>
      <c r="AV974" s="4"/>
      <c r="AW974" s="4"/>
      <c r="AX974" s="4"/>
      <c r="AY974" s="4"/>
      <c r="AZ974" s="4"/>
      <c r="BA974" s="4"/>
      <c r="BB974" s="4"/>
      <c r="BC974" s="4"/>
      <c r="BD974" s="4"/>
      <c r="BE974" s="4"/>
      <c r="BF974" s="4"/>
      <c r="BG974" s="4"/>
      <c r="BH974" s="4"/>
    </row>
    <row r="975" spans="1:60">
      <c r="A975" s="4"/>
      <c r="B975" s="3"/>
      <c r="C975" s="3"/>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5"/>
      <c r="AT975" s="4"/>
      <c r="AU975" s="4"/>
      <c r="AV975" s="4"/>
      <c r="AW975" s="4"/>
      <c r="AX975" s="4"/>
      <c r="AY975" s="4"/>
      <c r="AZ975" s="4"/>
      <c r="BA975" s="4"/>
      <c r="BB975" s="4"/>
      <c r="BC975" s="4"/>
      <c r="BD975" s="4"/>
      <c r="BE975" s="4"/>
      <c r="BF975" s="4"/>
      <c r="BG975" s="4"/>
      <c r="BH975" s="4"/>
    </row>
    <row r="976" spans="1:60">
      <c r="A976" s="4"/>
      <c r="B976" s="3"/>
      <c r="C976" s="3"/>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5"/>
      <c r="AT976" s="4"/>
      <c r="AU976" s="4"/>
      <c r="AV976" s="4"/>
      <c r="AW976" s="4"/>
      <c r="AX976" s="4"/>
      <c r="AY976" s="4"/>
      <c r="AZ976" s="4"/>
      <c r="BA976" s="4"/>
      <c r="BB976" s="4"/>
      <c r="BC976" s="4"/>
      <c r="BD976" s="4"/>
      <c r="BE976" s="4"/>
      <c r="BF976" s="4"/>
      <c r="BG976" s="4"/>
      <c r="BH976" s="4"/>
    </row>
    <row r="977" spans="1:60">
      <c r="A977" s="4"/>
      <c r="B977" s="3"/>
      <c r="C977" s="3"/>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5"/>
      <c r="AT977" s="4"/>
      <c r="AU977" s="4"/>
      <c r="AV977" s="4"/>
      <c r="AW977" s="4"/>
      <c r="AX977" s="4"/>
      <c r="AY977" s="4"/>
      <c r="AZ977" s="4"/>
      <c r="BA977" s="4"/>
      <c r="BB977" s="4"/>
      <c r="BC977" s="4"/>
      <c r="BD977" s="4"/>
      <c r="BE977" s="4"/>
      <c r="BF977" s="4"/>
      <c r="BG977" s="4"/>
      <c r="BH977" s="4"/>
    </row>
    <row r="978" spans="1:60">
      <c r="A978" s="4"/>
      <c r="B978" s="3"/>
      <c r="C978" s="3"/>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5"/>
      <c r="AT978" s="4"/>
      <c r="AU978" s="4"/>
      <c r="AV978" s="4"/>
      <c r="AW978" s="4"/>
      <c r="AX978" s="4"/>
      <c r="AY978" s="4"/>
      <c r="AZ978" s="4"/>
      <c r="BA978" s="4"/>
      <c r="BB978" s="4"/>
      <c r="BC978" s="4"/>
      <c r="BD978" s="4"/>
      <c r="BE978" s="4"/>
      <c r="BF978" s="4"/>
      <c r="BG978" s="4"/>
      <c r="BH978" s="4"/>
    </row>
    <row r="979" spans="1:60">
      <c r="A979" s="4"/>
      <c r="B979" s="3"/>
      <c r="C979" s="3"/>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5"/>
      <c r="AT979" s="4"/>
      <c r="AU979" s="4"/>
      <c r="AV979" s="4"/>
      <c r="AW979" s="4"/>
      <c r="AX979" s="4"/>
      <c r="AY979" s="4"/>
      <c r="AZ979" s="4"/>
      <c r="BA979" s="4"/>
      <c r="BB979" s="4"/>
      <c r="BC979" s="4"/>
      <c r="BD979" s="4"/>
      <c r="BE979" s="4"/>
      <c r="BF979" s="4"/>
      <c r="BG979" s="4"/>
      <c r="BH979" s="4"/>
    </row>
    <row r="980" spans="1:60">
      <c r="A980" s="4"/>
      <c r="B980" s="3"/>
      <c r="C980" s="3"/>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5"/>
      <c r="AT980" s="4"/>
      <c r="AU980" s="4"/>
      <c r="AV980" s="4"/>
      <c r="AW980" s="4"/>
      <c r="AX980" s="4"/>
      <c r="AY980" s="4"/>
      <c r="AZ980" s="4"/>
      <c r="BA980" s="4"/>
      <c r="BB980" s="4"/>
      <c r="BC980" s="4"/>
      <c r="BD980" s="4"/>
      <c r="BE980" s="4"/>
      <c r="BF980" s="4"/>
      <c r="BG980" s="4"/>
      <c r="BH980" s="4"/>
    </row>
    <row r="981" spans="1:60">
      <c r="A981" s="4"/>
      <c r="B981" s="3"/>
      <c r="C981" s="3"/>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5"/>
      <c r="AT981" s="4"/>
      <c r="AU981" s="4"/>
      <c r="AV981" s="4"/>
      <c r="AW981" s="4"/>
      <c r="AX981" s="4"/>
      <c r="AY981" s="4"/>
      <c r="AZ981" s="4"/>
      <c r="BA981" s="4"/>
      <c r="BB981" s="4"/>
      <c r="BC981" s="4"/>
      <c r="BD981" s="4"/>
      <c r="BE981" s="4"/>
      <c r="BF981" s="4"/>
      <c r="BG981" s="4"/>
      <c r="BH981" s="4"/>
    </row>
    <row r="982" spans="1:60">
      <c r="A982" s="4"/>
      <c r="B982" s="3"/>
      <c r="C982" s="3"/>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5"/>
      <c r="AT982" s="4"/>
      <c r="AU982" s="4"/>
      <c r="AV982" s="4"/>
      <c r="AW982" s="4"/>
      <c r="AX982" s="4"/>
      <c r="AY982" s="4"/>
      <c r="AZ982" s="4"/>
      <c r="BA982" s="4"/>
      <c r="BB982" s="4"/>
      <c r="BC982" s="4"/>
      <c r="BD982" s="4"/>
      <c r="BE982" s="4"/>
      <c r="BF982" s="4"/>
      <c r="BG982" s="4"/>
      <c r="BH982" s="4"/>
    </row>
    <row r="983" spans="1:60">
      <c r="A983" s="4"/>
      <c r="B983" s="3"/>
      <c r="C983" s="3"/>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5"/>
      <c r="AT983" s="4"/>
      <c r="AU983" s="4"/>
      <c r="AV983" s="4"/>
      <c r="AW983" s="4"/>
      <c r="AX983" s="4"/>
      <c r="AY983" s="4"/>
      <c r="AZ983" s="4"/>
      <c r="BA983" s="4"/>
      <c r="BB983" s="4"/>
      <c r="BC983" s="4"/>
      <c r="BD983" s="4"/>
      <c r="BE983" s="4"/>
      <c r="BF983" s="4"/>
      <c r="BG983" s="4"/>
      <c r="BH983" s="4"/>
    </row>
    <row r="984" spans="1:60">
      <c r="A984" s="4"/>
      <c r="B984" s="3"/>
      <c r="C984" s="3"/>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5"/>
      <c r="AT984" s="4"/>
      <c r="AU984" s="4"/>
      <c r="AV984" s="4"/>
      <c r="AW984" s="4"/>
      <c r="AX984" s="4"/>
      <c r="AY984" s="4"/>
      <c r="AZ984" s="4"/>
      <c r="BA984" s="4"/>
      <c r="BB984" s="4"/>
      <c r="BC984" s="4"/>
      <c r="BD984" s="4"/>
      <c r="BE984" s="4"/>
      <c r="BF984" s="4"/>
      <c r="BG984" s="4"/>
      <c r="BH984" s="4"/>
    </row>
    <row r="985" spans="1:60">
      <c r="A985" s="4"/>
      <c r="B985" s="3"/>
      <c r="C985" s="3"/>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5"/>
      <c r="AT985" s="4"/>
      <c r="AU985" s="4"/>
      <c r="AV985" s="4"/>
      <c r="AW985" s="4"/>
      <c r="AX985" s="4"/>
      <c r="AY985" s="4"/>
      <c r="AZ985" s="4"/>
      <c r="BA985" s="4"/>
      <c r="BB985" s="4"/>
      <c r="BC985" s="4"/>
      <c r="BD985" s="4"/>
      <c r="BE985" s="4"/>
      <c r="BF985" s="4"/>
      <c r="BG985" s="4"/>
      <c r="BH985" s="4"/>
    </row>
  </sheetData>
  <mergeCells count="74">
    <mergeCell ref="B101:B104"/>
    <mergeCell ref="B106:B110"/>
    <mergeCell ref="B112:B115"/>
    <mergeCell ref="B49:B52"/>
    <mergeCell ref="B72:B73"/>
    <mergeCell ref="B74:B78"/>
    <mergeCell ref="B80:B83"/>
    <mergeCell ref="B85:B88"/>
    <mergeCell ref="B60:B63"/>
    <mergeCell ref="B65:B68"/>
    <mergeCell ref="B133:B136"/>
    <mergeCell ref="B185:B188"/>
    <mergeCell ref="B140:B141"/>
    <mergeCell ref="B142:B146"/>
    <mergeCell ref="B147:H147"/>
    <mergeCell ref="B152:H152"/>
    <mergeCell ref="B157:H157"/>
    <mergeCell ref="B162:H162"/>
    <mergeCell ref="B168:H168"/>
    <mergeCell ref="B190:B194"/>
    <mergeCell ref="B196:B199"/>
    <mergeCell ref="B201:B204"/>
    <mergeCell ref="B148:B151"/>
    <mergeCell ref="B153:B156"/>
    <mergeCell ref="B158:B161"/>
    <mergeCell ref="B163:B167"/>
    <mergeCell ref="B169:B172"/>
    <mergeCell ref="B174:B178"/>
    <mergeCell ref="B180:B183"/>
    <mergeCell ref="B173:H173"/>
    <mergeCell ref="B179:H179"/>
    <mergeCell ref="B184:H184"/>
    <mergeCell ref="B189:H189"/>
    <mergeCell ref="B195:H195"/>
    <mergeCell ref="B200:H200"/>
    <mergeCell ref="C1:P1"/>
    <mergeCell ref="B4:B5"/>
    <mergeCell ref="B6:B10"/>
    <mergeCell ref="B11:I11"/>
    <mergeCell ref="B12:B15"/>
    <mergeCell ref="B16:I16"/>
    <mergeCell ref="B21:I21"/>
    <mergeCell ref="B17:B20"/>
    <mergeCell ref="B22:B25"/>
    <mergeCell ref="B26:I26"/>
    <mergeCell ref="B27:B31"/>
    <mergeCell ref="B32:I32"/>
    <mergeCell ref="B33:B36"/>
    <mergeCell ref="B37:I37"/>
    <mergeCell ref="B54:B58"/>
    <mergeCell ref="AT71:BH71"/>
    <mergeCell ref="B38:B42"/>
    <mergeCell ref="B43:I43"/>
    <mergeCell ref="B44:B47"/>
    <mergeCell ref="B48:I48"/>
    <mergeCell ref="B53:I53"/>
    <mergeCell ref="B59:I59"/>
    <mergeCell ref="B64:I64"/>
    <mergeCell ref="B116:I116"/>
    <mergeCell ref="B121:I121"/>
    <mergeCell ref="B127:I127"/>
    <mergeCell ref="B132:I132"/>
    <mergeCell ref="B79:I79"/>
    <mergeCell ref="B84:I84"/>
    <mergeCell ref="B89:I89"/>
    <mergeCell ref="B94:I94"/>
    <mergeCell ref="B100:I100"/>
    <mergeCell ref="B105:I105"/>
    <mergeCell ref="B111:I111"/>
    <mergeCell ref="B117:B120"/>
    <mergeCell ref="B122:B126"/>
    <mergeCell ref="B128:B131"/>
    <mergeCell ref="B90:B93"/>
    <mergeCell ref="B95:B99"/>
  </mergeCells>
  <pageMargins left="0" right="0" top="0" bottom="0" header="0" footer="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P199"/>
  <sheetViews>
    <sheetView workbookViewId="0">
      <selection activeCell="C202" sqref="C202"/>
    </sheetView>
  </sheetViews>
  <sheetFormatPr defaultColWidth="12.5703125" defaultRowHeight="15.75" customHeight="1"/>
  <cols>
    <col min="1" max="1" width="14.42578125" customWidth="1"/>
    <col min="2" max="2" width="81.7109375" customWidth="1"/>
    <col min="3" max="3" width="331.42578125" customWidth="1"/>
  </cols>
  <sheetData>
    <row r="1" spans="1:16">
      <c r="A1" s="675" t="s">
        <v>598</v>
      </c>
      <c r="B1" s="769"/>
      <c r="C1" s="769"/>
      <c r="D1" s="769"/>
      <c r="E1" s="769"/>
      <c r="F1" s="769"/>
      <c r="G1" s="769"/>
      <c r="H1" s="769"/>
      <c r="I1" s="769"/>
      <c r="J1" s="769"/>
    </row>
    <row r="2" spans="1:16">
      <c r="A2" s="675" t="s">
        <v>599</v>
      </c>
      <c r="B2" s="769"/>
      <c r="C2" s="769"/>
      <c r="D2" s="769"/>
      <c r="E2" s="769"/>
      <c r="F2" s="769"/>
      <c r="G2" s="769"/>
      <c r="H2" s="769"/>
      <c r="I2" s="769"/>
      <c r="J2" s="769"/>
    </row>
    <row r="4" spans="1:16">
      <c r="A4" s="119" t="s">
        <v>2</v>
      </c>
      <c r="B4" s="120" t="s">
        <v>3</v>
      </c>
      <c r="C4" s="120" t="s">
        <v>600</v>
      </c>
      <c r="D4" s="120" t="s">
        <v>601</v>
      </c>
      <c r="E4" s="120" t="s">
        <v>602</v>
      </c>
      <c r="F4" s="120" t="s">
        <v>603</v>
      </c>
      <c r="G4" s="120" t="s">
        <v>604</v>
      </c>
      <c r="H4" s="121" t="s">
        <v>605</v>
      </c>
      <c r="I4" s="120" t="s">
        <v>606</v>
      </c>
      <c r="J4" s="120" t="s">
        <v>572</v>
      </c>
      <c r="K4" s="122" t="s">
        <v>607</v>
      </c>
      <c r="L4" s="122" t="s">
        <v>608</v>
      </c>
      <c r="M4" s="122" t="s">
        <v>609</v>
      </c>
      <c r="N4" s="122" t="s">
        <v>610</v>
      </c>
      <c r="O4" s="122" t="s">
        <v>611</v>
      </c>
      <c r="P4" s="122" t="s">
        <v>612</v>
      </c>
    </row>
    <row r="5" spans="1:16">
      <c r="A5" s="123" t="s">
        <v>613</v>
      </c>
      <c r="B5" s="124" t="s">
        <v>614</v>
      </c>
      <c r="C5" s="124" t="s">
        <v>615</v>
      </c>
      <c r="D5" s="124" t="s">
        <v>616</v>
      </c>
      <c r="E5" s="124" t="s">
        <v>617</v>
      </c>
      <c r="F5" s="124" t="s">
        <v>618</v>
      </c>
      <c r="G5" s="124" t="s">
        <v>619</v>
      </c>
      <c r="H5" s="125" t="s">
        <v>620</v>
      </c>
      <c r="I5" s="125" t="s">
        <v>621</v>
      </c>
      <c r="J5" s="125" t="s">
        <v>622</v>
      </c>
      <c r="K5" s="125">
        <v>0</v>
      </c>
      <c r="L5" s="125">
        <v>0</v>
      </c>
      <c r="M5" s="125">
        <v>1</v>
      </c>
      <c r="N5" s="125">
        <v>1</v>
      </c>
      <c r="O5" s="125">
        <v>0</v>
      </c>
      <c r="P5" s="125">
        <v>2</v>
      </c>
    </row>
    <row r="6" spans="1:16">
      <c r="A6" s="126" t="s">
        <v>623</v>
      </c>
      <c r="B6" s="127" t="s">
        <v>624</v>
      </c>
      <c r="C6" s="127" t="s">
        <v>625</v>
      </c>
      <c r="D6" s="127" t="s">
        <v>626</v>
      </c>
      <c r="E6" s="127" t="s">
        <v>627</v>
      </c>
      <c r="F6" s="127" t="s">
        <v>628</v>
      </c>
      <c r="G6" s="127" t="s">
        <v>629</v>
      </c>
      <c r="H6" s="128" t="s">
        <v>630</v>
      </c>
      <c r="I6" s="129" t="s">
        <v>631</v>
      </c>
      <c r="J6" s="129" t="s">
        <v>622</v>
      </c>
      <c r="K6" s="129">
        <v>0</v>
      </c>
      <c r="L6" s="129">
        <v>2</v>
      </c>
      <c r="M6" s="129">
        <v>0</v>
      </c>
      <c r="N6" s="129">
        <v>1</v>
      </c>
      <c r="O6" s="129">
        <v>0</v>
      </c>
      <c r="P6" s="129">
        <v>3</v>
      </c>
    </row>
    <row r="7" spans="1:16">
      <c r="A7" s="123" t="s">
        <v>632</v>
      </c>
      <c r="B7" s="124" t="s">
        <v>633</v>
      </c>
      <c r="C7" s="124" t="s">
        <v>634</v>
      </c>
      <c r="D7" s="124" t="s">
        <v>635</v>
      </c>
      <c r="E7" s="124" t="s">
        <v>636</v>
      </c>
      <c r="F7" s="124" t="s">
        <v>637</v>
      </c>
      <c r="G7" s="124" t="s">
        <v>638</v>
      </c>
      <c r="H7" s="125" t="s">
        <v>620</v>
      </c>
      <c r="I7" s="125" t="s">
        <v>639</v>
      </c>
      <c r="J7" s="125" t="s">
        <v>622</v>
      </c>
      <c r="K7" s="125">
        <v>0</v>
      </c>
      <c r="L7" s="125">
        <v>0</v>
      </c>
      <c r="M7" s="125">
        <v>0</v>
      </c>
      <c r="N7" s="125">
        <v>1</v>
      </c>
      <c r="O7" s="125">
        <v>0</v>
      </c>
      <c r="P7" s="125">
        <v>1</v>
      </c>
    </row>
    <row r="8" spans="1:16">
      <c r="A8" s="126" t="s">
        <v>640</v>
      </c>
      <c r="B8" s="127" t="s">
        <v>641</v>
      </c>
      <c r="C8" s="127" t="s">
        <v>642</v>
      </c>
      <c r="D8" s="127" t="s">
        <v>643</v>
      </c>
      <c r="E8" s="127" t="s">
        <v>644</v>
      </c>
      <c r="F8" s="127" t="s">
        <v>645</v>
      </c>
      <c r="G8" s="127" t="s">
        <v>646</v>
      </c>
      <c r="H8" s="129" t="s">
        <v>647</v>
      </c>
      <c r="I8" s="129" t="s">
        <v>631</v>
      </c>
      <c r="J8" s="129" t="s">
        <v>622</v>
      </c>
      <c r="K8" s="129">
        <v>0</v>
      </c>
      <c r="L8" s="129">
        <v>2</v>
      </c>
      <c r="M8" s="129">
        <v>0</v>
      </c>
      <c r="N8" s="129">
        <v>1</v>
      </c>
      <c r="O8" s="129">
        <v>0</v>
      </c>
      <c r="P8" s="129">
        <v>3</v>
      </c>
    </row>
    <row r="9" spans="1:16">
      <c r="A9" s="123" t="s">
        <v>648</v>
      </c>
      <c r="B9" s="124" t="s">
        <v>649</v>
      </c>
      <c r="C9" s="124" t="s">
        <v>650</v>
      </c>
      <c r="D9" s="124" t="s">
        <v>643</v>
      </c>
      <c r="E9" s="124" t="s">
        <v>651</v>
      </c>
      <c r="F9" s="124" t="s">
        <v>652</v>
      </c>
      <c r="G9" s="124" t="s">
        <v>653</v>
      </c>
      <c r="H9" s="125" t="s">
        <v>620</v>
      </c>
      <c r="I9" s="125" t="s">
        <v>621</v>
      </c>
      <c r="J9" s="125" t="s">
        <v>622</v>
      </c>
      <c r="K9" s="125">
        <v>0</v>
      </c>
      <c r="L9" s="125">
        <v>0</v>
      </c>
      <c r="M9" s="125">
        <v>1</v>
      </c>
      <c r="N9" s="125">
        <v>1</v>
      </c>
      <c r="O9" s="125">
        <v>0</v>
      </c>
      <c r="P9" s="125">
        <v>2</v>
      </c>
    </row>
    <row r="10" spans="1:16">
      <c r="A10" s="126" t="s">
        <v>654</v>
      </c>
      <c r="B10" s="127" t="s">
        <v>655</v>
      </c>
      <c r="C10" s="127" t="s">
        <v>656</v>
      </c>
      <c r="D10" s="127" t="s">
        <v>657</v>
      </c>
      <c r="E10" s="127" t="s">
        <v>658</v>
      </c>
      <c r="F10" s="127" t="s">
        <v>659</v>
      </c>
      <c r="G10" s="127" t="s">
        <v>638</v>
      </c>
      <c r="H10" s="129" t="s">
        <v>630</v>
      </c>
      <c r="I10" s="129" t="s">
        <v>621</v>
      </c>
      <c r="J10" s="129" t="s">
        <v>622</v>
      </c>
      <c r="K10" s="129">
        <v>0</v>
      </c>
      <c r="L10" s="129">
        <v>0</v>
      </c>
      <c r="M10" s="129">
        <v>1</v>
      </c>
      <c r="N10" s="129">
        <v>0</v>
      </c>
      <c r="O10" s="129">
        <v>1</v>
      </c>
      <c r="P10" s="129">
        <v>2</v>
      </c>
    </row>
    <row r="11" spans="1:16">
      <c r="A11" s="123" t="s">
        <v>660</v>
      </c>
      <c r="B11" s="124" t="s">
        <v>661</v>
      </c>
      <c r="C11" s="124" t="s">
        <v>662</v>
      </c>
      <c r="D11" s="124" t="s">
        <v>626</v>
      </c>
      <c r="E11" s="124" t="s">
        <v>663</v>
      </c>
      <c r="F11" s="124" t="s">
        <v>664</v>
      </c>
      <c r="G11" s="124" t="s">
        <v>653</v>
      </c>
      <c r="H11" s="125" t="s">
        <v>620</v>
      </c>
      <c r="I11" s="125" t="s">
        <v>639</v>
      </c>
      <c r="J11" s="125" t="s">
        <v>622</v>
      </c>
      <c r="K11" s="125">
        <v>0</v>
      </c>
      <c r="L11" s="125">
        <v>0</v>
      </c>
      <c r="M11" s="125">
        <v>0</v>
      </c>
      <c r="N11" s="125">
        <v>1</v>
      </c>
      <c r="O11" s="125">
        <v>0</v>
      </c>
      <c r="P11" s="125">
        <v>1</v>
      </c>
    </row>
    <row r="12" spans="1:16">
      <c r="A12" s="126" t="s">
        <v>665</v>
      </c>
      <c r="B12" s="127" t="s">
        <v>666</v>
      </c>
      <c r="C12" s="127" t="s">
        <v>667</v>
      </c>
      <c r="D12" s="127" t="s">
        <v>616</v>
      </c>
      <c r="E12" s="127" t="s">
        <v>668</v>
      </c>
      <c r="F12" s="127" t="s">
        <v>669</v>
      </c>
      <c r="G12" s="127" t="s">
        <v>670</v>
      </c>
      <c r="H12" s="128" t="s">
        <v>620</v>
      </c>
      <c r="I12" s="129" t="s">
        <v>621</v>
      </c>
      <c r="J12" s="129" t="s">
        <v>622</v>
      </c>
      <c r="K12" s="129">
        <v>0</v>
      </c>
      <c r="L12" s="129">
        <v>0</v>
      </c>
      <c r="M12" s="129">
        <v>1</v>
      </c>
      <c r="N12" s="129">
        <v>1</v>
      </c>
      <c r="O12" s="129">
        <v>0</v>
      </c>
      <c r="P12" s="129">
        <v>2</v>
      </c>
    </row>
    <row r="13" spans="1:16">
      <c r="A13" s="123" t="s">
        <v>671</v>
      </c>
      <c r="B13" s="124" t="s">
        <v>672</v>
      </c>
      <c r="C13" s="124" t="s">
        <v>673</v>
      </c>
      <c r="D13" s="124" t="s">
        <v>657</v>
      </c>
      <c r="E13" s="124" t="s">
        <v>674</v>
      </c>
      <c r="F13" s="124" t="s">
        <v>675</v>
      </c>
      <c r="G13" s="124" t="s">
        <v>629</v>
      </c>
      <c r="H13" s="125" t="s">
        <v>620</v>
      </c>
      <c r="I13" s="125" t="s">
        <v>639</v>
      </c>
      <c r="J13" s="125" t="s">
        <v>622</v>
      </c>
      <c r="K13" s="125">
        <v>0</v>
      </c>
      <c r="L13" s="125">
        <v>0</v>
      </c>
      <c r="M13" s="125">
        <v>0</v>
      </c>
      <c r="N13" s="125">
        <v>1</v>
      </c>
      <c r="O13" s="125">
        <v>0</v>
      </c>
      <c r="P13" s="125">
        <v>1</v>
      </c>
    </row>
    <row r="14" spans="1:16">
      <c r="A14" s="130" t="s">
        <v>676</v>
      </c>
      <c r="B14" s="131" t="s">
        <v>677</v>
      </c>
      <c r="C14" s="131" t="s">
        <v>678</v>
      </c>
      <c r="D14" s="131" t="e">
        <v>#N/A</v>
      </c>
      <c r="E14" s="131" t="e">
        <v>#N/A</v>
      </c>
      <c r="F14" s="131" t="s">
        <v>679</v>
      </c>
      <c r="G14" s="131" t="s">
        <v>679</v>
      </c>
      <c r="H14" s="128" t="s">
        <v>647</v>
      </c>
      <c r="I14" s="128" t="s">
        <v>639</v>
      </c>
      <c r="J14" s="128" t="s">
        <v>622</v>
      </c>
      <c r="K14" s="128">
        <v>0</v>
      </c>
      <c r="L14" s="128">
        <v>0</v>
      </c>
      <c r="M14" s="128">
        <v>0</v>
      </c>
      <c r="N14" s="128">
        <v>1</v>
      </c>
      <c r="O14" s="128">
        <v>0</v>
      </c>
      <c r="P14" s="128">
        <v>1</v>
      </c>
    </row>
    <row r="15" spans="1:16">
      <c r="A15" s="123" t="s">
        <v>680</v>
      </c>
      <c r="B15" s="124" t="s">
        <v>681</v>
      </c>
      <c r="C15" s="124" t="s">
        <v>682</v>
      </c>
      <c r="D15" s="124" t="s">
        <v>626</v>
      </c>
      <c r="E15" s="124" t="s">
        <v>683</v>
      </c>
      <c r="F15" s="124" t="s">
        <v>684</v>
      </c>
      <c r="G15" s="124" t="s">
        <v>653</v>
      </c>
      <c r="H15" s="125" t="s">
        <v>620</v>
      </c>
      <c r="I15" s="125" t="s">
        <v>631</v>
      </c>
      <c r="J15" s="125" t="s">
        <v>622</v>
      </c>
      <c r="K15" s="125">
        <v>0</v>
      </c>
      <c r="L15" s="125">
        <v>2</v>
      </c>
      <c r="M15" s="125">
        <v>0</v>
      </c>
      <c r="N15" s="125">
        <v>1</v>
      </c>
      <c r="O15" s="125">
        <v>0</v>
      </c>
      <c r="P15" s="125">
        <v>3</v>
      </c>
    </row>
    <row r="16" spans="1:16">
      <c r="A16" s="126" t="s">
        <v>685</v>
      </c>
      <c r="B16" s="127" t="s">
        <v>686</v>
      </c>
      <c r="C16" s="127" t="s">
        <v>687</v>
      </c>
      <c r="D16" s="127" t="s">
        <v>688</v>
      </c>
      <c r="E16" s="127" t="s">
        <v>686</v>
      </c>
      <c r="F16" s="127" t="s">
        <v>679</v>
      </c>
      <c r="G16" s="127" t="s">
        <v>679</v>
      </c>
      <c r="H16" s="129" t="s">
        <v>689</v>
      </c>
      <c r="I16" s="129" t="s">
        <v>621</v>
      </c>
      <c r="J16" s="129" t="s">
        <v>622</v>
      </c>
      <c r="K16" s="129">
        <v>0</v>
      </c>
      <c r="L16" s="129">
        <v>0</v>
      </c>
      <c r="M16" s="129">
        <v>1</v>
      </c>
      <c r="N16" s="129">
        <v>1</v>
      </c>
      <c r="O16" s="129">
        <v>0</v>
      </c>
      <c r="P16" s="129">
        <v>2</v>
      </c>
    </row>
    <row r="17" spans="1:16">
      <c r="A17" s="123" t="s">
        <v>690</v>
      </c>
      <c r="B17" s="124" t="s">
        <v>691</v>
      </c>
      <c r="C17" s="124" t="s">
        <v>692</v>
      </c>
      <c r="D17" s="124" t="s">
        <v>616</v>
      </c>
      <c r="E17" s="124" t="s">
        <v>668</v>
      </c>
      <c r="F17" s="124" t="s">
        <v>693</v>
      </c>
      <c r="G17" s="124" t="s">
        <v>694</v>
      </c>
      <c r="H17" s="125" t="s">
        <v>620</v>
      </c>
      <c r="I17" s="125" t="s">
        <v>631</v>
      </c>
      <c r="J17" s="125" t="s">
        <v>622</v>
      </c>
      <c r="K17" s="125">
        <v>1</v>
      </c>
      <c r="L17" s="125">
        <v>0</v>
      </c>
      <c r="M17" s="125">
        <v>1</v>
      </c>
      <c r="N17" s="125">
        <v>1</v>
      </c>
      <c r="O17" s="125">
        <v>0</v>
      </c>
      <c r="P17" s="125">
        <v>3</v>
      </c>
    </row>
    <row r="18" spans="1:16">
      <c r="A18" s="126" t="s">
        <v>695</v>
      </c>
      <c r="B18" s="127" t="s">
        <v>696</v>
      </c>
      <c r="C18" s="127" t="s">
        <v>697</v>
      </c>
      <c r="D18" s="127" t="s">
        <v>626</v>
      </c>
      <c r="E18" s="127" t="s">
        <v>683</v>
      </c>
      <c r="F18" s="127" t="s">
        <v>684</v>
      </c>
      <c r="G18" s="127" t="s">
        <v>653</v>
      </c>
      <c r="H18" s="129" t="s">
        <v>620</v>
      </c>
      <c r="I18" s="129" t="s">
        <v>631</v>
      </c>
      <c r="J18" s="129" t="s">
        <v>622</v>
      </c>
      <c r="K18" s="129">
        <v>0</v>
      </c>
      <c r="L18" s="129">
        <v>2</v>
      </c>
      <c r="M18" s="129">
        <v>0</v>
      </c>
      <c r="N18" s="129">
        <v>1</v>
      </c>
      <c r="O18" s="129">
        <v>0</v>
      </c>
      <c r="P18" s="129">
        <v>3</v>
      </c>
    </row>
    <row r="19" spans="1:16">
      <c r="A19" s="123" t="s">
        <v>698</v>
      </c>
      <c r="B19" s="124" t="s">
        <v>699</v>
      </c>
      <c r="C19" s="124" t="s">
        <v>700</v>
      </c>
      <c r="D19" s="124" t="s">
        <v>701</v>
      </c>
      <c r="E19" s="124" t="s">
        <v>702</v>
      </c>
      <c r="F19" s="124" t="s">
        <v>703</v>
      </c>
      <c r="G19" s="124" t="s">
        <v>704</v>
      </c>
      <c r="H19" s="125" t="s">
        <v>620</v>
      </c>
      <c r="I19" s="125" t="s">
        <v>631</v>
      </c>
      <c r="J19" s="125" t="s">
        <v>622</v>
      </c>
      <c r="K19" s="125">
        <v>0</v>
      </c>
      <c r="L19" s="125">
        <v>0</v>
      </c>
      <c r="M19" s="125">
        <v>1</v>
      </c>
      <c r="N19" s="125">
        <v>1</v>
      </c>
      <c r="O19" s="125">
        <v>1</v>
      </c>
      <c r="P19" s="125">
        <v>3</v>
      </c>
    </row>
    <row r="20" spans="1:16">
      <c r="A20" s="126" t="s">
        <v>705</v>
      </c>
      <c r="B20" s="127" t="s">
        <v>706</v>
      </c>
      <c r="C20" s="127" t="s">
        <v>707</v>
      </c>
      <c r="D20" s="127" t="s">
        <v>626</v>
      </c>
      <c r="E20" s="127" t="s">
        <v>708</v>
      </c>
      <c r="F20" s="127" t="s">
        <v>664</v>
      </c>
      <c r="G20" s="127" t="s">
        <v>653</v>
      </c>
      <c r="H20" s="129" t="s">
        <v>647</v>
      </c>
      <c r="I20" s="129" t="s">
        <v>639</v>
      </c>
      <c r="J20" s="129" t="s">
        <v>622</v>
      </c>
      <c r="K20" s="129">
        <v>0</v>
      </c>
      <c r="L20" s="129">
        <v>0</v>
      </c>
      <c r="M20" s="129">
        <v>0</v>
      </c>
      <c r="N20" s="129">
        <v>1</v>
      </c>
      <c r="O20" s="129">
        <v>0</v>
      </c>
      <c r="P20" s="129">
        <v>1</v>
      </c>
    </row>
    <row r="21" spans="1:16">
      <c r="A21" s="123" t="s">
        <v>709</v>
      </c>
      <c r="B21" s="124" t="s">
        <v>710</v>
      </c>
      <c r="C21" s="124" t="s">
        <v>678</v>
      </c>
      <c r="D21" s="124" t="s">
        <v>688</v>
      </c>
      <c r="E21" s="124" t="s">
        <v>711</v>
      </c>
      <c r="F21" s="124" t="s">
        <v>679</v>
      </c>
      <c r="G21" s="124" t="s">
        <v>679</v>
      </c>
      <c r="H21" s="125" t="s">
        <v>620</v>
      </c>
      <c r="I21" s="125" t="s">
        <v>639</v>
      </c>
      <c r="J21" s="125" t="s">
        <v>622</v>
      </c>
      <c r="K21" s="125">
        <v>0</v>
      </c>
      <c r="L21" s="125">
        <v>0</v>
      </c>
      <c r="M21" s="125">
        <v>0</v>
      </c>
      <c r="N21" s="125">
        <v>1</v>
      </c>
      <c r="O21" s="125">
        <v>0</v>
      </c>
      <c r="P21" s="125">
        <v>1</v>
      </c>
    </row>
    <row r="22" spans="1:16">
      <c r="A22" s="126" t="s">
        <v>712</v>
      </c>
      <c r="B22" s="127" t="s">
        <v>713</v>
      </c>
      <c r="C22" s="127" t="s">
        <v>714</v>
      </c>
      <c r="D22" s="127" t="s">
        <v>715</v>
      </c>
      <c r="E22" s="127" t="s">
        <v>716</v>
      </c>
      <c r="F22" s="127" t="s">
        <v>645</v>
      </c>
      <c r="G22" s="127" t="s">
        <v>717</v>
      </c>
      <c r="H22" s="129" t="s">
        <v>630</v>
      </c>
      <c r="I22" s="129" t="s">
        <v>621</v>
      </c>
      <c r="J22" s="129" t="s">
        <v>622</v>
      </c>
      <c r="K22" s="129"/>
      <c r="L22" s="129"/>
      <c r="M22" s="129">
        <v>1</v>
      </c>
      <c r="N22" s="129"/>
      <c r="O22" s="129">
        <v>1</v>
      </c>
      <c r="P22" s="129">
        <v>2</v>
      </c>
    </row>
    <row r="23" spans="1:16">
      <c r="A23" s="123" t="s">
        <v>718</v>
      </c>
      <c r="B23" s="124" t="s">
        <v>719</v>
      </c>
      <c r="C23" s="124" t="s">
        <v>720</v>
      </c>
      <c r="D23" s="124" t="s">
        <v>643</v>
      </c>
      <c r="E23" s="124" t="s">
        <v>721</v>
      </c>
      <c r="F23" s="124" t="s">
        <v>722</v>
      </c>
      <c r="G23" s="124" t="s">
        <v>723</v>
      </c>
      <c r="H23" s="128" t="s">
        <v>724</v>
      </c>
      <c r="I23" s="125" t="s">
        <v>639</v>
      </c>
      <c r="J23" s="125" t="s">
        <v>622</v>
      </c>
      <c r="K23" s="125">
        <v>0</v>
      </c>
      <c r="L23" s="125">
        <v>0</v>
      </c>
      <c r="M23" s="125">
        <v>0</v>
      </c>
      <c r="N23" s="125">
        <v>0</v>
      </c>
      <c r="O23" s="125">
        <v>1</v>
      </c>
      <c r="P23" s="125">
        <v>1</v>
      </c>
    </row>
    <row r="24" spans="1:16">
      <c r="A24" s="126" t="s">
        <v>725</v>
      </c>
      <c r="B24" s="127" t="s">
        <v>726</v>
      </c>
      <c r="C24" s="127" t="s">
        <v>727</v>
      </c>
      <c r="D24" s="127" t="s">
        <v>626</v>
      </c>
      <c r="E24" s="127" t="s">
        <v>627</v>
      </c>
      <c r="F24" s="127" t="s">
        <v>728</v>
      </c>
      <c r="G24" s="127" t="s">
        <v>679</v>
      </c>
      <c r="H24" s="129" t="s">
        <v>620</v>
      </c>
      <c r="I24" s="129" t="s">
        <v>621</v>
      </c>
      <c r="J24" s="129" t="s">
        <v>622</v>
      </c>
      <c r="K24" s="129">
        <v>0</v>
      </c>
      <c r="L24" s="129">
        <v>0</v>
      </c>
      <c r="M24" s="129">
        <v>0</v>
      </c>
      <c r="N24" s="129">
        <v>1</v>
      </c>
      <c r="O24" s="129">
        <v>1</v>
      </c>
      <c r="P24" s="129">
        <v>2</v>
      </c>
    </row>
    <row r="25" spans="1:16">
      <c r="A25" s="123" t="s">
        <v>729</v>
      </c>
      <c r="B25" s="124" t="s">
        <v>730</v>
      </c>
      <c r="C25" s="124" t="s">
        <v>731</v>
      </c>
      <c r="D25" s="124" t="s">
        <v>643</v>
      </c>
      <c r="E25" s="124" t="s">
        <v>732</v>
      </c>
      <c r="F25" s="124" t="s">
        <v>114</v>
      </c>
      <c r="G25" s="124" t="s">
        <v>694</v>
      </c>
      <c r="H25" s="128" t="s">
        <v>620</v>
      </c>
      <c r="I25" s="125" t="s">
        <v>639</v>
      </c>
      <c r="J25" s="125" t="s">
        <v>622</v>
      </c>
      <c r="K25" s="125">
        <v>0</v>
      </c>
      <c r="L25" s="125">
        <v>0</v>
      </c>
      <c r="M25" s="125">
        <v>0</v>
      </c>
      <c r="N25" s="125">
        <v>1</v>
      </c>
      <c r="O25" s="125">
        <v>0</v>
      </c>
      <c r="P25" s="125">
        <v>1</v>
      </c>
    </row>
    <row r="26" spans="1:16">
      <c r="A26" s="126" t="s">
        <v>332</v>
      </c>
      <c r="B26" s="127" t="s">
        <v>733</v>
      </c>
      <c r="C26" s="127" t="s">
        <v>734</v>
      </c>
      <c r="D26" s="127" t="s">
        <v>635</v>
      </c>
      <c r="E26" s="127" t="s">
        <v>735</v>
      </c>
      <c r="F26" s="127" t="s">
        <v>736</v>
      </c>
      <c r="G26" s="127" t="s">
        <v>670</v>
      </c>
      <c r="H26" s="129" t="s">
        <v>620</v>
      </c>
      <c r="I26" s="129" t="s">
        <v>621</v>
      </c>
      <c r="J26" s="129" t="s">
        <v>622</v>
      </c>
      <c r="K26" s="129">
        <v>0</v>
      </c>
      <c r="L26" s="129">
        <v>0</v>
      </c>
      <c r="M26" s="129">
        <v>1</v>
      </c>
      <c r="N26" s="129">
        <v>1</v>
      </c>
      <c r="O26" s="129">
        <v>0</v>
      </c>
      <c r="P26" s="129">
        <v>2</v>
      </c>
    </row>
    <row r="27" spans="1:16">
      <c r="A27" s="123" t="s">
        <v>737</v>
      </c>
      <c r="B27" s="124" t="s">
        <v>738</v>
      </c>
      <c r="C27" s="124" t="s">
        <v>739</v>
      </c>
      <c r="D27" s="124" t="s">
        <v>701</v>
      </c>
      <c r="E27" s="124" t="s">
        <v>740</v>
      </c>
      <c r="F27" s="124" t="s">
        <v>741</v>
      </c>
      <c r="G27" s="124" t="s">
        <v>742</v>
      </c>
      <c r="H27" s="128" t="s">
        <v>620</v>
      </c>
      <c r="I27" s="125" t="s">
        <v>639</v>
      </c>
      <c r="J27" s="125" t="s">
        <v>622</v>
      </c>
      <c r="K27" s="125">
        <v>0</v>
      </c>
      <c r="L27" s="125">
        <v>0</v>
      </c>
      <c r="M27" s="125">
        <v>0</v>
      </c>
      <c r="N27" s="125">
        <v>1</v>
      </c>
      <c r="O27" s="125">
        <v>0</v>
      </c>
      <c r="P27" s="125">
        <v>1</v>
      </c>
    </row>
    <row r="28" spans="1:16">
      <c r="A28" s="126" t="s">
        <v>743</v>
      </c>
      <c r="B28" s="127" t="s">
        <v>744</v>
      </c>
      <c r="C28" s="127" t="s">
        <v>745</v>
      </c>
      <c r="D28" s="127" t="s">
        <v>635</v>
      </c>
      <c r="E28" s="127" t="s">
        <v>746</v>
      </c>
      <c r="F28" s="127" t="s">
        <v>637</v>
      </c>
      <c r="G28" s="127" t="s">
        <v>747</v>
      </c>
      <c r="H28" s="129" t="s">
        <v>630</v>
      </c>
      <c r="I28" s="129" t="s">
        <v>621</v>
      </c>
      <c r="J28" s="129" t="s">
        <v>622</v>
      </c>
      <c r="K28" s="129">
        <v>0</v>
      </c>
      <c r="L28" s="129">
        <v>0</v>
      </c>
      <c r="M28" s="129">
        <v>0</v>
      </c>
      <c r="N28" s="129">
        <v>1</v>
      </c>
      <c r="O28" s="129">
        <v>1</v>
      </c>
      <c r="P28" s="129">
        <v>2</v>
      </c>
    </row>
    <row r="29" spans="1:16">
      <c r="A29" s="123" t="s">
        <v>748</v>
      </c>
      <c r="B29" s="124" t="s">
        <v>749</v>
      </c>
      <c r="C29" s="124" t="s">
        <v>750</v>
      </c>
      <c r="D29" s="124" t="s">
        <v>715</v>
      </c>
      <c r="E29" s="124" t="s">
        <v>751</v>
      </c>
      <c r="F29" s="124" t="s">
        <v>752</v>
      </c>
      <c r="G29" s="124" t="s">
        <v>753</v>
      </c>
      <c r="H29" s="125" t="s">
        <v>630</v>
      </c>
      <c r="I29" s="125" t="s">
        <v>621</v>
      </c>
      <c r="J29" s="125" t="s">
        <v>622</v>
      </c>
      <c r="K29" s="125">
        <v>0</v>
      </c>
      <c r="L29" s="125">
        <v>0</v>
      </c>
      <c r="M29" s="125">
        <v>0</v>
      </c>
      <c r="N29" s="125">
        <v>1</v>
      </c>
      <c r="O29" s="125">
        <v>1</v>
      </c>
      <c r="P29" s="125">
        <v>2</v>
      </c>
    </row>
    <row r="30" spans="1:16">
      <c r="A30" s="126" t="s">
        <v>754</v>
      </c>
      <c r="B30" s="127" t="s">
        <v>755</v>
      </c>
      <c r="C30" s="127" t="s">
        <v>756</v>
      </c>
      <c r="D30" s="127" t="s">
        <v>616</v>
      </c>
      <c r="E30" s="127" t="s">
        <v>668</v>
      </c>
      <c r="F30" s="127" t="s">
        <v>741</v>
      </c>
      <c r="G30" s="127" t="s">
        <v>742</v>
      </c>
      <c r="H30" s="128" t="s">
        <v>620</v>
      </c>
      <c r="I30" s="129" t="s">
        <v>639</v>
      </c>
      <c r="J30" s="129" t="s">
        <v>622</v>
      </c>
      <c r="K30" s="129">
        <v>0</v>
      </c>
      <c r="L30" s="129">
        <v>0</v>
      </c>
      <c r="M30" s="129">
        <v>0</v>
      </c>
      <c r="N30" s="129">
        <v>1</v>
      </c>
      <c r="O30" s="129">
        <v>0</v>
      </c>
      <c r="P30" s="129">
        <v>1</v>
      </c>
    </row>
    <row r="31" spans="1:16">
      <c r="A31" s="123" t="s">
        <v>757</v>
      </c>
      <c r="B31" s="124" t="s">
        <v>758</v>
      </c>
      <c r="C31" s="124" t="s">
        <v>759</v>
      </c>
      <c r="D31" s="124" t="s">
        <v>715</v>
      </c>
      <c r="E31" s="124" t="s">
        <v>716</v>
      </c>
      <c r="F31" s="124" t="s">
        <v>675</v>
      </c>
      <c r="G31" s="124" t="s">
        <v>619</v>
      </c>
      <c r="H31" s="125" t="s">
        <v>620</v>
      </c>
      <c r="I31" s="125" t="s">
        <v>621</v>
      </c>
      <c r="J31" s="125" t="s">
        <v>622</v>
      </c>
      <c r="K31" s="125">
        <v>0</v>
      </c>
      <c r="L31" s="125">
        <v>0</v>
      </c>
      <c r="M31" s="125">
        <v>1</v>
      </c>
      <c r="N31" s="125">
        <v>1</v>
      </c>
      <c r="O31" s="125">
        <v>0</v>
      </c>
      <c r="P31" s="125">
        <v>2</v>
      </c>
    </row>
    <row r="32" spans="1:16">
      <c r="A32" s="126" t="s">
        <v>760</v>
      </c>
      <c r="B32" s="127" t="s">
        <v>761</v>
      </c>
      <c r="C32" s="127" t="s">
        <v>761</v>
      </c>
      <c r="D32" s="127" t="s">
        <v>616</v>
      </c>
      <c r="E32" s="127" t="s">
        <v>617</v>
      </c>
      <c r="F32" s="127" t="s">
        <v>762</v>
      </c>
      <c r="G32" s="127" t="s">
        <v>694</v>
      </c>
      <c r="H32" s="129" t="s">
        <v>620</v>
      </c>
      <c r="I32" s="129" t="s">
        <v>621</v>
      </c>
      <c r="J32" s="129" t="s">
        <v>622</v>
      </c>
      <c r="K32" s="129">
        <v>0</v>
      </c>
      <c r="L32" s="129">
        <v>0</v>
      </c>
      <c r="M32" s="129">
        <v>1</v>
      </c>
      <c r="N32" s="129">
        <v>1</v>
      </c>
      <c r="O32" s="129">
        <v>0</v>
      </c>
      <c r="P32" s="129">
        <v>2</v>
      </c>
    </row>
    <row r="33" spans="1:16">
      <c r="A33" s="123" t="s">
        <v>763</v>
      </c>
      <c r="B33" s="124" t="s">
        <v>764</v>
      </c>
      <c r="C33" s="124" t="s">
        <v>765</v>
      </c>
      <c r="D33" s="124" t="s">
        <v>626</v>
      </c>
      <c r="E33" s="124" t="s">
        <v>663</v>
      </c>
      <c r="F33" s="124" t="s">
        <v>684</v>
      </c>
      <c r="G33" s="124" t="s">
        <v>653</v>
      </c>
      <c r="H33" s="125" t="s">
        <v>689</v>
      </c>
      <c r="I33" s="125" t="s">
        <v>631</v>
      </c>
      <c r="J33" s="125" t="s">
        <v>622</v>
      </c>
      <c r="K33" s="125">
        <v>0</v>
      </c>
      <c r="L33" s="125">
        <v>2</v>
      </c>
      <c r="M33" s="125">
        <v>0</v>
      </c>
      <c r="N33" s="125">
        <v>1</v>
      </c>
      <c r="O33" s="125">
        <v>0</v>
      </c>
      <c r="P33" s="125">
        <v>3</v>
      </c>
    </row>
    <row r="34" spans="1:16">
      <c r="A34" s="126" t="s">
        <v>766</v>
      </c>
      <c r="B34" s="127" t="s">
        <v>767</v>
      </c>
      <c r="C34" s="127" t="s">
        <v>768</v>
      </c>
      <c r="D34" s="127" t="s">
        <v>616</v>
      </c>
      <c r="E34" s="127" t="s">
        <v>617</v>
      </c>
      <c r="F34" s="127" t="s">
        <v>114</v>
      </c>
      <c r="G34" s="127" t="s">
        <v>619</v>
      </c>
      <c r="H34" s="128" t="s">
        <v>620</v>
      </c>
      <c r="I34" s="129" t="s">
        <v>621</v>
      </c>
      <c r="J34" s="129" t="s">
        <v>622</v>
      </c>
      <c r="K34" s="129">
        <v>0</v>
      </c>
      <c r="L34" s="129">
        <v>0</v>
      </c>
      <c r="M34" s="129">
        <v>1</v>
      </c>
      <c r="N34" s="129">
        <v>1</v>
      </c>
      <c r="O34" s="129">
        <v>0</v>
      </c>
      <c r="P34" s="129">
        <v>2</v>
      </c>
    </row>
    <row r="35" spans="1:16">
      <c r="A35" s="123" t="s">
        <v>769</v>
      </c>
      <c r="B35" s="124" t="s">
        <v>770</v>
      </c>
      <c r="C35" s="124" t="s">
        <v>771</v>
      </c>
      <c r="D35" s="124" t="s">
        <v>626</v>
      </c>
      <c r="E35" s="124" t="s">
        <v>772</v>
      </c>
      <c r="F35" s="124" t="s">
        <v>762</v>
      </c>
      <c r="G35" s="124" t="s">
        <v>773</v>
      </c>
      <c r="H35" s="125" t="s">
        <v>620</v>
      </c>
      <c r="I35" s="125" t="s">
        <v>621</v>
      </c>
      <c r="J35" s="125" t="s">
        <v>622</v>
      </c>
      <c r="K35" s="125">
        <v>0</v>
      </c>
      <c r="L35" s="125">
        <v>0</v>
      </c>
      <c r="M35" s="125">
        <v>1</v>
      </c>
      <c r="N35" s="125">
        <v>1</v>
      </c>
      <c r="O35" s="125">
        <v>0</v>
      </c>
      <c r="P35" s="125">
        <v>2</v>
      </c>
    </row>
    <row r="36" spans="1:16">
      <c r="A36" s="126" t="s">
        <v>774</v>
      </c>
      <c r="B36" s="127" t="s">
        <v>775</v>
      </c>
      <c r="C36" s="127" t="s">
        <v>776</v>
      </c>
      <c r="D36" s="127" t="s">
        <v>643</v>
      </c>
      <c r="E36" s="127" t="s">
        <v>721</v>
      </c>
      <c r="F36" s="127" t="s">
        <v>777</v>
      </c>
      <c r="G36" s="127" t="s">
        <v>778</v>
      </c>
      <c r="H36" s="128" t="s">
        <v>689</v>
      </c>
      <c r="I36" s="129" t="s">
        <v>639</v>
      </c>
      <c r="J36" s="129" t="s">
        <v>622</v>
      </c>
      <c r="K36" s="129">
        <v>0</v>
      </c>
      <c r="L36" s="129">
        <v>0</v>
      </c>
      <c r="M36" s="129">
        <v>0</v>
      </c>
      <c r="N36" s="129">
        <v>1</v>
      </c>
      <c r="O36" s="129">
        <v>0</v>
      </c>
      <c r="P36" s="129">
        <v>1</v>
      </c>
    </row>
    <row r="37" spans="1:16">
      <c r="A37" s="123" t="s">
        <v>779</v>
      </c>
      <c r="B37" s="124" t="s">
        <v>780</v>
      </c>
      <c r="C37" s="124" t="s">
        <v>781</v>
      </c>
      <c r="D37" s="124" t="s">
        <v>657</v>
      </c>
      <c r="E37" s="124" t="s">
        <v>782</v>
      </c>
      <c r="F37" s="124" t="s">
        <v>736</v>
      </c>
      <c r="G37" s="124" t="s">
        <v>783</v>
      </c>
      <c r="H37" s="125" t="s">
        <v>620</v>
      </c>
      <c r="I37" s="125" t="s">
        <v>621</v>
      </c>
      <c r="J37" s="125" t="s">
        <v>622</v>
      </c>
      <c r="K37" s="125">
        <v>0</v>
      </c>
      <c r="L37" s="125">
        <v>0</v>
      </c>
      <c r="M37" s="125">
        <v>1</v>
      </c>
      <c r="N37" s="125">
        <v>1</v>
      </c>
      <c r="O37" s="125">
        <v>0</v>
      </c>
      <c r="P37" s="125">
        <v>2</v>
      </c>
    </row>
    <row r="38" spans="1:16">
      <c r="A38" s="126" t="s">
        <v>784</v>
      </c>
      <c r="B38" s="127" t="s">
        <v>785</v>
      </c>
      <c r="C38" s="127" t="s">
        <v>786</v>
      </c>
      <c r="D38" s="127" t="s">
        <v>643</v>
      </c>
      <c r="E38" s="127" t="s">
        <v>787</v>
      </c>
      <c r="F38" s="127" t="s">
        <v>788</v>
      </c>
      <c r="G38" s="127" t="s">
        <v>789</v>
      </c>
      <c r="H38" s="129" t="s">
        <v>620</v>
      </c>
      <c r="I38" s="129" t="s">
        <v>639</v>
      </c>
      <c r="J38" s="129" t="s">
        <v>622</v>
      </c>
      <c r="K38" s="129">
        <v>0</v>
      </c>
      <c r="L38" s="129">
        <v>0</v>
      </c>
      <c r="M38" s="129">
        <v>0</v>
      </c>
      <c r="N38" s="129">
        <v>1</v>
      </c>
      <c r="O38" s="129">
        <v>0</v>
      </c>
      <c r="P38" s="129">
        <v>1</v>
      </c>
    </row>
    <row r="39" spans="1:16">
      <c r="A39" s="123" t="s">
        <v>790</v>
      </c>
      <c r="B39" s="124" t="s">
        <v>791</v>
      </c>
      <c r="C39" s="132" t="s">
        <v>792</v>
      </c>
      <c r="D39" s="133" t="s">
        <v>643</v>
      </c>
      <c r="E39" s="133" t="s">
        <v>721</v>
      </c>
      <c r="F39" s="133" t="s">
        <v>793</v>
      </c>
      <c r="G39" s="133" t="s">
        <v>646</v>
      </c>
      <c r="H39" s="128" t="s">
        <v>724</v>
      </c>
      <c r="I39" s="125" t="s">
        <v>621</v>
      </c>
      <c r="J39" s="125" t="s">
        <v>622</v>
      </c>
      <c r="K39" s="125">
        <v>0</v>
      </c>
      <c r="L39" s="125">
        <v>0</v>
      </c>
      <c r="M39" s="125">
        <v>0</v>
      </c>
      <c r="N39" s="125">
        <v>1</v>
      </c>
      <c r="O39" s="125">
        <v>1</v>
      </c>
      <c r="P39" s="125">
        <v>2</v>
      </c>
    </row>
    <row r="40" spans="1:16">
      <c r="A40" s="126" t="s">
        <v>794</v>
      </c>
      <c r="B40" s="127" t="s">
        <v>795</v>
      </c>
      <c r="C40" s="127" t="s">
        <v>796</v>
      </c>
      <c r="D40" s="127" t="s">
        <v>657</v>
      </c>
      <c r="E40" s="127" t="s">
        <v>797</v>
      </c>
      <c r="F40" s="127" t="s">
        <v>798</v>
      </c>
      <c r="G40" s="127" t="s">
        <v>742</v>
      </c>
      <c r="H40" s="129" t="s">
        <v>620</v>
      </c>
      <c r="I40" s="129" t="s">
        <v>631</v>
      </c>
      <c r="J40" s="129" t="s">
        <v>622</v>
      </c>
      <c r="K40" s="129">
        <v>0</v>
      </c>
      <c r="L40" s="129">
        <v>2</v>
      </c>
      <c r="M40" s="129">
        <v>0</v>
      </c>
      <c r="N40" s="129">
        <v>1</v>
      </c>
      <c r="O40" s="129">
        <v>0</v>
      </c>
      <c r="P40" s="129">
        <v>3</v>
      </c>
    </row>
    <row r="41" spans="1:16">
      <c r="A41" s="123" t="s">
        <v>799</v>
      </c>
      <c r="B41" s="124" t="s">
        <v>800</v>
      </c>
      <c r="C41" s="124" t="s">
        <v>801</v>
      </c>
      <c r="D41" s="124" t="s">
        <v>657</v>
      </c>
      <c r="E41" s="124" t="s">
        <v>782</v>
      </c>
      <c r="F41" s="124" t="s">
        <v>762</v>
      </c>
      <c r="G41" s="124" t="s">
        <v>783</v>
      </c>
      <c r="H41" s="125" t="s">
        <v>620</v>
      </c>
      <c r="I41" s="125" t="s">
        <v>621</v>
      </c>
      <c r="J41" s="125" t="s">
        <v>622</v>
      </c>
      <c r="K41" s="125">
        <v>0</v>
      </c>
      <c r="L41" s="125">
        <v>0</v>
      </c>
      <c r="M41" s="125">
        <v>1</v>
      </c>
      <c r="N41" s="125">
        <v>1</v>
      </c>
      <c r="O41" s="125">
        <v>0</v>
      </c>
      <c r="P41" s="125">
        <v>2</v>
      </c>
    </row>
    <row r="42" spans="1:16">
      <c r="A42" s="126" t="s">
        <v>802</v>
      </c>
      <c r="B42" s="127" t="s">
        <v>803</v>
      </c>
      <c r="C42" s="127" t="s">
        <v>804</v>
      </c>
      <c r="D42" s="127" t="s">
        <v>643</v>
      </c>
      <c r="E42" s="127" t="s">
        <v>805</v>
      </c>
      <c r="F42" s="127" t="s">
        <v>806</v>
      </c>
      <c r="G42" s="127" t="s">
        <v>807</v>
      </c>
      <c r="H42" s="129" t="s">
        <v>620</v>
      </c>
      <c r="I42" s="129" t="s">
        <v>639</v>
      </c>
      <c r="J42" s="129" t="s">
        <v>622</v>
      </c>
      <c r="K42" s="129">
        <v>0</v>
      </c>
      <c r="L42" s="129">
        <v>0</v>
      </c>
      <c r="M42" s="129">
        <v>0</v>
      </c>
      <c r="N42" s="129">
        <v>1</v>
      </c>
      <c r="O42" s="129">
        <v>0</v>
      </c>
      <c r="P42" s="129">
        <v>1</v>
      </c>
    </row>
    <row r="43" spans="1:16">
      <c r="A43" s="123" t="s">
        <v>808</v>
      </c>
      <c r="B43" s="124" t="s">
        <v>809</v>
      </c>
      <c r="C43" s="124" t="s">
        <v>810</v>
      </c>
      <c r="D43" s="124" t="s">
        <v>616</v>
      </c>
      <c r="E43" s="124" t="s">
        <v>668</v>
      </c>
      <c r="F43" s="124" t="s">
        <v>811</v>
      </c>
      <c r="G43" s="124" t="s">
        <v>812</v>
      </c>
      <c r="H43" s="125" t="s">
        <v>620</v>
      </c>
      <c r="I43" s="125" t="s">
        <v>639</v>
      </c>
      <c r="J43" s="125" t="s">
        <v>622</v>
      </c>
      <c r="K43" s="125">
        <v>0</v>
      </c>
      <c r="L43" s="125">
        <v>0</v>
      </c>
      <c r="M43" s="125">
        <v>0</v>
      </c>
      <c r="N43" s="125">
        <v>1</v>
      </c>
      <c r="O43" s="125">
        <v>0</v>
      </c>
      <c r="P43" s="125">
        <v>1</v>
      </c>
    </row>
    <row r="44" spans="1:16">
      <c r="A44" s="126" t="s">
        <v>813</v>
      </c>
      <c r="B44" s="127" t="s">
        <v>814</v>
      </c>
      <c r="C44" s="127" t="s">
        <v>815</v>
      </c>
      <c r="D44" s="127" t="s">
        <v>616</v>
      </c>
      <c r="E44" s="127" t="s">
        <v>668</v>
      </c>
      <c r="F44" s="127" t="s">
        <v>618</v>
      </c>
      <c r="G44" s="127" t="s">
        <v>694</v>
      </c>
      <c r="H44" s="129" t="s">
        <v>620</v>
      </c>
      <c r="I44" s="129" t="s">
        <v>639</v>
      </c>
      <c r="J44" s="129" t="s">
        <v>622</v>
      </c>
      <c r="K44" s="129">
        <v>0</v>
      </c>
      <c r="L44" s="129">
        <v>0</v>
      </c>
      <c r="M44" s="129">
        <v>0</v>
      </c>
      <c r="N44" s="129">
        <v>1</v>
      </c>
      <c r="O44" s="129">
        <v>0</v>
      </c>
      <c r="P44" s="129">
        <v>1</v>
      </c>
    </row>
    <row r="45" spans="1:16">
      <c r="A45" s="123" t="s">
        <v>816</v>
      </c>
      <c r="B45" s="124" t="s">
        <v>817</v>
      </c>
      <c r="C45" s="124" t="s">
        <v>818</v>
      </c>
      <c r="D45" s="124" t="s">
        <v>616</v>
      </c>
      <c r="E45" s="124" t="s">
        <v>668</v>
      </c>
      <c r="F45" s="124" t="s">
        <v>659</v>
      </c>
      <c r="G45" s="124" t="s">
        <v>819</v>
      </c>
      <c r="H45" s="125" t="s">
        <v>620</v>
      </c>
      <c r="I45" s="125" t="s">
        <v>639</v>
      </c>
      <c r="J45" s="125" t="s">
        <v>622</v>
      </c>
      <c r="K45" s="125">
        <v>0</v>
      </c>
      <c r="L45" s="125">
        <v>0</v>
      </c>
      <c r="M45" s="125">
        <v>0</v>
      </c>
      <c r="N45" s="125">
        <v>1</v>
      </c>
      <c r="O45" s="125">
        <v>0</v>
      </c>
      <c r="P45" s="125">
        <v>1</v>
      </c>
    </row>
    <row r="46" spans="1:16">
      <c r="A46" s="126" t="s">
        <v>820</v>
      </c>
      <c r="B46" s="127" t="s">
        <v>821</v>
      </c>
      <c r="C46" s="127" t="s">
        <v>822</v>
      </c>
      <c r="D46" s="127" t="s">
        <v>616</v>
      </c>
      <c r="E46" s="127" t="s">
        <v>668</v>
      </c>
      <c r="F46" s="127" t="s">
        <v>675</v>
      </c>
      <c r="G46" s="127" t="s">
        <v>823</v>
      </c>
      <c r="H46" s="128" t="s">
        <v>620</v>
      </c>
      <c r="I46" s="129" t="s">
        <v>639</v>
      </c>
      <c r="J46" s="129" t="s">
        <v>622</v>
      </c>
      <c r="K46" s="129">
        <v>0</v>
      </c>
      <c r="L46" s="129">
        <v>0</v>
      </c>
      <c r="M46" s="129">
        <v>0</v>
      </c>
      <c r="N46" s="129">
        <v>1</v>
      </c>
      <c r="O46" s="129">
        <v>0</v>
      </c>
      <c r="P46" s="129">
        <v>1</v>
      </c>
    </row>
    <row r="47" spans="1:16">
      <c r="A47" s="123" t="s">
        <v>824</v>
      </c>
      <c r="B47" s="124" t="s">
        <v>825</v>
      </c>
      <c r="C47" s="124" t="s">
        <v>826</v>
      </c>
      <c r="D47" s="124" t="s">
        <v>701</v>
      </c>
      <c r="E47" s="124" t="s">
        <v>827</v>
      </c>
      <c r="F47" s="124" t="s">
        <v>741</v>
      </c>
      <c r="G47" s="124" t="s">
        <v>742</v>
      </c>
      <c r="H47" s="125" t="s">
        <v>724</v>
      </c>
      <c r="I47" s="125" t="s">
        <v>621</v>
      </c>
      <c r="J47" s="125" t="s">
        <v>622</v>
      </c>
      <c r="K47" s="125">
        <v>0</v>
      </c>
      <c r="L47" s="125">
        <v>0</v>
      </c>
      <c r="M47" s="125">
        <v>0</v>
      </c>
      <c r="N47" s="125">
        <v>1</v>
      </c>
      <c r="O47" s="125">
        <v>1</v>
      </c>
      <c r="P47" s="125">
        <v>2</v>
      </c>
    </row>
    <row r="48" spans="1:16">
      <c r="A48" s="126" t="s">
        <v>828</v>
      </c>
      <c r="B48" s="127" t="s">
        <v>829</v>
      </c>
      <c r="C48" s="127" t="s">
        <v>830</v>
      </c>
      <c r="D48" s="127" t="s">
        <v>715</v>
      </c>
      <c r="E48" s="127" t="s">
        <v>751</v>
      </c>
      <c r="F48" s="127" t="s">
        <v>741</v>
      </c>
      <c r="G48" s="127" t="s">
        <v>831</v>
      </c>
      <c r="H48" s="129" t="s">
        <v>620</v>
      </c>
      <c r="I48" s="129" t="s">
        <v>621</v>
      </c>
      <c r="J48" s="129" t="s">
        <v>622</v>
      </c>
      <c r="K48" s="129">
        <v>0</v>
      </c>
      <c r="L48" s="129">
        <v>0</v>
      </c>
      <c r="M48" s="129">
        <v>0</v>
      </c>
      <c r="N48" s="129">
        <v>0</v>
      </c>
      <c r="O48" s="129">
        <v>1</v>
      </c>
      <c r="P48" s="129">
        <v>1</v>
      </c>
    </row>
    <row r="49" spans="1:16">
      <c r="A49" s="123" t="s">
        <v>832</v>
      </c>
      <c r="B49" s="124" t="s">
        <v>833</v>
      </c>
      <c r="C49" s="124" t="s">
        <v>834</v>
      </c>
      <c r="D49" s="124" t="s">
        <v>643</v>
      </c>
      <c r="E49" s="124" t="s">
        <v>835</v>
      </c>
      <c r="F49" s="124" t="s">
        <v>836</v>
      </c>
      <c r="G49" s="124" t="s">
        <v>653</v>
      </c>
      <c r="H49" s="125" t="s">
        <v>620</v>
      </c>
      <c r="I49" s="125" t="s">
        <v>631</v>
      </c>
      <c r="J49" s="125" t="s">
        <v>622</v>
      </c>
      <c r="K49" s="125">
        <v>1</v>
      </c>
      <c r="L49" s="125">
        <v>0</v>
      </c>
      <c r="M49" s="125">
        <v>1</v>
      </c>
      <c r="N49" s="125">
        <v>1</v>
      </c>
      <c r="O49" s="125">
        <v>0</v>
      </c>
      <c r="P49" s="125">
        <v>3</v>
      </c>
    </row>
    <row r="50" spans="1:16">
      <c r="A50" s="126" t="s">
        <v>837</v>
      </c>
      <c r="B50" s="127" t="s">
        <v>838</v>
      </c>
      <c r="C50" s="127" t="s">
        <v>839</v>
      </c>
      <c r="D50" s="127" t="s">
        <v>715</v>
      </c>
      <c r="E50" s="127" t="s">
        <v>716</v>
      </c>
      <c r="F50" s="127" t="s">
        <v>637</v>
      </c>
      <c r="G50" s="127" t="s">
        <v>840</v>
      </c>
      <c r="H50" s="129" t="s">
        <v>630</v>
      </c>
      <c r="I50" s="129" t="s">
        <v>631</v>
      </c>
      <c r="J50" s="129" t="s">
        <v>622</v>
      </c>
      <c r="K50" s="129">
        <v>0</v>
      </c>
      <c r="L50" s="129">
        <v>0</v>
      </c>
      <c r="M50" s="129">
        <v>1</v>
      </c>
      <c r="N50" s="129">
        <v>1</v>
      </c>
      <c r="O50" s="129">
        <v>1</v>
      </c>
      <c r="P50" s="129">
        <v>3</v>
      </c>
    </row>
    <row r="51" spans="1:16">
      <c r="A51" s="123" t="s">
        <v>264</v>
      </c>
      <c r="B51" s="124" t="s">
        <v>584</v>
      </c>
      <c r="C51" s="124" t="s">
        <v>841</v>
      </c>
      <c r="D51" s="124" t="s">
        <v>635</v>
      </c>
      <c r="E51" s="124" t="s">
        <v>735</v>
      </c>
      <c r="F51" s="124" t="s">
        <v>842</v>
      </c>
      <c r="G51" s="124" t="s">
        <v>670</v>
      </c>
      <c r="H51" s="125" t="s">
        <v>620</v>
      </c>
      <c r="I51" s="125" t="s">
        <v>631</v>
      </c>
      <c r="J51" s="125" t="s">
        <v>622</v>
      </c>
      <c r="K51" s="125">
        <v>0</v>
      </c>
      <c r="L51" s="125">
        <v>0</v>
      </c>
      <c r="M51" s="125">
        <v>1</v>
      </c>
      <c r="N51" s="125">
        <v>1</v>
      </c>
      <c r="O51" s="125">
        <v>1</v>
      </c>
      <c r="P51" s="125">
        <v>3</v>
      </c>
    </row>
    <row r="52" spans="1:16">
      <c r="A52" s="130" t="s">
        <v>843</v>
      </c>
      <c r="B52" s="131" t="s">
        <v>844</v>
      </c>
      <c r="C52" s="131" t="s">
        <v>845</v>
      </c>
      <c r="D52" s="131" t="e">
        <v>#N/A</v>
      </c>
      <c r="E52" s="131" t="e">
        <v>#N/A</v>
      </c>
      <c r="F52" s="131" t="s">
        <v>659</v>
      </c>
      <c r="G52" s="131" t="s">
        <v>846</v>
      </c>
      <c r="H52" s="128" t="s">
        <v>724</v>
      </c>
      <c r="I52" s="128" t="s">
        <v>621</v>
      </c>
      <c r="J52" s="128" t="s">
        <v>622</v>
      </c>
      <c r="K52" s="128">
        <v>0</v>
      </c>
      <c r="L52" s="128">
        <v>0</v>
      </c>
      <c r="M52" s="128">
        <v>0</v>
      </c>
      <c r="N52" s="128">
        <v>1</v>
      </c>
      <c r="O52" s="128">
        <v>1</v>
      </c>
      <c r="P52" s="128">
        <v>2</v>
      </c>
    </row>
    <row r="53" spans="1:16">
      <c r="A53" s="123" t="s">
        <v>847</v>
      </c>
      <c r="B53" s="124" t="s">
        <v>848</v>
      </c>
      <c r="C53" s="124" t="s">
        <v>849</v>
      </c>
      <c r="D53" s="124" t="s">
        <v>715</v>
      </c>
      <c r="E53" s="124" t="s">
        <v>751</v>
      </c>
      <c r="F53" s="124" t="s">
        <v>659</v>
      </c>
      <c r="G53" s="124" t="s">
        <v>850</v>
      </c>
      <c r="H53" s="125" t="s">
        <v>724</v>
      </c>
      <c r="I53" s="125" t="s">
        <v>621</v>
      </c>
      <c r="J53" s="125" t="s">
        <v>622</v>
      </c>
      <c r="K53" s="125">
        <v>1</v>
      </c>
      <c r="L53" s="125">
        <v>0</v>
      </c>
      <c r="M53" s="125">
        <v>1</v>
      </c>
      <c r="N53" s="125">
        <v>0</v>
      </c>
      <c r="O53" s="125">
        <v>0</v>
      </c>
      <c r="P53" s="125">
        <v>2</v>
      </c>
    </row>
    <row r="54" spans="1:16">
      <c r="A54" s="126" t="s">
        <v>851</v>
      </c>
      <c r="B54" s="127" t="s">
        <v>852</v>
      </c>
      <c r="C54" s="127" t="s">
        <v>853</v>
      </c>
      <c r="D54" s="127" t="s">
        <v>626</v>
      </c>
      <c r="E54" s="127" t="s">
        <v>854</v>
      </c>
      <c r="F54" s="127" t="s">
        <v>618</v>
      </c>
      <c r="G54" s="127" t="s">
        <v>855</v>
      </c>
      <c r="H54" s="129" t="s">
        <v>620</v>
      </c>
      <c r="I54" s="129" t="s">
        <v>631</v>
      </c>
      <c r="J54" s="129" t="s">
        <v>622</v>
      </c>
      <c r="K54" s="129">
        <v>0</v>
      </c>
      <c r="L54" s="129">
        <v>0</v>
      </c>
      <c r="M54" s="129">
        <v>1</v>
      </c>
      <c r="N54" s="129">
        <v>1</v>
      </c>
      <c r="O54" s="129">
        <v>1</v>
      </c>
      <c r="P54" s="129">
        <v>3</v>
      </c>
    </row>
    <row r="55" spans="1:16">
      <c r="A55" s="123" t="s">
        <v>856</v>
      </c>
      <c r="B55" s="124" t="s">
        <v>857</v>
      </c>
      <c r="C55" s="124" t="s">
        <v>858</v>
      </c>
      <c r="D55" s="124" t="s">
        <v>688</v>
      </c>
      <c r="E55" s="124" t="s">
        <v>859</v>
      </c>
      <c r="F55" s="124" t="s">
        <v>679</v>
      </c>
      <c r="G55" s="124" t="s">
        <v>679</v>
      </c>
      <c r="H55" s="128" t="s">
        <v>620</v>
      </c>
      <c r="I55" s="125" t="s">
        <v>639</v>
      </c>
      <c r="J55" s="125" t="s">
        <v>622</v>
      </c>
      <c r="K55" s="125">
        <v>0</v>
      </c>
      <c r="L55" s="125">
        <v>0</v>
      </c>
      <c r="M55" s="125">
        <v>0</v>
      </c>
      <c r="N55" s="125">
        <v>1</v>
      </c>
      <c r="O55" s="125">
        <v>0</v>
      </c>
      <c r="P55" s="125">
        <v>1</v>
      </c>
    </row>
    <row r="56" spans="1:16">
      <c r="A56" s="130" t="s">
        <v>860</v>
      </c>
      <c r="B56" s="131" t="s">
        <v>861</v>
      </c>
      <c r="C56" s="131" t="s">
        <v>862</v>
      </c>
      <c r="D56" s="131" t="s">
        <v>657</v>
      </c>
      <c r="E56" s="131" t="s">
        <v>863</v>
      </c>
      <c r="F56" s="131" t="s">
        <v>752</v>
      </c>
      <c r="G56" s="131" t="s">
        <v>629</v>
      </c>
      <c r="H56" s="128" t="s">
        <v>630</v>
      </c>
      <c r="I56" s="128" t="s">
        <v>621</v>
      </c>
      <c r="J56" s="128" t="s">
        <v>622</v>
      </c>
      <c r="K56" s="128">
        <v>1</v>
      </c>
      <c r="L56" s="128">
        <v>0</v>
      </c>
      <c r="M56" s="128">
        <v>0</v>
      </c>
      <c r="N56" s="128">
        <v>1</v>
      </c>
      <c r="O56" s="128">
        <v>0</v>
      </c>
      <c r="P56" s="128">
        <v>2</v>
      </c>
    </row>
    <row r="57" spans="1:16">
      <c r="A57" s="130" t="s">
        <v>864</v>
      </c>
      <c r="B57" s="131" t="s">
        <v>865</v>
      </c>
      <c r="C57" s="131" t="s">
        <v>866</v>
      </c>
      <c r="D57" s="131" t="s">
        <v>657</v>
      </c>
      <c r="E57" s="131" t="s">
        <v>863</v>
      </c>
      <c r="F57" s="131" t="s">
        <v>752</v>
      </c>
      <c r="G57" s="131" t="s">
        <v>629</v>
      </c>
      <c r="H57" s="128" t="s">
        <v>630</v>
      </c>
      <c r="I57" s="128" t="s">
        <v>621</v>
      </c>
      <c r="J57" s="128" t="s">
        <v>622</v>
      </c>
      <c r="K57" s="128">
        <v>0</v>
      </c>
      <c r="L57" s="128">
        <v>0</v>
      </c>
      <c r="M57" s="128">
        <v>1</v>
      </c>
      <c r="N57" s="128">
        <v>1</v>
      </c>
      <c r="O57" s="128">
        <v>0</v>
      </c>
      <c r="P57" s="128">
        <v>2</v>
      </c>
    </row>
    <row r="58" spans="1:16">
      <c r="A58" s="126" t="s">
        <v>867</v>
      </c>
      <c r="B58" s="127" t="s">
        <v>868</v>
      </c>
      <c r="C58" s="127" t="s">
        <v>869</v>
      </c>
      <c r="D58" s="127" t="s">
        <v>635</v>
      </c>
      <c r="E58" s="127" t="s">
        <v>735</v>
      </c>
      <c r="F58" s="127" t="s">
        <v>870</v>
      </c>
      <c r="G58" s="127" t="s">
        <v>871</v>
      </c>
      <c r="H58" s="129" t="s">
        <v>620</v>
      </c>
      <c r="I58" s="129" t="s">
        <v>621</v>
      </c>
      <c r="J58" s="129" t="s">
        <v>622</v>
      </c>
      <c r="K58" s="129">
        <v>0</v>
      </c>
      <c r="L58" s="129">
        <v>0</v>
      </c>
      <c r="M58" s="129">
        <v>1</v>
      </c>
      <c r="N58" s="129">
        <v>1</v>
      </c>
      <c r="O58" s="129">
        <v>0</v>
      </c>
      <c r="P58" s="129">
        <v>2</v>
      </c>
    </row>
    <row r="59" spans="1:16">
      <c r="A59" s="123" t="s">
        <v>872</v>
      </c>
      <c r="B59" s="124" t="s">
        <v>873</v>
      </c>
      <c r="C59" s="124" t="s">
        <v>874</v>
      </c>
      <c r="D59" s="124" t="s">
        <v>626</v>
      </c>
      <c r="E59" s="124" t="s">
        <v>854</v>
      </c>
      <c r="F59" s="124" t="s">
        <v>875</v>
      </c>
      <c r="G59" s="124" t="s">
        <v>855</v>
      </c>
      <c r="H59" s="125" t="s">
        <v>620</v>
      </c>
      <c r="I59" s="125" t="s">
        <v>631</v>
      </c>
      <c r="J59" s="125" t="s">
        <v>622</v>
      </c>
      <c r="K59" s="125">
        <v>0</v>
      </c>
      <c r="L59" s="125">
        <v>0</v>
      </c>
      <c r="M59" s="125">
        <v>1</v>
      </c>
      <c r="N59" s="125">
        <v>1</v>
      </c>
      <c r="O59" s="125">
        <v>1</v>
      </c>
      <c r="P59" s="125">
        <v>3</v>
      </c>
    </row>
    <row r="60" spans="1:16">
      <c r="A60" s="126" t="s">
        <v>876</v>
      </c>
      <c r="B60" s="127" t="s">
        <v>877</v>
      </c>
      <c r="C60" s="127" t="s">
        <v>877</v>
      </c>
      <c r="D60" s="127" t="s">
        <v>643</v>
      </c>
      <c r="E60" s="127" t="s">
        <v>721</v>
      </c>
      <c r="F60" s="127" t="s">
        <v>652</v>
      </c>
      <c r="G60" s="127" t="s">
        <v>742</v>
      </c>
      <c r="H60" s="129" t="s">
        <v>620</v>
      </c>
      <c r="I60" s="129" t="s">
        <v>639</v>
      </c>
      <c r="J60" s="129" t="s">
        <v>622</v>
      </c>
      <c r="K60" s="129">
        <v>0</v>
      </c>
      <c r="L60" s="129">
        <v>0</v>
      </c>
      <c r="M60" s="129">
        <v>0</v>
      </c>
      <c r="N60" s="129">
        <v>1</v>
      </c>
      <c r="O60" s="129">
        <v>0</v>
      </c>
      <c r="P60" s="129">
        <v>1</v>
      </c>
    </row>
    <row r="61" spans="1:16">
      <c r="A61" s="123" t="s">
        <v>301</v>
      </c>
      <c r="B61" s="124" t="s">
        <v>878</v>
      </c>
      <c r="C61" s="124" t="s">
        <v>879</v>
      </c>
      <c r="D61" s="124" t="s">
        <v>715</v>
      </c>
      <c r="E61" s="124" t="s">
        <v>716</v>
      </c>
      <c r="F61" s="124" t="s">
        <v>645</v>
      </c>
      <c r="G61" s="124" t="s">
        <v>880</v>
      </c>
      <c r="H61" s="125" t="s">
        <v>630</v>
      </c>
      <c r="I61" s="125" t="s">
        <v>621</v>
      </c>
      <c r="J61" s="125" t="s">
        <v>622</v>
      </c>
      <c r="K61" s="125">
        <v>0</v>
      </c>
      <c r="L61" s="125">
        <v>0</v>
      </c>
      <c r="M61" s="125">
        <v>0</v>
      </c>
      <c r="N61" s="125">
        <v>1</v>
      </c>
      <c r="O61" s="125">
        <v>1</v>
      </c>
      <c r="P61" s="125">
        <v>2</v>
      </c>
    </row>
    <row r="62" spans="1:16">
      <c r="A62" s="126" t="s">
        <v>881</v>
      </c>
      <c r="B62" s="127" t="s">
        <v>882</v>
      </c>
      <c r="C62" s="127" t="s">
        <v>883</v>
      </c>
      <c r="D62" s="127" t="s">
        <v>616</v>
      </c>
      <c r="E62" s="127" t="s">
        <v>668</v>
      </c>
      <c r="F62" s="127" t="s">
        <v>693</v>
      </c>
      <c r="G62" s="127" t="s">
        <v>884</v>
      </c>
      <c r="H62" s="129" t="s">
        <v>620</v>
      </c>
      <c r="I62" s="129" t="s">
        <v>621</v>
      </c>
      <c r="J62" s="129" t="s">
        <v>622</v>
      </c>
      <c r="K62" s="129">
        <v>0</v>
      </c>
      <c r="L62" s="129">
        <v>0</v>
      </c>
      <c r="M62" s="129">
        <v>0</v>
      </c>
      <c r="N62" s="129">
        <v>1</v>
      </c>
      <c r="O62" s="129">
        <v>1</v>
      </c>
      <c r="P62" s="129">
        <v>2</v>
      </c>
    </row>
    <row r="63" spans="1:16">
      <c r="A63" s="123" t="s">
        <v>885</v>
      </c>
      <c r="B63" s="124" t="s">
        <v>886</v>
      </c>
      <c r="C63" s="124" t="s">
        <v>887</v>
      </c>
      <c r="D63" s="124" t="s">
        <v>643</v>
      </c>
      <c r="E63" s="124" t="s">
        <v>721</v>
      </c>
      <c r="F63" s="124" t="s">
        <v>888</v>
      </c>
      <c r="G63" s="124" t="s">
        <v>742</v>
      </c>
      <c r="H63" s="125" t="s">
        <v>620</v>
      </c>
      <c r="I63" s="125" t="s">
        <v>621</v>
      </c>
      <c r="J63" s="125" t="s">
        <v>622</v>
      </c>
      <c r="K63" s="125">
        <v>0</v>
      </c>
      <c r="L63" s="125">
        <v>0</v>
      </c>
      <c r="M63" s="125">
        <v>1</v>
      </c>
      <c r="N63" s="125">
        <v>1</v>
      </c>
      <c r="O63" s="125">
        <v>0</v>
      </c>
      <c r="P63" s="125">
        <v>2</v>
      </c>
    </row>
    <row r="64" spans="1:16">
      <c r="A64" s="126" t="s">
        <v>889</v>
      </c>
      <c r="B64" s="127" t="s">
        <v>890</v>
      </c>
      <c r="C64" s="127" t="s">
        <v>891</v>
      </c>
      <c r="D64" s="127" t="s">
        <v>892</v>
      </c>
      <c r="E64" s="127" t="s">
        <v>893</v>
      </c>
      <c r="F64" s="127" t="s">
        <v>645</v>
      </c>
      <c r="G64" s="127" t="s">
        <v>894</v>
      </c>
      <c r="H64" s="129" t="s">
        <v>630</v>
      </c>
      <c r="I64" s="129" t="s">
        <v>621</v>
      </c>
      <c r="J64" s="129" t="s">
        <v>622</v>
      </c>
      <c r="K64" s="129">
        <v>0</v>
      </c>
      <c r="L64" s="129">
        <v>0</v>
      </c>
      <c r="M64" s="129">
        <v>1</v>
      </c>
      <c r="N64" s="129">
        <v>0</v>
      </c>
      <c r="O64" s="129">
        <v>1</v>
      </c>
      <c r="P64" s="129">
        <v>2</v>
      </c>
    </row>
    <row r="65" spans="1:16">
      <c r="A65" s="123" t="s">
        <v>895</v>
      </c>
      <c r="B65" s="124" t="s">
        <v>896</v>
      </c>
      <c r="C65" s="124" t="s">
        <v>897</v>
      </c>
      <c r="D65" s="124" t="s">
        <v>701</v>
      </c>
      <c r="E65" s="124" t="s">
        <v>827</v>
      </c>
      <c r="F65" s="124" t="s">
        <v>811</v>
      </c>
      <c r="G65" s="124" t="s">
        <v>812</v>
      </c>
      <c r="H65" s="125" t="s">
        <v>724</v>
      </c>
      <c r="I65" s="125" t="s">
        <v>639</v>
      </c>
      <c r="J65" s="125" t="s">
        <v>622</v>
      </c>
      <c r="K65" s="125">
        <v>0</v>
      </c>
      <c r="L65" s="125">
        <v>0</v>
      </c>
      <c r="M65" s="125">
        <v>0</v>
      </c>
      <c r="N65" s="125">
        <v>0</v>
      </c>
      <c r="O65" s="125">
        <v>0</v>
      </c>
      <c r="P65" s="125">
        <v>0</v>
      </c>
    </row>
    <row r="66" spans="1:16">
      <c r="A66" s="126" t="s">
        <v>898</v>
      </c>
      <c r="B66" s="127" t="s">
        <v>899</v>
      </c>
      <c r="C66" s="127" t="s">
        <v>900</v>
      </c>
      <c r="D66" s="127" t="s">
        <v>715</v>
      </c>
      <c r="E66" s="127" t="s">
        <v>751</v>
      </c>
      <c r="F66" s="127" t="s">
        <v>637</v>
      </c>
      <c r="G66" s="127" t="s">
        <v>638</v>
      </c>
      <c r="H66" s="129" t="s">
        <v>620</v>
      </c>
      <c r="I66" s="129" t="s">
        <v>639</v>
      </c>
      <c r="J66" s="129" t="s">
        <v>622</v>
      </c>
      <c r="K66" s="129">
        <v>0</v>
      </c>
      <c r="L66" s="129">
        <v>0</v>
      </c>
      <c r="M66" s="129">
        <v>0</v>
      </c>
      <c r="N66" s="129">
        <v>0</v>
      </c>
      <c r="O66" s="129">
        <v>1</v>
      </c>
      <c r="P66" s="129">
        <v>1</v>
      </c>
    </row>
    <row r="67" spans="1:16">
      <c r="A67" s="123" t="s">
        <v>901</v>
      </c>
      <c r="B67" s="124" t="s">
        <v>902</v>
      </c>
      <c r="C67" s="124" t="s">
        <v>903</v>
      </c>
      <c r="D67" s="124" t="s">
        <v>715</v>
      </c>
      <c r="E67" s="124" t="s">
        <v>751</v>
      </c>
      <c r="F67" s="124" t="s">
        <v>798</v>
      </c>
      <c r="G67" s="124" t="s">
        <v>638</v>
      </c>
      <c r="H67" s="125" t="s">
        <v>620</v>
      </c>
      <c r="I67" s="125" t="s">
        <v>639</v>
      </c>
      <c r="J67" s="125" t="s">
        <v>622</v>
      </c>
      <c r="K67" s="125">
        <v>0</v>
      </c>
      <c r="L67" s="125">
        <v>0</v>
      </c>
      <c r="M67" s="125">
        <v>0</v>
      </c>
      <c r="N67" s="125">
        <v>0</v>
      </c>
      <c r="O67" s="125">
        <v>1</v>
      </c>
      <c r="P67" s="125">
        <v>1</v>
      </c>
    </row>
    <row r="68" spans="1:16">
      <c r="A68" s="126" t="s">
        <v>904</v>
      </c>
      <c r="B68" s="127" t="s">
        <v>905</v>
      </c>
      <c r="C68" s="127" t="s">
        <v>906</v>
      </c>
      <c r="D68" s="127" t="s">
        <v>715</v>
      </c>
      <c r="E68" s="127" t="s">
        <v>716</v>
      </c>
      <c r="F68" s="127" t="s">
        <v>637</v>
      </c>
      <c r="G68" s="127" t="s">
        <v>638</v>
      </c>
      <c r="H68" s="129" t="s">
        <v>620</v>
      </c>
      <c r="I68" s="129" t="s">
        <v>639</v>
      </c>
      <c r="J68" s="129" t="s">
        <v>622</v>
      </c>
      <c r="K68" s="129">
        <v>0</v>
      </c>
      <c r="L68" s="129">
        <v>0</v>
      </c>
      <c r="M68" s="129">
        <v>0</v>
      </c>
      <c r="N68" s="129">
        <v>0</v>
      </c>
      <c r="O68" s="129">
        <v>1</v>
      </c>
      <c r="P68" s="129">
        <v>1</v>
      </c>
    </row>
    <row r="69" spans="1:16">
      <c r="A69" s="123" t="s">
        <v>907</v>
      </c>
      <c r="B69" s="124" t="s">
        <v>908</v>
      </c>
      <c r="C69" s="124" t="s">
        <v>909</v>
      </c>
      <c r="D69" s="124" t="s">
        <v>715</v>
      </c>
      <c r="E69" s="124" t="s">
        <v>751</v>
      </c>
      <c r="F69" s="124" t="s">
        <v>637</v>
      </c>
      <c r="G69" s="124" t="s">
        <v>638</v>
      </c>
      <c r="H69" s="125" t="s">
        <v>620</v>
      </c>
      <c r="I69" s="125" t="s">
        <v>639</v>
      </c>
      <c r="J69" s="125" t="s">
        <v>622</v>
      </c>
      <c r="K69" s="125">
        <v>0</v>
      </c>
      <c r="L69" s="125">
        <v>0</v>
      </c>
      <c r="M69" s="125">
        <v>0</v>
      </c>
      <c r="N69" s="125">
        <v>0</v>
      </c>
      <c r="O69" s="125">
        <v>1</v>
      </c>
      <c r="P69" s="125">
        <v>1</v>
      </c>
    </row>
    <row r="70" spans="1:16">
      <c r="A70" s="126" t="s">
        <v>910</v>
      </c>
      <c r="B70" s="127" t="s">
        <v>911</v>
      </c>
      <c r="C70" s="127" t="s">
        <v>912</v>
      </c>
      <c r="D70" s="127" t="s">
        <v>715</v>
      </c>
      <c r="E70" s="127" t="s">
        <v>751</v>
      </c>
      <c r="F70" s="127" t="s">
        <v>637</v>
      </c>
      <c r="G70" s="127" t="s">
        <v>638</v>
      </c>
      <c r="H70" s="129" t="s">
        <v>620</v>
      </c>
      <c r="I70" s="129" t="s">
        <v>639</v>
      </c>
      <c r="J70" s="129" t="s">
        <v>622</v>
      </c>
      <c r="K70" s="129">
        <v>0</v>
      </c>
      <c r="L70" s="129">
        <v>0</v>
      </c>
      <c r="M70" s="129">
        <v>0</v>
      </c>
      <c r="N70" s="129">
        <v>0</v>
      </c>
      <c r="O70" s="129">
        <v>1</v>
      </c>
      <c r="P70" s="129">
        <v>1</v>
      </c>
    </row>
    <row r="71" spans="1:16">
      <c r="A71" s="123" t="s">
        <v>913</v>
      </c>
      <c r="B71" s="124" t="s">
        <v>914</v>
      </c>
      <c r="C71" s="124" t="s">
        <v>915</v>
      </c>
      <c r="D71" s="124" t="s">
        <v>715</v>
      </c>
      <c r="E71" s="124" t="s">
        <v>716</v>
      </c>
      <c r="F71" s="124" t="s">
        <v>637</v>
      </c>
      <c r="G71" s="124" t="s">
        <v>638</v>
      </c>
      <c r="H71" s="125" t="s">
        <v>630</v>
      </c>
      <c r="I71" s="125" t="s">
        <v>621</v>
      </c>
      <c r="J71" s="125" t="s">
        <v>622</v>
      </c>
      <c r="K71" s="125" t="e">
        <v>#N/A</v>
      </c>
      <c r="L71" s="125" t="e">
        <v>#N/A</v>
      </c>
      <c r="M71" s="125" t="e">
        <v>#N/A</v>
      </c>
      <c r="N71" s="125" t="e">
        <v>#N/A</v>
      </c>
      <c r="O71" s="125" t="e">
        <v>#N/A</v>
      </c>
      <c r="P71" s="125" t="e">
        <v>#N/A</v>
      </c>
    </row>
    <row r="72" spans="1:16">
      <c r="A72" s="126" t="s">
        <v>916</v>
      </c>
      <c r="B72" s="127" t="s">
        <v>917</v>
      </c>
      <c r="C72" s="127" t="s">
        <v>918</v>
      </c>
      <c r="D72" s="127" t="s">
        <v>643</v>
      </c>
      <c r="E72" s="127" t="s">
        <v>835</v>
      </c>
      <c r="F72" s="127" t="s">
        <v>919</v>
      </c>
      <c r="G72" s="127" t="s">
        <v>653</v>
      </c>
      <c r="H72" s="129" t="s">
        <v>620</v>
      </c>
      <c r="I72" s="129" t="s">
        <v>639</v>
      </c>
      <c r="J72" s="129" t="s">
        <v>622</v>
      </c>
      <c r="K72" s="129">
        <v>0</v>
      </c>
      <c r="L72" s="129">
        <v>0</v>
      </c>
      <c r="M72" s="129">
        <v>0</v>
      </c>
      <c r="N72" s="129">
        <v>1</v>
      </c>
      <c r="O72" s="129">
        <v>0</v>
      </c>
      <c r="P72" s="129">
        <v>1</v>
      </c>
    </row>
    <row r="73" spans="1:16">
      <c r="A73" s="123" t="s">
        <v>920</v>
      </c>
      <c r="B73" s="124" t="s">
        <v>921</v>
      </c>
      <c r="C73" s="124" t="s">
        <v>922</v>
      </c>
      <c r="D73" s="124" t="s">
        <v>635</v>
      </c>
      <c r="E73" s="124" t="s">
        <v>735</v>
      </c>
      <c r="F73" s="124" t="s">
        <v>923</v>
      </c>
      <c r="G73" s="124" t="s">
        <v>807</v>
      </c>
      <c r="H73" s="125" t="s">
        <v>620</v>
      </c>
      <c r="I73" s="125" t="s">
        <v>621</v>
      </c>
      <c r="J73" s="125" t="s">
        <v>622</v>
      </c>
      <c r="K73" s="125">
        <v>0</v>
      </c>
      <c r="L73" s="125">
        <v>0</v>
      </c>
      <c r="M73" s="125">
        <v>1</v>
      </c>
      <c r="N73" s="125">
        <v>1</v>
      </c>
      <c r="O73" s="125">
        <v>0</v>
      </c>
      <c r="P73" s="125">
        <v>2</v>
      </c>
    </row>
    <row r="74" spans="1:16">
      <c r="A74" s="126" t="s">
        <v>924</v>
      </c>
      <c r="B74" s="127" t="s">
        <v>925</v>
      </c>
      <c r="C74" s="127" t="s">
        <v>926</v>
      </c>
      <c r="D74" s="127" t="s">
        <v>657</v>
      </c>
      <c r="E74" s="127" t="s">
        <v>782</v>
      </c>
      <c r="F74" s="127" t="s">
        <v>736</v>
      </c>
      <c r="G74" s="127" t="s">
        <v>783</v>
      </c>
      <c r="H74" s="129" t="s">
        <v>620</v>
      </c>
      <c r="I74" s="129" t="s">
        <v>631</v>
      </c>
      <c r="J74" s="129" t="s">
        <v>622</v>
      </c>
      <c r="K74" s="129">
        <v>1</v>
      </c>
      <c r="L74" s="129">
        <v>0</v>
      </c>
      <c r="M74" s="129">
        <v>1</v>
      </c>
      <c r="N74" s="129">
        <v>1</v>
      </c>
      <c r="O74" s="129">
        <v>0</v>
      </c>
      <c r="P74" s="129">
        <v>3</v>
      </c>
    </row>
    <row r="75" spans="1:16">
      <c r="A75" s="123" t="s">
        <v>927</v>
      </c>
      <c r="B75" s="124" t="s">
        <v>928</v>
      </c>
      <c r="C75" s="124" t="s">
        <v>929</v>
      </c>
      <c r="D75" s="124" t="s">
        <v>892</v>
      </c>
      <c r="E75" s="124" t="s">
        <v>893</v>
      </c>
      <c r="F75" s="124" t="s">
        <v>930</v>
      </c>
      <c r="G75" s="124" t="s">
        <v>931</v>
      </c>
      <c r="H75" s="125" t="s">
        <v>620</v>
      </c>
      <c r="I75" s="125" t="s">
        <v>639</v>
      </c>
      <c r="J75" s="125" t="s">
        <v>622</v>
      </c>
      <c r="K75" s="125">
        <v>0</v>
      </c>
      <c r="L75" s="125">
        <v>0</v>
      </c>
      <c r="M75" s="125">
        <v>0</v>
      </c>
      <c r="N75" s="125">
        <v>1</v>
      </c>
      <c r="O75" s="125">
        <v>0</v>
      </c>
      <c r="P75" s="125">
        <v>1</v>
      </c>
    </row>
    <row r="76" spans="1:16">
      <c r="A76" s="126" t="s">
        <v>932</v>
      </c>
      <c r="B76" s="127" t="s">
        <v>933</v>
      </c>
      <c r="C76" s="127" t="s">
        <v>801</v>
      </c>
      <c r="D76" s="127" t="s">
        <v>657</v>
      </c>
      <c r="E76" s="127" t="s">
        <v>782</v>
      </c>
      <c r="F76" s="127" t="s">
        <v>762</v>
      </c>
      <c r="G76" s="127" t="s">
        <v>783</v>
      </c>
      <c r="H76" s="129" t="s">
        <v>620</v>
      </c>
      <c r="I76" s="129" t="s">
        <v>631</v>
      </c>
      <c r="J76" s="129" t="s">
        <v>622</v>
      </c>
      <c r="K76" s="129">
        <v>1</v>
      </c>
      <c r="L76" s="129">
        <v>0</v>
      </c>
      <c r="M76" s="129">
        <v>1</v>
      </c>
      <c r="N76" s="129">
        <v>1</v>
      </c>
      <c r="O76" s="129">
        <v>0</v>
      </c>
      <c r="P76" s="129">
        <v>3</v>
      </c>
    </row>
    <row r="77" spans="1:16">
      <c r="A77" s="123" t="s">
        <v>934</v>
      </c>
      <c r="B77" s="124" t="s">
        <v>935</v>
      </c>
      <c r="C77" s="124" t="s">
        <v>936</v>
      </c>
      <c r="D77" s="124" t="s">
        <v>657</v>
      </c>
      <c r="E77" s="124" t="s">
        <v>782</v>
      </c>
      <c r="F77" s="124" t="s">
        <v>842</v>
      </c>
      <c r="G77" s="124" t="s">
        <v>937</v>
      </c>
      <c r="H77" s="125" t="s">
        <v>620</v>
      </c>
      <c r="I77" s="125" t="s">
        <v>631</v>
      </c>
      <c r="J77" s="125" t="s">
        <v>622</v>
      </c>
      <c r="K77" s="125">
        <v>0</v>
      </c>
      <c r="L77" s="125">
        <v>2</v>
      </c>
      <c r="M77" s="125">
        <v>0</v>
      </c>
      <c r="N77" s="125">
        <v>1</v>
      </c>
      <c r="O77" s="125">
        <v>0</v>
      </c>
      <c r="P77" s="125">
        <v>3</v>
      </c>
    </row>
    <row r="78" spans="1:16">
      <c r="A78" s="126" t="s">
        <v>938</v>
      </c>
      <c r="B78" s="127" t="s">
        <v>939</v>
      </c>
      <c r="C78" s="127" t="s">
        <v>940</v>
      </c>
      <c r="D78" s="127" t="s">
        <v>635</v>
      </c>
      <c r="E78" s="127" t="s">
        <v>941</v>
      </c>
      <c r="F78" s="127" t="s">
        <v>798</v>
      </c>
      <c r="G78" s="127" t="s">
        <v>747</v>
      </c>
      <c r="H78" s="129" t="s">
        <v>620</v>
      </c>
      <c r="I78" s="129" t="s">
        <v>639</v>
      </c>
      <c r="J78" s="129" t="s">
        <v>622</v>
      </c>
      <c r="K78" s="129">
        <v>0</v>
      </c>
      <c r="L78" s="129">
        <v>0</v>
      </c>
      <c r="M78" s="129">
        <v>0</v>
      </c>
      <c r="N78" s="129">
        <v>1</v>
      </c>
      <c r="O78" s="129">
        <v>0</v>
      </c>
      <c r="P78" s="129">
        <v>1</v>
      </c>
    </row>
    <row r="79" spans="1:16">
      <c r="A79" s="123" t="s">
        <v>942</v>
      </c>
      <c r="B79" s="124" t="s">
        <v>943</v>
      </c>
      <c r="C79" s="124" t="s">
        <v>944</v>
      </c>
      <c r="D79" s="124" t="s">
        <v>616</v>
      </c>
      <c r="E79" s="124" t="s">
        <v>668</v>
      </c>
      <c r="F79" s="124" t="s">
        <v>693</v>
      </c>
      <c r="G79" s="124" t="s">
        <v>945</v>
      </c>
      <c r="H79" s="125" t="s">
        <v>620</v>
      </c>
      <c r="I79" s="125" t="s">
        <v>631</v>
      </c>
      <c r="J79" s="125" t="s">
        <v>622</v>
      </c>
      <c r="K79" s="125">
        <v>0</v>
      </c>
      <c r="L79" s="125">
        <v>0</v>
      </c>
      <c r="M79" s="125">
        <v>1</v>
      </c>
      <c r="N79" s="125">
        <v>1</v>
      </c>
      <c r="O79" s="125">
        <v>1</v>
      </c>
      <c r="P79" s="125">
        <v>3</v>
      </c>
    </row>
    <row r="80" spans="1:16">
      <c r="A80" s="126" t="s">
        <v>946</v>
      </c>
      <c r="B80" s="127" t="s">
        <v>947</v>
      </c>
      <c r="C80" s="127" t="s">
        <v>948</v>
      </c>
      <c r="D80" s="127" t="s">
        <v>643</v>
      </c>
      <c r="E80" s="127" t="s">
        <v>721</v>
      </c>
      <c r="F80" s="127" t="s">
        <v>949</v>
      </c>
      <c r="G80" s="127" t="s">
        <v>653</v>
      </c>
      <c r="H80" s="129" t="s">
        <v>620</v>
      </c>
      <c r="I80" s="129" t="s">
        <v>639</v>
      </c>
      <c r="J80" s="129" t="s">
        <v>622</v>
      </c>
      <c r="K80" s="129">
        <v>0</v>
      </c>
      <c r="L80" s="129">
        <v>0</v>
      </c>
      <c r="M80" s="129">
        <v>0</v>
      </c>
      <c r="N80" s="129">
        <v>1</v>
      </c>
      <c r="O80" s="129">
        <v>0</v>
      </c>
      <c r="P80" s="129">
        <v>1</v>
      </c>
    </row>
    <row r="81" spans="1:16">
      <c r="A81" s="123" t="s">
        <v>950</v>
      </c>
      <c r="B81" s="124" t="s">
        <v>951</v>
      </c>
      <c r="C81" s="124" t="s">
        <v>952</v>
      </c>
      <c r="D81" s="124" t="s">
        <v>635</v>
      </c>
      <c r="E81" s="124" t="s">
        <v>735</v>
      </c>
      <c r="F81" s="124" t="s">
        <v>930</v>
      </c>
      <c r="G81" s="124" t="s">
        <v>670</v>
      </c>
      <c r="H81" s="125" t="s">
        <v>620</v>
      </c>
      <c r="I81" s="125" t="s">
        <v>621</v>
      </c>
      <c r="J81" s="125" t="s">
        <v>622</v>
      </c>
      <c r="K81" s="125">
        <v>0</v>
      </c>
      <c r="L81" s="125">
        <v>0</v>
      </c>
      <c r="M81" s="125">
        <v>1</v>
      </c>
      <c r="N81" s="125">
        <v>1</v>
      </c>
      <c r="O81" s="125">
        <v>0</v>
      </c>
      <c r="P81" s="125">
        <v>2</v>
      </c>
    </row>
    <row r="82" spans="1:16">
      <c r="A82" s="126" t="s">
        <v>953</v>
      </c>
      <c r="B82" s="127" t="s">
        <v>954</v>
      </c>
      <c r="C82" s="127" t="s">
        <v>955</v>
      </c>
      <c r="D82" s="127" t="s">
        <v>616</v>
      </c>
      <c r="E82" s="127" t="s">
        <v>617</v>
      </c>
      <c r="F82" s="127" t="s">
        <v>618</v>
      </c>
      <c r="G82" s="127" t="s">
        <v>773</v>
      </c>
      <c r="H82" s="129" t="s">
        <v>620</v>
      </c>
      <c r="I82" s="129" t="s">
        <v>621</v>
      </c>
      <c r="J82" s="129" t="s">
        <v>622</v>
      </c>
      <c r="K82" s="129">
        <v>0</v>
      </c>
      <c r="L82" s="129">
        <v>0</v>
      </c>
      <c r="M82" s="129">
        <v>1</v>
      </c>
      <c r="N82" s="129">
        <v>1</v>
      </c>
      <c r="O82" s="129">
        <v>0</v>
      </c>
      <c r="P82" s="129">
        <v>2</v>
      </c>
    </row>
    <row r="83" spans="1:16">
      <c r="A83" s="123" t="s">
        <v>956</v>
      </c>
      <c r="B83" s="124" t="s">
        <v>957</v>
      </c>
      <c r="C83" s="124" t="s">
        <v>958</v>
      </c>
      <c r="D83" s="124" t="s">
        <v>643</v>
      </c>
      <c r="E83" s="124" t="s">
        <v>959</v>
      </c>
      <c r="F83" s="124" t="s">
        <v>652</v>
      </c>
      <c r="G83" s="124" t="s">
        <v>960</v>
      </c>
      <c r="H83" s="125" t="s">
        <v>620</v>
      </c>
      <c r="I83" s="125" t="s">
        <v>621</v>
      </c>
      <c r="J83" s="125" t="s">
        <v>622</v>
      </c>
      <c r="K83" s="125">
        <v>0</v>
      </c>
      <c r="L83" s="125">
        <v>0</v>
      </c>
      <c r="M83" s="125">
        <v>0</v>
      </c>
      <c r="N83" s="125">
        <v>1</v>
      </c>
      <c r="O83" s="125">
        <v>1</v>
      </c>
      <c r="P83" s="125">
        <v>2</v>
      </c>
    </row>
    <row r="84" spans="1:16">
      <c r="A84" s="130" t="s">
        <v>961</v>
      </c>
      <c r="B84" s="131" t="s">
        <v>962</v>
      </c>
      <c r="C84" s="131" t="s">
        <v>963</v>
      </c>
      <c r="D84" s="131" t="e">
        <v>#N/A</v>
      </c>
      <c r="E84" s="131" t="e">
        <v>#N/A</v>
      </c>
      <c r="F84" s="131" t="s">
        <v>659</v>
      </c>
      <c r="G84" s="131" t="s">
        <v>964</v>
      </c>
      <c r="H84" s="128" t="s">
        <v>630</v>
      </c>
      <c r="I84" s="128" t="s">
        <v>631</v>
      </c>
      <c r="J84" s="128" t="s">
        <v>622</v>
      </c>
      <c r="K84" s="128">
        <v>1</v>
      </c>
      <c r="L84" s="128">
        <v>0</v>
      </c>
      <c r="M84" s="128">
        <v>1</v>
      </c>
      <c r="N84" s="128">
        <v>0</v>
      </c>
      <c r="O84" s="128">
        <v>1</v>
      </c>
      <c r="P84" s="128">
        <v>3</v>
      </c>
    </row>
    <row r="85" spans="1:16">
      <c r="A85" s="130" t="s">
        <v>965</v>
      </c>
      <c r="B85" s="131" t="s">
        <v>966</v>
      </c>
      <c r="C85" s="131" t="s">
        <v>967</v>
      </c>
      <c r="D85" s="131" t="e">
        <v>#N/A</v>
      </c>
      <c r="E85" s="131" t="e">
        <v>#N/A</v>
      </c>
      <c r="F85" s="131" t="s">
        <v>659</v>
      </c>
      <c r="G85" s="131" t="s">
        <v>964</v>
      </c>
      <c r="H85" s="128" t="s">
        <v>620</v>
      </c>
      <c r="I85" s="128" t="s">
        <v>639</v>
      </c>
      <c r="J85" s="128" t="s">
        <v>622</v>
      </c>
      <c r="K85" s="128">
        <v>0</v>
      </c>
      <c r="L85" s="128">
        <v>0</v>
      </c>
      <c r="M85" s="128">
        <v>0</v>
      </c>
      <c r="N85" s="128">
        <v>1</v>
      </c>
      <c r="O85" s="128">
        <v>0</v>
      </c>
      <c r="P85" s="128">
        <v>1</v>
      </c>
    </row>
    <row r="86" spans="1:16">
      <c r="A86" s="126" t="s">
        <v>968</v>
      </c>
      <c r="B86" s="127" t="s">
        <v>969</v>
      </c>
      <c r="C86" s="127" t="s">
        <v>970</v>
      </c>
      <c r="D86" s="127" t="s">
        <v>643</v>
      </c>
      <c r="E86" s="127" t="s">
        <v>644</v>
      </c>
      <c r="F86" s="127" t="s">
        <v>637</v>
      </c>
      <c r="G86" s="127" t="s">
        <v>773</v>
      </c>
      <c r="H86" s="129" t="s">
        <v>620</v>
      </c>
      <c r="I86" s="129" t="s">
        <v>639</v>
      </c>
      <c r="J86" s="129" t="s">
        <v>622</v>
      </c>
      <c r="K86" s="129">
        <v>0</v>
      </c>
      <c r="L86" s="129">
        <v>0</v>
      </c>
      <c r="M86" s="129">
        <v>0</v>
      </c>
      <c r="N86" s="129">
        <v>1</v>
      </c>
      <c r="O86" s="129">
        <v>0</v>
      </c>
      <c r="P86" s="129">
        <v>1</v>
      </c>
    </row>
    <row r="87" spans="1:16">
      <c r="A87" s="123" t="s">
        <v>971</v>
      </c>
      <c r="B87" s="124" t="s">
        <v>972</v>
      </c>
      <c r="C87" s="124" t="s">
        <v>973</v>
      </c>
      <c r="D87" s="124" t="s">
        <v>616</v>
      </c>
      <c r="E87" s="124" t="s">
        <v>974</v>
      </c>
      <c r="F87" s="124" t="s">
        <v>637</v>
      </c>
      <c r="G87" s="124" t="s">
        <v>638</v>
      </c>
      <c r="H87" s="125" t="s">
        <v>620</v>
      </c>
      <c r="I87" s="125" t="s">
        <v>639</v>
      </c>
      <c r="J87" s="125" t="s">
        <v>622</v>
      </c>
      <c r="K87" s="125">
        <v>0</v>
      </c>
      <c r="L87" s="125">
        <v>0</v>
      </c>
      <c r="M87" s="125">
        <v>0</v>
      </c>
      <c r="N87" s="125">
        <v>1</v>
      </c>
      <c r="O87" s="125">
        <v>0</v>
      </c>
      <c r="P87" s="125">
        <v>1</v>
      </c>
    </row>
    <row r="88" spans="1:16">
      <c r="A88" s="126" t="s">
        <v>975</v>
      </c>
      <c r="B88" s="127" t="s">
        <v>976</v>
      </c>
      <c r="C88" s="127" t="s">
        <v>977</v>
      </c>
      <c r="D88" s="127" t="s">
        <v>643</v>
      </c>
      <c r="E88" s="127" t="s">
        <v>835</v>
      </c>
      <c r="F88" s="127" t="s">
        <v>836</v>
      </c>
      <c r="G88" s="127" t="s">
        <v>653</v>
      </c>
      <c r="H88" s="129" t="s">
        <v>620</v>
      </c>
      <c r="I88" s="129" t="s">
        <v>639</v>
      </c>
      <c r="J88" s="129" t="s">
        <v>622</v>
      </c>
      <c r="K88" s="129">
        <v>0</v>
      </c>
      <c r="L88" s="129">
        <v>0</v>
      </c>
      <c r="M88" s="129">
        <v>0</v>
      </c>
      <c r="N88" s="129">
        <v>1</v>
      </c>
      <c r="O88" s="129">
        <v>0</v>
      </c>
      <c r="P88" s="129">
        <v>1</v>
      </c>
    </row>
    <row r="89" spans="1:16">
      <c r="A89" s="123" t="s">
        <v>978</v>
      </c>
      <c r="B89" s="124" t="s">
        <v>979</v>
      </c>
      <c r="C89" s="124" t="s">
        <v>980</v>
      </c>
      <c r="D89" s="124" t="s">
        <v>643</v>
      </c>
      <c r="E89" s="124" t="s">
        <v>644</v>
      </c>
      <c r="F89" s="124" t="s">
        <v>981</v>
      </c>
      <c r="G89" s="124" t="s">
        <v>653</v>
      </c>
      <c r="H89" s="125" t="s">
        <v>630</v>
      </c>
      <c r="I89" s="125" t="s">
        <v>631</v>
      </c>
      <c r="J89" s="125" t="s">
        <v>622</v>
      </c>
      <c r="K89" s="125">
        <v>0</v>
      </c>
      <c r="L89" s="125">
        <v>2</v>
      </c>
      <c r="M89" s="125">
        <v>0</v>
      </c>
      <c r="N89" s="125">
        <v>1</v>
      </c>
      <c r="O89" s="125">
        <v>0</v>
      </c>
      <c r="P89" s="125">
        <v>3</v>
      </c>
    </row>
    <row r="90" spans="1:16">
      <c r="A90" s="126" t="s">
        <v>982</v>
      </c>
      <c r="B90" s="127" t="s">
        <v>983</v>
      </c>
      <c r="C90" s="127" t="s">
        <v>984</v>
      </c>
      <c r="D90" s="127" t="s">
        <v>626</v>
      </c>
      <c r="E90" s="127" t="s">
        <v>985</v>
      </c>
      <c r="F90" s="127" t="s">
        <v>986</v>
      </c>
      <c r="G90" s="127" t="s">
        <v>653</v>
      </c>
      <c r="H90" s="129" t="s">
        <v>620</v>
      </c>
      <c r="I90" s="129" t="s">
        <v>631</v>
      </c>
      <c r="J90" s="129" t="s">
        <v>622</v>
      </c>
      <c r="K90" s="129">
        <v>1</v>
      </c>
      <c r="L90" s="129">
        <v>0</v>
      </c>
      <c r="M90" s="129">
        <v>1</v>
      </c>
      <c r="N90" s="129">
        <v>1</v>
      </c>
      <c r="O90" s="129">
        <v>0</v>
      </c>
      <c r="P90" s="129">
        <v>3</v>
      </c>
    </row>
    <row r="91" spans="1:16">
      <c r="A91" s="123" t="s">
        <v>987</v>
      </c>
      <c r="B91" s="124" t="s">
        <v>988</v>
      </c>
      <c r="C91" s="124" t="s">
        <v>989</v>
      </c>
      <c r="D91" s="124" t="s">
        <v>635</v>
      </c>
      <c r="E91" s="124" t="s">
        <v>636</v>
      </c>
      <c r="F91" s="124" t="s">
        <v>659</v>
      </c>
      <c r="G91" s="124" t="s">
        <v>723</v>
      </c>
      <c r="H91" s="128" t="s">
        <v>724</v>
      </c>
      <c r="I91" s="125" t="s">
        <v>639</v>
      </c>
      <c r="J91" s="125" t="s">
        <v>622</v>
      </c>
      <c r="K91" s="125">
        <v>0</v>
      </c>
      <c r="L91" s="125">
        <v>0</v>
      </c>
      <c r="M91" s="125">
        <v>0</v>
      </c>
      <c r="N91" s="125">
        <v>0</v>
      </c>
      <c r="O91" s="125">
        <v>1</v>
      </c>
      <c r="P91" s="125">
        <v>1</v>
      </c>
    </row>
    <row r="92" spans="1:16">
      <c r="A92" s="126" t="s">
        <v>990</v>
      </c>
      <c r="B92" s="127" t="s">
        <v>991</v>
      </c>
      <c r="C92" s="127" t="s">
        <v>992</v>
      </c>
      <c r="D92" s="127" t="s">
        <v>657</v>
      </c>
      <c r="E92" s="127" t="s">
        <v>993</v>
      </c>
      <c r="F92" s="127" t="s">
        <v>994</v>
      </c>
      <c r="G92" s="127" t="s">
        <v>629</v>
      </c>
      <c r="H92" s="129" t="s">
        <v>630</v>
      </c>
      <c r="I92" s="129" t="s">
        <v>631</v>
      </c>
      <c r="J92" s="129" t="s">
        <v>622</v>
      </c>
      <c r="K92" s="129">
        <v>1</v>
      </c>
      <c r="L92" s="129">
        <v>0</v>
      </c>
      <c r="M92" s="129">
        <v>1</v>
      </c>
      <c r="N92" s="129">
        <v>1</v>
      </c>
      <c r="O92" s="129">
        <v>0</v>
      </c>
      <c r="P92" s="129">
        <v>3</v>
      </c>
    </row>
    <row r="93" spans="1:16">
      <c r="A93" s="123" t="s">
        <v>995</v>
      </c>
      <c r="B93" s="124" t="s">
        <v>996</v>
      </c>
      <c r="C93" s="124" t="s">
        <v>997</v>
      </c>
      <c r="D93" s="124" t="s">
        <v>626</v>
      </c>
      <c r="E93" s="124" t="s">
        <v>998</v>
      </c>
      <c r="F93" s="124" t="s">
        <v>875</v>
      </c>
      <c r="G93" s="124" t="s">
        <v>999</v>
      </c>
      <c r="H93" s="125" t="s">
        <v>630</v>
      </c>
      <c r="I93" s="125" t="s">
        <v>631</v>
      </c>
      <c r="J93" s="125" t="s">
        <v>622</v>
      </c>
      <c r="K93" s="125"/>
      <c r="L93" s="125">
        <v>2</v>
      </c>
      <c r="M93" s="125"/>
      <c r="N93" s="125">
        <v>1</v>
      </c>
      <c r="O93" s="125"/>
      <c r="P93" s="125">
        <v>3</v>
      </c>
    </row>
    <row r="94" spans="1:16">
      <c r="A94" s="126" t="s">
        <v>1000</v>
      </c>
      <c r="B94" s="127" t="s">
        <v>1001</v>
      </c>
      <c r="C94" s="127" t="s">
        <v>1002</v>
      </c>
      <c r="D94" s="127" t="s">
        <v>626</v>
      </c>
      <c r="E94" s="127" t="s">
        <v>998</v>
      </c>
      <c r="F94" s="127" t="s">
        <v>875</v>
      </c>
      <c r="G94" s="127" t="s">
        <v>999</v>
      </c>
      <c r="H94" s="129" t="s">
        <v>630</v>
      </c>
      <c r="I94" s="129" t="s">
        <v>631</v>
      </c>
      <c r="J94" s="129" t="s">
        <v>622</v>
      </c>
      <c r="K94" s="129"/>
      <c r="L94" s="129">
        <v>2</v>
      </c>
      <c r="M94" s="129"/>
      <c r="N94" s="129">
        <v>1</v>
      </c>
      <c r="O94" s="129"/>
      <c r="P94" s="129">
        <v>3</v>
      </c>
    </row>
    <row r="95" spans="1:16">
      <c r="A95" s="123" t="s">
        <v>1003</v>
      </c>
      <c r="B95" s="124" t="s">
        <v>1004</v>
      </c>
      <c r="C95" s="124" t="s">
        <v>1005</v>
      </c>
      <c r="D95" s="124" t="s">
        <v>657</v>
      </c>
      <c r="E95" s="124" t="s">
        <v>1006</v>
      </c>
      <c r="F95" s="124" t="s">
        <v>669</v>
      </c>
      <c r="G95" s="124" t="s">
        <v>1007</v>
      </c>
      <c r="H95" s="125" t="s">
        <v>630</v>
      </c>
      <c r="I95" s="125" t="s">
        <v>631</v>
      </c>
      <c r="J95" s="125" t="s">
        <v>622</v>
      </c>
      <c r="K95" s="125">
        <v>1</v>
      </c>
      <c r="L95" s="125">
        <v>0</v>
      </c>
      <c r="M95" s="125">
        <v>1</v>
      </c>
      <c r="N95" s="125">
        <v>1</v>
      </c>
      <c r="O95" s="125">
        <v>0</v>
      </c>
      <c r="P95" s="125">
        <v>3</v>
      </c>
    </row>
    <row r="96" spans="1:16">
      <c r="A96" s="126" t="s">
        <v>1008</v>
      </c>
      <c r="B96" s="127" t="s">
        <v>1009</v>
      </c>
      <c r="C96" s="127" t="s">
        <v>1010</v>
      </c>
      <c r="D96" s="127" t="s">
        <v>643</v>
      </c>
      <c r="E96" s="127" t="s">
        <v>835</v>
      </c>
      <c r="F96" s="127" t="s">
        <v>836</v>
      </c>
      <c r="G96" s="127" t="s">
        <v>653</v>
      </c>
      <c r="H96" s="129" t="s">
        <v>620</v>
      </c>
      <c r="I96" s="129" t="s">
        <v>631</v>
      </c>
      <c r="J96" s="129" t="s">
        <v>622</v>
      </c>
      <c r="K96" s="129">
        <v>1</v>
      </c>
      <c r="L96" s="129">
        <v>0</v>
      </c>
      <c r="M96" s="129">
        <v>0</v>
      </c>
      <c r="N96" s="129">
        <v>1</v>
      </c>
      <c r="O96" s="129">
        <v>1</v>
      </c>
      <c r="P96" s="129">
        <v>3</v>
      </c>
    </row>
    <row r="97" spans="1:16">
      <c r="A97" s="123" t="s">
        <v>123</v>
      </c>
      <c r="B97" s="124" t="s">
        <v>1011</v>
      </c>
      <c r="C97" s="124" t="s">
        <v>1012</v>
      </c>
      <c r="D97" s="124" t="s">
        <v>701</v>
      </c>
      <c r="E97" s="124" t="s">
        <v>1013</v>
      </c>
      <c r="F97" s="124" t="s">
        <v>994</v>
      </c>
      <c r="G97" s="124" t="s">
        <v>717</v>
      </c>
      <c r="H97" s="125" t="s">
        <v>724</v>
      </c>
      <c r="I97" s="125" t="s">
        <v>631</v>
      </c>
      <c r="J97" s="125" t="s">
        <v>622</v>
      </c>
      <c r="K97" s="125">
        <v>1</v>
      </c>
      <c r="L97" s="125">
        <v>0</v>
      </c>
      <c r="M97" s="125">
        <v>1</v>
      </c>
      <c r="N97" s="125">
        <v>0</v>
      </c>
      <c r="O97" s="125">
        <v>1</v>
      </c>
      <c r="P97" s="125">
        <v>3</v>
      </c>
    </row>
    <row r="98" spans="1:16">
      <c r="A98" s="126" t="s">
        <v>1014</v>
      </c>
      <c r="B98" s="127" t="s">
        <v>1015</v>
      </c>
      <c r="C98" s="127" t="s">
        <v>1016</v>
      </c>
      <c r="D98" s="127" t="s">
        <v>643</v>
      </c>
      <c r="E98" s="127" t="s">
        <v>644</v>
      </c>
      <c r="F98" s="127" t="s">
        <v>1017</v>
      </c>
      <c r="G98" s="127" t="s">
        <v>653</v>
      </c>
      <c r="H98" s="129" t="s">
        <v>630</v>
      </c>
      <c r="I98" s="129" t="s">
        <v>621</v>
      </c>
      <c r="J98" s="129" t="s">
        <v>622</v>
      </c>
      <c r="K98" s="129">
        <v>1</v>
      </c>
      <c r="L98" s="129">
        <v>0</v>
      </c>
      <c r="M98" s="129">
        <v>0</v>
      </c>
      <c r="N98" s="129">
        <v>1</v>
      </c>
      <c r="O98" s="129">
        <v>0</v>
      </c>
      <c r="P98" s="129">
        <v>2</v>
      </c>
    </row>
    <row r="99" spans="1:16">
      <c r="A99" s="123" t="s">
        <v>1018</v>
      </c>
      <c r="B99" s="124" t="s">
        <v>1019</v>
      </c>
      <c r="C99" s="124" t="s">
        <v>1020</v>
      </c>
      <c r="D99" s="124" t="s">
        <v>643</v>
      </c>
      <c r="E99" s="124" t="s">
        <v>644</v>
      </c>
      <c r="F99" s="124" t="s">
        <v>981</v>
      </c>
      <c r="G99" s="124" t="s">
        <v>653</v>
      </c>
      <c r="H99" s="125" t="s">
        <v>630</v>
      </c>
      <c r="I99" s="125" t="s">
        <v>631</v>
      </c>
      <c r="J99" s="125" t="s">
        <v>622</v>
      </c>
      <c r="K99" s="125">
        <v>0</v>
      </c>
      <c r="L99" s="125">
        <v>2</v>
      </c>
      <c r="M99" s="125">
        <v>0</v>
      </c>
      <c r="N99" s="125">
        <v>1</v>
      </c>
      <c r="O99" s="125">
        <v>0</v>
      </c>
      <c r="P99" s="125">
        <v>3</v>
      </c>
    </row>
    <row r="100" spans="1:16">
      <c r="A100" s="126" t="s">
        <v>1021</v>
      </c>
      <c r="B100" s="127" t="s">
        <v>1022</v>
      </c>
      <c r="C100" s="127" t="s">
        <v>1023</v>
      </c>
      <c r="D100" s="127" t="s">
        <v>635</v>
      </c>
      <c r="E100" s="127" t="s">
        <v>636</v>
      </c>
      <c r="F100" s="127" t="s">
        <v>628</v>
      </c>
      <c r="G100" s="127" t="s">
        <v>855</v>
      </c>
      <c r="H100" s="129" t="s">
        <v>620</v>
      </c>
      <c r="I100" s="129" t="s">
        <v>621</v>
      </c>
      <c r="J100" s="129" t="s">
        <v>622</v>
      </c>
      <c r="K100" s="129">
        <v>0</v>
      </c>
      <c r="L100" s="129">
        <v>0</v>
      </c>
      <c r="M100" s="129">
        <v>1</v>
      </c>
      <c r="N100" s="129">
        <v>1</v>
      </c>
      <c r="O100" s="129">
        <v>0</v>
      </c>
      <c r="P100" s="129">
        <v>2</v>
      </c>
    </row>
    <row r="101" spans="1:16">
      <c r="A101" s="123" t="s">
        <v>1024</v>
      </c>
      <c r="B101" s="124" t="s">
        <v>1025</v>
      </c>
      <c r="C101" s="124" t="s">
        <v>1026</v>
      </c>
      <c r="D101" s="124" t="s">
        <v>643</v>
      </c>
      <c r="E101" s="124" t="s">
        <v>651</v>
      </c>
      <c r="F101" s="124" t="s">
        <v>652</v>
      </c>
      <c r="G101" s="124" t="s">
        <v>653</v>
      </c>
      <c r="H101" s="125" t="s">
        <v>620</v>
      </c>
      <c r="I101" s="125" t="s">
        <v>639</v>
      </c>
      <c r="J101" s="125" t="s">
        <v>622</v>
      </c>
      <c r="K101" s="125">
        <v>0</v>
      </c>
      <c r="L101" s="125">
        <v>0</v>
      </c>
      <c r="M101" s="125">
        <v>0</v>
      </c>
      <c r="N101" s="125">
        <v>1</v>
      </c>
      <c r="O101" s="125">
        <v>0</v>
      </c>
      <c r="P101" s="125">
        <v>1</v>
      </c>
    </row>
    <row r="102" spans="1:16">
      <c r="A102" s="126" t="s">
        <v>1027</v>
      </c>
      <c r="B102" s="127" t="s">
        <v>1028</v>
      </c>
      <c r="C102" s="127" t="s">
        <v>1029</v>
      </c>
      <c r="D102" s="127" t="s">
        <v>635</v>
      </c>
      <c r="E102" s="127" t="s">
        <v>746</v>
      </c>
      <c r="F102" s="127" t="s">
        <v>741</v>
      </c>
      <c r="G102" s="127" t="s">
        <v>1030</v>
      </c>
      <c r="H102" s="129" t="s">
        <v>620</v>
      </c>
      <c r="I102" s="129" t="s">
        <v>621</v>
      </c>
      <c r="J102" s="129" t="s">
        <v>622</v>
      </c>
      <c r="K102" s="129">
        <v>0</v>
      </c>
      <c r="L102" s="129">
        <v>0</v>
      </c>
      <c r="M102" s="129">
        <v>0</v>
      </c>
      <c r="N102" s="129">
        <v>1</v>
      </c>
      <c r="O102" s="129">
        <v>1</v>
      </c>
      <c r="P102" s="129">
        <v>2</v>
      </c>
    </row>
    <row r="103" spans="1:16">
      <c r="A103" s="123" t="s">
        <v>1031</v>
      </c>
      <c r="B103" s="124" t="s">
        <v>1032</v>
      </c>
      <c r="C103" s="124" t="s">
        <v>1033</v>
      </c>
      <c r="D103" s="124" t="s">
        <v>626</v>
      </c>
      <c r="E103" s="124" t="s">
        <v>854</v>
      </c>
      <c r="F103" s="124" t="s">
        <v>875</v>
      </c>
      <c r="G103" s="124" t="s">
        <v>1034</v>
      </c>
      <c r="H103" s="125" t="s">
        <v>620</v>
      </c>
      <c r="I103" s="125" t="s">
        <v>621</v>
      </c>
      <c r="J103" s="125" t="s">
        <v>622</v>
      </c>
      <c r="K103" s="125">
        <v>0</v>
      </c>
      <c r="L103" s="125">
        <v>0</v>
      </c>
      <c r="M103" s="125">
        <v>1</v>
      </c>
      <c r="N103" s="125">
        <v>1</v>
      </c>
      <c r="O103" s="125">
        <v>0</v>
      </c>
      <c r="P103" s="125">
        <v>2</v>
      </c>
    </row>
    <row r="104" spans="1:16">
      <c r="A104" s="126" t="s">
        <v>1035</v>
      </c>
      <c r="B104" s="127" t="s">
        <v>1036</v>
      </c>
      <c r="C104" s="127" t="s">
        <v>1037</v>
      </c>
      <c r="D104" s="127" t="s">
        <v>643</v>
      </c>
      <c r="E104" s="127" t="s">
        <v>835</v>
      </c>
      <c r="F104" s="127" t="s">
        <v>836</v>
      </c>
      <c r="G104" s="127" t="s">
        <v>653</v>
      </c>
      <c r="H104" s="129" t="s">
        <v>620</v>
      </c>
      <c r="I104" s="129" t="s">
        <v>639</v>
      </c>
      <c r="J104" s="129" t="s">
        <v>622</v>
      </c>
      <c r="K104" s="129">
        <v>0</v>
      </c>
      <c r="L104" s="129">
        <v>0</v>
      </c>
      <c r="M104" s="129">
        <v>0</v>
      </c>
      <c r="N104" s="129">
        <v>1</v>
      </c>
      <c r="O104" s="129">
        <v>0</v>
      </c>
      <c r="P104" s="129">
        <v>1</v>
      </c>
    </row>
    <row r="105" spans="1:16">
      <c r="A105" s="123" t="s">
        <v>1038</v>
      </c>
      <c r="B105" s="124" t="s">
        <v>1039</v>
      </c>
      <c r="C105" s="124" t="s">
        <v>1040</v>
      </c>
      <c r="D105" s="124" t="s">
        <v>715</v>
      </c>
      <c r="E105" s="124" t="s">
        <v>751</v>
      </c>
      <c r="F105" s="124" t="s">
        <v>659</v>
      </c>
      <c r="G105" s="124" t="s">
        <v>850</v>
      </c>
      <c r="H105" s="125" t="s">
        <v>724</v>
      </c>
      <c r="I105" s="125" t="s">
        <v>631</v>
      </c>
      <c r="J105" s="125" t="s">
        <v>622</v>
      </c>
      <c r="K105" s="125">
        <v>1</v>
      </c>
      <c r="L105" s="125">
        <v>0</v>
      </c>
      <c r="M105" s="125">
        <v>1</v>
      </c>
      <c r="N105" s="125">
        <v>0</v>
      </c>
      <c r="O105" s="125">
        <v>1</v>
      </c>
      <c r="P105" s="125">
        <v>3</v>
      </c>
    </row>
    <row r="106" spans="1:16">
      <c r="A106" s="126" t="s">
        <v>1041</v>
      </c>
      <c r="B106" s="127" t="s">
        <v>1042</v>
      </c>
      <c r="C106" s="127" t="s">
        <v>1043</v>
      </c>
      <c r="D106" s="127" t="s">
        <v>643</v>
      </c>
      <c r="E106" s="127" t="s">
        <v>721</v>
      </c>
      <c r="F106" s="127" t="s">
        <v>949</v>
      </c>
      <c r="G106" s="127" t="s">
        <v>694</v>
      </c>
      <c r="H106" s="129" t="s">
        <v>620</v>
      </c>
      <c r="I106" s="129" t="s">
        <v>639</v>
      </c>
      <c r="J106" s="129" t="s">
        <v>622</v>
      </c>
      <c r="K106" s="129">
        <v>0</v>
      </c>
      <c r="L106" s="129">
        <v>0</v>
      </c>
      <c r="M106" s="129">
        <v>0</v>
      </c>
      <c r="N106" s="129">
        <v>1</v>
      </c>
      <c r="O106" s="129">
        <v>0</v>
      </c>
      <c r="P106" s="129">
        <v>1</v>
      </c>
    </row>
    <row r="107" spans="1:16">
      <c r="A107" s="123" t="s">
        <v>1044</v>
      </c>
      <c r="B107" s="124" t="s">
        <v>1045</v>
      </c>
      <c r="C107" s="124" t="s">
        <v>1046</v>
      </c>
      <c r="D107" s="124" t="s">
        <v>616</v>
      </c>
      <c r="E107" s="124" t="s">
        <v>617</v>
      </c>
      <c r="F107" s="124" t="s">
        <v>1047</v>
      </c>
      <c r="G107" s="124" t="s">
        <v>773</v>
      </c>
      <c r="H107" s="128" t="s">
        <v>620</v>
      </c>
      <c r="I107" s="125" t="s">
        <v>621</v>
      </c>
      <c r="J107" s="125" t="s">
        <v>622</v>
      </c>
      <c r="K107" s="125">
        <v>0</v>
      </c>
      <c r="L107" s="125">
        <v>0</v>
      </c>
      <c r="M107" s="125">
        <v>1</v>
      </c>
      <c r="N107" s="125">
        <v>1</v>
      </c>
      <c r="O107" s="125">
        <v>0</v>
      </c>
      <c r="P107" s="125">
        <v>2</v>
      </c>
    </row>
    <row r="108" spans="1:16">
      <c r="A108" s="126" t="s">
        <v>1048</v>
      </c>
      <c r="B108" s="127" t="s">
        <v>1049</v>
      </c>
      <c r="C108" s="127" t="s">
        <v>1050</v>
      </c>
      <c r="D108" s="127" t="s">
        <v>701</v>
      </c>
      <c r="E108" s="127" t="s">
        <v>740</v>
      </c>
      <c r="F108" s="127" t="s">
        <v>741</v>
      </c>
      <c r="G108" s="127" t="s">
        <v>1030</v>
      </c>
      <c r="H108" s="128" t="s">
        <v>620</v>
      </c>
      <c r="I108" s="129" t="s">
        <v>631</v>
      </c>
      <c r="J108" s="129" t="s">
        <v>622</v>
      </c>
      <c r="K108" s="129">
        <v>0</v>
      </c>
      <c r="L108" s="129">
        <v>2</v>
      </c>
      <c r="M108" s="129">
        <v>0</v>
      </c>
      <c r="N108" s="129">
        <v>1</v>
      </c>
      <c r="O108" s="129">
        <v>0</v>
      </c>
      <c r="P108" s="129">
        <v>3</v>
      </c>
    </row>
    <row r="109" spans="1:16">
      <c r="A109" s="123" t="s">
        <v>1051</v>
      </c>
      <c r="B109" s="124" t="s">
        <v>1052</v>
      </c>
      <c r="C109" s="124" t="s">
        <v>1053</v>
      </c>
      <c r="D109" s="124" t="s">
        <v>657</v>
      </c>
      <c r="E109" s="124" t="s">
        <v>674</v>
      </c>
      <c r="F109" s="124" t="s">
        <v>994</v>
      </c>
      <c r="G109" s="124" t="s">
        <v>653</v>
      </c>
      <c r="H109" s="125" t="s">
        <v>630</v>
      </c>
      <c r="I109" s="125" t="s">
        <v>621</v>
      </c>
      <c r="J109" s="125" t="s">
        <v>622</v>
      </c>
      <c r="K109" s="125">
        <v>0</v>
      </c>
      <c r="L109" s="125">
        <v>0</v>
      </c>
      <c r="M109" s="125">
        <v>1</v>
      </c>
      <c r="N109" s="125">
        <v>0</v>
      </c>
      <c r="O109" s="125">
        <v>1</v>
      </c>
      <c r="P109" s="125">
        <v>2</v>
      </c>
    </row>
    <row r="110" spans="1:16">
      <c r="A110" s="126" t="s">
        <v>1054</v>
      </c>
      <c r="B110" s="127" t="s">
        <v>1055</v>
      </c>
      <c r="C110" s="127" t="s">
        <v>1056</v>
      </c>
      <c r="D110" s="127" t="s">
        <v>626</v>
      </c>
      <c r="E110" s="127" t="s">
        <v>627</v>
      </c>
      <c r="F110" s="127" t="s">
        <v>1017</v>
      </c>
      <c r="G110" s="127" t="s">
        <v>778</v>
      </c>
      <c r="H110" s="128" t="s">
        <v>689</v>
      </c>
      <c r="I110" s="129" t="s">
        <v>631</v>
      </c>
      <c r="J110" s="129" t="s">
        <v>622</v>
      </c>
      <c r="K110" s="129">
        <v>0</v>
      </c>
      <c r="L110" s="129">
        <v>2</v>
      </c>
      <c r="M110" s="129">
        <v>0</v>
      </c>
      <c r="N110" s="129">
        <v>1</v>
      </c>
      <c r="O110" s="129">
        <v>0</v>
      </c>
      <c r="P110" s="129">
        <v>3</v>
      </c>
    </row>
    <row r="111" spans="1:16">
      <c r="A111" s="123" t="s">
        <v>1057</v>
      </c>
      <c r="B111" s="124" t="s">
        <v>1058</v>
      </c>
      <c r="C111" s="124" t="s">
        <v>1059</v>
      </c>
      <c r="D111" s="124" t="s">
        <v>715</v>
      </c>
      <c r="E111" s="124" t="s">
        <v>751</v>
      </c>
      <c r="F111" s="124" t="s">
        <v>1060</v>
      </c>
      <c r="G111" s="124" t="s">
        <v>619</v>
      </c>
      <c r="H111" s="125" t="s">
        <v>630</v>
      </c>
      <c r="I111" s="125" t="s">
        <v>621</v>
      </c>
      <c r="J111" s="125" t="s">
        <v>622</v>
      </c>
      <c r="K111" s="125">
        <v>0</v>
      </c>
      <c r="L111" s="125">
        <v>0</v>
      </c>
      <c r="M111" s="125">
        <v>1</v>
      </c>
      <c r="N111" s="125">
        <v>0</v>
      </c>
      <c r="O111" s="125">
        <v>1</v>
      </c>
      <c r="P111" s="125">
        <v>2</v>
      </c>
    </row>
    <row r="112" spans="1:16">
      <c r="A112" s="126" t="s">
        <v>1061</v>
      </c>
      <c r="B112" s="127" t="s">
        <v>1062</v>
      </c>
      <c r="C112" s="127" t="s">
        <v>1063</v>
      </c>
      <c r="D112" s="127" t="s">
        <v>892</v>
      </c>
      <c r="E112" s="127" t="s">
        <v>893</v>
      </c>
      <c r="F112" s="127" t="s">
        <v>659</v>
      </c>
      <c r="G112" s="127" t="s">
        <v>723</v>
      </c>
      <c r="H112" s="129" t="s">
        <v>620</v>
      </c>
      <c r="I112" s="129" t="s">
        <v>639</v>
      </c>
      <c r="J112" s="129" t="s">
        <v>622</v>
      </c>
      <c r="K112" s="129">
        <v>0</v>
      </c>
      <c r="L112" s="129">
        <v>0</v>
      </c>
      <c r="M112" s="129">
        <v>0</v>
      </c>
      <c r="N112" s="129">
        <v>0</v>
      </c>
      <c r="O112" s="129">
        <v>1</v>
      </c>
      <c r="P112" s="129">
        <v>1</v>
      </c>
    </row>
    <row r="113" spans="1:16">
      <c r="A113" s="123" t="s">
        <v>1064</v>
      </c>
      <c r="B113" s="124" t="s">
        <v>1065</v>
      </c>
      <c r="C113" s="124" t="s">
        <v>1066</v>
      </c>
      <c r="D113" s="124" t="s">
        <v>626</v>
      </c>
      <c r="E113" s="124" t="s">
        <v>708</v>
      </c>
      <c r="F113" s="124" t="s">
        <v>684</v>
      </c>
      <c r="G113" s="124" t="s">
        <v>653</v>
      </c>
      <c r="H113" s="128" t="s">
        <v>689</v>
      </c>
      <c r="I113" s="125" t="s">
        <v>631</v>
      </c>
      <c r="J113" s="125" t="s">
        <v>622</v>
      </c>
      <c r="K113" s="125">
        <v>0</v>
      </c>
      <c r="L113" s="125">
        <v>2</v>
      </c>
      <c r="M113" s="125">
        <v>0</v>
      </c>
      <c r="N113" s="125">
        <v>1</v>
      </c>
      <c r="O113" s="125">
        <v>0</v>
      </c>
      <c r="P113" s="125">
        <v>3</v>
      </c>
    </row>
    <row r="114" spans="1:16">
      <c r="A114" s="126" t="s">
        <v>1067</v>
      </c>
      <c r="B114" s="127" t="s">
        <v>1068</v>
      </c>
      <c r="C114" s="127" t="s">
        <v>1069</v>
      </c>
      <c r="D114" s="127" t="s">
        <v>626</v>
      </c>
      <c r="E114" s="127" t="s">
        <v>854</v>
      </c>
      <c r="F114" s="127" t="s">
        <v>659</v>
      </c>
      <c r="G114" s="127" t="s">
        <v>773</v>
      </c>
      <c r="H114" s="129" t="s">
        <v>620</v>
      </c>
      <c r="I114" s="129" t="s">
        <v>631</v>
      </c>
      <c r="J114" s="129" t="s">
        <v>622</v>
      </c>
      <c r="K114" s="129">
        <v>0</v>
      </c>
      <c r="L114" s="129">
        <v>2</v>
      </c>
      <c r="M114" s="129">
        <v>0</v>
      </c>
      <c r="N114" s="129">
        <v>1</v>
      </c>
      <c r="O114" s="129">
        <v>0</v>
      </c>
      <c r="P114" s="129">
        <v>3</v>
      </c>
    </row>
    <row r="115" spans="1:16">
      <c r="A115" s="123" t="s">
        <v>1070</v>
      </c>
      <c r="B115" s="124" t="s">
        <v>1071</v>
      </c>
      <c r="C115" s="124" t="s">
        <v>1072</v>
      </c>
      <c r="D115" s="124" t="s">
        <v>688</v>
      </c>
      <c r="E115" s="124" t="s">
        <v>711</v>
      </c>
      <c r="F115" s="124" t="s">
        <v>679</v>
      </c>
      <c r="G115" s="124" t="s">
        <v>679</v>
      </c>
      <c r="H115" s="125" t="s">
        <v>647</v>
      </c>
      <c r="I115" s="125" t="s">
        <v>639</v>
      </c>
      <c r="J115" s="125" t="s">
        <v>622</v>
      </c>
      <c r="K115" s="125">
        <v>0</v>
      </c>
      <c r="L115" s="125">
        <v>0</v>
      </c>
      <c r="M115" s="125">
        <v>0</v>
      </c>
      <c r="N115" s="125">
        <v>1</v>
      </c>
      <c r="O115" s="125">
        <v>0</v>
      </c>
      <c r="P115" s="125">
        <v>1</v>
      </c>
    </row>
    <row r="116" spans="1:16">
      <c r="A116" s="126" t="s">
        <v>1073</v>
      </c>
      <c r="B116" s="127" t="s">
        <v>1074</v>
      </c>
      <c r="C116" s="127" t="s">
        <v>1075</v>
      </c>
      <c r="D116" s="127" t="s">
        <v>626</v>
      </c>
      <c r="E116" s="127" t="s">
        <v>772</v>
      </c>
      <c r="F116" s="127" t="s">
        <v>762</v>
      </c>
      <c r="G116" s="127" t="s">
        <v>773</v>
      </c>
      <c r="H116" s="129" t="s">
        <v>620</v>
      </c>
      <c r="I116" s="129" t="s">
        <v>621</v>
      </c>
      <c r="J116" s="129" t="s">
        <v>622</v>
      </c>
      <c r="K116" s="129">
        <v>0</v>
      </c>
      <c r="L116" s="129">
        <v>0</v>
      </c>
      <c r="M116" s="129">
        <v>0</v>
      </c>
      <c r="N116" s="129">
        <v>1</v>
      </c>
      <c r="O116" s="129">
        <v>1</v>
      </c>
      <c r="P116" s="129">
        <v>2</v>
      </c>
    </row>
    <row r="117" spans="1:16">
      <c r="A117" s="123" t="s">
        <v>1076</v>
      </c>
      <c r="B117" s="124" t="s">
        <v>1077</v>
      </c>
      <c r="C117" s="124" t="s">
        <v>1078</v>
      </c>
      <c r="D117" s="124" t="s">
        <v>616</v>
      </c>
      <c r="E117" s="124" t="s">
        <v>1079</v>
      </c>
      <c r="F117" s="124" t="s">
        <v>994</v>
      </c>
      <c r="G117" s="124" t="s">
        <v>773</v>
      </c>
      <c r="H117" s="125" t="s">
        <v>630</v>
      </c>
      <c r="I117" s="125" t="s">
        <v>621</v>
      </c>
      <c r="J117" s="125" t="s">
        <v>622</v>
      </c>
      <c r="K117" s="125">
        <v>0</v>
      </c>
      <c r="L117" s="125">
        <v>0</v>
      </c>
      <c r="M117" s="125">
        <v>0</v>
      </c>
      <c r="N117" s="125">
        <v>1</v>
      </c>
      <c r="O117" s="125">
        <v>1</v>
      </c>
      <c r="P117" s="125">
        <v>2</v>
      </c>
    </row>
    <row r="118" spans="1:16">
      <c r="A118" s="126" t="s">
        <v>1080</v>
      </c>
      <c r="B118" s="127" t="s">
        <v>1081</v>
      </c>
      <c r="C118" s="127" t="s">
        <v>1082</v>
      </c>
      <c r="D118" s="127" t="s">
        <v>635</v>
      </c>
      <c r="E118" s="127" t="s">
        <v>941</v>
      </c>
      <c r="F118" s="127" t="s">
        <v>645</v>
      </c>
      <c r="G118" s="127" t="s">
        <v>694</v>
      </c>
      <c r="H118" s="128" t="s">
        <v>620</v>
      </c>
      <c r="I118" s="129" t="s">
        <v>639</v>
      </c>
      <c r="J118" s="129" t="s">
        <v>622</v>
      </c>
      <c r="K118" s="129">
        <v>0</v>
      </c>
      <c r="L118" s="129">
        <v>0</v>
      </c>
      <c r="M118" s="129">
        <v>0</v>
      </c>
      <c r="N118" s="129">
        <v>1</v>
      </c>
      <c r="O118" s="129">
        <v>0</v>
      </c>
      <c r="P118" s="129">
        <v>1</v>
      </c>
    </row>
    <row r="119" spans="1:16">
      <c r="A119" s="123" t="s">
        <v>1083</v>
      </c>
      <c r="B119" s="124" t="s">
        <v>1084</v>
      </c>
      <c r="C119" s="124" t="s">
        <v>1085</v>
      </c>
      <c r="D119" s="124" t="s">
        <v>635</v>
      </c>
      <c r="E119" s="124" t="s">
        <v>941</v>
      </c>
      <c r="F119" s="124" t="s">
        <v>798</v>
      </c>
      <c r="G119" s="124" t="s">
        <v>773</v>
      </c>
      <c r="H119" s="125" t="s">
        <v>620</v>
      </c>
      <c r="I119" s="125" t="s">
        <v>639</v>
      </c>
      <c r="J119" s="125" t="s">
        <v>622</v>
      </c>
      <c r="K119" s="125">
        <v>0</v>
      </c>
      <c r="L119" s="125">
        <v>0</v>
      </c>
      <c r="M119" s="125">
        <v>0</v>
      </c>
      <c r="N119" s="125">
        <v>1</v>
      </c>
      <c r="O119" s="125">
        <v>0</v>
      </c>
      <c r="P119" s="125">
        <v>1</v>
      </c>
    </row>
    <row r="120" spans="1:16">
      <c r="A120" s="126" t="s">
        <v>1086</v>
      </c>
      <c r="B120" s="127" t="s">
        <v>1087</v>
      </c>
      <c r="C120" s="127" t="s">
        <v>1088</v>
      </c>
      <c r="D120" s="127" t="s">
        <v>892</v>
      </c>
      <c r="E120" s="127" t="s">
        <v>893</v>
      </c>
      <c r="F120" s="127" t="s">
        <v>722</v>
      </c>
      <c r="G120" s="127" t="s">
        <v>884</v>
      </c>
      <c r="H120" s="129" t="s">
        <v>620</v>
      </c>
      <c r="I120" s="129" t="s">
        <v>639</v>
      </c>
      <c r="J120" s="129" t="s">
        <v>622</v>
      </c>
      <c r="K120" s="129">
        <v>0</v>
      </c>
      <c r="L120" s="129">
        <v>0</v>
      </c>
      <c r="M120" s="129">
        <v>0</v>
      </c>
      <c r="N120" s="129">
        <v>0</v>
      </c>
      <c r="O120" s="129">
        <v>1</v>
      </c>
      <c r="P120" s="129">
        <v>1</v>
      </c>
    </row>
    <row r="121" spans="1:16">
      <c r="A121" s="123" t="s">
        <v>220</v>
      </c>
      <c r="B121" s="124" t="s">
        <v>1089</v>
      </c>
      <c r="C121" s="124" t="s">
        <v>1090</v>
      </c>
      <c r="D121" s="124" t="s">
        <v>715</v>
      </c>
      <c r="E121" s="124" t="s">
        <v>751</v>
      </c>
      <c r="F121" s="124" t="s">
        <v>798</v>
      </c>
      <c r="G121" s="124" t="s">
        <v>723</v>
      </c>
      <c r="H121" s="125" t="s">
        <v>620</v>
      </c>
      <c r="I121" s="125" t="s">
        <v>621</v>
      </c>
      <c r="J121" s="125" t="s">
        <v>622</v>
      </c>
      <c r="K121" s="125">
        <v>0</v>
      </c>
      <c r="L121" s="125">
        <v>0</v>
      </c>
      <c r="M121" s="125">
        <v>0</v>
      </c>
      <c r="N121" s="125">
        <v>1</v>
      </c>
      <c r="O121" s="125">
        <v>1</v>
      </c>
      <c r="P121" s="125">
        <v>2</v>
      </c>
    </row>
    <row r="122" spans="1:16">
      <c r="A122" s="126" t="s">
        <v>249</v>
      </c>
      <c r="B122" s="127" t="s">
        <v>1091</v>
      </c>
      <c r="C122" s="127" t="s">
        <v>1092</v>
      </c>
      <c r="D122" s="127" t="s">
        <v>657</v>
      </c>
      <c r="E122" s="127" t="s">
        <v>782</v>
      </c>
      <c r="F122" s="127" t="s">
        <v>870</v>
      </c>
      <c r="G122" s="127" t="s">
        <v>855</v>
      </c>
      <c r="H122" s="129" t="s">
        <v>620</v>
      </c>
      <c r="I122" s="129" t="s">
        <v>621</v>
      </c>
      <c r="J122" s="129" t="s">
        <v>622</v>
      </c>
      <c r="K122" s="129">
        <v>0</v>
      </c>
      <c r="L122" s="129">
        <v>0</v>
      </c>
      <c r="M122" s="129">
        <v>1</v>
      </c>
      <c r="N122" s="129">
        <v>1</v>
      </c>
      <c r="O122" s="129">
        <v>0</v>
      </c>
      <c r="P122" s="129">
        <v>2</v>
      </c>
    </row>
    <row r="123" spans="1:16">
      <c r="A123" s="123" t="s">
        <v>89</v>
      </c>
      <c r="B123" s="124" t="s">
        <v>1093</v>
      </c>
      <c r="C123" s="124" t="s">
        <v>1094</v>
      </c>
      <c r="D123" s="124" t="s">
        <v>715</v>
      </c>
      <c r="E123" s="124" t="s">
        <v>716</v>
      </c>
      <c r="F123" s="124" t="s">
        <v>645</v>
      </c>
      <c r="G123" s="124" t="s">
        <v>1095</v>
      </c>
      <c r="H123" s="125" t="s">
        <v>724</v>
      </c>
      <c r="I123" s="125" t="s">
        <v>631</v>
      </c>
      <c r="J123" s="125" t="s">
        <v>622</v>
      </c>
      <c r="K123" s="125">
        <v>1</v>
      </c>
      <c r="L123" s="125">
        <v>0</v>
      </c>
      <c r="M123" s="125">
        <v>1</v>
      </c>
      <c r="N123" s="125">
        <v>0</v>
      </c>
      <c r="O123" s="125">
        <v>1</v>
      </c>
      <c r="P123" s="125">
        <v>3</v>
      </c>
    </row>
    <row r="124" spans="1:16">
      <c r="A124" s="126" t="s">
        <v>1096</v>
      </c>
      <c r="B124" s="127" t="s">
        <v>1097</v>
      </c>
      <c r="C124" s="127" t="s">
        <v>1098</v>
      </c>
      <c r="D124" s="127" t="s">
        <v>626</v>
      </c>
      <c r="E124" s="127" t="s">
        <v>1099</v>
      </c>
      <c r="F124" s="127" t="s">
        <v>628</v>
      </c>
      <c r="G124" s="127" t="s">
        <v>629</v>
      </c>
      <c r="H124" s="129" t="s">
        <v>689</v>
      </c>
      <c r="I124" s="129" t="s">
        <v>631</v>
      </c>
      <c r="J124" s="129" t="s">
        <v>622</v>
      </c>
      <c r="K124" s="129">
        <v>0</v>
      </c>
      <c r="L124" s="129">
        <v>2</v>
      </c>
      <c r="M124" s="129">
        <v>0</v>
      </c>
      <c r="N124" s="129">
        <v>1</v>
      </c>
      <c r="O124" s="129">
        <v>0</v>
      </c>
      <c r="P124" s="129">
        <v>3</v>
      </c>
    </row>
    <row r="125" spans="1:16">
      <c r="A125" s="123" t="s">
        <v>1100</v>
      </c>
      <c r="B125" s="124" t="s">
        <v>1101</v>
      </c>
      <c r="C125" s="124" t="s">
        <v>1102</v>
      </c>
      <c r="D125" s="124" t="s">
        <v>616</v>
      </c>
      <c r="E125" s="124" t="s">
        <v>974</v>
      </c>
      <c r="F125" s="124" t="s">
        <v>798</v>
      </c>
      <c r="G125" s="124" t="s">
        <v>773</v>
      </c>
      <c r="H125" s="125" t="s">
        <v>620</v>
      </c>
      <c r="I125" s="125" t="s">
        <v>621</v>
      </c>
      <c r="J125" s="125" t="s">
        <v>622</v>
      </c>
      <c r="K125" s="125">
        <v>0</v>
      </c>
      <c r="L125" s="125">
        <v>0</v>
      </c>
      <c r="M125" s="125">
        <v>1</v>
      </c>
      <c r="N125" s="125">
        <v>1</v>
      </c>
      <c r="O125" s="125">
        <v>0</v>
      </c>
      <c r="P125" s="125">
        <v>2</v>
      </c>
    </row>
    <row r="126" spans="1:16">
      <c r="A126" s="126" t="s">
        <v>349</v>
      </c>
      <c r="B126" s="127" t="s">
        <v>1103</v>
      </c>
      <c r="C126" s="127" t="s">
        <v>1104</v>
      </c>
      <c r="D126" s="127" t="s">
        <v>635</v>
      </c>
      <c r="E126" s="127" t="s">
        <v>941</v>
      </c>
      <c r="F126" s="127" t="s">
        <v>703</v>
      </c>
      <c r="G126" s="127" t="s">
        <v>773</v>
      </c>
      <c r="H126" s="128" t="s">
        <v>620</v>
      </c>
      <c r="I126" s="129" t="s">
        <v>621</v>
      </c>
      <c r="J126" s="129" t="s">
        <v>622</v>
      </c>
      <c r="K126" s="129">
        <v>0</v>
      </c>
      <c r="L126" s="129">
        <v>0</v>
      </c>
      <c r="M126" s="129">
        <v>0</v>
      </c>
      <c r="N126" s="129">
        <v>1</v>
      </c>
      <c r="O126" s="129">
        <v>1</v>
      </c>
      <c r="P126" s="129">
        <v>2</v>
      </c>
    </row>
    <row r="127" spans="1:16">
      <c r="A127" s="123" t="s">
        <v>1105</v>
      </c>
      <c r="B127" s="124" t="s">
        <v>1106</v>
      </c>
      <c r="C127" s="124" t="s">
        <v>1107</v>
      </c>
      <c r="D127" s="124" t="s">
        <v>701</v>
      </c>
      <c r="E127" s="124" t="s">
        <v>740</v>
      </c>
      <c r="F127" s="124" t="s">
        <v>645</v>
      </c>
      <c r="G127" s="124" t="s">
        <v>1108</v>
      </c>
      <c r="H127" s="128" t="s">
        <v>620</v>
      </c>
      <c r="I127" s="125" t="s">
        <v>621</v>
      </c>
      <c r="J127" s="125" t="s">
        <v>622</v>
      </c>
      <c r="K127" s="125">
        <v>0</v>
      </c>
      <c r="L127" s="125">
        <v>0</v>
      </c>
      <c r="M127" s="125">
        <v>1</v>
      </c>
      <c r="N127" s="125">
        <v>1</v>
      </c>
      <c r="O127" s="125">
        <v>0</v>
      </c>
      <c r="P127" s="125">
        <v>2</v>
      </c>
    </row>
    <row r="128" spans="1:16">
      <c r="A128" s="126" t="s">
        <v>1109</v>
      </c>
      <c r="B128" s="127" t="s">
        <v>1110</v>
      </c>
      <c r="C128" s="127" t="s">
        <v>1111</v>
      </c>
      <c r="D128" s="127" t="s">
        <v>626</v>
      </c>
      <c r="E128" s="127" t="s">
        <v>708</v>
      </c>
      <c r="F128" s="127" t="s">
        <v>875</v>
      </c>
      <c r="G128" s="127" t="s">
        <v>1112</v>
      </c>
      <c r="H128" s="129" t="s">
        <v>620</v>
      </c>
      <c r="I128" s="129" t="s">
        <v>639</v>
      </c>
      <c r="J128" s="129" t="s">
        <v>622</v>
      </c>
      <c r="K128" s="129">
        <v>0</v>
      </c>
      <c r="L128" s="129">
        <v>0</v>
      </c>
      <c r="M128" s="129">
        <v>0</v>
      </c>
      <c r="N128" s="129">
        <v>1</v>
      </c>
      <c r="O128" s="129">
        <v>0</v>
      </c>
      <c r="P128" s="129">
        <v>1</v>
      </c>
    </row>
    <row r="129" spans="1:16">
      <c r="A129" s="123" t="s">
        <v>1113</v>
      </c>
      <c r="B129" s="124" t="s">
        <v>1114</v>
      </c>
      <c r="C129" s="124" t="s">
        <v>1115</v>
      </c>
      <c r="D129" s="124" t="s">
        <v>688</v>
      </c>
      <c r="E129" s="124" t="s">
        <v>859</v>
      </c>
      <c r="F129" s="124" t="s">
        <v>923</v>
      </c>
      <c r="G129" s="124" t="s">
        <v>1116</v>
      </c>
      <c r="H129" s="125" t="s">
        <v>689</v>
      </c>
      <c r="I129" s="125" t="s">
        <v>631</v>
      </c>
      <c r="J129" s="125" t="s">
        <v>622</v>
      </c>
      <c r="K129" s="125">
        <v>0</v>
      </c>
      <c r="L129" s="125">
        <v>2</v>
      </c>
      <c r="M129" s="125">
        <v>0</v>
      </c>
      <c r="N129" s="125">
        <v>1</v>
      </c>
      <c r="O129" s="125">
        <v>0</v>
      </c>
      <c r="P129" s="125">
        <v>3</v>
      </c>
    </row>
    <row r="130" spans="1:16">
      <c r="A130" s="126" t="s">
        <v>1117</v>
      </c>
      <c r="B130" s="127" t="s">
        <v>1118</v>
      </c>
      <c r="C130" s="127" t="s">
        <v>1119</v>
      </c>
      <c r="D130" s="127" t="s">
        <v>626</v>
      </c>
      <c r="E130" s="127" t="s">
        <v>998</v>
      </c>
      <c r="F130" s="127" t="s">
        <v>875</v>
      </c>
      <c r="G130" s="127" t="s">
        <v>694</v>
      </c>
      <c r="H130" s="129" t="s">
        <v>647</v>
      </c>
      <c r="I130" s="129" t="s">
        <v>639</v>
      </c>
      <c r="J130" s="129" t="s">
        <v>622</v>
      </c>
      <c r="K130" s="129">
        <v>0</v>
      </c>
      <c r="L130" s="129">
        <v>0</v>
      </c>
      <c r="M130" s="129">
        <v>0</v>
      </c>
      <c r="N130" s="129">
        <v>1</v>
      </c>
      <c r="O130" s="129">
        <v>0</v>
      </c>
      <c r="P130" s="129">
        <v>1</v>
      </c>
    </row>
    <row r="131" spans="1:16">
      <c r="A131" s="123" t="s">
        <v>1120</v>
      </c>
      <c r="B131" s="124" t="s">
        <v>1121</v>
      </c>
      <c r="C131" s="124" t="s">
        <v>1122</v>
      </c>
      <c r="D131" s="124" t="s">
        <v>626</v>
      </c>
      <c r="E131" s="124" t="s">
        <v>663</v>
      </c>
      <c r="F131" s="124" t="s">
        <v>1123</v>
      </c>
      <c r="G131" s="124" t="s">
        <v>742</v>
      </c>
      <c r="H131" s="125" t="s">
        <v>620</v>
      </c>
      <c r="I131" s="125" t="s">
        <v>639</v>
      </c>
      <c r="J131" s="125" t="s">
        <v>622</v>
      </c>
      <c r="K131" s="125">
        <v>0</v>
      </c>
      <c r="L131" s="125">
        <v>0</v>
      </c>
      <c r="M131" s="125">
        <v>0</v>
      </c>
      <c r="N131" s="125">
        <v>1</v>
      </c>
      <c r="O131" s="125">
        <v>0</v>
      </c>
      <c r="P131" s="125">
        <v>1</v>
      </c>
    </row>
    <row r="132" spans="1:16">
      <c r="A132" s="126" t="s">
        <v>1124</v>
      </c>
      <c r="B132" s="127" t="s">
        <v>1125</v>
      </c>
      <c r="C132" s="127" t="s">
        <v>1126</v>
      </c>
      <c r="D132" s="127" t="s">
        <v>616</v>
      </c>
      <c r="E132" s="127" t="s">
        <v>668</v>
      </c>
      <c r="F132" s="127" t="s">
        <v>675</v>
      </c>
      <c r="G132" s="127" t="s">
        <v>704</v>
      </c>
      <c r="H132" s="129" t="s">
        <v>724</v>
      </c>
      <c r="I132" s="129" t="s">
        <v>639</v>
      </c>
      <c r="J132" s="129" t="s">
        <v>622</v>
      </c>
      <c r="K132" s="129">
        <v>0</v>
      </c>
      <c r="L132" s="129">
        <v>0</v>
      </c>
      <c r="M132" s="129">
        <v>0</v>
      </c>
      <c r="N132" s="129">
        <v>1</v>
      </c>
      <c r="O132" s="129">
        <v>0</v>
      </c>
      <c r="P132" s="129">
        <v>1</v>
      </c>
    </row>
    <row r="133" spans="1:16">
      <c r="A133" s="123" t="s">
        <v>1127</v>
      </c>
      <c r="B133" s="124" t="s">
        <v>1128</v>
      </c>
      <c r="C133" s="124" t="s">
        <v>1129</v>
      </c>
      <c r="D133" s="124" t="s">
        <v>643</v>
      </c>
      <c r="E133" s="124" t="s">
        <v>644</v>
      </c>
      <c r="F133" s="124" t="s">
        <v>1017</v>
      </c>
      <c r="G133" s="124" t="s">
        <v>653</v>
      </c>
      <c r="H133" s="125" t="s">
        <v>620</v>
      </c>
      <c r="I133" s="125" t="s">
        <v>639</v>
      </c>
      <c r="J133" s="125" t="s">
        <v>622</v>
      </c>
      <c r="K133" s="125">
        <v>0</v>
      </c>
      <c r="L133" s="125">
        <v>0</v>
      </c>
      <c r="M133" s="125">
        <v>0</v>
      </c>
      <c r="N133" s="125">
        <v>1</v>
      </c>
      <c r="O133" s="125">
        <v>0</v>
      </c>
      <c r="P133" s="125">
        <v>1</v>
      </c>
    </row>
    <row r="134" spans="1:16">
      <c r="A134" s="126" t="s">
        <v>1130</v>
      </c>
      <c r="B134" s="127" t="s">
        <v>1131</v>
      </c>
      <c r="C134" s="127" t="s">
        <v>1132</v>
      </c>
      <c r="D134" s="127" t="s">
        <v>657</v>
      </c>
      <c r="E134" s="127" t="s">
        <v>993</v>
      </c>
      <c r="F134" s="127" t="s">
        <v>645</v>
      </c>
      <c r="G134" s="127" t="s">
        <v>629</v>
      </c>
      <c r="H134" s="129" t="s">
        <v>630</v>
      </c>
      <c r="I134" s="129" t="s">
        <v>621</v>
      </c>
      <c r="J134" s="129" t="s">
        <v>622</v>
      </c>
      <c r="K134" s="129">
        <v>0</v>
      </c>
      <c r="L134" s="129">
        <v>0</v>
      </c>
      <c r="M134" s="129">
        <v>1</v>
      </c>
      <c r="N134" s="129">
        <v>1</v>
      </c>
      <c r="O134" s="129">
        <v>0</v>
      </c>
      <c r="P134" s="129">
        <v>2</v>
      </c>
    </row>
    <row r="135" spans="1:16">
      <c r="A135" s="123" t="s">
        <v>1133</v>
      </c>
      <c r="B135" s="124" t="s">
        <v>1134</v>
      </c>
      <c r="C135" s="124" t="s">
        <v>1135</v>
      </c>
      <c r="D135" s="124" t="s">
        <v>643</v>
      </c>
      <c r="E135" s="124" t="s">
        <v>732</v>
      </c>
      <c r="F135" s="124" t="s">
        <v>679</v>
      </c>
      <c r="G135" s="124" t="s">
        <v>679</v>
      </c>
      <c r="H135" s="125" t="s">
        <v>647</v>
      </c>
      <c r="I135" s="125" t="s">
        <v>639</v>
      </c>
      <c r="J135" s="125" t="s">
        <v>622</v>
      </c>
      <c r="K135" s="125">
        <v>0</v>
      </c>
      <c r="L135" s="125">
        <v>0</v>
      </c>
      <c r="M135" s="125">
        <v>0</v>
      </c>
      <c r="N135" s="125">
        <v>1</v>
      </c>
      <c r="O135" s="125">
        <v>0</v>
      </c>
      <c r="P135" s="125">
        <v>1</v>
      </c>
    </row>
    <row r="136" spans="1:16">
      <c r="A136" s="126" t="s">
        <v>1136</v>
      </c>
      <c r="B136" s="127" t="s">
        <v>1137</v>
      </c>
      <c r="C136" s="127" t="s">
        <v>1138</v>
      </c>
      <c r="D136" s="127" t="s">
        <v>715</v>
      </c>
      <c r="E136" s="127" t="s">
        <v>716</v>
      </c>
      <c r="F136" s="127" t="s">
        <v>1139</v>
      </c>
      <c r="G136" s="127" t="s">
        <v>1140</v>
      </c>
      <c r="H136" s="129" t="s">
        <v>724</v>
      </c>
      <c r="I136" s="129" t="s">
        <v>631</v>
      </c>
      <c r="J136" s="129" t="s">
        <v>622</v>
      </c>
      <c r="K136" s="129">
        <v>0</v>
      </c>
      <c r="L136" s="129">
        <v>0</v>
      </c>
      <c r="M136" s="129">
        <v>1</v>
      </c>
      <c r="N136" s="129">
        <v>1</v>
      </c>
      <c r="O136" s="129">
        <v>1</v>
      </c>
      <c r="P136" s="129">
        <v>3</v>
      </c>
    </row>
    <row r="137" spans="1:16">
      <c r="A137" s="123" t="s">
        <v>1141</v>
      </c>
      <c r="B137" s="124" t="s">
        <v>1142</v>
      </c>
      <c r="C137" s="124" t="s">
        <v>1143</v>
      </c>
      <c r="D137" s="124" t="s">
        <v>616</v>
      </c>
      <c r="E137" s="124" t="s">
        <v>974</v>
      </c>
      <c r="F137" s="124" t="s">
        <v>669</v>
      </c>
      <c r="G137" s="124" t="s">
        <v>1095</v>
      </c>
      <c r="H137" s="125" t="s">
        <v>620</v>
      </c>
      <c r="I137" s="125" t="s">
        <v>621</v>
      </c>
      <c r="J137" s="125" t="s">
        <v>622</v>
      </c>
      <c r="K137" s="125">
        <v>0</v>
      </c>
      <c r="L137" s="125">
        <v>0</v>
      </c>
      <c r="M137" s="125">
        <v>0</v>
      </c>
      <c r="N137" s="125">
        <v>1</v>
      </c>
      <c r="O137" s="125">
        <v>1</v>
      </c>
      <c r="P137" s="125">
        <v>2</v>
      </c>
    </row>
    <row r="138" spans="1:16">
      <c r="A138" s="126" t="s">
        <v>1144</v>
      </c>
      <c r="B138" s="127" t="s">
        <v>1145</v>
      </c>
      <c r="C138" s="127" t="s">
        <v>1146</v>
      </c>
      <c r="D138" s="127" t="s">
        <v>688</v>
      </c>
      <c r="E138" s="127" t="s">
        <v>711</v>
      </c>
      <c r="F138" s="127" t="s">
        <v>1147</v>
      </c>
      <c r="G138" s="127" t="s">
        <v>694</v>
      </c>
      <c r="H138" s="129" t="s">
        <v>620</v>
      </c>
      <c r="I138" s="129" t="s">
        <v>639</v>
      </c>
      <c r="J138" s="129" t="s">
        <v>622</v>
      </c>
      <c r="K138" s="129">
        <v>0</v>
      </c>
      <c r="L138" s="129">
        <v>0</v>
      </c>
      <c r="M138" s="129">
        <v>0</v>
      </c>
      <c r="N138" s="129">
        <v>1</v>
      </c>
      <c r="O138" s="129">
        <v>0</v>
      </c>
      <c r="P138" s="129">
        <v>1</v>
      </c>
    </row>
    <row r="139" spans="1:16">
      <c r="A139" s="123" t="s">
        <v>1148</v>
      </c>
      <c r="B139" s="124" t="s">
        <v>1149</v>
      </c>
      <c r="C139" s="124" t="s">
        <v>1150</v>
      </c>
      <c r="D139" s="124" t="s">
        <v>616</v>
      </c>
      <c r="E139" s="124" t="s">
        <v>668</v>
      </c>
      <c r="F139" s="124" t="s">
        <v>693</v>
      </c>
      <c r="G139" s="124" t="s">
        <v>1030</v>
      </c>
      <c r="H139" s="125" t="s">
        <v>620</v>
      </c>
      <c r="I139" s="125" t="s">
        <v>639</v>
      </c>
      <c r="J139" s="125" t="s">
        <v>622</v>
      </c>
      <c r="K139" s="125">
        <v>0</v>
      </c>
      <c r="L139" s="125">
        <v>0</v>
      </c>
      <c r="M139" s="125">
        <v>0</v>
      </c>
      <c r="N139" s="125">
        <v>1</v>
      </c>
      <c r="O139" s="125">
        <v>0</v>
      </c>
      <c r="P139" s="125">
        <v>1</v>
      </c>
    </row>
    <row r="140" spans="1:16">
      <c r="A140" s="126" t="s">
        <v>1151</v>
      </c>
      <c r="B140" s="127" t="s">
        <v>1152</v>
      </c>
      <c r="C140" s="127" t="s">
        <v>1153</v>
      </c>
      <c r="D140" s="127" t="s">
        <v>715</v>
      </c>
      <c r="E140" s="127" t="s">
        <v>751</v>
      </c>
      <c r="F140" s="127" t="s">
        <v>637</v>
      </c>
      <c r="G140" s="127" t="s">
        <v>1154</v>
      </c>
      <c r="H140" s="129" t="s">
        <v>620</v>
      </c>
      <c r="I140" s="129" t="s">
        <v>639</v>
      </c>
      <c r="J140" s="129" t="s">
        <v>622</v>
      </c>
      <c r="K140" s="129">
        <v>0</v>
      </c>
      <c r="L140" s="129">
        <v>0</v>
      </c>
      <c r="M140" s="129">
        <v>0</v>
      </c>
      <c r="N140" s="129">
        <v>0</v>
      </c>
      <c r="O140" s="129">
        <v>1</v>
      </c>
      <c r="P140" s="129">
        <v>1</v>
      </c>
    </row>
    <row r="141" spans="1:16">
      <c r="A141" s="123" t="s">
        <v>1155</v>
      </c>
      <c r="B141" s="124" t="s">
        <v>1156</v>
      </c>
      <c r="C141" s="124" t="s">
        <v>1157</v>
      </c>
      <c r="D141" s="124" t="s">
        <v>626</v>
      </c>
      <c r="E141" s="124" t="s">
        <v>772</v>
      </c>
      <c r="F141" s="124" t="s">
        <v>762</v>
      </c>
      <c r="G141" s="124" t="s">
        <v>704</v>
      </c>
      <c r="H141" s="128" t="s">
        <v>620</v>
      </c>
      <c r="I141" s="125" t="s">
        <v>621</v>
      </c>
      <c r="J141" s="125" t="s">
        <v>622</v>
      </c>
      <c r="K141" s="125">
        <v>0</v>
      </c>
      <c r="L141" s="125">
        <v>0</v>
      </c>
      <c r="M141" s="125">
        <v>1</v>
      </c>
      <c r="N141" s="125">
        <v>1</v>
      </c>
      <c r="O141" s="125">
        <v>0</v>
      </c>
      <c r="P141" s="125">
        <v>2</v>
      </c>
    </row>
    <row r="142" spans="1:16">
      <c r="A142" s="126" t="s">
        <v>1158</v>
      </c>
      <c r="B142" s="127" t="s">
        <v>1159</v>
      </c>
      <c r="C142" s="127" t="s">
        <v>1160</v>
      </c>
      <c r="D142" s="127" t="s">
        <v>643</v>
      </c>
      <c r="E142" s="127" t="s">
        <v>644</v>
      </c>
      <c r="F142" s="127" t="s">
        <v>981</v>
      </c>
      <c r="G142" s="127" t="s">
        <v>653</v>
      </c>
      <c r="H142" s="129" t="s">
        <v>630</v>
      </c>
      <c r="I142" s="129" t="s">
        <v>631</v>
      </c>
      <c r="J142" s="129" t="s">
        <v>622</v>
      </c>
      <c r="K142" s="129">
        <v>0</v>
      </c>
      <c r="L142" s="129">
        <v>2</v>
      </c>
      <c r="M142" s="129">
        <v>0</v>
      </c>
      <c r="N142" s="129">
        <v>1</v>
      </c>
      <c r="O142" s="129">
        <v>0</v>
      </c>
      <c r="P142" s="129">
        <v>3</v>
      </c>
    </row>
    <row r="143" spans="1:16">
      <c r="A143" s="123" t="s">
        <v>1161</v>
      </c>
      <c r="B143" s="124" t="s">
        <v>1162</v>
      </c>
      <c r="C143" s="124" t="s">
        <v>1163</v>
      </c>
      <c r="D143" s="124" t="s">
        <v>635</v>
      </c>
      <c r="E143" s="124" t="s">
        <v>941</v>
      </c>
      <c r="F143" s="124" t="s">
        <v>703</v>
      </c>
      <c r="G143" s="124" t="s">
        <v>704</v>
      </c>
      <c r="H143" s="125" t="s">
        <v>620</v>
      </c>
      <c r="I143" s="125" t="s">
        <v>639</v>
      </c>
      <c r="J143" s="125" t="s">
        <v>622</v>
      </c>
      <c r="K143" s="125">
        <v>0</v>
      </c>
      <c r="L143" s="125">
        <v>0</v>
      </c>
      <c r="M143" s="125">
        <v>0</v>
      </c>
      <c r="N143" s="125">
        <v>1</v>
      </c>
      <c r="O143" s="125">
        <v>1</v>
      </c>
      <c r="P143" s="125">
        <v>2</v>
      </c>
    </row>
    <row r="144" spans="1:16">
      <c r="A144" s="126" t="s">
        <v>1164</v>
      </c>
      <c r="B144" s="127" t="s">
        <v>1165</v>
      </c>
      <c r="C144" s="127" t="s">
        <v>1166</v>
      </c>
      <c r="D144" s="127" t="s">
        <v>688</v>
      </c>
      <c r="E144" s="127" t="s">
        <v>859</v>
      </c>
      <c r="F144" s="127" t="s">
        <v>679</v>
      </c>
      <c r="G144" s="127" t="s">
        <v>679</v>
      </c>
      <c r="H144" s="129" t="s">
        <v>689</v>
      </c>
      <c r="I144" s="129" t="s">
        <v>621</v>
      </c>
      <c r="J144" s="129" t="s">
        <v>622</v>
      </c>
      <c r="K144" s="129">
        <v>0</v>
      </c>
      <c r="L144" s="129">
        <v>0</v>
      </c>
      <c r="M144" s="129">
        <v>1</v>
      </c>
      <c r="N144" s="129">
        <v>1</v>
      </c>
      <c r="O144" s="129">
        <v>0</v>
      </c>
      <c r="P144" s="129">
        <v>2</v>
      </c>
    </row>
    <row r="145" spans="1:16">
      <c r="A145" s="123" t="s">
        <v>1167</v>
      </c>
      <c r="B145" s="124" t="s">
        <v>1168</v>
      </c>
      <c r="C145" s="124" t="s">
        <v>1169</v>
      </c>
      <c r="D145" s="124" t="s">
        <v>643</v>
      </c>
      <c r="E145" s="124" t="s">
        <v>651</v>
      </c>
      <c r="F145" s="124" t="s">
        <v>652</v>
      </c>
      <c r="G145" s="124" t="s">
        <v>1170</v>
      </c>
      <c r="H145" s="128" t="s">
        <v>620</v>
      </c>
      <c r="I145" s="125" t="s">
        <v>639</v>
      </c>
      <c r="J145" s="125" t="s">
        <v>622</v>
      </c>
      <c r="K145" s="125">
        <v>0</v>
      </c>
      <c r="L145" s="125">
        <v>0</v>
      </c>
      <c r="M145" s="125">
        <v>0</v>
      </c>
      <c r="N145" s="125">
        <v>1</v>
      </c>
      <c r="O145" s="125">
        <v>0</v>
      </c>
      <c r="P145" s="125">
        <v>1</v>
      </c>
    </row>
    <row r="146" spans="1:16">
      <c r="A146" s="126" t="s">
        <v>1171</v>
      </c>
      <c r="B146" s="127" t="s">
        <v>1172</v>
      </c>
      <c r="C146" s="127" t="s">
        <v>1173</v>
      </c>
      <c r="D146" s="127" t="s">
        <v>626</v>
      </c>
      <c r="E146" s="127" t="s">
        <v>683</v>
      </c>
      <c r="F146" s="127" t="s">
        <v>994</v>
      </c>
      <c r="G146" s="127" t="s">
        <v>1174</v>
      </c>
      <c r="H146" s="128" t="s">
        <v>630</v>
      </c>
      <c r="I146" s="129" t="s">
        <v>631</v>
      </c>
      <c r="J146" s="129" t="s">
        <v>622</v>
      </c>
      <c r="K146" s="129">
        <v>0</v>
      </c>
      <c r="L146" s="129">
        <v>2</v>
      </c>
      <c r="M146" s="129">
        <v>0</v>
      </c>
      <c r="N146" s="129">
        <v>1</v>
      </c>
      <c r="O146" s="129">
        <v>0</v>
      </c>
      <c r="P146" s="129">
        <v>3</v>
      </c>
    </row>
    <row r="147" spans="1:16">
      <c r="A147" s="123" t="s">
        <v>1175</v>
      </c>
      <c r="B147" s="124" t="s">
        <v>1176</v>
      </c>
      <c r="C147" s="124" t="s">
        <v>1177</v>
      </c>
      <c r="D147" s="124" t="s">
        <v>616</v>
      </c>
      <c r="E147" s="124" t="s">
        <v>668</v>
      </c>
      <c r="F147" s="124" t="s">
        <v>693</v>
      </c>
      <c r="G147" s="124" t="s">
        <v>694</v>
      </c>
      <c r="H147" s="125" t="s">
        <v>620</v>
      </c>
      <c r="I147" s="125" t="s">
        <v>621</v>
      </c>
      <c r="J147" s="125" t="s">
        <v>622</v>
      </c>
      <c r="K147" s="125">
        <v>0</v>
      </c>
      <c r="L147" s="125">
        <v>0</v>
      </c>
      <c r="M147" s="125">
        <v>0</v>
      </c>
      <c r="N147" s="125">
        <v>1</v>
      </c>
      <c r="O147" s="125">
        <v>1</v>
      </c>
      <c r="P147" s="125">
        <v>2</v>
      </c>
    </row>
    <row r="148" spans="1:16">
      <c r="A148" s="126" t="s">
        <v>1178</v>
      </c>
      <c r="B148" s="127" t="s">
        <v>1179</v>
      </c>
      <c r="C148" s="127" t="s">
        <v>1180</v>
      </c>
      <c r="D148" s="127" t="s">
        <v>892</v>
      </c>
      <c r="E148" s="127" t="s">
        <v>893</v>
      </c>
      <c r="F148" s="127" t="s">
        <v>1181</v>
      </c>
      <c r="G148" s="127" t="s">
        <v>846</v>
      </c>
      <c r="H148" s="129" t="s">
        <v>724</v>
      </c>
      <c r="I148" s="129" t="s">
        <v>631</v>
      </c>
      <c r="J148" s="129" t="s">
        <v>622</v>
      </c>
      <c r="K148" s="129">
        <v>1</v>
      </c>
      <c r="L148" s="129">
        <v>0</v>
      </c>
      <c r="M148" s="129">
        <v>1</v>
      </c>
      <c r="N148" s="129">
        <v>1</v>
      </c>
      <c r="O148" s="129">
        <v>0</v>
      </c>
      <c r="P148" s="129">
        <v>3</v>
      </c>
    </row>
    <row r="149" spans="1:16">
      <c r="A149" s="123" t="s">
        <v>1182</v>
      </c>
      <c r="B149" s="124" t="s">
        <v>1183</v>
      </c>
      <c r="C149" s="124" t="s">
        <v>1184</v>
      </c>
      <c r="D149" s="124" t="s">
        <v>643</v>
      </c>
      <c r="E149" s="124" t="s">
        <v>644</v>
      </c>
      <c r="F149" s="124" t="s">
        <v>981</v>
      </c>
      <c r="G149" s="124" t="s">
        <v>653</v>
      </c>
      <c r="H149" s="125" t="s">
        <v>620</v>
      </c>
      <c r="I149" s="125" t="s">
        <v>639</v>
      </c>
      <c r="J149" s="125" t="s">
        <v>622</v>
      </c>
      <c r="K149" s="125">
        <v>0</v>
      </c>
      <c r="L149" s="125">
        <v>0</v>
      </c>
      <c r="M149" s="125">
        <v>0</v>
      </c>
      <c r="N149" s="125">
        <v>1</v>
      </c>
      <c r="O149" s="125">
        <v>0</v>
      </c>
      <c r="P149" s="125">
        <v>1</v>
      </c>
    </row>
    <row r="150" spans="1:16">
      <c r="A150" s="126" t="s">
        <v>1185</v>
      </c>
      <c r="B150" s="127" t="s">
        <v>1186</v>
      </c>
      <c r="C150" s="127" t="s">
        <v>1187</v>
      </c>
      <c r="D150" s="127" t="s">
        <v>626</v>
      </c>
      <c r="E150" s="127" t="s">
        <v>854</v>
      </c>
      <c r="F150" s="127" t="s">
        <v>788</v>
      </c>
      <c r="G150" s="127" t="s">
        <v>694</v>
      </c>
      <c r="H150" s="129" t="s">
        <v>620</v>
      </c>
      <c r="I150" s="129" t="s">
        <v>621</v>
      </c>
      <c r="J150" s="129" t="s">
        <v>622</v>
      </c>
      <c r="K150" s="129">
        <v>0</v>
      </c>
      <c r="L150" s="129">
        <v>0</v>
      </c>
      <c r="M150" s="129">
        <v>1</v>
      </c>
      <c r="N150" s="129">
        <v>1</v>
      </c>
      <c r="O150" s="129">
        <v>0</v>
      </c>
      <c r="P150" s="129">
        <v>2</v>
      </c>
    </row>
    <row r="151" spans="1:16">
      <c r="A151" s="123" t="s">
        <v>1188</v>
      </c>
      <c r="B151" s="124" t="s">
        <v>592</v>
      </c>
      <c r="C151" s="124" t="s">
        <v>1189</v>
      </c>
      <c r="D151" s="124" t="s">
        <v>616</v>
      </c>
      <c r="E151" s="124" t="s">
        <v>668</v>
      </c>
      <c r="F151" s="124" t="s">
        <v>693</v>
      </c>
      <c r="G151" s="124" t="s">
        <v>694</v>
      </c>
      <c r="H151" s="128" t="s">
        <v>620</v>
      </c>
      <c r="I151" s="125" t="s">
        <v>621</v>
      </c>
      <c r="J151" s="125" t="s">
        <v>622</v>
      </c>
      <c r="K151" s="125">
        <v>0</v>
      </c>
      <c r="L151" s="125">
        <v>0</v>
      </c>
      <c r="M151" s="125">
        <v>1</v>
      </c>
      <c r="N151" s="125">
        <v>1</v>
      </c>
      <c r="O151" s="125">
        <v>0</v>
      </c>
      <c r="P151" s="125">
        <v>2</v>
      </c>
    </row>
    <row r="152" spans="1:16">
      <c r="A152" s="126" t="s">
        <v>1190</v>
      </c>
      <c r="B152" s="127" t="s">
        <v>1191</v>
      </c>
      <c r="C152" s="127" t="s">
        <v>1192</v>
      </c>
      <c r="D152" s="127" t="s">
        <v>626</v>
      </c>
      <c r="E152" s="127" t="s">
        <v>627</v>
      </c>
      <c r="F152" s="127" t="s">
        <v>628</v>
      </c>
      <c r="G152" s="127" t="s">
        <v>629</v>
      </c>
      <c r="H152" s="129" t="s">
        <v>620</v>
      </c>
      <c r="I152" s="129" t="s">
        <v>631</v>
      </c>
      <c r="J152" s="129" t="s">
        <v>622</v>
      </c>
      <c r="K152" s="129">
        <v>0</v>
      </c>
      <c r="L152" s="129">
        <v>2</v>
      </c>
      <c r="M152" s="129">
        <v>0</v>
      </c>
      <c r="N152" s="129">
        <v>1</v>
      </c>
      <c r="O152" s="129">
        <v>0</v>
      </c>
      <c r="P152" s="129">
        <v>3</v>
      </c>
    </row>
    <row r="153" spans="1:16">
      <c r="A153" s="123" t="s">
        <v>1193</v>
      </c>
      <c r="B153" s="124" t="s">
        <v>1194</v>
      </c>
      <c r="C153" s="124" t="s">
        <v>1195</v>
      </c>
      <c r="D153" s="124" t="s">
        <v>657</v>
      </c>
      <c r="E153" s="124" t="s">
        <v>782</v>
      </c>
      <c r="F153" s="124" t="s">
        <v>736</v>
      </c>
      <c r="G153" s="124" t="s">
        <v>1196</v>
      </c>
      <c r="H153" s="125" t="s">
        <v>620</v>
      </c>
      <c r="I153" s="125" t="s">
        <v>621</v>
      </c>
      <c r="J153" s="125" t="s">
        <v>622</v>
      </c>
      <c r="K153" s="125">
        <v>0</v>
      </c>
      <c r="L153" s="125">
        <v>0</v>
      </c>
      <c r="M153" s="125">
        <v>0</v>
      </c>
      <c r="N153" s="125">
        <v>1</v>
      </c>
      <c r="O153" s="125">
        <v>1</v>
      </c>
      <c r="P153" s="125">
        <v>2</v>
      </c>
    </row>
    <row r="154" spans="1:16">
      <c r="A154" s="126" t="s">
        <v>1197</v>
      </c>
      <c r="B154" s="127" t="s">
        <v>1198</v>
      </c>
      <c r="C154" s="127" t="s">
        <v>1199</v>
      </c>
      <c r="D154" s="127" t="s">
        <v>657</v>
      </c>
      <c r="E154" s="127" t="s">
        <v>1200</v>
      </c>
      <c r="F154" s="127" t="s">
        <v>628</v>
      </c>
      <c r="G154" s="127" t="s">
        <v>629</v>
      </c>
      <c r="H154" s="129" t="s">
        <v>620</v>
      </c>
      <c r="I154" s="129" t="s">
        <v>631</v>
      </c>
      <c r="J154" s="129" t="s">
        <v>622</v>
      </c>
      <c r="K154" s="129">
        <v>0</v>
      </c>
      <c r="L154" s="129">
        <v>2</v>
      </c>
      <c r="M154" s="129">
        <v>0</v>
      </c>
      <c r="N154" s="129">
        <v>1</v>
      </c>
      <c r="O154" s="129">
        <v>0</v>
      </c>
      <c r="P154" s="129">
        <v>3</v>
      </c>
    </row>
    <row r="155" spans="1:16">
      <c r="A155" s="123" t="s">
        <v>1201</v>
      </c>
      <c r="B155" s="124" t="s">
        <v>1202</v>
      </c>
      <c r="C155" s="124" t="s">
        <v>1203</v>
      </c>
      <c r="D155" s="124" t="s">
        <v>626</v>
      </c>
      <c r="E155" s="124" t="s">
        <v>1099</v>
      </c>
      <c r="F155" s="124" t="s">
        <v>628</v>
      </c>
      <c r="G155" s="124" t="s">
        <v>1204</v>
      </c>
      <c r="H155" s="125" t="s">
        <v>620</v>
      </c>
      <c r="I155" s="125" t="s">
        <v>621</v>
      </c>
      <c r="J155" s="125" t="s">
        <v>622</v>
      </c>
      <c r="K155" s="125">
        <v>0</v>
      </c>
      <c r="L155" s="125">
        <v>0</v>
      </c>
      <c r="M155" s="125">
        <v>1</v>
      </c>
      <c r="N155" s="125">
        <v>1</v>
      </c>
      <c r="O155" s="125">
        <v>0</v>
      </c>
      <c r="P155" s="125">
        <v>2</v>
      </c>
    </row>
    <row r="156" spans="1:16">
      <c r="A156" s="126" t="s">
        <v>1205</v>
      </c>
      <c r="B156" s="127" t="s">
        <v>1206</v>
      </c>
      <c r="C156" s="127" t="s">
        <v>1207</v>
      </c>
      <c r="D156" s="127" t="s">
        <v>626</v>
      </c>
      <c r="E156" s="127" t="s">
        <v>854</v>
      </c>
      <c r="F156" s="127" t="s">
        <v>675</v>
      </c>
      <c r="G156" s="127" t="s">
        <v>694</v>
      </c>
      <c r="H156" s="128" t="s">
        <v>620</v>
      </c>
      <c r="I156" s="129" t="s">
        <v>621</v>
      </c>
      <c r="J156" s="129" t="s">
        <v>622</v>
      </c>
      <c r="K156" s="129">
        <v>0</v>
      </c>
      <c r="L156" s="129">
        <v>0</v>
      </c>
      <c r="M156" s="129">
        <v>1</v>
      </c>
      <c r="N156" s="129">
        <v>1</v>
      </c>
      <c r="O156" s="129">
        <v>0</v>
      </c>
      <c r="P156" s="129">
        <v>2</v>
      </c>
    </row>
    <row r="157" spans="1:16">
      <c r="A157" s="123" t="s">
        <v>1208</v>
      </c>
      <c r="B157" s="124" t="s">
        <v>1209</v>
      </c>
      <c r="C157" s="124" t="s">
        <v>1210</v>
      </c>
      <c r="D157" s="124" t="s">
        <v>657</v>
      </c>
      <c r="E157" s="124" t="s">
        <v>782</v>
      </c>
      <c r="F157" s="124" t="s">
        <v>736</v>
      </c>
      <c r="G157" s="124" t="s">
        <v>1211</v>
      </c>
      <c r="H157" s="125" t="s">
        <v>620</v>
      </c>
      <c r="I157" s="125" t="s">
        <v>621</v>
      </c>
      <c r="J157" s="125" t="s">
        <v>622</v>
      </c>
      <c r="K157" s="125">
        <v>0</v>
      </c>
      <c r="L157" s="125">
        <v>0</v>
      </c>
      <c r="M157" s="125">
        <v>1</v>
      </c>
      <c r="N157" s="125">
        <v>1</v>
      </c>
      <c r="O157" s="125">
        <v>0</v>
      </c>
      <c r="P157" s="125">
        <v>2</v>
      </c>
    </row>
    <row r="158" spans="1:16">
      <c r="A158" s="126" t="s">
        <v>1212</v>
      </c>
      <c r="B158" s="127" t="s">
        <v>1213</v>
      </c>
      <c r="C158" s="127" t="s">
        <v>1214</v>
      </c>
      <c r="D158" s="127" t="s">
        <v>657</v>
      </c>
      <c r="E158" s="127" t="s">
        <v>782</v>
      </c>
      <c r="F158" s="127" t="s">
        <v>762</v>
      </c>
      <c r="G158" s="127" t="s">
        <v>1034</v>
      </c>
      <c r="H158" s="129" t="s">
        <v>620</v>
      </c>
      <c r="I158" s="129" t="s">
        <v>631</v>
      </c>
      <c r="J158" s="129" t="s">
        <v>622</v>
      </c>
      <c r="K158" s="129">
        <v>0</v>
      </c>
      <c r="L158" s="129">
        <v>2</v>
      </c>
      <c r="M158" s="129">
        <v>0</v>
      </c>
      <c r="N158" s="129">
        <v>1</v>
      </c>
      <c r="O158" s="129">
        <v>0</v>
      </c>
      <c r="P158" s="129">
        <v>3</v>
      </c>
    </row>
    <row r="159" spans="1:16">
      <c r="A159" s="123" t="s">
        <v>1215</v>
      </c>
      <c r="B159" s="124" t="s">
        <v>1216</v>
      </c>
      <c r="C159" s="124" t="s">
        <v>1217</v>
      </c>
      <c r="D159" s="124" t="s">
        <v>635</v>
      </c>
      <c r="E159" s="124" t="s">
        <v>941</v>
      </c>
      <c r="F159" s="124" t="s">
        <v>1218</v>
      </c>
      <c r="G159" s="124" t="s">
        <v>742</v>
      </c>
      <c r="H159" s="125" t="s">
        <v>620</v>
      </c>
      <c r="I159" s="125" t="s">
        <v>621</v>
      </c>
      <c r="J159" s="125" t="s">
        <v>622</v>
      </c>
      <c r="K159" s="125">
        <v>0</v>
      </c>
      <c r="L159" s="125">
        <v>0</v>
      </c>
      <c r="M159" s="125">
        <v>1</v>
      </c>
      <c r="N159" s="125">
        <v>1</v>
      </c>
      <c r="O159" s="125">
        <v>0</v>
      </c>
      <c r="P159" s="125">
        <v>2</v>
      </c>
    </row>
    <row r="160" spans="1:16">
      <c r="A160" s="126" t="s">
        <v>1219</v>
      </c>
      <c r="B160" s="127" t="s">
        <v>1220</v>
      </c>
      <c r="C160" s="127" t="s">
        <v>1221</v>
      </c>
      <c r="D160" s="127" t="s">
        <v>715</v>
      </c>
      <c r="E160" s="127" t="s">
        <v>716</v>
      </c>
      <c r="F160" s="127" t="s">
        <v>628</v>
      </c>
      <c r="G160" s="127" t="s">
        <v>629</v>
      </c>
      <c r="H160" s="129" t="s">
        <v>630</v>
      </c>
      <c r="I160" s="129" t="s">
        <v>631</v>
      </c>
      <c r="J160" s="129" t="s">
        <v>622</v>
      </c>
      <c r="K160" s="129">
        <v>0</v>
      </c>
      <c r="L160" s="129">
        <v>0</v>
      </c>
      <c r="M160" s="129">
        <v>1</v>
      </c>
      <c r="N160" s="129">
        <v>1</v>
      </c>
      <c r="O160" s="129">
        <v>1</v>
      </c>
      <c r="P160" s="129">
        <v>3</v>
      </c>
    </row>
    <row r="161" spans="1:16">
      <c r="A161" s="123" t="s">
        <v>1222</v>
      </c>
      <c r="B161" s="124" t="s">
        <v>1223</v>
      </c>
      <c r="C161" s="124" t="s">
        <v>1224</v>
      </c>
      <c r="D161" s="124" t="s">
        <v>701</v>
      </c>
      <c r="E161" s="124" t="s">
        <v>1013</v>
      </c>
      <c r="F161" s="124" t="s">
        <v>994</v>
      </c>
      <c r="G161" s="124" t="s">
        <v>778</v>
      </c>
      <c r="H161" s="125" t="s">
        <v>630</v>
      </c>
      <c r="I161" s="125" t="s">
        <v>631</v>
      </c>
      <c r="J161" s="125" t="s">
        <v>622</v>
      </c>
      <c r="K161" s="125">
        <v>1</v>
      </c>
      <c r="L161" s="125">
        <v>0</v>
      </c>
      <c r="M161" s="125">
        <v>1</v>
      </c>
      <c r="N161" s="125">
        <v>0</v>
      </c>
      <c r="O161" s="125">
        <v>1</v>
      </c>
      <c r="P161" s="125">
        <v>3</v>
      </c>
    </row>
    <row r="162" spans="1:16">
      <c r="A162" s="126" t="s">
        <v>1225</v>
      </c>
      <c r="B162" s="127" t="s">
        <v>1226</v>
      </c>
      <c r="C162" s="127" t="s">
        <v>1227</v>
      </c>
      <c r="D162" s="127" t="s">
        <v>701</v>
      </c>
      <c r="E162" s="127" t="s">
        <v>1013</v>
      </c>
      <c r="F162" s="127" t="s">
        <v>994</v>
      </c>
      <c r="G162" s="127" t="s">
        <v>999</v>
      </c>
      <c r="H162" s="129" t="s">
        <v>630</v>
      </c>
      <c r="I162" s="129" t="s">
        <v>631</v>
      </c>
      <c r="J162" s="129" t="s">
        <v>622</v>
      </c>
      <c r="K162" s="129">
        <v>1</v>
      </c>
      <c r="L162" s="129"/>
      <c r="M162" s="129">
        <v>1</v>
      </c>
      <c r="N162" s="129"/>
      <c r="O162" s="129">
        <v>1</v>
      </c>
      <c r="P162" s="129">
        <v>3</v>
      </c>
    </row>
    <row r="163" spans="1:16">
      <c r="A163" s="123" t="s">
        <v>1228</v>
      </c>
      <c r="B163" s="124" t="s">
        <v>1229</v>
      </c>
      <c r="C163" s="124" t="s">
        <v>1230</v>
      </c>
      <c r="D163" s="124" t="s">
        <v>616</v>
      </c>
      <c r="E163" s="124" t="s">
        <v>1231</v>
      </c>
      <c r="F163" s="124" t="s">
        <v>693</v>
      </c>
      <c r="G163" s="124" t="s">
        <v>1232</v>
      </c>
      <c r="H163" s="125" t="s">
        <v>620</v>
      </c>
      <c r="I163" s="125" t="s">
        <v>639</v>
      </c>
      <c r="J163" s="125" t="s">
        <v>622</v>
      </c>
      <c r="K163" s="125">
        <v>0</v>
      </c>
      <c r="L163" s="125">
        <v>0</v>
      </c>
      <c r="M163" s="125">
        <v>0</v>
      </c>
      <c r="N163" s="125">
        <v>1</v>
      </c>
      <c r="O163" s="125">
        <v>0</v>
      </c>
      <c r="P163" s="125">
        <v>1</v>
      </c>
    </row>
    <row r="164" spans="1:16">
      <c r="A164" s="126" t="s">
        <v>163</v>
      </c>
      <c r="B164" s="127" t="s">
        <v>1233</v>
      </c>
      <c r="C164" s="127" t="s">
        <v>1234</v>
      </c>
      <c r="D164" s="127" t="s">
        <v>715</v>
      </c>
      <c r="E164" s="127" t="s">
        <v>751</v>
      </c>
      <c r="F164" s="127" t="s">
        <v>659</v>
      </c>
      <c r="G164" s="127" t="s">
        <v>819</v>
      </c>
      <c r="H164" s="129" t="s">
        <v>724</v>
      </c>
      <c r="I164" s="129" t="s">
        <v>631</v>
      </c>
      <c r="J164" s="129" t="s">
        <v>622</v>
      </c>
      <c r="K164" s="129">
        <v>1</v>
      </c>
      <c r="L164" s="129">
        <v>0</v>
      </c>
      <c r="M164" s="129">
        <v>1</v>
      </c>
      <c r="N164" s="129">
        <v>0</v>
      </c>
      <c r="O164" s="129">
        <v>1</v>
      </c>
      <c r="P164" s="129">
        <v>3</v>
      </c>
    </row>
    <row r="165" spans="1:16">
      <c r="A165" s="123" t="s">
        <v>1235</v>
      </c>
      <c r="B165" s="124" t="s">
        <v>1236</v>
      </c>
      <c r="C165" s="124" t="s">
        <v>1237</v>
      </c>
      <c r="D165" s="124" t="s">
        <v>635</v>
      </c>
      <c r="E165" s="124" t="s">
        <v>941</v>
      </c>
      <c r="F165" s="124" t="s">
        <v>1123</v>
      </c>
      <c r="G165" s="124" t="s">
        <v>1123</v>
      </c>
      <c r="H165" s="125" t="s">
        <v>724</v>
      </c>
      <c r="I165" s="125" t="s">
        <v>631</v>
      </c>
      <c r="J165" s="125" t="s">
        <v>622</v>
      </c>
      <c r="K165" s="125">
        <v>1</v>
      </c>
      <c r="L165" s="125">
        <v>0</v>
      </c>
      <c r="M165" s="125">
        <v>1</v>
      </c>
      <c r="N165" s="125">
        <v>0</v>
      </c>
      <c r="O165" s="125">
        <v>1</v>
      </c>
      <c r="P165" s="125">
        <v>3</v>
      </c>
    </row>
    <row r="166" spans="1:16">
      <c r="A166" s="130" t="s">
        <v>1238</v>
      </c>
      <c r="B166" s="131" t="s">
        <v>1239</v>
      </c>
      <c r="C166" s="131" t="s">
        <v>1240</v>
      </c>
      <c r="D166" s="131" t="s">
        <v>892</v>
      </c>
      <c r="E166" s="131" t="s">
        <v>893</v>
      </c>
      <c r="F166" s="131" t="s">
        <v>659</v>
      </c>
      <c r="G166" s="131" t="s">
        <v>846</v>
      </c>
      <c r="H166" s="128" t="s">
        <v>724</v>
      </c>
      <c r="I166" s="128" t="s">
        <v>631</v>
      </c>
      <c r="J166" s="128" t="s">
        <v>622</v>
      </c>
      <c r="K166" s="128" t="e">
        <v>#N/A</v>
      </c>
      <c r="L166" s="128" t="e">
        <v>#N/A</v>
      </c>
      <c r="M166" s="128" t="e">
        <v>#N/A</v>
      </c>
      <c r="N166" s="128" t="e">
        <v>#N/A</v>
      </c>
      <c r="O166" s="128" t="e">
        <v>#N/A</v>
      </c>
      <c r="P166" s="128" t="e">
        <v>#N/A</v>
      </c>
    </row>
    <row r="167" spans="1:16">
      <c r="A167" s="123" t="s">
        <v>1241</v>
      </c>
      <c r="B167" s="124" t="s">
        <v>1242</v>
      </c>
      <c r="C167" s="124" t="s">
        <v>1243</v>
      </c>
      <c r="D167" s="124" t="s">
        <v>657</v>
      </c>
      <c r="E167" s="124" t="s">
        <v>1200</v>
      </c>
      <c r="F167" s="124" t="s">
        <v>628</v>
      </c>
      <c r="G167" s="124" t="s">
        <v>629</v>
      </c>
      <c r="H167" s="128" t="s">
        <v>620</v>
      </c>
      <c r="I167" s="125" t="s">
        <v>639</v>
      </c>
      <c r="J167" s="125" t="s">
        <v>622</v>
      </c>
      <c r="K167" s="125">
        <v>0</v>
      </c>
      <c r="L167" s="125">
        <v>0</v>
      </c>
      <c r="M167" s="125">
        <v>0</v>
      </c>
      <c r="N167" s="125">
        <v>0</v>
      </c>
      <c r="O167" s="125">
        <v>1</v>
      </c>
      <c r="P167" s="125">
        <v>1</v>
      </c>
    </row>
    <row r="168" spans="1:16">
      <c r="A168" s="126" t="s">
        <v>1244</v>
      </c>
      <c r="B168" s="127" t="s">
        <v>1245</v>
      </c>
      <c r="C168" s="127" t="s">
        <v>1246</v>
      </c>
      <c r="D168" s="127" t="s">
        <v>715</v>
      </c>
      <c r="E168" s="127" t="s">
        <v>751</v>
      </c>
      <c r="F168" s="127" t="s">
        <v>659</v>
      </c>
      <c r="G168" s="127" t="s">
        <v>723</v>
      </c>
      <c r="H168" s="128" t="s">
        <v>724</v>
      </c>
      <c r="I168" s="129" t="s">
        <v>621</v>
      </c>
      <c r="J168" s="129" t="s">
        <v>622</v>
      </c>
      <c r="K168" s="129">
        <v>0</v>
      </c>
      <c r="L168" s="129">
        <v>0</v>
      </c>
      <c r="M168" s="129">
        <v>1</v>
      </c>
      <c r="N168" s="129">
        <v>0</v>
      </c>
      <c r="O168" s="129">
        <v>1</v>
      </c>
      <c r="P168" s="129">
        <v>2</v>
      </c>
    </row>
    <row r="169" spans="1:16">
      <c r="A169" s="123" t="s">
        <v>1247</v>
      </c>
      <c r="B169" s="124" t="s">
        <v>1248</v>
      </c>
      <c r="C169" s="124" t="s">
        <v>1249</v>
      </c>
      <c r="D169" s="124" t="s">
        <v>715</v>
      </c>
      <c r="E169" s="124" t="s">
        <v>716</v>
      </c>
      <c r="F169" s="124" t="s">
        <v>675</v>
      </c>
      <c r="G169" s="124" t="s">
        <v>646</v>
      </c>
      <c r="H169" s="125" t="s">
        <v>630</v>
      </c>
      <c r="I169" s="125" t="s">
        <v>639</v>
      </c>
      <c r="J169" s="125" t="s">
        <v>622</v>
      </c>
      <c r="K169" s="125">
        <v>0</v>
      </c>
      <c r="L169" s="125">
        <v>0</v>
      </c>
      <c r="M169" s="125">
        <v>0</v>
      </c>
      <c r="N169" s="125">
        <v>0</v>
      </c>
      <c r="O169" s="125">
        <v>1</v>
      </c>
      <c r="P169" s="125">
        <v>1</v>
      </c>
    </row>
    <row r="170" spans="1:16">
      <c r="A170" s="126" t="s">
        <v>1250</v>
      </c>
      <c r="B170" s="127" t="s">
        <v>1251</v>
      </c>
      <c r="C170" s="127" t="s">
        <v>1252</v>
      </c>
      <c r="D170" s="127" t="s">
        <v>635</v>
      </c>
      <c r="E170" s="127" t="s">
        <v>941</v>
      </c>
      <c r="F170" s="127" t="s">
        <v>659</v>
      </c>
      <c r="G170" s="127" t="s">
        <v>846</v>
      </c>
      <c r="H170" s="129" t="s">
        <v>724</v>
      </c>
      <c r="I170" s="129" t="s">
        <v>631</v>
      </c>
      <c r="J170" s="129" t="s">
        <v>622</v>
      </c>
      <c r="K170" s="129">
        <v>1</v>
      </c>
      <c r="L170" s="129">
        <v>0</v>
      </c>
      <c r="M170" s="129">
        <v>1</v>
      </c>
      <c r="N170" s="129">
        <v>0</v>
      </c>
      <c r="O170" s="129">
        <v>1</v>
      </c>
      <c r="P170" s="129">
        <v>3</v>
      </c>
    </row>
    <row r="171" spans="1:16">
      <c r="A171" s="123" t="s">
        <v>1253</v>
      </c>
      <c r="B171" s="124" t="s">
        <v>1254</v>
      </c>
      <c r="C171" s="124" t="s">
        <v>1255</v>
      </c>
      <c r="D171" s="124" t="s">
        <v>715</v>
      </c>
      <c r="E171" s="124" t="s">
        <v>751</v>
      </c>
      <c r="F171" s="124" t="s">
        <v>703</v>
      </c>
      <c r="G171" s="124" t="s">
        <v>638</v>
      </c>
      <c r="H171" s="125" t="s">
        <v>724</v>
      </c>
      <c r="I171" s="125" t="s">
        <v>621</v>
      </c>
      <c r="J171" s="125" t="s">
        <v>622</v>
      </c>
      <c r="K171" s="125">
        <v>0</v>
      </c>
      <c r="L171" s="125">
        <v>0</v>
      </c>
      <c r="M171" s="125">
        <v>0</v>
      </c>
      <c r="N171" s="125">
        <v>1</v>
      </c>
      <c r="O171" s="125">
        <v>1</v>
      </c>
      <c r="P171" s="125">
        <v>2</v>
      </c>
    </row>
    <row r="172" spans="1:16">
      <c r="A172" s="126" t="s">
        <v>1256</v>
      </c>
      <c r="B172" s="127" t="s">
        <v>1257</v>
      </c>
      <c r="C172" s="127" t="s">
        <v>1258</v>
      </c>
      <c r="D172" s="127" t="s">
        <v>701</v>
      </c>
      <c r="E172" s="127" t="s">
        <v>827</v>
      </c>
      <c r="F172" s="127" t="s">
        <v>659</v>
      </c>
      <c r="G172" s="127" t="s">
        <v>742</v>
      </c>
      <c r="H172" s="129" t="s">
        <v>620</v>
      </c>
      <c r="I172" s="129" t="s">
        <v>631</v>
      </c>
      <c r="J172" s="129" t="s">
        <v>622</v>
      </c>
      <c r="K172" s="129">
        <v>1</v>
      </c>
      <c r="L172" s="129">
        <v>0</v>
      </c>
      <c r="M172" s="129">
        <v>1</v>
      </c>
      <c r="N172" s="129">
        <v>1</v>
      </c>
      <c r="O172" s="129">
        <v>0</v>
      </c>
      <c r="P172" s="129">
        <v>3</v>
      </c>
    </row>
    <row r="173" spans="1:16">
      <c r="A173" s="123" t="s">
        <v>1259</v>
      </c>
      <c r="B173" s="124" t="s">
        <v>1260</v>
      </c>
      <c r="C173" s="124" t="s">
        <v>1261</v>
      </c>
      <c r="D173" s="124" t="s">
        <v>701</v>
      </c>
      <c r="E173" s="124" t="s">
        <v>740</v>
      </c>
      <c r="F173" s="124" t="s">
        <v>684</v>
      </c>
      <c r="G173" s="124" t="s">
        <v>653</v>
      </c>
      <c r="H173" s="125" t="s">
        <v>689</v>
      </c>
      <c r="I173" s="125" t="s">
        <v>631</v>
      </c>
      <c r="J173" s="125" t="s">
        <v>622</v>
      </c>
      <c r="K173" s="125">
        <v>0</v>
      </c>
      <c r="L173" s="125">
        <v>2</v>
      </c>
      <c r="M173" s="125">
        <v>0</v>
      </c>
      <c r="N173" s="125">
        <v>1</v>
      </c>
      <c r="O173" s="125">
        <v>0</v>
      </c>
      <c r="P173" s="125">
        <v>3</v>
      </c>
    </row>
    <row r="174" spans="1:16">
      <c r="A174" s="126" t="s">
        <v>1262</v>
      </c>
      <c r="B174" s="127" t="s">
        <v>1263</v>
      </c>
      <c r="C174" s="127" t="s">
        <v>1264</v>
      </c>
      <c r="D174" s="127" t="s">
        <v>626</v>
      </c>
      <c r="E174" s="127" t="s">
        <v>663</v>
      </c>
      <c r="F174" s="127" t="s">
        <v>684</v>
      </c>
      <c r="G174" s="127" t="s">
        <v>653</v>
      </c>
      <c r="H174" s="129" t="s">
        <v>647</v>
      </c>
      <c r="I174" s="129" t="s">
        <v>639</v>
      </c>
      <c r="J174" s="129" t="s">
        <v>622</v>
      </c>
      <c r="K174" s="129">
        <v>0</v>
      </c>
      <c r="L174" s="129">
        <v>0</v>
      </c>
      <c r="M174" s="129">
        <v>0</v>
      </c>
      <c r="N174" s="129">
        <v>1</v>
      </c>
      <c r="O174" s="129">
        <v>0</v>
      </c>
      <c r="P174" s="129">
        <v>1</v>
      </c>
    </row>
    <row r="175" spans="1:16">
      <c r="A175" s="123" t="s">
        <v>1265</v>
      </c>
      <c r="B175" s="124" t="s">
        <v>1266</v>
      </c>
      <c r="C175" s="124" t="s">
        <v>1267</v>
      </c>
      <c r="D175" s="124" t="s">
        <v>715</v>
      </c>
      <c r="E175" s="124" t="s">
        <v>751</v>
      </c>
      <c r="F175" s="124" t="s">
        <v>645</v>
      </c>
      <c r="G175" s="124" t="s">
        <v>723</v>
      </c>
      <c r="H175" s="128" t="s">
        <v>724</v>
      </c>
      <c r="I175" s="125" t="s">
        <v>621</v>
      </c>
      <c r="J175" s="125" t="s">
        <v>622</v>
      </c>
      <c r="K175" s="125">
        <v>0</v>
      </c>
      <c r="L175" s="125">
        <v>0</v>
      </c>
      <c r="M175" s="125">
        <v>0</v>
      </c>
      <c r="N175" s="125">
        <v>1</v>
      </c>
      <c r="O175" s="125">
        <v>1</v>
      </c>
      <c r="P175" s="125">
        <v>2</v>
      </c>
    </row>
    <row r="176" spans="1:16">
      <c r="A176" s="126" t="s">
        <v>237</v>
      </c>
      <c r="B176" s="127" t="s">
        <v>1268</v>
      </c>
      <c r="C176" s="127" t="s">
        <v>1269</v>
      </c>
      <c r="D176" s="127" t="s">
        <v>643</v>
      </c>
      <c r="E176" s="127" t="s">
        <v>721</v>
      </c>
      <c r="F176" s="127" t="s">
        <v>618</v>
      </c>
      <c r="G176" s="127" t="s">
        <v>807</v>
      </c>
      <c r="H176" s="128" t="s">
        <v>620</v>
      </c>
      <c r="I176" s="129" t="s">
        <v>621</v>
      </c>
      <c r="J176" s="129" t="s">
        <v>622</v>
      </c>
      <c r="K176" s="129">
        <v>0</v>
      </c>
      <c r="L176" s="129">
        <v>0</v>
      </c>
      <c r="M176" s="129">
        <v>1</v>
      </c>
      <c r="N176" s="129">
        <v>1</v>
      </c>
      <c r="O176" s="129">
        <v>0</v>
      </c>
      <c r="P176" s="129">
        <v>2</v>
      </c>
    </row>
    <row r="177" spans="1:16">
      <c r="A177" s="123" t="s">
        <v>1270</v>
      </c>
      <c r="B177" s="124" t="s">
        <v>1271</v>
      </c>
      <c r="C177" s="124" t="s">
        <v>1272</v>
      </c>
      <c r="D177" s="124" t="s">
        <v>643</v>
      </c>
      <c r="E177" s="124" t="s">
        <v>805</v>
      </c>
      <c r="F177" s="124" t="s">
        <v>659</v>
      </c>
      <c r="G177" s="124" t="s">
        <v>1273</v>
      </c>
      <c r="H177" s="125" t="s">
        <v>620</v>
      </c>
      <c r="I177" s="125" t="s">
        <v>621</v>
      </c>
      <c r="J177" s="125" t="s">
        <v>622</v>
      </c>
      <c r="K177" s="125">
        <v>1</v>
      </c>
      <c r="L177" s="125">
        <v>0</v>
      </c>
      <c r="M177" s="125">
        <v>1</v>
      </c>
      <c r="N177" s="125">
        <v>0</v>
      </c>
      <c r="O177" s="125">
        <v>0</v>
      </c>
      <c r="P177" s="125">
        <v>2</v>
      </c>
    </row>
    <row r="178" spans="1:16">
      <c r="A178" s="126" t="s">
        <v>325</v>
      </c>
      <c r="B178" s="127" t="s">
        <v>326</v>
      </c>
      <c r="C178" s="127" t="s">
        <v>1274</v>
      </c>
      <c r="D178" s="127" t="s">
        <v>635</v>
      </c>
      <c r="E178" s="127" t="s">
        <v>735</v>
      </c>
      <c r="F178" s="127" t="s">
        <v>1275</v>
      </c>
      <c r="G178" s="127" t="s">
        <v>855</v>
      </c>
      <c r="H178" s="129" t="s">
        <v>620</v>
      </c>
      <c r="I178" s="129" t="s">
        <v>631</v>
      </c>
      <c r="J178" s="129" t="s">
        <v>622</v>
      </c>
      <c r="K178" s="129">
        <v>0</v>
      </c>
      <c r="L178" s="129">
        <v>0</v>
      </c>
      <c r="M178" s="129">
        <v>1</v>
      </c>
      <c r="N178" s="129">
        <v>1</v>
      </c>
      <c r="O178" s="129">
        <v>1</v>
      </c>
      <c r="P178" s="129">
        <v>3</v>
      </c>
    </row>
    <row r="179" spans="1:16">
      <c r="A179" s="123" t="s">
        <v>1276</v>
      </c>
      <c r="B179" s="124" t="s">
        <v>1277</v>
      </c>
      <c r="C179" s="124" t="s">
        <v>1278</v>
      </c>
      <c r="D179" s="124" t="s">
        <v>657</v>
      </c>
      <c r="E179" s="124" t="s">
        <v>1006</v>
      </c>
      <c r="F179" s="124" t="s">
        <v>669</v>
      </c>
      <c r="G179" s="124" t="s">
        <v>778</v>
      </c>
      <c r="H179" s="125" t="s">
        <v>630</v>
      </c>
      <c r="I179" s="125" t="s">
        <v>631</v>
      </c>
      <c r="J179" s="125" t="s">
        <v>622</v>
      </c>
      <c r="K179" s="125">
        <v>1</v>
      </c>
      <c r="L179" s="125">
        <v>0</v>
      </c>
      <c r="M179" s="125">
        <v>1</v>
      </c>
      <c r="N179" s="125">
        <v>1</v>
      </c>
      <c r="O179" s="125">
        <v>0</v>
      </c>
      <c r="P179" s="125">
        <v>3</v>
      </c>
    </row>
    <row r="180" spans="1:16">
      <c r="A180" s="126" t="s">
        <v>1279</v>
      </c>
      <c r="B180" s="127" t="s">
        <v>1280</v>
      </c>
      <c r="C180" s="127" t="s">
        <v>1281</v>
      </c>
      <c r="D180" s="127" t="s">
        <v>626</v>
      </c>
      <c r="E180" s="127" t="s">
        <v>854</v>
      </c>
      <c r="F180" s="127" t="s">
        <v>736</v>
      </c>
      <c r="G180" s="127" t="s">
        <v>694</v>
      </c>
      <c r="H180" s="128" t="s">
        <v>620</v>
      </c>
      <c r="I180" s="129" t="s">
        <v>621</v>
      </c>
      <c r="J180" s="129"/>
      <c r="K180" s="129">
        <v>0</v>
      </c>
      <c r="L180" s="129">
        <v>0</v>
      </c>
      <c r="M180" s="129">
        <v>1</v>
      </c>
      <c r="N180" s="129">
        <v>1</v>
      </c>
      <c r="O180" s="129">
        <v>0</v>
      </c>
      <c r="P180" s="129">
        <v>2</v>
      </c>
    </row>
    <row r="181" spans="1:16">
      <c r="A181" s="123" t="s">
        <v>1282</v>
      </c>
      <c r="B181" s="124" t="s">
        <v>1283</v>
      </c>
      <c r="C181" s="124" t="s">
        <v>1284</v>
      </c>
      <c r="D181" s="124" t="s">
        <v>657</v>
      </c>
      <c r="E181" s="124" t="s">
        <v>782</v>
      </c>
      <c r="F181" s="124" t="s">
        <v>875</v>
      </c>
      <c r="G181" s="124" t="s">
        <v>778</v>
      </c>
      <c r="H181" s="128" t="s">
        <v>620</v>
      </c>
      <c r="I181" s="125" t="s">
        <v>639</v>
      </c>
      <c r="J181" s="125" t="s">
        <v>622</v>
      </c>
      <c r="K181" s="125">
        <v>0</v>
      </c>
      <c r="L181" s="125">
        <v>0</v>
      </c>
      <c r="M181" s="125">
        <v>0</v>
      </c>
      <c r="N181" s="125">
        <v>1</v>
      </c>
      <c r="O181" s="125">
        <v>0</v>
      </c>
      <c r="P181" s="125">
        <v>1</v>
      </c>
    </row>
    <row r="182" spans="1:16">
      <c r="A182" s="126" t="s">
        <v>308</v>
      </c>
      <c r="B182" s="127" t="s">
        <v>1285</v>
      </c>
      <c r="C182" s="127" t="s">
        <v>1286</v>
      </c>
      <c r="D182" s="127" t="s">
        <v>657</v>
      </c>
      <c r="E182" s="127" t="s">
        <v>782</v>
      </c>
      <c r="F182" s="127" t="s">
        <v>788</v>
      </c>
      <c r="G182" s="127" t="s">
        <v>694</v>
      </c>
      <c r="H182" s="129" t="s">
        <v>620</v>
      </c>
      <c r="I182" s="129" t="s">
        <v>631</v>
      </c>
      <c r="J182" s="129" t="s">
        <v>622</v>
      </c>
      <c r="K182" s="129">
        <v>1</v>
      </c>
      <c r="L182" s="129">
        <v>0</v>
      </c>
      <c r="M182" s="129">
        <v>1</v>
      </c>
      <c r="N182" s="129">
        <v>1</v>
      </c>
      <c r="O182" s="129">
        <v>0</v>
      </c>
      <c r="P182" s="129">
        <v>3</v>
      </c>
    </row>
    <row r="183" spans="1:16">
      <c r="A183" s="123" t="s">
        <v>1287</v>
      </c>
      <c r="B183" s="124" t="s">
        <v>1288</v>
      </c>
      <c r="C183" s="124" t="s">
        <v>1289</v>
      </c>
      <c r="D183" s="124" t="s">
        <v>701</v>
      </c>
      <c r="E183" s="124" t="s">
        <v>740</v>
      </c>
      <c r="F183" s="124" t="s">
        <v>741</v>
      </c>
      <c r="G183" s="124" t="s">
        <v>778</v>
      </c>
      <c r="H183" s="125" t="s">
        <v>620</v>
      </c>
      <c r="I183" s="125" t="s">
        <v>631</v>
      </c>
      <c r="J183" s="125" t="s">
        <v>622</v>
      </c>
      <c r="K183" s="125">
        <v>0</v>
      </c>
      <c r="L183" s="125">
        <v>0</v>
      </c>
      <c r="M183" s="125">
        <v>1</v>
      </c>
      <c r="N183" s="125">
        <v>1</v>
      </c>
      <c r="O183" s="125">
        <v>1</v>
      </c>
      <c r="P183" s="125">
        <v>3</v>
      </c>
    </row>
    <row r="184" spans="1:16">
      <c r="A184" s="126" t="s">
        <v>1290</v>
      </c>
      <c r="B184" s="127" t="s">
        <v>1291</v>
      </c>
      <c r="C184" s="127" t="s">
        <v>1292</v>
      </c>
      <c r="D184" s="127" t="s">
        <v>635</v>
      </c>
      <c r="E184" s="127" t="s">
        <v>735</v>
      </c>
      <c r="F184" s="127" t="s">
        <v>703</v>
      </c>
      <c r="G184" s="127" t="s">
        <v>773</v>
      </c>
      <c r="H184" s="129" t="s">
        <v>620</v>
      </c>
      <c r="I184" s="129" t="s">
        <v>621</v>
      </c>
      <c r="J184" s="129" t="s">
        <v>622</v>
      </c>
      <c r="K184" s="129">
        <v>0</v>
      </c>
      <c r="L184" s="129">
        <v>0</v>
      </c>
      <c r="M184" s="129">
        <v>1</v>
      </c>
      <c r="N184" s="129">
        <v>1</v>
      </c>
      <c r="O184" s="129">
        <v>0</v>
      </c>
      <c r="P184" s="129">
        <v>2</v>
      </c>
    </row>
    <row r="185" spans="1:16">
      <c r="A185" s="123" t="s">
        <v>1293</v>
      </c>
      <c r="B185" s="124" t="s">
        <v>1294</v>
      </c>
      <c r="C185" s="124" t="s">
        <v>1295</v>
      </c>
      <c r="D185" s="124" t="s">
        <v>715</v>
      </c>
      <c r="E185" s="124" t="s">
        <v>716</v>
      </c>
      <c r="F185" s="124" t="s">
        <v>1296</v>
      </c>
      <c r="G185" s="124" t="s">
        <v>694</v>
      </c>
      <c r="H185" s="125" t="s">
        <v>724</v>
      </c>
      <c r="I185" s="125" t="s">
        <v>631</v>
      </c>
      <c r="J185" s="125" t="s">
        <v>622</v>
      </c>
      <c r="K185" s="125">
        <v>1</v>
      </c>
      <c r="L185" s="125">
        <v>0</v>
      </c>
      <c r="M185" s="125">
        <v>1</v>
      </c>
      <c r="N185" s="125">
        <v>0</v>
      </c>
      <c r="O185" s="125">
        <v>1</v>
      </c>
      <c r="P185" s="125">
        <v>3</v>
      </c>
    </row>
    <row r="186" spans="1:16">
      <c r="A186" s="126" t="s">
        <v>1297</v>
      </c>
      <c r="B186" s="127" t="s">
        <v>1298</v>
      </c>
      <c r="C186" s="127" t="s">
        <v>1299</v>
      </c>
      <c r="D186" s="127" t="s">
        <v>626</v>
      </c>
      <c r="E186" s="127" t="s">
        <v>854</v>
      </c>
      <c r="F186" s="127" t="s">
        <v>1300</v>
      </c>
      <c r="G186" s="127" t="s">
        <v>694</v>
      </c>
      <c r="H186" s="129" t="s">
        <v>620</v>
      </c>
      <c r="I186" s="129" t="s">
        <v>639</v>
      </c>
      <c r="J186" s="129" t="s">
        <v>622</v>
      </c>
      <c r="K186" s="129">
        <v>0</v>
      </c>
      <c r="L186" s="129">
        <v>0</v>
      </c>
      <c r="M186" s="129">
        <v>0</v>
      </c>
      <c r="N186" s="129">
        <v>1</v>
      </c>
      <c r="O186" s="129">
        <v>0</v>
      </c>
      <c r="P186" s="129">
        <v>1</v>
      </c>
    </row>
    <row r="187" spans="1:16">
      <c r="A187" s="123" t="s">
        <v>1301</v>
      </c>
      <c r="B187" s="124" t="s">
        <v>1302</v>
      </c>
      <c r="C187" s="124" t="s">
        <v>1303</v>
      </c>
      <c r="D187" s="124" t="s">
        <v>657</v>
      </c>
      <c r="E187" s="124" t="s">
        <v>1304</v>
      </c>
      <c r="F187" s="124" t="s">
        <v>637</v>
      </c>
      <c r="G187" s="124" t="s">
        <v>778</v>
      </c>
      <c r="H187" s="125" t="s">
        <v>630</v>
      </c>
      <c r="I187" s="125" t="s">
        <v>631</v>
      </c>
      <c r="J187" s="125" t="s">
        <v>622</v>
      </c>
      <c r="K187" s="125">
        <v>1</v>
      </c>
      <c r="L187" s="125">
        <v>0</v>
      </c>
      <c r="M187" s="125">
        <v>1</v>
      </c>
      <c r="N187" s="125">
        <v>1</v>
      </c>
      <c r="O187" s="125">
        <v>0</v>
      </c>
      <c r="P187" s="125">
        <v>3</v>
      </c>
    </row>
    <row r="188" spans="1:16">
      <c r="A188" s="126" t="s">
        <v>1305</v>
      </c>
      <c r="B188" s="127" t="s">
        <v>1306</v>
      </c>
      <c r="C188" s="127" t="s">
        <v>1307</v>
      </c>
      <c r="D188" s="127" t="s">
        <v>626</v>
      </c>
      <c r="E188" s="127" t="s">
        <v>998</v>
      </c>
      <c r="F188" s="127" t="s">
        <v>875</v>
      </c>
      <c r="G188" s="127" t="s">
        <v>778</v>
      </c>
      <c r="H188" s="129" t="s">
        <v>630</v>
      </c>
      <c r="I188" s="129" t="s">
        <v>631</v>
      </c>
      <c r="J188" s="129" t="s">
        <v>622</v>
      </c>
      <c r="K188" s="129"/>
      <c r="L188" s="129">
        <v>2</v>
      </c>
      <c r="M188" s="129"/>
      <c r="N188" s="129">
        <v>1</v>
      </c>
      <c r="O188" s="129"/>
      <c r="P188" s="129">
        <v>3</v>
      </c>
    </row>
    <row r="189" spans="1:16">
      <c r="A189" s="123" t="s">
        <v>1308</v>
      </c>
      <c r="B189" s="124" t="s">
        <v>1309</v>
      </c>
      <c r="C189" s="124" t="s">
        <v>1310</v>
      </c>
      <c r="D189" s="124" t="s">
        <v>626</v>
      </c>
      <c r="E189" s="124" t="s">
        <v>998</v>
      </c>
      <c r="F189" s="124" t="s">
        <v>875</v>
      </c>
      <c r="G189" s="124" t="s">
        <v>778</v>
      </c>
      <c r="H189" s="125" t="s">
        <v>630</v>
      </c>
      <c r="I189" s="125" t="s">
        <v>631</v>
      </c>
      <c r="J189" s="125" t="s">
        <v>622</v>
      </c>
      <c r="K189" s="125"/>
      <c r="L189" s="125">
        <v>2</v>
      </c>
      <c r="M189" s="125"/>
      <c r="N189" s="125">
        <v>1</v>
      </c>
      <c r="O189" s="125"/>
      <c r="P189" s="125">
        <v>3</v>
      </c>
    </row>
    <row r="190" spans="1:16">
      <c r="A190" s="126" t="s">
        <v>1311</v>
      </c>
      <c r="B190" s="127" t="s">
        <v>1312</v>
      </c>
      <c r="C190" s="127" t="s">
        <v>1313</v>
      </c>
      <c r="D190" s="127" t="s">
        <v>626</v>
      </c>
      <c r="E190" s="127" t="s">
        <v>998</v>
      </c>
      <c r="F190" s="127" t="s">
        <v>875</v>
      </c>
      <c r="G190" s="127" t="s">
        <v>778</v>
      </c>
      <c r="H190" s="129" t="s">
        <v>630</v>
      </c>
      <c r="I190" s="129" t="s">
        <v>631</v>
      </c>
      <c r="J190" s="129" t="s">
        <v>622</v>
      </c>
      <c r="K190" s="129"/>
      <c r="L190" s="129">
        <v>2</v>
      </c>
      <c r="M190" s="129"/>
      <c r="N190" s="129">
        <v>1</v>
      </c>
      <c r="O190" s="129"/>
      <c r="P190" s="129">
        <v>3</v>
      </c>
    </row>
    <row r="191" spans="1:16">
      <c r="A191" s="123" t="s">
        <v>1314</v>
      </c>
      <c r="B191" s="124" t="s">
        <v>1315</v>
      </c>
      <c r="C191" s="124" t="s">
        <v>1316</v>
      </c>
      <c r="D191" s="124" t="s">
        <v>626</v>
      </c>
      <c r="E191" s="124" t="s">
        <v>998</v>
      </c>
      <c r="F191" s="124" t="s">
        <v>875</v>
      </c>
      <c r="G191" s="124" t="s">
        <v>778</v>
      </c>
      <c r="H191" s="125" t="s">
        <v>630</v>
      </c>
      <c r="I191" s="125" t="s">
        <v>631</v>
      </c>
      <c r="J191" s="125" t="s">
        <v>622</v>
      </c>
      <c r="K191" s="125"/>
      <c r="L191" s="125">
        <v>2</v>
      </c>
      <c r="M191" s="125"/>
      <c r="N191" s="125">
        <v>1</v>
      </c>
      <c r="O191" s="125"/>
      <c r="P191" s="125">
        <v>3</v>
      </c>
    </row>
    <row r="192" spans="1:16">
      <c r="A192" s="126" t="s">
        <v>320</v>
      </c>
      <c r="B192" s="127" t="s">
        <v>321</v>
      </c>
      <c r="C192" s="127" t="s">
        <v>1317</v>
      </c>
      <c r="D192" s="127" t="s">
        <v>1318</v>
      </c>
      <c r="E192" s="127" t="s">
        <v>1319</v>
      </c>
      <c r="F192" s="127" t="e">
        <v>#N/A</v>
      </c>
      <c r="G192" s="127" t="s">
        <v>778</v>
      </c>
      <c r="H192" s="129" t="s">
        <v>689</v>
      </c>
      <c r="I192" s="129" t="s">
        <v>631</v>
      </c>
      <c r="J192" s="129" t="s">
        <v>622</v>
      </c>
      <c r="K192" s="129">
        <v>1</v>
      </c>
      <c r="L192" s="129">
        <v>0</v>
      </c>
      <c r="M192" s="129">
        <v>1</v>
      </c>
      <c r="N192" s="129">
        <v>1</v>
      </c>
      <c r="O192" s="129">
        <v>0</v>
      </c>
      <c r="P192" s="129">
        <v>3</v>
      </c>
    </row>
    <row r="193" spans="1:16">
      <c r="A193" s="130" t="s">
        <v>1320</v>
      </c>
      <c r="B193" s="131" t="s">
        <v>1321</v>
      </c>
      <c r="C193" s="131" t="s">
        <v>1322</v>
      </c>
      <c r="D193" s="131" t="s">
        <v>715</v>
      </c>
      <c r="E193" s="131" t="s">
        <v>751</v>
      </c>
      <c r="F193" s="131" t="e">
        <v>#N/A</v>
      </c>
      <c r="G193" s="131" t="s">
        <v>773</v>
      </c>
      <c r="H193" s="128" t="s">
        <v>620</v>
      </c>
      <c r="I193" s="128" t="s">
        <v>639</v>
      </c>
      <c r="J193" s="128" t="s">
        <v>622</v>
      </c>
      <c r="K193" s="128" t="e">
        <v>#N/A</v>
      </c>
      <c r="L193" s="128" t="e">
        <v>#N/A</v>
      </c>
      <c r="M193" s="128" t="e">
        <v>#N/A</v>
      </c>
      <c r="N193" s="128" t="e">
        <v>#N/A</v>
      </c>
      <c r="O193" s="128" t="e">
        <v>#N/A</v>
      </c>
      <c r="P193" s="128" t="e">
        <v>#N/A</v>
      </c>
    </row>
    <row r="194" spans="1:16">
      <c r="A194" s="134" t="s">
        <v>257</v>
      </c>
      <c r="B194" s="135" t="s">
        <v>203</v>
      </c>
      <c r="C194" s="135" t="s">
        <v>1323</v>
      </c>
      <c r="D194" s="135" t="s">
        <v>616</v>
      </c>
      <c r="E194" s="135" t="s">
        <v>668</v>
      </c>
      <c r="F194" s="135" t="s">
        <v>675</v>
      </c>
      <c r="G194" s="135" t="s">
        <v>778</v>
      </c>
      <c r="H194" s="129" t="s">
        <v>724</v>
      </c>
      <c r="I194" s="136" t="s">
        <v>621</v>
      </c>
      <c r="J194" s="136" t="s">
        <v>622</v>
      </c>
      <c r="K194" s="129">
        <v>1</v>
      </c>
      <c r="L194" s="129">
        <v>0</v>
      </c>
      <c r="M194" s="129">
        <v>0</v>
      </c>
      <c r="N194" s="129">
        <v>1</v>
      </c>
      <c r="O194" s="129">
        <v>0</v>
      </c>
      <c r="P194" s="129">
        <v>2</v>
      </c>
    </row>
    <row r="195" spans="1:16">
      <c r="A195" s="123" t="s">
        <v>1324</v>
      </c>
      <c r="B195" s="124" t="s">
        <v>1325</v>
      </c>
      <c r="C195" s="124" t="s">
        <v>1326</v>
      </c>
      <c r="D195" s="137" t="s">
        <v>715</v>
      </c>
      <c r="E195" s="137" t="s">
        <v>716</v>
      </c>
      <c r="F195" s="137" t="s">
        <v>1296</v>
      </c>
      <c r="G195" s="137" t="s">
        <v>694</v>
      </c>
      <c r="H195" s="125" t="s">
        <v>724</v>
      </c>
      <c r="I195" s="138" t="s">
        <v>621</v>
      </c>
      <c r="J195" s="138" t="s">
        <v>622</v>
      </c>
      <c r="K195" s="125">
        <v>0</v>
      </c>
      <c r="L195" s="125">
        <v>0</v>
      </c>
      <c r="M195" s="125">
        <v>0</v>
      </c>
      <c r="N195" s="125">
        <v>0</v>
      </c>
      <c r="O195" s="125">
        <v>1</v>
      </c>
      <c r="P195" s="125">
        <v>1</v>
      </c>
    </row>
    <row r="196" spans="1:16">
      <c r="A196" s="139" t="s">
        <v>1327</v>
      </c>
      <c r="B196" s="135" t="s">
        <v>1328</v>
      </c>
      <c r="C196" s="135" t="s">
        <v>1329</v>
      </c>
      <c r="D196" s="135" t="s">
        <v>626</v>
      </c>
      <c r="E196" s="135" t="s">
        <v>854</v>
      </c>
      <c r="F196" s="135" t="s">
        <v>875</v>
      </c>
      <c r="G196" s="135" t="s">
        <v>694</v>
      </c>
      <c r="H196" s="128" t="s">
        <v>620</v>
      </c>
      <c r="I196" s="136" t="s">
        <v>621</v>
      </c>
      <c r="J196" s="136" t="s">
        <v>622</v>
      </c>
      <c r="K196" s="129">
        <v>0</v>
      </c>
      <c r="L196" s="129">
        <v>0</v>
      </c>
      <c r="M196" s="129">
        <v>1</v>
      </c>
      <c r="N196" s="129">
        <v>1</v>
      </c>
      <c r="O196" s="129">
        <v>0</v>
      </c>
      <c r="P196" s="129">
        <v>2</v>
      </c>
    </row>
    <row r="197" spans="1:16">
      <c r="A197" s="123" t="s">
        <v>1330</v>
      </c>
      <c r="B197" s="124" t="s">
        <v>1331</v>
      </c>
      <c r="C197" s="124" t="s">
        <v>1332</v>
      </c>
      <c r="D197" s="137" t="e">
        <v>#N/A</v>
      </c>
      <c r="E197" s="137" t="e">
        <v>#N/A</v>
      </c>
      <c r="F197" s="137" t="e">
        <v>#N/A</v>
      </c>
      <c r="G197" s="137" t="e">
        <v>#N/A</v>
      </c>
      <c r="H197" s="125" t="s">
        <v>620</v>
      </c>
      <c r="I197" s="138" t="s">
        <v>639</v>
      </c>
      <c r="J197" s="125" t="s">
        <v>622</v>
      </c>
      <c r="K197" s="125" t="e">
        <v>#N/A</v>
      </c>
      <c r="L197" s="125" t="e">
        <v>#N/A</v>
      </c>
      <c r="M197" s="125" t="e">
        <v>#N/A</v>
      </c>
      <c r="N197" s="125" t="e">
        <v>#N/A</v>
      </c>
      <c r="O197" s="125" t="e">
        <v>#N/A</v>
      </c>
      <c r="P197" s="125" t="e">
        <v>#N/A</v>
      </c>
    </row>
    <row r="198" spans="1:16">
      <c r="A198" s="126" t="s">
        <v>1333</v>
      </c>
      <c r="B198" s="127" t="s">
        <v>1334</v>
      </c>
      <c r="C198" s="127" t="s">
        <v>1335</v>
      </c>
      <c r="D198" s="135" t="e">
        <v>#N/A</v>
      </c>
      <c r="E198" s="135" t="e">
        <v>#N/A</v>
      </c>
      <c r="F198" s="135" t="e">
        <v>#N/A</v>
      </c>
      <c r="G198" s="135" t="e">
        <v>#N/A</v>
      </c>
      <c r="H198" s="129" t="s">
        <v>647</v>
      </c>
      <c r="I198" s="136" t="s">
        <v>639</v>
      </c>
      <c r="J198" s="129" t="s">
        <v>622</v>
      </c>
      <c r="K198" s="129" t="e">
        <v>#N/A</v>
      </c>
      <c r="L198" s="129" t="e">
        <v>#N/A</v>
      </c>
      <c r="M198" s="129" t="e">
        <v>#N/A</v>
      </c>
      <c r="N198" s="129" t="e">
        <v>#N/A</v>
      </c>
      <c r="O198" s="129" t="e">
        <v>#N/A</v>
      </c>
      <c r="P198" s="129" t="e">
        <v>#N/A</v>
      </c>
    </row>
    <row r="199" spans="1:16">
      <c r="A199" s="140" t="s">
        <v>1336</v>
      </c>
      <c r="B199" s="141" t="s">
        <v>1337</v>
      </c>
      <c r="C199" s="141" t="s">
        <v>1338</v>
      </c>
      <c r="D199" s="141" t="e">
        <v>#N/A</v>
      </c>
      <c r="E199" s="141" t="e">
        <v>#N/A</v>
      </c>
      <c r="F199" s="141" t="e">
        <v>#N/A</v>
      </c>
      <c r="G199" s="141" t="e">
        <v>#N/A</v>
      </c>
      <c r="H199" s="125" t="s">
        <v>620</v>
      </c>
      <c r="I199" s="142" t="s">
        <v>639</v>
      </c>
      <c r="J199" s="142" t="s">
        <v>622</v>
      </c>
      <c r="K199" s="125" t="e">
        <v>#N/A</v>
      </c>
      <c r="L199" s="125" t="e">
        <v>#N/A</v>
      </c>
      <c r="M199" s="125" t="e">
        <v>#N/A</v>
      </c>
      <c r="N199" s="125" t="e">
        <v>#N/A</v>
      </c>
      <c r="O199" s="125" t="e">
        <v>#N/A</v>
      </c>
      <c r="P199" s="125" t="e">
        <v>#N/A</v>
      </c>
    </row>
  </sheetData>
  <mergeCells count="2">
    <mergeCell ref="A1:J1"/>
    <mergeCell ref="A2:J2"/>
  </mergeCells>
  <hyperlinks>
    <hyperlink ref="C39" r:id="rId1" xr:uid="{00000000-0004-0000-0600-000000000000}"/>
  </hyperlinks>
  <pageMargins left="0" right="0" top="0" bottom="0" header="0" footer="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A9E6F-DFA7-4A8C-AB77-9E22DEEC940A}">
  <sheetPr>
    <outlinePr summaryBelow="0" summaryRight="0"/>
  </sheetPr>
  <dimension ref="A1:BR970"/>
  <sheetViews>
    <sheetView showGridLines="0" workbookViewId="0">
      <pane ySplit="5" topLeftCell="B30" activePane="bottomLeft" state="frozen"/>
      <selection pane="bottomLeft" activeCell="D4" sqref="D4"/>
    </sheetView>
  </sheetViews>
  <sheetFormatPr defaultColWidth="12.5703125" defaultRowHeight="12.75"/>
  <cols>
    <col min="1" max="1" width="6.42578125" customWidth="1"/>
    <col min="2" max="3" width="15.7109375" customWidth="1"/>
    <col min="4" max="4" width="51.42578125" customWidth="1"/>
    <col min="5" max="6" width="15.7109375" customWidth="1"/>
    <col min="7" max="9" width="12.5703125" customWidth="1"/>
    <col min="10" max="11" width="9.140625"/>
    <col min="12" max="14" width="37.5703125" customWidth="1"/>
    <col min="15" max="15" width="19.85546875" customWidth="1"/>
    <col min="16" max="18" width="6.42578125" customWidth="1"/>
    <col min="19" max="19" width="16.85546875" customWidth="1"/>
    <col min="20" max="20" width="6.42578125" customWidth="1"/>
    <col min="21" max="21" width="14.7109375" customWidth="1"/>
    <col min="22" max="24" width="10.140625" customWidth="1"/>
    <col min="25" max="25" width="13" customWidth="1"/>
    <col min="26" max="31" width="10.140625" customWidth="1"/>
    <col min="32" max="32" width="11.28515625" customWidth="1"/>
    <col min="33" max="37" width="9.140625"/>
    <col min="38" max="38" width="20.7109375" customWidth="1"/>
    <col min="39" max="40" width="12.5703125" customWidth="1"/>
    <col min="41" max="41" width="7.5703125" customWidth="1"/>
    <col min="42" max="45" width="12.5703125" customWidth="1"/>
    <col min="46" max="46" width="15.85546875" customWidth="1"/>
    <col min="47" max="51" width="12.5703125" customWidth="1"/>
    <col min="52" max="52" width="10" customWidth="1"/>
    <col min="53" max="53" width="12.5703125" customWidth="1"/>
    <col min="54" max="54" width="15.7109375" customWidth="1"/>
    <col min="55" max="60" width="12.5703125" customWidth="1"/>
    <col min="61" max="61" width="8" customWidth="1"/>
    <col min="62" max="62" width="4.85546875" customWidth="1"/>
    <col min="63" max="63" width="12.7109375" customWidth="1"/>
    <col min="64" max="64" width="13.42578125" customWidth="1"/>
    <col min="65" max="65" width="30.7109375" customWidth="1"/>
    <col min="66" max="66" width="12.85546875" customWidth="1"/>
    <col min="67" max="67" width="8.42578125" customWidth="1"/>
    <col min="68" max="68" width="11.5703125" customWidth="1"/>
    <col min="69" max="69" width="9.42578125" customWidth="1"/>
    <col min="70" max="70" width="4.42578125" customWidth="1"/>
  </cols>
  <sheetData>
    <row r="1" spans="1:70">
      <c r="A1" s="1"/>
      <c r="B1" s="2"/>
      <c r="C1" s="2"/>
      <c r="D1" s="662" t="s">
        <v>1339</v>
      </c>
      <c r="E1" s="769"/>
      <c r="F1" s="769"/>
      <c r="G1" s="769"/>
      <c r="H1" s="769"/>
      <c r="I1" s="769"/>
      <c r="J1" s="769"/>
      <c r="K1" s="769"/>
      <c r="L1" s="769"/>
      <c r="M1" s="769"/>
      <c r="N1" s="769"/>
      <c r="O1" s="769"/>
      <c r="P1" s="769"/>
      <c r="Q1" s="769"/>
      <c r="R1" s="769"/>
      <c r="S1" s="769"/>
      <c r="T1" s="769"/>
      <c r="U1" s="769"/>
      <c r="V1" s="769"/>
      <c r="W1" s="769"/>
      <c r="X1" s="769"/>
      <c r="Y1" s="769"/>
      <c r="Z1" s="769"/>
      <c r="AA1" s="3"/>
      <c r="AB1" s="3"/>
      <c r="AC1" s="3"/>
      <c r="AD1" s="3"/>
      <c r="AE1" s="3"/>
      <c r="AF1" s="3"/>
      <c r="AG1" s="4"/>
      <c r="AH1" s="4"/>
      <c r="AI1" s="4"/>
      <c r="AJ1" s="4"/>
      <c r="AK1" s="4"/>
      <c r="AL1" s="4"/>
      <c r="AM1" s="4"/>
      <c r="AN1" s="4"/>
      <c r="AO1" s="4"/>
      <c r="AP1" s="4"/>
      <c r="AQ1" s="4"/>
      <c r="AR1" s="4"/>
      <c r="AS1" s="4"/>
      <c r="AT1" s="4"/>
      <c r="AU1" s="4"/>
      <c r="AV1" s="4"/>
      <c r="AW1" s="4"/>
      <c r="AX1" s="4"/>
      <c r="AY1" s="4"/>
      <c r="AZ1" s="4"/>
      <c r="BA1" s="4"/>
      <c r="BB1" s="4"/>
      <c r="BC1" s="5"/>
      <c r="BD1" s="4"/>
      <c r="BE1" s="4"/>
      <c r="BF1" s="4"/>
      <c r="BG1" s="4"/>
      <c r="BH1" s="4"/>
      <c r="BI1" s="4"/>
      <c r="BJ1" s="4"/>
      <c r="BK1" s="4"/>
      <c r="BL1" s="4"/>
      <c r="BM1" s="4"/>
      <c r="BN1" s="4"/>
      <c r="BO1" s="4"/>
      <c r="BP1" s="4"/>
      <c r="BQ1" s="4"/>
      <c r="BR1" s="4"/>
    </row>
    <row r="2" spans="1:70">
      <c r="A2" s="3"/>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4"/>
      <c r="AH2" s="4"/>
      <c r="AI2" s="4"/>
      <c r="AJ2" s="4"/>
      <c r="AK2" s="4"/>
      <c r="AL2" s="4"/>
      <c r="AM2" s="4"/>
      <c r="AN2" s="4"/>
      <c r="AO2" s="4"/>
      <c r="AP2" s="4"/>
      <c r="AQ2" s="4"/>
      <c r="AR2" s="4"/>
      <c r="AS2" s="4"/>
      <c r="AT2" s="4"/>
      <c r="AU2" s="4"/>
      <c r="AV2" s="4"/>
      <c r="AW2" s="4"/>
      <c r="AX2" s="4"/>
      <c r="AY2" s="4"/>
      <c r="AZ2" s="4"/>
      <c r="BA2" s="4"/>
      <c r="BB2" s="4"/>
      <c r="BC2" s="5"/>
      <c r="BD2" s="4"/>
      <c r="BE2" s="4"/>
      <c r="BF2" s="4"/>
      <c r="BG2" s="4"/>
      <c r="BH2" s="4"/>
      <c r="BI2" s="4"/>
      <c r="BJ2" s="4"/>
      <c r="BK2" s="4"/>
      <c r="BL2" s="4"/>
      <c r="BM2" s="4"/>
      <c r="BN2" s="4"/>
      <c r="BO2" s="4"/>
      <c r="BP2" s="4"/>
      <c r="BQ2" s="4"/>
      <c r="BR2" s="4"/>
    </row>
    <row r="3" spans="1:70">
      <c r="A3" s="3"/>
      <c r="B3" s="3"/>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4"/>
      <c r="AH3" s="4"/>
      <c r="AI3" s="4"/>
      <c r="AJ3" s="4"/>
      <c r="AK3" s="4"/>
      <c r="AL3" s="4"/>
      <c r="AM3" s="4"/>
      <c r="AN3" s="4"/>
      <c r="AO3" s="4"/>
      <c r="AP3" s="4"/>
      <c r="AQ3" s="4"/>
      <c r="AR3" s="4"/>
      <c r="AS3" s="4"/>
      <c r="AT3" s="4"/>
      <c r="AU3" s="4"/>
      <c r="AV3" s="4"/>
      <c r="AW3" s="4"/>
      <c r="AX3" s="4"/>
      <c r="AY3" s="4"/>
      <c r="AZ3" s="4"/>
      <c r="BA3" s="4"/>
      <c r="BB3" s="4"/>
      <c r="BC3" s="5"/>
      <c r="BD3" s="4"/>
      <c r="BE3" s="4"/>
      <c r="BF3" s="4"/>
      <c r="BG3" s="4"/>
      <c r="BH3" s="4"/>
      <c r="BI3" s="4"/>
      <c r="BJ3" s="4"/>
      <c r="BK3" s="4"/>
      <c r="BL3" s="4"/>
      <c r="BM3" s="4"/>
      <c r="BN3" s="4"/>
      <c r="BO3" s="4"/>
      <c r="BP3" s="4"/>
      <c r="BQ3" s="4"/>
      <c r="BR3" s="4"/>
    </row>
    <row r="4" spans="1:70" ht="24">
      <c r="A4" s="3"/>
      <c r="B4" s="6" t="s">
        <v>1</v>
      </c>
      <c r="C4" s="7" t="s">
        <v>2</v>
      </c>
      <c r="D4" s="8" t="s">
        <v>3</v>
      </c>
      <c r="E4" s="8" t="s">
        <v>4</v>
      </c>
      <c r="F4" s="8" t="s">
        <v>5</v>
      </c>
      <c r="G4" s="656" t="s">
        <v>6</v>
      </c>
      <c r="H4" s="770"/>
      <c r="I4" s="656" t="s">
        <v>7</v>
      </c>
      <c r="J4" s="770"/>
      <c r="K4" s="654" t="s">
        <v>8</v>
      </c>
      <c r="L4" s="654" t="s">
        <v>10</v>
      </c>
      <c r="M4" s="654" t="s">
        <v>11</v>
      </c>
      <c r="N4" s="654" t="s">
        <v>12</v>
      </c>
      <c r="O4" s="654" t="s">
        <v>13</v>
      </c>
      <c r="P4" s="654" t="s">
        <v>14</v>
      </c>
      <c r="Q4" s="654" t="s">
        <v>15</v>
      </c>
      <c r="R4" s="9"/>
      <c r="S4" s="654" t="s">
        <v>16</v>
      </c>
      <c r="T4" s="3"/>
      <c r="U4" s="665" t="s">
        <v>17</v>
      </c>
      <c r="V4" s="769"/>
      <c r="W4" s="769"/>
      <c r="X4" s="769"/>
      <c r="Y4" s="769"/>
      <c r="Z4" s="769"/>
      <c r="AA4" s="769"/>
      <c r="AB4" s="769"/>
      <c r="AC4" s="769"/>
      <c r="AD4" s="769"/>
      <c r="AE4" s="769"/>
      <c r="AF4" s="10"/>
      <c r="AG4" s="4"/>
      <c r="AH4" s="4"/>
      <c r="AI4" s="4"/>
      <c r="AJ4" s="4"/>
      <c r="AK4" s="4"/>
      <c r="AL4" s="654" t="s">
        <v>3</v>
      </c>
      <c r="AM4" s="654" t="s">
        <v>4</v>
      </c>
      <c r="AN4" s="654" t="s">
        <v>5</v>
      </c>
      <c r="AO4" s="656" t="s">
        <v>6</v>
      </c>
      <c r="AP4" s="770"/>
      <c r="AQ4" s="656" t="s">
        <v>7</v>
      </c>
      <c r="AR4" s="770"/>
      <c r="AS4" s="4"/>
      <c r="AT4" s="654" t="s">
        <v>3</v>
      </c>
      <c r="AU4" s="654" t="s">
        <v>4</v>
      </c>
      <c r="AV4" s="654" t="s">
        <v>5</v>
      </c>
      <c r="AW4" s="656" t="s">
        <v>6</v>
      </c>
      <c r="AX4" s="770"/>
      <c r="AY4" s="656" t="s">
        <v>7</v>
      </c>
      <c r="AZ4" s="770"/>
      <c r="BA4" s="4"/>
      <c r="BB4" s="654" t="s">
        <v>3</v>
      </c>
      <c r="BC4" s="654" t="s">
        <v>4</v>
      </c>
      <c r="BD4" s="654" t="s">
        <v>5</v>
      </c>
      <c r="BE4" s="656" t="s">
        <v>6</v>
      </c>
      <c r="BF4" s="770"/>
      <c r="BG4" s="656" t="s">
        <v>7</v>
      </c>
      <c r="BH4" s="770"/>
      <c r="BI4" s="4"/>
      <c r="BJ4" s="4"/>
      <c r="BK4" s="4"/>
      <c r="BL4" s="4"/>
      <c r="BM4" s="4"/>
      <c r="BN4" s="4"/>
      <c r="BO4" s="4"/>
      <c r="BP4" s="4"/>
      <c r="BQ4" s="4"/>
      <c r="BR4" s="4"/>
    </row>
    <row r="5" spans="1:70" ht="24">
      <c r="A5" s="3"/>
      <c r="B5" s="6"/>
      <c r="C5" s="6"/>
      <c r="D5" s="11"/>
      <c r="E5" s="11"/>
      <c r="F5" s="11"/>
      <c r="G5" s="12" t="s">
        <v>18</v>
      </c>
      <c r="H5" s="12" t="s">
        <v>19</v>
      </c>
      <c r="I5" s="12" t="s">
        <v>18</v>
      </c>
      <c r="J5" s="12" t="s">
        <v>19</v>
      </c>
      <c r="K5" s="773"/>
      <c r="L5" s="773"/>
      <c r="M5" s="773"/>
      <c r="N5" s="773"/>
      <c r="O5" s="773"/>
      <c r="P5" s="773"/>
      <c r="Q5" s="773"/>
      <c r="R5" s="11" t="s">
        <v>20</v>
      </c>
      <c r="S5" s="773"/>
      <c r="T5" s="3"/>
      <c r="U5" s="3"/>
      <c r="V5" s="10"/>
      <c r="W5" s="10"/>
      <c r="X5" s="10"/>
      <c r="Y5" s="10"/>
      <c r="Z5" s="10"/>
      <c r="AA5" s="10"/>
      <c r="AB5" s="10"/>
      <c r="AC5" s="10"/>
      <c r="AD5" s="10"/>
      <c r="AE5" s="10"/>
      <c r="AF5" s="10"/>
      <c r="AG5" s="4"/>
      <c r="AH5" s="4"/>
      <c r="AI5" s="4"/>
      <c r="AJ5" s="4"/>
      <c r="AK5" s="4"/>
      <c r="AL5" s="773"/>
      <c r="AM5" s="773"/>
      <c r="AN5" s="773"/>
      <c r="AO5" s="12" t="s">
        <v>18</v>
      </c>
      <c r="AP5" s="12" t="s">
        <v>19</v>
      </c>
      <c r="AQ5" s="12" t="s">
        <v>18</v>
      </c>
      <c r="AR5" s="12" t="s">
        <v>19</v>
      </c>
      <c r="AS5" s="4"/>
      <c r="AT5" s="773"/>
      <c r="AU5" s="773"/>
      <c r="AV5" s="773"/>
      <c r="AW5" s="12" t="s">
        <v>18</v>
      </c>
      <c r="AX5" s="12" t="s">
        <v>19</v>
      </c>
      <c r="AY5" s="12" t="s">
        <v>18</v>
      </c>
      <c r="AZ5" s="12" t="s">
        <v>19</v>
      </c>
      <c r="BA5" s="4"/>
      <c r="BB5" s="773"/>
      <c r="BC5" s="773"/>
      <c r="BD5" s="773"/>
      <c r="BE5" s="12" t="s">
        <v>18</v>
      </c>
      <c r="BF5" s="12" t="s">
        <v>19</v>
      </c>
      <c r="BG5" s="12" t="s">
        <v>18</v>
      </c>
      <c r="BH5" s="12" t="s">
        <v>19</v>
      </c>
      <c r="BI5" s="4"/>
      <c r="BJ5" s="4"/>
      <c r="BK5" s="4"/>
      <c r="BL5" s="4"/>
      <c r="BM5" s="4"/>
      <c r="BN5" s="4"/>
      <c r="BO5" s="4"/>
      <c r="BP5" s="4"/>
      <c r="BQ5" s="4"/>
      <c r="BR5" s="4"/>
    </row>
    <row r="6" spans="1:70" ht="24">
      <c r="A6" s="13"/>
      <c r="B6" s="39" t="s">
        <v>62</v>
      </c>
      <c r="C6" s="483" t="s">
        <v>22</v>
      </c>
      <c r="D6" s="1" t="s">
        <v>63</v>
      </c>
      <c r="E6" s="15">
        <f t="shared" ref="E6:G6" si="0">BC6</f>
        <v>1567</v>
      </c>
      <c r="F6" s="15">
        <f t="shared" si="0"/>
        <v>1554</v>
      </c>
      <c r="G6" s="15">
        <f t="shared" si="0"/>
        <v>1416</v>
      </c>
      <c r="H6" s="34">
        <f t="shared" ref="H6:H21" si="1">G6/F6</f>
        <v>0.91119691119691115</v>
      </c>
      <c r="I6" s="15">
        <f>BG6</f>
        <v>1416</v>
      </c>
      <c r="J6" s="34">
        <f t="shared" ref="J6:J15" si="2">I6/F6</f>
        <v>0.91119691119691115</v>
      </c>
      <c r="K6" s="35" t="s">
        <v>64</v>
      </c>
      <c r="L6" s="40"/>
      <c r="M6" s="17" t="s">
        <v>27</v>
      </c>
      <c r="N6" s="17"/>
      <c r="O6" s="18" t="s">
        <v>65</v>
      </c>
      <c r="P6" s="3"/>
      <c r="Q6" s="19"/>
      <c r="R6" s="20" t="s">
        <v>29</v>
      </c>
      <c r="S6" s="20"/>
      <c r="T6" s="3"/>
      <c r="U6" s="3"/>
      <c r="V6" s="21"/>
      <c r="W6" s="486"/>
      <c r="X6" s="485"/>
      <c r="Y6" s="485"/>
      <c r="Z6" s="486"/>
      <c r="AA6" s="486"/>
      <c r="AB6" s="485"/>
      <c r="AC6" s="485"/>
      <c r="AD6" s="485"/>
      <c r="AE6" s="485"/>
      <c r="AF6" s="3"/>
      <c r="AG6" s="4"/>
      <c r="AH6" s="4"/>
      <c r="AI6" s="4"/>
      <c r="AJ6" s="4"/>
      <c r="AK6" s="4"/>
      <c r="AL6" s="22" t="s">
        <v>66</v>
      </c>
      <c r="AM6" s="23">
        <v>299</v>
      </c>
      <c r="AN6" s="23">
        <v>252</v>
      </c>
      <c r="AO6" s="23">
        <v>252</v>
      </c>
      <c r="AP6" s="24">
        <f t="shared" ref="AP6:AP11" si="3">AO6/AN6</f>
        <v>1</v>
      </c>
      <c r="AQ6" s="23">
        <v>252</v>
      </c>
      <c r="AR6" s="24">
        <f t="shared" ref="AR6:AR11" si="4">AQ6/AN6</f>
        <v>1</v>
      </c>
      <c r="AS6" s="4"/>
      <c r="AT6" s="25" t="s">
        <v>67</v>
      </c>
      <c r="AU6" s="23">
        <v>481</v>
      </c>
      <c r="AV6" s="23">
        <v>457</v>
      </c>
      <c r="AW6" s="23">
        <v>457</v>
      </c>
      <c r="AX6" s="24">
        <f t="shared" ref="AX6:AX8" si="5">AW6/AV6</f>
        <v>1</v>
      </c>
      <c r="AY6" s="23">
        <v>457</v>
      </c>
      <c r="AZ6" s="24">
        <f t="shared" ref="AZ6" si="6">AY6/AV6</f>
        <v>1</v>
      </c>
      <c r="BA6" s="4"/>
      <c r="BB6" s="36" t="s">
        <v>68</v>
      </c>
      <c r="BC6" s="23">
        <v>1567</v>
      </c>
      <c r="BD6" s="23">
        <v>1554</v>
      </c>
      <c r="BE6" s="23">
        <v>1416</v>
      </c>
      <c r="BF6" s="37">
        <f t="shared" ref="BF6" si="7">BE6/BD6</f>
        <v>0.91119691119691115</v>
      </c>
      <c r="BG6" s="23">
        <v>1416</v>
      </c>
      <c r="BH6" s="37">
        <f t="shared" ref="BH6" si="8">BG6/BD6</f>
        <v>0.91119691119691115</v>
      </c>
      <c r="BI6" s="4"/>
      <c r="BJ6" s="4"/>
      <c r="BK6" s="4"/>
      <c r="BL6" s="4"/>
      <c r="BM6" s="4"/>
      <c r="BN6" s="4"/>
      <c r="BO6" s="4"/>
      <c r="BP6" s="4"/>
      <c r="BQ6" s="4"/>
      <c r="BR6" s="4"/>
    </row>
    <row r="7" spans="1:70" ht="48">
      <c r="A7" s="3"/>
      <c r="B7" s="14" t="s">
        <v>162</v>
      </c>
      <c r="C7" s="483" t="s">
        <v>163</v>
      </c>
      <c r="D7" s="495" t="s">
        <v>164</v>
      </c>
      <c r="E7" s="15">
        <v>898</v>
      </c>
      <c r="F7" s="15">
        <v>780</v>
      </c>
      <c r="G7" s="15">
        <v>772</v>
      </c>
      <c r="H7" s="16">
        <f t="shared" si="1"/>
        <v>0.98974358974358978</v>
      </c>
      <c r="I7" s="15">
        <v>772</v>
      </c>
      <c r="J7" s="16">
        <f t="shared" si="2"/>
        <v>0.98974358974358978</v>
      </c>
      <c r="K7" s="15" t="s">
        <v>165</v>
      </c>
      <c r="L7" s="17" t="s">
        <v>166</v>
      </c>
      <c r="M7" s="17" t="s">
        <v>167</v>
      </c>
      <c r="N7" s="31"/>
      <c r="O7" s="25"/>
      <c r="P7" s="3" t="s">
        <v>159</v>
      </c>
      <c r="Q7" s="19" t="s">
        <v>154</v>
      </c>
      <c r="R7" s="20" t="s">
        <v>77</v>
      </c>
      <c r="S7" s="20"/>
      <c r="T7" s="3"/>
      <c r="U7" s="3"/>
      <c r="V7" s="51"/>
      <c r="W7" s="3"/>
      <c r="X7" s="3"/>
      <c r="Y7" s="3"/>
      <c r="Z7" s="3"/>
      <c r="AA7" s="3"/>
      <c r="AB7" s="3"/>
      <c r="AC7" s="3"/>
      <c r="AD7" s="3"/>
      <c r="AE7" s="3"/>
      <c r="AF7" s="3"/>
      <c r="AG7" s="4"/>
      <c r="AH7" s="4"/>
      <c r="AI7" s="4"/>
      <c r="AJ7" s="4"/>
      <c r="AK7" s="4"/>
      <c r="AL7" s="22" t="s">
        <v>142</v>
      </c>
      <c r="AM7" s="23">
        <v>712</v>
      </c>
      <c r="AN7" s="23">
        <v>306</v>
      </c>
      <c r="AO7" s="23">
        <v>306</v>
      </c>
      <c r="AP7" s="24">
        <f t="shared" si="3"/>
        <v>1</v>
      </c>
      <c r="AQ7" s="23">
        <v>306</v>
      </c>
      <c r="AR7" s="24">
        <f t="shared" si="4"/>
        <v>1</v>
      </c>
      <c r="AS7" s="4"/>
      <c r="AT7" s="101" t="s">
        <v>168</v>
      </c>
      <c r="AU7" s="500">
        <v>16</v>
      </c>
      <c r="AV7" s="500">
        <v>16</v>
      </c>
      <c r="AW7" s="500">
        <v>16</v>
      </c>
      <c r="AX7" s="24">
        <f t="shared" si="5"/>
        <v>1</v>
      </c>
      <c r="AY7" s="500">
        <v>16</v>
      </c>
      <c r="AZ7" s="24">
        <f t="shared" ref="AZ7" si="9">AY7/AV7</f>
        <v>1</v>
      </c>
      <c r="BA7" s="4"/>
      <c r="BB7" s="3"/>
      <c r="BC7" s="56" t="s">
        <v>66</v>
      </c>
      <c r="BD7" s="56" t="s">
        <v>169</v>
      </c>
      <c r="BE7" s="56"/>
      <c r="BF7" s="56"/>
      <c r="BH7" s="57"/>
      <c r="BI7" s="4"/>
      <c r="BJ7" s="4"/>
      <c r="BK7" s="4"/>
      <c r="BL7" s="4"/>
      <c r="BM7" s="4"/>
      <c r="BN7" s="4"/>
      <c r="BO7" s="4"/>
      <c r="BP7" s="4"/>
      <c r="BQ7" s="4"/>
      <c r="BR7" s="4"/>
    </row>
    <row r="8" spans="1:70" ht="107.25">
      <c r="A8" s="3"/>
      <c r="B8" s="14" t="s">
        <v>162</v>
      </c>
      <c r="C8" s="483" t="s">
        <v>163</v>
      </c>
      <c r="D8" s="495" t="s">
        <v>170</v>
      </c>
      <c r="E8" s="15">
        <v>898</v>
      </c>
      <c r="F8" s="15">
        <v>780</v>
      </c>
      <c r="G8" s="15">
        <v>772</v>
      </c>
      <c r="H8" s="16">
        <f t="shared" si="1"/>
        <v>0.98974358974358978</v>
      </c>
      <c r="I8" s="15">
        <v>772</v>
      </c>
      <c r="J8" s="16">
        <f t="shared" si="2"/>
        <v>0.98974358974358978</v>
      </c>
      <c r="K8" s="15" t="s">
        <v>165</v>
      </c>
      <c r="L8" s="499" t="s">
        <v>171</v>
      </c>
      <c r="M8" s="17" t="s">
        <v>172</v>
      </c>
      <c r="N8" s="31"/>
      <c r="O8" s="25"/>
      <c r="P8" s="3" t="s">
        <v>159</v>
      </c>
      <c r="Q8" s="19" t="s">
        <v>154</v>
      </c>
      <c r="R8" s="20" t="s">
        <v>77</v>
      </c>
      <c r="S8" s="20"/>
      <c r="T8" s="3"/>
      <c r="U8" s="59"/>
      <c r="V8" s="60" t="s">
        <v>173</v>
      </c>
      <c r="W8" s="3"/>
      <c r="X8" s="3"/>
      <c r="Y8" s="3"/>
      <c r="Z8" s="3"/>
      <c r="AA8" s="3"/>
      <c r="AB8" s="3"/>
      <c r="AC8" s="3"/>
      <c r="AD8" s="3"/>
      <c r="AE8" s="3"/>
      <c r="AF8" s="3"/>
      <c r="AG8" s="4"/>
      <c r="AH8" s="4"/>
      <c r="AI8" s="4"/>
      <c r="AJ8" s="4"/>
      <c r="AK8" s="4"/>
      <c r="AL8" s="22" t="s">
        <v>174</v>
      </c>
      <c r="AM8" s="23">
        <v>75</v>
      </c>
      <c r="AN8" s="23">
        <v>60</v>
      </c>
      <c r="AO8" s="23">
        <v>40</v>
      </c>
      <c r="AP8" s="24">
        <f t="shared" si="3"/>
        <v>0.66666666666666663</v>
      </c>
      <c r="AQ8" s="23">
        <v>40</v>
      </c>
      <c r="AR8" s="24">
        <f t="shared" si="4"/>
        <v>0.66666666666666663</v>
      </c>
      <c r="AS8" s="4"/>
      <c r="AT8" s="101" t="s">
        <v>175</v>
      </c>
      <c r="AU8" s="500">
        <v>37</v>
      </c>
      <c r="AV8" s="500">
        <v>37</v>
      </c>
      <c r="AW8" s="500">
        <v>37</v>
      </c>
      <c r="AX8" s="24">
        <f t="shared" si="5"/>
        <v>1</v>
      </c>
      <c r="AY8" s="500">
        <v>37</v>
      </c>
      <c r="AZ8" s="24">
        <f t="shared" ref="AZ8" si="10">AY8/AW8</f>
        <v>1</v>
      </c>
      <c r="BA8" s="4"/>
      <c r="BB8" s="3"/>
      <c r="BC8" s="56" t="s">
        <v>37</v>
      </c>
      <c r="BD8" s="56" t="s">
        <v>176</v>
      </c>
      <c r="BE8" s="56"/>
      <c r="BF8" s="56"/>
      <c r="BH8" s="57"/>
      <c r="BI8" s="4"/>
      <c r="BJ8" s="4"/>
      <c r="BK8" s="4"/>
      <c r="BL8" s="4"/>
      <c r="BM8" s="4"/>
      <c r="BN8" s="4"/>
      <c r="BO8" s="4"/>
      <c r="BP8" s="4"/>
      <c r="BQ8" s="4"/>
      <c r="BR8" s="4"/>
    </row>
    <row r="9" spans="1:70" ht="48">
      <c r="A9" s="3"/>
      <c r="B9" s="14" t="s">
        <v>256</v>
      </c>
      <c r="C9" s="14" t="s">
        <v>257</v>
      </c>
      <c r="D9" s="495" t="s">
        <v>227</v>
      </c>
      <c r="E9" s="15">
        <v>1153</v>
      </c>
      <c r="F9" s="15">
        <v>1137</v>
      </c>
      <c r="G9" s="15">
        <v>590</v>
      </c>
      <c r="H9" s="16">
        <f t="shared" si="1"/>
        <v>0.51890941072999119</v>
      </c>
      <c r="I9" s="15">
        <v>583</v>
      </c>
      <c r="J9" s="16">
        <f t="shared" si="2"/>
        <v>0.51275285839929641</v>
      </c>
      <c r="K9" s="15" t="s">
        <v>165</v>
      </c>
      <c r="L9" s="17" t="s">
        <v>258</v>
      </c>
      <c r="M9" s="17" t="s">
        <v>259</v>
      </c>
      <c r="N9" s="31"/>
      <c r="O9" s="25"/>
      <c r="P9" s="3" t="s">
        <v>260</v>
      </c>
      <c r="Q9" s="19" t="s">
        <v>76</v>
      </c>
      <c r="R9" s="45" t="s">
        <v>77</v>
      </c>
      <c r="S9" s="45"/>
      <c r="T9" s="3"/>
      <c r="U9" s="22" t="s">
        <v>261</v>
      </c>
      <c r="V9" s="68" t="s">
        <v>233</v>
      </c>
      <c r="W9" s="655" t="s">
        <v>262</v>
      </c>
      <c r="X9" s="3"/>
      <c r="Y9" s="3"/>
      <c r="Z9" s="3"/>
      <c r="AA9" s="3"/>
      <c r="AB9" s="3"/>
      <c r="AC9" s="3"/>
      <c r="AD9" s="3"/>
      <c r="AE9" s="3"/>
      <c r="AF9" s="3"/>
      <c r="AG9" s="4"/>
      <c r="AH9" s="4"/>
      <c r="AI9" s="4"/>
      <c r="AJ9" s="4"/>
      <c r="AK9" s="4"/>
      <c r="AL9" s="22" t="s">
        <v>235</v>
      </c>
      <c r="AM9" s="23">
        <v>669</v>
      </c>
      <c r="AN9" s="23">
        <v>669</v>
      </c>
      <c r="AO9" s="23">
        <v>157</v>
      </c>
      <c r="AP9" s="24">
        <f t="shared" si="3"/>
        <v>0.23467862481315396</v>
      </c>
      <c r="AQ9" s="23">
        <v>157</v>
      </c>
      <c r="AR9" s="24">
        <f t="shared" si="4"/>
        <v>0.23467862481315396</v>
      </c>
      <c r="AS9" s="4"/>
      <c r="AT9" s="3"/>
      <c r="AU9" s="56"/>
      <c r="AV9" s="56"/>
      <c r="AW9" s="56"/>
      <c r="AX9" s="57"/>
      <c r="AY9" s="56"/>
      <c r="AZ9" s="57"/>
      <c r="BA9" s="4"/>
      <c r="BB9" s="3"/>
      <c r="BC9" s="56"/>
      <c r="BD9" s="56"/>
      <c r="BE9" s="56"/>
      <c r="BF9" s="57"/>
      <c r="BG9" s="56"/>
      <c r="BH9" s="57"/>
      <c r="BI9" s="4"/>
      <c r="BJ9" s="4"/>
      <c r="BK9" s="4"/>
      <c r="BL9" s="4"/>
      <c r="BM9" s="4"/>
      <c r="BN9" s="4"/>
      <c r="BO9" s="4"/>
      <c r="BP9" s="4"/>
      <c r="BQ9" s="4"/>
      <c r="BR9" s="4"/>
    </row>
    <row r="10" spans="1:70" ht="48">
      <c r="A10" s="3"/>
      <c r="B10" s="14" t="s">
        <v>263</v>
      </c>
      <c r="C10" s="14" t="s">
        <v>264</v>
      </c>
      <c r="D10" s="495" t="s">
        <v>265</v>
      </c>
      <c r="E10" s="15">
        <v>60</v>
      </c>
      <c r="F10" s="15">
        <v>47</v>
      </c>
      <c r="G10" s="15">
        <v>47</v>
      </c>
      <c r="H10" s="16">
        <f t="shared" si="1"/>
        <v>1</v>
      </c>
      <c r="I10" s="15">
        <v>47</v>
      </c>
      <c r="J10" s="16">
        <f t="shared" si="2"/>
        <v>1</v>
      </c>
      <c r="K10" s="15" t="s">
        <v>165</v>
      </c>
      <c r="L10" s="17" t="s">
        <v>266</v>
      </c>
      <c r="M10" s="17" t="s">
        <v>267</v>
      </c>
      <c r="N10" s="58"/>
      <c r="O10" s="25"/>
      <c r="P10" s="3"/>
      <c r="Q10" s="19"/>
      <c r="R10" s="45" t="s">
        <v>77</v>
      </c>
      <c r="S10" s="45"/>
      <c r="T10" s="3"/>
      <c r="U10" s="22" t="s">
        <v>261</v>
      </c>
      <c r="V10" s="68" t="s">
        <v>233</v>
      </c>
      <c r="W10" s="774"/>
      <c r="X10" s="3"/>
      <c r="Y10" s="3"/>
      <c r="Z10" s="3"/>
      <c r="AA10" s="3"/>
      <c r="AB10" s="3"/>
      <c r="AC10" s="3"/>
      <c r="AD10" s="3"/>
      <c r="AE10" s="3"/>
      <c r="AF10" s="3"/>
      <c r="AG10" s="4"/>
      <c r="AH10" s="4"/>
      <c r="AI10" s="4"/>
      <c r="AJ10" s="4"/>
      <c r="AK10" s="4"/>
      <c r="AL10" s="22" t="s">
        <v>268</v>
      </c>
      <c r="AM10" s="23">
        <v>29603</v>
      </c>
      <c r="AN10" s="23">
        <v>29603</v>
      </c>
      <c r="AO10" s="23">
        <v>28</v>
      </c>
      <c r="AP10" s="24">
        <f t="shared" si="3"/>
        <v>9.4585008276188223E-4</v>
      </c>
      <c r="AQ10" s="23">
        <v>18</v>
      </c>
      <c r="AR10" s="24">
        <f t="shared" si="4"/>
        <v>6.0804648177549569E-4</v>
      </c>
      <c r="AS10" s="4"/>
      <c r="AT10" s="3"/>
      <c r="AU10" s="56"/>
      <c r="AV10" s="56"/>
      <c r="AW10" s="56"/>
      <c r="AX10" s="57"/>
      <c r="AY10" s="56"/>
      <c r="AZ10" s="57"/>
      <c r="BA10" s="4"/>
      <c r="BB10" s="3"/>
      <c r="BC10" s="56"/>
      <c r="BD10" s="56"/>
      <c r="BE10" s="56"/>
      <c r="BF10" s="57"/>
      <c r="BG10" s="56"/>
      <c r="BH10" s="57"/>
      <c r="BI10" s="4"/>
      <c r="BJ10" s="4"/>
      <c r="BK10" s="4"/>
      <c r="BL10" s="4"/>
      <c r="BM10" s="4"/>
      <c r="BN10" s="4"/>
      <c r="BO10" s="4"/>
      <c r="BP10" s="4"/>
      <c r="BQ10" s="4"/>
      <c r="BR10" s="4"/>
    </row>
    <row r="11" spans="1:70" ht="48">
      <c r="A11" s="3"/>
      <c r="B11" s="14" t="s">
        <v>263</v>
      </c>
      <c r="C11" s="14" t="s">
        <v>264</v>
      </c>
      <c r="D11" s="495" t="s">
        <v>269</v>
      </c>
      <c r="E11" s="15">
        <v>49</v>
      </c>
      <c r="F11" s="15">
        <v>47</v>
      </c>
      <c r="G11" s="15">
        <v>47</v>
      </c>
      <c r="H11" s="16">
        <f t="shared" si="1"/>
        <v>1</v>
      </c>
      <c r="I11" s="15">
        <v>47</v>
      </c>
      <c r="J11" s="16">
        <f t="shared" si="2"/>
        <v>1</v>
      </c>
      <c r="K11" s="15" t="s">
        <v>165</v>
      </c>
      <c r="L11" s="499" t="s">
        <v>270</v>
      </c>
      <c r="M11" s="17" t="s">
        <v>271</v>
      </c>
      <c r="N11" s="31"/>
      <c r="O11" s="25"/>
      <c r="P11" s="3"/>
      <c r="Q11" s="19"/>
      <c r="R11" s="45" t="s">
        <v>77</v>
      </c>
      <c r="S11" s="45"/>
      <c r="T11" s="3"/>
      <c r="U11" s="22" t="s">
        <v>261</v>
      </c>
      <c r="V11" s="68" t="s">
        <v>233</v>
      </c>
      <c r="W11" s="774"/>
      <c r="X11" s="3"/>
      <c r="Y11" s="3"/>
      <c r="Z11" s="3"/>
      <c r="AA11" s="3"/>
      <c r="AB11" s="3"/>
      <c r="AC11" s="3"/>
      <c r="AD11" s="3"/>
      <c r="AE11" s="3"/>
      <c r="AF11" s="3"/>
      <c r="AG11" s="4"/>
      <c r="AH11" s="4"/>
      <c r="AI11" s="4"/>
      <c r="AJ11" s="4"/>
      <c r="AK11" s="4"/>
      <c r="AL11" s="22" t="s">
        <v>98</v>
      </c>
      <c r="AM11" s="23">
        <v>555</v>
      </c>
      <c r="AN11" s="23">
        <v>420</v>
      </c>
      <c r="AO11" s="23">
        <v>0</v>
      </c>
      <c r="AP11" s="24">
        <f t="shared" si="3"/>
        <v>0</v>
      </c>
      <c r="AQ11" s="23">
        <v>0</v>
      </c>
      <c r="AR11" s="24">
        <f t="shared" si="4"/>
        <v>0</v>
      </c>
      <c r="AS11" s="4"/>
      <c r="AT11" s="3"/>
      <c r="AU11" s="56"/>
      <c r="AV11" s="56"/>
      <c r="AW11" s="56"/>
      <c r="AX11" s="57"/>
      <c r="AY11" s="56"/>
      <c r="AZ11" s="57"/>
      <c r="BA11" s="4"/>
      <c r="BB11" s="3"/>
      <c r="BC11" s="56"/>
      <c r="BD11" s="56"/>
      <c r="BE11" s="56"/>
      <c r="BF11" s="57"/>
      <c r="BG11" s="56"/>
      <c r="BH11" s="57"/>
      <c r="BI11" s="4"/>
      <c r="BJ11" s="4"/>
      <c r="BK11" s="4"/>
      <c r="BL11" s="4"/>
      <c r="BM11" s="4"/>
      <c r="BN11" s="4"/>
      <c r="BO11" s="4"/>
      <c r="BP11" s="4"/>
      <c r="BQ11" s="4"/>
      <c r="BR11" s="4"/>
    </row>
    <row r="12" spans="1:70" ht="48">
      <c r="A12" s="3"/>
      <c r="B12" s="14" t="s">
        <v>263</v>
      </c>
      <c r="C12" s="14" t="s">
        <v>264</v>
      </c>
      <c r="D12" s="495" t="s">
        <v>272</v>
      </c>
      <c r="E12" s="15">
        <v>49</v>
      </c>
      <c r="F12" s="15">
        <v>47</v>
      </c>
      <c r="G12" s="15">
        <v>47</v>
      </c>
      <c r="H12" s="16">
        <f t="shared" si="1"/>
        <v>1</v>
      </c>
      <c r="I12" s="15">
        <v>47</v>
      </c>
      <c r="J12" s="16">
        <f t="shared" si="2"/>
        <v>1</v>
      </c>
      <c r="K12" s="15" t="s">
        <v>165</v>
      </c>
      <c r="L12" s="17" t="s">
        <v>273</v>
      </c>
      <c r="M12" s="17" t="s">
        <v>274</v>
      </c>
      <c r="N12" s="31"/>
      <c r="O12" s="25"/>
      <c r="P12" s="3" t="s">
        <v>275</v>
      </c>
      <c r="Q12" s="19"/>
      <c r="R12" s="45" t="s">
        <v>77</v>
      </c>
      <c r="S12" s="45"/>
      <c r="T12" s="3"/>
      <c r="U12" s="22" t="s">
        <v>276</v>
      </c>
      <c r="V12" s="68" t="s">
        <v>233</v>
      </c>
      <c r="W12" s="774"/>
      <c r="X12" s="3"/>
      <c r="Y12" s="3"/>
      <c r="Z12" s="3"/>
      <c r="AA12" s="3"/>
      <c r="AB12" s="3"/>
      <c r="AC12" s="3"/>
      <c r="AD12" s="3"/>
      <c r="AE12" s="3"/>
      <c r="AF12" s="3"/>
      <c r="AG12" s="4"/>
      <c r="AH12" s="4"/>
      <c r="AI12" s="4"/>
      <c r="AJ12" s="4"/>
      <c r="AK12" s="4"/>
      <c r="AL12" s="69"/>
      <c r="AM12" s="70"/>
      <c r="AN12" s="70"/>
      <c r="AO12" s="70"/>
      <c r="AP12" s="71"/>
      <c r="AQ12" s="56"/>
      <c r="AR12" s="57"/>
      <c r="AS12" s="4"/>
      <c r="AT12" s="3"/>
      <c r="AU12" s="56"/>
      <c r="AV12" s="56"/>
      <c r="AW12" s="56"/>
      <c r="AX12" s="57"/>
      <c r="AY12" s="56"/>
      <c r="AZ12" s="57"/>
      <c r="BA12" s="4"/>
      <c r="BB12" s="3"/>
      <c r="BC12" s="56"/>
      <c r="BD12" s="56"/>
      <c r="BE12" s="56"/>
      <c r="BF12" s="57"/>
      <c r="BG12" s="56"/>
      <c r="BH12" s="57"/>
      <c r="BI12" s="4"/>
      <c r="BJ12" s="4"/>
      <c r="BK12" s="4"/>
      <c r="BL12" s="4"/>
      <c r="BM12" s="4"/>
      <c r="BN12" s="4"/>
      <c r="BO12" s="4"/>
      <c r="BP12" s="4"/>
      <c r="BQ12" s="4"/>
      <c r="BR12" s="4"/>
    </row>
    <row r="13" spans="1:70" ht="48">
      <c r="A13" s="3"/>
      <c r="B13" s="14" t="s">
        <v>263</v>
      </c>
      <c r="C13" s="14" t="s">
        <v>264</v>
      </c>
      <c r="D13" s="495" t="s">
        <v>277</v>
      </c>
      <c r="E13" s="15">
        <v>257</v>
      </c>
      <c r="F13" s="15">
        <v>257</v>
      </c>
      <c r="G13" s="15">
        <v>257</v>
      </c>
      <c r="H13" s="16">
        <f t="shared" si="1"/>
        <v>1</v>
      </c>
      <c r="I13" s="15">
        <v>249</v>
      </c>
      <c r="J13" s="16">
        <f t="shared" si="2"/>
        <v>0.9688715953307393</v>
      </c>
      <c r="K13" s="15" t="s">
        <v>245</v>
      </c>
      <c r="L13" s="499" t="s">
        <v>278</v>
      </c>
      <c r="M13" s="17" t="s">
        <v>279</v>
      </c>
      <c r="N13" s="31"/>
      <c r="O13" s="25"/>
      <c r="P13" s="3"/>
      <c r="Q13" s="19"/>
      <c r="R13" s="45" t="s">
        <v>77</v>
      </c>
      <c r="S13" s="45"/>
      <c r="T13" s="3"/>
      <c r="U13" s="22" t="s">
        <v>276</v>
      </c>
      <c r="V13" s="68" t="s">
        <v>233</v>
      </c>
      <c r="W13" s="773"/>
      <c r="X13" s="3"/>
      <c r="Y13" s="3"/>
      <c r="Z13" s="3"/>
      <c r="AA13" s="3"/>
      <c r="AB13" s="3"/>
      <c r="AC13" s="3"/>
      <c r="AD13" s="3"/>
      <c r="AE13" s="3"/>
      <c r="AF13" s="3"/>
      <c r="AG13" s="4"/>
      <c r="AH13" s="4"/>
      <c r="AI13" s="4"/>
      <c r="AJ13" s="4"/>
      <c r="AK13" s="4"/>
      <c r="AL13" s="69"/>
      <c r="AM13" s="70"/>
      <c r="AN13" s="70"/>
      <c r="AO13" s="70"/>
      <c r="AP13" s="71"/>
      <c r="AQ13" s="56"/>
      <c r="AR13" s="57"/>
      <c r="AS13" s="4"/>
      <c r="AT13" s="3"/>
      <c r="AU13" s="56"/>
      <c r="AV13" s="56"/>
      <c r="AW13" s="56"/>
      <c r="AX13" s="57"/>
      <c r="AY13" s="56"/>
      <c r="AZ13" s="57"/>
      <c r="BA13" s="4"/>
      <c r="BB13" s="3"/>
      <c r="BC13" s="56"/>
      <c r="BD13" s="56"/>
      <c r="BE13" s="56"/>
      <c r="BF13" s="57"/>
      <c r="BG13" s="56"/>
      <c r="BH13" s="57"/>
      <c r="BI13" s="4"/>
      <c r="BJ13" s="4"/>
      <c r="BK13" s="4"/>
      <c r="BL13" s="4"/>
      <c r="BM13" s="4"/>
      <c r="BN13" s="4"/>
      <c r="BO13" s="4"/>
      <c r="BP13" s="4"/>
      <c r="BQ13" s="4"/>
      <c r="BR13" s="4"/>
    </row>
    <row r="14" spans="1:70" ht="48">
      <c r="A14" s="3"/>
      <c r="B14" s="14" t="s">
        <v>263</v>
      </c>
      <c r="C14" s="14" t="s">
        <v>264</v>
      </c>
      <c r="D14" s="495" t="s">
        <v>280</v>
      </c>
      <c r="E14" s="15">
        <v>257</v>
      </c>
      <c r="F14" s="15">
        <v>257</v>
      </c>
      <c r="G14" s="15">
        <v>257</v>
      </c>
      <c r="H14" s="16">
        <f t="shared" si="1"/>
        <v>1</v>
      </c>
      <c r="I14" s="15">
        <v>254</v>
      </c>
      <c r="J14" s="16">
        <f t="shared" si="2"/>
        <v>0.98832684824902728</v>
      </c>
      <c r="K14" s="15" t="s">
        <v>245</v>
      </c>
      <c r="L14" s="499" t="s">
        <v>281</v>
      </c>
      <c r="M14" s="17" t="s">
        <v>282</v>
      </c>
      <c r="N14" s="31"/>
      <c r="O14" s="25"/>
      <c r="P14" s="3" t="s">
        <v>275</v>
      </c>
      <c r="Q14" s="19"/>
      <c r="R14" s="45" t="s">
        <v>77</v>
      </c>
      <c r="S14" s="45"/>
      <c r="T14" s="3"/>
      <c r="U14" s="25" t="s">
        <v>283</v>
      </c>
      <c r="V14" s="65" t="s">
        <v>233</v>
      </c>
      <c r="W14" s="3"/>
      <c r="X14" s="3" t="s">
        <v>284</v>
      </c>
      <c r="Y14" s="3" t="s">
        <v>285</v>
      </c>
      <c r="Z14" s="3" t="s">
        <v>286</v>
      </c>
      <c r="AA14" s="3"/>
      <c r="AB14" s="3"/>
      <c r="AC14" s="3"/>
      <c r="AD14" s="3"/>
      <c r="AE14" s="3"/>
      <c r="AF14" s="3"/>
      <c r="AG14" s="4"/>
      <c r="AH14" s="4"/>
      <c r="AI14" s="4"/>
      <c r="AJ14" s="4"/>
      <c r="AK14" s="4"/>
      <c r="AL14" s="69"/>
      <c r="AM14" s="70"/>
      <c r="AN14" s="70"/>
      <c r="AO14" s="70"/>
      <c r="AP14" s="71"/>
      <c r="AQ14" s="56"/>
      <c r="AR14" s="57"/>
      <c r="AS14" s="4"/>
      <c r="AT14" s="3"/>
      <c r="AU14" s="56"/>
      <c r="AV14" s="56"/>
      <c r="AW14" s="56"/>
      <c r="AX14" s="57"/>
      <c r="AY14" s="56"/>
      <c r="AZ14" s="57"/>
      <c r="BA14" s="4"/>
      <c r="BB14" s="3"/>
      <c r="BC14" s="56"/>
      <c r="BD14" s="56"/>
      <c r="BE14" s="56"/>
      <c r="BF14" s="57"/>
      <c r="BG14" s="56"/>
      <c r="BH14" s="57"/>
      <c r="BI14" s="4"/>
      <c r="BJ14" s="4"/>
      <c r="BK14" s="4"/>
      <c r="BL14" s="4"/>
      <c r="BM14" s="4"/>
      <c r="BN14" s="4"/>
      <c r="BO14" s="4"/>
      <c r="BP14" s="4"/>
      <c r="BQ14" s="4"/>
      <c r="BR14" s="4"/>
    </row>
    <row r="15" spans="1:70" ht="48">
      <c r="A15" s="3"/>
      <c r="B15" s="14" t="s">
        <v>287</v>
      </c>
      <c r="C15" s="14" t="s">
        <v>288</v>
      </c>
      <c r="D15" s="495" t="s">
        <v>289</v>
      </c>
      <c r="E15" s="15">
        <v>669</v>
      </c>
      <c r="F15" s="15">
        <v>629</v>
      </c>
      <c r="G15" s="15">
        <v>629</v>
      </c>
      <c r="H15" s="16">
        <f t="shared" si="1"/>
        <v>1</v>
      </c>
      <c r="I15" s="15">
        <v>629</v>
      </c>
      <c r="J15" s="16">
        <f t="shared" si="2"/>
        <v>1</v>
      </c>
      <c r="K15" s="15" t="s">
        <v>290</v>
      </c>
      <c r="L15" s="17" t="s">
        <v>291</v>
      </c>
      <c r="M15" s="17" t="s">
        <v>292</v>
      </c>
      <c r="N15" s="31"/>
      <c r="O15" s="25"/>
      <c r="P15" s="3" t="s">
        <v>293</v>
      </c>
      <c r="Q15" s="19" t="s">
        <v>76</v>
      </c>
      <c r="R15" s="45" t="s">
        <v>77</v>
      </c>
      <c r="S15" s="45"/>
      <c r="T15" s="3"/>
      <c r="U15" s="25"/>
      <c r="V15" s="65"/>
      <c r="W15" s="3"/>
      <c r="X15" s="3"/>
      <c r="Y15" s="3"/>
      <c r="Z15" s="3"/>
      <c r="AA15" s="3"/>
      <c r="AB15" s="3"/>
      <c r="AC15" s="3"/>
      <c r="AD15" s="3"/>
      <c r="AE15" s="3"/>
      <c r="AF15" s="3"/>
      <c r="AG15" s="4"/>
      <c r="AH15" s="4"/>
      <c r="AI15" s="4"/>
      <c r="AJ15" s="4"/>
      <c r="AK15" s="4"/>
      <c r="AL15" s="69"/>
      <c r="AM15" s="70"/>
      <c r="AN15" s="70"/>
      <c r="AO15" s="70"/>
      <c r="AP15" s="71"/>
      <c r="AQ15" s="56"/>
      <c r="AR15" s="57"/>
      <c r="AS15" s="4"/>
      <c r="AT15" s="3"/>
      <c r="AU15" s="56"/>
      <c r="AV15" s="56"/>
      <c r="AW15" s="56"/>
      <c r="AX15" s="57"/>
      <c r="AY15" s="56"/>
      <c r="AZ15" s="57"/>
      <c r="BA15" s="4"/>
      <c r="BB15" s="3"/>
      <c r="BC15" s="56"/>
      <c r="BD15" s="56"/>
      <c r="BE15" s="56"/>
      <c r="BF15" s="57"/>
      <c r="BG15" s="56"/>
      <c r="BH15" s="57"/>
      <c r="BI15" s="4"/>
      <c r="BJ15" s="4"/>
      <c r="BK15" s="4"/>
      <c r="BL15" s="4"/>
      <c r="BM15" s="4"/>
      <c r="BN15" s="4"/>
      <c r="BO15" s="4"/>
      <c r="BP15" s="4"/>
      <c r="BQ15" s="4"/>
      <c r="BR15" s="4"/>
    </row>
    <row r="16" spans="1:70" ht="48">
      <c r="A16" s="3"/>
      <c r="B16" s="14" t="s">
        <v>341</v>
      </c>
      <c r="C16" s="483" t="s">
        <v>342</v>
      </c>
      <c r="D16" s="495" t="s">
        <v>343</v>
      </c>
      <c r="E16" s="15">
        <v>660</v>
      </c>
      <c r="F16" s="15">
        <v>658</v>
      </c>
      <c r="G16" s="15">
        <v>658</v>
      </c>
      <c r="H16" s="16">
        <f t="shared" si="1"/>
        <v>1</v>
      </c>
      <c r="I16" s="15">
        <v>658</v>
      </c>
      <c r="J16" s="16">
        <f t="shared" ref="J16:J25" si="11">I16/F16</f>
        <v>1</v>
      </c>
      <c r="K16" s="15" t="s">
        <v>344</v>
      </c>
      <c r="L16" s="17" t="s">
        <v>346</v>
      </c>
      <c r="M16" s="17" t="s">
        <v>347</v>
      </c>
      <c r="N16" s="31"/>
      <c r="O16" s="25"/>
      <c r="P16" s="3" t="s">
        <v>105</v>
      </c>
      <c r="Q16" s="19" t="s">
        <v>76</v>
      </c>
      <c r="R16" s="45" t="s">
        <v>77</v>
      </c>
      <c r="S16" s="45"/>
      <c r="T16" s="3"/>
      <c r="U16" s="3"/>
      <c r="V16" s="51"/>
      <c r="W16" s="3"/>
      <c r="X16" s="3"/>
      <c r="Y16" s="3"/>
      <c r="Z16" s="3"/>
      <c r="AA16" s="3"/>
      <c r="AB16" s="3"/>
      <c r="AC16" s="3"/>
      <c r="AD16" s="3"/>
      <c r="AE16" s="3"/>
      <c r="AF16" s="3"/>
      <c r="AG16" s="4"/>
      <c r="AH16" s="4"/>
      <c r="AI16" s="4"/>
      <c r="AJ16" s="4"/>
      <c r="AK16" s="4"/>
      <c r="AL16" s="69"/>
      <c r="AM16" s="70"/>
      <c r="AN16" s="70"/>
      <c r="AO16" s="70"/>
      <c r="AP16" s="71"/>
      <c r="AQ16" s="56"/>
      <c r="AR16" s="57"/>
      <c r="AS16" s="4"/>
      <c r="AT16" s="3"/>
      <c r="AU16" s="56"/>
      <c r="AV16" s="56"/>
      <c r="AW16" s="56"/>
      <c r="AX16" s="57"/>
      <c r="AY16" s="56"/>
      <c r="AZ16" s="57"/>
      <c r="BA16" s="4"/>
      <c r="BB16" s="3"/>
      <c r="BC16" s="56"/>
      <c r="BD16" s="56"/>
      <c r="BE16" s="56"/>
      <c r="BF16" s="57"/>
      <c r="BG16" s="56"/>
      <c r="BH16" s="57"/>
      <c r="BI16" s="4"/>
      <c r="BJ16" s="4"/>
      <c r="BK16" s="4"/>
      <c r="BL16" s="4"/>
      <c r="BM16" s="4"/>
      <c r="BN16" s="4"/>
      <c r="BO16" s="4"/>
      <c r="BP16" s="4"/>
      <c r="BQ16" s="4"/>
      <c r="BR16" s="4"/>
    </row>
    <row r="17" spans="1:70" ht="48">
      <c r="A17" s="3"/>
      <c r="B17" s="41" t="s">
        <v>348</v>
      </c>
      <c r="C17" s="41" t="s">
        <v>349</v>
      </c>
      <c r="D17" s="490" t="s">
        <v>350</v>
      </c>
      <c r="E17" s="42">
        <v>329</v>
      </c>
      <c r="F17" s="42">
        <v>329</v>
      </c>
      <c r="G17" s="42">
        <v>68</v>
      </c>
      <c r="H17" s="43">
        <f t="shared" si="1"/>
        <v>0.20668693009118541</v>
      </c>
      <c r="I17" s="42">
        <v>68</v>
      </c>
      <c r="J17" s="43">
        <f t="shared" si="11"/>
        <v>0.20668693009118541</v>
      </c>
      <c r="K17" s="42" t="s">
        <v>351</v>
      </c>
      <c r="L17" s="491" t="s">
        <v>352</v>
      </c>
      <c r="M17" s="503" t="s">
        <v>353</v>
      </c>
      <c r="N17" s="504"/>
      <c r="O17" s="25"/>
      <c r="P17" s="3"/>
      <c r="Q17" s="19" t="s">
        <v>354</v>
      </c>
      <c r="R17" s="45" t="s">
        <v>77</v>
      </c>
      <c r="S17" s="45"/>
      <c r="T17" s="3"/>
      <c r="U17" s="3"/>
      <c r="V17" s="51"/>
      <c r="W17" s="3"/>
      <c r="X17" s="3"/>
      <c r="Y17" s="3"/>
      <c r="Z17" s="3"/>
      <c r="AA17" s="3"/>
      <c r="AB17" s="3"/>
      <c r="AC17" s="3"/>
      <c r="AD17" s="3"/>
      <c r="AE17" s="3"/>
      <c r="AF17" s="3"/>
      <c r="AG17" s="4"/>
      <c r="AH17" s="4"/>
      <c r="AI17" s="4"/>
      <c r="AJ17" s="4"/>
      <c r="AK17" s="4"/>
      <c r="AL17" s="69"/>
      <c r="AM17" s="70"/>
      <c r="AN17" s="70"/>
      <c r="AO17" s="70"/>
      <c r="AP17" s="71"/>
      <c r="AQ17" s="56"/>
      <c r="AR17" s="57"/>
      <c r="AS17" s="4"/>
      <c r="AT17" s="3"/>
      <c r="AU17" s="56"/>
      <c r="AV17" s="56"/>
      <c r="AW17" s="56"/>
      <c r="AX17" s="57"/>
      <c r="AY17" s="56"/>
      <c r="AZ17" s="57"/>
      <c r="BA17" s="4"/>
      <c r="BB17" s="3"/>
      <c r="BC17" s="56"/>
      <c r="BD17" s="56"/>
      <c r="BE17" s="56"/>
      <c r="BF17" s="57"/>
      <c r="BG17" s="56"/>
      <c r="BH17" s="57"/>
      <c r="BI17" s="4"/>
      <c r="BJ17" s="4"/>
      <c r="BK17" s="4"/>
      <c r="BL17" s="4"/>
      <c r="BM17" s="4"/>
      <c r="BN17" s="4"/>
      <c r="BO17" s="4"/>
      <c r="BP17" s="4"/>
      <c r="BQ17" s="4"/>
      <c r="BR17" s="4"/>
    </row>
    <row r="18" spans="1:70" ht="48">
      <c r="A18" s="3"/>
      <c r="B18" s="14"/>
      <c r="C18" s="14" t="s">
        <v>264</v>
      </c>
      <c r="D18" s="495" t="s">
        <v>358</v>
      </c>
      <c r="E18" s="15">
        <v>143</v>
      </c>
      <c r="F18" s="15">
        <v>137</v>
      </c>
      <c r="G18" s="15">
        <v>137</v>
      </c>
      <c r="H18" s="16">
        <f t="shared" si="1"/>
        <v>1</v>
      </c>
      <c r="I18" s="15">
        <v>137</v>
      </c>
      <c r="J18" s="16">
        <f t="shared" si="11"/>
        <v>1</v>
      </c>
      <c r="K18" s="15" t="s">
        <v>351</v>
      </c>
      <c r="L18" s="17" t="s">
        <v>359</v>
      </c>
      <c r="M18" s="17" t="s">
        <v>360</v>
      </c>
      <c r="N18" s="31"/>
      <c r="O18" s="25"/>
      <c r="P18" s="3"/>
      <c r="Q18" s="19" t="s">
        <v>154</v>
      </c>
      <c r="R18" s="45" t="s">
        <v>77</v>
      </c>
      <c r="S18" s="45"/>
      <c r="T18" s="3"/>
      <c r="U18" s="3"/>
      <c r="V18" s="51"/>
      <c r="W18" s="3"/>
      <c r="X18" s="3"/>
      <c r="Y18" s="3"/>
      <c r="Z18" s="3"/>
      <c r="AA18" s="3"/>
      <c r="AB18" s="3"/>
      <c r="AC18" s="3"/>
      <c r="AD18" s="3"/>
      <c r="AE18" s="3"/>
      <c r="AF18" s="3"/>
      <c r="AG18" s="4"/>
      <c r="AH18" s="4"/>
      <c r="AI18" s="4"/>
      <c r="AJ18" s="4"/>
      <c r="AK18" s="4"/>
      <c r="AL18" s="69"/>
      <c r="AM18" s="70"/>
      <c r="AN18" s="70"/>
      <c r="AO18" s="70"/>
      <c r="AP18" s="71"/>
      <c r="AQ18" s="56"/>
      <c r="AR18" s="57"/>
      <c r="AS18" s="4"/>
      <c r="AT18" s="3"/>
      <c r="AU18" s="56"/>
      <c r="AV18" s="56"/>
      <c r="AW18" s="56"/>
      <c r="AX18" s="57"/>
      <c r="AY18" s="56"/>
      <c r="AZ18" s="57"/>
      <c r="BA18" s="4"/>
      <c r="BB18" s="3"/>
      <c r="BC18" s="56"/>
      <c r="BD18" s="56"/>
      <c r="BE18" s="56"/>
      <c r="BF18" s="57"/>
      <c r="BG18" s="56"/>
      <c r="BH18" s="57"/>
      <c r="BI18" s="4"/>
      <c r="BJ18" s="4"/>
      <c r="BK18" s="4"/>
      <c r="BL18" s="4"/>
      <c r="BM18" s="4"/>
      <c r="BN18" s="4"/>
      <c r="BO18" s="4"/>
      <c r="BP18" s="4"/>
      <c r="BQ18" s="4"/>
      <c r="BR18" s="4"/>
    </row>
    <row r="19" spans="1:70" ht="48">
      <c r="A19" s="3"/>
      <c r="B19" s="14"/>
      <c r="C19" s="14" t="s">
        <v>264</v>
      </c>
      <c r="D19" s="495" t="s">
        <v>361</v>
      </c>
      <c r="E19" s="15">
        <v>261</v>
      </c>
      <c r="F19" s="15">
        <v>227</v>
      </c>
      <c r="G19" s="15">
        <v>227</v>
      </c>
      <c r="H19" s="16">
        <f t="shared" si="1"/>
        <v>1</v>
      </c>
      <c r="I19" s="15">
        <v>227</v>
      </c>
      <c r="J19" s="16">
        <f t="shared" si="11"/>
        <v>1</v>
      </c>
      <c r="K19" s="15" t="s">
        <v>351</v>
      </c>
      <c r="L19" s="501" t="s">
        <v>362</v>
      </c>
      <c r="M19" s="17" t="s">
        <v>271</v>
      </c>
      <c r="N19" s="31"/>
      <c r="O19" s="25"/>
      <c r="P19" s="3"/>
      <c r="Q19" s="19"/>
      <c r="R19" s="45" t="s">
        <v>77</v>
      </c>
      <c r="S19" s="45"/>
      <c r="T19" s="3"/>
      <c r="U19" s="3"/>
      <c r="V19" s="51"/>
      <c r="W19" s="3"/>
      <c r="X19" s="3"/>
      <c r="Y19" s="3"/>
      <c r="Z19" s="3"/>
      <c r="AA19" s="3"/>
      <c r="AB19" s="3"/>
      <c r="AC19" s="3"/>
      <c r="AD19" s="3"/>
      <c r="AE19" s="3"/>
      <c r="AF19" s="3"/>
      <c r="AG19" s="4"/>
      <c r="AH19" s="4"/>
      <c r="AI19" s="4"/>
      <c r="AJ19" s="4"/>
      <c r="AK19" s="4"/>
      <c r="AL19" s="69"/>
      <c r="AM19" s="70"/>
      <c r="AN19" s="70"/>
      <c r="AO19" s="70"/>
      <c r="AP19" s="71"/>
      <c r="AQ19" s="56"/>
      <c r="AR19" s="57"/>
      <c r="AS19" s="4"/>
      <c r="AT19" s="3"/>
      <c r="AU19" s="56"/>
      <c r="AV19" s="56"/>
      <c r="AW19" s="56"/>
      <c r="AX19" s="57"/>
      <c r="AY19" s="56"/>
      <c r="AZ19" s="57"/>
      <c r="BA19" s="4"/>
      <c r="BB19" s="3"/>
      <c r="BC19" s="56"/>
      <c r="BD19" s="56"/>
      <c r="BE19" s="56"/>
      <c r="BF19" s="57"/>
      <c r="BG19" s="56"/>
      <c r="BH19" s="57"/>
      <c r="BI19" s="4"/>
      <c r="BJ19" s="4"/>
      <c r="BK19" s="4"/>
      <c r="BL19" s="4"/>
      <c r="BM19" s="4"/>
      <c r="BN19" s="4"/>
      <c r="BO19" s="4"/>
      <c r="BP19" s="4"/>
      <c r="BQ19" s="4"/>
      <c r="BR19" s="4"/>
    </row>
    <row r="20" spans="1:70" ht="48">
      <c r="A20" s="3"/>
      <c r="B20" s="14"/>
      <c r="C20" s="14" t="s">
        <v>264</v>
      </c>
      <c r="D20" s="495" t="s">
        <v>363</v>
      </c>
      <c r="E20" s="15">
        <v>261</v>
      </c>
      <c r="F20" s="15">
        <v>232</v>
      </c>
      <c r="G20" s="15">
        <v>232</v>
      </c>
      <c r="H20" s="16">
        <f t="shared" si="1"/>
        <v>1</v>
      </c>
      <c r="I20" s="15">
        <v>232</v>
      </c>
      <c r="J20" s="16">
        <f t="shared" si="11"/>
        <v>1</v>
      </c>
      <c r="K20" s="15" t="s">
        <v>351</v>
      </c>
      <c r="L20" s="17" t="s">
        <v>364</v>
      </c>
      <c r="M20" s="17" t="s">
        <v>274</v>
      </c>
      <c r="N20" s="31"/>
      <c r="O20" s="25"/>
      <c r="P20" s="3"/>
      <c r="Q20" s="19"/>
      <c r="R20" s="45" t="s">
        <v>77</v>
      </c>
      <c r="S20" s="45"/>
      <c r="T20" s="3"/>
      <c r="U20" s="3"/>
      <c r="V20" s="51" t="e">
        <f>E18+E19+E20+#REF!</f>
        <v>#REF!</v>
      </c>
      <c r="W20" s="3" t="e">
        <f>F18+F19+F20+#REF!</f>
        <v>#REF!</v>
      </c>
      <c r="X20" s="3"/>
      <c r="Y20" s="3"/>
      <c r="Z20" s="3"/>
      <c r="AA20" s="3"/>
      <c r="AB20" s="3"/>
      <c r="AC20" s="3"/>
      <c r="AD20" s="3"/>
      <c r="AE20" s="3"/>
      <c r="AF20" s="3"/>
      <c r="AG20" s="4"/>
      <c r="AH20" s="4"/>
      <c r="AI20" s="4"/>
      <c r="AJ20" s="4"/>
      <c r="AK20" s="4"/>
      <c r="AL20" s="69"/>
      <c r="AM20" s="70"/>
      <c r="AN20" s="70"/>
      <c r="AO20" s="70"/>
      <c r="AP20" s="71"/>
      <c r="AQ20" s="56"/>
      <c r="AR20" s="57"/>
      <c r="AS20" s="4"/>
      <c r="AT20" s="3"/>
      <c r="AU20" s="56"/>
      <c r="AV20" s="56"/>
      <c r="AW20" s="56"/>
      <c r="AX20" s="57"/>
      <c r="AY20" s="56"/>
      <c r="AZ20" s="57"/>
      <c r="BA20" s="4"/>
      <c r="BB20" s="3"/>
      <c r="BC20" s="56"/>
      <c r="BD20" s="56"/>
      <c r="BE20" s="56"/>
      <c r="BF20" s="57"/>
      <c r="BG20" s="56"/>
      <c r="BH20" s="57"/>
      <c r="BI20" s="4"/>
      <c r="BJ20" s="4"/>
      <c r="BK20" s="4"/>
      <c r="BL20" s="4"/>
      <c r="BM20" s="4"/>
      <c r="BN20" s="4"/>
      <c r="BO20" s="4"/>
      <c r="BP20" s="4"/>
      <c r="BQ20" s="4"/>
      <c r="BR20" s="4"/>
    </row>
    <row r="21" spans="1:70" ht="48">
      <c r="A21" s="3"/>
      <c r="B21" s="14"/>
      <c r="C21" s="14" t="s">
        <v>264</v>
      </c>
      <c r="D21" s="495" t="s">
        <v>365</v>
      </c>
      <c r="E21" s="15">
        <v>311</v>
      </c>
      <c r="F21" s="15">
        <v>272</v>
      </c>
      <c r="G21" s="15">
        <v>270</v>
      </c>
      <c r="H21" s="16">
        <f t="shared" si="1"/>
        <v>0.99264705882352944</v>
      </c>
      <c r="I21" s="15">
        <v>270</v>
      </c>
      <c r="J21" s="16">
        <f t="shared" si="11"/>
        <v>0.99264705882352944</v>
      </c>
      <c r="K21" s="15" t="s">
        <v>49</v>
      </c>
      <c r="L21" s="17" t="s">
        <v>366</v>
      </c>
      <c r="M21" s="17" t="s">
        <v>279</v>
      </c>
      <c r="N21" s="31"/>
      <c r="O21" s="25"/>
      <c r="P21" s="3"/>
      <c r="Q21" s="19"/>
      <c r="R21" s="45" t="s">
        <v>77</v>
      </c>
      <c r="S21" s="45"/>
      <c r="T21" s="3"/>
      <c r="U21" s="3"/>
      <c r="V21" s="51"/>
      <c r="W21" s="3"/>
      <c r="X21" s="3"/>
      <c r="Y21" s="3"/>
      <c r="Z21" s="3"/>
      <c r="AA21" s="3"/>
      <c r="AB21" s="3"/>
      <c r="AC21" s="3"/>
      <c r="AD21" s="3"/>
      <c r="AE21" s="3"/>
      <c r="AF21" s="3"/>
      <c r="AG21" s="4"/>
      <c r="AH21" s="4"/>
      <c r="AI21" s="4"/>
      <c r="AJ21" s="4"/>
      <c r="AK21" s="4"/>
      <c r="AL21" s="69"/>
      <c r="AM21" s="70"/>
      <c r="AN21" s="70"/>
      <c r="AO21" s="70"/>
      <c r="AP21" s="71"/>
      <c r="AQ21" s="56"/>
      <c r="AR21" s="57"/>
      <c r="AS21" s="4"/>
      <c r="AT21" s="3"/>
      <c r="AU21" s="56"/>
      <c r="AV21" s="56"/>
      <c r="AW21" s="56"/>
      <c r="AX21" s="57"/>
      <c r="AY21" s="56"/>
      <c r="AZ21" s="57"/>
      <c r="BA21" s="4"/>
      <c r="BB21" s="3"/>
      <c r="BC21" s="56"/>
      <c r="BD21" s="56"/>
      <c r="BE21" s="56"/>
      <c r="BF21" s="57"/>
      <c r="BG21" s="56"/>
      <c r="BH21" s="57"/>
      <c r="BI21" s="4"/>
      <c r="BJ21" s="4"/>
      <c r="BK21" s="4"/>
      <c r="BL21" s="4"/>
      <c r="BM21" s="4"/>
      <c r="BN21" s="4"/>
      <c r="BO21" s="4"/>
      <c r="BP21" s="4"/>
      <c r="BQ21" s="4"/>
      <c r="BR21" s="4"/>
    </row>
    <row r="22" spans="1:70" ht="48">
      <c r="A22" s="3"/>
      <c r="B22" s="14"/>
      <c r="C22" s="14" t="s">
        <v>264</v>
      </c>
      <c r="D22" s="495" t="s">
        <v>367</v>
      </c>
      <c r="E22" s="15">
        <v>311</v>
      </c>
      <c r="F22" s="15">
        <v>299</v>
      </c>
      <c r="G22" s="15">
        <v>299</v>
      </c>
      <c r="H22" s="16">
        <f>G22/$F$22</f>
        <v>1</v>
      </c>
      <c r="I22" s="15">
        <v>299</v>
      </c>
      <c r="J22" s="16">
        <f t="shared" si="11"/>
        <v>1</v>
      </c>
      <c r="K22" s="15" t="s">
        <v>49</v>
      </c>
      <c r="L22" s="17" t="s">
        <v>368</v>
      </c>
      <c r="M22" s="17" t="s">
        <v>282</v>
      </c>
      <c r="N22" s="31"/>
      <c r="O22" s="25"/>
      <c r="P22" s="3"/>
      <c r="Q22" s="19"/>
      <c r="R22" s="20" t="s">
        <v>77</v>
      </c>
      <c r="S22" s="20"/>
      <c r="T22" s="3"/>
      <c r="U22" s="3"/>
      <c r="V22" s="51"/>
      <c r="W22" s="3">
        <v>655</v>
      </c>
      <c r="X22" s="3"/>
      <c r="Y22" s="3"/>
      <c r="Z22" s="3"/>
      <c r="AA22" s="3"/>
      <c r="AB22" s="3"/>
      <c r="AC22" s="3"/>
      <c r="AD22" s="3"/>
      <c r="AE22" s="3"/>
      <c r="AF22" s="3"/>
      <c r="AG22" s="4"/>
      <c r="AH22" s="4"/>
      <c r="AI22" s="4"/>
      <c r="AJ22" s="4"/>
      <c r="AK22" s="4"/>
      <c r="AL22" s="69"/>
      <c r="AM22" s="70"/>
      <c r="AN22" s="70"/>
      <c r="AO22" s="70"/>
      <c r="AP22" s="71"/>
      <c r="AQ22" s="56"/>
      <c r="AR22" s="57"/>
      <c r="AS22" s="4"/>
      <c r="AT22" s="3"/>
      <c r="AU22" s="56"/>
      <c r="AV22" s="56"/>
      <c r="AW22" s="56"/>
      <c r="AX22" s="57"/>
      <c r="AY22" s="56"/>
      <c r="AZ22" s="57"/>
      <c r="BA22" s="4"/>
      <c r="BB22" s="3"/>
      <c r="BC22" s="56"/>
      <c r="BD22" s="56"/>
      <c r="BE22" s="56"/>
      <c r="BF22" s="57"/>
      <c r="BG22" s="56"/>
      <c r="BH22" s="57"/>
      <c r="BI22" s="4"/>
      <c r="BJ22" s="4"/>
      <c r="BK22" s="4"/>
      <c r="BL22" s="4"/>
      <c r="BM22" s="4"/>
      <c r="BN22" s="4"/>
      <c r="BO22" s="4"/>
      <c r="BP22" s="4"/>
      <c r="BQ22" s="4"/>
      <c r="BR22" s="4"/>
    </row>
    <row r="23" spans="1:70" ht="48">
      <c r="A23" s="3"/>
      <c r="B23" s="14"/>
      <c r="C23" s="14" t="s">
        <v>264</v>
      </c>
      <c r="D23" s="495" t="s">
        <v>369</v>
      </c>
      <c r="E23" s="15">
        <v>259</v>
      </c>
      <c r="F23" s="15">
        <v>259</v>
      </c>
      <c r="G23" s="15">
        <v>259</v>
      </c>
      <c r="H23" s="16">
        <f>G23/$F$23</f>
        <v>1</v>
      </c>
      <c r="I23" s="15">
        <v>259</v>
      </c>
      <c r="J23" s="16">
        <f t="shared" si="11"/>
        <v>1</v>
      </c>
      <c r="K23" s="15" t="s">
        <v>49</v>
      </c>
      <c r="L23" s="17" t="s">
        <v>370</v>
      </c>
      <c r="M23" s="17" t="s">
        <v>371</v>
      </c>
      <c r="N23" s="31"/>
      <c r="O23" s="25"/>
      <c r="P23" s="3"/>
      <c r="Q23" s="19"/>
      <c r="R23" s="20" t="s">
        <v>77</v>
      </c>
      <c r="S23" s="20"/>
      <c r="T23" s="3"/>
      <c r="U23" s="3"/>
      <c r="V23" s="51"/>
      <c r="W23" s="3">
        <v>1952</v>
      </c>
      <c r="X23" s="3"/>
      <c r="Y23" s="3">
        <f>SUM(W22:W28)</f>
        <v>4336</v>
      </c>
      <c r="Z23" s="3"/>
      <c r="AA23" s="3"/>
      <c r="AB23" s="3"/>
      <c r="AC23" s="3"/>
      <c r="AD23" s="3"/>
      <c r="AE23" s="3"/>
      <c r="AF23" s="3"/>
      <c r="AG23" s="4"/>
      <c r="AH23" s="4"/>
      <c r="AI23" s="4"/>
      <c r="AJ23" s="4"/>
      <c r="AK23" s="4"/>
      <c r="AL23" s="69"/>
      <c r="AM23" s="70"/>
      <c r="AN23" s="70"/>
      <c r="AO23" s="70"/>
      <c r="AP23" s="71"/>
      <c r="AQ23" s="56"/>
      <c r="AR23" s="57"/>
      <c r="AS23" s="4"/>
      <c r="AT23" s="3"/>
      <c r="AU23" s="56"/>
      <c r="AV23" s="56"/>
      <c r="AW23" s="56"/>
      <c r="AX23" s="57"/>
      <c r="AY23" s="56"/>
      <c r="AZ23" s="57"/>
      <c r="BA23" s="4"/>
      <c r="BB23" s="3"/>
      <c r="BC23" s="56"/>
      <c r="BD23" s="56"/>
      <c r="BE23" s="56"/>
      <c r="BF23" s="57"/>
      <c r="BG23" s="56"/>
      <c r="BH23" s="57"/>
      <c r="BI23" s="4"/>
      <c r="BJ23" s="4"/>
      <c r="BK23" s="4"/>
      <c r="BL23" s="4"/>
      <c r="BM23" s="4"/>
      <c r="BN23" s="4"/>
      <c r="BO23" s="4"/>
      <c r="BP23" s="4"/>
      <c r="BQ23" s="4"/>
      <c r="BR23" s="4"/>
    </row>
    <row r="24" spans="1:70" ht="48">
      <c r="A24" s="3"/>
      <c r="B24" s="14"/>
      <c r="C24" s="14" t="s">
        <v>264</v>
      </c>
      <c r="D24" s="495" t="s">
        <v>372</v>
      </c>
      <c r="E24" s="15">
        <v>259</v>
      </c>
      <c r="F24" s="15">
        <v>259</v>
      </c>
      <c r="G24" s="15">
        <v>259</v>
      </c>
      <c r="H24" s="16">
        <f>G24/$F$24</f>
        <v>1</v>
      </c>
      <c r="I24" s="15">
        <v>259</v>
      </c>
      <c r="J24" s="16">
        <f t="shared" si="11"/>
        <v>1</v>
      </c>
      <c r="K24" s="15" t="s">
        <v>49</v>
      </c>
      <c r="L24" s="17" t="s">
        <v>373</v>
      </c>
      <c r="M24" s="17" t="s">
        <v>374</v>
      </c>
      <c r="N24" s="31"/>
      <c r="O24" s="25"/>
      <c r="P24" s="3"/>
      <c r="Q24" s="19"/>
      <c r="R24" s="20" t="s">
        <v>77</v>
      </c>
      <c r="S24" s="20"/>
      <c r="T24" s="3"/>
      <c r="U24" s="3"/>
      <c r="V24" s="51"/>
      <c r="W24" s="3">
        <v>134</v>
      </c>
      <c r="X24" s="3"/>
      <c r="Y24" s="3"/>
      <c r="Z24" s="3"/>
      <c r="AA24" s="3"/>
      <c r="AB24" s="3"/>
      <c r="AC24" s="3"/>
      <c r="AD24" s="3"/>
      <c r="AE24" s="3"/>
      <c r="AF24" s="3"/>
      <c r="AG24" s="4"/>
      <c r="AH24" s="4"/>
      <c r="AI24" s="4"/>
      <c r="AJ24" s="4"/>
      <c r="AK24" s="4"/>
      <c r="AL24" s="69"/>
      <c r="AM24" s="70"/>
      <c r="AN24" s="70"/>
      <c r="AO24" s="70"/>
      <c r="AP24" s="71"/>
      <c r="AQ24" s="56"/>
      <c r="AR24" s="57"/>
      <c r="AS24" s="4"/>
      <c r="AT24" s="3"/>
      <c r="AU24" s="56"/>
      <c r="AV24" s="56"/>
      <c r="AW24" s="56"/>
      <c r="AX24" s="57"/>
      <c r="AY24" s="56"/>
      <c r="AZ24" s="57"/>
      <c r="BA24" s="4"/>
      <c r="BB24" s="3"/>
      <c r="BC24" s="56"/>
      <c r="BD24" s="56"/>
      <c r="BE24" s="56"/>
      <c r="BF24" s="57"/>
      <c r="BG24" s="56"/>
      <c r="BH24" s="57"/>
      <c r="BI24" s="4"/>
      <c r="BJ24" s="4"/>
      <c r="BK24" s="4"/>
      <c r="BL24" s="4"/>
      <c r="BM24" s="4"/>
      <c r="BN24" s="4"/>
      <c r="BO24" s="4"/>
      <c r="BP24" s="4"/>
      <c r="BQ24" s="4"/>
      <c r="BR24" s="4"/>
    </row>
    <row r="25" spans="1:70" ht="48">
      <c r="A25" s="3"/>
      <c r="B25" s="14"/>
      <c r="C25" s="483" t="s">
        <v>264</v>
      </c>
      <c r="D25" s="495" t="s">
        <v>375</v>
      </c>
      <c r="E25" s="15">
        <v>145</v>
      </c>
      <c r="F25" s="15">
        <v>134</v>
      </c>
      <c r="G25" s="15">
        <v>134</v>
      </c>
      <c r="H25" s="16">
        <f>G25/$F$25</f>
        <v>1</v>
      </c>
      <c r="I25" s="15">
        <v>134</v>
      </c>
      <c r="J25" s="16">
        <f t="shared" si="11"/>
        <v>1</v>
      </c>
      <c r="K25" s="15" t="s">
        <v>376</v>
      </c>
      <c r="L25" s="17" t="s">
        <v>377</v>
      </c>
      <c r="M25" s="17" t="s">
        <v>378</v>
      </c>
      <c r="N25" s="31"/>
      <c r="O25" s="25"/>
      <c r="P25" s="3"/>
      <c r="Q25" s="19"/>
      <c r="R25" s="20" t="s">
        <v>77</v>
      </c>
      <c r="S25" s="20"/>
      <c r="T25" s="3"/>
      <c r="U25" s="3"/>
      <c r="V25" s="51"/>
      <c r="W25" s="3">
        <v>98</v>
      </c>
      <c r="X25" s="3"/>
      <c r="Y25" s="3"/>
      <c r="Z25" s="3"/>
      <c r="AA25" s="3"/>
      <c r="AB25" s="3"/>
      <c r="AC25" s="3"/>
      <c r="AD25" s="3"/>
      <c r="AE25" s="3"/>
      <c r="AF25" s="3"/>
      <c r="AG25" s="4"/>
      <c r="AH25" s="4"/>
      <c r="AI25" s="4"/>
      <c r="AJ25" s="4"/>
      <c r="AK25" s="4"/>
      <c r="AL25" s="69"/>
      <c r="AM25" s="70"/>
      <c r="AN25" s="70"/>
      <c r="AO25" s="70"/>
      <c r="AP25" s="71"/>
      <c r="AQ25" s="56"/>
      <c r="AR25" s="57"/>
      <c r="AS25" s="4"/>
      <c r="AT25" s="3"/>
      <c r="AU25" s="56"/>
      <c r="AV25" s="56"/>
      <c r="AW25" s="56"/>
      <c r="AX25" s="57"/>
      <c r="AY25" s="56"/>
      <c r="AZ25" s="57"/>
      <c r="BA25" s="4"/>
      <c r="BB25" s="3"/>
      <c r="BC25" s="56"/>
      <c r="BD25" s="56"/>
      <c r="BE25" s="56"/>
      <c r="BF25" s="57"/>
      <c r="BG25" s="56"/>
      <c r="BH25" s="57"/>
      <c r="BI25" s="4"/>
      <c r="BJ25" s="4"/>
      <c r="BK25" s="4"/>
      <c r="BL25" s="4"/>
      <c r="BM25" s="4"/>
      <c r="BN25" s="4"/>
      <c r="BO25" s="4"/>
      <c r="BP25" s="4"/>
      <c r="BQ25" s="4"/>
      <c r="BR25" s="4"/>
    </row>
    <row r="26" spans="1:70" ht="48">
      <c r="A26" s="3"/>
      <c r="B26" s="14"/>
      <c r="C26" s="14" t="s">
        <v>264</v>
      </c>
      <c r="D26" s="62" t="s">
        <v>379</v>
      </c>
      <c r="E26" s="15">
        <v>98</v>
      </c>
      <c r="F26" s="15">
        <v>98</v>
      </c>
      <c r="G26" s="15">
        <v>98</v>
      </c>
      <c r="H26" s="16">
        <f>G26/$F$26</f>
        <v>1</v>
      </c>
      <c r="I26" s="15">
        <v>98</v>
      </c>
      <c r="J26" s="16">
        <f>G26/$F$26</f>
        <v>1</v>
      </c>
      <c r="K26" s="15" t="s">
        <v>376</v>
      </c>
      <c r="L26" s="17" t="s">
        <v>380</v>
      </c>
      <c r="M26" s="17" t="s">
        <v>381</v>
      </c>
      <c r="N26" s="31"/>
      <c r="O26" s="25"/>
      <c r="P26" s="3"/>
      <c r="Q26" s="19"/>
      <c r="R26" s="20" t="s">
        <v>77</v>
      </c>
      <c r="S26" s="20"/>
      <c r="T26" s="3"/>
      <c r="U26" s="3"/>
      <c r="V26" s="51"/>
      <c r="W26" s="3">
        <v>962</v>
      </c>
      <c r="X26" s="3"/>
      <c r="Y26" s="3"/>
      <c r="Z26" s="3"/>
      <c r="AA26" s="3"/>
      <c r="AB26" s="3"/>
      <c r="AC26" s="3"/>
      <c r="AD26" s="3"/>
      <c r="AE26" s="3"/>
      <c r="AF26" s="3"/>
      <c r="AG26" s="4"/>
      <c r="AH26" s="4"/>
      <c r="AI26" s="4"/>
      <c r="AJ26" s="4"/>
      <c r="AK26" s="4"/>
      <c r="AL26" s="69"/>
      <c r="AM26" s="70"/>
      <c r="AN26" s="70"/>
      <c r="AO26" s="70"/>
      <c r="AP26" s="71"/>
      <c r="AQ26" s="56"/>
      <c r="AR26" s="57"/>
      <c r="AS26" s="4"/>
      <c r="AT26" s="3"/>
      <c r="AU26" s="56"/>
      <c r="AV26" s="56"/>
      <c r="AW26" s="56"/>
      <c r="AX26" s="57"/>
      <c r="AY26" s="56"/>
      <c r="AZ26" s="57"/>
      <c r="BA26" s="4"/>
      <c r="BB26" s="3"/>
      <c r="BC26" s="56"/>
      <c r="BD26" s="56"/>
      <c r="BE26" s="56"/>
      <c r="BF26" s="57"/>
      <c r="BG26" s="56"/>
      <c r="BH26" s="57"/>
      <c r="BI26" s="4"/>
      <c r="BJ26" s="4"/>
      <c r="BK26" s="4"/>
      <c r="BL26" s="4"/>
      <c r="BM26" s="4"/>
      <c r="BN26" s="4"/>
      <c r="BO26" s="4"/>
      <c r="BP26" s="4"/>
      <c r="BQ26" s="4"/>
      <c r="BR26" s="4"/>
    </row>
    <row r="27" spans="1:70" ht="48">
      <c r="A27" s="3"/>
      <c r="B27" s="14"/>
      <c r="C27" s="14" t="s">
        <v>264</v>
      </c>
      <c r="D27" s="62" t="s">
        <v>382</v>
      </c>
      <c r="E27" s="15">
        <v>55</v>
      </c>
      <c r="F27" s="15">
        <v>37</v>
      </c>
      <c r="G27" s="15">
        <v>37</v>
      </c>
      <c r="H27" s="16">
        <f>G27/$F$27</f>
        <v>1</v>
      </c>
      <c r="I27" s="15">
        <v>37</v>
      </c>
      <c r="J27" s="16">
        <f>G27/$F$27</f>
        <v>1</v>
      </c>
      <c r="K27" s="15" t="s">
        <v>376</v>
      </c>
      <c r="L27" s="17" t="s">
        <v>383</v>
      </c>
      <c r="M27" s="17" t="s">
        <v>384</v>
      </c>
      <c r="N27" s="31"/>
      <c r="O27" s="25"/>
      <c r="P27" s="3"/>
      <c r="Q27" s="19"/>
      <c r="R27" s="20" t="s">
        <v>77</v>
      </c>
      <c r="S27" s="20"/>
      <c r="T27" s="3"/>
      <c r="U27" s="3"/>
      <c r="V27" s="51"/>
      <c r="W27" s="3">
        <v>227</v>
      </c>
      <c r="X27" s="3"/>
      <c r="Y27" s="3"/>
      <c r="Z27" s="3"/>
      <c r="AA27" s="3"/>
      <c r="AB27" s="3"/>
      <c r="AC27" s="3"/>
      <c r="AD27" s="3"/>
      <c r="AE27" s="3"/>
      <c r="AF27" s="3"/>
      <c r="AG27" s="4"/>
      <c r="AH27" s="4"/>
      <c r="AI27" s="4"/>
      <c r="AJ27" s="4"/>
      <c r="AK27" s="4"/>
      <c r="AL27" s="69"/>
      <c r="AM27" s="70"/>
      <c r="AN27" s="70"/>
      <c r="AO27" s="70"/>
      <c r="AP27" s="71"/>
      <c r="AQ27" s="56"/>
      <c r="AR27" s="57"/>
      <c r="AS27" s="4"/>
      <c r="AT27" s="3"/>
      <c r="AU27" s="56"/>
      <c r="AV27" s="56"/>
      <c r="AW27" s="56"/>
      <c r="AX27" s="57"/>
      <c r="AY27" s="56"/>
      <c r="AZ27" s="57"/>
      <c r="BA27" s="4"/>
      <c r="BB27" s="3"/>
      <c r="BC27" s="56"/>
      <c r="BD27" s="56"/>
      <c r="BE27" s="56"/>
      <c r="BF27" s="57"/>
      <c r="BG27" s="56"/>
      <c r="BH27" s="57"/>
      <c r="BI27" s="4"/>
      <c r="BJ27" s="4"/>
      <c r="BK27" s="4"/>
      <c r="BL27" s="4"/>
      <c r="BM27" s="4"/>
      <c r="BN27" s="4"/>
      <c r="BO27" s="4"/>
      <c r="BP27" s="4"/>
      <c r="BQ27" s="4"/>
      <c r="BR27" s="4"/>
    </row>
    <row r="28" spans="1:70" ht="48">
      <c r="A28" s="3"/>
      <c r="B28" s="14" t="s">
        <v>69</v>
      </c>
      <c r="C28" s="14" t="s">
        <v>385</v>
      </c>
      <c r="D28" s="62" t="s">
        <v>386</v>
      </c>
      <c r="E28" s="15">
        <v>125</v>
      </c>
      <c r="F28" s="15">
        <v>125</v>
      </c>
      <c r="G28" s="15">
        <v>40</v>
      </c>
      <c r="H28" s="16">
        <f>G28/$F$28</f>
        <v>0.32</v>
      </c>
      <c r="I28" s="15">
        <v>40</v>
      </c>
      <c r="J28" s="16">
        <f>G28/$F$28</f>
        <v>0.32</v>
      </c>
      <c r="K28" s="15" t="s">
        <v>387</v>
      </c>
      <c r="L28" s="17" t="s">
        <v>388</v>
      </c>
      <c r="M28" s="17" t="s">
        <v>389</v>
      </c>
      <c r="N28" s="31"/>
      <c r="O28" s="25"/>
      <c r="P28" s="3"/>
      <c r="Q28" s="19"/>
      <c r="R28" s="20" t="s">
        <v>77</v>
      </c>
      <c r="S28" s="20"/>
      <c r="T28" s="3"/>
      <c r="U28" s="3"/>
      <c r="V28" s="51"/>
      <c r="W28" s="3">
        <v>308</v>
      </c>
      <c r="X28" s="3"/>
      <c r="Y28" s="3"/>
      <c r="Z28" s="3"/>
      <c r="AA28" s="3"/>
      <c r="AB28" s="3"/>
      <c r="AC28" s="3"/>
      <c r="AD28" s="3"/>
      <c r="AE28" s="3"/>
      <c r="AF28" s="3"/>
      <c r="AG28" s="4"/>
      <c r="AH28" s="4"/>
      <c r="AI28" s="4"/>
      <c r="AJ28" s="4"/>
      <c r="AK28" s="4"/>
      <c r="AL28" s="69"/>
      <c r="AM28" s="70"/>
      <c r="AN28" s="70"/>
      <c r="AO28" s="70"/>
      <c r="AP28" s="71"/>
      <c r="AQ28" s="56"/>
      <c r="AR28" s="57"/>
      <c r="AS28" s="4"/>
      <c r="AT28" s="3"/>
      <c r="AU28" s="56"/>
      <c r="AV28" s="56"/>
      <c r="AW28" s="56"/>
      <c r="AX28" s="57"/>
      <c r="AY28" s="56"/>
      <c r="AZ28" s="57"/>
      <c r="BA28" s="4"/>
      <c r="BB28" s="3"/>
      <c r="BC28" s="56"/>
      <c r="BD28" s="56"/>
      <c r="BE28" s="56"/>
      <c r="BF28" s="57"/>
      <c r="BG28" s="56"/>
      <c r="BH28" s="57"/>
      <c r="BI28" s="4"/>
      <c r="BJ28" s="4"/>
      <c r="BK28" s="4"/>
      <c r="BL28" s="4"/>
      <c r="BM28" s="4"/>
      <c r="BN28" s="4"/>
      <c r="BO28" s="4"/>
      <c r="BP28" s="4"/>
      <c r="BQ28" s="4"/>
      <c r="BR28" s="4"/>
    </row>
    <row r="29" spans="1:70" ht="48">
      <c r="A29" s="3"/>
      <c r="B29" s="52" t="s">
        <v>69</v>
      </c>
      <c r="C29" s="52" t="s">
        <v>70</v>
      </c>
      <c r="D29" s="77" t="s">
        <v>390</v>
      </c>
      <c r="E29" s="53">
        <f>1672+515</f>
        <v>2187</v>
      </c>
      <c r="F29" s="53">
        <f>1653+515</f>
        <v>2168</v>
      </c>
      <c r="G29" s="53">
        <f>1002+644+308+60</f>
        <v>2014</v>
      </c>
      <c r="H29" s="54">
        <f>$G29/$F29</f>
        <v>0.9289667896678967</v>
      </c>
      <c r="I29" s="53">
        <f>1002+644+308+60</f>
        <v>2014</v>
      </c>
      <c r="J29" s="54">
        <f>$I29/$F29</f>
        <v>0.9289667896678967</v>
      </c>
      <c r="K29" s="53" t="s">
        <v>391</v>
      </c>
      <c r="L29" s="498" t="s">
        <v>392</v>
      </c>
      <c r="M29" s="498" t="s">
        <v>298</v>
      </c>
      <c r="N29" s="55"/>
      <c r="O29" s="25" t="s">
        <v>299</v>
      </c>
      <c r="P29" s="3"/>
      <c r="Q29" s="19"/>
      <c r="R29" s="20" t="s">
        <v>77</v>
      </c>
      <c r="S29" s="20"/>
      <c r="T29" s="3"/>
      <c r="U29" s="3"/>
      <c r="V29" s="51"/>
      <c r="W29" s="3"/>
      <c r="X29" s="3"/>
      <c r="Y29" s="3"/>
      <c r="Z29" s="3"/>
      <c r="AA29" s="3"/>
      <c r="AB29" s="3"/>
      <c r="AC29" s="3"/>
      <c r="AD29" s="3"/>
      <c r="AE29" s="3"/>
      <c r="AF29" s="3"/>
      <c r="AG29" s="4"/>
      <c r="AH29" s="4"/>
      <c r="AI29" s="4"/>
      <c r="AJ29" s="4"/>
      <c r="AK29" s="4"/>
      <c r="AL29" s="69"/>
      <c r="AM29" s="70"/>
      <c r="AN29" s="70"/>
      <c r="AO29" s="70"/>
      <c r="AP29" s="71"/>
      <c r="AQ29" s="56"/>
      <c r="AR29" s="57"/>
      <c r="AS29" s="4"/>
      <c r="AT29" s="3"/>
      <c r="AU29" s="56"/>
      <c r="AV29" s="56"/>
      <c r="AW29" s="56"/>
      <c r="AX29" s="57"/>
      <c r="AY29" s="56"/>
      <c r="AZ29" s="57"/>
      <c r="BA29" s="4"/>
      <c r="BB29" s="3"/>
      <c r="BC29" s="56"/>
      <c r="BD29" s="56"/>
      <c r="BE29" s="56"/>
      <c r="BF29" s="57"/>
      <c r="BG29" s="56"/>
      <c r="BH29" s="57"/>
      <c r="BI29" s="4"/>
      <c r="BJ29" s="4"/>
      <c r="BK29" s="4"/>
      <c r="BL29" s="4"/>
      <c r="BM29" s="4"/>
      <c r="BN29" s="4"/>
      <c r="BO29" s="4"/>
      <c r="BP29" s="4"/>
      <c r="BQ29" s="4"/>
      <c r="BR29" s="4"/>
    </row>
    <row r="30" spans="1:70" ht="107.25">
      <c r="A30" s="3"/>
      <c r="B30" s="14"/>
      <c r="C30" s="14" t="s">
        <v>264</v>
      </c>
      <c r="D30" s="62" t="s">
        <v>393</v>
      </c>
      <c r="E30" s="15">
        <v>297</v>
      </c>
      <c r="F30" s="15">
        <v>228</v>
      </c>
      <c r="G30" s="15">
        <v>227</v>
      </c>
      <c r="H30" s="16">
        <f>G30/$F$30</f>
        <v>0.99561403508771928</v>
      </c>
      <c r="I30" s="15">
        <v>227</v>
      </c>
      <c r="J30" s="16">
        <f>G30/$F$30</f>
        <v>0.99561403508771928</v>
      </c>
      <c r="K30" s="15" t="s">
        <v>394</v>
      </c>
      <c r="L30" s="17" t="s">
        <v>395</v>
      </c>
      <c r="M30" s="17" t="s">
        <v>396</v>
      </c>
      <c r="N30" s="31"/>
      <c r="O30" s="25"/>
      <c r="P30" s="3"/>
      <c r="Q30" s="19"/>
      <c r="R30" s="20" t="s">
        <v>77</v>
      </c>
      <c r="S30" s="20"/>
      <c r="T30" s="3"/>
      <c r="U30" s="3"/>
      <c r="V30" s="51"/>
      <c r="W30" s="3"/>
      <c r="X30" s="3"/>
      <c r="Y30" s="3"/>
      <c r="Z30" s="3"/>
      <c r="AA30" s="3"/>
      <c r="AB30" s="3"/>
      <c r="AC30" s="3"/>
      <c r="AD30" s="3"/>
      <c r="AE30" s="3"/>
      <c r="AF30" s="3"/>
      <c r="AG30" s="4"/>
      <c r="AH30" s="4"/>
      <c r="AI30" s="4"/>
      <c r="AJ30" s="4"/>
      <c r="AK30" s="4"/>
      <c r="AL30" s="69"/>
      <c r="AM30" s="70"/>
      <c r="AN30" s="70"/>
      <c r="AO30" s="70"/>
      <c r="AP30" s="71"/>
      <c r="AQ30" s="56"/>
      <c r="AR30" s="57"/>
      <c r="AS30" s="4"/>
      <c r="AT30" s="3"/>
      <c r="AU30" s="56"/>
      <c r="AV30" s="56"/>
      <c r="AW30" s="56"/>
      <c r="AX30" s="57"/>
      <c r="AY30" s="56"/>
      <c r="AZ30" s="57"/>
      <c r="BA30" s="4"/>
      <c r="BB30" s="3"/>
      <c r="BC30" s="56"/>
      <c r="BD30" s="56"/>
      <c r="BE30" s="56"/>
      <c r="BF30" s="57"/>
      <c r="BG30" s="56"/>
      <c r="BH30" s="57"/>
      <c r="BI30" s="4"/>
      <c r="BJ30" s="4"/>
      <c r="BK30" s="4"/>
      <c r="BL30" s="4"/>
      <c r="BM30" s="4"/>
      <c r="BN30" s="4"/>
      <c r="BO30" s="4"/>
      <c r="BP30" s="4"/>
      <c r="BQ30" s="4"/>
      <c r="BR30" s="4"/>
    </row>
    <row r="31" spans="1:70" ht="48">
      <c r="A31" s="3"/>
      <c r="B31" s="14" t="s">
        <v>69</v>
      </c>
      <c r="C31" s="14" t="s">
        <v>70</v>
      </c>
      <c r="D31" s="62" t="s">
        <v>397</v>
      </c>
      <c r="E31" s="15">
        <f>'Modul BNI Direct 20260626'!C14</f>
        <v>12167</v>
      </c>
      <c r="F31" s="15">
        <f>'Modul BNI Direct 20260626'!D14</f>
        <v>7852</v>
      </c>
      <c r="G31" s="15">
        <f>'Modul BNI Direct 20260626'!E14</f>
        <v>5083</v>
      </c>
      <c r="H31" s="16">
        <f t="shared" ref="H31:H32" si="12">$G31/$F31</f>
        <v>0.64735099337748347</v>
      </c>
      <c r="I31" s="15">
        <f>'Modul BNI Direct 20260626'!E14</f>
        <v>5083</v>
      </c>
      <c r="J31" s="16">
        <f>$I31/$F31</f>
        <v>0.64735099337748347</v>
      </c>
      <c r="K31" s="15" t="s">
        <v>398</v>
      </c>
      <c r="L31" s="17" t="s">
        <v>399</v>
      </c>
      <c r="M31" s="17" t="s">
        <v>400</v>
      </c>
      <c r="N31" s="31"/>
      <c r="O31" s="25"/>
      <c r="P31" s="3"/>
      <c r="Q31" s="19"/>
      <c r="R31" s="19"/>
      <c r="S31" s="3"/>
      <c r="T31" s="3"/>
      <c r="U31" s="3"/>
      <c r="V31" s="51"/>
      <c r="W31" s="3"/>
      <c r="X31" s="3"/>
      <c r="Y31" s="3"/>
      <c r="Z31" s="3"/>
      <c r="AA31" s="3"/>
      <c r="AB31" s="3"/>
      <c r="AC31" s="3"/>
      <c r="AD31" s="3"/>
      <c r="AE31" s="3"/>
      <c r="AF31" s="3"/>
      <c r="AG31" s="4"/>
      <c r="AH31" s="4"/>
      <c r="AI31" s="4"/>
      <c r="AJ31" s="4"/>
      <c r="AK31" s="4"/>
      <c r="AL31" s="69"/>
      <c r="AM31" s="70"/>
      <c r="AN31" s="70"/>
      <c r="AO31" s="70"/>
      <c r="AP31" s="71"/>
      <c r="AQ31" s="56"/>
      <c r="AR31" s="57"/>
      <c r="AS31" s="4"/>
      <c r="AT31" s="3"/>
      <c r="AU31" s="56"/>
      <c r="AV31" s="56"/>
      <c r="AW31" s="56"/>
      <c r="AX31" s="57"/>
      <c r="AY31" s="56"/>
      <c r="AZ31" s="57"/>
      <c r="BA31" s="4"/>
      <c r="BB31" s="3"/>
      <c r="BC31" s="56"/>
      <c r="BD31" s="56"/>
      <c r="BE31" s="56"/>
      <c r="BF31" s="57"/>
      <c r="BG31" s="56"/>
      <c r="BH31" s="57"/>
      <c r="BI31" s="4"/>
      <c r="BJ31" s="4"/>
      <c r="BK31" s="4"/>
      <c r="BL31" s="4"/>
      <c r="BM31" s="4"/>
      <c r="BN31" s="4"/>
      <c r="BO31" s="4"/>
      <c r="BP31" s="4"/>
      <c r="BQ31" s="4"/>
      <c r="BR31" s="4"/>
    </row>
    <row r="32" spans="1:70" ht="48">
      <c r="A32" s="3"/>
      <c r="B32" s="14"/>
      <c r="C32" s="14" t="s">
        <v>70</v>
      </c>
      <c r="D32" s="62" t="s">
        <v>401</v>
      </c>
      <c r="E32" s="15">
        <v>102</v>
      </c>
      <c r="F32" s="15">
        <v>102</v>
      </c>
      <c r="G32" s="15">
        <v>102</v>
      </c>
      <c r="H32" s="16">
        <f t="shared" si="12"/>
        <v>1</v>
      </c>
      <c r="I32" s="15">
        <v>102</v>
      </c>
      <c r="J32" s="16">
        <f>$G32/$F32</f>
        <v>1</v>
      </c>
      <c r="K32" s="15" t="s">
        <v>394</v>
      </c>
      <c r="L32" s="17" t="s">
        <v>402</v>
      </c>
      <c r="M32" s="17" t="s">
        <v>403</v>
      </c>
      <c r="N32" s="31"/>
      <c r="O32" s="25"/>
      <c r="P32" s="3"/>
      <c r="Q32" s="19"/>
      <c r="R32" s="19"/>
      <c r="S32" s="3"/>
      <c r="T32" s="3"/>
      <c r="U32" s="3"/>
      <c r="V32" s="51"/>
      <c r="W32" s="3"/>
      <c r="X32" s="3"/>
      <c r="Y32" s="3"/>
      <c r="Z32" s="3"/>
      <c r="AA32" s="3"/>
      <c r="AB32" s="3"/>
      <c r="AC32" s="3"/>
      <c r="AD32" s="3"/>
      <c r="AE32" s="3"/>
      <c r="AF32" s="3"/>
      <c r="AG32" s="4"/>
      <c r="AH32" s="4"/>
      <c r="AI32" s="4"/>
      <c r="AJ32" s="4"/>
      <c r="AK32" s="4"/>
      <c r="AL32" s="69"/>
      <c r="AM32" s="70"/>
      <c r="AN32" s="70"/>
      <c r="AO32" s="70"/>
      <c r="AP32" s="71"/>
      <c r="AQ32" s="56"/>
      <c r="AR32" s="57"/>
      <c r="AS32" s="4"/>
      <c r="AT32" s="3"/>
      <c r="AU32" s="56"/>
      <c r="AV32" s="56"/>
      <c r="AW32" s="56"/>
      <c r="AX32" s="57"/>
      <c r="AY32" s="56"/>
      <c r="AZ32" s="57"/>
      <c r="BA32" s="4"/>
      <c r="BB32" s="3"/>
      <c r="BC32" s="56"/>
      <c r="BD32" s="56"/>
      <c r="BE32" s="56"/>
      <c r="BF32" s="57"/>
      <c r="BG32" s="56"/>
      <c r="BH32" s="57"/>
      <c r="BI32" s="4"/>
      <c r="BJ32" s="4"/>
      <c r="BK32" s="4"/>
      <c r="BL32" s="4"/>
      <c r="BM32" s="4"/>
      <c r="BN32" s="4"/>
      <c r="BO32" s="4"/>
      <c r="BP32" s="4"/>
      <c r="BQ32" s="4"/>
      <c r="BR32" s="4"/>
    </row>
    <row r="33" spans="1:70" ht="48">
      <c r="A33" s="3"/>
      <c r="B33" s="14"/>
      <c r="C33" s="14" t="s">
        <v>264</v>
      </c>
      <c r="D33" s="62" t="s">
        <v>404</v>
      </c>
      <c r="E33" s="15">
        <v>754</v>
      </c>
      <c r="F33" s="15">
        <v>751</v>
      </c>
      <c r="G33" s="15">
        <v>751</v>
      </c>
      <c r="H33" s="16">
        <f t="shared" ref="H33:H41" si="13">G33/F33</f>
        <v>1</v>
      </c>
      <c r="I33" s="15">
        <v>751</v>
      </c>
      <c r="J33" s="16">
        <f>G33/$F33</f>
        <v>1</v>
      </c>
      <c r="K33" s="15" t="s">
        <v>405</v>
      </c>
      <c r="L33" s="17" t="s">
        <v>406</v>
      </c>
      <c r="M33" s="17" t="s">
        <v>407</v>
      </c>
      <c r="N33" s="31"/>
      <c r="O33" s="25" t="s">
        <v>408</v>
      </c>
      <c r="P33" s="3"/>
      <c r="Q33" s="19"/>
      <c r="R33" s="20" t="s">
        <v>77</v>
      </c>
      <c r="S33" s="20"/>
      <c r="T33" s="3"/>
      <c r="U33" s="3"/>
      <c r="V33" s="51"/>
      <c r="W33" s="3"/>
      <c r="X33" s="3"/>
      <c r="Y33" s="3"/>
      <c r="Z33" s="3"/>
      <c r="AA33" s="3"/>
      <c r="AB33" s="3"/>
      <c r="AC33" s="3"/>
      <c r="AD33" s="3"/>
      <c r="AE33" s="3"/>
      <c r="AF33" s="3"/>
      <c r="AG33" s="4"/>
      <c r="AH33" s="4"/>
      <c r="AI33" s="4"/>
      <c r="AJ33" s="4"/>
      <c r="AK33" s="4"/>
      <c r="AL33" s="69"/>
      <c r="AM33" s="70"/>
      <c r="AN33" s="70"/>
      <c r="AO33" s="70"/>
      <c r="AP33" s="71"/>
      <c r="AQ33" s="56"/>
      <c r="AR33" s="57"/>
      <c r="AS33" s="4"/>
      <c r="AT33" s="3"/>
      <c r="AU33" s="56"/>
      <c r="AV33" s="56"/>
      <c r="AW33" s="56"/>
      <c r="AX33" s="57"/>
      <c r="AY33" s="56"/>
      <c r="AZ33" s="57"/>
      <c r="BA33" s="4"/>
      <c r="BB33" s="3"/>
      <c r="BC33" s="56"/>
      <c r="BD33" s="56"/>
      <c r="BE33" s="56"/>
      <c r="BF33" s="57"/>
      <c r="BG33" s="56"/>
      <c r="BH33" s="57"/>
      <c r="BI33" s="4"/>
      <c r="BJ33" s="4"/>
      <c r="BK33" s="4"/>
      <c r="BL33" s="4"/>
      <c r="BM33" s="4"/>
      <c r="BN33" s="4"/>
      <c r="BO33" s="4"/>
      <c r="BP33" s="4"/>
      <c r="BQ33" s="4"/>
      <c r="BR33" s="4"/>
    </row>
    <row r="34" spans="1:70" ht="48">
      <c r="A34" s="3"/>
      <c r="B34" s="14"/>
      <c r="C34" s="14" t="s">
        <v>264</v>
      </c>
      <c r="D34" s="62" t="s">
        <v>409</v>
      </c>
      <c r="E34" s="15">
        <v>499</v>
      </c>
      <c r="F34" s="15">
        <v>467</v>
      </c>
      <c r="G34" s="15">
        <v>457</v>
      </c>
      <c r="H34" s="16">
        <f t="shared" si="13"/>
        <v>0.97858672376873657</v>
      </c>
      <c r="I34" s="15">
        <v>457</v>
      </c>
      <c r="J34" s="16">
        <f t="shared" ref="J34:J36" si="14">G34/F34</f>
        <v>0.97858672376873657</v>
      </c>
      <c r="K34" s="15" t="s">
        <v>405</v>
      </c>
      <c r="L34" s="17" t="s">
        <v>410</v>
      </c>
      <c r="M34" s="17" t="s">
        <v>384</v>
      </c>
      <c r="N34" s="31"/>
      <c r="O34" s="25" t="s">
        <v>411</v>
      </c>
      <c r="P34" s="3"/>
      <c r="Q34" s="19"/>
      <c r="R34" s="20" t="s">
        <v>77</v>
      </c>
      <c r="S34" s="20"/>
      <c r="T34" s="3"/>
      <c r="U34" s="3"/>
      <c r="V34" s="51"/>
      <c r="W34" s="3"/>
      <c r="X34" s="3"/>
      <c r="Y34" s="3"/>
      <c r="Z34" s="3"/>
      <c r="AA34" s="3"/>
      <c r="AB34" s="3"/>
      <c r="AC34" s="3"/>
      <c r="AD34" s="3"/>
      <c r="AE34" s="3"/>
      <c r="AF34" s="3"/>
      <c r="AG34" s="4"/>
      <c r="AH34" s="4"/>
      <c r="AI34" s="4"/>
      <c r="AJ34" s="4"/>
      <c r="AK34" s="4"/>
      <c r="AL34" s="69"/>
      <c r="AM34" s="70"/>
      <c r="AN34" s="70"/>
      <c r="AO34" s="70"/>
      <c r="AP34" s="71"/>
      <c r="AQ34" s="56"/>
      <c r="AR34" s="57"/>
      <c r="AS34" s="4"/>
      <c r="AT34" s="3"/>
      <c r="AU34" s="56"/>
      <c r="AV34" s="56"/>
      <c r="AW34" s="56"/>
      <c r="AX34" s="57"/>
      <c r="AY34" s="56"/>
      <c r="AZ34" s="57"/>
      <c r="BA34" s="4"/>
      <c r="BB34" s="3"/>
      <c r="BC34" s="56"/>
      <c r="BD34" s="56"/>
      <c r="BE34" s="56"/>
      <c r="BF34" s="57"/>
      <c r="BG34" s="56"/>
      <c r="BH34" s="57"/>
      <c r="BI34" s="4"/>
      <c r="BJ34" s="4"/>
      <c r="BK34" s="4"/>
      <c r="BL34" s="4"/>
      <c r="BM34" s="4"/>
      <c r="BN34" s="4"/>
      <c r="BO34" s="4"/>
      <c r="BP34" s="4"/>
      <c r="BQ34" s="4"/>
      <c r="BR34" s="4"/>
    </row>
    <row r="35" spans="1:70" ht="48">
      <c r="A35" s="3"/>
      <c r="B35" s="14"/>
      <c r="C35" s="14" t="s">
        <v>264</v>
      </c>
      <c r="D35" s="62" t="s">
        <v>412</v>
      </c>
      <c r="E35" s="15">
        <v>514</v>
      </c>
      <c r="F35" s="15">
        <v>468</v>
      </c>
      <c r="G35" s="15">
        <v>468</v>
      </c>
      <c r="H35" s="16">
        <f t="shared" si="13"/>
        <v>1</v>
      </c>
      <c r="I35" s="15">
        <v>468</v>
      </c>
      <c r="J35" s="16">
        <f t="shared" si="14"/>
        <v>1</v>
      </c>
      <c r="K35" s="15" t="s">
        <v>376</v>
      </c>
      <c r="L35" s="17" t="s">
        <v>413</v>
      </c>
      <c r="M35" s="17" t="s">
        <v>384</v>
      </c>
      <c r="N35" s="31"/>
      <c r="O35" s="25" t="s">
        <v>414</v>
      </c>
      <c r="P35" s="3"/>
      <c r="Q35" s="19"/>
      <c r="R35" s="20" t="s">
        <v>77</v>
      </c>
      <c r="S35" s="20"/>
      <c r="T35" s="3"/>
      <c r="U35" s="3"/>
      <c r="V35" s="51"/>
      <c r="W35" s="3"/>
      <c r="X35" s="3"/>
      <c r="Y35" s="3"/>
      <c r="Z35" s="3"/>
      <c r="AA35" s="3"/>
      <c r="AB35" s="3"/>
      <c r="AC35" s="3"/>
      <c r="AD35" s="3"/>
      <c r="AE35" s="3"/>
      <c r="AF35" s="3"/>
      <c r="AG35" s="4"/>
      <c r="AH35" s="4"/>
      <c r="AI35" s="4"/>
      <c r="AJ35" s="4"/>
      <c r="AK35" s="4"/>
      <c r="AL35" s="69"/>
      <c r="AM35" s="70"/>
      <c r="AN35" s="70"/>
      <c r="AO35" s="70"/>
      <c r="AP35" s="71"/>
      <c r="AQ35" s="56"/>
      <c r="AR35" s="57"/>
      <c r="AS35" s="4"/>
      <c r="AT35" s="3"/>
      <c r="AU35" s="56"/>
      <c r="AV35" s="56"/>
      <c r="AW35" s="56"/>
      <c r="AX35" s="57"/>
      <c r="AY35" s="56"/>
      <c r="AZ35" s="57"/>
      <c r="BA35" s="4"/>
      <c r="BB35" s="3"/>
      <c r="BC35" s="56"/>
      <c r="BD35" s="56"/>
      <c r="BE35" s="56"/>
      <c r="BF35" s="57"/>
      <c r="BG35" s="56"/>
      <c r="BH35" s="57"/>
      <c r="BI35" s="4"/>
      <c r="BJ35" s="4"/>
      <c r="BK35" s="4"/>
      <c r="BL35" s="4"/>
      <c r="BM35" s="4"/>
      <c r="BN35" s="4"/>
      <c r="BO35" s="4"/>
      <c r="BP35" s="4"/>
      <c r="BQ35" s="4"/>
      <c r="BR35" s="4"/>
    </row>
    <row r="36" spans="1:70" ht="48">
      <c r="A36" s="3"/>
      <c r="B36" s="14"/>
      <c r="C36" s="14" t="s">
        <v>257</v>
      </c>
      <c r="D36" s="62" t="s">
        <v>415</v>
      </c>
      <c r="E36" s="15">
        <v>1151</v>
      </c>
      <c r="F36" s="15">
        <v>1125</v>
      </c>
      <c r="G36" s="15">
        <v>864</v>
      </c>
      <c r="H36" s="16">
        <f t="shared" si="13"/>
        <v>0.76800000000000002</v>
      </c>
      <c r="I36" s="15">
        <v>864</v>
      </c>
      <c r="J36" s="16">
        <f t="shared" si="14"/>
        <v>0.76800000000000002</v>
      </c>
      <c r="K36" s="582" t="s">
        <v>416</v>
      </c>
      <c r="L36" s="17" t="s">
        <v>417</v>
      </c>
      <c r="M36" s="17" t="s">
        <v>418</v>
      </c>
      <c r="N36" s="31"/>
      <c r="O36" s="25" t="s">
        <v>419</v>
      </c>
      <c r="P36" s="3"/>
      <c r="Q36" s="19"/>
      <c r="R36" s="19"/>
      <c r="S36" s="3"/>
      <c r="T36" s="3"/>
      <c r="U36" s="3"/>
      <c r="V36" s="51"/>
      <c r="W36" s="3"/>
      <c r="X36" s="3"/>
      <c r="Y36" s="3"/>
      <c r="Z36" s="3"/>
      <c r="AA36" s="3"/>
      <c r="AB36" s="3"/>
      <c r="AC36" s="3"/>
      <c r="AD36" s="3"/>
      <c r="AE36" s="3"/>
      <c r="AF36" s="3"/>
      <c r="AG36" s="4"/>
      <c r="AH36" s="4"/>
      <c r="AI36" s="4"/>
      <c r="AJ36" s="4"/>
      <c r="AK36" s="4"/>
      <c r="AL36" s="69"/>
      <c r="AM36" s="70"/>
      <c r="AN36" s="70"/>
      <c r="AO36" s="70"/>
      <c r="AP36" s="71"/>
      <c r="AQ36" s="56"/>
      <c r="AR36" s="57"/>
      <c r="AS36" s="4"/>
      <c r="AT36" s="3"/>
      <c r="AU36" s="56"/>
      <c r="AV36" s="56"/>
      <c r="AW36" s="56"/>
      <c r="AX36" s="57"/>
      <c r="AY36" s="56"/>
      <c r="AZ36" s="57"/>
      <c r="BA36" s="4"/>
      <c r="BB36" s="3"/>
      <c r="BC36" s="56"/>
      <c r="BD36" s="56"/>
      <c r="BE36" s="56"/>
      <c r="BF36" s="57"/>
      <c r="BG36" s="56"/>
      <c r="BH36" s="57"/>
      <c r="BI36" s="4"/>
      <c r="BJ36" s="4"/>
      <c r="BK36" s="4"/>
      <c r="BL36" s="4"/>
      <c r="BM36" s="4"/>
      <c r="BN36" s="4"/>
      <c r="BO36" s="4"/>
      <c r="BP36" s="4"/>
      <c r="BQ36" s="4"/>
      <c r="BR36" s="4"/>
    </row>
    <row r="37" spans="1:70" ht="48">
      <c r="A37" s="3"/>
      <c r="B37" s="14"/>
      <c r="C37" s="14" t="s">
        <v>264</v>
      </c>
      <c r="D37" s="62" t="s">
        <v>420</v>
      </c>
      <c r="E37" s="15">
        <v>38</v>
      </c>
      <c r="F37" s="15">
        <v>38</v>
      </c>
      <c r="G37" s="15">
        <v>38</v>
      </c>
      <c r="H37" s="16">
        <f t="shared" si="13"/>
        <v>1</v>
      </c>
      <c r="I37" s="15">
        <v>38</v>
      </c>
      <c r="J37" s="16">
        <f t="shared" ref="J37:J40" si="15">G37/$F37</f>
        <v>1</v>
      </c>
      <c r="K37" s="15" t="s">
        <v>405</v>
      </c>
      <c r="L37" s="508" t="s">
        <v>421</v>
      </c>
      <c r="M37" s="31"/>
      <c r="N37" s="31"/>
      <c r="O37" s="25"/>
      <c r="P37" s="3"/>
      <c r="Q37" s="19"/>
      <c r="R37" s="19"/>
      <c r="S37" s="3"/>
      <c r="T37" s="3"/>
      <c r="U37" s="3"/>
      <c r="V37" s="51"/>
      <c r="W37" s="3"/>
      <c r="X37" s="3"/>
      <c r="Y37" s="3"/>
      <c r="Z37" s="3"/>
      <c r="AA37" s="3"/>
      <c r="AB37" s="3"/>
      <c r="AC37" s="3"/>
      <c r="AD37" s="3"/>
      <c r="AE37" s="3"/>
      <c r="AF37" s="3"/>
      <c r="AG37" s="4"/>
      <c r="AH37" s="4"/>
      <c r="AI37" s="4"/>
      <c r="AJ37" s="4"/>
      <c r="AK37" s="4"/>
      <c r="AL37" s="69"/>
      <c r="AM37" s="70"/>
      <c r="AN37" s="70"/>
      <c r="AO37" s="70"/>
      <c r="AP37" s="71"/>
      <c r="AQ37" s="56"/>
      <c r="AR37" s="57"/>
      <c r="AS37" s="4"/>
      <c r="AT37" s="3"/>
      <c r="AU37" s="56"/>
      <c r="AV37" s="56"/>
      <c r="AW37" s="56"/>
      <c r="AX37" s="57"/>
      <c r="AY37" s="56"/>
      <c r="AZ37" s="57"/>
      <c r="BA37" s="4"/>
      <c r="BB37" s="3"/>
      <c r="BC37" s="56"/>
      <c r="BD37" s="56"/>
      <c r="BE37" s="56"/>
      <c r="BF37" s="57"/>
      <c r="BG37" s="56"/>
      <c r="BH37" s="57"/>
      <c r="BI37" s="4"/>
      <c r="BJ37" s="4"/>
      <c r="BK37" s="4"/>
      <c r="BL37" s="4"/>
      <c r="BM37" s="4"/>
      <c r="BN37" s="4"/>
      <c r="BO37" s="4"/>
      <c r="BP37" s="4"/>
      <c r="BQ37" s="4"/>
      <c r="BR37" s="4"/>
    </row>
    <row r="38" spans="1:70" ht="48">
      <c r="A38" s="3"/>
      <c r="B38" s="14"/>
      <c r="C38" s="14" t="s">
        <v>264</v>
      </c>
      <c r="D38" s="62" t="s">
        <v>422</v>
      </c>
      <c r="E38" s="15">
        <v>38</v>
      </c>
      <c r="F38" s="15">
        <v>38</v>
      </c>
      <c r="G38" s="15">
        <v>38</v>
      </c>
      <c r="H38" s="16">
        <f t="shared" si="13"/>
        <v>1</v>
      </c>
      <c r="I38" s="15">
        <v>38</v>
      </c>
      <c r="J38" s="16">
        <f t="shared" si="15"/>
        <v>1</v>
      </c>
      <c r="K38" s="15" t="s">
        <v>405</v>
      </c>
      <c r="L38" s="17" t="s">
        <v>423</v>
      </c>
      <c r="M38" s="17" t="s">
        <v>424</v>
      </c>
      <c r="N38" s="31"/>
      <c r="O38" s="25"/>
      <c r="P38" s="3"/>
      <c r="Q38" s="19"/>
      <c r="R38" s="19"/>
      <c r="S38" s="3"/>
      <c r="T38" s="3"/>
      <c r="U38" s="3"/>
      <c r="V38" s="51"/>
      <c r="W38" s="3"/>
      <c r="X38" s="3"/>
      <c r="Y38" s="3"/>
      <c r="Z38" s="3"/>
      <c r="AA38" s="3"/>
      <c r="AB38" s="3"/>
      <c r="AC38" s="3"/>
      <c r="AD38" s="3"/>
      <c r="AE38" s="3"/>
      <c r="AF38" s="3"/>
      <c r="AG38" s="4"/>
      <c r="AH38" s="4"/>
      <c r="AI38" s="4"/>
      <c r="AJ38" s="4"/>
      <c r="AK38" s="4"/>
      <c r="AL38" s="69"/>
      <c r="AM38" s="70"/>
      <c r="AN38" s="70"/>
      <c r="AO38" s="70"/>
      <c r="AP38" s="71"/>
      <c r="AQ38" s="56"/>
      <c r="AR38" s="57"/>
      <c r="AS38" s="4"/>
      <c r="AT38" s="3"/>
      <c r="AU38" s="56"/>
      <c r="AV38" s="56"/>
      <c r="AW38" s="56"/>
      <c r="AX38" s="57"/>
      <c r="AY38" s="56"/>
      <c r="AZ38" s="57"/>
      <c r="BA38" s="4"/>
      <c r="BB38" s="3"/>
      <c r="BC38" s="56"/>
      <c r="BD38" s="56"/>
      <c r="BE38" s="56"/>
      <c r="BF38" s="57"/>
      <c r="BG38" s="56"/>
      <c r="BH38" s="57"/>
      <c r="BI38" s="4"/>
      <c r="BJ38" s="4"/>
      <c r="BK38" s="4"/>
      <c r="BL38" s="4"/>
      <c r="BM38" s="4"/>
      <c r="BN38" s="4"/>
      <c r="BO38" s="4"/>
      <c r="BP38" s="4"/>
      <c r="BQ38" s="4"/>
      <c r="BR38" s="4"/>
    </row>
    <row r="39" spans="1:70" ht="14.25">
      <c r="A39" s="3"/>
      <c r="B39" s="14"/>
      <c r="C39" s="14" t="s">
        <v>264</v>
      </c>
      <c r="D39" s="62" t="s">
        <v>425</v>
      </c>
      <c r="E39" s="15">
        <v>1169</v>
      </c>
      <c r="F39" s="15">
        <v>1074</v>
      </c>
      <c r="G39" s="15">
        <v>997</v>
      </c>
      <c r="H39" s="16">
        <f t="shared" si="13"/>
        <v>0.92830540037243947</v>
      </c>
      <c r="I39" s="15">
        <v>997</v>
      </c>
      <c r="J39" s="16">
        <f t="shared" si="15"/>
        <v>0.92830540037243947</v>
      </c>
      <c r="K39" s="15" t="s">
        <v>64</v>
      </c>
      <c r="L39" s="31"/>
      <c r="M39" s="31"/>
      <c r="N39" s="78"/>
      <c r="O39" s="3"/>
      <c r="P39" s="3"/>
      <c r="Q39" s="19"/>
      <c r="R39" s="19"/>
      <c r="S39" s="3"/>
      <c r="T39" s="3"/>
      <c r="U39" s="3"/>
      <c r="V39" s="51"/>
      <c r="W39" s="3"/>
      <c r="X39" s="3"/>
      <c r="Y39" s="3"/>
      <c r="Z39" s="3"/>
      <c r="AA39" s="3"/>
      <c r="AB39" s="3"/>
      <c r="AC39" s="3"/>
      <c r="AD39" s="3"/>
      <c r="AE39" s="3"/>
      <c r="AF39" s="3"/>
      <c r="AG39" s="4"/>
      <c r="AH39" s="4"/>
      <c r="AI39" s="4"/>
      <c r="AJ39" s="4"/>
      <c r="AK39" s="4"/>
      <c r="AL39" s="69"/>
      <c r="AM39" s="70"/>
      <c r="AN39" s="70"/>
      <c r="AO39" s="70"/>
      <c r="AP39" s="71"/>
      <c r="AQ39" s="56"/>
      <c r="AR39" s="57"/>
      <c r="AS39" s="4"/>
      <c r="AT39" s="3"/>
      <c r="AU39" s="56"/>
      <c r="AV39" s="56"/>
      <c r="AW39" s="56"/>
      <c r="AX39" s="57"/>
      <c r="AY39" s="56"/>
      <c r="AZ39" s="57"/>
      <c r="BA39" s="4"/>
      <c r="BB39" s="3"/>
      <c r="BC39" s="56"/>
      <c r="BD39" s="56"/>
      <c r="BE39" s="56"/>
      <c r="BF39" s="57"/>
      <c r="BG39" s="56"/>
      <c r="BH39" s="57"/>
      <c r="BI39" s="4"/>
      <c r="BJ39" s="4"/>
      <c r="BK39" s="4"/>
      <c r="BL39" s="4"/>
      <c r="BM39" s="4"/>
      <c r="BN39" s="4"/>
      <c r="BO39" s="4"/>
      <c r="BP39" s="4"/>
      <c r="BQ39" s="4"/>
      <c r="BR39" s="4"/>
    </row>
    <row r="40" spans="1:70" ht="14.25">
      <c r="A40" s="3"/>
      <c r="B40" s="14"/>
      <c r="C40" s="14" t="s">
        <v>264</v>
      </c>
      <c r="D40" s="62" t="s">
        <v>428</v>
      </c>
      <c r="E40" s="15">
        <v>1410</v>
      </c>
      <c r="F40" s="15">
        <v>1410</v>
      </c>
      <c r="G40" s="15">
        <v>217</v>
      </c>
      <c r="H40" s="16">
        <f t="shared" si="13"/>
        <v>0.15390070921985816</v>
      </c>
      <c r="I40" s="15">
        <v>217</v>
      </c>
      <c r="J40" s="16">
        <f t="shared" si="15"/>
        <v>0.15390070921985816</v>
      </c>
      <c r="K40" s="15" t="s">
        <v>64</v>
      </c>
      <c r="L40" s="31"/>
      <c r="M40" s="31"/>
      <c r="N40" s="78"/>
      <c r="O40" s="3"/>
      <c r="P40" s="3"/>
      <c r="Q40" s="19"/>
      <c r="R40" s="19"/>
      <c r="S40" s="3"/>
      <c r="T40" s="3"/>
      <c r="U40" s="3"/>
      <c r="V40" s="51"/>
      <c r="W40" s="3"/>
      <c r="X40" s="3"/>
      <c r="Y40" s="3"/>
      <c r="Z40" s="3"/>
      <c r="AA40" s="3"/>
      <c r="AB40" s="3"/>
      <c r="AC40" s="3"/>
      <c r="AD40" s="3"/>
      <c r="AE40" s="3"/>
      <c r="AF40" s="3"/>
      <c r="AG40" s="4"/>
      <c r="AH40" s="4"/>
      <c r="AI40" s="4"/>
      <c r="AJ40" s="4"/>
      <c r="AK40" s="4"/>
      <c r="AL40" s="69"/>
      <c r="AM40" s="70"/>
      <c r="AN40" s="70"/>
      <c r="AO40" s="70"/>
      <c r="AP40" s="71"/>
      <c r="AQ40" s="56"/>
      <c r="AR40" s="57"/>
      <c r="AS40" s="4"/>
      <c r="AT40" s="3"/>
      <c r="AU40" s="56"/>
      <c r="AV40" s="56"/>
      <c r="AW40" s="56"/>
      <c r="AX40" s="57"/>
      <c r="AY40" s="56"/>
      <c r="AZ40" s="57"/>
      <c r="BA40" s="4"/>
      <c r="BB40" s="3"/>
      <c r="BC40" s="56"/>
      <c r="BD40" s="56"/>
      <c r="BE40" s="56"/>
      <c r="BF40" s="57"/>
      <c r="BG40" s="56"/>
      <c r="BH40" s="57"/>
      <c r="BI40" s="4"/>
      <c r="BJ40" s="4"/>
      <c r="BK40" s="4"/>
      <c r="BL40" s="4"/>
      <c r="BM40" s="4"/>
      <c r="BN40" s="4"/>
      <c r="BO40" s="4"/>
      <c r="BP40" s="4"/>
      <c r="BQ40" s="4"/>
      <c r="BR40" s="4"/>
    </row>
    <row r="41" spans="1:70" ht="48">
      <c r="A41" s="3"/>
      <c r="B41" s="14"/>
      <c r="C41" s="14"/>
      <c r="D41" s="62" t="s">
        <v>429</v>
      </c>
      <c r="E41" s="15">
        <v>448</v>
      </c>
      <c r="F41" s="15">
        <v>362</v>
      </c>
      <c r="G41" s="580">
        <v>362</v>
      </c>
      <c r="H41" s="587">
        <f>G41/F41</f>
        <v>1</v>
      </c>
      <c r="I41" s="580">
        <v>362</v>
      </c>
      <c r="J41" s="587">
        <f>I41/F41</f>
        <v>1</v>
      </c>
      <c r="K41" s="581">
        <v>46113</v>
      </c>
      <c r="L41" s="17" t="s">
        <v>430</v>
      </c>
      <c r="M41" s="17" t="s">
        <v>431</v>
      </c>
      <c r="N41" s="78"/>
      <c r="O41" s="3" t="s">
        <v>432</v>
      </c>
      <c r="P41" s="3"/>
      <c r="Q41" s="19"/>
      <c r="R41" s="19"/>
      <c r="S41" s="3"/>
      <c r="T41" s="3"/>
      <c r="U41" s="3"/>
      <c r="V41" s="51"/>
      <c r="W41" s="3"/>
      <c r="X41" s="3"/>
      <c r="Y41" s="3"/>
      <c r="Z41" s="3"/>
      <c r="AA41" s="3"/>
      <c r="AB41" s="3"/>
      <c r="AC41" s="3"/>
      <c r="AD41" s="3"/>
      <c r="AE41" s="3"/>
      <c r="AF41" s="3"/>
      <c r="AG41" s="4"/>
      <c r="AH41" s="4"/>
      <c r="AI41" s="4"/>
      <c r="AJ41" s="4"/>
      <c r="AK41" s="4"/>
      <c r="AL41" s="69"/>
      <c r="AM41" s="70"/>
      <c r="AN41" s="70"/>
      <c r="AO41" s="70"/>
      <c r="AP41" s="71"/>
      <c r="AQ41" s="56"/>
      <c r="AR41" s="57"/>
      <c r="AS41" s="4"/>
      <c r="AT41" s="3"/>
      <c r="AU41" s="56"/>
      <c r="AV41" s="56"/>
      <c r="AW41" s="56"/>
      <c r="AX41" s="57"/>
      <c r="AY41" s="56"/>
      <c r="AZ41" s="57"/>
      <c r="BA41" s="4"/>
      <c r="BB41" s="3"/>
      <c r="BC41" s="56"/>
      <c r="BD41" s="56"/>
      <c r="BE41" s="56"/>
      <c r="BF41" s="57"/>
      <c r="BG41" s="56"/>
      <c r="BH41" s="57"/>
      <c r="BI41" s="4"/>
      <c r="BJ41" s="4"/>
      <c r="BK41" s="4"/>
      <c r="BL41" s="4"/>
      <c r="BM41" s="4"/>
      <c r="BN41" s="4"/>
      <c r="BO41" s="4"/>
      <c r="BP41" s="4"/>
      <c r="BQ41" s="4"/>
      <c r="BR41" s="4"/>
    </row>
    <row r="42" spans="1:70" ht="77.25" customHeight="1">
      <c r="A42" s="3"/>
      <c r="B42" s="14"/>
      <c r="C42" s="14"/>
      <c r="D42" s="579" t="s">
        <v>433</v>
      </c>
      <c r="E42" s="580">
        <v>1123</v>
      </c>
      <c r="F42" s="585">
        <v>1000</v>
      </c>
      <c r="G42" s="15">
        <v>135</v>
      </c>
      <c r="H42" s="16">
        <f>G42/F42</f>
        <v>0.13500000000000001</v>
      </c>
      <c r="I42" s="15">
        <v>135</v>
      </c>
      <c r="J42" s="16">
        <f>I42/F42</f>
        <v>0.13500000000000001</v>
      </c>
      <c r="K42" s="586">
        <v>46174</v>
      </c>
      <c r="L42" s="584" t="s">
        <v>434</v>
      </c>
      <c r="M42" s="17"/>
      <c r="N42" s="588" t="s">
        <v>435</v>
      </c>
      <c r="O42" s="3"/>
      <c r="P42" s="3"/>
      <c r="Q42" s="19"/>
      <c r="R42" s="19"/>
      <c r="S42" s="3"/>
      <c r="T42" s="3"/>
      <c r="U42" s="3"/>
      <c r="V42" s="51"/>
      <c r="W42" s="3"/>
      <c r="X42" s="3"/>
      <c r="Y42" s="3"/>
      <c r="Z42" s="3"/>
      <c r="AA42" s="3"/>
      <c r="AB42" s="3"/>
      <c r="AC42" s="3"/>
      <c r="AD42" s="3"/>
      <c r="AE42" s="3"/>
      <c r="AF42" s="3"/>
      <c r="AG42" s="4"/>
      <c r="AH42" s="4"/>
      <c r="AI42" s="4"/>
      <c r="AJ42" s="4"/>
      <c r="AK42" s="4"/>
      <c r="AL42" s="69"/>
      <c r="AM42" s="70"/>
      <c r="AN42" s="70"/>
      <c r="AO42" s="70"/>
      <c r="AP42" s="71"/>
      <c r="AQ42" s="56"/>
      <c r="AR42" s="57"/>
      <c r="AS42" s="4"/>
      <c r="AT42" s="3"/>
      <c r="AU42" s="56"/>
      <c r="AV42" s="56"/>
      <c r="AW42" s="56"/>
      <c r="AX42" s="57"/>
      <c r="AY42" s="56"/>
      <c r="AZ42" s="57"/>
      <c r="BA42" s="4"/>
      <c r="BB42" s="3"/>
      <c r="BC42" s="56"/>
      <c r="BD42" s="56"/>
      <c r="BE42" s="56"/>
      <c r="BF42" s="57"/>
      <c r="BG42" s="56"/>
      <c r="BH42" s="57"/>
      <c r="BI42" s="4"/>
      <c r="BJ42" s="4"/>
      <c r="BK42" s="4"/>
      <c r="BL42" s="4"/>
      <c r="BM42" s="4"/>
      <c r="BN42" s="4"/>
      <c r="BO42" s="4"/>
      <c r="BP42" s="4"/>
      <c r="BQ42" s="4"/>
      <c r="BR42" s="4"/>
    </row>
    <row r="43" spans="1:70" ht="14.25">
      <c r="A43" s="3"/>
      <c r="B43" s="6"/>
      <c r="C43" s="6"/>
      <c r="D43" s="654" t="s">
        <v>436</v>
      </c>
      <c r="E43" s="654">
        <f>SUM(E6:E42)</f>
        <v>30971</v>
      </c>
      <c r="F43" s="654">
        <f>SUM(F6:F42)</f>
        <v>25684</v>
      </c>
      <c r="G43" s="657">
        <f>SUM(G6:G42)</f>
        <v>19305</v>
      </c>
      <c r="H43" s="772"/>
      <c r="I43" s="657">
        <f>SUM(I6:I42)</f>
        <v>19287</v>
      </c>
      <c r="J43" s="772"/>
      <c r="K43" s="79"/>
      <c r="L43" s="79"/>
      <c r="M43" s="79"/>
      <c r="N43" s="2"/>
      <c r="O43" s="3"/>
      <c r="P43" s="3"/>
      <c r="Q43" s="3"/>
      <c r="R43" s="3"/>
      <c r="S43" s="3"/>
      <c r="T43" s="3"/>
      <c r="U43" s="3"/>
      <c r="V43" s="51"/>
      <c r="W43" s="3"/>
      <c r="X43" s="3"/>
      <c r="Y43" s="3"/>
      <c r="Z43" s="3"/>
      <c r="AA43" s="3"/>
      <c r="AB43" s="3"/>
      <c r="AC43" s="3"/>
      <c r="AD43" s="3"/>
      <c r="AE43" s="3"/>
      <c r="AF43" s="3"/>
      <c r="AG43" s="4"/>
      <c r="AH43" s="4"/>
      <c r="AI43" s="4"/>
      <c r="AJ43" s="4"/>
      <c r="AK43" s="4"/>
      <c r="AL43" s="69"/>
      <c r="AM43" s="70"/>
      <c r="AN43" s="70"/>
      <c r="AO43" s="70"/>
      <c r="AP43" s="80"/>
      <c r="AQ43" s="4"/>
      <c r="AR43" s="4"/>
      <c r="AS43" s="4"/>
      <c r="AT43" s="4"/>
      <c r="AU43" s="4"/>
      <c r="AV43" s="4"/>
      <c r="AW43" s="4"/>
      <c r="AX43" s="4"/>
      <c r="AY43" s="4"/>
      <c r="AZ43" s="4"/>
      <c r="BA43" s="4"/>
      <c r="BB43" s="4"/>
      <c r="BC43" s="5"/>
      <c r="BD43" s="4"/>
      <c r="BE43" s="4"/>
      <c r="BF43" s="4"/>
      <c r="BG43" s="4"/>
      <c r="BH43" s="4"/>
      <c r="BI43" s="4"/>
      <c r="BJ43" s="4"/>
      <c r="BK43" s="4"/>
      <c r="BL43" s="4"/>
      <c r="BM43" s="4"/>
      <c r="BN43" s="4"/>
      <c r="BO43" s="4"/>
      <c r="BP43" s="4"/>
      <c r="BQ43" s="4"/>
      <c r="BR43" s="4"/>
    </row>
    <row r="44" spans="1:70" ht="14.25">
      <c r="A44" s="3"/>
      <c r="B44" s="6"/>
      <c r="C44" s="6"/>
      <c r="D44" s="773"/>
      <c r="E44" s="773"/>
      <c r="F44" s="773"/>
      <c r="G44" s="661">
        <f>G43/F43</f>
        <v>0.75163525930540409</v>
      </c>
      <c r="H44" s="770"/>
      <c r="I44" s="661">
        <f>I43/F43</f>
        <v>0.75093443388880232</v>
      </c>
      <c r="J44" s="770"/>
      <c r="K44" s="81"/>
      <c r="L44" s="81"/>
      <c r="M44" s="81"/>
      <c r="N44" s="82"/>
      <c r="O44" s="3"/>
      <c r="P44" s="3"/>
      <c r="Q44" s="3"/>
      <c r="R44" s="3"/>
      <c r="S44" s="3"/>
      <c r="T44" s="3"/>
      <c r="U44" s="3"/>
      <c r="V44" s="51"/>
      <c r="W44" s="3"/>
      <c r="X44" s="3"/>
      <c r="Y44" s="3"/>
      <c r="Z44" s="3"/>
      <c r="AA44" s="3"/>
      <c r="AB44" s="3"/>
      <c r="AC44" s="3"/>
      <c r="AD44" s="3"/>
      <c r="AE44" s="3"/>
      <c r="AF44" s="3"/>
      <c r="AG44" s="4"/>
      <c r="AH44" s="4"/>
      <c r="AI44" s="4"/>
      <c r="AJ44" s="4"/>
      <c r="AK44" s="4"/>
      <c r="AL44" s="69"/>
      <c r="AM44" s="70"/>
      <c r="AN44" s="70"/>
      <c r="AO44" s="70"/>
      <c r="AP44" s="80"/>
      <c r="AQ44" s="4"/>
      <c r="AR44" s="4"/>
      <c r="AS44" s="4"/>
      <c r="AT44" s="4"/>
      <c r="AU44" s="4"/>
      <c r="AV44" s="4"/>
      <c r="AW44" s="4"/>
      <c r="AX44" s="4"/>
      <c r="AY44" s="4"/>
      <c r="AZ44" s="4"/>
      <c r="BA44" s="4"/>
      <c r="BB44" s="4"/>
      <c r="BC44" s="5"/>
      <c r="BD44" s="4"/>
      <c r="BE44" s="4"/>
      <c r="BF44" s="4"/>
      <c r="BG44" s="4"/>
      <c r="BH44" s="4"/>
      <c r="BI44" s="4"/>
      <c r="BJ44" s="4"/>
      <c r="BK44" s="4"/>
      <c r="BL44" s="4"/>
      <c r="BM44" s="4"/>
      <c r="BN44" s="4"/>
      <c r="BO44" s="4"/>
      <c r="BP44" s="4"/>
      <c r="BQ44" s="4"/>
      <c r="BR44" s="4"/>
    </row>
    <row r="45" spans="1:70" ht="14.25">
      <c r="A45" s="3"/>
      <c r="B45" s="3"/>
      <c r="C45" s="3"/>
      <c r="D45" s="3"/>
      <c r="E45" s="3"/>
      <c r="F45" s="3"/>
      <c r="G45" s="3"/>
      <c r="H45" s="3"/>
      <c r="I45" s="3"/>
      <c r="J45" s="3"/>
      <c r="K45" s="3"/>
      <c r="L45" s="3"/>
      <c r="M45" s="3"/>
      <c r="N45" s="3"/>
      <c r="O45" s="3"/>
      <c r="P45" s="3"/>
      <c r="Q45" s="3"/>
      <c r="R45" s="3"/>
      <c r="S45" s="3"/>
      <c r="T45" s="3"/>
      <c r="U45" s="3"/>
      <c r="V45" s="51"/>
      <c r="W45" s="3"/>
      <c r="X45" s="3"/>
      <c r="Y45" s="3"/>
      <c r="Z45" s="3"/>
      <c r="AA45" s="3"/>
      <c r="AB45" s="3"/>
      <c r="AC45" s="3"/>
      <c r="AD45" s="3"/>
      <c r="AE45" s="3"/>
      <c r="AF45" s="3"/>
      <c r="AG45" s="4"/>
      <c r="AH45" s="4"/>
      <c r="AI45" s="4"/>
      <c r="AJ45" s="4"/>
      <c r="AK45" s="4"/>
      <c r="AL45" s="69"/>
      <c r="AM45" s="70"/>
      <c r="AN45" s="70"/>
      <c r="AO45" s="70"/>
      <c r="AP45" s="71"/>
      <c r="AQ45" s="4"/>
      <c r="AR45" s="4"/>
      <c r="AS45" s="4"/>
      <c r="AT45" s="4"/>
      <c r="AU45" s="4"/>
      <c r="AV45" s="4"/>
      <c r="AW45" s="4"/>
      <c r="AX45" s="4"/>
      <c r="AY45" s="4"/>
      <c r="AZ45" s="4"/>
      <c r="BA45" s="4"/>
      <c r="BB45" s="4"/>
      <c r="BC45" s="5"/>
      <c r="BD45" s="4"/>
      <c r="BE45" s="4"/>
      <c r="BF45" s="4"/>
      <c r="BG45" s="4"/>
      <c r="BH45" s="4"/>
      <c r="BI45" s="4"/>
      <c r="BJ45" s="4"/>
      <c r="BK45" s="4"/>
      <c r="BL45" s="4"/>
      <c r="BM45" s="4"/>
      <c r="BN45" s="4"/>
      <c r="BO45" s="4"/>
      <c r="BP45" s="4"/>
      <c r="BQ45" s="4"/>
      <c r="BR45" s="4"/>
    </row>
    <row r="46" spans="1:70" ht="14.25">
      <c r="A46" s="3"/>
      <c r="B46" s="3"/>
      <c r="C46" s="3"/>
      <c r="D46" s="3" t="s">
        <v>1340</v>
      </c>
      <c r="E46" s="3" t="e">
        <f t="shared" ref="E46:F46" si="16">E43-V20</f>
        <v>#REF!</v>
      </c>
      <c r="F46" s="3" t="e">
        <f t="shared" si="16"/>
        <v>#REF!</v>
      </c>
      <c r="G46" s="3"/>
      <c r="H46" s="3"/>
      <c r="I46" s="3"/>
      <c r="J46" s="3"/>
      <c r="K46" s="3"/>
      <c r="L46" s="3"/>
      <c r="M46" s="3"/>
      <c r="N46" s="3"/>
      <c r="O46" s="3"/>
      <c r="P46" s="3"/>
      <c r="Q46" s="3"/>
      <c r="R46" s="3"/>
      <c r="S46" s="3"/>
      <c r="T46" s="3"/>
      <c r="U46" s="3"/>
      <c r="V46" s="3"/>
      <c r="W46" s="3"/>
      <c r="X46" s="3"/>
      <c r="Y46" s="3"/>
      <c r="Z46" s="3"/>
      <c r="AA46" s="3"/>
      <c r="AB46" s="3"/>
      <c r="AC46" s="3"/>
      <c r="AD46" s="3"/>
      <c r="AE46" s="3"/>
      <c r="AF46" s="3"/>
      <c r="AG46" s="4"/>
      <c r="AH46" s="4"/>
      <c r="AI46" s="4"/>
      <c r="AJ46" s="4"/>
      <c r="AK46" s="4"/>
      <c r="AL46" s="69"/>
      <c r="AM46" s="70"/>
      <c r="AN46" s="70"/>
      <c r="AO46" s="70"/>
      <c r="AP46" s="80"/>
      <c r="AQ46" s="4"/>
      <c r="AR46" s="4"/>
      <c r="AS46" s="4"/>
      <c r="AT46" s="4"/>
      <c r="AU46" s="4"/>
      <c r="AV46" s="4"/>
      <c r="AW46" s="4"/>
      <c r="AX46" s="4"/>
      <c r="AY46" s="4"/>
      <c r="AZ46" s="4"/>
      <c r="BA46" s="4"/>
      <c r="BB46" s="4"/>
      <c r="BC46" s="5"/>
      <c r="BD46" s="4"/>
      <c r="BE46" s="4"/>
      <c r="BF46" s="4"/>
      <c r="BG46" s="4"/>
      <c r="BH46" s="4"/>
      <c r="BI46" s="4"/>
      <c r="BJ46" s="4"/>
      <c r="BK46" s="4"/>
      <c r="BL46" s="4"/>
      <c r="BM46" s="4"/>
      <c r="BN46" s="4"/>
      <c r="BO46" s="4"/>
      <c r="BP46" s="4"/>
      <c r="BQ46" s="4"/>
      <c r="BR46" s="4"/>
    </row>
    <row r="47" spans="1:70" ht="14.25">
      <c r="A47" s="3"/>
      <c r="B47" s="83"/>
      <c r="C47" s="83"/>
      <c r="D47" s="83"/>
      <c r="E47" s="83"/>
      <c r="F47" s="83"/>
      <c r="G47" s="83"/>
      <c r="H47" s="83"/>
      <c r="I47" s="83"/>
      <c r="J47" s="83"/>
      <c r="K47" s="83"/>
      <c r="L47" s="83"/>
      <c r="M47" s="83"/>
      <c r="N47" s="83"/>
      <c r="O47" s="3"/>
      <c r="P47" s="3"/>
      <c r="Q47" s="3"/>
      <c r="R47" s="3"/>
      <c r="S47" s="3"/>
      <c r="T47" s="3"/>
      <c r="U47" s="3"/>
      <c r="V47" s="3"/>
      <c r="W47" s="3"/>
      <c r="X47" s="3"/>
      <c r="Y47" s="3"/>
      <c r="Z47" s="3"/>
      <c r="AA47" s="3"/>
      <c r="AB47" s="3"/>
      <c r="AC47" s="3"/>
      <c r="AD47" s="3"/>
      <c r="AE47" s="3"/>
      <c r="AF47" s="3"/>
      <c r="AG47" s="4"/>
      <c r="AH47" s="4"/>
      <c r="AI47" s="4"/>
      <c r="AJ47" s="4"/>
      <c r="AK47" s="4"/>
      <c r="AL47" s="69"/>
      <c r="AM47" s="70"/>
      <c r="AN47" s="70"/>
      <c r="AO47" s="70"/>
      <c r="AP47" s="80"/>
      <c r="AQ47" s="4"/>
      <c r="AR47" s="4"/>
      <c r="AS47" s="4"/>
      <c r="AT47" s="4"/>
      <c r="AU47" s="4"/>
      <c r="AV47" s="4"/>
      <c r="AW47" s="4"/>
      <c r="AX47" s="4"/>
      <c r="AY47" s="4"/>
      <c r="AZ47" s="4"/>
      <c r="BA47" s="4"/>
      <c r="BB47" s="4"/>
      <c r="BC47" s="5"/>
      <c r="BD47" s="4"/>
      <c r="BE47" s="4"/>
      <c r="BF47" s="4"/>
      <c r="BG47" s="4"/>
      <c r="BH47" s="4"/>
      <c r="BI47" s="4"/>
      <c r="BJ47" s="4"/>
      <c r="BK47" s="4"/>
      <c r="BL47" s="4"/>
      <c r="BM47" s="4"/>
      <c r="BN47" s="4"/>
      <c r="BO47" s="4"/>
      <c r="BP47" s="4"/>
      <c r="BQ47" s="4"/>
      <c r="BR47" s="4"/>
    </row>
    <row r="48" spans="1:70" ht="14.25">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4"/>
      <c r="AH48" s="4"/>
      <c r="AI48" s="4"/>
      <c r="AJ48" s="4"/>
      <c r="AK48" s="4"/>
      <c r="AL48" s="69"/>
      <c r="AM48" s="70"/>
      <c r="AN48" s="70"/>
      <c r="AO48" s="70"/>
      <c r="AP48" s="80"/>
      <c r="AQ48" s="4"/>
      <c r="AR48" s="4"/>
      <c r="AS48" s="4"/>
      <c r="AT48" s="4"/>
      <c r="AU48" s="4"/>
      <c r="AV48" s="4"/>
      <c r="AW48" s="4"/>
      <c r="AX48" s="4"/>
      <c r="AY48" s="4"/>
      <c r="AZ48" s="4"/>
      <c r="BA48" s="4"/>
      <c r="BB48" s="4"/>
      <c r="BC48" s="5"/>
      <c r="BD48" s="4"/>
      <c r="BE48" s="4"/>
      <c r="BF48" s="4"/>
      <c r="BG48" s="4"/>
      <c r="BH48" s="4"/>
      <c r="BI48" s="4"/>
      <c r="BJ48" s="4"/>
      <c r="BK48" s="4"/>
      <c r="BL48" s="4"/>
      <c r="BM48" s="4"/>
      <c r="BN48" s="4"/>
      <c r="BO48" s="4"/>
      <c r="BP48" s="4"/>
      <c r="BQ48" s="4"/>
      <c r="BR48" s="4"/>
    </row>
    <row r="49" spans="1:70" ht="14.25">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4"/>
      <c r="AH49" s="4"/>
      <c r="AI49" s="4"/>
      <c r="AJ49" s="4"/>
      <c r="AK49" s="4"/>
      <c r="AL49" s="69"/>
      <c r="AM49" s="70"/>
      <c r="AN49" s="70"/>
      <c r="AO49" s="70"/>
      <c r="AP49" s="80"/>
      <c r="AQ49" s="4"/>
      <c r="AR49" s="4"/>
      <c r="AS49" s="4"/>
      <c r="AT49" s="4"/>
      <c r="AU49" s="4"/>
      <c r="AV49" s="4"/>
      <c r="AW49" s="4"/>
      <c r="AX49" s="4"/>
      <c r="AY49" s="4"/>
      <c r="AZ49" s="4"/>
      <c r="BA49" s="4"/>
      <c r="BB49" s="4"/>
      <c r="BC49" s="5"/>
      <c r="BD49" s="4"/>
      <c r="BE49" s="4"/>
      <c r="BF49" s="4"/>
      <c r="BG49" s="4"/>
      <c r="BH49" s="4"/>
      <c r="BI49" s="4"/>
      <c r="BJ49" s="4"/>
      <c r="BK49" s="4"/>
      <c r="BL49" s="4"/>
      <c r="BM49" s="4"/>
      <c r="BN49" s="4"/>
      <c r="BO49" s="4"/>
      <c r="BP49" s="4"/>
      <c r="BQ49" s="4"/>
      <c r="BR49" s="4"/>
    </row>
    <row r="50" spans="1:70" ht="14.25">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4"/>
      <c r="AH50" s="4"/>
      <c r="AI50" s="4"/>
      <c r="AJ50" s="4"/>
      <c r="AK50" s="4"/>
      <c r="AL50" s="69"/>
      <c r="AM50" s="70"/>
      <c r="AN50" s="70"/>
      <c r="AO50" s="70"/>
      <c r="AP50" s="80"/>
      <c r="AQ50" s="4"/>
      <c r="AR50" s="4"/>
      <c r="AS50" s="4"/>
      <c r="AT50" s="4"/>
      <c r="AU50" s="4"/>
      <c r="AV50" s="4"/>
      <c r="AW50" s="4"/>
      <c r="AX50" s="4"/>
      <c r="AY50" s="4"/>
      <c r="AZ50" s="4"/>
      <c r="BA50" s="4"/>
      <c r="BB50" s="4"/>
      <c r="BC50" s="5"/>
      <c r="BD50" s="4"/>
      <c r="BE50" s="4"/>
      <c r="BF50" s="4"/>
      <c r="BG50" s="4"/>
      <c r="BH50" s="4"/>
      <c r="BI50" s="4"/>
      <c r="BJ50" s="4"/>
      <c r="BK50" s="4"/>
      <c r="BL50" s="4"/>
      <c r="BM50" s="4"/>
      <c r="BN50" s="4"/>
      <c r="BO50" s="4"/>
      <c r="BP50" s="4"/>
      <c r="BQ50" s="4"/>
      <c r="BR50" s="4"/>
    </row>
    <row r="51" spans="1:70" ht="14.25">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4"/>
      <c r="AH51" s="4"/>
      <c r="AI51" s="4"/>
      <c r="AJ51" s="4"/>
      <c r="AK51" s="4"/>
      <c r="AL51" s="69"/>
      <c r="AM51" s="70"/>
      <c r="AN51" s="70"/>
      <c r="AO51" s="70"/>
      <c r="AP51" s="80"/>
      <c r="AQ51" s="4"/>
      <c r="AR51" s="4"/>
      <c r="AS51" s="4"/>
      <c r="AT51" s="4"/>
      <c r="AU51" s="4"/>
      <c r="AV51" s="4"/>
      <c r="AW51" s="4"/>
      <c r="AX51" s="4"/>
      <c r="AY51" s="4"/>
      <c r="AZ51" s="4"/>
      <c r="BA51" s="4"/>
      <c r="BB51" s="4"/>
      <c r="BC51" s="5"/>
      <c r="BD51" s="4"/>
      <c r="BE51" s="4"/>
      <c r="BF51" s="4"/>
      <c r="BG51" s="4"/>
      <c r="BH51" s="4"/>
      <c r="BI51" s="4"/>
      <c r="BJ51" s="4"/>
      <c r="BK51" s="4"/>
      <c r="BL51" s="4"/>
      <c r="BM51" s="4"/>
      <c r="BN51" s="4"/>
      <c r="BO51" s="4"/>
      <c r="BP51" s="4"/>
      <c r="BQ51" s="4"/>
      <c r="BR51" s="4"/>
    </row>
    <row r="52" spans="1:70" ht="14.25">
      <c r="A52" s="3"/>
      <c r="B52" s="84"/>
      <c r="C52" s="84"/>
      <c r="D52" s="652" t="s">
        <v>438</v>
      </c>
      <c r="E52" s="769"/>
      <c r="F52" s="769"/>
      <c r="G52" s="769"/>
      <c r="H52" s="769"/>
      <c r="I52" s="769"/>
      <c r="J52" s="769"/>
      <c r="K52" s="769"/>
      <c r="L52" s="769"/>
      <c r="M52" s="769"/>
      <c r="N52" s="769"/>
      <c r="O52" s="769"/>
      <c r="P52" s="769"/>
      <c r="Q52" s="769"/>
      <c r="R52" s="769"/>
      <c r="S52" s="769"/>
      <c r="T52" s="769"/>
      <c r="U52" s="83"/>
      <c r="V52" s="652" t="s">
        <v>439</v>
      </c>
      <c r="W52" s="769"/>
      <c r="X52" s="769"/>
      <c r="Y52" s="769"/>
      <c r="Z52" s="769"/>
      <c r="AA52" s="769"/>
      <c r="AB52" s="769"/>
      <c r="AC52" s="769"/>
      <c r="AD52" s="769"/>
      <c r="AE52" s="769"/>
      <c r="AF52" s="769"/>
      <c r="AG52" s="4"/>
      <c r="AH52" s="653" t="s">
        <v>440</v>
      </c>
      <c r="AI52" s="769"/>
      <c r="AJ52" s="769"/>
      <c r="AK52" s="769"/>
      <c r="AL52" s="769"/>
      <c r="AM52" s="769"/>
      <c r="AN52" s="769"/>
      <c r="AO52" s="769"/>
      <c r="AP52" s="80"/>
      <c r="AQ52" s="4"/>
      <c r="AR52" s="4"/>
      <c r="AS52" s="4"/>
      <c r="AT52" s="4"/>
      <c r="AU52" s="4"/>
      <c r="AV52" s="4"/>
      <c r="AW52" s="4"/>
      <c r="AX52" s="4"/>
      <c r="AY52" s="4"/>
      <c r="AZ52" s="4"/>
      <c r="BA52" s="4"/>
      <c r="BB52" s="4"/>
      <c r="BC52" s="85"/>
      <c r="BD52" s="4"/>
      <c r="BE52" s="4"/>
      <c r="BF52" s="4"/>
      <c r="BG52" s="4"/>
      <c r="BH52" s="4"/>
      <c r="BI52" s="4"/>
      <c r="BJ52" s="4"/>
      <c r="BK52" s="4"/>
      <c r="BL52" s="4"/>
      <c r="BM52" s="4"/>
      <c r="BN52" s="4"/>
      <c r="BO52" s="86"/>
      <c r="BP52" s="86"/>
      <c r="BQ52" s="86"/>
      <c r="BR52" s="86"/>
    </row>
    <row r="53" spans="1:70" ht="14.25">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4"/>
      <c r="AH53" s="4"/>
      <c r="AI53" s="4"/>
      <c r="AJ53" s="4"/>
      <c r="AK53" s="4"/>
      <c r="AL53" s="69"/>
      <c r="AM53" s="70"/>
      <c r="AN53" s="70"/>
      <c r="AO53" s="70"/>
      <c r="AP53" s="80"/>
      <c r="AQ53" s="4"/>
      <c r="AR53" s="4"/>
      <c r="AS53" s="4"/>
      <c r="AT53" s="4"/>
      <c r="AU53" s="4"/>
      <c r="AV53" s="4"/>
      <c r="AW53" s="4"/>
      <c r="AX53" s="4"/>
      <c r="AY53" s="4"/>
      <c r="AZ53" s="4"/>
      <c r="BA53" s="4"/>
      <c r="BB53" s="4"/>
      <c r="BC53" s="85"/>
      <c r="BD53" s="4"/>
      <c r="BE53" s="4"/>
      <c r="BF53" s="4"/>
      <c r="BG53" s="4"/>
      <c r="BH53" s="4"/>
      <c r="BI53" s="4"/>
      <c r="BJ53" s="4"/>
      <c r="BK53" s="4"/>
      <c r="BL53" s="4"/>
      <c r="BM53" s="4"/>
      <c r="BN53" s="4"/>
      <c r="BO53" s="86"/>
      <c r="BP53" s="86"/>
      <c r="BQ53" s="86"/>
      <c r="BR53" s="86"/>
    </row>
    <row r="54" spans="1:70" ht="14.25">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4"/>
      <c r="AH54" s="4"/>
      <c r="AI54" s="4"/>
      <c r="AJ54" s="4"/>
      <c r="AK54" s="4"/>
      <c r="AL54" s="69"/>
      <c r="AM54" s="70"/>
      <c r="AN54" s="70"/>
      <c r="AO54" s="70"/>
      <c r="AP54" s="80"/>
      <c r="AQ54" s="4"/>
      <c r="AR54" s="4"/>
      <c r="AS54" s="4"/>
      <c r="AT54" s="4"/>
      <c r="AU54" s="4"/>
      <c r="AV54" s="4"/>
      <c r="AW54" s="4"/>
      <c r="AX54" s="4"/>
      <c r="AY54" s="4"/>
      <c r="AZ54" s="4"/>
      <c r="BA54" s="4"/>
      <c r="BB54" s="4"/>
      <c r="BC54" s="5"/>
      <c r="BD54" s="4"/>
      <c r="BE54" s="4"/>
      <c r="BF54" s="4"/>
      <c r="BG54" s="4"/>
      <c r="BH54" s="4"/>
      <c r="BI54" s="4"/>
      <c r="BJ54" s="4"/>
      <c r="BK54" s="4"/>
      <c r="BL54" s="4"/>
      <c r="BM54" s="4"/>
      <c r="BN54" s="4"/>
      <c r="BO54" s="4"/>
      <c r="BP54" s="4"/>
      <c r="BQ54" s="4"/>
      <c r="BR54" s="4"/>
    </row>
    <row r="55" spans="1:70" ht="14.25">
      <c r="A55" s="3"/>
      <c r="B55" s="87"/>
      <c r="C55" s="87"/>
      <c r="D55" s="87"/>
      <c r="E55" s="658"/>
      <c r="F55" s="769"/>
      <c r="G55" s="769"/>
      <c r="H55" s="13"/>
      <c r="I55" s="13"/>
      <c r="J55" s="13"/>
      <c r="K55" s="13"/>
      <c r="L55" s="13"/>
      <c r="M55" s="13"/>
      <c r="N55" s="13"/>
      <c r="O55" s="13"/>
      <c r="P55" s="13"/>
      <c r="Q55" s="13"/>
      <c r="R55" s="13"/>
      <c r="S55" s="13"/>
      <c r="T55" s="13"/>
      <c r="U55" s="13"/>
      <c r="V55" s="13"/>
      <c r="W55" s="13"/>
      <c r="X55" s="13"/>
      <c r="Y55" s="13"/>
      <c r="Z55" s="13"/>
      <c r="AA55" s="13"/>
      <c r="AB55" s="13"/>
      <c r="AC55" s="3"/>
      <c r="AD55" s="3"/>
      <c r="AE55" s="3"/>
      <c r="AF55" s="3"/>
      <c r="AG55" s="4"/>
      <c r="AH55" s="4"/>
      <c r="AI55" s="4"/>
      <c r="AJ55" s="4"/>
      <c r="AK55" s="4"/>
      <c r="AL55" s="69"/>
      <c r="AM55" s="70"/>
      <c r="AN55" s="70"/>
      <c r="AO55" s="70"/>
      <c r="AP55" s="80"/>
      <c r="AQ55" s="4"/>
      <c r="AR55" s="4"/>
      <c r="AS55" s="4"/>
      <c r="AT55" s="4"/>
      <c r="AU55" s="4"/>
      <c r="AV55" s="4"/>
      <c r="AW55" s="4"/>
      <c r="AX55" s="4"/>
      <c r="AY55" s="4"/>
      <c r="AZ55" s="4"/>
      <c r="BA55" s="4"/>
      <c r="BB55" s="4"/>
      <c r="BC55" s="5"/>
      <c r="BD55" s="4"/>
      <c r="BE55" s="4"/>
      <c r="BF55" s="4"/>
      <c r="BG55" s="4"/>
      <c r="BH55" s="4"/>
      <c r="BI55" s="4"/>
      <c r="BJ55" s="4"/>
      <c r="BK55" s="4"/>
      <c r="BL55" s="4"/>
      <c r="BM55" s="4"/>
      <c r="BN55" s="4"/>
      <c r="BO55" s="4"/>
      <c r="BP55" s="4"/>
      <c r="BQ55" s="4"/>
      <c r="BR55" s="4"/>
    </row>
    <row r="56" spans="1:70" ht="14.25">
      <c r="A56" s="3"/>
      <c r="B56" s="3"/>
      <c r="C56" s="3"/>
      <c r="D56" s="3"/>
      <c r="E56" s="3"/>
      <c r="F56" s="3"/>
      <c r="G56" s="3"/>
      <c r="H56" s="3"/>
      <c r="I56" s="3"/>
      <c r="J56" s="3"/>
      <c r="K56" s="3"/>
      <c r="L56" s="3"/>
      <c r="M56" s="3"/>
      <c r="N56" s="3"/>
      <c r="O56" s="3"/>
      <c r="P56" s="3"/>
      <c r="Q56" s="3"/>
      <c r="R56" s="3"/>
      <c r="S56" s="3"/>
      <c r="T56" s="3"/>
      <c r="U56" s="3"/>
      <c r="V56" s="3"/>
      <c r="W56" s="3"/>
      <c r="X56" s="3"/>
      <c r="Y56" s="3"/>
      <c r="Z56" s="3"/>
      <c r="AA56" s="83"/>
      <c r="AB56" s="83"/>
      <c r="AC56" s="83"/>
      <c r="AD56" s="83"/>
      <c r="AE56" s="3"/>
      <c r="AF56" s="3"/>
      <c r="AG56" s="4"/>
      <c r="AH56" s="4"/>
      <c r="AI56" s="4"/>
      <c r="AJ56" s="4"/>
      <c r="AK56" s="4"/>
      <c r="AL56" s="69"/>
      <c r="AM56" s="70"/>
      <c r="AN56" s="70"/>
      <c r="AO56" s="70"/>
      <c r="AP56" s="80"/>
      <c r="AQ56" s="4"/>
      <c r="AR56" s="4"/>
      <c r="AS56" s="4"/>
      <c r="AT56" s="4"/>
      <c r="AU56" s="4"/>
      <c r="AV56" s="4"/>
      <c r="AW56" s="4"/>
      <c r="AX56" s="4"/>
      <c r="AY56" s="4"/>
      <c r="AZ56" s="4"/>
      <c r="BA56" s="4"/>
      <c r="BB56" s="4"/>
      <c r="BC56" s="5"/>
      <c r="BD56" s="4"/>
      <c r="BE56" s="4"/>
      <c r="BF56" s="4"/>
      <c r="BG56" s="88"/>
      <c r="BH56" s="88"/>
      <c r="BI56" s="88"/>
      <c r="BJ56" s="88"/>
      <c r="BK56" s="88"/>
      <c r="BL56" s="88"/>
      <c r="BM56" s="88"/>
      <c r="BN56" s="88"/>
      <c r="BO56" s="86"/>
      <c r="BP56" s="4"/>
      <c r="BQ56" s="4"/>
      <c r="BR56" s="4"/>
    </row>
    <row r="57" spans="1:70" ht="14.25">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4"/>
      <c r="AH57" s="4"/>
      <c r="AI57" s="4"/>
      <c r="AJ57" s="4"/>
      <c r="AK57" s="4"/>
      <c r="AL57" s="69"/>
      <c r="AM57" s="70"/>
      <c r="AN57" s="70"/>
      <c r="AO57" s="70"/>
      <c r="AP57" s="80"/>
      <c r="AQ57" s="4"/>
      <c r="AR57" s="4"/>
      <c r="AS57" s="4"/>
      <c r="AT57" s="4"/>
      <c r="AU57" s="4"/>
      <c r="AV57" s="4"/>
      <c r="AW57" s="4"/>
      <c r="AX57" s="4"/>
      <c r="AY57" s="4"/>
      <c r="AZ57" s="4"/>
      <c r="BA57" s="4"/>
      <c r="BB57" s="4"/>
      <c r="BC57" s="4"/>
      <c r="BD57" s="4"/>
      <c r="BE57" s="4"/>
      <c r="BF57" s="4"/>
      <c r="BG57" s="89"/>
      <c r="BH57" s="4"/>
      <c r="BI57" s="4"/>
      <c r="BJ57" s="4"/>
      <c r="BK57" s="4"/>
      <c r="BL57" s="4"/>
      <c r="BM57" s="4"/>
      <c r="BN57" s="4"/>
      <c r="BO57" s="90"/>
      <c r="BP57" s="4"/>
      <c r="BQ57" s="4"/>
      <c r="BR57" s="4"/>
    </row>
    <row r="58" spans="1:70" ht="14.25">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4"/>
      <c r="AH58" s="4"/>
      <c r="AI58" s="4"/>
      <c r="AJ58" s="4"/>
      <c r="AK58" s="4"/>
      <c r="AL58" s="69"/>
      <c r="AM58" s="70"/>
      <c r="AN58" s="70"/>
      <c r="AO58" s="70"/>
      <c r="AP58" s="80"/>
      <c r="AQ58" s="4"/>
      <c r="AR58" s="4"/>
      <c r="AS58" s="4"/>
      <c r="AT58" s="4"/>
      <c r="AU58" s="4"/>
      <c r="AV58" s="4"/>
      <c r="AW58" s="4"/>
      <c r="AX58" s="4"/>
      <c r="AY58" s="4"/>
      <c r="AZ58" s="4"/>
      <c r="BA58" s="4"/>
      <c r="BB58" s="4"/>
      <c r="BC58" s="4"/>
      <c r="BD58" s="4"/>
      <c r="BE58" s="4"/>
      <c r="BF58" s="4"/>
      <c r="BG58" s="86"/>
      <c r="BH58" s="4"/>
      <c r="BI58" s="4"/>
      <c r="BJ58" s="4"/>
      <c r="BK58" s="4"/>
      <c r="BL58" s="4"/>
      <c r="BM58" s="4"/>
      <c r="BN58" s="4"/>
      <c r="BO58" s="4"/>
      <c r="BP58" s="91"/>
      <c r="BQ58" s="91"/>
      <c r="BR58" s="91"/>
    </row>
    <row r="59" spans="1:70" ht="14.25">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4"/>
      <c r="AH59" s="4"/>
      <c r="AI59" s="4"/>
      <c r="AJ59" s="4"/>
      <c r="AK59" s="4"/>
      <c r="AL59" s="69"/>
      <c r="AM59" s="70"/>
      <c r="AN59" s="70"/>
      <c r="AO59" s="70"/>
      <c r="AP59" s="80"/>
      <c r="AQ59" s="4"/>
      <c r="AR59" s="4"/>
      <c r="AS59" s="4"/>
      <c r="AT59" s="4"/>
      <c r="AU59" s="4"/>
      <c r="AV59" s="4"/>
      <c r="AW59" s="4"/>
      <c r="AX59" s="4"/>
      <c r="AY59" s="4"/>
      <c r="AZ59" s="4"/>
      <c r="BA59" s="4"/>
      <c r="BB59" s="4"/>
      <c r="BC59" s="4"/>
      <c r="BD59" s="4"/>
      <c r="BE59" s="4"/>
      <c r="BF59" s="4"/>
      <c r="BG59" s="86"/>
      <c r="BH59" s="4"/>
      <c r="BI59" s="4"/>
      <c r="BJ59" s="4"/>
      <c r="BK59" s="4"/>
      <c r="BL59" s="4"/>
      <c r="BM59" s="4"/>
      <c r="BN59" s="4"/>
      <c r="BO59" s="4"/>
      <c r="BP59" s="86"/>
      <c r="BQ59" s="86"/>
      <c r="BR59" s="86"/>
    </row>
    <row r="60" spans="1:70" ht="14.25">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4"/>
      <c r="AH60" s="4"/>
      <c r="AI60" s="4"/>
      <c r="AJ60" s="4"/>
      <c r="AK60" s="4"/>
      <c r="AL60" s="69"/>
      <c r="AM60" s="70"/>
      <c r="AN60" s="70"/>
      <c r="AO60" s="70"/>
      <c r="AP60" s="80"/>
      <c r="AQ60" s="4"/>
      <c r="AR60" s="4"/>
      <c r="AS60" s="4"/>
      <c r="AT60" s="4"/>
      <c r="AU60" s="4"/>
      <c r="AV60" s="4"/>
      <c r="AW60" s="4"/>
      <c r="AX60" s="4"/>
      <c r="AY60" s="4"/>
      <c r="AZ60" s="4"/>
      <c r="BA60" s="4"/>
      <c r="BB60" s="4"/>
      <c r="BC60" s="4"/>
      <c r="BD60" s="4"/>
      <c r="BE60" s="4"/>
      <c r="BF60" s="4"/>
      <c r="BG60" s="86"/>
      <c r="BH60" s="4"/>
      <c r="BI60" s="4"/>
      <c r="BJ60" s="4"/>
      <c r="BK60" s="4"/>
      <c r="BL60" s="4"/>
      <c r="BM60" s="4"/>
      <c r="BN60" s="4"/>
      <c r="BO60" s="4"/>
      <c r="BP60" s="86"/>
      <c r="BQ60" s="86"/>
      <c r="BR60" s="86"/>
    </row>
    <row r="61" spans="1:70" ht="14.25">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4"/>
      <c r="AH61" s="4"/>
      <c r="AI61" s="4"/>
      <c r="AJ61" s="4"/>
      <c r="AK61" s="4"/>
      <c r="AL61" s="69"/>
      <c r="AM61" s="70"/>
      <c r="AN61" s="70"/>
      <c r="AO61" s="70"/>
      <c r="AP61" s="80"/>
      <c r="AQ61" s="4"/>
      <c r="AR61" s="4"/>
      <c r="AS61" s="4"/>
      <c r="AT61" s="4"/>
      <c r="AU61" s="4"/>
      <c r="AV61" s="4"/>
      <c r="AW61" s="4"/>
      <c r="AX61" s="4"/>
      <c r="AY61" s="4"/>
      <c r="AZ61" s="4"/>
      <c r="BA61" s="4"/>
      <c r="BB61" s="4"/>
      <c r="BC61" s="4"/>
      <c r="BD61" s="4"/>
      <c r="BE61" s="4"/>
      <c r="BF61" s="4"/>
      <c r="BG61" s="86"/>
      <c r="BH61" s="4"/>
      <c r="BI61" s="4"/>
      <c r="BJ61" s="4"/>
      <c r="BK61" s="4"/>
      <c r="BL61" s="4"/>
      <c r="BM61" s="4"/>
      <c r="BN61" s="4"/>
      <c r="BO61" s="4"/>
      <c r="BP61" s="86"/>
      <c r="BQ61" s="86"/>
      <c r="BR61" s="86"/>
    </row>
    <row r="62" spans="1:70" ht="14.25">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4"/>
      <c r="AH62" s="4"/>
      <c r="AI62" s="4"/>
      <c r="AJ62" s="4"/>
      <c r="AK62" s="4"/>
      <c r="AL62" s="69"/>
      <c r="AM62" s="70"/>
      <c r="AN62" s="70"/>
      <c r="AO62" s="70"/>
      <c r="AP62" s="80"/>
      <c r="AQ62" s="4"/>
      <c r="AR62" s="4"/>
      <c r="AS62" s="4"/>
      <c r="AT62" s="4"/>
      <c r="AU62" s="4"/>
      <c r="AV62" s="4"/>
      <c r="AW62" s="4"/>
      <c r="AX62" s="4"/>
      <c r="AY62" s="4"/>
      <c r="AZ62" s="4"/>
      <c r="BA62" s="4"/>
      <c r="BB62" s="4"/>
      <c r="BC62" s="4"/>
      <c r="BD62" s="4"/>
      <c r="BE62" s="4"/>
      <c r="BF62" s="4"/>
      <c r="BG62" s="86"/>
      <c r="BH62" s="4"/>
      <c r="BI62" s="4"/>
      <c r="BJ62" s="4"/>
      <c r="BK62" s="4"/>
      <c r="BL62" s="4"/>
      <c r="BM62" s="4"/>
      <c r="BN62" s="4"/>
      <c r="BO62" s="4"/>
      <c r="BP62" s="86"/>
      <c r="BQ62" s="86"/>
      <c r="BR62" s="86"/>
    </row>
    <row r="63" spans="1:70" ht="14.25">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4"/>
      <c r="AH63" s="4"/>
      <c r="AI63" s="4"/>
      <c r="AJ63" s="4"/>
      <c r="AK63" s="4"/>
      <c r="AL63" s="69"/>
      <c r="AM63" s="70"/>
      <c r="AN63" s="70"/>
      <c r="AO63" s="70"/>
      <c r="AP63" s="80"/>
      <c r="AQ63" s="4"/>
      <c r="AR63" s="4"/>
      <c r="AS63" s="4"/>
      <c r="AT63" s="4"/>
      <c r="AU63" s="4"/>
      <c r="AV63" s="4"/>
      <c r="AW63" s="4"/>
      <c r="AX63" s="4"/>
      <c r="AY63" s="4"/>
      <c r="AZ63" s="4"/>
      <c r="BA63" s="4"/>
      <c r="BB63" s="4"/>
      <c r="BC63" s="4"/>
      <c r="BD63" s="4"/>
      <c r="BE63" s="4"/>
      <c r="BF63" s="4"/>
      <c r="BG63" s="86"/>
      <c r="BH63" s="4"/>
      <c r="BI63" s="4"/>
      <c r="BJ63" s="4"/>
      <c r="BK63" s="4"/>
      <c r="BL63" s="4"/>
      <c r="BM63" s="4"/>
      <c r="BN63" s="4"/>
      <c r="BO63" s="4"/>
      <c r="BP63" s="86"/>
      <c r="BQ63" s="86"/>
      <c r="BR63" s="86"/>
    </row>
    <row r="64" spans="1:70" ht="14.25">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4"/>
      <c r="AH64" s="4"/>
      <c r="AI64" s="4"/>
      <c r="AJ64" s="4"/>
      <c r="AK64" s="4"/>
      <c r="AL64" s="69"/>
      <c r="AM64" s="70"/>
      <c r="AN64" s="70"/>
      <c r="AO64" s="70"/>
      <c r="AP64" s="71"/>
      <c r="AQ64" s="4"/>
      <c r="AR64" s="4"/>
      <c r="AS64" s="4"/>
      <c r="AT64" s="4"/>
      <c r="AU64" s="4"/>
      <c r="AV64" s="4"/>
      <c r="AW64" s="4"/>
      <c r="AX64" s="4"/>
      <c r="AY64" s="4"/>
      <c r="AZ64" s="4"/>
      <c r="BA64" s="4"/>
      <c r="BB64" s="4"/>
      <c r="BC64" s="4"/>
      <c r="BD64" s="4"/>
      <c r="BE64" s="4"/>
      <c r="BF64" s="4"/>
      <c r="BG64" s="86"/>
      <c r="BH64" s="4"/>
      <c r="BI64" s="4"/>
      <c r="BJ64" s="4"/>
      <c r="BK64" s="4"/>
      <c r="BL64" s="4"/>
      <c r="BM64" s="4"/>
      <c r="BN64" s="4"/>
      <c r="BO64" s="4"/>
      <c r="BP64" s="86"/>
      <c r="BQ64" s="86"/>
      <c r="BR64" s="86"/>
    </row>
    <row r="65" spans="1:70" ht="14.25">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4"/>
      <c r="AH65" s="4"/>
      <c r="AI65" s="4"/>
      <c r="AJ65" s="4"/>
      <c r="AK65" s="4"/>
      <c r="AL65" s="69"/>
      <c r="AM65" s="70"/>
      <c r="AN65" s="70"/>
      <c r="AO65" s="70"/>
      <c r="AP65" s="80"/>
      <c r="AQ65" s="4"/>
      <c r="AR65" s="4"/>
      <c r="AS65" s="4"/>
      <c r="AT65" s="4"/>
      <c r="AU65" s="4"/>
      <c r="AV65" s="4"/>
      <c r="AW65" s="4"/>
      <c r="AX65" s="4"/>
      <c r="AY65" s="4"/>
      <c r="AZ65" s="4"/>
      <c r="BA65" s="4"/>
      <c r="BB65" s="4"/>
      <c r="BC65" s="4"/>
      <c r="BD65" s="4"/>
      <c r="BE65" s="4"/>
      <c r="BF65" s="4"/>
      <c r="BG65" s="86"/>
      <c r="BH65" s="4"/>
      <c r="BI65" s="4"/>
      <c r="BJ65" s="4"/>
      <c r="BK65" s="4"/>
      <c r="BL65" s="4"/>
      <c r="BM65" s="4"/>
      <c r="BN65" s="4"/>
      <c r="BO65" s="4"/>
      <c r="BP65" s="86"/>
      <c r="BQ65" s="86"/>
      <c r="BR65" s="86"/>
    </row>
    <row r="66" spans="1:70" ht="14.25">
      <c r="A66" s="3"/>
      <c r="B66" s="85"/>
      <c r="C66" s="85"/>
      <c r="D66" s="85"/>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4"/>
      <c r="AH66" s="4"/>
      <c r="AI66" s="4"/>
      <c r="AJ66" s="4"/>
      <c r="AK66" s="4"/>
      <c r="AL66" s="69"/>
      <c r="AM66" s="70"/>
      <c r="AN66" s="70"/>
      <c r="AO66" s="70"/>
      <c r="AP66" s="70"/>
      <c r="AQ66" s="4"/>
      <c r="AR66" s="4"/>
      <c r="AS66" s="4"/>
      <c r="AT66" s="4"/>
      <c r="AU66" s="4"/>
      <c r="AV66" s="4"/>
      <c r="AW66" s="4"/>
      <c r="AX66" s="4"/>
      <c r="AY66" s="4"/>
      <c r="AZ66" s="4"/>
      <c r="BA66" s="4"/>
      <c r="BB66" s="4"/>
      <c r="BC66" s="4"/>
      <c r="BD66" s="4"/>
      <c r="BE66" s="4"/>
      <c r="BF66" s="4"/>
      <c r="BG66" s="86"/>
      <c r="BH66" s="4"/>
      <c r="BI66" s="4"/>
      <c r="BJ66" s="4"/>
      <c r="BK66" s="4"/>
      <c r="BL66" s="4"/>
      <c r="BM66" s="4"/>
      <c r="BN66" s="4"/>
      <c r="BO66" s="4"/>
      <c r="BP66" s="4"/>
      <c r="BQ66" s="4"/>
      <c r="BR66" s="4"/>
    </row>
    <row r="67" spans="1:70">
      <c r="A67" s="3"/>
      <c r="B67" s="85"/>
      <c r="C67" s="85"/>
      <c r="D67" s="85"/>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4"/>
      <c r="AH67" s="4"/>
      <c r="AI67" s="4"/>
      <c r="AJ67" s="4"/>
      <c r="AK67" s="4"/>
      <c r="AL67" s="4"/>
      <c r="AM67" s="4"/>
      <c r="AN67" s="4"/>
      <c r="AO67" s="4"/>
      <c r="AP67" s="4"/>
      <c r="AQ67" s="4"/>
      <c r="AR67" s="4"/>
      <c r="AS67" s="4"/>
      <c r="AT67" s="4"/>
      <c r="AU67" s="4"/>
      <c r="AV67" s="4"/>
      <c r="AW67" s="4"/>
      <c r="AX67" s="4"/>
      <c r="AY67" s="4"/>
      <c r="AZ67" s="4"/>
      <c r="BA67" s="4"/>
      <c r="BB67" s="4"/>
      <c r="BC67" s="4"/>
      <c r="BD67" s="4"/>
      <c r="BE67" s="4"/>
      <c r="BF67" s="4"/>
      <c r="BG67" s="86"/>
      <c r="BH67" s="4"/>
      <c r="BI67" s="4"/>
      <c r="BJ67" s="4"/>
      <c r="BK67" s="4"/>
      <c r="BL67" s="4"/>
      <c r="BM67" s="4"/>
      <c r="BN67" s="4"/>
      <c r="BO67" s="4"/>
      <c r="BP67" s="4"/>
      <c r="BQ67" s="4"/>
      <c r="BR67" s="4"/>
    </row>
    <row r="68" spans="1:70">
      <c r="A68" s="3"/>
      <c r="B68" s="85"/>
      <c r="C68" s="85"/>
      <c r="D68" s="85"/>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4"/>
      <c r="AH68" s="4"/>
      <c r="AI68" s="4"/>
      <c r="AJ68" s="4"/>
      <c r="AK68" s="4"/>
      <c r="AL68" s="4"/>
      <c r="AM68" s="4"/>
      <c r="AN68" s="4"/>
      <c r="AO68" s="4"/>
      <c r="AP68" s="4"/>
      <c r="AQ68" s="4"/>
      <c r="AR68" s="4"/>
      <c r="AS68" s="4"/>
      <c r="AT68" s="4"/>
      <c r="AU68" s="4"/>
      <c r="AV68" s="4"/>
      <c r="AW68" s="4"/>
      <c r="AX68" s="4"/>
      <c r="AY68" s="4"/>
      <c r="AZ68" s="4"/>
      <c r="BA68" s="4"/>
      <c r="BB68" s="4"/>
      <c r="BC68" s="4"/>
      <c r="BD68" s="4"/>
      <c r="BE68" s="4"/>
      <c r="BF68" s="4"/>
      <c r="BG68" s="86"/>
      <c r="BH68" s="4"/>
      <c r="BI68" s="4"/>
      <c r="BJ68" s="4"/>
      <c r="BK68" s="4"/>
      <c r="BL68" s="4"/>
      <c r="BM68" s="4"/>
      <c r="BN68" s="4"/>
      <c r="BO68" s="4"/>
      <c r="BP68" s="4"/>
      <c r="BQ68" s="4"/>
      <c r="BR68" s="4"/>
    </row>
    <row r="69" spans="1:70">
      <c r="A69" s="3"/>
      <c r="B69" s="85"/>
      <c r="C69" s="85"/>
      <c r="D69" s="85"/>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4"/>
      <c r="AH69" s="4"/>
      <c r="AI69" s="4"/>
      <c r="AJ69" s="4"/>
      <c r="AK69" s="4"/>
      <c r="AL69" s="4"/>
      <c r="AM69" s="4"/>
      <c r="AN69" s="4"/>
      <c r="AO69" s="4"/>
      <c r="AP69" s="4"/>
      <c r="AQ69" s="4"/>
      <c r="AR69" s="4"/>
      <c r="AS69" s="4"/>
      <c r="AT69" s="4"/>
      <c r="AU69" s="4"/>
      <c r="AV69" s="4"/>
      <c r="AW69" s="4"/>
      <c r="AX69" s="4"/>
      <c r="AY69" s="4"/>
      <c r="AZ69" s="4"/>
      <c r="BA69" s="4"/>
      <c r="BB69" s="4"/>
      <c r="BC69" s="4"/>
      <c r="BD69" s="4"/>
      <c r="BE69" s="4"/>
      <c r="BF69" s="4"/>
      <c r="BG69" s="86"/>
      <c r="BH69" s="4"/>
      <c r="BI69" s="4"/>
      <c r="BJ69" s="4"/>
      <c r="BK69" s="4"/>
      <c r="BL69" s="4"/>
      <c r="BM69" s="4"/>
      <c r="BN69" s="4"/>
      <c r="BO69" s="4"/>
      <c r="BP69" s="4"/>
      <c r="BQ69" s="4"/>
      <c r="BR69" s="4"/>
    </row>
    <row r="70" spans="1:70">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4"/>
      <c r="AH70" s="4"/>
      <c r="AI70" s="4"/>
      <c r="AJ70" s="4"/>
      <c r="AK70" s="4"/>
      <c r="AL70" s="4"/>
      <c r="AM70" s="4"/>
      <c r="AN70" s="4"/>
      <c r="AO70" s="4"/>
      <c r="AP70" s="4"/>
      <c r="AQ70" s="4"/>
      <c r="AR70" s="4"/>
      <c r="AS70" s="4"/>
      <c r="AT70" s="4"/>
      <c r="AU70" s="4"/>
      <c r="AV70" s="4"/>
      <c r="AW70" s="4"/>
      <c r="AX70" s="4"/>
      <c r="AY70" s="4"/>
      <c r="AZ70" s="4"/>
      <c r="BA70" s="4"/>
      <c r="BB70" s="4"/>
      <c r="BC70" s="4"/>
      <c r="BD70" s="4"/>
      <c r="BE70" s="4"/>
      <c r="BF70" s="4"/>
      <c r="BG70" s="86"/>
      <c r="BH70" s="4"/>
      <c r="BI70" s="4"/>
      <c r="BJ70" s="4"/>
      <c r="BK70" s="4"/>
      <c r="BL70" s="4"/>
      <c r="BM70" s="4"/>
      <c r="BN70" s="4"/>
      <c r="BO70" s="4"/>
      <c r="BP70" s="4"/>
      <c r="BQ70" s="4"/>
      <c r="BR70" s="4"/>
    </row>
    <row r="71" spans="1:70">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4"/>
      <c r="AH71" s="4"/>
      <c r="AI71" s="4"/>
      <c r="AJ71" s="4"/>
      <c r="AK71" s="4"/>
      <c r="AL71" s="4"/>
      <c r="AM71" s="4"/>
      <c r="AN71" s="4"/>
      <c r="AO71" s="4"/>
      <c r="AP71" s="4"/>
      <c r="AQ71" s="4"/>
      <c r="AR71" s="4"/>
      <c r="AS71" s="4"/>
      <c r="AT71" s="4"/>
      <c r="AU71" s="4"/>
      <c r="AV71" s="4"/>
      <c r="AW71" s="4"/>
      <c r="AX71" s="4"/>
      <c r="AY71" s="4"/>
      <c r="AZ71" s="4"/>
      <c r="BA71" s="4"/>
      <c r="BB71" s="4"/>
      <c r="BC71" s="4"/>
      <c r="BD71" s="4"/>
      <c r="BE71" s="4"/>
      <c r="BF71" s="4"/>
      <c r="BG71" s="86"/>
      <c r="BH71" s="4"/>
      <c r="BI71" s="4"/>
      <c r="BJ71" s="4"/>
      <c r="BK71" s="4"/>
      <c r="BL71" s="4"/>
      <c r="BM71" s="4"/>
      <c r="BN71" s="4"/>
      <c r="BO71" s="4"/>
      <c r="BP71" s="4"/>
      <c r="BQ71" s="4"/>
      <c r="BR71" s="4"/>
    </row>
    <row r="72" spans="1:70">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86"/>
      <c r="AH72" s="86"/>
      <c r="AI72" s="86"/>
      <c r="AJ72" s="86"/>
      <c r="AK72" s="86"/>
      <c r="AL72" s="86"/>
      <c r="AM72" s="86"/>
      <c r="AN72" s="86"/>
      <c r="AO72" s="86"/>
      <c r="AP72" s="86"/>
      <c r="AQ72" s="86"/>
      <c r="AR72" s="86"/>
      <c r="AS72" s="86"/>
      <c r="AT72" s="86"/>
      <c r="AU72" s="86"/>
      <c r="AV72" s="86"/>
      <c r="AW72" s="86"/>
      <c r="AX72" s="86"/>
      <c r="AY72" s="86"/>
      <c r="AZ72" s="86"/>
      <c r="BA72" s="86"/>
      <c r="BB72" s="86"/>
      <c r="BC72" s="4"/>
      <c r="BD72" s="4"/>
      <c r="BE72" s="4"/>
      <c r="BF72" s="4"/>
      <c r="BG72" s="86"/>
      <c r="BH72" s="4"/>
      <c r="BI72" s="4"/>
      <c r="BJ72" s="4"/>
      <c r="BK72" s="4"/>
      <c r="BL72" s="4"/>
      <c r="BM72" s="4"/>
      <c r="BN72" s="4"/>
      <c r="BO72" s="4"/>
      <c r="BP72" s="86"/>
      <c r="BQ72" s="86"/>
      <c r="BR72" s="86"/>
    </row>
    <row r="73" spans="1:70">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90"/>
      <c r="AH73" s="90"/>
      <c r="AI73" s="90"/>
      <c r="AJ73" s="90"/>
      <c r="AK73" s="90"/>
      <c r="AL73" s="90"/>
      <c r="AM73" s="90"/>
      <c r="AN73" s="90"/>
      <c r="AO73" s="90"/>
      <c r="AP73" s="90"/>
      <c r="AQ73" s="90"/>
      <c r="AR73" s="90"/>
      <c r="AS73" s="90"/>
      <c r="AT73" s="90"/>
      <c r="AU73" s="90"/>
      <c r="AV73" s="90"/>
      <c r="AW73" s="90"/>
      <c r="AX73" s="90"/>
      <c r="AY73" s="90"/>
      <c r="AZ73" s="90"/>
      <c r="BA73" s="90"/>
      <c r="BB73" s="90"/>
      <c r="BC73" s="92"/>
      <c r="BD73" s="90"/>
      <c r="BE73" s="90"/>
      <c r="BF73" s="90"/>
      <c r="BG73" s="93"/>
      <c r="BH73" s="4"/>
      <c r="BI73" s="4"/>
      <c r="BJ73" s="4"/>
      <c r="BK73" s="4"/>
      <c r="BL73" s="4"/>
      <c r="BM73" s="4"/>
      <c r="BN73" s="4"/>
      <c r="BO73" s="4"/>
      <c r="BP73" s="90"/>
      <c r="BQ73" s="90"/>
      <c r="BR73" s="90"/>
    </row>
    <row r="74" spans="1:70">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4"/>
      <c r="AH74" s="4"/>
      <c r="AI74" s="4"/>
      <c r="AJ74" s="4"/>
      <c r="AK74" s="4"/>
      <c r="AL74" s="4"/>
      <c r="AM74" s="4"/>
      <c r="AN74" s="4"/>
      <c r="AO74" s="4"/>
      <c r="AP74" s="4"/>
      <c r="AQ74" s="4"/>
      <c r="AR74" s="4"/>
      <c r="AS74" s="4"/>
      <c r="AT74" s="4"/>
      <c r="AU74" s="4"/>
      <c r="AV74" s="4"/>
      <c r="AW74" s="4"/>
      <c r="AX74" s="4"/>
      <c r="AY74" s="4"/>
      <c r="AZ74" s="4"/>
      <c r="BA74" s="4"/>
      <c r="BB74" s="4"/>
      <c r="BC74" s="5"/>
      <c r="BD74" s="4"/>
      <c r="BE74" s="4"/>
      <c r="BF74" s="4"/>
      <c r="BG74" s="93"/>
      <c r="BH74" s="4"/>
      <c r="BI74" s="4"/>
      <c r="BJ74" s="4"/>
      <c r="BK74" s="4"/>
      <c r="BL74" s="4"/>
      <c r="BM74" s="4"/>
      <c r="BN74" s="4"/>
      <c r="BO74" s="4"/>
      <c r="BP74" s="4"/>
      <c r="BQ74" s="4"/>
      <c r="BR74" s="4"/>
    </row>
    <row r="75" spans="1:70">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4"/>
      <c r="AH75" s="4"/>
      <c r="AI75" s="4"/>
      <c r="AJ75" s="4"/>
      <c r="AK75" s="4"/>
      <c r="AL75" s="4"/>
      <c r="AM75" s="4"/>
      <c r="AN75" s="4"/>
      <c r="AO75" s="4"/>
      <c r="AP75" s="4"/>
      <c r="AQ75" s="4"/>
      <c r="AR75" s="4"/>
      <c r="AS75" s="4"/>
      <c r="AT75" s="4"/>
      <c r="AU75" s="4"/>
      <c r="AV75" s="4"/>
      <c r="AW75" s="4"/>
      <c r="AX75" s="4"/>
      <c r="AY75" s="4"/>
      <c r="AZ75" s="4"/>
      <c r="BA75" s="4"/>
      <c r="BB75" s="4"/>
      <c r="BC75" s="5"/>
      <c r="BD75" s="4"/>
      <c r="BE75" s="4"/>
      <c r="BF75" s="4"/>
      <c r="BG75" s="4"/>
      <c r="BH75" s="4"/>
      <c r="BI75" s="4"/>
      <c r="BJ75" s="4"/>
      <c r="BK75" s="4"/>
      <c r="BL75" s="4"/>
      <c r="BM75" s="4"/>
      <c r="BN75" s="4"/>
      <c r="BO75" s="4"/>
      <c r="BP75" s="4"/>
      <c r="BQ75" s="4"/>
      <c r="BR75" s="4"/>
    </row>
    <row r="76" spans="1:70">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4"/>
      <c r="AH76" s="4"/>
      <c r="AI76" s="4"/>
      <c r="AJ76" s="4"/>
      <c r="AK76" s="4"/>
      <c r="AL76" s="4"/>
      <c r="AM76" s="4"/>
      <c r="AN76" s="4"/>
      <c r="AO76" s="4"/>
      <c r="AP76" s="4"/>
      <c r="AQ76" s="4"/>
      <c r="AR76" s="4"/>
      <c r="AS76" s="4"/>
      <c r="AT76" s="4"/>
      <c r="AU76" s="4"/>
      <c r="AV76" s="4"/>
      <c r="AW76" s="4"/>
      <c r="AX76" s="4"/>
      <c r="AY76" s="4"/>
      <c r="AZ76" s="4"/>
      <c r="BA76" s="4"/>
      <c r="BB76" s="4"/>
      <c r="BC76" s="5"/>
      <c r="BD76" s="4"/>
      <c r="BE76" s="4"/>
      <c r="BF76" s="4"/>
      <c r="BG76" s="4"/>
      <c r="BH76" s="4"/>
      <c r="BI76" s="4"/>
      <c r="BJ76" s="4"/>
      <c r="BK76" s="4"/>
      <c r="BL76" s="4"/>
      <c r="BM76" s="4"/>
      <c r="BN76" s="4"/>
      <c r="BO76" s="4"/>
      <c r="BP76" s="4"/>
      <c r="BQ76" s="4"/>
      <c r="BR76" s="4"/>
    </row>
    <row r="77" spans="1:70">
      <c r="A77" s="3"/>
      <c r="B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4"/>
      <c r="AH77" s="4"/>
      <c r="AI77" s="4"/>
      <c r="AJ77" s="4"/>
      <c r="AK77" s="4"/>
      <c r="AL77" s="4"/>
      <c r="AM77" s="4"/>
      <c r="AN77" s="4"/>
      <c r="AO77" s="4"/>
      <c r="AP77" s="4"/>
      <c r="AQ77" s="4"/>
      <c r="AR77" s="4"/>
      <c r="AS77" s="4"/>
      <c r="AT77" s="4"/>
      <c r="AU77" s="4"/>
      <c r="AV77" s="4"/>
      <c r="AW77" s="4"/>
      <c r="AX77" s="4"/>
      <c r="AY77" s="4"/>
      <c r="AZ77" s="4"/>
      <c r="BA77" s="4"/>
      <c r="BB77" s="4"/>
      <c r="BC77" s="5"/>
      <c r="BD77" s="4"/>
      <c r="BE77" s="4"/>
      <c r="BF77" s="4"/>
      <c r="BG77" s="4"/>
      <c r="BH77" s="4"/>
      <c r="BI77" s="4"/>
      <c r="BJ77" s="4"/>
      <c r="BK77" s="4"/>
      <c r="BL77" s="4"/>
      <c r="BM77" s="4"/>
      <c r="BN77" s="4"/>
      <c r="BO77" s="4"/>
      <c r="BP77" s="4"/>
      <c r="BQ77" s="4"/>
      <c r="BR77" s="4"/>
    </row>
    <row r="78" spans="1:70">
      <c r="A78" s="3"/>
      <c r="B78" s="659" t="s">
        <v>397</v>
      </c>
      <c r="C78" s="775"/>
      <c r="D78" s="770"/>
      <c r="F78" s="83"/>
      <c r="G78" s="83"/>
      <c r="H78" s="83"/>
      <c r="I78" s="83"/>
      <c r="J78" s="83"/>
      <c r="K78" s="83"/>
      <c r="L78" s="83"/>
      <c r="M78" s="83"/>
      <c r="N78" s="83"/>
      <c r="O78" s="83"/>
      <c r="P78" s="83"/>
      <c r="Q78" s="83"/>
      <c r="R78" s="83"/>
      <c r="S78" s="83"/>
      <c r="T78" s="83"/>
      <c r="U78" s="3"/>
      <c r="V78" s="83"/>
      <c r="W78" s="83"/>
      <c r="X78" s="83"/>
      <c r="Y78" s="83"/>
      <c r="Z78" s="83"/>
      <c r="AA78" s="83"/>
      <c r="AB78" s="3"/>
      <c r="AC78" s="3"/>
      <c r="AD78" s="3"/>
      <c r="AE78" s="3"/>
      <c r="AF78" s="3"/>
      <c r="AG78" s="4"/>
      <c r="AH78" s="4"/>
      <c r="AI78" s="4"/>
      <c r="AJ78" s="4"/>
      <c r="AK78" s="4"/>
      <c r="AL78" s="4"/>
      <c r="AM78" s="4"/>
      <c r="AN78" s="4"/>
      <c r="AO78" s="4"/>
      <c r="AP78" s="4"/>
      <c r="AQ78" s="4"/>
      <c r="AR78" s="4"/>
      <c r="AS78" s="4"/>
      <c r="AT78" s="4"/>
      <c r="AU78" s="4"/>
      <c r="AV78" s="4"/>
      <c r="AW78" s="4"/>
      <c r="AX78" s="4"/>
      <c r="AY78" s="4"/>
      <c r="AZ78" s="4"/>
      <c r="BA78" s="4"/>
      <c r="BB78" s="4"/>
      <c r="BC78" s="5"/>
      <c r="BD78" s="4"/>
      <c r="BE78" s="4"/>
      <c r="BF78" s="4"/>
      <c r="BG78" s="4"/>
      <c r="BH78" s="4"/>
      <c r="BI78" s="4"/>
      <c r="BJ78" s="4"/>
      <c r="BK78" s="4"/>
      <c r="BL78" s="4"/>
      <c r="BM78" s="4"/>
      <c r="BN78" s="4"/>
      <c r="BO78" s="4"/>
      <c r="BP78" s="4"/>
      <c r="BQ78" s="4"/>
      <c r="BR78" s="4"/>
    </row>
    <row r="79" spans="1:70">
      <c r="A79" s="3"/>
      <c r="B79" s="94"/>
      <c r="C79" s="94" t="s">
        <v>441</v>
      </c>
      <c r="D79" s="94" t="s">
        <v>442</v>
      </c>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4"/>
      <c r="AH79" s="4"/>
      <c r="AI79" s="4"/>
      <c r="AJ79" s="4"/>
      <c r="AK79" s="4"/>
      <c r="AL79" s="4"/>
      <c r="AM79" s="4"/>
      <c r="AN79" s="4"/>
      <c r="AO79" s="4"/>
      <c r="AP79" s="4"/>
      <c r="AQ79" s="4"/>
      <c r="AR79" s="4"/>
      <c r="AS79" s="4"/>
      <c r="AT79" s="4"/>
      <c r="AU79" s="4"/>
      <c r="AV79" s="4"/>
      <c r="AW79" s="4"/>
      <c r="AX79" s="4"/>
      <c r="AY79" s="4"/>
      <c r="AZ79" s="4"/>
      <c r="BA79" s="4"/>
      <c r="BB79" s="4"/>
      <c r="BC79" s="5"/>
      <c r="BD79" s="4"/>
      <c r="BE79" s="4"/>
      <c r="BF79" s="4"/>
      <c r="BG79" s="4"/>
      <c r="BH79" s="4"/>
      <c r="BI79" s="4"/>
      <c r="BJ79" s="4"/>
      <c r="BK79" s="4"/>
      <c r="BL79" s="4"/>
      <c r="BM79" s="4"/>
      <c r="BN79" s="4"/>
      <c r="BO79" s="4"/>
      <c r="BP79" s="4"/>
      <c r="BQ79" s="4"/>
      <c r="BR79" s="4"/>
    </row>
    <row r="80" spans="1:70">
      <c r="A80" s="3"/>
      <c r="B80" s="25" t="s">
        <v>443</v>
      </c>
      <c r="C80" s="25">
        <v>2773</v>
      </c>
      <c r="D80" s="25">
        <v>751</v>
      </c>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4"/>
      <c r="AH80" s="4"/>
      <c r="AI80" s="4"/>
      <c r="AJ80" s="4"/>
      <c r="AK80" s="4"/>
      <c r="AL80" s="4"/>
      <c r="AM80" s="4"/>
      <c r="AN80" s="4"/>
      <c r="AO80" s="4"/>
      <c r="AP80" s="4"/>
      <c r="AQ80" s="4"/>
      <c r="AR80" s="4"/>
      <c r="AS80" s="4"/>
      <c r="AT80" s="4"/>
      <c r="AU80" s="4"/>
      <c r="AV80" s="4"/>
      <c r="AW80" s="4"/>
      <c r="AX80" s="4"/>
      <c r="AY80" s="4"/>
      <c r="AZ80" s="4"/>
      <c r="BA80" s="4"/>
      <c r="BB80" s="4"/>
      <c r="BC80" s="5"/>
      <c r="BD80" s="4"/>
      <c r="BE80" s="4"/>
      <c r="BF80" s="4"/>
      <c r="BG80" s="4"/>
      <c r="BH80" s="4"/>
      <c r="BI80" s="4"/>
      <c r="BJ80" s="4"/>
      <c r="BK80" s="4"/>
      <c r="BL80" s="4"/>
      <c r="BM80" s="4"/>
      <c r="BN80" s="4"/>
      <c r="BO80" s="4"/>
      <c r="BP80" s="4"/>
      <c r="BQ80" s="4"/>
      <c r="BR80" s="4"/>
    </row>
    <row r="81" spans="1:70">
      <c r="A81" s="3"/>
      <c r="B81" s="25" t="s">
        <v>444</v>
      </c>
      <c r="C81" s="25">
        <v>2152</v>
      </c>
      <c r="D81" s="25">
        <v>577</v>
      </c>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4"/>
      <c r="AH81" s="4"/>
      <c r="AI81" s="4"/>
      <c r="AJ81" s="4"/>
      <c r="AK81" s="4"/>
      <c r="AL81" s="4"/>
      <c r="AM81" s="4"/>
      <c r="AN81" s="4"/>
      <c r="AO81" s="4"/>
      <c r="AP81" s="4"/>
      <c r="AQ81" s="4"/>
      <c r="AR81" s="4"/>
      <c r="AS81" s="4"/>
      <c r="AT81" s="4"/>
      <c r="AU81" s="4"/>
      <c r="AV81" s="4"/>
      <c r="AW81" s="4"/>
      <c r="AX81" s="4"/>
      <c r="AY81" s="4"/>
      <c r="AZ81" s="4"/>
      <c r="BA81" s="4"/>
      <c r="BB81" s="4"/>
      <c r="BC81" s="5"/>
      <c r="BD81" s="4"/>
      <c r="BE81" s="4"/>
      <c r="BF81" s="4"/>
      <c r="BG81" s="4"/>
      <c r="BH81" s="4"/>
      <c r="BI81" s="4"/>
      <c r="BJ81" s="4"/>
      <c r="BK81" s="4"/>
      <c r="BL81" s="4"/>
      <c r="BM81" s="4"/>
      <c r="BN81" s="4"/>
      <c r="BO81" s="4"/>
      <c r="BP81" s="4"/>
      <c r="BQ81" s="4"/>
      <c r="BR81" s="4"/>
    </row>
    <row r="82" spans="1:70" ht="24">
      <c r="A82" s="3"/>
      <c r="B82" s="25" t="s">
        <v>445</v>
      </c>
      <c r="C82" s="25">
        <v>3122</v>
      </c>
      <c r="D82" s="25">
        <v>180</v>
      </c>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4"/>
      <c r="AH82" s="4"/>
      <c r="AI82" s="4"/>
      <c r="AJ82" s="4"/>
      <c r="AK82" s="4"/>
      <c r="AL82" s="4"/>
      <c r="AM82" s="4"/>
      <c r="AN82" s="4"/>
      <c r="AO82" s="4"/>
      <c r="AP82" s="4"/>
      <c r="AQ82" s="4"/>
      <c r="AR82" s="4"/>
      <c r="AS82" s="4"/>
      <c r="AT82" s="4"/>
      <c r="AU82" s="4"/>
      <c r="AV82" s="4"/>
      <c r="AW82" s="4"/>
      <c r="AX82" s="4"/>
      <c r="AY82" s="4"/>
      <c r="AZ82" s="4"/>
      <c r="BA82" s="4"/>
      <c r="BB82" s="4"/>
      <c r="BC82" s="5"/>
      <c r="BD82" s="4"/>
      <c r="BE82" s="4"/>
      <c r="BF82" s="4"/>
      <c r="BG82" s="4"/>
      <c r="BH82" s="4"/>
      <c r="BI82" s="4"/>
      <c r="BJ82" s="4"/>
      <c r="BK82" s="4"/>
      <c r="BL82" s="4"/>
      <c r="BM82" s="4"/>
      <c r="BN82" s="4"/>
      <c r="BO82" s="4"/>
      <c r="BP82" s="4"/>
      <c r="BQ82" s="4"/>
      <c r="BR82" s="4"/>
    </row>
    <row r="83" spans="1:70">
      <c r="A83" s="3"/>
      <c r="B83" s="25" t="s">
        <v>446</v>
      </c>
      <c r="C83" s="25">
        <v>753</v>
      </c>
      <c r="D83" s="25">
        <v>502</v>
      </c>
      <c r="F83" s="83"/>
      <c r="G83" s="83"/>
      <c r="H83" s="83"/>
      <c r="I83" s="3"/>
      <c r="J83" s="3"/>
      <c r="K83" s="3"/>
      <c r="L83" s="3"/>
      <c r="M83" s="3"/>
      <c r="N83" s="3"/>
      <c r="O83" s="3"/>
      <c r="P83" s="3"/>
      <c r="Q83" s="3"/>
      <c r="R83" s="3"/>
      <c r="S83" s="3"/>
      <c r="T83" s="3"/>
      <c r="U83" s="3"/>
      <c r="V83" s="3"/>
      <c r="W83" s="3"/>
      <c r="X83" s="3"/>
      <c r="Y83" s="3"/>
      <c r="Z83" s="3"/>
      <c r="AA83" s="3"/>
      <c r="AB83" s="3"/>
      <c r="AC83" s="3"/>
      <c r="AD83" s="3"/>
      <c r="AE83" s="3"/>
      <c r="AF83" s="3"/>
      <c r="AG83" s="4"/>
      <c r="AH83" s="4"/>
      <c r="AI83" s="4"/>
      <c r="AJ83" s="4"/>
      <c r="AK83" s="4"/>
      <c r="AL83" s="4"/>
      <c r="AM83" s="4"/>
      <c r="AN83" s="4"/>
      <c r="AO83" s="4"/>
      <c r="AP83" s="4"/>
      <c r="AQ83" s="4"/>
      <c r="AR83" s="4"/>
      <c r="AS83" s="4"/>
      <c r="AT83" s="4"/>
      <c r="AU83" s="4"/>
      <c r="AV83" s="4"/>
      <c r="AW83" s="4"/>
      <c r="AX83" s="4"/>
      <c r="AY83" s="4"/>
      <c r="AZ83" s="4"/>
      <c r="BA83" s="4"/>
      <c r="BB83" s="4"/>
      <c r="BC83" s="5"/>
      <c r="BD83" s="4"/>
      <c r="BE83" s="4"/>
      <c r="BF83" s="4"/>
      <c r="BG83" s="4"/>
      <c r="BH83" s="4"/>
      <c r="BI83" s="4"/>
      <c r="BJ83" s="4"/>
      <c r="BK83" s="4"/>
      <c r="BL83" s="4"/>
      <c r="BM83" s="4"/>
      <c r="BN83" s="4"/>
      <c r="BO83" s="4"/>
      <c r="BP83" s="4"/>
      <c r="BQ83" s="4"/>
      <c r="BR83" s="4"/>
    </row>
    <row r="84" spans="1:70">
      <c r="A84" s="3"/>
      <c r="B84" s="94" t="s">
        <v>447</v>
      </c>
      <c r="C84" s="94">
        <v>979</v>
      </c>
      <c r="D84" s="94">
        <v>44</v>
      </c>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4"/>
      <c r="AH84" s="4"/>
      <c r="AI84" s="4"/>
      <c r="AJ84" s="4"/>
      <c r="AK84" s="4"/>
      <c r="AL84" s="4"/>
      <c r="AM84" s="4"/>
      <c r="AN84" s="4"/>
      <c r="AO84" s="4"/>
      <c r="AP84" s="4"/>
      <c r="AQ84" s="4"/>
      <c r="AR84" s="4"/>
      <c r="AS84" s="4"/>
      <c r="AT84" s="4"/>
      <c r="AU84" s="4"/>
      <c r="AV84" s="4"/>
      <c r="AW84" s="4"/>
      <c r="AX84" s="4"/>
      <c r="AY84" s="4"/>
      <c r="AZ84" s="4"/>
      <c r="BA84" s="4"/>
      <c r="BB84" s="4"/>
      <c r="BC84" s="5"/>
      <c r="BD84" s="4"/>
      <c r="BE84" s="4"/>
      <c r="BF84" s="4"/>
      <c r="BG84" s="4"/>
      <c r="BH84" s="4"/>
      <c r="BI84" s="4"/>
      <c r="BJ84" s="4"/>
      <c r="BK84" s="4"/>
      <c r="BL84" s="4"/>
      <c r="BM84" s="4"/>
      <c r="BN84" s="4"/>
      <c r="BO84" s="4"/>
      <c r="BP84" s="4"/>
      <c r="BQ84" s="4"/>
      <c r="BR84" s="4"/>
    </row>
    <row r="85" spans="1:70">
      <c r="A85" s="3"/>
      <c r="B85" s="3" t="s">
        <v>436</v>
      </c>
      <c r="C85" s="3">
        <f t="shared" ref="C85:D85" si="17">SUM(C80:C84)</f>
        <v>9779</v>
      </c>
      <c r="D85" s="3">
        <f t="shared" si="17"/>
        <v>2054</v>
      </c>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4"/>
      <c r="AH85" s="4"/>
      <c r="AI85" s="4"/>
      <c r="AJ85" s="4"/>
      <c r="AK85" s="4"/>
      <c r="AL85" s="4"/>
      <c r="AM85" s="4"/>
      <c r="AN85" s="4"/>
      <c r="AO85" s="4"/>
      <c r="AP85" s="4"/>
      <c r="AQ85" s="4"/>
      <c r="AR85" s="4"/>
      <c r="AS85" s="4"/>
      <c r="AT85" s="4"/>
      <c r="AU85" s="4"/>
      <c r="AV85" s="4"/>
      <c r="AW85" s="4"/>
      <c r="AX85" s="4"/>
      <c r="AY85" s="4"/>
      <c r="AZ85" s="4"/>
      <c r="BA85" s="4"/>
      <c r="BB85" s="4"/>
      <c r="BC85" s="5"/>
      <c r="BD85" s="4"/>
      <c r="BE85" s="4"/>
      <c r="BF85" s="4"/>
      <c r="BG85" s="4"/>
      <c r="BH85" s="4"/>
      <c r="BI85" s="4"/>
      <c r="BJ85" s="4"/>
      <c r="BK85" s="4"/>
      <c r="BL85" s="4"/>
      <c r="BM85" s="4"/>
      <c r="BN85" s="4"/>
      <c r="BO85" s="4"/>
      <c r="BP85" s="4"/>
      <c r="BQ85" s="4"/>
      <c r="BR85" s="4"/>
    </row>
    <row r="86" spans="1:70">
      <c r="A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4"/>
      <c r="AH86" s="4"/>
      <c r="AI86" s="4"/>
      <c r="AJ86" s="4"/>
      <c r="AK86" s="4"/>
      <c r="AL86" s="4"/>
      <c r="AM86" s="4"/>
      <c r="AN86" s="4"/>
      <c r="AO86" s="4"/>
      <c r="AP86" s="4"/>
      <c r="AQ86" s="4"/>
      <c r="AR86" s="4"/>
      <c r="AS86" s="4"/>
      <c r="AT86" s="4"/>
      <c r="AU86" s="4"/>
      <c r="AV86" s="4"/>
      <c r="AW86" s="4"/>
      <c r="AX86" s="4"/>
      <c r="AY86" s="4"/>
      <c r="AZ86" s="4"/>
      <c r="BA86" s="4"/>
      <c r="BB86" s="4"/>
      <c r="BC86" s="5"/>
      <c r="BD86" s="4"/>
      <c r="BE86" s="4"/>
      <c r="BF86" s="4"/>
      <c r="BG86" s="4"/>
      <c r="BH86" s="4"/>
      <c r="BI86" s="4"/>
      <c r="BJ86" s="4"/>
      <c r="BK86" s="4"/>
      <c r="BL86" s="4"/>
      <c r="BM86" s="4"/>
      <c r="BN86" s="4"/>
      <c r="BO86" s="4"/>
      <c r="BP86" s="4"/>
      <c r="BQ86" s="4"/>
      <c r="BR86" s="4"/>
    </row>
    <row r="87" spans="1:70">
      <c r="A87" s="3"/>
      <c r="B87" s="660" t="s">
        <v>448</v>
      </c>
      <c r="C87" s="775"/>
      <c r="D87" s="770"/>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4"/>
      <c r="AH87" s="4"/>
      <c r="AI87" s="4"/>
      <c r="AJ87" s="4"/>
      <c r="AK87" s="4"/>
      <c r="AL87" s="4"/>
      <c r="AM87" s="4"/>
      <c r="AN87" s="4"/>
      <c r="AO87" s="4"/>
      <c r="AP87" s="4"/>
      <c r="AQ87" s="4"/>
      <c r="AR87" s="4"/>
      <c r="AS87" s="4"/>
      <c r="AT87" s="4"/>
      <c r="AU87" s="4"/>
      <c r="AV87" s="4"/>
      <c r="AW87" s="4"/>
      <c r="AX87" s="4"/>
      <c r="AY87" s="4"/>
      <c r="AZ87" s="4"/>
      <c r="BA87" s="4"/>
      <c r="BB87" s="4"/>
      <c r="BC87" s="5"/>
      <c r="BD87" s="4"/>
      <c r="BE87" s="4"/>
      <c r="BF87" s="4"/>
      <c r="BG87" s="4"/>
      <c r="BH87" s="4"/>
      <c r="BI87" s="4"/>
      <c r="BJ87" s="4"/>
      <c r="BK87" s="4"/>
      <c r="BL87" s="4"/>
      <c r="BM87" s="4"/>
      <c r="BN87" s="4"/>
      <c r="BO87" s="4"/>
      <c r="BP87" s="4"/>
      <c r="BQ87" s="4"/>
      <c r="BR87" s="4"/>
    </row>
    <row r="88" spans="1:70" ht="14.25">
      <c r="A88" s="3"/>
      <c r="B88" s="95"/>
      <c r="C88" s="95" t="s">
        <v>449</v>
      </c>
      <c r="D88" s="95" t="s">
        <v>450</v>
      </c>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4"/>
      <c r="AH88" s="4"/>
      <c r="AI88" s="4"/>
      <c r="AJ88" s="4"/>
      <c r="AK88" s="4"/>
      <c r="AL88" s="4"/>
      <c r="AM88" s="4"/>
      <c r="AN88" s="4"/>
      <c r="AO88" s="4"/>
      <c r="AP88" s="4"/>
      <c r="AQ88" s="4"/>
      <c r="AR88" s="4"/>
      <c r="AS88" s="4"/>
      <c r="AT88" s="4"/>
      <c r="AU88" s="4"/>
      <c r="AV88" s="4"/>
      <c r="AW88" s="4"/>
      <c r="AX88" s="4"/>
      <c r="AY88" s="4"/>
      <c r="AZ88" s="4"/>
      <c r="BA88" s="4"/>
      <c r="BB88" s="4"/>
      <c r="BC88" s="5"/>
      <c r="BD88" s="4"/>
      <c r="BE88" s="4"/>
      <c r="BF88" s="4"/>
      <c r="BG88" s="4"/>
      <c r="BH88" s="4"/>
      <c r="BI88" s="4"/>
      <c r="BJ88" s="4"/>
      <c r="BK88" s="4"/>
      <c r="BL88" s="4"/>
      <c r="BM88" s="4"/>
      <c r="BN88" s="4"/>
      <c r="BO88" s="4"/>
      <c r="BP88" s="4"/>
      <c r="BQ88" s="4"/>
      <c r="BR88" s="4"/>
    </row>
    <row r="89" spans="1:70" ht="14.25">
      <c r="A89" s="3"/>
      <c r="B89" s="95" t="s">
        <v>451</v>
      </c>
      <c r="C89" s="96">
        <v>51</v>
      </c>
      <c r="D89" s="96">
        <v>46</v>
      </c>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4"/>
      <c r="AH89" s="4"/>
      <c r="AI89" s="4"/>
      <c r="AJ89" s="4"/>
      <c r="AK89" s="4"/>
      <c r="AL89" s="4"/>
      <c r="AM89" s="4"/>
      <c r="AN89" s="4"/>
      <c r="AO89" s="4"/>
      <c r="AP89" s="4"/>
      <c r="AQ89" s="4"/>
      <c r="AR89" s="4"/>
      <c r="AS89" s="4"/>
      <c r="AT89" s="4"/>
      <c r="AU89" s="4"/>
      <c r="AV89" s="4"/>
      <c r="AW89" s="4"/>
      <c r="AX89" s="4"/>
      <c r="AY89" s="4"/>
      <c r="AZ89" s="4"/>
      <c r="BA89" s="4"/>
      <c r="BB89" s="4"/>
      <c r="BC89" s="5"/>
      <c r="BD89" s="4"/>
      <c r="BE89" s="4"/>
      <c r="BF89" s="4"/>
      <c r="BG89" s="4"/>
      <c r="BH89" s="4"/>
      <c r="BI89" s="4"/>
      <c r="BJ89" s="4"/>
      <c r="BK89" s="4"/>
      <c r="BL89" s="4"/>
      <c r="BM89" s="4"/>
      <c r="BN89" s="4"/>
      <c r="BO89" s="4"/>
      <c r="BP89" s="4"/>
      <c r="BQ89" s="4"/>
      <c r="BR89" s="4"/>
    </row>
    <row r="90" spans="1:70" ht="14.25">
      <c r="A90" s="3"/>
      <c r="B90" s="95" t="s">
        <v>452</v>
      </c>
      <c r="C90" s="96">
        <v>8</v>
      </c>
      <c r="D90" s="96">
        <v>8</v>
      </c>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4"/>
      <c r="AH90" s="4"/>
      <c r="AI90" s="4"/>
      <c r="AJ90" s="4"/>
      <c r="AK90" s="4"/>
      <c r="AL90" s="4"/>
      <c r="AM90" s="4"/>
      <c r="AN90" s="4"/>
      <c r="AO90" s="4"/>
      <c r="AP90" s="4"/>
      <c r="AQ90" s="4"/>
      <c r="AR90" s="4"/>
      <c r="AS90" s="4"/>
      <c r="AT90" s="4"/>
      <c r="AU90" s="4"/>
      <c r="AV90" s="4"/>
      <c r="AW90" s="4"/>
      <c r="AX90" s="4"/>
      <c r="AY90" s="4"/>
      <c r="AZ90" s="4"/>
      <c r="BA90" s="4"/>
      <c r="BB90" s="4"/>
      <c r="BC90" s="5"/>
      <c r="BD90" s="4"/>
      <c r="BE90" s="4"/>
      <c r="BF90" s="4"/>
      <c r="BG90" s="4"/>
      <c r="BH90" s="4"/>
      <c r="BI90" s="4"/>
      <c r="BJ90" s="4"/>
      <c r="BK90" s="4"/>
      <c r="BL90" s="4"/>
      <c r="BM90" s="4"/>
      <c r="BN90" s="4"/>
      <c r="BO90" s="4"/>
      <c r="BP90" s="4"/>
      <c r="BQ90" s="4"/>
      <c r="BR90" s="4"/>
    </row>
    <row r="91" spans="1:70" ht="14.25">
      <c r="A91" s="3"/>
      <c r="B91" s="95" t="s">
        <v>453</v>
      </c>
      <c r="C91" s="96">
        <v>37</v>
      </c>
      <c r="D91" s="96">
        <v>32</v>
      </c>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4"/>
      <c r="AH91" s="4"/>
      <c r="AI91" s="4"/>
      <c r="AJ91" s="4"/>
      <c r="AK91" s="4"/>
      <c r="AL91" s="4"/>
      <c r="AM91" s="4"/>
      <c r="AN91" s="4"/>
      <c r="AO91" s="4"/>
      <c r="AP91" s="4"/>
      <c r="AQ91" s="4"/>
      <c r="AR91" s="4"/>
      <c r="AS91" s="4"/>
      <c r="AT91" s="4"/>
      <c r="AU91" s="4"/>
      <c r="AV91" s="4"/>
      <c r="AW91" s="4"/>
      <c r="AX91" s="4"/>
      <c r="AY91" s="4"/>
      <c r="AZ91" s="4"/>
      <c r="BA91" s="4"/>
      <c r="BB91" s="4"/>
      <c r="BC91" s="5"/>
      <c r="BD91" s="4"/>
      <c r="BE91" s="4"/>
      <c r="BF91" s="4"/>
      <c r="BG91" s="4"/>
      <c r="BH91" s="4"/>
      <c r="BI91" s="4"/>
      <c r="BJ91" s="4"/>
      <c r="BK91" s="4"/>
      <c r="BL91" s="4"/>
      <c r="BM91" s="4"/>
      <c r="BN91" s="4"/>
      <c r="BO91" s="4"/>
      <c r="BP91" s="4"/>
      <c r="BQ91" s="4"/>
      <c r="BR91" s="4"/>
    </row>
    <row r="92" spans="1:70" ht="14.25">
      <c r="A92" s="3"/>
      <c r="B92" s="95" t="s">
        <v>454</v>
      </c>
      <c r="C92" s="96">
        <v>52</v>
      </c>
      <c r="D92" s="96">
        <v>47</v>
      </c>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4"/>
      <c r="AH92" s="4"/>
      <c r="AI92" s="4"/>
      <c r="AJ92" s="4"/>
      <c r="AK92" s="4"/>
      <c r="AL92" s="4"/>
      <c r="AM92" s="4"/>
      <c r="AN92" s="4"/>
      <c r="AO92" s="4"/>
      <c r="AP92" s="4"/>
      <c r="AQ92" s="4"/>
      <c r="AR92" s="4"/>
      <c r="AS92" s="4"/>
      <c r="AT92" s="4"/>
      <c r="AU92" s="4"/>
      <c r="AV92" s="4"/>
      <c r="AW92" s="4"/>
      <c r="AX92" s="4"/>
      <c r="AY92" s="4"/>
      <c r="AZ92" s="4"/>
      <c r="BA92" s="4"/>
      <c r="BB92" s="4"/>
      <c r="BC92" s="5"/>
      <c r="BD92" s="4"/>
      <c r="BE92" s="4"/>
      <c r="BF92" s="4"/>
      <c r="BG92" s="4"/>
      <c r="BH92" s="4"/>
      <c r="BI92" s="4"/>
      <c r="BJ92" s="4"/>
      <c r="BK92" s="4"/>
      <c r="BL92" s="4"/>
      <c r="BM92" s="4"/>
      <c r="BN92" s="4"/>
      <c r="BO92" s="4"/>
      <c r="BP92" s="4"/>
      <c r="BQ92" s="4"/>
      <c r="BR92" s="4"/>
    </row>
    <row r="93" spans="1:70" ht="14.25">
      <c r="A93" s="3"/>
      <c r="B93" s="95" t="s">
        <v>455</v>
      </c>
      <c r="C93" s="96">
        <v>76</v>
      </c>
      <c r="D93" s="96">
        <v>68</v>
      </c>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4"/>
      <c r="AH93" s="4"/>
      <c r="AI93" s="4"/>
      <c r="AJ93" s="4"/>
      <c r="AK93" s="4"/>
      <c r="AL93" s="4"/>
      <c r="AM93" s="4"/>
      <c r="AN93" s="4"/>
      <c r="AO93" s="4"/>
      <c r="AP93" s="4"/>
      <c r="AQ93" s="4"/>
      <c r="AR93" s="4"/>
      <c r="AS93" s="4"/>
      <c r="AT93" s="4"/>
      <c r="AU93" s="4"/>
      <c r="AV93" s="4"/>
      <c r="AW93" s="4"/>
      <c r="AX93" s="4"/>
      <c r="AY93" s="4"/>
      <c r="AZ93" s="4"/>
      <c r="BA93" s="4"/>
      <c r="BB93" s="4"/>
      <c r="BC93" s="5"/>
      <c r="BD93" s="4"/>
      <c r="BE93" s="4"/>
      <c r="BF93" s="4"/>
      <c r="BG93" s="4"/>
      <c r="BH93" s="4"/>
      <c r="BI93" s="4"/>
      <c r="BJ93" s="4"/>
      <c r="BK93" s="4"/>
      <c r="BL93" s="4"/>
      <c r="BM93" s="4"/>
      <c r="BN93" s="4"/>
      <c r="BO93" s="4"/>
      <c r="BP93" s="4"/>
      <c r="BQ93" s="4"/>
      <c r="BR93" s="4"/>
    </row>
    <row r="94" spans="1:70" ht="14.25">
      <c r="A94" s="3"/>
      <c r="B94" s="95" t="s">
        <v>456</v>
      </c>
      <c r="C94" s="96">
        <v>25</v>
      </c>
      <c r="D94" s="96">
        <v>21</v>
      </c>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4"/>
      <c r="AH94" s="4"/>
      <c r="AI94" s="4"/>
      <c r="AJ94" s="4"/>
      <c r="AK94" s="4"/>
      <c r="AL94" s="4"/>
      <c r="AM94" s="4"/>
      <c r="AN94" s="4"/>
      <c r="AO94" s="4"/>
      <c r="AP94" s="4"/>
      <c r="AQ94" s="4"/>
      <c r="AR94" s="4"/>
      <c r="AS94" s="4"/>
      <c r="AT94" s="4"/>
      <c r="AU94" s="4"/>
      <c r="AV94" s="4"/>
      <c r="AW94" s="4"/>
      <c r="AX94" s="4"/>
      <c r="AY94" s="4"/>
      <c r="AZ94" s="4"/>
      <c r="BA94" s="4"/>
      <c r="BB94" s="4"/>
      <c r="BC94" s="5"/>
      <c r="BD94" s="4"/>
      <c r="BE94" s="4"/>
      <c r="BF94" s="4"/>
      <c r="BG94" s="4"/>
      <c r="BH94" s="4"/>
      <c r="BI94" s="4"/>
      <c r="BJ94" s="4"/>
      <c r="BK94" s="4"/>
      <c r="BL94" s="4"/>
      <c r="BM94" s="4"/>
      <c r="BN94" s="4"/>
      <c r="BO94" s="4"/>
      <c r="BP94" s="4"/>
      <c r="BQ94" s="4"/>
      <c r="BR94" s="4"/>
    </row>
    <row r="95" spans="1:70" ht="14.25">
      <c r="A95" s="3"/>
      <c r="B95" s="95" t="s">
        <v>457</v>
      </c>
      <c r="C95" s="96">
        <v>205</v>
      </c>
      <c r="D95" s="96">
        <v>205</v>
      </c>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4"/>
      <c r="AH95" s="4"/>
      <c r="AI95" s="4"/>
      <c r="AJ95" s="4"/>
      <c r="AK95" s="4"/>
      <c r="AL95" s="4"/>
      <c r="AM95" s="4"/>
      <c r="AN95" s="4"/>
      <c r="AO95" s="4"/>
      <c r="AP95" s="4"/>
      <c r="AQ95" s="4"/>
      <c r="AR95" s="4"/>
      <c r="AS95" s="4"/>
      <c r="AT95" s="4"/>
      <c r="AU95" s="4"/>
      <c r="AV95" s="4"/>
      <c r="AW95" s="4"/>
      <c r="AX95" s="4"/>
      <c r="AY95" s="4"/>
      <c r="AZ95" s="4"/>
      <c r="BA95" s="4"/>
      <c r="BB95" s="4"/>
      <c r="BC95" s="5"/>
      <c r="BD95" s="4"/>
      <c r="BE95" s="4"/>
      <c r="BF95" s="4"/>
      <c r="BG95" s="4"/>
      <c r="BH95" s="4"/>
      <c r="BI95" s="4"/>
      <c r="BJ95" s="4"/>
      <c r="BK95" s="4"/>
      <c r="BL95" s="4"/>
      <c r="BM95" s="4"/>
      <c r="BN95" s="4"/>
      <c r="BO95" s="4"/>
      <c r="BP95" s="4"/>
      <c r="BQ95" s="4"/>
      <c r="BR95" s="4"/>
    </row>
    <row r="96" spans="1:70" ht="14.25">
      <c r="A96" s="3"/>
      <c r="B96" s="95" t="s">
        <v>458</v>
      </c>
      <c r="C96" s="96">
        <v>17</v>
      </c>
      <c r="D96" s="96">
        <v>17</v>
      </c>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4"/>
      <c r="AH96" s="4"/>
      <c r="AI96" s="4"/>
      <c r="AJ96" s="4"/>
      <c r="AK96" s="4"/>
      <c r="AL96" s="4"/>
      <c r="AM96" s="4"/>
      <c r="AN96" s="4"/>
      <c r="AO96" s="4"/>
      <c r="AP96" s="4"/>
      <c r="AQ96" s="4"/>
      <c r="AR96" s="4"/>
      <c r="AS96" s="4"/>
      <c r="AT96" s="4"/>
      <c r="AU96" s="4"/>
      <c r="AV96" s="4"/>
      <c r="AW96" s="4"/>
      <c r="AX96" s="4"/>
      <c r="AY96" s="4"/>
      <c r="AZ96" s="4"/>
      <c r="BA96" s="4"/>
      <c r="BB96" s="4"/>
      <c r="BC96" s="5"/>
      <c r="BD96" s="4"/>
      <c r="BE96" s="4"/>
      <c r="BF96" s="4"/>
      <c r="BG96" s="4"/>
      <c r="BH96" s="4"/>
      <c r="BI96" s="4"/>
      <c r="BJ96" s="4"/>
      <c r="BK96" s="4"/>
      <c r="BL96" s="4"/>
      <c r="BM96" s="4"/>
      <c r="BN96" s="4"/>
      <c r="BO96" s="4"/>
      <c r="BP96" s="4"/>
      <c r="BQ96" s="4"/>
      <c r="BR96" s="4"/>
    </row>
    <row r="97" spans="1:70" ht="14.25">
      <c r="A97" s="3"/>
      <c r="B97" s="95" t="s">
        <v>459</v>
      </c>
      <c r="C97" s="96">
        <v>39</v>
      </c>
      <c r="D97" s="96">
        <v>23</v>
      </c>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4"/>
      <c r="AH97" s="4"/>
      <c r="AI97" s="4"/>
      <c r="AJ97" s="4"/>
      <c r="AK97" s="4"/>
      <c r="AL97" s="4"/>
      <c r="AM97" s="4"/>
      <c r="AN97" s="4"/>
      <c r="AO97" s="4"/>
      <c r="AP97" s="4"/>
      <c r="AQ97" s="4"/>
      <c r="AR97" s="4"/>
      <c r="AS97" s="4"/>
      <c r="AT97" s="4"/>
      <c r="AU97" s="4"/>
      <c r="AV97" s="4"/>
      <c r="AW97" s="4"/>
      <c r="AX97" s="4"/>
      <c r="AY97" s="4"/>
      <c r="AZ97" s="4"/>
      <c r="BA97" s="4"/>
      <c r="BB97" s="4"/>
      <c r="BC97" s="5"/>
      <c r="BD97" s="4"/>
      <c r="BE97" s="4"/>
      <c r="BF97" s="4"/>
      <c r="BG97" s="4"/>
      <c r="BH97" s="4"/>
      <c r="BI97" s="4"/>
      <c r="BJ97" s="4"/>
      <c r="BK97" s="4"/>
      <c r="BL97" s="4"/>
      <c r="BM97" s="4"/>
      <c r="BN97" s="4"/>
      <c r="BO97" s="4"/>
      <c r="BP97" s="4"/>
      <c r="BQ97" s="4"/>
      <c r="BR97" s="4"/>
    </row>
    <row r="98" spans="1:70" ht="14.25">
      <c r="A98" s="3"/>
      <c r="B98" s="95" t="s">
        <v>460</v>
      </c>
      <c r="C98" s="96">
        <v>150</v>
      </c>
      <c r="D98" s="96">
        <v>98</v>
      </c>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4"/>
      <c r="AH98" s="4"/>
      <c r="AI98" s="4"/>
      <c r="AJ98" s="4"/>
      <c r="AK98" s="4"/>
      <c r="AL98" s="4"/>
      <c r="AM98" s="4"/>
      <c r="AN98" s="4"/>
      <c r="AO98" s="4"/>
      <c r="AP98" s="4"/>
      <c r="AQ98" s="4"/>
      <c r="AR98" s="4"/>
      <c r="AS98" s="4"/>
      <c r="AT98" s="4"/>
      <c r="AU98" s="4"/>
      <c r="AV98" s="4"/>
      <c r="AW98" s="4"/>
      <c r="AX98" s="4"/>
      <c r="AY98" s="4"/>
      <c r="AZ98" s="4"/>
      <c r="BA98" s="4"/>
      <c r="BB98" s="4"/>
      <c r="BC98" s="5"/>
      <c r="BD98" s="4"/>
      <c r="BE98" s="4"/>
      <c r="BF98" s="4"/>
      <c r="BG98" s="4"/>
      <c r="BH98" s="4"/>
      <c r="BI98" s="4"/>
      <c r="BJ98" s="4"/>
      <c r="BK98" s="4"/>
      <c r="BL98" s="4"/>
      <c r="BM98" s="4"/>
      <c r="BN98" s="4"/>
      <c r="BO98" s="4"/>
      <c r="BP98" s="4"/>
      <c r="BQ98" s="4"/>
      <c r="BR98" s="4"/>
    </row>
    <row r="99" spans="1:70" ht="14.25">
      <c r="A99" s="3"/>
      <c r="B99" s="97" t="s">
        <v>436</v>
      </c>
      <c r="C99" s="70">
        <v>660</v>
      </c>
      <c r="D99" s="70">
        <v>565</v>
      </c>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4"/>
      <c r="AH99" s="4"/>
      <c r="AI99" s="4"/>
      <c r="AJ99" s="4"/>
      <c r="AK99" s="4"/>
      <c r="AL99" s="4"/>
      <c r="AM99" s="4"/>
      <c r="AN99" s="4"/>
      <c r="AO99" s="4"/>
      <c r="AP99" s="4"/>
      <c r="AQ99" s="4"/>
      <c r="AR99" s="4"/>
      <c r="AS99" s="4"/>
      <c r="AT99" s="4"/>
      <c r="AU99" s="4"/>
      <c r="AV99" s="4"/>
      <c r="AW99" s="4"/>
      <c r="AX99" s="4"/>
      <c r="AY99" s="4"/>
      <c r="AZ99" s="4"/>
      <c r="BA99" s="4"/>
      <c r="BB99" s="4"/>
      <c r="BC99" s="5"/>
      <c r="BD99" s="4"/>
      <c r="BE99" s="4"/>
      <c r="BF99" s="4"/>
      <c r="BG99" s="4"/>
      <c r="BH99" s="4"/>
      <c r="BI99" s="4"/>
      <c r="BJ99" s="4"/>
      <c r="BK99" s="4"/>
      <c r="BL99" s="4"/>
      <c r="BM99" s="4"/>
      <c r="BN99" s="4"/>
      <c r="BO99" s="4"/>
      <c r="BP99" s="4"/>
      <c r="BQ99" s="4"/>
      <c r="BR99" s="4"/>
    </row>
    <row r="100" spans="1:7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4"/>
      <c r="AH100" s="4"/>
      <c r="AI100" s="4"/>
      <c r="AJ100" s="4"/>
      <c r="AK100" s="4"/>
      <c r="AL100" s="4"/>
      <c r="AM100" s="4"/>
      <c r="AN100" s="4"/>
      <c r="AO100" s="4"/>
      <c r="AP100" s="4"/>
      <c r="AQ100" s="4"/>
      <c r="AR100" s="4"/>
      <c r="AS100" s="4"/>
      <c r="AT100" s="4"/>
      <c r="AU100" s="4"/>
      <c r="AV100" s="4"/>
      <c r="AW100" s="4"/>
      <c r="AX100" s="4"/>
      <c r="AY100" s="4"/>
      <c r="AZ100" s="4"/>
      <c r="BA100" s="4"/>
      <c r="BB100" s="4"/>
      <c r="BC100" s="5"/>
      <c r="BD100" s="4"/>
      <c r="BE100" s="4"/>
      <c r="BF100" s="4"/>
      <c r="BG100" s="4"/>
      <c r="BH100" s="4"/>
      <c r="BI100" s="4"/>
      <c r="BJ100" s="4"/>
      <c r="BK100" s="4"/>
      <c r="BL100" s="4"/>
      <c r="BM100" s="4"/>
      <c r="BN100" s="4"/>
      <c r="BO100" s="4"/>
      <c r="BP100" s="4"/>
      <c r="BQ100" s="4"/>
      <c r="BR100" s="4"/>
    </row>
    <row r="101" spans="1:70">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4"/>
      <c r="AH101" s="4"/>
      <c r="AI101" s="4"/>
      <c r="AJ101" s="4"/>
      <c r="AK101" s="4"/>
      <c r="AL101" s="4"/>
      <c r="AM101" s="4"/>
      <c r="AN101" s="4"/>
      <c r="AO101" s="4"/>
      <c r="AP101" s="4"/>
      <c r="AQ101" s="4"/>
      <c r="AR101" s="4"/>
      <c r="AS101" s="4"/>
      <c r="AT101" s="4"/>
      <c r="AU101" s="4"/>
      <c r="AV101" s="4"/>
      <c r="AW101" s="4"/>
      <c r="AX101" s="4"/>
      <c r="AY101" s="4"/>
      <c r="AZ101" s="4"/>
      <c r="BA101" s="4"/>
      <c r="BB101" s="4"/>
      <c r="BC101" s="5"/>
      <c r="BD101" s="4"/>
      <c r="BE101" s="4"/>
      <c r="BF101" s="4"/>
      <c r="BG101" s="4"/>
      <c r="BH101" s="4"/>
      <c r="BI101" s="4"/>
      <c r="BJ101" s="4"/>
      <c r="BK101" s="4"/>
      <c r="BL101" s="4"/>
      <c r="BM101" s="4"/>
      <c r="BN101" s="4"/>
      <c r="BO101" s="4"/>
      <c r="BP101" s="4"/>
      <c r="BQ101" s="4"/>
      <c r="BR101" s="4"/>
    </row>
    <row r="102" spans="1:70">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4"/>
      <c r="AH102" s="4"/>
      <c r="AI102" s="4"/>
      <c r="AJ102" s="4"/>
      <c r="AK102" s="4"/>
      <c r="AL102" s="4"/>
      <c r="AM102" s="4"/>
      <c r="AN102" s="4"/>
      <c r="AO102" s="4"/>
      <c r="AP102" s="4"/>
      <c r="AQ102" s="4"/>
      <c r="AR102" s="4"/>
      <c r="AS102" s="4"/>
      <c r="AT102" s="4"/>
      <c r="AU102" s="4"/>
      <c r="AV102" s="4"/>
      <c r="AW102" s="4"/>
      <c r="AX102" s="4"/>
      <c r="AY102" s="4"/>
      <c r="AZ102" s="4"/>
      <c r="BA102" s="4"/>
      <c r="BB102" s="4"/>
      <c r="BC102" s="5"/>
      <c r="BD102" s="4"/>
      <c r="BE102" s="4"/>
      <c r="BF102" s="4"/>
      <c r="BG102" s="4"/>
      <c r="BH102" s="4"/>
      <c r="BI102" s="4"/>
      <c r="BJ102" s="4"/>
      <c r="BK102" s="4"/>
      <c r="BL102" s="4"/>
      <c r="BM102" s="4"/>
      <c r="BN102" s="4"/>
      <c r="BO102" s="4"/>
      <c r="BP102" s="4"/>
      <c r="BQ102" s="4"/>
      <c r="BR102" s="4"/>
    </row>
    <row r="103" spans="1:70">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4"/>
      <c r="AH103" s="4"/>
      <c r="AI103" s="4"/>
      <c r="AJ103" s="4"/>
      <c r="AK103" s="4"/>
      <c r="AL103" s="4"/>
      <c r="AM103" s="4"/>
      <c r="AN103" s="4"/>
      <c r="AO103" s="4"/>
      <c r="AP103" s="4"/>
      <c r="AQ103" s="4"/>
      <c r="AR103" s="4"/>
      <c r="AS103" s="4"/>
      <c r="AT103" s="4"/>
      <c r="AU103" s="4"/>
      <c r="AV103" s="4"/>
      <c r="AW103" s="4"/>
      <c r="AX103" s="4"/>
      <c r="AY103" s="4"/>
      <c r="AZ103" s="4"/>
      <c r="BA103" s="4"/>
      <c r="BB103" s="4"/>
      <c r="BC103" s="5"/>
      <c r="BD103" s="4"/>
      <c r="BE103" s="4"/>
      <c r="BF103" s="4"/>
      <c r="BG103" s="4"/>
      <c r="BH103" s="4"/>
      <c r="BI103" s="4"/>
      <c r="BJ103" s="4"/>
      <c r="BK103" s="4"/>
      <c r="BL103" s="4"/>
      <c r="BM103" s="4"/>
      <c r="BN103" s="4"/>
      <c r="BO103" s="4"/>
      <c r="BP103" s="4"/>
      <c r="BQ103" s="4"/>
      <c r="BR103" s="4"/>
    </row>
    <row r="104" spans="1:70">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4"/>
      <c r="AH104" s="4"/>
      <c r="AI104" s="4"/>
      <c r="AJ104" s="4"/>
      <c r="AK104" s="4"/>
      <c r="AL104" s="4"/>
      <c r="AM104" s="4"/>
      <c r="AN104" s="4"/>
      <c r="AO104" s="4"/>
      <c r="AP104" s="4"/>
      <c r="AQ104" s="4"/>
      <c r="AR104" s="4"/>
      <c r="AS104" s="4"/>
      <c r="AT104" s="4"/>
      <c r="AU104" s="4"/>
      <c r="AV104" s="4"/>
      <c r="AW104" s="4"/>
      <c r="AX104" s="4"/>
      <c r="AY104" s="4"/>
      <c r="AZ104" s="4"/>
      <c r="BA104" s="4"/>
      <c r="BB104" s="4"/>
      <c r="BC104" s="5"/>
      <c r="BD104" s="4"/>
      <c r="BE104" s="4"/>
      <c r="BF104" s="4"/>
      <c r="BG104" s="4"/>
      <c r="BH104" s="4"/>
      <c r="BI104" s="4"/>
      <c r="BJ104" s="4"/>
      <c r="BK104" s="4"/>
      <c r="BL104" s="4"/>
      <c r="BM104" s="4"/>
      <c r="BN104" s="4"/>
      <c r="BO104" s="4"/>
      <c r="BP104" s="4"/>
      <c r="BQ104" s="4"/>
      <c r="BR104" s="4"/>
    </row>
    <row r="105" spans="1:70">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4"/>
      <c r="AH105" s="4"/>
      <c r="AI105" s="4"/>
      <c r="AJ105" s="4"/>
      <c r="AK105" s="4"/>
      <c r="AL105" s="4"/>
      <c r="AM105" s="4"/>
      <c r="AN105" s="4"/>
      <c r="AO105" s="4"/>
      <c r="AP105" s="4"/>
      <c r="AQ105" s="4"/>
      <c r="AR105" s="4"/>
      <c r="AS105" s="4"/>
      <c r="AT105" s="4"/>
      <c r="AU105" s="4"/>
      <c r="AV105" s="4"/>
      <c r="AW105" s="4"/>
      <c r="AX105" s="4"/>
      <c r="AY105" s="4"/>
      <c r="AZ105" s="4"/>
      <c r="BA105" s="4"/>
      <c r="BB105" s="4"/>
      <c r="BC105" s="5"/>
      <c r="BD105" s="4"/>
      <c r="BE105" s="4"/>
      <c r="BF105" s="4"/>
      <c r="BG105" s="4"/>
      <c r="BH105" s="4"/>
      <c r="BI105" s="4"/>
      <c r="BJ105" s="4"/>
      <c r="BK105" s="4"/>
      <c r="BL105" s="4"/>
      <c r="BM105" s="4"/>
      <c r="BN105" s="4"/>
      <c r="BO105" s="4"/>
      <c r="BP105" s="4"/>
      <c r="BQ105" s="4"/>
      <c r="BR105" s="4"/>
    </row>
    <row r="106" spans="1:70">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4"/>
      <c r="AH106" s="4"/>
      <c r="AI106" s="4"/>
      <c r="AJ106" s="4"/>
      <c r="AK106" s="4"/>
      <c r="AL106" s="4"/>
      <c r="AM106" s="4"/>
      <c r="AN106" s="4"/>
      <c r="AO106" s="4"/>
      <c r="AP106" s="4"/>
      <c r="AQ106" s="4"/>
      <c r="AR106" s="4"/>
      <c r="AS106" s="4"/>
      <c r="AT106" s="4"/>
      <c r="AU106" s="4"/>
      <c r="AV106" s="4"/>
      <c r="AW106" s="4"/>
      <c r="AX106" s="4"/>
      <c r="AY106" s="4"/>
      <c r="AZ106" s="4"/>
      <c r="BA106" s="4"/>
      <c r="BB106" s="4"/>
      <c r="BC106" s="5"/>
      <c r="BD106" s="4"/>
      <c r="BE106" s="4"/>
      <c r="BF106" s="4"/>
      <c r="BG106" s="4"/>
      <c r="BH106" s="4"/>
      <c r="BI106" s="4"/>
      <c r="BJ106" s="4"/>
      <c r="BK106" s="4"/>
      <c r="BL106" s="4"/>
      <c r="BM106" s="4"/>
      <c r="BN106" s="4"/>
      <c r="BO106" s="4"/>
      <c r="BP106" s="4"/>
      <c r="BQ106" s="4"/>
      <c r="BR106" s="4"/>
    </row>
    <row r="107" spans="1:70">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4"/>
      <c r="AH107" s="4"/>
      <c r="AI107" s="4"/>
      <c r="AJ107" s="4"/>
      <c r="AK107" s="4"/>
      <c r="AL107" s="4"/>
      <c r="AM107" s="4"/>
      <c r="AN107" s="4"/>
      <c r="AO107" s="4"/>
      <c r="AP107" s="4"/>
      <c r="AQ107" s="4"/>
      <c r="AR107" s="4"/>
      <c r="AS107" s="4"/>
      <c r="AT107" s="4"/>
      <c r="AU107" s="4"/>
      <c r="AV107" s="4"/>
      <c r="AW107" s="4"/>
      <c r="AX107" s="4"/>
      <c r="AY107" s="4"/>
      <c r="AZ107" s="4"/>
      <c r="BA107" s="4"/>
      <c r="BB107" s="4"/>
      <c r="BC107" s="5"/>
      <c r="BD107" s="4"/>
      <c r="BE107" s="4"/>
      <c r="BF107" s="4"/>
      <c r="BG107" s="4"/>
      <c r="BH107" s="4"/>
      <c r="BI107" s="4"/>
      <c r="BJ107" s="4"/>
      <c r="BK107" s="4"/>
      <c r="BL107" s="4"/>
      <c r="BM107" s="4"/>
      <c r="BN107" s="4"/>
      <c r="BO107" s="4"/>
      <c r="BP107" s="4"/>
      <c r="BQ107" s="4"/>
      <c r="BR107" s="4"/>
    </row>
    <row r="108" spans="1:70">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4"/>
      <c r="AH108" s="4"/>
      <c r="AI108" s="4"/>
      <c r="AJ108" s="4"/>
      <c r="AK108" s="4"/>
      <c r="AL108" s="4"/>
      <c r="AM108" s="4"/>
      <c r="AN108" s="4"/>
      <c r="AO108" s="4"/>
      <c r="AP108" s="4"/>
      <c r="AQ108" s="4"/>
      <c r="AR108" s="4"/>
      <c r="AS108" s="4"/>
      <c r="AT108" s="4"/>
      <c r="AU108" s="4"/>
      <c r="AV108" s="4"/>
      <c r="AW108" s="4"/>
      <c r="AX108" s="4"/>
      <c r="AY108" s="4"/>
      <c r="AZ108" s="4"/>
      <c r="BA108" s="4"/>
      <c r="BB108" s="4"/>
      <c r="BC108" s="5"/>
      <c r="BD108" s="4"/>
      <c r="BE108" s="4"/>
      <c r="BF108" s="4"/>
      <c r="BG108" s="4"/>
      <c r="BH108" s="4"/>
      <c r="BI108" s="4"/>
      <c r="BJ108" s="4"/>
      <c r="BK108" s="4"/>
      <c r="BL108" s="4"/>
      <c r="BM108" s="4"/>
      <c r="BN108" s="4"/>
      <c r="BO108" s="4"/>
      <c r="BP108" s="4"/>
      <c r="BQ108" s="4"/>
      <c r="BR108" s="4"/>
    </row>
    <row r="109" spans="1:70">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4"/>
      <c r="AH109" s="4"/>
      <c r="AI109" s="4"/>
      <c r="AJ109" s="4"/>
      <c r="AK109" s="4"/>
      <c r="AL109" s="4"/>
      <c r="AM109" s="4"/>
      <c r="AN109" s="4"/>
      <c r="AO109" s="4"/>
      <c r="AP109" s="4"/>
      <c r="AQ109" s="4"/>
      <c r="AR109" s="4"/>
      <c r="AS109" s="4"/>
      <c r="AT109" s="4"/>
      <c r="AU109" s="4"/>
      <c r="AV109" s="4"/>
      <c r="AW109" s="4"/>
      <c r="AX109" s="4"/>
      <c r="AY109" s="4"/>
      <c r="AZ109" s="4"/>
      <c r="BA109" s="4"/>
      <c r="BB109" s="4"/>
      <c r="BC109" s="5"/>
      <c r="BD109" s="4"/>
      <c r="BE109" s="4"/>
      <c r="BF109" s="4"/>
      <c r="BG109" s="4"/>
      <c r="BH109" s="4"/>
      <c r="BI109" s="4"/>
      <c r="BJ109" s="4"/>
      <c r="BK109" s="4"/>
      <c r="BL109" s="4"/>
      <c r="BM109" s="4"/>
      <c r="BN109" s="4"/>
      <c r="BO109" s="4"/>
      <c r="BP109" s="4"/>
      <c r="BQ109" s="4"/>
      <c r="BR109" s="4"/>
    </row>
    <row r="110" spans="1:7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4"/>
      <c r="AH110" s="4"/>
      <c r="AI110" s="4"/>
      <c r="AJ110" s="4"/>
      <c r="AK110" s="4"/>
      <c r="AL110" s="4"/>
      <c r="AM110" s="4"/>
      <c r="AN110" s="4"/>
      <c r="AO110" s="4"/>
      <c r="AP110" s="4"/>
      <c r="AQ110" s="4"/>
      <c r="AR110" s="4"/>
      <c r="AS110" s="4"/>
      <c r="AT110" s="4"/>
      <c r="AU110" s="4"/>
      <c r="AV110" s="4"/>
      <c r="AW110" s="4"/>
      <c r="AX110" s="4"/>
      <c r="AY110" s="4"/>
      <c r="AZ110" s="4"/>
      <c r="BA110" s="4"/>
      <c r="BB110" s="4"/>
      <c r="BC110" s="5"/>
      <c r="BD110" s="4"/>
      <c r="BE110" s="4"/>
      <c r="BF110" s="4"/>
      <c r="BG110" s="4"/>
      <c r="BH110" s="4"/>
      <c r="BI110" s="4"/>
      <c r="BJ110" s="4"/>
      <c r="BK110" s="4"/>
      <c r="BL110" s="4"/>
      <c r="BM110" s="4"/>
      <c r="BN110" s="4"/>
      <c r="BO110" s="4"/>
      <c r="BP110" s="4"/>
      <c r="BQ110" s="4"/>
      <c r="BR110" s="4"/>
    </row>
    <row r="111" spans="1:70">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4"/>
      <c r="AH111" s="4"/>
      <c r="AI111" s="4"/>
      <c r="AJ111" s="4"/>
      <c r="AK111" s="4"/>
      <c r="AL111" s="4"/>
      <c r="AM111" s="4"/>
      <c r="AN111" s="4"/>
      <c r="AO111" s="4"/>
      <c r="AP111" s="4"/>
      <c r="AQ111" s="4"/>
      <c r="AR111" s="4"/>
      <c r="AS111" s="4"/>
      <c r="AT111" s="4"/>
      <c r="AU111" s="4"/>
      <c r="AV111" s="4"/>
      <c r="AW111" s="4"/>
      <c r="AX111" s="4"/>
      <c r="AY111" s="4"/>
      <c r="AZ111" s="4"/>
      <c r="BA111" s="4"/>
      <c r="BB111" s="4"/>
      <c r="BC111" s="5"/>
      <c r="BD111" s="4"/>
      <c r="BE111" s="4"/>
      <c r="BF111" s="4"/>
      <c r="BG111" s="4"/>
      <c r="BH111" s="4"/>
      <c r="BI111" s="4"/>
      <c r="BJ111" s="4"/>
      <c r="BK111" s="4"/>
      <c r="BL111" s="4"/>
      <c r="BM111" s="4"/>
      <c r="BN111" s="4"/>
      <c r="BO111" s="4"/>
      <c r="BP111" s="4"/>
      <c r="BQ111" s="4"/>
      <c r="BR111" s="4"/>
    </row>
    <row r="112" spans="1:70">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4"/>
      <c r="AH112" s="4"/>
      <c r="AI112" s="4"/>
      <c r="AJ112" s="4"/>
      <c r="AK112" s="4"/>
      <c r="AL112" s="4"/>
      <c r="AM112" s="4"/>
      <c r="AN112" s="4"/>
      <c r="AO112" s="4"/>
      <c r="AP112" s="4"/>
      <c r="AQ112" s="4"/>
      <c r="AR112" s="4"/>
      <c r="AS112" s="4"/>
      <c r="AT112" s="4"/>
      <c r="AU112" s="4"/>
      <c r="AV112" s="4"/>
      <c r="AW112" s="4"/>
      <c r="AX112" s="4"/>
      <c r="AY112" s="4"/>
      <c r="AZ112" s="4"/>
      <c r="BA112" s="4"/>
      <c r="BB112" s="4"/>
      <c r="BC112" s="5"/>
      <c r="BD112" s="4"/>
      <c r="BE112" s="4"/>
      <c r="BF112" s="4"/>
      <c r="BG112" s="4"/>
      <c r="BH112" s="4"/>
      <c r="BI112" s="4"/>
      <c r="BJ112" s="4"/>
      <c r="BK112" s="4"/>
      <c r="BL112" s="4"/>
      <c r="BM112" s="4"/>
      <c r="BN112" s="4"/>
      <c r="BO112" s="4"/>
      <c r="BP112" s="4"/>
      <c r="BQ112" s="4"/>
      <c r="BR112" s="4"/>
    </row>
    <row r="113" spans="1:70">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4"/>
      <c r="AH113" s="4"/>
      <c r="AI113" s="4"/>
      <c r="AJ113" s="4"/>
      <c r="AK113" s="4"/>
      <c r="AL113" s="4"/>
      <c r="AM113" s="4"/>
      <c r="AN113" s="4"/>
      <c r="AO113" s="4"/>
      <c r="AP113" s="4"/>
      <c r="AQ113" s="4"/>
      <c r="AR113" s="4"/>
      <c r="AS113" s="4"/>
      <c r="AT113" s="4"/>
      <c r="AU113" s="4"/>
      <c r="AV113" s="4"/>
      <c r="AW113" s="4"/>
      <c r="AX113" s="4"/>
      <c r="AY113" s="4"/>
      <c r="AZ113" s="4"/>
      <c r="BA113" s="4"/>
      <c r="BB113" s="4"/>
      <c r="BC113" s="5"/>
      <c r="BD113" s="4"/>
      <c r="BE113" s="4"/>
      <c r="BF113" s="4"/>
      <c r="BG113" s="4"/>
      <c r="BH113" s="4"/>
      <c r="BI113" s="4"/>
      <c r="BJ113" s="4"/>
      <c r="BK113" s="4"/>
      <c r="BL113" s="4"/>
      <c r="BM113" s="4"/>
      <c r="BN113" s="4"/>
      <c r="BO113" s="4"/>
      <c r="BP113" s="4"/>
      <c r="BQ113" s="4"/>
      <c r="BR113" s="4"/>
    </row>
    <row r="114" spans="1:70">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4"/>
      <c r="AH114" s="4"/>
      <c r="AI114" s="4"/>
      <c r="AJ114" s="4"/>
      <c r="AK114" s="4"/>
      <c r="AL114" s="4"/>
      <c r="AM114" s="4"/>
      <c r="AN114" s="4"/>
      <c r="AO114" s="4"/>
      <c r="AP114" s="4"/>
      <c r="AQ114" s="4"/>
      <c r="AR114" s="4"/>
      <c r="AS114" s="4"/>
      <c r="AT114" s="4"/>
      <c r="AU114" s="4"/>
      <c r="AV114" s="4"/>
      <c r="AW114" s="4"/>
      <c r="AX114" s="4"/>
      <c r="AY114" s="4"/>
      <c r="AZ114" s="4"/>
      <c r="BA114" s="4"/>
      <c r="BB114" s="4"/>
      <c r="BC114" s="5"/>
      <c r="BD114" s="4"/>
      <c r="BE114" s="4"/>
      <c r="BF114" s="4"/>
      <c r="BG114" s="4"/>
      <c r="BH114" s="4"/>
      <c r="BI114" s="4"/>
      <c r="BJ114" s="4"/>
      <c r="BK114" s="4"/>
      <c r="BL114" s="4"/>
      <c r="BM114" s="4"/>
      <c r="BN114" s="4"/>
      <c r="BO114" s="4"/>
      <c r="BP114" s="4"/>
      <c r="BQ114" s="4"/>
      <c r="BR114" s="4"/>
    </row>
    <row r="115" spans="1:70">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4"/>
      <c r="AH115" s="4"/>
      <c r="AI115" s="4"/>
      <c r="AJ115" s="4"/>
      <c r="AK115" s="4"/>
      <c r="AL115" s="4"/>
      <c r="AM115" s="4"/>
      <c r="AN115" s="4"/>
      <c r="AO115" s="4"/>
      <c r="AP115" s="4"/>
      <c r="AQ115" s="4"/>
      <c r="AR115" s="4"/>
      <c r="AS115" s="4"/>
      <c r="AT115" s="4"/>
      <c r="AU115" s="4"/>
      <c r="AV115" s="4"/>
      <c r="AW115" s="4"/>
      <c r="AX115" s="4"/>
      <c r="AY115" s="4"/>
      <c r="AZ115" s="4"/>
      <c r="BA115" s="4"/>
      <c r="BB115" s="4"/>
      <c r="BC115" s="5"/>
      <c r="BD115" s="4"/>
      <c r="BE115" s="4"/>
      <c r="BF115" s="4"/>
      <c r="BG115" s="4"/>
      <c r="BH115" s="4"/>
      <c r="BI115" s="4"/>
      <c r="BJ115" s="4"/>
      <c r="BK115" s="4"/>
      <c r="BL115" s="4"/>
      <c r="BM115" s="4"/>
      <c r="BN115" s="4"/>
      <c r="BO115" s="4"/>
      <c r="BP115" s="4"/>
      <c r="BQ115" s="4"/>
      <c r="BR115" s="4"/>
    </row>
    <row r="116" spans="1:70">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4"/>
      <c r="AH116" s="4"/>
      <c r="AI116" s="4"/>
      <c r="AJ116" s="4"/>
      <c r="AK116" s="4"/>
      <c r="AL116" s="4"/>
      <c r="AM116" s="4"/>
      <c r="AN116" s="4"/>
      <c r="AO116" s="4"/>
      <c r="AP116" s="4"/>
      <c r="AQ116" s="4"/>
      <c r="AR116" s="4"/>
      <c r="AS116" s="4"/>
      <c r="AT116" s="4"/>
      <c r="AU116" s="4"/>
      <c r="AV116" s="4"/>
      <c r="AW116" s="4"/>
      <c r="AX116" s="4"/>
      <c r="AY116" s="4"/>
      <c r="AZ116" s="4"/>
      <c r="BA116" s="4"/>
      <c r="BB116" s="4"/>
      <c r="BC116" s="5"/>
      <c r="BD116" s="4"/>
      <c r="BE116" s="4"/>
      <c r="BF116" s="4"/>
      <c r="BG116" s="4"/>
      <c r="BH116" s="4"/>
      <c r="BI116" s="4"/>
      <c r="BJ116" s="4"/>
      <c r="BK116" s="4"/>
      <c r="BL116" s="4"/>
      <c r="BM116" s="4"/>
      <c r="BN116" s="4"/>
      <c r="BO116" s="4"/>
      <c r="BP116" s="4"/>
      <c r="BQ116" s="4"/>
      <c r="BR116" s="4"/>
    </row>
    <row r="117" spans="1:70">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4"/>
      <c r="AH117" s="4"/>
      <c r="AI117" s="4"/>
      <c r="AJ117" s="4"/>
      <c r="AK117" s="4"/>
      <c r="AL117" s="4"/>
      <c r="AM117" s="4"/>
      <c r="AN117" s="4"/>
      <c r="AO117" s="4"/>
      <c r="AP117" s="4"/>
      <c r="AQ117" s="4"/>
      <c r="AR117" s="4"/>
      <c r="AS117" s="4"/>
      <c r="AT117" s="4"/>
      <c r="AU117" s="4"/>
      <c r="AV117" s="4"/>
      <c r="AW117" s="4"/>
      <c r="AX117" s="4"/>
      <c r="AY117" s="4"/>
      <c r="AZ117" s="4"/>
      <c r="BA117" s="4"/>
      <c r="BB117" s="4"/>
      <c r="BC117" s="5"/>
      <c r="BD117" s="4"/>
      <c r="BE117" s="4"/>
      <c r="BF117" s="4"/>
      <c r="BG117" s="4"/>
      <c r="BH117" s="4"/>
      <c r="BI117" s="4"/>
      <c r="BJ117" s="4"/>
      <c r="BK117" s="4"/>
      <c r="BL117" s="4"/>
      <c r="BM117" s="4"/>
      <c r="BN117" s="4"/>
      <c r="BO117" s="4"/>
      <c r="BP117" s="4"/>
      <c r="BQ117" s="4"/>
      <c r="BR117" s="4"/>
    </row>
    <row r="118" spans="1:70">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4"/>
      <c r="AH118" s="4"/>
      <c r="AI118" s="4"/>
      <c r="AJ118" s="4"/>
      <c r="AK118" s="4"/>
      <c r="AL118" s="4"/>
      <c r="AM118" s="4"/>
      <c r="AN118" s="4"/>
      <c r="AO118" s="4"/>
      <c r="AP118" s="4"/>
      <c r="AQ118" s="4"/>
      <c r="AR118" s="4"/>
      <c r="AS118" s="4"/>
      <c r="AT118" s="4"/>
      <c r="AU118" s="4"/>
      <c r="AV118" s="4"/>
      <c r="AW118" s="4"/>
      <c r="AX118" s="4"/>
      <c r="AY118" s="4"/>
      <c r="AZ118" s="4"/>
      <c r="BA118" s="4"/>
      <c r="BB118" s="4"/>
      <c r="BC118" s="5"/>
      <c r="BD118" s="4"/>
      <c r="BE118" s="4"/>
      <c r="BF118" s="4"/>
      <c r="BG118" s="4"/>
      <c r="BH118" s="4"/>
      <c r="BI118" s="4"/>
      <c r="BJ118" s="4"/>
      <c r="BK118" s="4"/>
      <c r="BL118" s="4"/>
      <c r="BM118" s="4"/>
      <c r="BN118" s="4"/>
      <c r="BO118" s="4"/>
      <c r="BP118" s="4"/>
      <c r="BQ118" s="4"/>
      <c r="BR118" s="4"/>
    </row>
    <row r="119" spans="1:70">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4"/>
      <c r="AH119" s="4"/>
      <c r="AI119" s="4"/>
      <c r="AJ119" s="4"/>
      <c r="AK119" s="4"/>
      <c r="AL119" s="4"/>
      <c r="AM119" s="4"/>
      <c r="AN119" s="4"/>
      <c r="AO119" s="4"/>
      <c r="AP119" s="4"/>
      <c r="AQ119" s="4"/>
      <c r="AR119" s="4"/>
      <c r="AS119" s="4"/>
      <c r="AT119" s="4"/>
      <c r="AU119" s="4"/>
      <c r="AV119" s="4"/>
      <c r="AW119" s="4"/>
      <c r="AX119" s="4"/>
      <c r="AY119" s="4"/>
      <c r="AZ119" s="4"/>
      <c r="BA119" s="4"/>
      <c r="BB119" s="4"/>
      <c r="BC119" s="5"/>
      <c r="BD119" s="4"/>
      <c r="BE119" s="4"/>
      <c r="BF119" s="4"/>
      <c r="BG119" s="4"/>
      <c r="BH119" s="4"/>
      <c r="BI119" s="4"/>
      <c r="BJ119" s="4"/>
      <c r="BK119" s="4"/>
      <c r="BL119" s="4"/>
      <c r="BM119" s="4"/>
      <c r="BN119" s="4"/>
      <c r="BO119" s="4"/>
      <c r="BP119" s="4"/>
      <c r="BQ119" s="4"/>
      <c r="BR119" s="4"/>
    </row>
    <row r="120" spans="1:7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4"/>
      <c r="AH120" s="4"/>
      <c r="AI120" s="4"/>
      <c r="AJ120" s="4"/>
      <c r="AK120" s="4"/>
      <c r="AL120" s="4"/>
      <c r="AM120" s="4"/>
      <c r="AN120" s="4"/>
      <c r="AO120" s="4"/>
      <c r="AP120" s="4"/>
      <c r="AQ120" s="4"/>
      <c r="AR120" s="4"/>
      <c r="AS120" s="4"/>
      <c r="AT120" s="4"/>
      <c r="AU120" s="4"/>
      <c r="AV120" s="4"/>
      <c r="AW120" s="4"/>
      <c r="AX120" s="4"/>
      <c r="AY120" s="4"/>
      <c r="AZ120" s="4"/>
      <c r="BA120" s="4"/>
      <c r="BB120" s="4"/>
      <c r="BC120" s="5"/>
      <c r="BD120" s="4"/>
      <c r="BE120" s="4"/>
      <c r="BF120" s="4"/>
      <c r="BG120" s="4"/>
      <c r="BH120" s="4"/>
      <c r="BI120" s="4"/>
      <c r="BJ120" s="4"/>
      <c r="BK120" s="4"/>
      <c r="BL120" s="4"/>
      <c r="BM120" s="4"/>
      <c r="BN120" s="4"/>
      <c r="BO120" s="4"/>
      <c r="BP120" s="4"/>
      <c r="BQ120" s="4"/>
      <c r="BR120" s="4"/>
    </row>
    <row r="121" spans="1:70">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4"/>
      <c r="AH121" s="4"/>
      <c r="AI121" s="4"/>
      <c r="AJ121" s="4"/>
      <c r="AK121" s="4"/>
      <c r="AL121" s="4"/>
      <c r="AM121" s="4"/>
      <c r="AN121" s="4"/>
      <c r="AO121" s="4"/>
      <c r="AP121" s="4"/>
      <c r="AQ121" s="4"/>
      <c r="AR121" s="4"/>
      <c r="AS121" s="4"/>
      <c r="AT121" s="4"/>
      <c r="AU121" s="4"/>
      <c r="AV121" s="4"/>
      <c r="AW121" s="4"/>
      <c r="AX121" s="4"/>
      <c r="AY121" s="4"/>
      <c r="AZ121" s="4"/>
      <c r="BA121" s="4"/>
      <c r="BB121" s="4"/>
      <c r="BC121" s="5"/>
      <c r="BD121" s="4"/>
      <c r="BE121" s="4"/>
      <c r="BF121" s="4"/>
      <c r="BG121" s="4"/>
      <c r="BH121" s="4"/>
      <c r="BI121" s="4"/>
      <c r="BJ121" s="4"/>
      <c r="BK121" s="4"/>
      <c r="BL121" s="4"/>
      <c r="BM121" s="4"/>
      <c r="BN121" s="4"/>
      <c r="BO121" s="4"/>
      <c r="BP121" s="4"/>
      <c r="BQ121" s="4"/>
      <c r="BR121" s="4"/>
    </row>
    <row r="122" spans="1:70">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4"/>
      <c r="AH122" s="4"/>
      <c r="AI122" s="4"/>
      <c r="AJ122" s="4"/>
      <c r="AK122" s="4"/>
      <c r="AL122" s="4"/>
      <c r="AM122" s="4"/>
      <c r="AN122" s="4"/>
      <c r="AO122" s="4"/>
      <c r="AP122" s="4"/>
      <c r="AQ122" s="4"/>
      <c r="AR122" s="4"/>
      <c r="AS122" s="4"/>
      <c r="AT122" s="4"/>
      <c r="AU122" s="4"/>
      <c r="AV122" s="4"/>
      <c r="AW122" s="4"/>
      <c r="AX122" s="4"/>
      <c r="AY122" s="4"/>
      <c r="AZ122" s="4"/>
      <c r="BA122" s="4"/>
      <c r="BB122" s="4"/>
      <c r="BC122" s="5"/>
      <c r="BD122" s="4"/>
      <c r="BE122" s="4"/>
      <c r="BF122" s="4"/>
      <c r="BG122" s="4"/>
      <c r="BH122" s="4"/>
      <c r="BI122" s="4"/>
      <c r="BJ122" s="4"/>
      <c r="BK122" s="4"/>
      <c r="BL122" s="4"/>
      <c r="BM122" s="4"/>
      <c r="BN122" s="4"/>
      <c r="BO122" s="4"/>
      <c r="BP122" s="4"/>
      <c r="BQ122" s="4"/>
      <c r="BR122" s="4"/>
    </row>
    <row r="123" spans="1:70">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4"/>
      <c r="AH123" s="4"/>
      <c r="AI123" s="4"/>
      <c r="AJ123" s="4"/>
      <c r="AK123" s="4"/>
      <c r="AL123" s="4"/>
      <c r="AM123" s="4"/>
      <c r="AN123" s="4"/>
      <c r="AO123" s="4"/>
      <c r="AP123" s="4"/>
      <c r="AQ123" s="4"/>
      <c r="AR123" s="4"/>
      <c r="AS123" s="4"/>
      <c r="AT123" s="4"/>
      <c r="AU123" s="4"/>
      <c r="AV123" s="4"/>
      <c r="AW123" s="4"/>
      <c r="AX123" s="4"/>
      <c r="AY123" s="4"/>
      <c r="AZ123" s="4"/>
      <c r="BA123" s="4"/>
      <c r="BB123" s="4"/>
      <c r="BC123" s="5"/>
      <c r="BD123" s="4"/>
      <c r="BE123" s="4"/>
      <c r="BF123" s="4"/>
      <c r="BG123" s="4"/>
      <c r="BH123" s="4"/>
      <c r="BI123" s="4"/>
      <c r="BJ123" s="4"/>
      <c r="BK123" s="4"/>
      <c r="BL123" s="4"/>
      <c r="BM123" s="4"/>
      <c r="BN123" s="4"/>
      <c r="BO123" s="4"/>
      <c r="BP123" s="4"/>
      <c r="BQ123" s="4"/>
      <c r="BR123" s="4"/>
    </row>
    <row r="124" spans="1:70">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4"/>
      <c r="AH124" s="4"/>
      <c r="AI124" s="4"/>
      <c r="AJ124" s="4"/>
      <c r="AK124" s="4"/>
      <c r="AL124" s="4"/>
      <c r="AM124" s="4"/>
      <c r="AN124" s="4"/>
      <c r="AO124" s="4"/>
      <c r="AP124" s="4"/>
      <c r="AQ124" s="4"/>
      <c r="AR124" s="4"/>
      <c r="AS124" s="4"/>
      <c r="AT124" s="4"/>
      <c r="AU124" s="4"/>
      <c r="AV124" s="4"/>
      <c r="AW124" s="4"/>
      <c r="AX124" s="4"/>
      <c r="AY124" s="4"/>
      <c r="AZ124" s="4"/>
      <c r="BA124" s="4"/>
      <c r="BB124" s="4"/>
      <c r="BC124" s="5"/>
      <c r="BD124" s="4"/>
      <c r="BE124" s="4"/>
      <c r="BF124" s="4"/>
      <c r="BG124" s="4"/>
      <c r="BH124" s="4"/>
      <c r="BI124" s="4"/>
      <c r="BJ124" s="4"/>
      <c r="BK124" s="4"/>
      <c r="BL124" s="4"/>
      <c r="BM124" s="4"/>
      <c r="BN124" s="4"/>
      <c r="BO124" s="4"/>
      <c r="BP124" s="4"/>
      <c r="BQ124" s="4"/>
      <c r="BR124" s="4"/>
    </row>
    <row r="125" spans="1:70">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4"/>
      <c r="AH125" s="4"/>
      <c r="AI125" s="4"/>
      <c r="AJ125" s="4"/>
      <c r="AK125" s="4"/>
      <c r="AL125" s="4"/>
      <c r="AM125" s="4"/>
      <c r="AN125" s="4"/>
      <c r="AO125" s="4"/>
      <c r="AP125" s="4"/>
      <c r="AQ125" s="4"/>
      <c r="AR125" s="4"/>
      <c r="AS125" s="4"/>
      <c r="AT125" s="4"/>
      <c r="AU125" s="4"/>
      <c r="AV125" s="4"/>
      <c r="AW125" s="4"/>
      <c r="AX125" s="4"/>
      <c r="AY125" s="4"/>
      <c r="AZ125" s="4"/>
      <c r="BA125" s="4"/>
      <c r="BB125" s="4"/>
      <c r="BC125" s="5"/>
      <c r="BD125" s="4"/>
      <c r="BE125" s="4"/>
      <c r="BF125" s="4"/>
      <c r="BG125" s="4"/>
      <c r="BH125" s="4"/>
      <c r="BI125" s="4"/>
      <c r="BJ125" s="4"/>
      <c r="BK125" s="4"/>
      <c r="BL125" s="4"/>
      <c r="BM125" s="4"/>
      <c r="BN125" s="4"/>
      <c r="BO125" s="4"/>
      <c r="BP125" s="4"/>
      <c r="BQ125" s="4"/>
      <c r="BR125" s="4"/>
    </row>
    <row r="126" spans="1:70">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4"/>
      <c r="AH126" s="4"/>
      <c r="AI126" s="4"/>
      <c r="AJ126" s="4"/>
      <c r="AK126" s="4"/>
      <c r="AL126" s="4"/>
      <c r="AM126" s="4"/>
      <c r="AN126" s="4"/>
      <c r="AO126" s="4"/>
      <c r="AP126" s="4"/>
      <c r="AQ126" s="4"/>
      <c r="AR126" s="4"/>
      <c r="AS126" s="4"/>
      <c r="AT126" s="4"/>
      <c r="AU126" s="4"/>
      <c r="AV126" s="4"/>
      <c r="AW126" s="4"/>
      <c r="AX126" s="4"/>
      <c r="AY126" s="4"/>
      <c r="AZ126" s="4"/>
      <c r="BA126" s="4"/>
      <c r="BB126" s="4"/>
      <c r="BC126" s="5"/>
      <c r="BD126" s="4"/>
      <c r="BE126" s="4"/>
      <c r="BF126" s="4"/>
      <c r="BG126" s="4"/>
      <c r="BH126" s="4"/>
      <c r="BI126" s="4"/>
      <c r="BJ126" s="4"/>
      <c r="BK126" s="4"/>
      <c r="BL126" s="4"/>
      <c r="BM126" s="4"/>
      <c r="BN126" s="4"/>
      <c r="BO126" s="4"/>
      <c r="BP126" s="4"/>
      <c r="BQ126" s="4"/>
      <c r="BR126" s="4"/>
    </row>
    <row r="127" spans="1:70">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4"/>
      <c r="AH127" s="4"/>
      <c r="AI127" s="4"/>
      <c r="AJ127" s="4"/>
      <c r="AK127" s="4"/>
      <c r="AL127" s="4"/>
      <c r="AM127" s="4"/>
      <c r="AN127" s="4"/>
      <c r="AO127" s="4"/>
      <c r="AP127" s="4"/>
      <c r="AQ127" s="4"/>
      <c r="AR127" s="4"/>
      <c r="AS127" s="4"/>
      <c r="AT127" s="4"/>
      <c r="AU127" s="4"/>
      <c r="AV127" s="4"/>
      <c r="AW127" s="4"/>
      <c r="AX127" s="4"/>
      <c r="AY127" s="4"/>
      <c r="AZ127" s="4"/>
      <c r="BA127" s="4"/>
      <c r="BB127" s="4"/>
      <c r="BC127" s="5"/>
      <c r="BD127" s="4"/>
      <c r="BE127" s="4"/>
      <c r="BF127" s="4"/>
      <c r="BG127" s="4"/>
      <c r="BH127" s="4"/>
      <c r="BI127" s="4"/>
      <c r="BJ127" s="4"/>
      <c r="BK127" s="4"/>
      <c r="BL127" s="4"/>
      <c r="BM127" s="4"/>
      <c r="BN127" s="4"/>
      <c r="BO127" s="4"/>
      <c r="BP127" s="4"/>
      <c r="BQ127" s="4"/>
      <c r="BR127" s="4"/>
    </row>
    <row r="128" spans="1:70">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4"/>
      <c r="AH128" s="4"/>
      <c r="AI128" s="4"/>
      <c r="AJ128" s="4"/>
      <c r="AK128" s="4"/>
      <c r="AL128" s="4"/>
      <c r="AM128" s="4"/>
      <c r="AN128" s="4"/>
      <c r="AO128" s="4"/>
      <c r="AP128" s="4"/>
      <c r="AQ128" s="4"/>
      <c r="AR128" s="4"/>
      <c r="AS128" s="4"/>
      <c r="AT128" s="4"/>
      <c r="AU128" s="4"/>
      <c r="AV128" s="4"/>
      <c r="AW128" s="4"/>
      <c r="AX128" s="4"/>
      <c r="AY128" s="4"/>
      <c r="AZ128" s="4"/>
      <c r="BA128" s="4"/>
      <c r="BB128" s="4"/>
      <c r="BC128" s="5"/>
      <c r="BD128" s="4"/>
      <c r="BE128" s="4"/>
      <c r="BF128" s="4"/>
      <c r="BG128" s="4"/>
      <c r="BH128" s="4"/>
      <c r="BI128" s="4"/>
      <c r="BJ128" s="4"/>
      <c r="BK128" s="4"/>
      <c r="BL128" s="4"/>
      <c r="BM128" s="4"/>
      <c r="BN128" s="4"/>
      <c r="BO128" s="4"/>
      <c r="BP128" s="4"/>
      <c r="BQ128" s="4"/>
      <c r="BR128" s="4"/>
    </row>
    <row r="129" spans="1:70">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4"/>
      <c r="AH129" s="4"/>
      <c r="AI129" s="4"/>
      <c r="AJ129" s="4"/>
      <c r="AK129" s="4"/>
      <c r="AL129" s="4"/>
      <c r="AM129" s="4"/>
      <c r="AN129" s="4"/>
      <c r="AO129" s="4"/>
      <c r="AP129" s="4"/>
      <c r="AQ129" s="4"/>
      <c r="AR129" s="4"/>
      <c r="AS129" s="4"/>
      <c r="AT129" s="4"/>
      <c r="AU129" s="4"/>
      <c r="AV129" s="4"/>
      <c r="AW129" s="4"/>
      <c r="AX129" s="4"/>
      <c r="AY129" s="4"/>
      <c r="AZ129" s="4"/>
      <c r="BA129" s="4"/>
      <c r="BB129" s="4"/>
      <c r="BC129" s="5"/>
      <c r="BD129" s="4"/>
      <c r="BE129" s="4"/>
      <c r="BF129" s="4"/>
      <c r="BG129" s="4"/>
      <c r="BH129" s="4"/>
      <c r="BI129" s="4"/>
      <c r="BJ129" s="4"/>
      <c r="BK129" s="4"/>
      <c r="BL129" s="4"/>
      <c r="BM129" s="4"/>
      <c r="BN129" s="4"/>
      <c r="BO129" s="4"/>
      <c r="BP129" s="4"/>
      <c r="BQ129" s="4"/>
      <c r="BR129" s="4"/>
    </row>
    <row r="130" spans="1:7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4"/>
      <c r="AH130" s="4"/>
      <c r="AI130" s="4"/>
      <c r="AJ130" s="4"/>
      <c r="AK130" s="4"/>
      <c r="AL130" s="4"/>
      <c r="AM130" s="4"/>
      <c r="AN130" s="4"/>
      <c r="AO130" s="4"/>
      <c r="AP130" s="4"/>
      <c r="AQ130" s="4"/>
      <c r="AR130" s="4"/>
      <c r="AS130" s="4"/>
      <c r="AT130" s="4"/>
      <c r="AU130" s="4"/>
      <c r="AV130" s="4"/>
      <c r="AW130" s="4"/>
      <c r="AX130" s="4"/>
      <c r="AY130" s="4"/>
      <c r="AZ130" s="4"/>
      <c r="BA130" s="4"/>
      <c r="BB130" s="4"/>
      <c r="BC130" s="5"/>
      <c r="BD130" s="4"/>
      <c r="BE130" s="4"/>
      <c r="BF130" s="4"/>
      <c r="BG130" s="4"/>
      <c r="BH130" s="4"/>
      <c r="BI130" s="4"/>
      <c r="BJ130" s="4"/>
      <c r="BK130" s="4"/>
      <c r="BL130" s="4"/>
      <c r="BM130" s="4"/>
      <c r="BN130" s="4"/>
      <c r="BO130" s="4"/>
      <c r="BP130" s="4"/>
      <c r="BQ130" s="4"/>
      <c r="BR130" s="4"/>
    </row>
    <row r="131" spans="1:70">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4"/>
      <c r="AH131" s="4"/>
      <c r="AI131" s="4"/>
      <c r="AJ131" s="4"/>
      <c r="AK131" s="4"/>
      <c r="AL131" s="4"/>
      <c r="AM131" s="4"/>
      <c r="AN131" s="4"/>
      <c r="AO131" s="4"/>
      <c r="AP131" s="4"/>
      <c r="AQ131" s="4"/>
      <c r="AR131" s="4"/>
      <c r="AS131" s="4"/>
      <c r="AT131" s="4"/>
      <c r="AU131" s="4"/>
      <c r="AV131" s="4"/>
      <c r="AW131" s="4"/>
      <c r="AX131" s="4"/>
      <c r="AY131" s="4"/>
      <c r="AZ131" s="4"/>
      <c r="BA131" s="4"/>
      <c r="BB131" s="4"/>
      <c r="BC131" s="5"/>
      <c r="BD131" s="4"/>
      <c r="BE131" s="4"/>
      <c r="BF131" s="4"/>
      <c r="BG131" s="4"/>
      <c r="BH131" s="4"/>
      <c r="BI131" s="4"/>
      <c r="BJ131" s="4"/>
      <c r="BK131" s="4"/>
      <c r="BL131" s="4"/>
      <c r="BM131" s="4"/>
      <c r="BN131" s="4"/>
      <c r="BO131" s="4"/>
      <c r="BP131" s="4"/>
      <c r="BQ131" s="4"/>
      <c r="BR131" s="4"/>
    </row>
    <row r="132" spans="1:70">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4"/>
      <c r="AH132" s="4"/>
      <c r="AI132" s="4"/>
      <c r="AJ132" s="4"/>
      <c r="AK132" s="4"/>
      <c r="AL132" s="4"/>
      <c r="AM132" s="4"/>
      <c r="AN132" s="4"/>
      <c r="AO132" s="4"/>
      <c r="AP132" s="4"/>
      <c r="AQ132" s="4"/>
      <c r="AR132" s="4"/>
      <c r="AS132" s="4"/>
      <c r="AT132" s="4"/>
      <c r="AU132" s="4"/>
      <c r="AV132" s="4"/>
      <c r="AW132" s="4"/>
      <c r="AX132" s="4"/>
      <c r="AY132" s="4"/>
      <c r="AZ132" s="4"/>
      <c r="BA132" s="4"/>
      <c r="BB132" s="4"/>
      <c r="BC132" s="5"/>
      <c r="BD132" s="4"/>
      <c r="BE132" s="4"/>
      <c r="BF132" s="4"/>
      <c r="BG132" s="4"/>
      <c r="BH132" s="4"/>
      <c r="BI132" s="4"/>
      <c r="BJ132" s="4"/>
      <c r="BK132" s="4"/>
      <c r="BL132" s="4"/>
      <c r="BM132" s="4"/>
      <c r="BN132" s="4"/>
      <c r="BO132" s="4"/>
      <c r="BP132" s="4"/>
      <c r="BQ132" s="4"/>
      <c r="BR132" s="4"/>
    </row>
    <row r="133" spans="1:70">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4"/>
      <c r="AH133" s="4"/>
      <c r="AI133" s="4"/>
      <c r="AJ133" s="4"/>
      <c r="AK133" s="4"/>
      <c r="AL133" s="4"/>
      <c r="AM133" s="4"/>
      <c r="AN133" s="4"/>
      <c r="AO133" s="4"/>
      <c r="AP133" s="4"/>
      <c r="AQ133" s="4"/>
      <c r="AR133" s="4"/>
      <c r="AS133" s="4"/>
      <c r="AT133" s="4"/>
      <c r="AU133" s="4"/>
      <c r="AV133" s="4"/>
      <c r="AW133" s="4"/>
      <c r="AX133" s="4"/>
      <c r="AY133" s="4"/>
      <c r="AZ133" s="4"/>
      <c r="BA133" s="4"/>
      <c r="BB133" s="4"/>
      <c r="BC133" s="5"/>
      <c r="BD133" s="4"/>
      <c r="BE133" s="4"/>
      <c r="BF133" s="4"/>
      <c r="BG133" s="4"/>
      <c r="BH133" s="4"/>
      <c r="BI133" s="4"/>
      <c r="BJ133" s="4"/>
      <c r="BK133" s="4"/>
      <c r="BL133" s="4"/>
      <c r="BM133" s="4"/>
      <c r="BN133" s="4"/>
      <c r="BO133" s="4"/>
      <c r="BP133" s="4"/>
      <c r="BQ133" s="4"/>
      <c r="BR133" s="4"/>
    </row>
    <row r="134" spans="1:70">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4"/>
      <c r="AH134" s="4"/>
      <c r="AI134" s="4"/>
      <c r="AJ134" s="4"/>
      <c r="AK134" s="4"/>
      <c r="AL134" s="4"/>
      <c r="AM134" s="4"/>
      <c r="AN134" s="4"/>
      <c r="AO134" s="4"/>
      <c r="AP134" s="4"/>
      <c r="AQ134" s="4"/>
      <c r="AR134" s="4"/>
      <c r="AS134" s="4"/>
      <c r="AT134" s="4"/>
      <c r="AU134" s="4"/>
      <c r="AV134" s="4"/>
      <c r="AW134" s="4"/>
      <c r="AX134" s="4"/>
      <c r="AY134" s="4"/>
      <c r="AZ134" s="4"/>
      <c r="BA134" s="4"/>
      <c r="BB134" s="4"/>
      <c r="BC134" s="5"/>
      <c r="BD134" s="4"/>
      <c r="BE134" s="4"/>
      <c r="BF134" s="4"/>
      <c r="BG134" s="4"/>
      <c r="BH134" s="4"/>
      <c r="BI134" s="4"/>
      <c r="BJ134" s="4"/>
      <c r="BK134" s="4"/>
      <c r="BL134" s="4"/>
      <c r="BM134" s="4"/>
      <c r="BN134" s="4"/>
      <c r="BO134" s="4"/>
      <c r="BP134" s="4"/>
      <c r="BQ134" s="4"/>
      <c r="BR134" s="4"/>
    </row>
    <row r="135" spans="1:70">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4"/>
      <c r="AH135" s="4"/>
      <c r="AI135" s="4"/>
      <c r="AJ135" s="4"/>
      <c r="AK135" s="4"/>
      <c r="AL135" s="4"/>
      <c r="AM135" s="4"/>
      <c r="AN135" s="4"/>
      <c r="AO135" s="4"/>
      <c r="AP135" s="4"/>
      <c r="AQ135" s="4"/>
      <c r="AR135" s="4"/>
      <c r="AS135" s="4"/>
      <c r="AT135" s="4"/>
      <c r="AU135" s="4"/>
      <c r="AV135" s="4"/>
      <c r="AW135" s="4"/>
      <c r="AX135" s="4"/>
      <c r="AY135" s="4"/>
      <c r="AZ135" s="4"/>
      <c r="BA135" s="4"/>
      <c r="BB135" s="4"/>
      <c r="BC135" s="5"/>
      <c r="BD135" s="4"/>
      <c r="BE135" s="4"/>
      <c r="BF135" s="4"/>
      <c r="BG135" s="4"/>
      <c r="BH135" s="4"/>
      <c r="BI135" s="4"/>
      <c r="BJ135" s="4"/>
      <c r="BK135" s="4"/>
      <c r="BL135" s="4"/>
      <c r="BM135" s="4"/>
      <c r="BN135" s="4"/>
      <c r="BO135" s="4"/>
      <c r="BP135" s="4"/>
      <c r="BQ135" s="4"/>
      <c r="BR135" s="4"/>
    </row>
    <row r="136" spans="1:70">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4"/>
      <c r="AH136" s="4"/>
      <c r="AI136" s="4"/>
      <c r="AJ136" s="4"/>
      <c r="AK136" s="4"/>
      <c r="AL136" s="4"/>
      <c r="AM136" s="4"/>
      <c r="AN136" s="4"/>
      <c r="AO136" s="4"/>
      <c r="AP136" s="4"/>
      <c r="AQ136" s="4"/>
      <c r="AR136" s="4"/>
      <c r="AS136" s="4"/>
      <c r="AT136" s="4"/>
      <c r="AU136" s="4"/>
      <c r="AV136" s="4"/>
      <c r="AW136" s="4"/>
      <c r="AX136" s="4"/>
      <c r="AY136" s="4"/>
      <c r="AZ136" s="4"/>
      <c r="BA136" s="4"/>
      <c r="BB136" s="4"/>
      <c r="BC136" s="5"/>
      <c r="BD136" s="4"/>
      <c r="BE136" s="4"/>
      <c r="BF136" s="4"/>
      <c r="BG136" s="4"/>
      <c r="BH136" s="4"/>
      <c r="BI136" s="4"/>
      <c r="BJ136" s="4"/>
      <c r="BK136" s="4"/>
      <c r="BL136" s="4"/>
      <c r="BM136" s="4"/>
      <c r="BN136" s="4"/>
      <c r="BO136" s="4"/>
      <c r="BP136" s="4"/>
      <c r="BQ136" s="4"/>
      <c r="BR136" s="4"/>
    </row>
    <row r="137" spans="1:70">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4"/>
      <c r="AH137" s="4"/>
      <c r="AI137" s="4"/>
      <c r="AJ137" s="4"/>
      <c r="AK137" s="4"/>
      <c r="AL137" s="4"/>
      <c r="AM137" s="4"/>
      <c r="AN137" s="4"/>
      <c r="AO137" s="4"/>
      <c r="AP137" s="4"/>
      <c r="AQ137" s="4"/>
      <c r="AR137" s="4"/>
      <c r="AS137" s="4"/>
      <c r="AT137" s="4"/>
      <c r="AU137" s="4"/>
      <c r="AV137" s="4"/>
      <c r="AW137" s="4"/>
      <c r="AX137" s="4"/>
      <c r="AY137" s="4"/>
      <c r="AZ137" s="4"/>
      <c r="BA137" s="4"/>
      <c r="BB137" s="4"/>
      <c r="BC137" s="5"/>
      <c r="BD137" s="4"/>
      <c r="BE137" s="4"/>
      <c r="BF137" s="4"/>
      <c r="BG137" s="4"/>
      <c r="BH137" s="4"/>
      <c r="BI137" s="4"/>
      <c r="BJ137" s="4"/>
      <c r="BK137" s="4"/>
      <c r="BL137" s="4"/>
      <c r="BM137" s="4"/>
      <c r="BN137" s="4"/>
      <c r="BO137" s="4"/>
      <c r="BP137" s="4"/>
      <c r="BQ137" s="4"/>
      <c r="BR137" s="4"/>
    </row>
    <row r="138" spans="1:70">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4"/>
      <c r="AH138" s="4"/>
      <c r="AI138" s="4"/>
      <c r="AJ138" s="4"/>
      <c r="AK138" s="4"/>
      <c r="AL138" s="4"/>
      <c r="AM138" s="4"/>
      <c r="AN138" s="4"/>
      <c r="AO138" s="4"/>
      <c r="AP138" s="4"/>
      <c r="AQ138" s="4"/>
      <c r="AR138" s="4"/>
      <c r="AS138" s="4"/>
      <c r="AT138" s="4"/>
      <c r="AU138" s="4"/>
      <c r="AV138" s="4"/>
      <c r="AW138" s="4"/>
      <c r="AX138" s="4"/>
      <c r="AY138" s="4"/>
      <c r="AZ138" s="4"/>
      <c r="BA138" s="4"/>
      <c r="BB138" s="4"/>
      <c r="BC138" s="5"/>
      <c r="BD138" s="4"/>
      <c r="BE138" s="4"/>
      <c r="BF138" s="4"/>
      <c r="BG138" s="4"/>
      <c r="BH138" s="4"/>
      <c r="BI138" s="4"/>
      <c r="BJ138" s="4"/>
      <c r="BK138" s="4"/>
      <c r="BL138" s="4"/>
      <c r="BM138" s="4"/>
      <c r="BN138" s="4"/>
      <c r="BO138" s="4"/>
      <c r="BP138" s="4"/>
      <c r="BQ138" s="4"/>
      <c r="BR138" s="4"/>
    </row>
    <row r="139" spans="1:70">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4"/>
      <c r="AH139" s="4"/>
      <c r="AI139" s="4"/>
      <c r="AJ139" s="4"/>
      <c r="AK139" s="4"/>
      <c r="AL139" s="4"/>
      <c r="AM139" s="4"/>
      <c r="AN139" s="4"/>
      <c r="AO139" s="4"/>
      <c r="AP139" s="4"/>
      <c r="AQ139" s="4"/>
      <c r="AR139" s="4"/>
      <c r="AS139" s="4"/>
      <c r="AT139" s="4"/>
      <c r="AU139" s="4"/>
      <c r="AV139" s="4"/>
      <c r="AW139" s="4"/>
      <c r="AX139" s="4"/>
      <c r="AY139" s="4"/>
      <c r="AZ139" s="4"/>
      <c r="BA139" s="4"/>
      <c r="BB139" s="4"/>
      <c r="BC139" s="5"/>
      <c r="BD139" s="4"/>
      <c r="BE139" s="4"/>
      <c r="BF139" s="4"/>
      <c r="BG139" s="4"/>
      <c r="BH139" s="4"/>
      <c r="BI139" s="4"/>
      <c r="BJ139" s="4"/>
      <c r="BK139" s="4"/>
      <c r="BL139" s="4"/>
      <c r="BM139" s="4"/>
      <c r="BN139" s="4"/>
      <c r="BO139" s="4"/>
      <c r="BP139" s="4"/>
      <c r="BQ139" s="4"/>
      <c r="BR139" s="4"/>
    </row>
    <row r="140" spans="1:7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4"/>
      <c r="AH140" s="4"/>
      <c r="AI140" s="4"/>
      <c r="AJ140" s="4"/>
      <c r="AK140" s="4"/>
      <c r="AL140" s="4"/>
      <c r="AM140" s="4"/>
      <c r="AN140" s="4"/>
      <c r="AO140" s="4"/>
      <c r="AP140" s="4"/>
      <c r="AQ140" s="4"/>
      <c r="AR140" s="4"/>
      <c r="AS140" s="4"/>
      <c r="AT140" s="4"/>
      <c r="AU140" s="4"/>
      <c r="AV140" s="4"/>
      <c r="AW140" s="4"/>
      <c r="AX140" s="4"/>
      <c r="AY140" s="4"/>
      <c r="AZ140" s="4"/>
      <c r="BA140" s="4"/>
      <c r="BB140" s="4"/>
      <c r="BC140" s="5"/>
      <c r="BD140" s="4"/>
      <c r="BE140" s="4"/>
      <c r="BF140" s="4"/>
      <c r="BG140" s="4"/>
      <c r="BH140" s="4"/>
      <c r="BI140" s="4"/>
      <c r="BJ140" s="4"/>
      <c r="BK140" s="4"/>
      <c r="BL140" s="4"/>
      <c r="BM140" s="4"/>
      <c r="BN140" s="4"/>
      <c r="BO140" s="4"/>
      <c r="BP140" s="4"/>
      <c r="BQ140" s="4"/>
      <c r="BR140" s="4"/>
    </row>
    <row r="141" spans="1:70">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4"/>
      <c r="AH141" s="4"/>
      <c r="AI141" s="4"/>
      <c r="AJ141" s="4"/>
      <c r="AK141" s="4"/>
      <c r="AL141" s="4"/>
      <c r="AM141" s="4"/>
      <c r="AN141" s="4"/>
      <c r="AO141" s="4"/>
      <c r="AP141" s="4"/>
      <c r="AQ141" s="4"/>
      <c r="AR141" s="4"/>
      <c r="AS141" s="4"/>
      <c r="AT141" s="4"/>
      <c r="AU141" s="4"/>
      <c r="AV141" s="4"/>
      <c r="AW141" s="4"/>
      <c r="AX141" s="4"/>
      <c r="AY141" s="4"/>
      <c r="AZ141" s="4"/>
      <c r="BA141" s="4"/>
      <c r="BB141" s="4"/>
      <c r="BC141" s="5"/>
      <c r="BD141" s="4"/>
      <c r="BE141" s="4"/>
      <c r="BF141" s="4"/>
      <c r="BG141" s="4"/>
      <c r="BH141" s="4"/>
      <c r="BI141" s="4"/>
      <c r="BJ141" s="4"/>
      <c r="BK141" s="4"/>
      <c r="BL141" s="4"/>
      <c r="BM141" s="4"/>
      <c r="BN141" s="4"/>
      <c r="BO141" s="4"/>
      <c r="BP141" s="4"/>
      <c r="BQ141" s="4"/>
      <c r="BR141" s="4"/>
    </row>
    <row r="142" spans="1:70">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4"/>
      <c r="AH142" s="4"/>
      <c r="AI142" s="4"/>
      <c r="AJ142" s="4"/>
      <c r="AK142" s="4"/>
      <c r="AL142" s="4"/>
      <c r="AM142" s="4"/>
      <c r="AN142" s="4"/>
      <c r="AO142" s="4"/>
      <c r="AP142" s="4"/>
      <c r="AQ142" s="4"/>
      <c r="AR142" s="4"/>
      <c r="AS142" s="4"/>
      <c r="AT142" s="4"/>
      <c r="AU142" s="4"/>
      <c r="AV142" s="4"/>
      <c r="AW142" s="4"/>
      <c r="AX142" s="4"/>
      <c r="AY142" s="4"/>
      <c r="AZ142" s="4"/>
      <c r="BA142" s="4"/>
      <c r="BB142" s="4"/>
      <c r="BC142" s="5"/>
      <c r="BD142" s="4"/>
      <c r="BE142" s="4"/>
      <c r="BF142" s="4"/>
      <c r="BG142" s="4"/>
      <c r="BH142" s="4"/>
      <c r="BI142" s="4"/>
      <c r="BJ142" s="4"/>
      <c r="BK142" s="4"/>
      <c r="BL142" s="4"/>
      <c r="BM142" s="4"/>
      <c r="BN142" s="4"/>
      <c r="BO142" s="4"/>
      <c r="BP142" s="4"/>
      <c r="BQ142" s="4"/>
      <c r="BR142" s="4"/>
    </row>
    <row r="143" spans="1:70">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4"/>
      <c r="AH143" s="4"/>
      <c r="AI143" s="4"/>
      <c r="AJ143" s="4"/>
      <c r="AK143" s="4"/>
      <c r="AL143" s="4"/>
      <c r="AM143" s="4"/>
      <c r="AN143" s="4"/>
      <c r="AO143" s="4"/>
      <c r="AP143" s="4"/>
      <c r="AQ143" s="4"/>
      <c r="AR143" s="4"/>
      <c r="AS143" s="4"/>
      <c r="AT143" s="4"/>
      <c r="AU143" s="4"/>
      <c r="AV143" s="4"/>
      <c r="AW143" s="4"/>
      <c r="AX143" s="4"/>
      <c r="AY143" s="4"/>
      <c r="AZ143" s="4"/>
      <c r="BA143" s="4"/>
      <c r="BB143" s="4"/>
      <c r="BC143" s="5"/>
      <c r="BD143" s="4"/>
      <c r="BE143" s="4"/>
      <c r="BF143" s="4"/>
      <c r="BG143" s="4"/>
      <c r="BH143" s="4"/>
      <c r="BI143" s="4"/>
      <c r="BJ143" s="4"/>
      <c r="BK143" s="4"/>
      <c r="BL143" s="4"/>
      <c r="BM143" s="4"/>
      <c r="BN143" s="4"/>
      <c r="BO143" s="4"/>
      <c r="BP143" s="4"/>
      <c r="BQ143" s="4"/>
      <c r="BR143" s="4"/>
    </row>
    <row r="144" spans="1:70">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4"/>
      <c r="AH144" s="4"/>
      <c r="AI144" s="4"/>
      <c r="AJ144" s="4"/>
      <c r="AK144" s="4"/>
      <c r="AL144" s="4"/>
      <c r="AM144" s="4"/>
      <c r="AN144" s="4"/>
      <c r="AO144" s="4"/>
      <c r="AP144" s="4"/>
      <c r="AQ144" s="4"/>
      <c r="AR144" s="4"/>
      <c r="AS144" s="4"/>
      <c r="AT144" s="4"/>
      <c r="AU144" s="4"/>
      <c r="AV144" s="4"/>
      <c r="AW144" s="4"/>
      <c r="AX144" s="4"/>
      <c r="AY144" s="4"/>
      <c r="AZ144" s="4"/>
      <c r="BA144" s="4"/>
      <c r="BB144" s="4"/>
      <c r="BC144" s="5"/>
      <c r="BD144" s="4"/>
      <c r="BE144" s="4"/>
      <c r="BF144" s="4"/>
      <c r="BG144" s="4"/>
      <c r="BH144" s="4"/>
      <c r="BI144" s="4"/>
      <c r="BJ144" s="4"/>
      <c r="BK144" s="4"/>
      <c r="BL144" s="4"/>
      <c r="BM144" s="4"/>
      <c r="BN144" s="4"/>
      <c r="BO144" s="4"/>
      <c r="BP144" s="4"/>
      <c r="BQ144" s="4"/>
      <c r="BR144" s="4"/>
    </row>
    <row r="145" spans="1:70">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4"/>
      <c r="AH145" s="4"/>
      <c r="AI145" s="4"/>
      <c r="AJ145" s="4"/>
      <c r="AK145" s="4"/>
      <c r="AL145" s="4"/>
      <c r="AM145" s="4"/>
      <c r="AN145" s="4"/>
      <c r="AO145" s="4"/>
      <c r="AP145" s="4"/>
      <c r="AQ145" s="4"/>
      <c r="AR145" s="4"/>
      <c r="AS145" s="4"/>
      <c r="AT145" s="4"/>
      <c r="AU145" s="4"/>
      <c r="AV145" s="4"/>
      <c r="AW145" s="4"/>
      <c r="AX145" s="4"/>
      <c r="AY145" s="4"/>
      <c r="AZ145" s="4"/>
      <c r="BA145" s="4"/>
      <c r="BB145" s="4"/>
      <c r="BC145" s="5"/>
      <c r="BD145" s="4"/>
      <c r="BE145" s="4"/>
      <c r="BF145" s="4"/>
      <c r="BG145" s="4"/>
      <c r="BH145" s="4"/>
      <c r="BI145" s="4"/>
      <c r="BJ145" s="4"/>
      <c r="BK145" s="4"/>
      <c r="BL145" s="4"/>
      <c r="BM145" s="4"/>
      <c r="BN145" s="4"/>
      <c r="BO145" s="4"/>
      <c r="BP145" s="4"/>
      <c r="BQ145" s="4"/>
      <c r="BR145" s="4"/>
    </row>
    <row r="146" spans="1:70">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4"/>
      <c r="AH146" s="4"/>
      <c r="AI146" s="4"/>
      <c r="AJ146" s="4"/>
      <c r="AK146" s="4"/>
      <c r="AL146" s="4"/>
      <c r="AM146" s="4"/>
      <c r="AN146" s="4"/>
      <c r="AO146" s="4"/>
      <c r="AP146" s="4"/>
      <c r="AQ146" s="4"/>
      <c r="AR146" s="4"/>
      <c r="AS146" s="4"/>
      <c r="AT146" s="4"/>
      <c r="AU146" s="4"/>
      <c r="AV146" s="4"/>
      <c r="AW146" s="4"/>
      <c r="AX146" s="4"/>
      <c r="AY146" s="4"/>
      <c r="AZ146" s="4"/>
      <c r="BA146" s="4"/>
      <c r="BB146" s="4"/>
      <c r="BC146" s="5"/>
      <c r="BD146" s="4"/>
      <c r="BE146" s="4"/>
      <c r="BF146" s="4"/>
      <c r="BG146" s="4"/>
      <c r="BH146" s="4"/>
      <c r="BI146" s="4"/>
      <c r="BJ146" s="4"/>
      <c r="BK146" s="4"/>
      <c r="BL146" s="4"/>
      <c r="BM146" s="4"/>
      <c r="BN146" s="4"/>
      <c r="BO146" s="4"/>
      <c r="BP146" s="4"/>
      <c r="BQ146" s="4"/>
      <c r="BR146" s="4"/>
    </row>
    <row r="147" spans="1:70">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4"/>
      <c r="AH147" s="4"/>
      <c r="AI147" s="4"/>
      <c r="AJ147" s="4"/>
      <c r="AK147" s="4"/>
      <c r="AL147" s="4"/>
      <c r="AM147" s="4"/>
      <c r="AN147" s="4"/>
      <c r="AO147" s="4"/>
      <c r="AP147" s="4"/>
      <c r="AQ147" s="4"/>
      <c r="AR147" s="4"/>
      <c r="AS147" s="4"/>
      <c r="AT147" s="4"/>
      <c r="AU147" s="4"/>
      <c r="AV147" s="4"/>
      <c r="AW147" s="4"/>
      <c r="AX147" s="4"/>
      <c r="AY147" s="4"/>
      <c r="AZ147" s="4"/>
      <c r="BA147" s="4"/>
      <c r="BB147" s="4"/>
      <c r="BC147" s="5"/>
      <c r="BD147" s="4"/>
      <c r="BE147" s="4"/>
      <c r="BF147" s="4"/>
      <c r="BG147" s="4"/>
      <c r="BH147" s="4"/>
      <c r="BI147" s="4"/>
      <c r="BJ147" s="4"/>
      <c r="BK147" s="4"/>
      <c r="BL147" s="4"/>
      <c r="BM147" s="4"/>
      <c r="BN147" s="4"/>
      <c r="BO147" s="4"/>
      <c r="BP147" s="4"/>
      <c r="BQ147" s="4"/>
      <c r="BR147" s="4"/>
    </row>
    <row r="148" spans="1:70">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4"/>
      <c r="AH148" s="4"/>
      <c r="AI148" s="4"/>
      <c r="AJ148" s="4"/>
      <c r="AK148" s="4"/>
      <c r="AL148" s="4"/>
      <c r="AM148" s="4"/>
      <c r="AN148" s="4"/>
      <c r="AO148" s="4"/>
      <c r="AP148" s="4"/>
      <c r="AQ148" s="4"/>
      <c r="AR148" s="4"/>
      <c r="AS148" s="4"/>
      <c r="AT148" s="4"/>
      <c r="AU148" s="4"/>
      <c r="AV148" s="4"/>
      <c r="AW148" s="4"/>
      <c r="AX148" s="4"/>
      <c r="AY148" s="4"/>
      <c r="AZ148" s="4"/>
      <c r="BA148" s="4"/>
      <c r="BB148" s="4"/>
      <c r="BC148" s="5"/>
      <c r="BD148" s="4"/>
      <c r="BE148" s="4"/>
      <c r="BF148" s="4"/>
      <c r="BG148" s="4"/>
      <c r="BH148" s="4"/>
      <c r="BI148" s="4"/>
      <c r="BJ148" s="4"/>
      <c r="BK148" s="4"/>
      <c r="BL148" s="4"/>
      <c r="BM148" s="4"/>
      <c r="BN148" s="4"/>
      <c r="BO148" s="4"/>
      <c r="BP148" s="4"/>
      <c r="BQ148" s="4"/>
      <c r="BR148" s="4"/>
    </row>
    <row r="149" spans="1:70">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4"/>
      <c r="AH149" s="4"/>
      <c r="AI149" s="4"/>
      <c r="AJ149" s="4"/>
      <c r="AK149" s="4"/>
      <c r="AL149" s="4"/>
      <c r="AM149" s="4"/>
      <c r="AN149" s="4"/>
      <c r="AO149" s="4"/>
      <c r="AP149" s="4"/>
      <c r="AQ149" s="4"/>
      <c r="AR149" s="4"/>
      <c r="AS149" s="4"/>
      <c r="AT149" s="4"/>
      <c r="AU149" s="4"/>
      <c r="AV149" s="4"/>
      <c r="AW149" s="4"/>
      <c r="AX149" s="4"/>
      <c r="AY149" s="4"/>
      <c r="AZ149" s="4"/>
      <c r="BA149" s="4"/>
      <c r="BB149" s="4"/>
      <c r="BC149" s="5"/>
      <c r="BD149" s="4"/>
      <c r="BE149" s="4"/>
      <c r="BF149" s="4"/>
      <c r="BG149" s="4"/>
      <c r="BH149" s="4"/>
      <c r="BI149" s="4"/>
      <c r="BJ149" s="4"/>
      <c r="BK149" s="4"/>
      <c r="BL149" s="4"/>
      <c r="BM149" s="4"/>
      <c r="BN149" s="4"/>
      <c r="BO149" s="4"/>
      <c r="BP149" s="4"/>
      <c r="BQ149" s="4"/>
      <c r="BR149" s="4"/>
    </row>
    <row r="150" spans="1:7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4"/>
      <c r="AH150" s="4"/>
      <c r="AI150" s="4"/>
      <c r="AJ150" s="4"/>
      <c r="AK150" s="4"/>
      <c r="AL150" s="4"/>
      <c r="AM150" s="4"/>
      <c r="AN150" s="4"/>
      <c r="AO150" s="4"/>
      <c r="AP150" s="4"/>
      <c r="AQ150" s="4"/>
      <c r="AR150" s="4"/>
      <c r="AS150" s="4"/>
      <c r="AT150" s="4"/>
      <c r="AU150" s="4"/>
      <c r="AV150" s="4"/>
      <c r="AW150" s="4"/>
      <c r="AX150" s="4"/>
      <c r="AY150" s="4"/>
      <c r="AZ150" s="4"/>
      <c r="BA150" s="4"/>
      <c r="BB150" s="4"/>
      <c r="BC150" s="5"/>
      <c r="BD150" s="4"/>
      <c r="BE150" s="4"/>
      <c r="BF150" s="4"/>
      <c r="BG150" s="4"/>
      <c r="BH150" s="4"/>
      <c r="BI150" s="4"/>
      <c r="BJ150" s="4"/>
      <c r="BK150" s="4"/>
      <c r="BL150" s="4"/>
      <c r="BM150" s="4"/>
      <c r="BN150" s="4"/>
      <c r="BO150" s="4"/>
      <c r="BP150" s="4"/>
      <c r="BQ150" s="4"/>
      <c r="BR150" s="4"/>
    </row>
    <row r="151" spans="1:70">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4"/>
      <c r="AH151" s="4"/>
      <c r="AI151" s="4"/>
      <c r="AJ151" s="4"/>
      <c r="AK151" s="4"/>
      <c r="AL151" s="4"/>
      <c r="AM151" s="4"/>
      <c r="AN151" s="4"/>
      <c r="AO151" s="4"/>
      <c r="AP151" s="4"/>
      <c r="AQ151" s="4"/>
      <c r="AR151" s="4"/>
      <c r="AS151" s="4"/>
      <c r="AT151" s="4"/>
      <c r="AU151" s="4"/>
      <c r="AV151" s="4"/>
      <c r="AW151" s="4"/>
      <c r="AX151" s="4"/>
      <c r="AY151" s="4"/>
      <c r="AZ151" s="4"/>
      <c r="BA151" s="4"/>
      <c r="BB151" s="4"/>
      <c r="BC151" s="5"/>
      <c r="BD151" s="4"/>
      <c r="BE151" s="4"/>
      <c r="BF151" s="4"/>
      <c r="BG151" s="4"/>
      <c r="BH151" s="4"/>
      <c r="BI151" s="4"/>
      <c r="BJ151" s="4"/>
      <c r="BK151" s="4"/>
      <c r="BL151" s="4"/>
      <c r="BM151" s="4"/>
      <c r="BN151" s="4"/>
      <c r="BO151" s="4"/>
      <c r="BP151" s="4"/>
      <c r="BQ151" s="4"/>
      <c r="BR151" s="4"/>
    </row>
    <row r="152" spans="1:70">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4"/>
      <c r="AH152" s="4"/>
      <c r="AI152" s="4"/>
      <c r="AJ152" s="4"/>
      <c r="AK152" s="4"/>
      <c r="AL152" s="4"/>
      <c r="AM152" s="4"/>
      <c r="AN152" s="4"/>
      <c r="AO152" s="4"/>
      <c r="AP152" s="4"/>
      <c r="AQ152" s="4"/>
      <c r="AR152" s="4"/>
      <c r="AS152" s="4"/>
      <c r="AT152" s="4"/>
      <c r="AU152" s="4"/>
      <c r="AV152" s="4"/>
      <c r="AW152" s="4"/>
      <c r="AX152" s="4"/>
      <c r="AY152" s="4"/>
      <c r="AZ152" s="4"/>
      <c r="BA152" s="4"/>
      <c r="BB152" s="4"/>
      <c r="BC152" s="5"/>
      <c r="BD152" s="4"/>
      <c r="BE152" s="4"/>
      <c r="BF152" s="4"/>
      <c r="BG152" s="4"/>
      <c r="BH152" s="4"/>
      <c r="BI152" s="4"/>
      <c r="BJ152" s="4"/>
      <c r="BK152" s="4"/>
      <c r="BL152" s="4"/>
      <c r="BM152" s="4"/>
      <c r="BN152" s="4"/>
      <c r="BO152" s="4"/>
      <c r="BP152" s="4"/>
      <c r="BQ152" s="4"/>
      <c r="BR152" s="4"/>
    </row>
    <row r="153" spans="1:70">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4"/>
      <c r="AH153" s="4"/>
      <c r="AI153" s="4"/>
      <c r="AJ153" s="4"/>
      <c r="AK153" s="4"/>
      <c r="AL153" s="4"/>
      <c r="AM153" s="4"/>
      <c r="AN153" s="4"/>
      <c r="AO153" s="4"/>
      <c r="AP153" s="4"/>
      <c r="AQ153" s="4"/>
      <c r="AR153" s="4"/>
      <c r="AS153" s="4"/>
      <c r="AT153" s="4"/>
      <c r="AU153" s="4"/>
      <c r="AV153" s="4"/>
      <c r="AW153" s="4"/>
      <c r="AX153" s="4"/>
      <c r="AY153" s="4"/>
      <c r="AZ153" s="4"/>
      <c r="BA153" s="4"/>
      <c r="BB153" s="4"/>
      <c r="BC153" s="5"/>
      <c r="BD153" s="4"/>
      <c r="BE153" s="4"/>
      <c r="BF153" s="4"/>
      <c r="BG153" s="4"/>
      <c r="BH153" s="4"/>
      <c r="BI153" s="4"/>
      <c r="BJ153" s="4"/>
      <c r="BK153" s="4"/>
      <c r="BL153" s="4"/>
      <c r="BM153" s="4"/>
      <c r="BN153" s="4"/>
      <c r="BO153" s="4"/>
      <c r="BP153" s="4"/>
      <c r="BQ153" s="4"/>
      <c r="BR153" s="4"/>
    </row>
    <row r="154" spans="1:70">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4"/>
      <c r="AH154" s="4"/>
      <c r="AI154" s="4"/>
      <c r="AJ154" s="4"/>
      <c r="AK154" s="4"/>
      <c r="AL154" s="4"/>
      <c r="AM154" s="4"/>
      <c r="AN154" s="4"/>
      <c r="AO154" s="4"/>
      <c r="AP154" s="4"/>
      <c r="AQ154" s="4"/>
      <c r="AR154" s="4"/>
      <c r="AS154" s="4"/>
      <c r="AT154" s="4"/>
      <c r="AU154" s="4"/>
      <c r="AV154" s="4"/>
      <c r="AW154" s="4"/>
      <c r="AX154" s="4"/>
      <c r="AY154" s="4"/>
      <c r="AZ154" s="4"/>
      <c r="BA154" s="4"/>
      <c r="BB154" s="4"/>
      <c r="BC154" s="5"/>
      <c r="BD154" s="4"/>
      <c r="BE154" s="4"/>
      <c r="BF154" s="4"/>
      <c r="BG154" s="4"/>
      <c r="BH154" s="4"/>
      <c r="BI154" s="4"/>
      <c r="BJ154" s="4"/>
      <c r="BK154" s="4"/>
      <c r="BL154" s="4"/>
      <c r="BM154" s="4"/>
      <c r="BN154" s="4"/>
      <c r="BO154" s="4"/>
      <c r="BP154" s="4"/>
      <c r="BQ154" s="4"/>
      <c r="BR154" s="4"/>
    </row>
    <row r="155" spans="1:70">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4"/>
      <c r="AH155" s="4"/>
      <c r="AI155" s="4"/>
      <c r="AJ155" s="4"/>
      <c r="AK155" s="4"/>
      <c r="AL155" s="4"/>
      <c r="AM155" s="4"/>
      <c r="AN155" s="4"/>
      <c r="AO155" s="4"/>
      <c r="AP155" s="4"/>
      <c r="AQ155" s="4"/>
      <c r="AR155" s="4"/>
      <c r="AS155" s="4"/>
      <c r="AT155" s="4"/>
      <c r="AU155" s="4"/>
      <c r="AV155" s="4"/>
      <c r="AW155" s="4"/>
      <c r="AX155" s="4"/>
      <c r="AY155" s="4"/>
      <c r="AZ155" s="4"/>
      <c r="BA155" s="4"/>
      <c r="BB155" s="4"/>
      <c r="BC155" s="5"/>
      <c r="BD155" s="4"/>
      <c r="BE155" s="4"/>
      <c r="BF155" s="4"/>
      <c r="BG155" s="4"/>
      <c r="BH155" s="4"/>
      <c r="BI155" s="4"/>
      <c r="BJ155" s="4"/>
      <c r="BK155" s="4"/>
      <c r="BL155" s="4"/>
      <c r="BM155" s="4"/>
      <c r="BN155" s="4"/>
      <c r="BO155" s="4"/>
      <c r="BP155" s="4"/>
      <c r="BQ155" s="4"/>
      <c r="BR155" s="4"/>
    </row>
    <row r="156" spans="1:70">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4"/>
      <c r="AH156" s="4"/>
      <c r="AI156" s="4"/>
      <c r="AJ156" s="4"/>
      <c r="AK156" s="4"/>
      <c r="AL156" s="4"/>
      <c r="AM156" s="4"/>
      <c r="AN156" s="4"/>
      <c r="AO156" s="4"/>
      <c r="AP156" s="4"/>
      <c r="AQ156" s="4"/>
      <c r="AR156" s="4"/>
      <c r="AS156" s="4"/>
      <c r="AT156" s="4"/>
      <c r="AU156" s="4"/>
      <c r="AV156" s="4"/>
      <c r="AW156" s="4"/>
      <c r="AX156" s="4"/>
      <c r="AY156" s="4"/>
      <c r="AZ156" s="4"/>
      <c r="BA156" s="4"/>
      <c r="BB156" s="4"/>
      <c r="BC156" s="5"/>
      <c r="BD156" s="4"/>
      <c r="BE156" s="4"/>
      <c r="BF156" s="4"/>
      <c r="BG156" s="4"/>
      <c r="BH156" s="4"/>
      <c r="BI156" s="4"/>
      <c r="BJ156" s="4"/>
      <c r="BK156" s="4"/>
      <c r="BL156" s="4"/>
      <c r="BM156" s="4"/>
      <c r="BN156" s="4"/>
      <c r="BO156" s="4"/>
      <c r="BP156" s="4"/>
      <c r="BQ156" s="4"/>
      <c r="BR156" s="4"/>
    </row>
    <row r="157" spans="1:70">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4"/>
      <c r="AH157" s="4"/>
      <c r="AI157" s="4"/>
      <c r="AJ157" s="4"/>
      <c r="AK157" s="4"/>
      <c r="AL157" s="4"/>
      <c r="AM157" s="4"/>
      <c r="AN157" s="4"/>
      <c r="AO157" s="4"/>
      <c r="AP157" s="4"/>
      <c r="AQ157" s="4"/>
      <c r="AR157" s="4"/>
      <c r="AS157" s="4"/>
      <c r="AT157" s="4"/>
      <c r="AU157" s="4"/>
      <c r="AV157" s="4"/>
      <c r="AW157" s="4"/>
      <c r="AX157" s="4"/>
      <c r="AY157" s="4"/>
      <c r="AZ157" s="4"/>
      <c r="BA157" s="4"/>
      <c r="BB157" s="4"/>
      <c r="BC157" s="5"/>
      <c r="BD157" s="4"/>
      <c r="BE157" s="4"/>
      <c r="BF157" s="4"/>
      <c r="BG157" s="4"/>
      <c r="BH157" s="4"/>
      <c r="BI157" s="4"/>
      <c r="BJ157" s="4"/>
      <c r="BK157" s="4"/>
      <c r="BL157" s="4"/>
      <c r="BM157" s="4"/>
      <c r="BN157" s="4"/>
      <c r="BO157" s="4"/>
      <c r="BP157" s="4"/>
      <c r="BQ157" s="4"/>
      <c r="BR157" s="4"/>
    </row>
    <row r="158" spans="1:70">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4"/>
      <c r="AH158" s="4"/>
      <c r="AI158" s="4"/>
      <c r="AJ158" s="4"/>
      <c r="AK158" s="4"/>
      <c r="AL158" s="4"/>
      <c r="AM158" s="4"/>
      <c r="AN158" s="4"/>
      <c r="AO158" s="4"/>
      <c r="AP158" s="4"/>
      <c r="AQ158" s="4"/>
      <c r="AR158" s="4"/>
      <c r="AS158" s="4"/>
      <c r="AT158" s="4"/>
      <c r="AU158" s="4"/>
      <c r="AV158" s="4"/>
      <c r="AW158" s="4"/>
      <c r="AX158" s="4"/>
      <c r="AY158" s="4"/>
      <c r="AZ158" s="4"/>
      <c r="BA158" s="4"/>
      <c r="BB158" s="4"/>
      <c r="BC158" s="5"/>
      <c r="BD158" s="4"/>
      <c r="BE158" s="4"/>
      <c r="BF158" s="4"/>
      <c r="BG158" s="4"/>
      <c r="BH158" s="4"/>
      <c r="BI158" s="4"/>
      <c r="BJ158" s="4"/>
      <c r="BK158" s="4"/>
      <c r="BL158" s="4"/>
      <c r="BM158" s="4"/>
      <c r="BN158" s="4"/>
      <c r="BO158" s="4"/>
      <c r="BP158" s="4"/>
      <c r="BQ158" s="4"/>
      <c r="BR158" s="4"/>
    </row>
    <row r="159" spans="1:70">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4"/>
      <c r="AH159" s="4"/>
      <c r="AI159" s="4"/>
      <c r="AJ159" s="4"/>
      <c r="AK159" s="4"/>
      <c r="AL159" s="4"/>
      <c r="AM159" s="4"/>
      <c r="AN159" s="4"/>
      <c r="AO159" s="4"/>
      <c r="AP159" s="4"/>
      <c r="AQ159" s="4"/>
      <c r="AR159" s="4"/>
      <c r="AS159" s="4"/>
      <c r="AT159" s="4"/>
      <c r="AU159" s="4"/>
      <c r="AV159" s="4"/>
      <c r="AW159" s="4"/>
      <c r="AX159" s="4"/>
      <c r="AY159" s="4"/>
      <c r="AZ159" s="4"/>
      <c r="BA159" s="4"/>
      <c r="BB159" s="4"/>
      <c r="BC159" s="5"/>
      <c r="BD159" s="4"/>
      <c r="BE159" s="4"/>
      <c r="BF159" s="4"/>
      <c r="BG159" s="4"/>
      <c r="BH159" s="4"/>
      <c r="BI159" s="4"/>
      <c r="BJ159" s="4"/>
      <c r="BK159" s="4"/>
      <c r="BL159" s="4"/>
      <c r="BM159" s="4"/>
      <c r="BN159" s="4"/>
      <c r="BO159" s="4"/>
      <c r="BP159" s="4"/>
      <c r="BQ159" s="4"/>
      <c r="BR159" s="4"/>
    </row>
    <row r="160" spans="1:7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4"/>
      <c r="AH160" s="4"/>
      <c r="AI160" s="4"/>
      <c r="AJ160" s="4"/>
      <c r="AK160" s="4"/>
      <c r="AL160" s="4"/>
      <c r="AM160" s="4"/>
      <c r="AN160" s="4"/>
      <c r="AO160" s="4"/>
      <c r="AP160" s="4"/>
      <c r="AQ160" s="4"/>
      <c r="AR160" s="4"/>
      <c r="AS160" s="4"/>
      <c r="AT160" s="4"/>
      <c r="AU160" s="4"/>
      <c r="AV160" s="4"/>
      <c r="AW160" s="4"/>
      <c r="AX160" s="4"/>
      <c r="AY160" s="4"/>
      <c r="AZ160" s="4"/>
      <c r="BA160" s="4"/>
      <c r="BB160" s="4"/>
      <c r="BC160" s="5"/>
      <c r="BD160" s="4"/>
      <c r="BE160" s="4"/>
      <c r="BF160" s="4"/>
      <c r="BG160" s="4"/>
      <c r="BH160" s="4"/>
      <c r="BI160" s="4"/>
      <c r="BJ160" s="4"/>
      <c r="BK160" s="4"/>
      <c r="BL160" s="4"/>
      <c r="BM160" s="4"/>
      <c r="BN160" s="4"/>
      <c r="BO160" s="4"/>
      <c r="BP160" s="4"/>
      <c r="BQ160" s="4"/>
      <c r="BR160" s="4"/>
    </row>
    <row r="161" spans="1:70">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4"/>
      <c r="AH161" s="4"/>
      <c r="AI161" s="4"/>
      <c r="AJ161" s="4"/>
      <c r="AK161" s="4"/>
      <c r="AL161" s="4"/>
      <c r="AM161" s="4"/>
      <c r="AN161" s="4"/>
      <c r="AO161" s="4"/>
      <c r="AP161" s="4"/>
      <c r="AQ161" s="4"/>
      <c r="AR161" s="4"/>
      <c r="AS161" s="4"/>
      <c r="AT161" s="4"/>
      <c r="AU161" s="4"/>
      <c r="AV161" s="4"/>
      <c r="AW161" s="4"/>
      <c r="AX161" s="4"/>
      <c r="AY161" s="4"/>
      <c r="AZ161" s="4"/>
      <c r="BA161" s="4"/>
      <c r="BB161" s="4"/>
      <c r="BC161" s="5"/>
      <c r="BD161" s="4"/>
      <c r="BE161" s="4"/>
      <c r="BF161" s="4"/>
      <c r="BG161" s="4"/>
      <c r="BH161" s="4"/>
      <c r="BI161" s="4"/>
      <c r="BJ161" s="4"/>
      <c r="BK161" s="4"/>
      <c r="BL161" s="4"/>
      <c r="BM161" s="4"/>
      <c r="BN161" s="4"/>
      <c r="BO161" s="4"/>
      <c r="BP161" s="4"/>
      <c r="BQ161" s="4"/>
      <c r="BR161" s="4"/>
    </row>
    <row r="162" spans="1:70">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4"/>
      <c r="AH162" s="4"/>
      <c r="AI162" s="4"/>
      <c r="AJ162" s="4"/>
      <c r="AK162" s="4"/>
      <c r="AL162" s="4"/>
      <c r="AM162" s="4"/>
      <c r="AN162" s="4"/>
      <c r="AO162" s="4"/>
      <c r="AP162" s="4"/>
      <c r="AQ162" s="4"/>
      <c r="AR162" s="4"/>
      <c r="AS162" s="4"/>
      <c r="AT162" s="4"/>
      <c r="AU162" s="4"/>
      <c r="AV162" s="4"/>
      <c r="AW162" s="4"/>
      <c r="AX162" s="4"/>
      <c r="AY162" s="4"/>
      <c r="AZ162" s="4"/>
      <c r="BA162" s="4"/>
      <c r="BB162" s="4"/>
      <c r="BC162" s="5"/>
      <c r="BD162" s="4"/>
      <c r="BE162" s="4"/>
      <c r="BF162" s="4"/>
      <c r="BG162" s="4"/>
      <c r="BH162" s="4"/>
      <c r="BI162" s="4"/>
      <c r="BJ162" s="4"/>
      <c r="BK162" s="4"/>
      <c r="BL162" s="4"/>
      <c r="BM162" s="4"/>
      <c r="BN162" s="4"/>
      <c r="BO162" s="4"/>
      <c r="BP162" s="4"/>
      <c r="BQ162" s="4"/>
      <c r="BR162" s="4"/>
    </row>
    <row r="163" spans="1:70">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4"/>
      <c r="AH163" s="4"/>
      <c r="AI163" s="4"/>
      <c r="AJ163" s="4"/>
      <c r="AK163" s="4"/>
      <c r="AL163" s="4"/>
      <c r="AM163" s="4"/>
      <c r="AN163" s="4"/>
      <c r="AO163" s="4"/>
      <c r="AP163" s="4"/>
      <c r="AQ163" s="4"/>
      <c r="AR163" s="4"/>
      <c r="AS163" s="4"/>
      <c r="AT163" s="4"/>
      <c r="AU163" s="4"/>
      <c r="AV163" s="4"/>
      <c r="AW163" s="4"/>
      <c r="AX163" s="4"/>
      <c r="AY163" s="4"/>
      <c r="AZ163" s="4"/>
      <c r="BA163" s="4"/>
      <c r="BB163" s="4"/>
      <c r="BC163" s="5"/>
      <c r="BD163" s="4"/>
      <c r="BE163" s="4"/>
      <c r="BF163" s="4"/>
      <c r="BG163" s="4"/>
      <c r="BH163" s="4"/>
      <c r="BI163" s="4"/>
      <c r="BJ163" s="4"/>
      <c r="BK163" s="4"/>
      <c r="BL163" s="4"/>
      <c r="BM163" s="4"/>
      <c r="BN163" s="4"/>
      <c r="BO163" s="4"/>
      <c r="BP163" s="4"/>
      <c r="BQ163" s="4"/>
      <c r="BR163" s="4"/>
    </row>
    <row r="164" spans="1:70">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4"/>
      <c r="AH164" s="4"/>
      <c r="AI164" s="4"/>
      <c r="AJ164" s="4"/>
      <c r="AK164" s="4"/>
      <c r="AL164" s="4"/>
      <c r="AM164" s="4"/>
      <c r="AN164" s="4"/>
      <c r="AO164" s="4"/>
      <c r="AP164" s="4"/>
      <c r="AQ164" s="4"/>
      <c r="AR164" s="4"/>
      <c r="AS164" s="4"/>
      <c r="AT164" s="4"/>
      <c r="AU164" s="4"/>
      <c r="AV164" s="4"/>
      <c r="AW164" s="4"/>
      <c r="AX164" s="4"/>
      <c r="AY164" s="4"/>
      <c r="AZ164" s="4"/>
      <c r="BA164" s="4"/>
      <c r="BB164" s="4"/>
      <c r="BC164" s="5"/>
      <c r="BD164" s="4"/>
      <c r="BE164" s="4"/>
      <c r="BF164" s="4"/>
      <c r="BG164" s="4"/>
      <c r="BH164" s="4"/>
      <c r="BI164" s="4"/>
      <c r="BJ164" s="4"/>
      <c r="BK164" s="4"/>
      <c r="BL164" s="4"/>
      <c r="BM164" s="4"/>
      <c r="BN164" s="4"/>
      <c r="BO164" s="4"/>
      <c r="BP164" s="4"/>
      <c r="BQ164" s="4"/>
      <c r="BR164" s="4"/>
    </row>
    <row r="165" spans="1:70">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4"/>
      <c r="AH165" s="4"/>
      <c r="AI165" s="4"/>
      <c r="AJ165" s="4"/>
      <c r="AK165" s="4"/>
      <c r="AL165" s="4"/>
      <c r="AM165" s="4"/>
      <c r="AN165" s="4"/>
      <c r="AO165" s="4"/>
      <c r="AP165" s="4"/>
      <c r="AQ165" s="4"/>
      <c r="AR165" s="4"/>
      <c r="AS165" s="4"/>
      <c r="AT165" s="4"/>
      <c r="AU165" s="4"/>
      <c r="AV165" s="4"/>
      <c r="AW165" s="4"/>
      <c r="AX165" s="4"/>
      <c r="AY165" s="4"/>
      <c r="AZ165" s="4"/>
      <c r="BA165" s="4"/>
      <c r="BB165" s="4"/>
      <c r="BC165" s="5"/>
      <c r="BD165" s="4"/>
      <c r="BE165" s="4"/>
      <c r="BF165" s="4"/>
      <c r="BG165" s="4"/>
      <c r="BH165" s="4"/>
      <c r="BI165" s="4"/>
      <c r="BJ165" s="4"/>
      <c r="BK165" s="4"/>
      <c r="BL165" s="4"/>
      <c r="BM165" s="4"/>
      <c r="BN165" s="4"/>
      <c r="BO165" s="4"/>
      <c r="BP165" s="4"/>
      <c r="BQ165" s="4"/>
      <c r="BR165" s="4"/>
    </row>
    <row r="166" spans="1:70">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4"/>
      <c r="AH166" s="4"/>
      <c r="AI166" s="4"/>
      <c r="AJ166" s="4"/>
      <c r="AK166" s="4"/>
      <c r="AL166" s="4"/>
      <c r="AM166" s="4"/>
      <c r="AN166" s="4"/>
      <c r="AO166" s="4"/>
      <c r="AP166" s="4"/>
      <c r="AQ166" s="4"/>
      <c r="AR166" s="4"/>
      <c r="AS166" s="4"/>
      <c r="AT166" s="4"/>
      <c r="AU166" s="4"/>
      <c r="AV166" s="4"/>
      <c r="AW166" s="4"/>
      <c r="AX166" s="4"/>
      <c r="AY166" s="4"/>
      <c r="AZ166" s="4"/>
      <c r="BA166" s="4"/>
      <c r="BB166" s="4"/>
      <c r="BC166" s="5"/>
      <c r="BD166" s="4"/>
      <c r="BE166" s="4"/>
      <c r="BF166" s="4"/>
      <c r="BG166" s="4"/>
      <c r="BH166" s="4"/>
      <c r="BI166" s="4"/>
      <c r="BJ166" s="4"/>
      <c r="BK166" s="4"/>
      <c r="BL166" s="4"/>
      <c r="BM166" s="4"/>
      <c r="BN166" s="4"/>
      <c r="BO166" s="4"/>
      <c r="BP166" s="4"/>
      <c r="BQ166" s="4"/>
      <c r="BR166" s="4"/>
    </row>
    <row r="167" spans="1:70">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4"/>
      <c r="AH167" s="4"/>
      <c r="AI167" s="4"/>
      <c r="AJ167" s="4"/>
      <c r="AK167" s="4"/>
      <c r="AL167" s="4"/>
      <c r="AM167" s="4"/>
      <c r="AN167" s="4"/>
      <c r="AO167" s="4"/>
      <c r="AP167" s="4"/>
      <c r="AQ167" s="4"/>
      <c r="AR167" s="4"/>
      <c r="AS167" s="4"/>
      <c r="AT167" s="4"/>
      <c r="AU167" s="4"/>
      <c r="AV167" s="4"/>
      <c r="AW167" s="4"/>
      <c r="AX167" s="4"/>
      <c r="AY167" s="4"/>
      <c r="AZ167" s="4"/>
      <c r="BA167" s="4"/>
      <c r="BB167" s="4"/>
      <c r="BC167" s="5"/>
      <c r="BD167" s="4"/>
      <c r="BE167" s="4"/>
      <c r="BF167" s="4"/>
      <c r="BG167" s="4"/>
      <c r="BH167" s="4"/>
      <c r="BI167" s="4"/>
      <c r="BJ167" s="4"/>
      <c r="BK167" s="4"/>
      <c r="BL167" s="4"/>
      <c r="BM167" s="4"/>
      <c r="BN167" s="4"/>
      <c r="BO167" s="4"/>
      <c r="BP167" s="4"/>
      <c r="BQ167" s="4"/>
      <c r="BR167" s="4"/>
    </row>
    <row r="168" spans="1:70">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4"/>
      <c r="AH168" s="4"/>
      <c r="AI168" s="4"/>
      <c r="AJ168" s="4"/>
      <c r="AK168" s="4"/>
      <c r="AL168" s="4"/>
      <c r="AM168" s="4"/>
      <c r="AN168" s="4"/>
      <c r="AO168" s="4"/>
      <c r="AP168" s="4"/>
      <c r="AQ168" s="4"/>
      <c r="AR168" s="4"/>
      <c r="AS168" s="4"/>
      <c r="AT168" s="4"/>
      <c r="AU168" s="4"/>
      <c r="AV168" s="4"/>
      <c r="AW168" s="4"/>
      <c r="AX168" s="4"/>
      <c r="AY168" s="4"/>
      <c r="AZ168" s="4"/>
      <c r="BA168" s="4"/>
      <c r="BB168" s="4"/>
      <c r="BC168" s="5"/>
      <c r="BD168" s="4"/>
      <c r="BE168" s="4"/>
      <c r="BF168" s="4"/>
      <c r="BG168" s="4"/>
      <c r="BH168" s="4"/>
      <c r="BI168" s="4"/>
      <c r="BJ168" s="4"/>
      <c r="BK168" s="4"/>
      <c r="BL168" s="4"/>
      <c r="BM168" s="4"/>
      <c r="BN168" s="4"/>
      <c r="BO168" s="4"/>
      <c r="BP168" s="4"/>
      <c r="BQ168" s="4"/>
      <c r="BR168" s="4"/>
    </row>
    <row r="169" spans="1:70">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4"/>
      <c r="AH169" s="4"/>
      <c r="AI169" s="4"/>
      <c r="AJ169" s="4"/>
      <c r="AK169" s="4"/>
      <c r="AL169" s="4"/>
      <c r="AM169" s="4"/>
      <c r="AN169" s="4"/>
      <c r="AO169" s="4"/>
      <c r="AP169" s="4"/>
      <c r="AQ169" s="4"/>
      <c r="AR169" s="4"/>
      <c r="AS169" s="4"/>
      <c r="AT169" s="4"/>
      <c r="AU169" s="4"/>
      <c r="AV169" s="4"/>
      <c r="AW169" s="4"/>
      <c r="AX169" s="4"/>
      <c r="AY169" s="4"/>
      <c r="AZ169" s="4"/>
      <c r="BA169" s="4"/>
      <c r="BB169" s="4"/>
      <c r="BC169" s="5"/>
      <c r="BD169" s="4"/>
      <c r="BE169" s="4"/>
      <c r="BF169" s="4"/>
      <c r="BG169" s="4"/>
      <c r="BH169" s="4"/>
      <c r="BI169" s="4"/>
      <c r="BJ169" s="4"/>
      <c r="BK169" s="4"/>
      <c r="BL169" s="4"/>
      <c r="BM169" s="4"/>
      <c r="BN169" s="4"/>
      <c r="BO169" s="4"/>
      <c r="BP169" s="4"/>
      <c r="BQ169" s="4"/>
      <c r="BR169" s="4"/>
    </row>
    <row r="170" spans="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4"/>
      <c r="AH170" s="4"/>
      <c r="AI170" s="4"/>
      <c r="AJ170" s="4"/>
      <c r="AK170" s="4"/>
      <c r="AL170" s="4"/>
      <c r="AM170" s="4"/>
      <c r="AN170" s="4"/>
      <c r="AO170" s="4"/>
      <c r="AP170" s="4"/>
      <c r="AQ170" s="4"/>
      <c r="AR170" s="4"/>
      <c r="AS170" s="4"/>
      <c r="AT170" s="4"/>
      <c r="AU170" s="4"/>
      <c r="AV170" s="4"/>
      <c r="AW170" s="4"/>
      <c r="AX170" s="4"/>
      <c r="AY170" s="4"/>
      <c r="AZ170" s="4"/>
      <c r="BA170" s="4"/>
      <c r="BB170" s="4"/>
      <c r="BC170" s="5"/>
      <c r="BD170" s="4"/>
      <c r="BE170" s="4"/>
      <c r="BF170" s="4"/>
      <c r="BG170" s="4"/>
      <c r="BH170" s="4"/>
      <c r="BI170" s="4"/>
      <c r="BJ170" s="4"/>
      <c r="BK170" s="4"/>
      <c r="BL170" s="4"/>
      <c r="BM170" s="4"/>
      <c r="BN170" s="4"/>
      <c r="BO170" s="4"/>
      <c r="BP170" s="4"/>
      <c r="BQ170" s="4"/>
      <c r="BR170" s="4"/>
    </row>
    <row r="171" spans="1:70">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4"/>
      <c r="AH171" s="4"/>
      <c r="AI171" s="4"/>
      <c r="AJ171" s="4"/>
      <c r="AK171" s="4"/>
      <c r="AL171" s="4"/>
      <c r="AM171" s="4"/>
      <c r="AN171" s="4"/>
      <c r="AO171" s="4"/>
      <c r="AP171" s="4"/>
      <c r="AQ171" s="4"/>
      <c r="AR171" s="4"/>
      <c r="AS171" s="4"/>
      <c r="AT171" s="4"/>
      <c r="AU171" s="4"/>
      <c r="AV171" s="4"/>
      <c r="AW171" s="4"/>
      <c r="AX171" s="4"/>
      <c r="AY171" s="4"/>
      <c r="AZ171" s="4"/>
      <c r="BA171" s="4"/>
      <c r="BB171" s="4"/>
      <c r="BC171" s="5"/>
      <c r="BD171" s="4"/>
      <c r="BE171" s="4"/>
      <c r="BF171" s="4"/>
      <c r="BG171" s="4"/>
      <c r="BH171" s="4"/>
      <c r="BI171" s="4"/>
      <c r="BJ171" s="4"/>
      <c r="BK171" s="4"/>
      <c r="BL171" s="4"/>
      <c r="BM171" s="4"/>
      <c r="BN171" s="4"/>
      <c r="BO171" s="4"/>
      <c r="BP171" s="4"/>
      <c r="BQ171" s="4"/>
      <c r="BR171" s="4"/>
    </row>
    <row r="172" spans="1:70">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4"/>
      <c r="AH172" s="4"/>
      <c r="AI172" s="4"/>
      <c r="AJ172" s="4"/>
      <c r="AK172" s="4"/>
      <c r="AL172" s="4"/>
      <c r="AM172" s="4"/>
      <c r="AN172" s="4"/>
      <c r="AO172" s="4"/>
      <c r="AP172" s="4"/>
      <c r="AQ172" s="4"/>
      <c r="AR172" s="4"/>
      <c r="AS172" s="4"/>
      <c r="AT172" s="4"/>
      <c r="AU172" s="4"/>
      <c r="AV172" s="4"/>
      <c r="AW172" s="4"/>
      <c r="AX172" s="4"/>
      <c r="AY172" s="4"/>
      <c r="AZ172" s="4"/>
      <c r="BA172" s="4"/>
      <c r="BB172" s="4"/>
      <c r="BC172" s="5"/>
      <c r="BD172" s="4"/>
      <c r="BE172" s="4"/>
      <c r="BF172" s="4"/>
      <c r="BG172" s="4"/>
      <c r="BH172" s="4"/>
      <c r="BI172" s="4"/>
      <c r="BJ172" s="4"/>
      <c r="BK172" s="4"/>
      <c r="BL172" s="4"/>
      <c r="BM172" s="4"/>
      <c r="BN172" s="4"/>
      <c r="BO172" s="4"/>
      <c r="BP172" s="4"/>
      <c r="BQ172" s="4"/>
      <c r="BR172" s="4"/>
    </row>
    <row r="173" spans="1:70">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4"/>
      <c r="AH173" s="4"/>
      <c r="AI173" s="4"/>
      <c r="AJ173" s="4"/>
      <c r="AK173" s="4"/>
      <c r="AL173" s="4"/>
      <c r="AM173" s="4"/>
      <c r="AN173" s="4"/>
      <c r="AO173" s="4"/>
      <c r="AP173" s="4"/>
      <c r="AQ173" s="4"/>
      <c r="AR173" s="4"/>
      <c r="AS173" s="4"/>
      <c r="AT173" s="4"/>
      <c r="AU173" s="4"/>
      <c r="AV173" s="4"/>
      <c r="AW173" s="4"/>
      <c r="AX173" s="4"/>
      <c r="AY173" s="4"/>
      <c r="AZ173" s="4"/>
      <c r="BA173" s="4"/>
      <c r="BB173" s="4"/>
      <c r="BC173" s="5"/>
      <c r="BD173" s="4"/>
      <c r="BE173" s="4"/>
      <c r="BF173" s="4"/>
      <c r="BG173" s="4"/>
      <c r="BH173" s="4"/>
      <c r="BI173" s="4"/>
      <c r="BJ173" s="4"/>
      <c r="BK173" s="4"/>
      <c r="BL173" s="4"/>
      <c r="BM173" s="4"/>
      <c r="BN173" s="4"/>
      <c r="BO173" s="4"/>
      <c r="BP173" s="4"/>
      <c r="BQ173" s="4"/>
      <c r="BR173" s="4"/>
    </row>
    <row r="174" spans="1:70">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4"/>
      <c r="AH174" s="4"/>
      <c r="AI174" s="4"/>
      <c r="AJ174" s="4"/>
      <c r="AK174" s="4"/>
      <c r="AL174" s="4"/>
      <c r="AM174" s="4"/>
      <c r="AN174" s="4"/>
      <c r="AO174" s="4"/>
      <c r="AP174" s="4"/>
      <c r="AQ174" s="4"/>
      <c r="AR174" s="4"/>
      <c r="AS174" s="4"/>
      <c r="AT174" s="4"/>
      <c r="AU174" s="4"/>
      <c r="AV174" s="4"/>
      <c r="AW174" s="4"/>
      <c r="AX174" s="4"/>
      <c r="AY174" s="4"/>
      <c r="AZ174" s="4"/>
      <c r="BA174" s="4"/>
      <c r="BB174" s="4"/>
      <c r="BC174" s="5"/>
      <c r="BD174" s="4"/>
      <c r="BE174" s="4"/>
      <c r="BF174" s="4"/>
      <c r="BG174" s="4"/>
      <c r="BH174" s="4"/>
      <c r="BI174" s="4"/>
      <c r="BJ174" s="4"/>
      <c r="BK174" s="4"/>
      <c r="BL174" s="4"/>
      <c r="BM174" s="4"/>
      <c r="BN174" s="4"/>
      <c r="BO174" s="4"/>
      <c r="BP174" s="4"/>
      <c r="BQ174" s="4"/>
      <c r="BR174" s="4"/>
    </row>
    <row r="175" spans="1:70">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4"/>
      <c r="AH175" s="4"/>
      <c r="AI175" s="4"/>
      <c r="AJ175" s="4"/>
      <c r="AK175" s="4"/>
      <c r="AL175" s="4"/>
      <c r="AM175" s="4"/>
      <c r="AN175" s="4"/>
      <c r="AO175" s="4"/>
      <c r="AP175" s="4"/>
      <c r="AQ175" s="4"/>
      <c r="AR175" s="4"/>
      <c r="AS175" s="4"/>
      <c r="AT175" s="4"/>
      <c r="AU175" s="4"/>
      <c r="AV175" s="4"/>
      <c r="AW175" s="4"/>
      <c r="AX175" s="4"/>
      <c r="AY175" s="4"/>
      <c r="AZ175" s="4"/>
      <c r="BA175" s="4"/>
      <c r="BB175" s="4"/>
      <c r="BC175" s="5"/>
      <c r="BD175" s="4"/>
      <c r="BE175" s="4"/>
      <c r="BF175" s="4"/>
      <c r="BG175" s="4"/>
      <c r="BH175" s="4"/>
      <c r="BI175" s="4"/>
      <c r="BJ175" s="4"/>
      <c r="BK175" s="4"/>
      <c r="BL175" s="4"/>
      <c r="BM175" s="4"/>
      <c r="BN175" s="4"/>
      <c r="BO175" s="4"/>
      <c r="BP175" s="4"/>
      <c r="BQ175" s="4"/>
      <c r="BR175" s="4"/>
    </row>
    <row r="176" spans="1:70">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4"/>
      <c r="AH176" s="4"/>
      <c r="AI176" s="4"/>
      <c r="AJ176" s="4"/>
      <c r="AK176" s="4"/>
      <c r="AL176" s="4"/>
      <c r="AM176" s="4"/>
      <c r="AN176" s="4"/>
      <c r="AO176" s="4"/>
      <c r="AP176" s="4"/>
      <c r="AQ176" s="4"/>
      <c r="AR176" s="4"/>
      <c r="AS176" s="4"/>
      <c r="AT176" s="4"/>
      <c r="AU176" s="4"/>
      <c r="AV176" s="4"/>
      <c r="AW176" s="4"/>
      <c r="AX176" s="4"/>
      <c r="AY176" s="4"/>
      <c r="AZ176" s="4"/>
      <c r="BA176" s="4"/>
      <c r="BB176" s="4"/>
      <c r="BC176" s="5"/>
      <c r="BD176" s="4"/>
      <c r="BE176" s="4"/>
      <c r="BF176" s="4"/>
      <c r="BG176" s="4"/>
      <c r="BH176" s="4"/>
      <c r="BI176" s="4"/>
      <c r="BJ176" s="4"/>
      <c r="BK176" s="4"/>
      <c r="BL176" s="4"/>
      <c r="BM176" s="4"/>
      <c r="BN176" s="4"/>
      <c r="BO176" s="4"/>
      <c r="BP176" s="4"/>
      <c r="BQ176" s="4"/>
      <c r="BR176" s="4"/>
    </row>
    <row r="177" spans="1:70">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4"/>
      <c r="AH177" s="4"/>
      <c r="AI177" s="4"/>
      <c r="AJ177" s="4"/>
      <c r="AK177" s="4"/>
      <c r="AL177" s="4"/>
      <c r="AM177" s="4"/>
      <c r="AN177" s="4"/>
      <c r="AO177" s="4"/>
      <c r="AP177" s="4"/>
      <c r="AQ177" s="4"/>
      <c r="AR177" s="4"/>
      <c r="AS177" s="4"/>
      <c r="AT177" s="4"/>
      <c r="AU177" s="4"/>
      <c r="AV177" s="4"/>
      <c r="AW177" s="4"/>
      <c r="AX177" s="4"/>
      <c r="AY177" s="4"/>
      <c r="AZ177" s="4"/>
      <c r="BA177" s="4"/>
      <c r="BB177" s="4"/>
      <c r="BC177" s="5"/>
      <c r="BD177" s="4"/>
      <c r="BE177" s="4"/>
      <c r="BF177" s="4"/>
      <c r="BG177" s="4"/>
      <c r="BH177" s="4"/>
      <c r="BI177" s="4"/>
      <c r="BJ177" s="4"/>
      <c r="BK177" s="4"/>
      <c r="BL177" s="4"/>
      <c r="BM177" s="4"/>
      <c r="BN177" s="4"/>
      <c r="BO177" s="4"/>
      <c r="BP177" s="4"/>
      <c r="BQ177" s="4"/>
      <c r="BR177" s="4"/>
    </row>
    <row r="178" spans="1:70">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4"/>
      <c r="AH178" s="4"/>
      <c r="AI178" s="4"/>
      <c r="AJ178" s="4"/>
      <c r="AK178" s="4"/>
      <c r="AL178" s="4"/>
      <c r="AM178" s="4"/>
      <c r="AN178" s="4"/>
      <c r="AO178" s="4"/>
      <c r="AP178" s="4"/>
      <c r="AQ178" s="4"/>
      <c r="AR178" s="4"/>
      <c r="AS178" s="4"/>
      <c r="AT178" s="4"/>
      <c r="AU178" s="4"/>
      <c r="AV178" s="4"/>
      <c r="AW178" s="4"/>
      <c r="AX178" s="4"/>
      <c r="AY178" s="4"/>
      <c r="AZ178" s="4"/>
      <c r="BA178" s="4"/>
      <c r="BB178" s="4"/>
      <c r="BC178" s="5"/>
      <c r="BD178" s="4"/>
      <c r="BE178" s="4"/>
      <c r="BF178" s="4"/>
      <c r="BG178" s="4"/>
      <c r="BH178" s="4"/>
      <c r="BI178" s="4"/>
      <c r="BJ178" s="4"/>
      <c r="BK178" s="4"/>
      <c r="BL178" s="4"/>
      <c r="BM178" s="4"/>
      <c r="BN178" s="4"/>
      <c r="BO178" s="4"/>
      <c r="BP178" s="4"/>
      <c r="BQ178" s="4"/>
      <c r="BR178" s="4"/>
    </row>
    <row r="179" spans="1:70">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4"/>
      <c r="AH179" s="4"/>
      <c r="AI179" s="4"/>
      <c r="AJ179" s="4"/>
      <c r="AK179" s="4"/>
      <c r="AL179" s="4"/>
      <c r="AM179" s="4"/>
      <c r="AN179" s="4"/>
      <c r="AO179" s="4"/>
      <c r="AP179" s="4"/>
      <c r="AQ179" s="4"/>
      <c r="AR179" s="4"/>
      <c r="AS179" s="4"/>
      <c r="AT179" s="4"/>
      <c r="AU179" s="4"/>
      <c r="AV179" s="4"/>
      <c r="AW179" s="4"/>
      <c r="AX179" s="4"/>
      <c r="AY179" s="4"/>
      <c r="AZ179" s="4"/>
      <c r="BA179" s="4"/>
      <c r="BB179" s="4"/>
      <c r="BC179" s="5"/>
      <c r="BD179" s="4"/>
      <c r="BE179" s="4"/>
      <c r="BF179" s="4"/>
      <c r="BG179" s="4"/>
      <c r="BH179" s="4"/>
      <c r="BI179" s="4"/>
      <c r="BJ179" s="4"/>
      <c r="BK179" s="4"/>
      <c r="BL179" s="4"/>
      <c r="BM179" s="4"/>
      <c r="BN179" s="4"/>
      <c r="BO179" s="4"/>
      <c r="BP179" s="4"/>
      <c r="BQ179" s="4"/>
      <c r="BR179" s="4"/>
    </row>
    <row r="180" spans="1:7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4"/>
      <c r="AH180" s="4"/>
      <c r="AI180" s="4"/>
      <c r="AJ180" s="4"/>
      <c r="AK180" s="4"/>
      <c r="AL180" s="4"/>
      <c r="AM180" s="4"/>
      <c r="AN180" s="4"/>
      <c r="AO180" s="4"/>
      <c r="AP180" s="4"/>
      <c r="AQ180" s="4"/>
      <c r="AR180" s="4"/>
      <c r="AS180" s="4"/>
      <c r="AT180" s="4"/>
      <c r="AU180" s="4"/>
      <c r="AV180" s="4"/>
      <c r="AW180" s="4"/>
      <c r="AX180" s="4"/>
      <c r="AY180" s="4"/>
      <c r="AZ180" s="4"/>
      <c r="BA180" s="4"/>
      <c r="BB180" s="4"/>
      <c r="BC180" s="5"/>
      <c r="BD180" s="4"/>
      <c r="BE180" s="4"/>
      <c r="BF180" s="4"/>
      <c r="BG180" s="4"/>
      <c r="BH180" s="4"/>
      <c r="BI180" s="4"/>
      <c r="BJ180" s="4"/>
      <c r="BK180" s="4"/>
      <c r="BL180" s="4"/>
      <c r="BM180" s="4"/>
      <c r="BN180" s="4"/>
      <c r="BO180" s="4"/>
      <c r="BP180" s="4"/>
      <c r="BQ180" s="4"/>
      <c r="BR180" s="4"/>
    </row>
    <row r="181" spans="1:70">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4"/>
      <c r="AH181" s="4"/>
      <c r="AI181" s="4"/>
      <c r="AJ181" s="4"/>
      <c r="AK181" s="4"/>
      <c r="AL181" s="4"/>
      <c r="AM181" s="4"/>
      <c r="AN181" s="4"/>
      <c r="AO181" s="4"/>
      <c r="AP181" s="4"/>
      <c r="AQ181" s="4"/>
      <c r="AR181" s="4"/>
      <c r="AS181" s="4"/>
      <c r="AT181" s="4"/>
      <c r="AU181" s="4"/>
      <c r="AV181" s="4"/>
      <c r="AW181" s="4"/>
      <c r="AX181" s="4"/>
      <c r="AY181" s="4"/>
      <c r="AZ181" s="4"/>
      <c r="BA181" s="4"/>
      <c r="BB181" s="4"/>
      <c r="BC181" s="5"/>
      <c r="BD181" s="4"/>
      <c r="BE181" s="4"/>
      <c r="BF181" s="4"/>
      <c r="BG181" s="4"/>
      <c r="BH181" s="4"/>
      <c r="BI181" s="4"/>
      <c r="BJ181" s="4"/>
      <c r="BK181" s="4"/>
      <c r="BL181" s="4"/>
      <c r="BM181" s="4"/>
      <c r="BN181" s="4"/>
      <c r="BO181" s="4"/>
      <c r="BP181" s="4"/>
      <c r="BQ181" s="4"/>
      <c r="BR181" s="4"/>
    </row>
    <row r="182" spans="1:70">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4"/>
      <c r="AH182" s="4"/>
      <c r="AI182" s="4"/>
      <c r="AJ182" s="4"/>
      <c r="AK182" s="4"/>
      <c r="AL182" s="4"/>
      <c r="AM182" s="4"/>
      <c r="AN182" s="4"/>
      <c r="AO182" s="4"/>
      <c r="AP182" s="4"/>
      <c r="AQ182" s="4"/>
      <c r="AR182" s="4"/>
      <c r="AS182" s="4"/>
      <c r="AT182" s="4"/>
      <c r="AU182" s="4"/>
      <c r="AV182" s="4"/>
      <c r="AW182" s="4"/>
      <c r="AX182" s="4"/>
      <c r="AY182" s="4"/>
      <c r="AZ182" s="4"/>
      <c r="BA182" s="4"/>
      <c r="BB182" s="4"/>
      <c r="BC182" s="5"/>
      <c r="BD182" s="4"/>
      <c r="BE182" s="4"/>
      <c r="BF182" s="4"/>
      <c r="BG182" s="4"/>
      <c r="BH182" s="4"/>
      <c r="BI182" s="4"/>
      <c r="BJ182" s="4"/>
      <c r="BK182" s="4"/>
      <c r="BL182" s="4"/>
      <c r="BM182" s="4"/>
      <c r="BN182" s="4"/>
      <c r="BO182" s="4"/>
      <c r="BP182" s="4"/>
      <c r="BQ182" s="4"/>
      <c r="BR182" s="4"/>
    </row>
    <row r="183" spans="1:70">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4"/>
      <c r="AH183" s="4"/>
      <c r="AI183" s="4"/>
      <c r="AJ183" s="4"/>
      <c r="AK183" s="4"/>
      <c r="AL183" s="4"/>
      <c r="AM183" s="4"/>
      <c r="AN183" s="4"/>
      <c r="AO183" s="4"/>
      <c r="AP183" s="4"/>
      <c r="AQ183" s="4"/>
      <c r="AR183" s="4"/>
      <c r="AS183" s="4"/>
      <c r="AT183" s="4"/>
      <c r="AU183" s="4"/>
      <c r="AV183" s="4"/>
      <c r="AW183" s="4"/>
      <c r="AX183" s="4"/>
      <c r="AY183" s="4"/>
      <c r="AZ183" s="4"/>
      <c r="BA183" s="4"/>
      <c r="BB183" s="4"/>
      <c r="BC183" s="5"/>
      <c r="BD183" s="4"/>
      <c r="BE183" s="4"/>
      <c r="BF183" s="4"/>
      <c r="BG183" s="4"/>
      <c r="BH183" s="4"/>
      <c r="BI183" s="4"/>
      <c r="BJ183" s="4"/>
      <c r="BK183" s="4"/>
      <c r="BL183" s="4"/>
      <c r="BM183" s="4"/>
      <c r="BN183" s="4"/>
      <c r="BO183" s="4"/>
      <c r="BP183" s="4"/>
      <c r="BQ183" s="4"/>
      <c r="BR183" s="4"/>
    </row>
    <row r="184" spans="1:70">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4"/>
      <c r="AH184" s="4"/>
      <c r="AI184" s="4"/>
      <c r="AJ184" s="4"/>
      <c r="AK184" s="4"/>
      <c r="AL184" s="4"/>
      <c r="AM184" s="4"/>
      <c r="AN184" s="4"/>
      <c r="AO184" s="4"/>
      <c r="AP184" s="4"/>
      <c r="AQ184" s="4"/>
      <c r="AR184" s="4"/>
      <c r="AS184" s="4"/>
      <c r="AT184" s="4"/>
      <c r="AU184" s="4"/>
      <c r="AV184" s="4"/>
      <c r="AW184" s="4"/>
      <c r="AX184" s="4"/>
      <c r="AY184" s="4"/>
      <c r="AZ184" s="4"/>
      <c r="BA184" s="4"/>
      <c r="BB184" s="4"/>
      <c r="BC184" s="5"/>
      <c r="BD184" s="4"/>
      <c r="BE184" s="4"/>
      <c r="BF184" s="4"/>
      <c r="BG184" s="4"/>
      <c r="BH184" s="4"/>
      <c r="BI184" s="4"/>
      <c r="BJ184" s="4"/>
      <c r="BK184" s="4"/>
      <c r="BL184" s="4"/>
      <c r="BM184" s="4"/>
      <c r="BN184" s="4"/>
      <c r="BO184" s="4"/>
      <c r="BP184" s="4"/>
      <c r="BQ184" s="4"/>
      <c r="BR184" s="4"/>
    </row>
    <row r="185" spans="1:70">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4"/>
      <c r="AH185" s="4"/>
      <c r="AI185" s="4"/>
      <c r="AJ185" s="4"/>
      <c r="AK185" s="4"/>
      <c r="AL185" s="4"/>
      <c r="AM185" s="4"/>
      <c r="AN185" s="4"/>
      <c r="AO185" s="4"/>
      <c r="AP185" s="4"/>
      <c r="AQ185" s="4"/>
      <c r="AR185" s="4"/>
      <c r="AS185" s="4"/>
      <c r="AT185" s="4"/>
      <c r="AU185" s="4"/>
      <c r="AV185" s="4"/>
      <c r="AW185" s="4"/>
      <c r="AX185" s="4"/>
      <c r="AY185" s="4"/>
      <c r="AZ185" s="4"/>
      <c r="BA185" s="4"/>
      <c r="BB185" s="4"/>
      <c r="BC185" s="5"/>
      <c r="BD185" s="4"/>
      <c r="BE185" s="4"/>
      <c r="BF185" s="4"/>
      <c r="BG185" s="4"/>
      <c r="BH185" s="4"/>
      <c r="BI185" s="4"/>
      <c r="BJ185" s="4"/>
      <c r="BK185" s="4"/>
      <c r="BL185" s="4"/>
      <c r="BM185" s="4"/>
      <c r="BN185" s="4"/>
      <c r="BO185" s="4"/>
      <c r="BP185" s="4"/>
      <c r="BQ185" s="4"/>
      <c r="BR185" s="4"/>
    </row>
    <row r="186" spans="1:70">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4"/>
      <c r="AH186" s="4"/>
      <c r="AI186" s="4"/>
      <c r="AJ186" s="4"/>
      <c r="AK186" s="4"/>
      <c r="AL186" s="4"/>
      <c r="AM186" s="4"/>
      <c r="AN186" s="4"/>
      <c r="AO186" s="4"/>
      <c r="AP186" s="4"/>
      <c r="AQ186" s="4"/>
      <c r="AR186" s="4"/>
      <c r="AS186" s="4"/>
      <c r="AT186" s="4"/>
      <c r="AU186" s="4"/>
      <c r="AV186" s="4"/>
      <c r="AW186" s="4"/>
      <c r="AX186" s="4"/>
      <c r="AY186" s="4"/>
      <c r="AZ186" s="4"/>
      <c r="BA186" s="4"/>
      <c r="BB186" s="4"/>
      <c r="BC186" s="5"/>
      <c r="BD186" s="4"/>
      <c r="BE186" s="4"/>
      <c r="BF186" s="4"/>
      <c r="BG186" s="4"/>
      <c r="BH186" s="4"/>
      <c r="BI186" s="4"/>
      <c r="BJ186" s="4"/>
      <c r="BK186" s="4"/>
      <c r="BL186" s="4"/>
      <c r="BM186" s="4"/>
      <c r="BN186" s="4"/>
      <c r="BO186" s="4"/>
      <c r="BP186" s="4"/>
      <c r="BQ186" s="4"/>
      <c r="BR186" s="4"/>
    </row>
    <row r="187" spans="1:70">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4"/>
      <c r="AH187" s="4"/>
      <c r="AI187" s="4"/>
      <c r="AJ187" s="4"/>
      <c r="AK187" s="4"/>
      <c r="AL187" s="4"/>
      <c r="AM187" s="4"/>
      <c r="AN187" s="4"/>
      <c r="AO187" s="4"/>
      <c r="AP187" s="4"/>
      <c r="AQ187" s="4"/>
      <c r="AR187" s="4"/>
      <c r="AS187" s="4"/>
      <c r="AT187" s="4"/>
      <c r="AU187" s="4"/>
      <c r="AV187" s="4"/>
      <c r="AW187" s="4"/>
      <c r="AX187" s="4"/>
      <c r="AY187" s="4"/>
      <c r="AZ187" s="4"/>
      <c r="BA187" s="4"/>
      <c r="BB187" s="4"/>
      <c r="BC187" s="5"/>
      <c r="BD187" s="4"/>
      <c r="BE187" s="4"/>
      <c r="BF187" s="4"/>
      <c r="BG187" s="4"/>
      <c r="BH187" s="4"/>
      <c r="BI187" s="4"/>
      <c r="BJ187" s="4"/>
      <c r="BK187" s="4"/>
      <c r="BL187" s="4"/>
      <c r="BM187" s="4"/>
      <c r="BN187" s="4"/>
      <c r="BO187" s="4"/>
      <c r="BP187" s="4"/>
      <c r="BQ187" s="4"/>
      <c r="BR187" s="4"/>
    </row>
    <row r="188" spans="1:70">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4"/>
      <c r="AH188" s="4"/>
      <c r="AI188" s="4"/>
      <c r="AJ188" s="4"/>
      <c r="AK188" s="4"/>
      <c r="AL188" s="4"/>
      <c r="AM188" s="4"/>
      <c r="AN188" s="4"/>
      <c r="AO188" s="4"/>
      <c r="AP188" s="4"/>
      <c r="AQ188" s="4"/>
      <c r="AR188" s="4"/>
      <c r="AS188" s="4"/>
      <c r="AT188" s="4"/>
      <c r="AU188" s="4"/>
      <c r="AV188" s="4"/>
      <c r="AW188" s="4"/>
      <c r="AX188" s="4"/>
      <c r="AY188" s="4"/>
      <c r="AZ188" s="4"/>
      <c r="BA188" s="4"/>
      <c r="BB188" s="4"/>
      <c r="BC188" s="5"/>
      <c r="BD188" s="4"/>
      <c r="BE188" s="4"/>
      <c r="BF188" s="4"/>
      <c r="BG188" s="4"/>
      <c r="BH188" s="4"/>
      <c r="BI188" s="4"/>
      <c r="BJ188" s="4"/>
      <c r="BK188" s="4"/>
      <c r="BL188" s="4"/>
      <c r="BM188" s="4"/>
      <c r="BN188" s="4"/>
      <c r="BO188" s="4"/>
      <c r="BP188" s="4"/>
      <c r="BQ188" s="4"/>
      <c r="BR188" s="4"/>
    </row>
    <row r="189" spans="1:70">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4"/>
      <c r="AH189" s="4"/>
      <c r="AI189" s="4"/>
      <c r="AJ189" s="4"/>
      <c r="AK189" s="4"/>
      <c r="AL189" s="4"/>
      <c r="AM189" s="4"/>
      <c r="AN189" s="4"/>
      <c r="AO189" s="4"/>
      <c r="AP189" s="4"/>
      <c r="AQ189" s="4"/>
      <c r="AR189" s="4"/>
      <c r="AS189" s="4"/>
      <c r="AT189" s="4"/>
      <c r="AU189" s="4"/>
      <c r="AV189" s="4"/>
      <c r="AW189" s="4"/>
      <c r="AX189" s="4"/>
      <c r="AY189" s="4"/>
      <c r="AZ189" s="4"/>
      <c r="BA189" s="4"/>
      <c r="BB189" s="4"/>
      <c r="BC189" s="5"/>
      <c r="BD189" s="4"/>
      <c r="BE189" s="4"/>
      <c r="BF189" s="4"/>
      <c r="BG189" s="4"/>
      <c r="BH189" s="4"/>
      <c r="BI189" s="4"/>
      <c r="BJ189" s="4"/>
      <c r="BK189" s="4"/>
      <c r="BL189" s="4"/>
      <c r="BM189" s="4"/>
      <c r="BN189" s="4"/>
      <c r="BO189" s="4"/>
      <c r="BP189" s="4"/>
      <c r="BQ189" s="4"/>
      <c r="BR189" s="4"/>
    </row>
    <row r="190" spans="1:7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4"/>
      <c r="AH190" s="4"/>
      <c r="AI190" s="4"/>
      <c r="AJ190" s="4"/>
      <c r="AK190" s="4"/>
      <c r="AL190" s="4"/>
      <c r="AM190" s="4"/>
      <c r="AN190" s="4"/>
      <c r="AO190" s="4"/>
      <c r="AP190" s="4"/>
      <c r="AQ190" s="4"/>
      <c r="AR190" s="4"/>
      <c r="AS190" s="4"/>
      <c r="AT190" s="4"/>
      <c r="AU190" s="4"/>
      <c r="AV190" s="4"/>
      <c r="AW190" s="4"/>
      <c r="AX190" s="4"/>
      <c r="AY190" s="4"/>
      <c r="AZ190" s="4"/>
      <c r="BA190" s="4"/>
      <c r="BB190" s="4"/>
      <c r="BC190" s="5"/>
      <c r="BD190" s="4"/>
      <c r="BE190" s="4"/>
      <c r="BF190" s="4"/>
      <c r="BG190" s="4"/>
      <c r="BH190" s="4"/>
      <c r="BI190" s="4"/>
      <c r="BJ190" s="4"/>
      <c r="BK190" s="4"/>
      <c r="BL190" s="4"/>
      <c r="BM190" s="4"/>
      <c r="BN190" s="4"/>
      <c r="BO190" s="4"/>
      <c r="BP190" s="4"/>
      <c r="BQ190" s="4"/>
      <c r="BR190" s="4"/>
    </row>
    <row r="191" spans="1:70">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4"/>
      <c r="AH191" s="4"/>
      <c r="AI191" s="4"/>
      <c r="AJ191" s="4"/>
      <c r="AK191" s="4"/>
      <c r="AL191" s="4"/>
      <c r="AM191" s="4"/>
      <c r="AN191" s="4"/>
      <c r="AO191" s="4"/>
      <c r="AP191" s="4"/>
      <c r="AQ191" s="4"/>
      <c r="AR191" s="4"/>
      <c r="AS191" s="4"/>
      <c r="AT191" s="4"/>
      <c r="AU191" s="4"/>
      <c r="AV191" s="4"/>
      <c r="AW191" s="4"/>
      <c r="AX191" s="4"/>
      <c r="AY191" s="4"/>
      <c r="AZ191" s="4"/>
      <c r="BA191" s="4"/>
      <c r="BB191" s="4"/>
      <c r="BC191" s="5"/>
      <c r="BD191" s="4"/>
      <c r="BE191" s="4"/>
      <c r="BF191" s="4"/>
      <c r="BG191" s="4"/>
      <c r="BH191" s="4"/>
      <c r="BI191" s="4"/>
      <c r="BJ191" s="4"/>
      <c r="BK191" s="4"/>
      <c r="BL191" s="4"/>
      <c r="BM191" s="4"/>
      <c r="BN191" s="4"/>
      <c r="BO191" s="4"/>
      <c r="BP191" s="4"/>
      <c r="BQ191" s="4"/>
      <c r="BR191" s="4"/>
    </row>
    <row r="192" spans="1:70">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4"/>
      <c r="AH192" s="4"/>
      <c r="AI192" s="4"/>
      <c r="AJ192" s="4"/>
      <c r="AK192" s="4"/>
      <c r="AL192" s="4"/>
      <c r="AM192" s="4"/>
      <c r="AN192" s="4"/>
      <c r="AO192" s="4"/>
      <c r="AP192" s="4"/>
      <c r="AQ192" s="4"/>
      <c r="AR192" s="4"/>
      <c r="AS192" s="4"/>
      <c r="AT192" s="4"/>
      <c r="AU192" s="4"/>
      <c r="AV192" s="4"/>
      <c r="AW192" s="4"/>
      <c r="AX192" s="4"/>
      <c r="AY192" s="4"/>
      <c r="AZ192" s="4"/>
      <c r="BA192" s="4"/>
      <c r="BB192" s="4"/>
      <c r="BC192" s="5"/>
      <c r="BD192" s="4"/>
      <c r="BE192" s="4"/>
      <c r="BF192" s="4"/>
      <c r="BG192" s="4"/>
      <c r="BH192" s="4"/>
      <c r="BI192" s="4"/>
      <c r="BJ192" s="4"/>
      <c r="BK192" s="4"/>
      <c r="BL192" s="4"/>
      <c r="BM192" s="4"/>
      <c r="BN192" s="4"/>
      <c r="BO192" s="4"/>
      <c r="BP192" s="4"/>
      <c r="BQ192" s="4"/>
      <c r="BR192" s="4"/>
    </row>
    <row r="193" spans="1:70">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4"/>
      <c r="AH193" s="4"/>
      <c r="AI193" s="4"/>
      <c r="AJ193" s="4"/>
      <c r="AK193" s="4"/>
      <c r="AL193" s="4"/>
      <c r="AM193" s="4"/>
      <c r="AN193" s="4"/>
      <c r="AO193" s="4"/>
      <c r="AP193" s="4"/>
      <c r="AQ193" s="4"/>
      <c r="AR193" s="4"/>
      <c r="AS193" s="4"/>
      <c r="AT193" s="4"/>
      <c r="AU193" s="4"/>
      <c r="AV193" s="4"/>
      <c r="AW193" s="4"/>
      <c r="AX193" s="4"/>
      <c r="AY193" s="4"/>
      <c r="AZ193" s="4"/>
      <c r="BA193" s="4"/>
      <c r="BB193" s="4"/>
      <c r="BC193" s="5"/>
      <c r="BD193" s="4"/>
      <c r="BE193" s="4"/>
      <c r="BF193" s="4"/>
      <c r="BG193" s="4"/>
      <c r="BH193" s="4"/>
      <c r="BI193" s="4"/>
      <c r="BJ193" s="4"/>
      <c r="BK193" s="4"/>
      <c r="BL193" s="4"/>
      <c r="BM193" s="4"/>
      <c r="BN193" s="4"/>
      <c r="BO193" s="4"/>
      <c r="BP193" s="4"/>
      <c r="BQ193" s="4"/>
      <c r="BR193" s="4"/>
    </row>
    <row r="194" spans="1:70">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4"/>
      <c r="AH194" s="4"/>
      <c r="AI194" s="4"/>
      <c r="AJ194" s="4"/>
      <c r="AK194" s="4"/>
      <c r="AL194" s="4"/>
      <c r="AM194" s="4"/>
      <c r="AN194" s="4"/>
      <c r="AO194" s="4"/>
      <c r="AP194" s="4"/>
      <c r="AQ194" s="4"/>
      <c r="AR194" s="4"/>
      <c r="AS194" s="4"/>
      <c r="AT194" s="4"/>
      <c r="AU194" s="4"/>
      <c r="AV194" s="4"/>
      <c r="AW194" s="4"/>
      <c r="AX194" s="4"/>
      <c r="AY194" s="4"/>
      <c r="AZ194" s="4"/>
      <c r="BA194" s="4"/>
      <c r="BB194" s="4"/>
      <c r="BC194" s="5"/>
      <c r="BD194" s="4"/>
      <c r="BE194" s="4"/>
      <c r="BF194" s="4"/>
      <c r="BG194" s="4"/>
      <c r="BH194" s="4"/>
      <c r="BI194" s="4"/>
      <c r="BJ194" s="4"/>
      <c r="BK194" s="4"/>
      <c r="BL194" s="4"/>
      <c r="BM194" s="4"/>
      <c r="BN194" s="4"/>
      <c r="BO194" s="4"/>
      <c r="BP194" s="4"/>
      <c r="BQ194" s="4"/>
      <c r="BR194" s="4"/>
    </row>
    <row r="195" spans="1:70">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4"/>
      <c r="AH195" s="4"/>
      <c r="AI195" s="4"/>
      <c r="AJ195" s="4"/>
      <c r="AK195" s="4"/>
      <c r="AL195" s="4"/>
      <c r="AM195" s="4"/>
      <c r="AN195" s="4"/>
      <c r="AO195" s="4"/>
      <c r="AP195" s="4"/>
      <c r="AQ195" s="4"/>
      <c r="AR195" s="4"/>
      <c r="AS195" s="4"/>
      <c r="AT195" s="4"/>
      <c r="AU195" s="4"/>
      <c r="AV195" s="4"/>
      <c r="AW195" s="4"/>
      <c r="AX195" s="4"/>
      <c r="AY195" s="4"/>
      <c r="AZ195" s="4"/>
      <c r="BA195" s="4"/>
      <c r="BB195" s="4"/>
      <c r="BC195" s="5"/>
      <c r="BD195" s="4"/>
      <c r="BE195" s="4"/>
      <c r="BF195" s="4"/>
      <c r="BG195" s="4"/>
      <c r="BH195" s="4"/>
      <c r="BI195" s="4"/>
      <c r="BJ195" s="4"/>
      <c r="BK195" s="4"/>
      <c r="BL195" s="4"/>
      <c r="BM195" s="4"/>
      <c r="BN195" s="4"/>
      <c r="BO195" s="4"/>
      <c r="BP195" s="4"/>
      <c r="BQ195" s="4"/>
      <c r="BR195" s="4"/>
    </row>
    <row r="196" spans="1:70">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4"/>
      <c r="AH196" s="4"/>
      <c r="AI196" s="4"/>
      <c r="AJ196" s="4"/>
      <c r="AK196" s="4"/>
      <c r="AL196" s="4"/>
      <c r="AM196" s="4"/>
      <c r="AN196" s="4"/>
      <c r="AO196" s="4"/>
      <c r="AP196" s="4"/>
      <c r="AQ196" s="4"/>
      <c r="AR196" s="4"/>
      <c r="AS196" s="4"/>
      <c r="AT196" s="4"/>
      <c r="AU196" s="4"/>
      <c r="AV196" s="4"/>
      <c r="AW196" s="4"/>
      <c r="AX196" s="4"/>
      <c r="AY196" s="4"/>
      <c r="AZ196" s="4"/>
      <c r="BA196" s="4"/>
      <c r="BB196" s="4"/>
      <c r="BC196" s="5"/>
      <c r="BD196" s="4"/>
      <c r="BE196" s="4"/>
      <c r="BF196" s="4"/>
      <c r="BG196" s="4"/>
      <c r="BH196" s="4"/>
      <c r="BI196" s="4"/>
      <c r="BJ196" s="4"/>
      <c r="BK196" s="4"/>
      <c r="BL196" s="4"/>
      <c r="BM196" s="4"/>
      <c r="BN196" s="4"/>
      <c r="BO196" s="4"/>
      <c r="BP196" s="4"/>
      <c r="BQ196" s="4"/>
      <c r="BR196" s="4"/>
    </row>
    <row r="197" spans="1:70">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4"/>
      <c r="AH197" s="4"/>
      <c r="AI197" s="4"/>
      <c r="AJ197" s="4"/>
      <c r="AK197" s="4"/>
      <c r="AL197" s="4"/>
      <c r="AM197" s="4"/>
      <c r="AN197" s="4"/>
      <c r="AO197" s="4"/>
      <c r="AP197" s="4"/>
      <c r="AQ197" s="4"/>
      <c r="AR197" s="4"/>
      <c r="AS197" s="4"/>
      <c r="AT197" s="4"/>
      <c r="AU197" s="4"/>
      <c r="AV197" s="4"/>
      <c r="AW197" s="4"/>
      <c r="AX197" s="4"/>
      <c r="AY197" s="4"/>
      <c r="AZ197" s="4"/>
      <c r="BA197" s="4"/>
      <c r="BB197" s="4"/>
      <c r="BC197" s="5"/>
      <c r="BD197" s="4"/>
      <c r="BE197" s="4"/>
      <c r="BF197" s="4"/>
      <c r="BG197" s="4"/>
      <c r="BH197" s="4"/>
      <c r="BI197" s="4"/>
      <c r="BJ197" s="4"/>
      <c r="BK197" s="4"/>
      <c r="BL197" s="4"/>
      <c r="BM197" s="4"/>
      <c r="BN197" s="4"/>
      <c r="BO197" s="4"/>
      <c r="BP197" s="4"/>
      <c r="BQ197" s="4"/>
      <c r="BR197" s="4"/>
    </row>
    <row r="198" spans="1:70">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4"/>
      <c r="AH198" s="4"/>
      <c r="AI198" s="4"/>
      <c r="AJ198" s="4"/>
      <c r="AK198" s="4"/>
      <c r="AL198" s="4"/>
      <c r="AM198" s="4"/>
      <c r="AN198" s="4"/>
      <c r="AO198" s="4"/>
      <c r="AP198" s="4"/>
      <c r="AQ198" s="4"/>
      <c r="AR198" s="4"/>
      <c r="AS198" s="4"/>
      <c r="AT198" s="4"/>
      <c r="AU198" s="4"/>
      <c r="AV198" s="4"/>
      <c r="AW198" s="4"/>
      <c r="AX198" s="4"/>
      <c r="AY198" s="4"/>
      <c r="AZ198" s="4"/>
      <c r="BA198" s="4"/>
      <c r="BB198" s="4"/>
      <c r="BC198" s="5"/>
      <c r="BD198" s="4"/>
      <c r="BE198" s="4"/>
      <c r="BF198" s="4"/>
      <c r="BG198" s="4"/>
      <c r="BH198" s="4"/>
      <c r="BI198" s="4"/>
      <c r="BJ198" s="4"/>
      <c r="BK198" s="4"/>
      <c r="BL198" s="4"/>
      <c r="BM198" s="4"/>
      <c r="BN198" s="4"/>
      <c r="BO198" s="4"/>
      <c r="BP198" s="4"/>
      <c r="BQ198" s="4"/>
      <c r="BR198" s="4"/>
    </row>
    <row r="199" spans="1:70">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4"/>
      <c r="AH199" s="4"/>
      <c r="AI199" s="4"/>
      <c r="AJ199" s="4"/>
      <c r="AK199" s="4"/>
      <c r="AL199" s="4"/>
      <c r="AM199" s="4"/>
      <c r="AN199" s="4"/>
      <c r="AO199" s="4"/>
      <c r="AP199" s="4"/>
      <c r="AQ199" s="4"/>
      <c r="AR199" s="4"/>
      <c r="AS199" s="4"/>
      <c r="AT199" s="4"/>
      <c r="AU199" s="4"/>
      <c r="AV199" s="4"/>
      <c r="AW199" s="4"/>
      <c r="AX199" s="4"/>
      <c r="AY199" s="4"/>
      <c r="AZ199" s="4"/>
      <c r="BA199" s="4"/>
      <c r="BB199" s="4"/>
      <c r="BC199" s="5"/>
      <c r="BD199" s="4"/>
      <c r="BE199" s="4"/>
      <c r="BF199" s="4"/>
      <c r="BG199" s="4"/>
      <c r="BH199" s="4"/>
      <c r="BI199" s="4"/>
      <c r="BJ199" s="4"/>
      <c r="BK199" s="4"/>
      <c r="BL199" s="4"/>
      <c r="BM199" s="4"/>
      <c r="BN199" s="4"/>
      <c r="BO199" s="4"/>
      <c r="BP199" s="4"/>
      <c r="BQ199" s="4"/>
      <c r="BR199" s="4"/>
    </row>
    <row r="200" spans="1:7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4"/>
      <c r="AH200" s="4"/>
      <c r="AI200" s="4"/>
      <c r="AJ200" s="4"/>
      <c r="AK200" s="4"/>
      <c r="AL200" s="4"/>
      <c r="AM200" s="4"/>
      <c r="AN200" s="4"/>
      <c r="AO200" s="4"/>
      <c r="AP200" s="4"/>
      <c r="AQ200" s="4"/>
      <c r="AR200" s="4"/>
      <c r="AS200" s="4"/>
      <c r="AT200" s="4"/>
      <c r="AU200" s="4"/>
      <c r="AV200" s="4"/>
      <c r="AW200" s="4"/>
      <c r="AX200" s="4"/>
      <c r="AY200" s="4"/>
      <c r="AZ200" s="4"/>
      <c r="BA200" s="4"/>
      <c r="BB200" s="4"/>
      <c r="BC200" s="5"/>
      <c r="BD200" s="4"/>
      <c r="BE200" s="4"/>
      <c r="BF200" s="4"/>
      <c r="BG200" s="4"/>
      <c r="BH200" s="4"/>
      <c r="BI200" s="4"/>
      <c r="BJ200" s="4"/>
      <c r="BK200" s="4"/>
      <c r="BL200" s="4"/>
      <c r="BM200" s="4"/>
      <c r="BN200" s="4"/>
      <c r="BO200" s="4"/>
      <c r="BP200" s="4"/>
      <c r="BQ200" s="4"/>
      <c r="BR200" s="4"/>
    </row>
    <row r="201" spans="1:70">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4"/>
      <c r="AH201" s="4"/>
      <c r="AI201" s="4"/>
      <c r="AJ201" s="4"/>
      <c r="AK201" s="4"/>
      <c r="AL201" s="4"/>
      <c r="AM201" s="4"/>
      <c r="AN201" s="4"/>
      <c r="AO201" s="4"/>
      <c r="AP201" s="4"/>
      <c r="AQ201" s="4"/>
      <c r="AR201" s="4"/>
      <c r="AS201" s="4"/>
      <c r="AT201" s="4"/>
      <c r="AU201" s="4"/>
      <c r="AV201" s="4"/>
      <c r="AW201" s="4"/>
      <c r="AX201" s="4"/>
      <c r="AY201" s="4"/>
      <c r="AZ201" s="4"/>
      <c r="BA201" s="4"/>
      <c r="BB201" s="4"/>
      <c r="BC201" s="5"/>
      <c r="BD201" s="4"/>
      <c r="BE201" s="4"/>
      <c r="BF201" s="4"/>
      <c r="BG201" s="4"/>
      <c r="BH201" s="4"/>
      <c r="BI201" s="4"/>
      <c r="BJ201" s="4"/>
      <c r="BK201" s="4"/>
      <c r="BL201" s="4"/>
      <c r="BM201" s="4"/>
      <c r="BN201" s="4"/>
      <c r="BO201" s="4"/>
      <c r="BP201" s="4"/>
      <c r="BQ201" s="4"/>
      <c r="BR201" s="4"/>
    </row>
    <row r="202" spans="1:70">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4"/>
      <c r="AH202" s="4"/>
      <c r="AI202" s="4"/>
      <c r="AJ202" s="4"/>
      <c r="AK202" s="4"/>
      <c r="AL202" s="4"/>
      <c r="AM202" s="4"/>
      <c r="AN202" s="4"/>
      <c r="AO202" s="4"/>
      <c r="AP202" s="4"/>
      <c r="AQ202" s="4"/>
      <c r="AR202" s="4"/>
      <c r="AS202" s="4"/>
      <c r="AT202" s="4"/>
      <c r="AU202" s="4"/>
      <c r="AV202" s="4"/>
      <c r="AW202" s="4"/>
      <c r="AX202" s="4"/>
      <c r="AY202" s="4"/>
      <c r="AZ202" s="4"/>
      <c r="BA202" s="4"/>
      <c r="BB202" s="4"/>
      <c r="BC202" s="5"/>
      <c r="BD202" s="4"/>
      <c r="BE202" s="4"/>
      <c r="BF202" s="4"/>
      <c r="BG202" s="4"/>
      <c r="BH202" s="4"/>
      <c r="BI202" s="4"/>
      <c r="BJ202" s="4"/>
      <c r="BK202" s="4"/>
      <c r="BL202" s="4"/>
      <c r="BM202" s="4"/>
      <c r="BN202" s="4"/>
      <c r="BO202" s="4"/>
      <c r="BP202" s="4"/>
      <c r="BQ202" s="4"/>
      <c r="BR202" s="4"/>
    </row>
    <row r="203" spans="1:70">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4"/>
      <c r="AH203" s="4"/>
      <c r="AI203" s="4"/>
      <c r="AJ203" s="4"/>
      <c r="AK203" s="4"/>
      <c r="AL203" s="4"/>
      <c r="AM203" s="4"/>
      <c r="AN203" s="4"/>
      <c r="AO203" s="4"/>
      <c r="AP203" s="4"/>
      <c r="AQ203" s="4"/>
      <c r="AR203" s="4"/>
      <c r="AS203" s="4"/>
      <c r="AT203" s="4"/>
      <c r="AU203" s="4"/>
      <c r="AV203" s="4"/>
      <c r="AW203" s="4"/>
      <c r="AX203" s="4"/>
      <c r="AY203" s="4"/>
      <c r="AZ203" s="4"/>
      <c r="BA203" s="4"/>
      <c r="BB203" s="4"/>
      <c r="BC203" s="5"/>
      <c r="BD203" s="4"/>
      <c r="BE203" s="4"/>
      <c r="BF203" s="4"/>
      <c r="BG203" s="4"/>
      <c r="BH203" s="4"/>
      <c r="BI203" s="4"/>
      <c r="BJ203" s="4"/>
      <c r="BK203" s="4"/>
      <c r="BL203" s="4"/>
      <c r="BM203" s="4"/>
      <c r="BN203" s="4"/>
      <c r="BO203" s="4"/>
      <c r="BP203" s="4"/>
      <c r="BQ203" s="4"/>
      <c r="BR203" s="4"/>
    </row>
    <row r="204" spans="1:70">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4"/>
      <c r="AH204" s="4"/>
      <c r="AI204" s="4"/>
      <c r="AJ204" s="4"/>
      <c r="AK204" s="4"/>
      <c r="AL204" s="4"/>
      <c r="AM204" s="4"/>
      <c r="AN204" s="4"/>
      <c r="AO204" s="4"/>
      <c r="AP204" s="4"/>
      <c r="AQ204" s="4"/>
      <c r="AR204" s="4"/>
      <c r="AS204" s="4"/>
      <c r="AT204" s="4"/>
      <c r="AU204" s="4"/>
      <c r="AV204" s="4"/>
      <c r="AW204" s="4"/>
      <c r="AX204" s="4"/>
      <c r="AY204" s="4"/>
      <c r="AZ204" s="4"/>
      <c r="BA204" s="4"/>
      <c r="BB204" s="4"/>
      <c r="BC204" s="5"/>
      <c r="BD204" s="4"/>
      <c r="BE204" s="4"/>
      <c r="BF204" s="4"/>
      <c r="BG204" s="4"/>
      <c r="BH204" s="4"/>
      <c r="BI204" s="4"/>
      <c r="BJ204" s="4"/>
      <c r="BK204" s="4"/>
      <c r="BL204" s="4"/>
      <c r="BM204" s="4"/>
      <c r="BN204" s="4"/>
      <c r="BO204" s="4"/>
      <c r="BP204" s="4"/>
      <c r="BQ204" s="4"/>
      <c r="BR204" s="4"/>
    </row>
    <row r="205" spans="1:70">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4"/>
      <c r="AH205" s="4"/>
      <c r="AI205" s="4"/>
      <c r="AJ205" s="4"/>
      <c r="AK205" s="4"/>
      <c r="AL205" s="4"/>
      <c r="AM205" s="4"/>
      <c r="AN205" s="4"/>
      <c r="AO205" s="4"/>
      <c r="AP205" s="4"/>
      <c r="AQ205" s="4"/>
      <c r="AR205" s="4"/>
      <c r="AS205" s="4"/>
      <c r="AT205" s="4"/>
      <c r="AU205" s="4"/>
      <c r="AV205" s="4"/>
      <c r="AW205" s="4"/>
      <c r="AX205" s="4"/>
      <c r="AY205" s="4"/>
      <c r="AZ205" s="4"/>
      <c r="BA205" s="4"/>
      <c r="BB205" s="4"/>
      <c r="BC205" s="5"/>
      <c r="BD205" s="4"/>
      <c r="BE205" s="4"/>
      <c r="BF205" s="4"/>
      <c r="BG205" s="4"/>
      <c r="BH205" s="4"/>
      <c r="BI205" s="4"/>
      <c r="BJ205" s="4"/>
      <c r="BK205" s="4"/>
      <c r="BL205" s="4"/>
      <c r="BM205" s="4"/>
      <c r="BN205" s="4"/>
      <c r="BO205" s="4"/>
      <c r="BP205" s="4"/>
      <c r="BQ205" s="4"/>
      <c r="BR205" s="4"/>
    </row>
    <row r="206" spans="1:70">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4"/>
      <c r="AH206" s="4"/>
      <c r="AI206" s="4"/>
      <c r="AJ206" s="4"/>
      <c r="AK206" s="4"/>
      <c r="AL206" s="4"/>
      <c r="AM206" s="4"/>
      <c r="AN206" s="4"/>
      <c r="AO206" s="4"/>
      <c r="AP206" s="4"/>
      <c r="AQ206" s="4"/>
      <c r="AR206" s="4"/>
      <c r="AS206" s="4"/>
      <c r="AT206" s="4"/>
      <c r="AU206" s="4"/>
      <c r="AV206" s="4"/>
      <c r="AW206" s="4"/>
      <c r="AX206" s="4"/>
      <c r="AY206" s="4"/>
      <c r="AZ206" s="4"/>
      <c r="BA206" s="4"/>
      <c r="BB206" s="4"/>
      <c r="BC206" s="5"/>
      <c r="BD206" s="4"/>
      <c r="BE206" s="4"/>
      <c r="BF206" s="4"/>
      <c r="BG206" s="4"/>
      <c r="BH206" s="4"/>
      <c r="BI206" s="4"/>
      <c r="BJ206" s="4"/>
      <c r="BK206" s="4"/>
      <c r="BL206" s="4"/>
      <c r="BM206" s="4"/>
      <c r="BN206" s="4"/>
      <c r="BO206" s="4"/>
      <c r="BP206" s="4"/>
      <c r="BQ206" s="4"/>
      <c r="BR206" s="4"/>
    </row>
    <row r="207" spans="1:70">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4"/>
      <c r="AH207" s="4"/>
      <c r="AI207" s="4"/>
      <c r="AJ207" s="4"/>
      <c r="AK207" s="4"/>
      <c r="AL207" s="4"/>
      <c r="AM207" s="4"/>
      <c r="AN207" s="4"/>
      <c r="AO207" s="4"/>
      <c r="AP207" s="4"/>
      <c r="AQ207" s="4"/>
      <c r="AR207" s="4"/>
      <c r="AS207" s="4"/>
      <c r="AT207" s="4"/>
      <c r="AU207" s="4"/>
      <c r="AV207" s="4"/>
      <c r="AW207" s="4"/>
      <c r="AX207" s="4"/>
      <c r="AY207" s="4"/>
      <c r="AZ207" s="4"/>
      <c r="BA207" s="4"/>
      <c r="BB207" s="4"/>
      <c r="BC207" s="5"/>
      <c r="BD207" s="4"/>
      <c r="BE207" s="4"/>
      <c r="BF207" s="4"/>
      <c r="BG207" s="4"/>
      <c r="BH207" s="4"/>
      <c r="BI207" s="4"/>
      <c r="BJ207" s="4"/>
      <c r="BK207" s="4"/>
      <c r="BL207" s="4"/>
      <c r="BM207" s="4"/>
      <c r="BN207" s="4"/>
      <c r="BO207" s="4"/>
      <c r="BP207" s="4"/>
      <c r="BQ207" s="4"/>
      <c r="BR207" s="4"/>
    </row>
    <row r="208" spans="1:70">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4"/>
      <c r="AH208" s="4"/>
      <c r="AI208" s="4"/>
      <c r="AJ208" s="4"/>
      <c r="AK208" s="4"/>
      <c r="AL208" s="4"/>
      <c r="AM208" s="4"/>
      <c r="AN208" s="4"/>
      <c r="AO208" s="4"/>
      <c r="AP208" s="4"/>
      <c r="AQ208" s="4"/>
      <c r="AR208" s="4"/>
      <c r="AS208" s="4"/>
      <c r="AT208" s="4"/>
      <c r="AU208" s="4"/>
      <c r="AV208" s="4"/>
      <c r="AW208" s="4"/>
      <c r="AX208" s="4"/>
      <c r="AY208" s="4"/>
      <c r="AZ208" s="4"/>
      <c r="BA208" s="4"/>
      <c r="BB208" s="4"/>
      <c r="BC208" s="5"/>
      <c r="BD208" s="4"/>
      <c r="BE208" s="4"/>
      <c r="BF208" s="4"/>
      <c r="BG208" s="4"/>
      <c r="BH208" s="4"/>
      <c r="BI208" s="4"/>
      <c r="BJ208" s="4"/>
      <c r="BK208" s="4"/>
      <c r="BL208" s="4"/>
      <c r="BM208" s="4"/>
      <c r="BN208" s="4"/>
      <c r="BO208" s="4"/>
      <c r="BP208" s="4"/>
      <c r="BQ208" s="4"/>
      <c r="BR208" s="4"/>
    </row>
    <row r="209" spans="1:70">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4"/>
      <c r="AH209" s="4"/>
      <c r="AI209" s="4"/>
      <c r="AJ209" s="4"/>
      <c r="AK209" s="4"/>
      <c r="AL209" s="4"/>
      <c r="AM209" s="4"/>
      <c r="AN209" s="4"/>
      <c r="AO209" s="4"/>
      <c r="AP209" s="4"/>
      <c r="AQ209" s="4"/>
      <c r="AR209" s="4"/>
      <c r="AS209" s="4"/>
      <c r="AT209" s="4"/>
      <c r="AU209" s="4"/>
      <c r="AV209" s="4"/>
      <c r="AW209" s="4"/>
      <c r="AX209" s="4"/>
      <c r="AY209" s="4"/>
      <c r="AZ209" s="4"/>
      <c r="BA209" s="4"/>
      <c r="BB209" s="4"/>
      <c r="BC209" s="5"/>
      <c r="BD209" s="4"/>
      <c r="BE209" s="4"/>
      <c r="BF209" s="4"/>
      <c r="BG209" s="4"/>
      <c r="BH209" s="4"/>
      <c r="BI209" s="4"/>
      <c r="BJ209" s="4"/>
      <c r="BK209" s="4"/>
      <c r="BL209" s="4"/>
      <c r="BM209" s="4"/>
      <c r="BN209" s="4"/>
      <c r="BO209" s="4"/>
      <c r="BP209" s="4"/>
      <c r="BQ209" s="4"/>
      <c r="BR209" s="4"/>
    </row>
    <row r="210" spans="1:7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4"/>
      <c r="AH210" s="4"/>
      <c r="AI210" s="4"/>
      <c r="AJ210" s="4"/>
      <c r="AK210" s="4"/>
      <c r="AL210" s="4"/>
      <c r="AM210" s="4"/>
      <c r="AN210" s="4"/>
      <c r="AO210" s="4"/>
      <c r="AP210" s="4"/>
      <c r="AQ210" s="4"/>
      <c r="AR210" s="4"/>
      <c r="AS210" s="4"/>
      <c r="AT210" s="4"/>
      <c r="AU210" s="4"/>
      <c r="AV210" s="4"/>
      <c r="AW210" s="4"/>
      <c r="AX210" s="4"/>
      <c r="AY210" s="4"/>
      <c r="AZ210" s="4"/>
      <c r="BA210" s="4"/>
      <c r="BB210" s="4"/>
      <c r="BC210" s="5"/>
      <c r="BD210" s="4"/>
      <c r="BE210" s="4"/>
      <c r="BF210" s="4"/>
      <c r="BG210" s="4"/>
      <c r="BH210" s="4"/>
      <c r="BI210" s="4"/>
      <c r="BJ210" s="4"/>
      <c r="BK210" s="4"/>
      <c r="BL210" s="4"/>
      <c r="BM210" s="4"/>
      <c r="BN210" s="4"/>
      <c r="BO210" s="4"/>
      <c r="BP210" s="4"/>
      <c r="BQ210" s="4"/>
      <c r="BR210" s="4"/>
    </row>
    <row r="211" spans="1:70">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4"/>
      <c r="AH211" s="4"/>
      <c r="AI211" s="4"/>
      <c r="AJ211" s="4"/>
      <c r="AK211" s="4"/>
      <c r="AL211" s="4"/>
      <c r="AM211" s="4"/>
      <c r="AN211" s="4"/>
      <c r="AO211" s="4"/>
      <c r="AP211" s="4"/>
      <c r="AQ211" s="4"/>
      <c r="AR211" s="4"/>
      <c r="AS211" s="4"/>
      <c r="AT211" s="4"/>
      <c r="AU211" s="4"/>
      <c r="AV211" s="4"/>
      <c r="AW211" s="4"/>
      <c r="AX211" s="4"/>
      <c r="AY211" s="4"/>
      <c r="AZ211" s="4"/>
      <c r="BA211" s="4"/>
      <c r="BB211" s="4"/>
      <c r="BC211" s="5"/>
      <c r="BD211" s="4"/>
      <c r="BE211" s="4"/>
      <c r="BF211" s="4"/>
      <c r="BG211" s="4"/>
      <c r="BH211" s="4"/>
      <c r="BI211" s="4"/>
      <c r="BJ211" s="4"/>
      <c r="BK211" s="4"/>
      <c r="BL211" s="4"/>
      <c r="BM211" s="4"/>
      <c r="BN211" s="4"/>
      <c r="BO211" s="4"/>
      <c r="BP211" s="4"/>
      <c r="BQ211" s="4"/>
      <c r="BR211" s="4"/>
    </row>
    <row r="212" spans="1:70">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4"/>
      <c r="AH212" s="4"/>
      <c r="AI212" s="4"/>
      <c r="AJ212" s="4"/>
      <c r="AK212" s="4"/>
      <c r="AL212" s="4"/>
      <c r="AM212" s="4"/>
      <c r="AN212" s="4"/>
      <c r="AO212" s="4"/>
      <c r="AP212" s="4"/>
      <c r="AQ212" s="4"/>
      <c r="AR212" s="4"/>
      <c r="AS212" s="4"/>
      <c r="AT212" s="4"/>
      <c r="AU212" s="4"/>
      <c r="AV212" s="4"/>
      <c r="AW212" s="4"/>
      <c r="AX212" s="4"/>
      <c r="AY212" s="4"/>
      <c r="AZ212" s="4"/>
      <c r="BA212" s="4"/>
      <c r="BB212" s="4"/>
      <c r="BC212" s="5"/>
      <c r="BD212" s="4"/>
      <c r="BE212" s="4"/>
      <c r="BF212" s="4"/>
      <c r="BG212" s="4"/>
      <c r="BH212" s="4"/>
      <c r="BI212" s="4"/>
      <c r="BJ212" s="4"/>
      <c r="BK212" s="4"/>
      <c r="BL212" s="4"/>
      <c r="BM212" s="4"/>
      <c r="BN212" s="4"/>
      <c r="BO212" s="4"/>
      <c r="BP212" s="4"/>
      <c r="BQ212" s="4"/>
      <c r="BR212" s="4"/>
    </row>
    <row r="213" spans="1:70">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4"/>
      <c r="AH213" s="4"/>
      <c r="AI213" s="4"/>
      <c r="AJ213" s="4"/>
      <c r="AK213" s="4"/>
      <c r="AL213" s="4"/>
      <c r="AM213" s="4"/>
      <c r="AN213" s="4"/>
      <c r="AO213" s="4"/>
      <c r="AP213" s="4"/>
      <c r="AQ213" s="4"/>
      <c r="AR213" s="4"/>
      <c r="AS213" s="4"/>
      <c r="AT213" s="4"/>
      <c r="AU213" s="4"/>
      <c r="AV213" s="4"/>
      <c r="AW213" s="4"/>
      <c r="AX213" s="4"/>
      <c r="AY213" s="4"/>
      <c r="AZ213" s="4"/>
      <c r="BA213" s="4"/>
      <c r="BB213" s="4"/>
      <c r="BC213" s="5"/>
      <c r="BD213" s="4"/>
      <c r="BE213" s="4"/>
      <c r="BF213" s="4"/>
      <c r="BG213" s="4"/>
      <c r="BH213" s="4"/>
      <c r="BI213" s="4"/>
      <c r="BJ213" s="4"/>
      <c r="BK213" s="4"/>
      <c r="BL213" s="4"/>
      <c r="BM213" s="4"/>
      <c r="BN213" s="4"/>
      <c r="BO213" s="4"/>
      <c r="BP213" s="4"/>
      <c r="BQ213" s="4"/>
      <c r="BR213" s="4"/>
    </row>
    <row r="214" spans="1:70">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4"/>
      <c r="AH214" s="4"/>
      <c r="AI214" s="4"/>
      <c r="AJ214" s="4"/>
      <c r="AK214" s="4"/>
      <c r="AL214" s="4"/>
      <c r="AM214" s="4"/>
      <c r="AN214" s="4"/>
      <c r="AO214" s="4"/>
      <c r="AP214" s="4"/>
      <c r="AQ214" s="4"/>
      <c r="AR214" s="4"/>
      <c r="AS214" s="4"/>
      <c r="AT214" s="4"/>
      <c r="AU214" s="4"/>
      <c r="AV214" s="4"/>
      <c r="AW214" s="4"/>
      <c r="AX214" s="4"/>
      <c r="AY214" s="4"/>
      <c r="AZ214" s="4"/>
      <c r="BA214" s="4"/>
      <c r="BB214" s="4"/>
      <c r="BC214" s="5"/>
      <c r="BD214" s="4"/>
      <c r="BE214" s="4"/>
      <c r="BF214" s="4"/>
      <c r="BG214" s="4"/>
      <c r="BH214" s="4"/>
      <c r="BI214" s="4"/>
      <c r="BJ214" s="4"/>
      <c r="BK214" s="4"/>
      <c r="BL214" s="4"/>
      <c r="BM214" s="4"/>
      <c r="BN214" s="4"/>
      <c r="BO214" s="4"/>
      <c r="BP214" s="4"/>
      <c r="BQ214" s="4"/>
      <c r="BR214" s="4"/>
    </row>
    <row r="215" spans="1:70">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4"/>
      <c r="AH215" s="4"/>
      <c r="AI215" s="4"/>
      <c r="AJ215" s="4"/>
      <c r="AK215" s="4"/>
      <c r="AL215" s="4"/>
      <c r="AM215" s="4"/>
      <c r="AN215" s="4"/>
      <c r="AO215" s="4"/>
      <c r="AP215" s="4"/>
      <c r="AQ215" s="4"/>
      <c r="AR215" s="4"/>
      <c r="AS215" s="4"/>
      <c r="AT215" s="4"/>
      <c r="AU215" s="4"/>
      <c r="AV215" s="4"/>
      <c r="AW215" s="4"/>
      <c r="AX215" s="4"/>
      <c r="AY215" s="4"/>
      <c r="AZ215" s="4"/>
      <c r="BA215" s="4"/>
      <c r="BB215" s="4"/>
      <c r="BC215" s="5"/>
      <c r="BD215" s="4"/>
      <c r="BE215" s="4"/>
      <c r="BF215" s="4"/>
      <c r="BG215" s="4"/>
      <c r="BH215" s="4"/>
      <c r="BI215" s="4"/>
      <c r="BJ215" s="4"/>
      <c r="BK215" s="4"/>
      <c r="BL215" s="4"/>
      <c r="BM215" s="4"/>
      <c r="BN215" s="4"/>
      <c r="BO215" s="4"/>
      <c r="BP215" s="4"/>
      <c r="BQ215" s="4"/>
      <c r="BR215" s="4"/>
    </row>
    <row r="216" spans="1:70">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4"/>
      <c r="AH216" s="4"/>
      <c r="AI216" s="4"/>
      <c r="AJ216" s="4"/>
      <c r="AK216" s="4"/>
      <c r="AL216" s="4"/>
      <c r="AM216" s="4"/>
      <c r="AN216" s="4"/>
      <c r="AO216" s="4"/>
      <c r="AP216" s="4"/>
      <c r="AQ216" s="4"/>
      <c r="AR216" s="4"/>
      <c r="AS216" s="4"/>
      <c r="AT216" s="4"/>
      <c r="AU216" s="4"/>
      <c r="AV216" s="4"/>
      <c r="AW216" s="4"/>
      <c r="AX216" s="4"/>
      <c r="AY216" s="4"/>
      <c r="AZ216" s="4"/>
      <c r="BA216" s="4"/>
      <c r="BB216" s="4"/>
      <c r="BC216" s="5"/>
      <c r="BD216" s="4"/>
      <c r="BE216" s="4"/>
      <c r="BF216" s="4"/>
      <c r="BG216" s="4"/>
      <c r="BH216" s="4"/>
      <c r="BI216" s="4"/>
      <c r="BJ216" s="4"/>
      <c r="BK216" s="4"/>
      <c r="BL216" s="4"/>
      <c r="BM216" s="4"/>
      <c r="BN216" s="4"/>
      <c r="BO216" s="4"/>
      <c r="BP216" s="4"/>
      <c r="BQ216" s="4"/>
      <c r="BR216" s="4"/>
    </row>
    <row r="217" spans="1:70">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4"/>
      <c r="AH217" s="4"/>
      <c r="AI217" s="4"/>
      <c r="AJ217" s="4"/>
      <c r="AK217" s="4"/>
      <c r="AL217" s="4"/>
      <c r="AM217" s="4"/>
      <c r="AN217" s="4"/>
      <c r="AO217" s="4"/>
      <c r="AP217" s="4"/>
      <c r="AQ217" s="4"/>
      <c r="AR217" s="4"/>
      <c r="AS217" s="4"/>
      <c r="AT217" s="4"/>
      <c r="AU217" s="4"/>
      <c r="AV217" s="4"/>
      <c r="AW217" s="4"/>
      <c r="AX217" s="4"/>
      <c r="AY217" s="4"/>
      <c r="AZ217" s="4"/>
      <c r="BA217" s="4"/>
      <c r="BB217" s="4"/>
      <c r="BC217" s="5"/>
      <c r="BD217" s="4"/>
      <c r="BE217" s="4"/>
      <c r="BF217" s="4"/>
      <c r="BG217" s="4"/>
      <c r="BH217" s="4"/>
      <c r="BI217" s="4"/>
      <c r="BJ217" s="4"/>
      <c r="BK217" s="4"/>
      <c r="BL217" s="4"/>
      <c r="BM217" s="4"/>
      <c r="BN217" s="4"/>
      <c r="BO217" s="4"/>
      <c r="BP217" s="4"/>
      <c r="BQ217" s="4"/>
      <c r="BR217" s="4"/>
    </row>
    <row r="218" spans="1:70">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4"/>
      <c r="AH218" s="4"/>
      <c r="AI218" s="4"/>
      <c r="AJ218" s="4"/>
      <c r="AK218" s="4"/>
      <c r="AL218" s="4"/>
      <c r="AM218" s="4"/>
      <c r="AN218" s="4"/>
      <c r="AO218" s="4"/>
      <c r="AP218" s="4"/>
      <c r="AQ218" s="4"/>
      <c r="AR218" s="4"/>
      <c r="AS218" s="4"/>
      <c r="AT218" s="4"/>
      <c r="AU218" s="4"/>
      <c r="AV218" s="4"/>
      <c r="AW218" s="4"/>
      <c r="AX218" s="4"/>
      <c r="AY218" s="4"/>
      <c r="AZ218" s="4"/>
      <c r="BA218" s="4"/>
      <c r="BB218" s="4"/>
      <c r="BC218" s="5"/>
      <c r="BD218" s="4"/>
      <c r="BE218" s="4"/>
      <c r="BF218" s="4"/>
      <c r="BG218" s="4"/>
      <c r="BH218" s="4"/>
      <c r="BI218" s="4"/>
      <c r="BJ218" s="4"/>
      <c r="BK218" s="4"/>
      <c r="BL218" s="4"/>
      <c r="BM218" s="4"/>
      <c r="BN218" s="4"/>
      <c r="BO218" s="4"/>
      <c r="BP218" s="4"/>
      <c r="BQ218" s="4"/>
      <c r="BR218" s="4"/>
    </row>
    <row r="219" spans="1:70">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4"/>
      <c r="AH219" s="4"/>
      <c r="AI219" s="4"/>
      <c r="AJ219" s="4"/>
      <c r="AK219" s="4"/>
      <c r="AL219" s="4"/>
      <c r="AM219" s="4"/>
      <c r="AN219" s="4"/>
      <c r="AO219" s="4"/>
      <c r="AP219" s="4"/>
      <c r="AQ219" s="4"/>
      <c r="AR219" s="4"/>
      <c r="AS219" s="4"/>
      <c r="AT219" s="4"/>
      <c r="AU219" s="4"/>
      <c r="AV219" s="4"/>
      <c r="AW219" s="4"/>
      <c r="AX219" s="4"/>
      <c r="AY219" s="4"/>
      <c r="AZ219" s="4"/>
      <c r="BA219" s="4"/>
      <c r="BB219" s="4"/>
      <c r="BC219" s="5"/>
      <c r="BD219" s="4"/>
      <c r="BE219" s="4"/>
      <c r="BF219" s="4"/>
      <c r="BG219" s="4"/>
      <c r="BH219" s="4"/>
      <c r="BI219" s="4"/>
      <c r="BJ219" s="4"/>
      <c r="BK219" s="4"/>
      <c r="BL219" s="4"/>
      <c r="BM219" s="4"/>
      <c r="BN219" s="4"/>
      <c r="BO219" s="4"/>
      <c r="BP219" s="4"/>
      <c r="BQ219" s="4"/>
      <c r="BR219" s="4"/>
    </row>
    <row r="220" spans="1:7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4"/>
      <c r="AH220" s="4"/>
      <c r="AI220" s="4"/>
      <c r="AJ220" s="4"/>
      <c r="AK220" s="4"/>
      <c r="AL220" s="4"/>
      <c r="AM220" s="4"/>
      <c r="AN220" s="4"/>
      <c r="AO220" s="4"/>
      <c r="AP220" s="4"/>
      <c r="AQ220" s="4"/>
      <c r="AR220" s="4"/>
      <c r="AS220" s="4"/>
      <c r="AT220" s="4"/>
      <c r="AU220" s="4"/>
      <c r="AV220" s="4"/>
      <c r="AW220" s="4"/>
      <c r="AX220" s="4"/>
      <c r="AY220" s="4"/>
      <c r="AZ220" s="4"/>
      <c r="BA220" s="4"/>
      <c r="BB220" s="4"/>
      <c r="BC220" s="5"/>
      <c r="BD220" s="4"/>
      <c r="BE220" s="4"/>
      <c r="BF220" s="4"/>
      <c r="BG220" s="4"/>
      <c r="BH220" s="4"/>
      <c r="BI220" s="4"/>
      <c r="BJ220" s="4"/>
      <c r="BK220" s="4"/>
      <c r="BL220" s="4"/>
      <c r="BM220" s="4"/>
      <c r="BN220" s="4"/>
      <c r="BO220" s="4"/>
      <c r="BP220" s="4"/>
      <c r="BQ220" s="4"/>
      <c r="BR220" s="4"/>
    </row>
    <row r="221" spans="1:70">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4"/>
      <c r="AH221" s="4"/>
      <c r="AI221" s="4"/>
      <c r="AJ221" s="4"/>
      <c r="AK221" s="4"/>
      <c r="AL221" s="4"/>
      <c r="AM221" s="4"/>
      <c r="AN221" s="4"/>
      <c r="AO221" s="4"/>
      <c r="AP221" s="4"/>
      <c r="AQ221" s="4"/>
      <c r="AR221" s="4"/>
      <c r="AS221" s="4"/>
      <c r="AT221" s="4"/>
      <c r="AU221" s="4"/>
      <c r="AV221" s="4"/>
      <c r="AW221" s="4"/>
      <c r="AX221" s="4"/>
      <c r="AY221" s="4"/>
      <c r="AZ221" s="4"/>
      <c r="BA221" s="4"/>
      <c r="BB221" s="4"/>
      <c r="BC221" s="5"/>
      <c r="BD221" s="4"/>
      <c r="BE221" s="4"/>
      <c r="BF221" s="4"/>
      <c r="BG221" s="4"/>
      <c r="BH221" s="4"/>
      <c r="BI221" s="4"/>
      <c r="BJ221" s="4"/>
      <c r="BK221" s="4"/>
      <c r="BL221" s="4"/>
      <c r="BM221" s="4"/>
      <c r="BN221" s="4"/>
      <c r="BO221" s="4"/>
      <c r="BP221" s="4"/>
      <c r="BQ221" s="4"/>
      <c r="BR221" s="4"/>
    </row>
    <row r="222" spans="1:70">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4"/>
      <c r="AH222" s="4"/>
      <c r="AI222" s="4"/>
      <c r="AJ222" s="4"/>
      <c r="AK222" s="4"/>
      <c r="AL222" s="4"/>
      <c r="AM222" s="4"/>
      <c r="AN222" s="4"/>
      <c r="AO222" s="4"/>
      <c r="AP222" s="4"/>
      <c r="AQ222" s="4"/>
      <c r="AR222" s="4"/>
      <c r="AS222" s="4"/>
      <c r="AT222" s="4"/>
      <c r="AU222" s="4"/>
      <c r="AV222" s="4"/>
      <c r="AW222" s="4"/>
      <c r="AX222" s="4"/>
      <c r="AY222" s="4"/>
      <c r="AZ222" s="4"/>
      <c r="BA222" s="4"/>
      <c r="BB222" s="4"/>
      <c r="BC222" s="5"/>
      <c r="BD222" s="4"/>
      <c r="BE222" s="4"/>
      <c r="BF222" s="4"/>
      <c r="BG222" s="4"/>
      <c r="BH222" s="4"/>
      <c r="BI222" s="4"/>
      <c r="BJ222" s="4"/>
      <c r="BK222" s="4"/>
      <c r="BL222" s="4"/>
      <c r="BM222" s="4"/>
      <c r="BN222" s="4"/>
      <c r="BO222" s="4"/>
      <c r="BP222" s="4"/>
      <c r="BQ222" s="4"/>
      <c r="BR222" s="4"/>
    </row>
    <row r="223" spans="1:70">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4"/>
      <c r="AH223" s="4"/>
      <c r="AI223" s="4"/>
      <c r="AJ223" s="4"/>
      <c r="AK223" s="4"/>
      <c r="AL223" s="4"/>
      <c r="AM223" s="4"/>
      <c r="AN223" s="4"/>
      <c r="AO223" s="4"/>
      <c r="AP223" s="4"/>
      <c r="AQ223" s="4"/>
      <c r="AR223" s="4"/>
      <c r="AS223" s="4"/>
      <c r="AT223" s="4"/>
      <c r="AU223" s="4"/>
      <c r="AV223" s="4"/>
      <c r="AW223" s="4"/>
      <c r="AX223" s="4"/>
      <c r="AY223" s="4"/>
      <c r="AZ223" s="4"/>
      <c r="BA223" s="4"/>
      <c r="BB223" s="4"/>
      <c r="BC223" s="5"/>
      <c r="BD223" s="4"/>
      <c r="BE223" s="4"/>
      <c r="BF223" s="4"/>
      <c r="BG223" s="4"/>
      <c r="BH223" s="4"/>
      <c r="BI223" s="4"/>
      <c r="BJ223" s="4"/>
      <c r="BK223" s="4"/>
      <c r="BL223" s="4"/>
      <c r="BM223" s="4"/>
      <c r="BN223" s="4"/>
      <c r="BO223" s="4"/>
      <c r="BP223" s="4"/>
      <c r="BQ223" s="4"/>
      <c r="BR223" s="4"/>
    </row>
    <row r="224" spans="1:70">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4"/>
      <c r="AH224" s="4"/>
      <c r="AI224" s="4"/>
      <c r="AJ224" s="4"/>
      <c r="AK224" s="4"/>
      <c r="AL224" s="4"/>
      <c r="AM224" s="4"/>
      <c r="AN224" s="4"/>
      <c r="AO224" s="4"/>
      <c r="AP224" s="4"/>
      <c r="AQ224" s="4"/>
      <c r="AR224" s="4"/>
      <c r="AS224" s="4"/>
      <c r="AT224" s="4"/>
      <c r="AU224" s="4"/>
      <c r="AV224" s="4"/>
      <c r="AW224" s="4"/>
      <c r="AX224" s="4"/>
      <c r="AY224" s="4"/>
      <c r="AZ224" s="4"/>
      <c r="BA224" s="4"/>
      <c r="BB224" s="4"/>
      <c r="BC224" s="5"/>
      <c r="BD224" s="4"/>
      <c r="BE224" s="4"/>
      <c r="BF224" s="4"/>
      <c r="BG224" s="4"/>
      <c r="BH224" s="4"/>
      <c r="BI224" s="4"/>
      <c r="BJ224" s="4"/>
      <c r="BK224" s="4"/>
      <c r="BL224" s="4"/>
      <c r="BM224" s="4"/>
      <c r="BN224" s="4"/>
      <c r="BO224" s="4"/>
      <c r="BP224" s="4"/>
      <c r="BQ224" s="4"/>
      <c r="BR224" s="4"/>
    </row>
    <row r="225" spans="1:70">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4"/>
      <c r="AH225" s="4"/>
      <c r="AI225" s="4"/>
      <c r="AJ225" s="4"/>
      <c r="AK225" s="4"/>
      <c r="AL225" s="4"/>
      <c r="AM225" s="4"/>
      <c r="AN225" s="4"/>
      <c r="AO225" s="4"/>
      <c r="AP225" s="4"/>
      <c r="AQ225" s="4"/>
      <c r="AR225" s="4"/>
      <c r="AS225" s="4"/>
      <c r="AT225" s="4"/>
      <c r="AU225" s="4"/>
      <c r="AV225" s="4"/>
      <c r="AW225" s="4"/>
      <c r="AX225" s="4"/>
      <c r="AY225" s="4"/>
      <c r="AZ225" s="4"/>
      <c r="BA225" s="4"/>
      <c r="BB225" s="4"/>
      <c r="BC225" s="5"/>
      <c r="BD225" s="4"/>
      <c r="BE225" s="4"/>
      <c r="BF225" s="4"/>
      <c r="BG225" s="4"/>
      <c r="BH225" s="4"/>
      <c r="BI225" s="4"/>
      <c r="BJ225" s="4"/>
      <c r="BK225" s="4"/>
      <c r="BL225" s="4"/>
      <c r="BM225" s="4"/>
      <c r="BN225" s="4"/>
      <c r="BO225" s="4"/>
      <c r="BP225" s="4"/>
      <c r="BQ225" s="4"/>
      <c r="BR225" s="4"/>
    </row>
    <row r="226" spans="1:70">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4"/>
      <c r="AH226" s="4"/>
      <c r="AI226" s="4"/>
      <c r="AJ226" s="4"/>
      <c r="AK226" s="4"/>
      <c r="AL226" s="4"/>
      <c r="AM226" s="4"/>
      <c r="AN226" s="4"/>
      <c r="AO226" s="4"/>
      <c r="AP226" s="4"/>
      <c r="AQ226" s="4"/>
      <c r="AR226" s="4"/>
      <c r="AS226" s="4"/>
      <c r="AT226" s="4"/>
      <c r="AU226" s="4"/>
      <c r="AV226" s="4"/>
      <c r="AW226" s="4"/>
      <c r="AX226" s="4"/>
      <c r="AY226" s="4"/>
      <c r="AZ226" s="4"/>
      <c r="BA226" s="4"/>
      <c r="BB226" s="4"/>
      <c r="BC226" s="5"/>
      <c r="BD226" s="4"/>
      <c r="BE226" s="4"/>
      <c r="BF226" s="4"/>
      <c r="BG226" s="4"/>
      <c r="BH226" s="4"/>
      <c r="BI226" s="4"/>
      <c r="BJ226" s="4"/>
      <c r="BK226" s="4"/>
      <c r="BL226" s="4"/>
      <c r="BM226" s="4"/>
      <c r="BN226" s="4"/>
      <c r="BO226" s="4"/>
      <c r="BP226" s="4"/>
      <c r="BQ226" s="4"/>
      <c r="BR226" s="4"/>
    </row>
    <row r="227" spans="1:70">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4"/>
      <c r="AH227" s="4"/>
      <c r="AI227" s="4"/>
      <c r="AJ227" s="4"/>
      <c r="AK227" s="4"/>
      <c r="AL227" s="4"/>
      <c r="AM227" s="4"/>
      <c r="AN227" s="4"/>
      <c r="AO227" s="4"/>
      <c r="AP227" s="4"/>
      <c r="AQ227" s="4"/>
      <c r="AR227" s="4"/>
      <c r="AS227" s="4"/>
      <c r="AT227" s="4"/>
      <c r="AU227" s="4"/>
      <c r="AV227" s="4"/>
      <c r="AW227" s="4"/>
      <c r="AX227" s="4"/>
      <c r="AY227" s="4"/>
      <c r="AZ227" s="4"/>
      <c r="BA227" s="4"/>
      <c r="BB227" s="4"/>
      <c r="BC227" s="5"/>
      <c r="BD227" s="4"/>
      <c r="BE227" s="4"/>
      <c r="BF227" s="4"/>
      <c r="BG227" s="4"/>
      <c r="BH227" s="4"/>
      <c r="BI227" s="4"/>
      <c r="BJ227" s="4"/>
      <c r="BK227" s="4"/>
      <c r="BL227" s="4"/>
      <c r="BM227" s="4"/>
      <c r="BN227" s="4"/>
      <c r="BO227" s="4"/>
      <c r="BP227" s="4"/>
      <c r="BQ227" s="4"/>
      <c r="BR227" s="4"/>
    </row>
    <row r="228" spans="1:70">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4"/>
      <c r="AH228" s="4"/>
      <c r="AI228" s="4"/>
      <c r="AJ228" s="4"/>
      <c r="AK228" s="4"/>
      <c r="AL228" s="4"/>
      <c r="AM228" s="4"/>
      <c r="AN228" s="4"/>
      <c r="AO228" s="4"/>
      <c r="AP228" s="4"/>
      <c r="AQ228" s="4"/>
      <c r="AR228" s="4"/>
      <c r="AS228" s="4"/>
      <c r="AT228" s="4"/>
      <c r="AU228" s="4"/>
      <c r="AV228" s="4"/>
      <c r="AW228" s="4"/>
      <c r="AX228" s="4"/>
      <c r="AY228" s="4"/>
      <c r="AZ228" s="4"/>
      <c r="BA228" s="4"/>
      <c r="BB228" s="4"/>
      <c r="BC228" s="5"/>
      <c r="BD228" s="4"/>
      <c r="BE228" s="4"/>
      <c r="BF228" s="4"/>
      <c r="BG228" s="4"/>
      <c r="BH228" s="4"/>
      <c r="BI228" s="4"/>
      <c r="BJ228" s="4"/>
      <c r="BK228" s="4"/>
      <c r="BL228" s="4"/>
      <c r="BM228" s="4"/>
      <c r="BN228" s="4"/>
      <c r="BO228" s="4"/>
      <c r="BP228" s="4"/>
      <c r="BQ228" s="4"/>
      <c r="BR228" s="4"/>
    </row>
    <row r="229" spans="1:70">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4"/>
      <c r="AH229" s="4"/>
      <c r="AI229" s="4"/>
      <c r="AJ229" s="4"/>
      <c r="AK229" s="4"/>
      <c r="AL229" s="4"/>
      <c r="AM229" s="4"/>
      <c r="AN229" s="4"/>
      <c r="AO229" s="4"/>
      <c r="AP229" s="4"/>
      <c r="AQ229" s="4"/>
      <c r="AR229" s="4"/>
      <c r="AS229" s="4"/>
      <c r="AT229" s="4"/>
      <c r="AU229" s="4"/>
      <c r="AV229" s="4"/>
      <c r="AW229" s="4"/>
      <c r="AX229" s="4"/>
      <c r="AY229" s="4"/>
      <c r="AZ229" s="4"/>
      <c r="BA229" s="4"/>
      <c r="BB229" s="4"/>
      <c r="BC229" s="5"/>
      <c r="BD229" s="4"/>
      <c r="BE229" s="4"/>
      <c r="BF229" s="4"/>
      <c r="BG229" s="4"/>
      <c r="BH229" s="4"/>
      <c r="BI229" s="4"/>
      <c r="BJ229" s="4"/>
      <c r="BK229" s="4"/>
      <c r="BL229" s="4"/>
      <c r="BM229" s="4"/>
      <c r="BN229" s="4"/>
      <c r="BO229" s="4"/>
      <c r="BP229" s="4"/>
      <c r="BQ229" s="4"/>
      <c r="BR229" s="4"/>
    </row>
    <row r="230" spans="1:7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4"/>
      <c r="AH230" s="4"/>
      <c r="AI230" s="4"/>
      <c r="AJ230" s="4"/>
      <c r="AK230" s="4"/>
      <c r="AL230" s="4"/>
      <c r="AM230" s="4"/>
      <c r="AN230" s="4"/>
      <c r="AO230" s="4"/>
      <c r="AP230" s="4"/>
      <c r="AQ230" s="4"/>
      <c r="AR230" s="4"/>
      <c r="AS230" s="4"/>
      <c r="AT230" s="4"/>
      <c r="AU230" s="4"/>
      <c r="AV230" s="4"/>
      <c r="AW230" s="4"/>
      <c r="AX230" s="4"/>
      <c r="AY230" s="4"/>
      <c r="AZ230" s="4"/>
      <c r="BA230" s="4"/>
      <c r="BB230" s="4"/>
      <c r="BC230" s="5"/>
      <c r="BD230" s="4"/>
      <c r="BE230" s="4"/>
      <c r="BF230" s="4"/>
      <c r="BG230" s="4"/>
      <c r="BH230" s="4"/>
      <c r="BI230" s="4"/>
      <c r="BJ230" s="4"/>
      <c r="BK230" s="4"/>
      <c r="BL230" s="4"/>
      <c r="BM230" s="4"/>
      <c r="BN230" s="4"/>
      <c r="BO230" s="4"/>
      <c r="BP230" s="4"/>
      <c r="BQ230" s="4"/>
      <c r="BR230" s="4"/>
    </row>
    <row r="231" spans="1:70">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4"/>
      <c r="AH231" s="4"/>
      <c r="AI231" s="4"/>
      <c r="AJ231" s="4"/>
      <c r="AK231" s="4"/>
      <c r="AL231" s="4"/>
      <c r="AM231" s="4"/>
      <c r="AN231" s="4"/>
      <c r="AO231" s="4"/>
      <c r="AP231" s="4"/>
      <c r="AQ231" s="4"/>
      <c r="AR231" s="4"/>
      <c r="AS231" s="4"/>
      <c r="AT231" s="4"/>
      <c r="AU231" s="4"/>
      <c r="AV231" s="4"/>
      <c r="AW231" s="4"/>
      <c r="AX231" s="4"/>
      <c r="AY231" s="4"/>
      <c r="AZ231" s="4"/>
      <c r="BA231" s="4"/>
      <c r="BB231" s="4"/>
      <c r="BC231" s="5"/>
      <c r="BD231" s="4"/>
      <c r="BE231" s="4"/>
      <c r="BF231" s="4"/>
      <c r="BG231" s="4"/>
      <c r="BH231" s="4"/>
      <c r="BI231" s="4"/>
      <c r="BJ231" s="4"/>
      <c r="BK231" s="4"/>
      <c r="BL231" s="4"/>
      <c r="BM231" s="4"/>
      <c r="BN231" s="4"/>
      <c r="BO231" s="4"/>
      <c r="BP231" s="4"/>
      <c r="BQ231" s="4"/>
      <c r="BR231" s="4"/>
    </row>
    <row r="232" spans="1:70">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4"/>
      <c r="AH232" s="4"/>
      <c r="AI232" s="4"/>
      <c r="AJ232" s="4"/>
      <c r="AK232" s="4"/>
      <c r="AL232" s="4"/>
      <c r="AM232" s="4"/>
      <c r="AN232" s="4"/>
      <c r="AO232" s="4"/>
      <c r="AP232" s="4"/>
      <c r="AQ232" s="4"/>
      <c r="AR232" s="4"/>
      <c r="AS232" s="4"/>
      <c r="AT232" s="4"/>
      <c r="AU232" s="4"/>
      <c r="AV232" s="4"/>
      <c r="AW232" s="4"/>
      <c r="AX232" s="4"/>
      <c r="AY232" s="4"/>
      <c r="AZ232" s="4"/>
      <c r="BA232" s="4"/>
      <c r="BB232" s="4"/>
      <c r="BC232" s="5"/>
      <c r="BD232" s="4"/>
      <c r="BE232" s="4"/>
      <c r="BF232" s="4"/>
      <c r="BG232" s="4"/>
      <c r="BH232" s="4"/>
      <c r="BI232" s="4"/>
      <c r="BJ232" s="4"/>
      <c r="BK232" s="4"/>
      <c r="BL232" s="4"/>
      <c r="BM232" s="4"/>
      <c r="BN232" s="4"/>
      <c r="BO232" s="4"/>
      <c r="BP232" s="4"/>
      <c r="BQ232" s="4"/>
      <c r="BR232" s="4"/>
    </row>
    <row r="233" spans="1:70">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4"/>
      <c r="AH233" s="4"/>
      <c r="AI233" s="4"/>
      <c r="AJ233" s="4"/>
      <c r="AK233" s="4"/>
      <c r="AL233" s="4"/>
      <c r="AM233" s="4"/>
      <c r="AN233" s="4"/>
      <c r="AO233" s="4"/>
      <c r="AP233" s="4"/>
      <c r="AQ233" s="4"/>
      <c r="AR233" s="4"/>
      <c r="AS233" s="4"/>
      <c r="AT233" s="4"/>
      <c r="AU233" s="4"/>
      <c r="AV233" s="4"/>
      <c r="AW233" s="4"/>
      <c r="AX233" s="4"/>
      <c r="AY233" s="4"/>
      <c r="AZ233" s="4"/>
      <c r="BA233" s="4"/>
      <c r="BB233" s="4"/>
      <c r="BC233" s="5"/>
      <c r="BD233" s="4"/>
      <c r="BE233" s="4"/>
      <c r="BF233" s="4"/>
      <c r="BG233" s="4"/>
      <c r="BH233" s="4"/>
      <c r="BI233" s="4"/>
      <c r="BJ233" s="4"/>
      <c r="BK233" s="4"/>
      <c r="BL233" s="4"/>
      <c r="BM233" s="4"/>
      <c r="BN233" s="4"/>
      <c r="BO233" s="4"/>
      <c r="BP233" s="4"/>
      <c r="BQ233" s="4"/>
      <c r="BR233" s="4"/>
    </row>
    <row r="234" spans="1:70">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4"/>
      <c r="AH234" s="4"/>
      <c r="AI234" s="4"/>
      <c r="AJ234" s="4"/>
      <c r="AK234" s="4"/>
      <c r="AL234" s="4"/>
      <c r="AM234" s="4"/>
      <c r="AN234" s="4"/>
      <c r="AO234" s="4"/>
      <c r="AP234" s="4"/>
      <c r="AQ234" s="4"/>
      <c r="AR234" s="4"/>
      <c r="AS234" s="4"/>
      <c r="AT234" s="4"/>
      <c r="AU234" s="4"/>
      <c r="AV234" s="4"/>
      <c r="AW234" s="4"/>
      <c r="AX234" s="4"/>
      <c r="AY234" s="4"/>
      <c r="AZ234" s="4"/>
      <c r="BA234" s="4"/>
      <c r="BB234" s="4"/>
      <c r="BC234" s="5"/>
      <c r="BD234" s="4"/>
      <c r="BE234" s="4"/>
      <c r="BF234" s="4"/>
      <c r="BG234" s="4"/>
      <c r="BH234" s="4"/>
      <c r="BI234" s="4"/>
      <c r="BJ234" s="4"/>
      <c r="BK234" s="4"/>
      <c r="BL234" s="4"/>
      <c r="BM234" s="4"/>
      <c r="BN234" s="4"/>
      <c r="BO234" s="4"/>
      <c r="BP234" s="4"/>
      <c r="BQ234" s="4"/>
      <c r="BR234" s="4"/>
    </row>
    <row r="235" spans="1:70">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4"/>
      <c r="AH235" s="4"/>
      <c r="AI235" s="4"/>
      <c r="AJ235" s="4"/>
      <c r="AK235" s="4"/>
      <c r="AL235" s="4"/>
      <c r="AM235" s="4"/>
      <c r="AN235" s="4"/>
      <c r="AO235" s="4"/>
      <c r="AP235" s="4"/>
      <c r="AQ235" s="4"/>
      <c r="AR235" s="4"/>
      <c r="AS235" s="4"/>
      <c r="AT235" s="4"/>
      <c r="AU235" s="4"/>
      <c r="AV235" s="4"/>
      <c r="AW235" s="4"/>
      <c r="AX235" s="4"/>
      <c r="AY235" s="4"/>
      <c r="AZ235" s="4"/>
      <c r="BA235" s="4"/>
      <c r="BB235" s="4"/>
      <c r="BC235" s="5"/>
      <c r="BD235" s="4"/>
      <c r="BE235" s="4"/>
      <c r="BF235" s="4"/>
      <c r="BG235" s="4"/>
      <c r="BH235" s="4"/>
      <c r="BI235" s="4"/>
      <c r="BJ235" s="4"/>
      <c r="BK235" s="4"/>
      <c r="BL235" s="4"/>
      <c r="BM235" s="4"/>
      <c r="BN235" s="4"/>
      <c r="BO235" s="4"/>
      <c r="BP235" s="4"/>
      <c r="BQ235" s="4"/>
      <c r="BR235" s="4"/>
    </row>
    <row r="236" spans="1:70">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4"/>
      <c r="AH236" s="4"/>
      <c r="AI236" s="4"/>
      <c r="AJ236" s="4"/>
      <c r="AK236" s="4"/>
      <c r="AL236" s="4"/>
      <c r="AM236" s="4"/>
      <c r="AN236" s="4"/>
      <c r="AO236" s="4"/>
      <c r="AP236" s="4"/>
      <c r="AQ236" s="4"/>
      <c r="AR236" s="4"/>
      <c r="AS236" s="4"/>
      <c r="AT236" s="4"/>
      <c r="AU236" s="4"/>
      <c r="AV236" s="4"/>
      <c r="AW236" s="4"/>
      <c r="AX236" s="4"/>
      <c r="AY236" s="4"/>
      <c r="AZ236" s="4"/>
      <c r="BA236" s="4"/>
      <c r="BB236" s="4"/>
      <c r="BC236" s="5"/>
      <c r="BD236" s="4"/>
      <c r="BE236" s="4"/>
      <c r="BF236" s="4"/>
      <c r="BG236" s="4"/>
      <c r="BH236" s="4"/>
      <c r="BI236" s="4"/>
      <c r="BJ236" s="4"/>
      <c r="BK236" s="4"/>
      <c r="BL236" s="4"/>
      <c r="BM236" s="4"/>
      <c r="BN236" s="4"/>
      <c r="BO236" s="4"/>
      <c r="BP236" s="4"/>
      <c r="BQ236" s="4"/>
      <c r="BR236" s="4"/>
    </row>
    <row r="237" spans="1:70">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4"/>
      <c r="AH237" s="4"/>
      <c r="AI237" s="4"/>
      <c r="AJ237" s="4"/>
      <c r="AK237" s="4"/>
      <c r="AL237" s="4"/>
      <c r="AM237" s="4"/>
      <c r="AN237" s="4"/>
      <c r="AO237" s="4"/>
      <c r="AP237" s="4"/>
      <c r="AQ237" s="4"/>
      <c r="AR237" s="4"/>
      <c r="AS237" s="4"/>
      <c r="AT237" s="4"/>
      <c r="AU237" s="4"/>
      <c r="AV237" s="4"/>
      <c r="AW237" s="4"/>
      <c r="AX237" s="4"/>
      <c r="AY237" s="4"/>
      <c r="AZ237" s="4"/>
      <c r="BA237" s="4"/>
      <c r="BB237" s="4"/>
      <c r="BC237" s="5"/>
      <c r="BD237" s="4"/>
      <c r="BE237" s="4"/>
      <c r="BF237" s="4"/>
      <c r="BG237" s="4"/>
      <c r="BH237" s="4"/>
      <c r="BI237" s="4"/>
      <c r="BJ237" s="4"/>
      <c r="BK237" s="4"/>
      <c r="BL237" s="4"/>
      <c r="BM237" s="4"/>
      <c r="BN237" s="4"/>
      <c r="BO237" s="4"/>
      <c r="BP237" s="4"/>
      <c r="BQ237" s="4"/>
      <c r="BR237" s="4"/>
    </row>
    <row r="238" spans="1:70">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4"/>
      <c r="AH238" s="4"/>
      <c r="AI238" s="4"/>
      <c r="AJ238" s="4"/>
      <c r="AK238" s="4"/>
      <c r="AL238" s="4"/>
      <c r="AM238" s="4"/>
      <c r="AN238" s="4"/>
      <c r="AO238" s="4"/>
      <c r="AP238" s="4"/>
      <c r="AQ238" s="4"/>
      <c r="AR238" s="4"/>
      <c r="AS238" s="4"/>
      <c r="AT238" s="4"/>
      <c r="AU238" s="4"/>
      <c r="AV238" s="4"/>
      <c r="AW238" s="4"/>
      <c r="AX238" s="4"/>
      <c r="AY238" s="4"/>
      <c r="AZ238" s="4"/>
      <c r="BA238" s="4"/>
      <c r="BB238" s="4"/>
      <c r="BC238" s="5"/>
      <c r="BD238" s="4"/>
      <c r="BE238" s="4"/>
      <c r="BF238" s="4"/>
      <c r="BG238" s="4"/>
      <c r="BH238" s="4"/>
      <c r="BI238" s="4"/>
      <c r="BJ238" s="4"/>
      <c r="BK238" s="4"/>
      <c r="BL238" s="4"/>
      <c r="BM238" s="4"/>
      <c r="BN238" s="4"/>
      <c r="BO238" s="4"/>
      <c r="BP238" s="4"/>
      <c r="BQ238" s="4"/>
      <c r="BR238" s="4"/>
    </row>
    <row r="239" spans="1:70">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4"/>
      <c r="AH239" s="4"/>
      <c r="AI239" s="4"/>
      <c r="AJ239" s="4"/>
      <c r="AK239" s="4"/>
      <c r="AL239" s="4"/>
      <c r="AM239" s="4"/>
      <c r="AN239" s="4"/>
      <c r="AO239" s="4"/>
      <c r="AP239" s="4"/>
      <c r="AQ239" s="4"/>
      <c r="AR239" s="4"/>
      <c r="AS239" s="4"/>
      <c r="AT239" s="4"/>
      <c r="AU239" s="4"/>
      <c r="AV239" s="4"/>
      <c r="AW239" s="4"/>
      <c r="AX239" s="4"/>
      <c r="AY239" s="4"/>
      <c r="AZ239" s="4"/>
      <c r="BA239" s="4"/>
      <c r="BB239" s="4"/>
      <c r="BC239" s="5"/>
      <c r="BD239" s="4"/>
      <c r="BE239" s="4"/>
      <c r="BF239" s="4"/>
      <c r="BG239" s="4"/>
      <c r="BH239" s="4"/>
      <c r="BI239" s="4"/>
      <c r="BJ239" s="4"/>
      <c r="BK239" s="4"/>
      <c r="BL239" s="4"/>
      <c r="BM239" s="4"/>
      <c r="BN239" s="4"/>
      <c r="BO239" s="4"/>
      <c r="BP239" s="4"/>
      <c r="BQ239" s="4"/>
      <c r="BR239" s="4"/>
    </row>
    <row r="240" spans="1:7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4"/>
      <c r="AH240" s="4"/>
      <c r="AI240" s="4"/>
      <c r="AJ240" s="4"/>
      <c r="AK240" s="4"/>
      <c r="AL240" s="4"/>
      <c r="AM240" s="4"/>
      <c r="AN240" s="4"/>
      <c r="AO240" s="4"/>
      <c r="AP240" s="4"/>
      <c r="AQ240" s="4"/>
      <c r="AR240" s="4"/>
      <c r="AS240" s="4"/>
      <c r="AT240" s="4"/>
      <c r="AU240" s="4"/>
      <c r="AV240" s="4"/>
      <c r="AW240" s="4"/>
      <c r="AX240" s="4"/>
      <c r="AY240" s="4"/>
      <c r="AZ240" s="4"/>
      <c r="BA240" s="4"/>
      <c r="BB240" s="4"/>
      <c r="BC240" s="5"/>
      <c r="BD240" s="4"/>
      <c r="BE240" s="4"/>
      <c r="BF240" s="4"/>
      <c r="BG240" s="4"/>
      <c r="BH240" s="4"/>
      <c r="BI240" s="4"/>
      <c r="BJ240" s="4"/>
      <c r="BK240" s="4"/>
      <c r="BL240" s="4"/>
      <c r="BM240" s="4"/>
      <c r="BN240" s="4"/>
      <c r="BO240" s="4"/>
      <c r="BP240" s="4"/>
      <c r="BQ240" s="4"/>
      <c r="BR240" s="4"/>
    </row>
    <row r="241" spans="1:70">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4"/>
      <c r="AH241" s="4"/>
      <c r="AI241" s="4"/>
      <c r="AJ241" s="4"/>
      <c r="AK241" s="4"/>
      <c r="AL241" s="4"/>
      <c r="AM241" s="4"/>
      <c r="AN241" s="4"/>
      <c r="AO241" s="4"/>
      <c r="AP241" s="4"/>
      <c r="AQ241" s="4"/>
      <c r="AR241" s="4"/>
      <c r="AS241" s="4"/>
      <c r="AT241" s="4"/>
      <c r="AU241" s="4"/>
      <c r="AV241" s="4"/>
      <c r="AW241" s="4"/>
      <c r="AX241" s="4"/>
      <c r="AY241" s="4"/>
      <c r="AZ241" s="4"/>
      <c r="BA241" s="4"/>
      <c r="BB241" s="4"/>
      <c r="BC241" s="5"/>
      <c r="BD241" s="4"/>
      <c r="BE241" s="4"/>
      <c r="BF241" s="4"/>
      <c r="BG241" s="4"/>
      <c r="BH241" s="4"/>
      <c r="BI241" s="4"/>
      <c r="BJ241" s="4"/>
      <c r="BK241" s="4"/>
      <c r="BL241" s="4"/>
      <c r="BM241" s="4"/>
      <c r="BN241" s="4"/>
      <c r="BO241" s="4"/>
      <c r="BP241" s="4"/>
      <c r="BQ241" s="4"/>
      <c r="BR241" s="4"/>
    </row>
    <row r="242" spans="1:70">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4"/>
      <c r="AH242" s="4"/>
      <c r="AI242" s="4"/>
      <c r="AJ242" s="4"/>
      <c r="AK242" s="4"/>
      <c r="AL242" s="4"/>
      <c r="AM242" s="4"/>
      <c r="AN242" s="4"/>
      <c r="AO242" s="4"/>
      <c r="AP242" s="4"/>
      <c r="AQ242" s="4"/>
      <c r="AR242" s="4"/>
      <c r="AS242" s="4"/>
      <c r="AT242" s="4"/>
      <c r="AU242" s="4"/>
      <c r="AV242" s="4"/>
      <c r="AW242" s="4"/>
      <c r="AX242" s="4"/>
      <c r="AY242" s="4"/>
      <c r="AZ242" s="4"/>
      <c r="BA242" s="4"/>
      <c r="BB242" s="4"/>
      <c r="BC242" s="5"/>
      <c r="BD242" s="4"/>
      <c r="BE242" s="4"/>
      <c r="BF242" s="4"/>
      <c r="BG242" s="4"/>
      <c r="BH242" s="4"/>
      <c r="BI242" s="4"/>
      <c r="BJ242" s="4"/>
      <c r="BK242" s="4"/>
      <c r="BL242" s="4"/>
      <c r="BM242" s="4"/>
      <c r="BN242" s="4"/>
      <c r="BO242" s="4"/>
      <c r="BP242" s="4"/>
      <c r="BQ242" s="4"/>
      <c r="BR242" s="4"/>
    </row>
    <row r="243" spans="1:70">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4"/>
      <c r="AH243" s="4"/>
      <c r="AI243" s="4"/>
      <c r="AJ243" s="4"/>
      <c r="AK243" s="4"/>
      <c r="AL243" s="4"/>
      <c r="AM243" s="4"/>
      <c r="AN243" s="4"/>
      <c r="AO243" s="4"/>
      <c r="AP243" s="4"/>
      <c r="AQ243" s="4"/>
      <c r="AR243" s="4"/>
      <c r="AS243" s="4"/>
      <c r="AT243" s="4"/>
      <c r="AU243" s="4"/>
      <c r="AV243" s="4"/>
      <c r="AW243" s="4"/>
      <c r="AX243" s="4"/>
      <c r="AY243" s="4"/>
      <c r="AZ243" s="4"/>
      <c r="BA243" s="4"/>
      <c r="BB243" s="4"/>
      <c r="BC243" s="5"/>
      <c r="BD243" s="4"/>
      <c r="BE243" s="4"/>
      <c r="BF243" s="4"/>
      <c r="BG243" s="4"/>
      <c r="BH243" s="4"/>
      <c r="BI243" s="4"/>
      <c r="BJ243" s="4"/>
      <c r="BK243" s="4"/>
      <c r="BL243" s="4"/>
      <c r="BM243" s="4"/>
      <c r="BN243" s="4"/>
      <c r="BO243" s="4"/>
      <c r="BP243" s="4"/>
      <c r="BQ243" s="4"/>
      <c r="BR243" s="4"/>
    </row>
    <row r="244" spans="1:70">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4"/>
      <c r="AH244" s="4"/>
      <c r="AI244" s="4"/>
      <c r="AJ244" s="4"/>
      <c r="AK244" s="4"/>
      <c r="AL244" s="4"/>
      <c r="AM244" s="4"/>
      <c r="AN244" s="4"/>
      <c r="AO244" s="4"/>
      <c r="AP244" s="4"/>
      <c r="AQ244" s="4"/>
      <c r="AR244" s="4"/>
      <c r="AS244" s="4"/>
      <c r="AT244" s="4"/>
      <c r="AU244" s="4"/>
      <c r="AV244" s="4"/>
      <c r="AW244" s="4"/>
      <c r="AX244" s="4"/>
      <c r="AY244" s="4"/>
      <c r="AZ244" s="4"/>
      <c r="BA244" s="4"/>
      <c r="BB244" s="4"/>
      <c r="BC244" s="5"/>
      <c r="BD244" s="4"/>
      <c r="BE244" s="4"/>
      <c r="BF244" s="4"/>
      <c r="BG244" s="4"/>
      <c r="BH244" s="4"/>
      <c r="BI244" s="4"/>
      <c r="BJ244" s="4"/>
      <c r="BK244" s="4"/>
      <c r="BL244" s="4"/>
      <c r="BM244" s="4"/>
      <c r="BN244" s="4"/>
      <c r="BO244" s="4"/>
      <c r="BP244" s="4"/>
      <c r="BQ244" s="4"/>
      <c r="BR244" s="4"/>
    </row>
    <row r="245" spans="1:70">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4"/>
      <c r="AH245" s="4"/>
      <c r="AI245" s="4"/>
      <c r="AJ245" s="4"/>
      <c r="AK245" s="4"/>
      <c r="AL245" s="4"/>
      <c r="AM245" s="4"/>
      <c r="AN245" s="4"/>
      <c r="AO245" s="4"/>
      <c r="AP245" s="4"/>
      <c r="AQ245" s="4"/>
      <c r="AR245" s="4"/>
      <c r="AS245" s="4"/>
      <c r="AT245" s="4"/>
      <c r="AU245" s="4"/>
      <c r="AV245" s="4"/>
      <c r="AW245" s="4"/>
      <c r="AX245" s="4"/>
      <c r="AY245" s="4"/>
      <c r="AZ245" s="4"/>
      <c r="BA245" s="4"/>
      <c r="BB245" s="4"/>
      <c r="BC245" s="5"/>
      <c r="BD245" s="4"/>
      <c r="BE245" s="4"/>
      <c r="BF245" s="4"/>
      <c r="BG245" s="4"/>
      <c r="BH245" s="4"/>
      <c r="BI245" s="4"/>
      <c r="BJ245" s="4"/>
      <c r="BK245" s="4"/>
      <c r="BL245" s="4"/>
      <c r="BM245" s="4"/>
      <c r="BN245" s="4"/>
      <c r="BO245" s="4"/>
      <c r="BP245" s="4"/>
      <c r="BQ245" s="4"/>
      <c r="BR245" s="4"/>
    </row>
    <row r="246" spans="1:70">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4"/>
      <c r="AH246" s="4"/>
      <c r="AI246" s="4"/>
      <c r="AJ246" s="4"/>
      <c r="AK246" s="4"/>
      <c r="AL246" s="4"/>
      <c r="AM246" s="4"/>
      <c r="AN246" s="4"/>
      <c r="AO246" s="4"/>
      <c r="AP246" s="4"/>
      <c r="AQ246" s="4"/>
      <c r="AR246" s="4"/>
      <c r="AS246" s="4"/>
      <c r="AT246" s="4"/>
      <c r="AU246" s="4"/>
      <c r="AV246" s="4"/>
      <c r="AW246" s="4"/>
      <c r="AX246" s="4"/>
      <c r="AY246" s="4"/>
      <c r="AZ246" s="4"/>
      <c r="BA246" s="4"/>
      <c r="BB246" s="4"/>
      <c r="BC246" s="5"/>
      <c r="BD246" s="4"/>
      <c r="BE246" s="4"/>
      <c r="BF246" s="4"/>
      <c r="BG246" s="4"/>
      <c r="BH246" s="4"/>
      <c r="BI246" s="4"/>
      <c r="BJ246" s="4"/>
      <c r="BK246" s="4"/>
      <c r="BL246" s="4"/>
      <c r="BM246" s="4"/>
      <c r="BN246" s="4"/>
      <c r="BO246" s="4"/>
      <c r="BP246" s="4"/>
      <c r="BQ246" s="4"/>
      <c r="BR246" s="4"/>
    </row>
    <row r="247" spans="1:70">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4"/>
      <c r="AH247" s="4"/>
      <c r="AI247" s="4"/>
      <c r="AJ247" s="4"/>
      <c r="AK247" s="4"/>
      <c r="AL247" s="4"/>
      <c r="AM247" s="4"/>
      <c r="AN247" s="4"/>
      <c r="AO247" s="4"/>
      <c r="AP247" s="4"/>
      <c r="AQ247" s="4"/>
      <c r="AR247" s="4"/>
      <c r="AS247" s="4"/>
      <c r="AT247" s="4"/>
      <c r="AU247" s="4"/>
      <c r="AV247" s="4"/>
      <c r="AW247" s="4"/>
      <c r="AX247" s="4"/>
      <c r="AY247" s="4"/>
      <c r="AZ247" s="4"/>
      <c r="BA247" s="4"/>
      <c r="BB247" s="4"/>
      <c r="BC247" s="5"/>
      <c r="BD247" s="4"/>
      <c r="BE247" s="4"/>
      <c r="BF247" s="4"/>
      <c r="BG247" s="4"/>
      <c r="BH247" s="4"/>
      <c r="BI247" s="4"/>
      <c r="BJ247" s="4"/>
      <c r="BK247" s="4"/>
      <c r="BL247" s="4"/>
      <c r="BM247" s="4"/>
      <c r="BN247" s="4"/>
      <c r="BO247" s="4"/>
      <c r="BP247" s="4"/>
      <c r="BQ247" s="4"/>
      <c r="BR247" s="4"/>
    </row>
    <row r="248" spans="1:70">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4"/>
      <c r="AH248" s="4"/>
      <c r="AI248" s="4"/>
      <c r="AJ248" s="4"/>
      <c r="AK248" s="4"/>
      <c r="AL248" s="4"/>
      <c r="AM248" s="4"/>
      <c r="AN248" s="4"/>
      <c r="AO248" s="4"/>
      <c r="AP248" s="4"/>
      <c r="AQ248" s="4"/>
      <c r="AR248" s="4"/>
      <c r="AS248" s="4"/>
      <c r="AT248" s="4"/>
      <c r="AU248" s="4"/>
      <c r="AV248" s="4"/>
      <c r="AW248" s="4"/>
      <c r="AX248" s="4"/>
      <c r="AY248" s="4"/>
      <c r="AZ248" s="4"/>
      <c r="BA248" s="4"/>
      <c r="BB248" s="4"/>
      <c r="BC248" s="5"/>
      <c r="BD248" s="4"/>
      <c r="BE248" s="4"/>
      <c r="BF248" s="4"/>
      <c r="BG248" s="4"/>
      <c r="BH248" s="4"/>
      <c r="BI248" s="4"/>
      <c r="BJ248" s="4"/>
      <c r="BK248" s="4"/>
      <c r="BL248" s="4"/>
      <c r="BM248" s="4"/>
      <c r="BN248" s="4"/>
      <c r="BO248" s="4"/>
      <c r="BP248" s="4"/>
      <c r="BQ248" s="4"/>
      <c r="BR248" s="4"/>
    </row>
    <row r="249" spans="1:70">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4"/>
      <c r="AH249" s="4"/>
      <c r="AI249" s="4"/>
      <c r="AJ249" s="4"/>
      <c r="AK249" s="4"/>
      <c r="AL249" s="4"/>
      <c r="AM249" s="4"/>
      <c r="AN249" s="4"/>
      <c r="AO249" s="4"/>
      <c r="AP249" s="4"/>
      <c r="AQ249" s="4"/>
      <c r="AR249" s="4"/>
      <c r="AS249" s="4"/>
      <c r="AT249" s="4"/>
      <c r="AU249" s="4"/>
      <c r="AV249" s="4"/>
      <c r="AW249" s="4"/>
      <c r="AX249" s="4"/>
      <c r="AY249" s="4"/>
      <c r="AZ249" s="4"/>
      <c r="BA249" s="4"/>
      <c r="BB249" s="4"/>
      <c r="BC249" s="5"/>
      <c r="BD249" s="4"/>
      <c r="BE249" s="4"/>
      <c r="BF249" s="4"/>
      <c r="BG249" s="4"/>
      <c r="BH249" s="4"/>
      <c r="BI249" s="4"/>
      <c r="BJ249" s="4"/>
      <c r="BK249" s="4"/>
      <c r="BL249" s="4"/>
      <c r="BM249" s="4"/>
      <c r="BN249" s="4"/>
      <c r="BO249" s="4"/>
      <c r="BP249" s="4"/>
      <c r="BQ249" s="4"/>
      <c r="BR249" s="4"/>
    </row>
    <row r="250" spans="1:7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4"/>
      <c r="AH250" s="4"/>
      <c r="AI250" s="4"/>
      <c r="AJ250" s="4"/>
      <c r="AK250" s="4"/>
      <c r="AL250" s="4"/>
      <c r="AM250" s="4"/>
      <c r="AN250" s="4"/>
      <c r="AO250" s="4"/>
      <c r="AP250" s="4"/>
      <c r="AQ250" s="4"/>
      <c r="AR250" s="4"/>
      <c r="AS250" s="4"/>
      <c r="AT250" s="4"/>
      <c r="AU250" s="4"/>
      <c r="AV250" s="4"/>
      <c r="AW250" s="4"/>
      <c r="AX250" s="4"/>
      <c r="AY250" s="4"/>
      <c r="AZ250" s="4"/>
      <c r="BA250" s="4"/>
      <c r="BB250" s="4"/>
      <c r="BC250" s="5"/>
      <c r="BD250" s="4"/>
      <c r="BE250" s="4"/>
      <c r="BF250" s="4"/>
      <c r="BG250" s="4"/>
      <c r="BH250" s="4"/>
      <c r="BI250" s="4"/>
      <c r="BJ250" s="4"/>
      <c r="BK250" s="4"/>
      <c r="BL250" s="4"/>
      <c r="BM250" s="4"/>
      <c r="BN250" s="4"/>
      <c r="BO250" s="4"/>
      <c r="BP250" s="4"/>
      <c r="BQ250" s="4"/>
      <c r="BR250" s="4"/>
    </row>
    <row r="251" spans="1:70">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4"/>
      <c r="AH251" s="4"/>
      <c r="AI251" s="4"/>
      <c r="AJ251" s="4"/>
      <c r="AK251" s="4"/>
      <c r="AL251" s="4"/>
      <c r="AM251" s="4"/>
      <c r="AN251" s="4"/>
      <c r="AO251" s="4"/>
      <c r="AP251" s="4"/>
      <c r="AQ251" s="4"/>
      <c r="AR251" s="4"/>
      <c r="AS251" s="4"/>
      <c r="AT251" s="4"/>
      <c r="AU251" s="4"/>
      <c r="AV251" s="4"/>
      <c r="AW251" s="4"/>
      <c r="AX251" s="4"/>
      <c r="AY251" s="4"/>
      <c r="AZ251" s="4"/>
      <c r="BA251" s="4"/>
      <c r="BB251" s="4"/>
      <c r="BC251" s="5"/>
      <c r="BD251" s="4"/>
      <c r="BE251" s="4"/>
      <c r="BF251" s="4"/>
      <c r="BG251" s="4"/>
      <c r="BH251" s="4"/>
      <c r="BI251" s="4"/>
      <c r="BJ251" s="4"/>
      <c r="BK251" s="4"/>
      <c r="BL251" s="4"/>
      <c r="BM251" s="4"/>
      <c r="BN251" s="4"/>
      <c r="BO251" s="4"/>
      <c r="BP251" s="4"/>
      <c r="BQ251" s="4"/>
      <c r="BR251" s="4"/>
    </row>
    <row r="252" spans="1:70">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4"/>
      <c r="AH252" s="4"/>
      <c r="AI252" s="4"/>
      <c r="AJ252" s="4"/>
      <c r="AK252" s="4"/>
      <c r="AL252" s="4"/>
      <c r="AM252" s="4"/>
      <c r="AN252" s="4"/>
      <c r="AO252" s="4"/>
      <c r="AP252" s="4"/>
      <c r="AQ252" s="4"/>
      <c r="AR252" s="4"/>
      <c r="AS252" s="4"/>
      <c r="AT252" s="4"/>
      <c r="AU252" s="4"/>
      <c r="AV252" s="4"/>
      <c r="AW252" s="4"/>
      <c r="AX252" s="4"/>
      <c r="AY252" s="4"/>
      <c r="AZ252" s="4"/>
      <c r="BA252" s="4"/>
      <c r="BB252" s="4"/>
      <c r="BC252" s="5"/>
      <c r="BD252" s="4"/>
      <c r="BE252" s="4"/>
      <c r="BF252" s="4"/>
      <c r="BG252" s="4"/>
      <c r="BH252" s="4"/>
      <c r="BI252" s="4"/>
      <c r="BJ252" s="4"/>
      <c r="BK252" s="4"/>
      <c r="BL252" s="4"/>
      <c r="BM252" s="4"/>
      <c r="BN252" s="4"/>
      <c r="BO252" s="4"/>
      <c r="BP252" s="4"/>
      <c r="BQ252" s="4"/>
      <c r="BR252" s="4"/>
    </row>
    <row r="253" spans="1:70">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4"/>
      <c r="AH253" s="4"/>
      <c r="AI253" s="4"/>
      <c r="AJ253" s="4"/>
      <c r="AK253" s="4"/>
      <c r="AL253" s="4"/>
      <c r="AM253" s="4"/>
      <c r="AN253" s="4"/>
      <c r="AO253" s="4"/>
      <c r="AP253" s="4"/>
      <c r="AQ253" s="4"/>
      <c r="AR253" s="4"/>
      <c r="AS253" s="4"/>
      <c r="AT253" s="4"/>
      <c r="AU253" s="4"/>
      <c r="AV253" s="4"/>
      <c r="AW253" s="4"/>
      <c r="AX253" s="4"/>
      <c r="AY253" s="4"/>
      <c r="AZ253" s="4"/>
      <c r="BA253" s="4"/>
      <c r="BB253" s="4"/>
      <c r="BC253" s="5"/>
      <c r="BD253" s="4"/>
      <c r="BE253" s="4"/>
      <c r="BF253" s="4"/>
      <c r="BG253" s="4"/>
      <c r="BH253" s="4"/>
      <c r="BI253" s="4"/>
      <c r="BJ253" s="4"/>
      <c r="BK253" s="4"/>
      <c r="BL253" s="4"/>
      <c r="BM253" s="4"/>
      <c r="BN253" s="4"/>
      <c r="BO253" s="4"/>
      <c r="BP253" s="4"/>
      <c r="BQ253" s="4"/>
      <c r="BR253" s="4"/>
    </row>
    <row r="254" spans="1:70">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4"/>
      <c r="AH254" s="4"/>
      <c r="AI254" s="4"/>
      <c r="AJ254" s="4"/>
      <c r="AK254" s="4"/>
      <c r="AL254" s="4"/>
      <c r="AM254" s="4"/>
      <c r="AN254" s="4"/>
      <c r="AO254" s="4"/>
      <c r="AP254" s="4"/>
      <c r="AQ254" s="4"/>
      <c r="AR254" s="4"/>
      <c r="AS254" s="4"/>
      <c r="AT254" s="4"/>
      <c r="AU254" s="4"/>
      <c r="AV254" s="4"/>
      <c r="AW254" s="4"/>
      <c r="AX254" s="4"/>
      <c r="AY254" s="4"/>
      <c r="AZ254" s="4"/>
      <c r="BA254" s="4"/>
      <c r="BB254" s="4"/>
      <c r="BC254" s="5"/>
      <c r="BD254" s="4"/>
      <c r="BE254" s="4"/>
      <c r="BF254" s="4"/>
      <c r="BG254" s="4"/>
      <c r="BH254" s="4"/>
      <c r="BI254" s="4"/>
      <c r="BJ254" s="4"/>
      <c r="BK254" s="4"/>
      <c r="BL254" s="4"/>
      <c r="BM254" s="4"/>
      <c r="BN254" s="4"/>
      <c r="BO254" s="4"/>
      <c r="BP254" s="4"/>
      <c r="BQ254" s="4"/>
      <c r="BR254" s="4"/>
    </row>
    <row r="255" spans="1:70">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4"/>
      <c r="AH255" s="4"/>
      <c r="AI255" s="4"/>
      <c r="AJ255" s="4"/>
      <c r="AK255" s="4"/>
      <c r="AL255" s="4"/>
      <c r="AM255" s="4"/>
      <c r="AN255" s="4"/>
      <c r="AO255" s="4"/>
      <c r="AP255" s="4"/>
      <c r="AQ255" s="4"/>
      <c r="AR255" s="4"/>
      <c r="AS255" s="4"/>
      <c r="AT255" s="4"/>
      <c r="AU255" s="4"/>
      <c r="AV255" s="4"/>
      <c r="AW255" s="4"/>
      <c r="AX255" s="4"/>
      <c r="AY255" s="4"/>
      <c r="AZ255" s="4"/>
      <c r="BA255" s="4"/>
      <c r="BB255" s="4"/>
      <c r="BC255" s="5"/>
      <c r="BD255" s="4"/>
      <c r="BE255" s="4"/>
      <c r="BF255" s="4"/>
      <c r="BG255" s="4"/>
      <c r="BH255" s="4"/>
      <c r="BI255" s="4"/>
      <c r="BJ255" s="4"/>
      <c r="BK255" s="4"/>
      <c r="BL255" s="4"/>
      <c r="BM255" s="4"/>
      <c r="BN255" s="4"/>
      <c r="BO255" s="4"/>
      <c r="BP255" s="4"/>
      <c r="BQ255" s="4"/>
      <c r="BR255" s="4"/>
    </row>
    <row r="256" spans="1:70">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c r="AG256" s="4"/>
      <c r="AH256" s="4"/>
      <c r="AI256" s="4"/>
      <c r="AJ256" s="4"/>
      <c r="AK256" s="4"/>
      <c r="AL256" s="4"/>
      <c r="AM256" s="4"/>
      <c r="AN256" s="4"/>
      <c r="AO256" s="4"/>
      <c r="AP256" s="4"/>
      <c r="AQ256" s="4"/>
      <c r="AR256" s="4"/>
      <c r="AS256" s="4"/>
      <c r="AT256" s="4"/>
      <c r="AU256" s="4"/>
      <c r="AV256" s="4"/>
      <c r="AW256" s="4"/>
      <c r="AX256" s="4"/>
      <c r="AY256" s="4"/>
      <c r="AZ256" s="4"/>
      <c r="BA256" s="4"/>
      <c r="BB256" s="4"/>
      <c r="BC256" s="5"/>
      <c r="BD256" s="4"/>
      <c r="BE256" s="4"/>
      <c r="BF256" s="4"/>
      <c r="BG256" s="4"/>
      <c r="BH256" s="4"/>
      <c r="BI256" s="4"/>
      <c r="BJ256" s="4"/>
      <c r="BK256" s="4"/>
      <c r="BL256" s="4"/>
      <c r="BM256" s="4"/>
      <c r="BN256" s="4"/>
      <c r="BO256" s="4"/>
      <c r="BP256" s="4"/>
      <c r="BQ256" s="4"/>
      <c r="BR256" s="4"/>
    </row>
    <row r="257" spans="1:70">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4"/>
      <c r="AH257" s="4"/>
      <c r="AI257" s="4"/>
      <c r="AJ257" s="4"/>
      <c r="AK257" s="4"/>
      <c r="AL257" s="4"/>
      <c r="AM257" s="4"/>
      <c r="AN257" s="4"/>
      <c r="AO257" s="4"/>
      <c r="AP257" s="4"/>
      <c r="AQ257" s="4"/>
      <c r="AR257" s="4"/>
      <c r="AS257" s="4"/>
      <c r="AT257" s="4"/>
      <c r="AU257" s="4"/>
      <c r="AV257" s="4"/>
      <c r="AW257" s="4"/>
      <c r="AX257" s="4"/>
      <c r="AY257" s="4"/>
      <c r="AZ257" s="4"/>
      <c r="BA257" s="4"/>
      <c r="BB257" s="4"/>
      <c r="BC257" s="5"/>
      <c r="BD257" s="4"/>
      <c r="BE257" s="4"/>
      <c r="BF257" s="4"/>
      <c r="BG257" s="4"/>
      <c r="BH257" s="4"/>
      <c r="BI257" s="4"/>
      <c r="BJ257" s="4"/>
      <c r="BK257" s="4"/>
      <c r="BL257" s="4"/>
      <c r="BM257" s="4"/>
      <c r="BN257" s="4"/>
      <c r="BO257" s="4"/>
      <c r="BP257" s="4"/>
      <c r="BQ257" s="4"/>
      <c r="BR257" s="4"/>
    </row>
    <row r="258" spans="1:70">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4"/>
      <c r="AH258" s="4"/>
      <c r="AI258" s="4"/>
      <c r="AJ258" s="4"/>
      <c r="AK258" s="4"/>
      <c r="AL258" s="4"/>
      <c r="AM258" s="4"/>
      <c r="AN258" s="4"/>
      <c r="AO258" s="4"/>
      <c r="AP258" s="4"/>
      <c r="AQ258" s="4"/>
      <c r="AR258" s="4"/>
      <c r="AS258" s="4"/>
      <c r="AT258" s="4"/>
      <c r="AU258" s="4"/>
      <c r="AV258" s="4"/>
      <c r="AW258" s="4"/>
      <c r="AX258" s="4"/>
      <c r="AY258" s="4"/>
      <c r="AZ258" s="4"/>
      <c r="BA258" s="4"/>
      <c r="BB258" s="4"/>
      <c r="BC258" s="5"/>
      <c r="BD258" s="4"/>
      <c r="BE258" s="4"/>
      <c r="BF258" s="4"/>
      <c r="BG258" s="4"/>
      <c r="BH258" s="4"/>
      <c r="BI258" s="4"/>
      <c r="BJ258" s="4"/>
      <c r="BK258" s="4"/>
      <c r="BL258" s="4"/>
      <c r="BM258" s="4"/>
      <c r="BN258" s="4"/>
      <c r="BO258" s="4"/>
      <c r="BP258" s="4"/>
      <c r="BQ258" s="4"/>
      <c r="BR258" s="4"/>
    </row>
    <row r="259" spans="1:70">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4"/>
      <c r="AH259" s="4"/>
      <c r="AI259" s="4"/>
      <c r="AJ259" s="4"/>
      <c r="AK259" s="4"/>
      <c r="AL259" s="4"/>
      <c r="AM259" s="4"/>
      <c r="AN259" s="4"/>
      <c r="AO259" s="4"/>
      <c r="AP259" s="4"/>
      <c r="AQ259" s="4"/>
      <c r="AR259" s="4"/>
      <c r="AS259" s="4"/>
      <c r="AT259" s="4"/>
      <c r="AU259" s="4"/>
      <c r="AV259" s="4"/>
      <c r="AW259" s="4"/>
      <c r="AX259" s="4"/>
      <c r="AY259" s="4"/>
      <c r="AZ259" s="4"/>
      <c r="BA259" s="4"/>
      <c r="BB259" s="4"/>
      <c r="BC259" s="5"/>
      <c r="BD259" s="4"/>
      <c r="BE259" s="4"/>
      <c r="BF259" s="4"/>
      <c r="BG259" s="4"/>
      <c r="BH259" s="4"/>
      <c r="BI259" s="4"/>
      <c r="BJ259" s="4"/>
      <c r="BK259" s="4"/>
      <c r="BL259" s="4"/>
      <c r="BM259" s="4"/>
      <c r="BN259" s="4"/>
      <c r="BO259" s="4"/>
      <c r="BP259" s="4"/>
      <c r="BQ259" s="4"/>
      <c r="BR259" s="4"/>
    </row>
    <row r="260" spans="1:7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4"/>
      <c r="AH260" s="4"/>
      <c r="AI260" s="4"/>
      <c r="AJ260" s="4"/>
      <c r="AK260" s="4"/>
      <c r="AL260" s="4"/>
      <c r="AM260" s="4"/>
      <c r="AN260" s="4"/>
      <c r="AO260" s="4"/>
      <c r="AP260" s="4"/>
      <c r="AQ260" s="4"/>
      <c r="AR260" s="4"/>
      <c r="AS260" s="4"/>
      <c r="AT260" s="4"/>
      <c r="AU260" s="4"/>
      <c r="AV260" s="4"/>
      <c r="AW260" s="4"/>
      <c r="AX260" s="4"/>
      <c r="AY260" s="4"/>
      <c r="AZ260" s="4"/>
      <c r="BA260" s="4"/>
      <c r="BB260" s="4"/>
      <c r="BC260" s="5"/>
      <c r="BD260" s="4"/>
      <c r="BE260" s="4"/>
      <c r="BF260" s="4"/>
      <c r="BG260" s="4"/>
      <c r="BH260" s="4"/>
      <c r="BI260" s="4"/>
      <c r="BJ260" s="4"/>
      <c r="BK260" s="4"/>
      <c r="BL260" s="4"/>
      <c r="BM260" s="4"/>
      <c r="BN260" s="4"/>
      <c r="BO260" s="4"/>
      <c r="BP260" s="4"/>
      <c r="BQ260" s="4"/>
      <c r="BR260" s="4"/>
    </row>
    <row r="261" spans="1:70">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4"/>
      <c r="AH261" s="4"/>
      <c r="AI261" s="4"/>
      <c r="AJ261" s="4"/>
      <c r="AK261" s="4"/>
      <c r="AL261" s="4"/>
      <c r="AM261" s="4"/>
      <c r="AN261" s="4"/>
      <c r="AO261" s="4"/>
      <c r="AP261" s="4"/>
      <c r="AQ261" s="4"/>
      <c r="AR261" s="4"/>
      <c r="AS261" s="4"/>
      <c r="AT261" s="4"/>
      <c r="AU261" s="4"/>
      <c r="AV261" s="4"/>
      <c r="AW261" s="4"/>
      <c r="AX261" s="4"/>
      <c r="AY261" s="4"/>
      <c r="AZ261" s="4"/>
      <c r="BA261" s="4"/>
      <c r="BB261" s="4"/>
      <c r="BC261" s="5"/>
      <c r="BD261" s="4"/>
      <c r="BE261" s="4"/>
      <c r="BF261" s="4"/>
      <c r="BG261" s="4"/>
      <c r="BH261" s="4"/>
      <c r="BI261" s="4"/>
      <c r="BJ261" s="4"/>
      <c r="BK261" s="4"/>
      <c r="BL261" s="4"/>
      <c r="BM261" s="4"/>
      <c r="BN261" s="4"/>
      <c r="BO261" s="4"/>
      <c r="BP261" s="4"/>
      <c r="BQ261" s="4"/>
      <c r="BR261" s="4"/>
    </row>
    <row r="262" spans="1:70">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4"/>
      <c r="AH262" s="4"/>
      <c r="AI262" s="4"/>
      <c r="AJ262" s="4"/>
      <c r="AK262" s="4"/>
      <c r="AL262" s="4"/>
      <c r="AM262" s="4"/>
      <c r="AN262" s="4"/>
      <c r="AO262" s="4"/>
      <c r="AP262" s="4"/>
      <c r="AQ262" s="4"/>
      <c r="AR262" s="4"/>
      <c r="AS262" s="4"/>
      <c r="AT262" s="4"/>
      <c r="AU262" s="4"/>
      <c r="AV262" s="4"/>
      <c r="AW262" s="4"/>
      <c r="AX262" s="4"/>
      <c r="AY262" s="4"/>
      <c r="AZ262" s="4"/>
      <c r="BA262" s="4"/>
      <c r="BB262" s="4"/>
      <c r="BC262" s="5"/>
      <c r="BD262" s="4"/>
      <c r="BE262" s="4"/>
      <c r="BF262" s="4"/>
      <c r="BG262" s="4"/>
      <c r="BH262" s="4"/>
      <c r="BI262" s="4"/>
      <c r="BJ262" s="4"/>
      <c r="BK262" s="4"/>
      <c r="BL262" s="4"/>
      <c r="BM262" s="4"/>
      <c r="BN262" s="4"/>
      <c r="BO262" s="4"/>
      <c r="BP262" s="4"/>
      <c r="BQ262" s="4"/>
      <c r="BR262" s="4"/>
    </row>
    <row r="263" spans="1:70">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c r="AG263" s="4"/>
      <c r="AH263" s="4"/>
      <c r="AI263" s="4"/>
      <c r="AJ263" s="4"/>
      <c r="AK263" s="4"/>
      <c r="AL263" s="4"/>
      <c r="AM263" s="4"/>
      <c r="AN263" s="4"/>
      <c r="AO263" s="4"/>
      <c r="AP263" s="4"/>
      <c r="AQ263" s="4"/>
      <c r="AR263" s="4"/>
      <c r="AS263" s="4"/>
      <c r="AT263" s="4"/>
      <c r="AU263" s="4"/>
      <c r="AV263" s="4"/>
      <c r="AW263" s="4"/>
      <c r="AX263" s="4"/>
      <c r="AY263" s="4"/>
      <c r="AZ263" s="4"/>
      <c r="BA263" s="4"/>
      <c r="BB263" s="4"/>
      <c r="BC263" s="5"/>
      <c r="BD263" s="4"/>
      <c r="BE263" s="4"/>
      <c r="BF263" s="4"/>
      <c r="BG263" s="4"/>
      <c r="BH263" s="4"/>
      <c r="BI263" s="4"/>
      <c r="BJ263" s="4"/>
      <c r="BK263" s="4"/>
      <c r="BL263" s="4"/>
      <c r="BM263" s="4"/>
      <c r="BN263" s="4"/>
      <c r="BO263" s="4"/>
      <c r="BP263" s="4"/>
      <c r="BQ263" s="4"/>
      <c r="BR263" s="4"/>
    </row>
    <row r="264" spans="1:70">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4"/>
      <c r="AH264" s="4"/>
      <c r="AI264" s="4"/>
      <c r="AJ264" s="4"/>
      <c r="AK264" s="4"/>
      <c r="AL264" s="4"/>
      <c r="AM264" s="4"/>
      <c r="AN264" s="4"/>
      <c r="AO264" s="4"/>
      <c r="AP264" s="4"/>
      <c r="AQ264" s="4"/>
      <c r="AR264" s="4"/>
      <c r="AS264" s="4"/>
      <c r="AT264" s="4"/>
      <c r="AU264" s="4"/>
      <c r="AV264" s="4"/>
      <c r="AW264" s="4"/>
      <c r="AX264" s="4"/>
      <c r="AY264" s="4"/>
      <c r="AZ264" s="4"/>
      <c r="BA264" s="4"/>
      <c r="BB264" s="4"/>
      <c r="BC264" s="5"/>
      <c r="BD264" s="4"/>
      <c r="BE264" s="4"/>
      <c r="BF264" s="4"/>
      <c r="BG264" s="4"/>
      <c r="BH264" s="4"/>
      <c r="BI264" s="4"/>
      <c r="BJ264" s="4"/>
      <c r="BK264" s="4"/>
      <c r="BL264" s="4"/>
      <c r="BM264" s="4"/>
      <c r="BN264" s="4"/>
      <c r="BO264" s="4"/>
      <c r="BP264" s="4"/>
      <c r="BQ264" s="4"/>
      <c r="BR264" s="4"/>
    </row>
    <row r="265" spans="1:70">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4"/>
      <c r="AH265" s="4"/>
      <c r="AI265" s="4"/>
      <c r="AJ265" s="4"/>
      <c r="AK265" s="4"/>
      <c r="AL265" s="4"/>
      <c r="AM265" s="4"/>
      <c r="AN265" s="4"/>
      <c r="AO265" s="4"/>
      <c r="AP265" s="4"/>
      <c r="AQ265" s="4"/>
      <c r="AR265" s="4"/>
      <c r="AS265" s="4"/>
      <c r="AT265" s="4"/>
      <c r="AU265" s="4"/>
      <c r="AV265" s="4"/>
      <c r="AW265" s="4"/>
      <c r="AX265" s="4"/>
      <c r="AY265" s="4"/>
      <c r="AZ265" s="4"/>
      <c r="BA265" s="4"/>
      <c r="BB265" s="4"/>
      <c r="BC265" s="5"/>
      <c r="BD265" s="4"/>
      <c r="BE265" s="4"/>
      <c r="BF265" s="4"/>
      <c r="BG265" s="4"/>
      <c r="BH265" s="4"/>
      <c r="BI265" s="4"/>
      <c r="BJ265" s="4"/>
      <c r="BK265" s="4"/>
      <c r="BL265" s="4"/>
      <c r="BM265" s="4"/>
      <c r="BN265" s="4"/>
      <c r="BO265" s="4"/>
      <c r="BP265" s="4"/>
      <c r="BQ265" s="4"/>
      <c r="BR265" s="4"/>
    </row>
    <row r="266" spans="1:70">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4"/>
      <c r="AH266" s="4"/>
      <c r="AI266" s="4"/>
      <c r="AJ266" s="4"/>
      <c r="AK266" s="4"/>
      <c r="AL266" s="4"/>
      <c r="AM266" s="4"/>
      <c r="AN266" s="4"/>
      <c r="AO266" s="4"/>
      <c r="AP266" s="4"/>
      <c r="AQ266" s="4"/>
      <c r="AR266" s="4"/>
      <c r="AS266" s="4"/>
      <c r="AT266" s="4"/>
      <c r="AU266" s="4"/>
      <c r="AV266" s="4"/>
      <c r="AW266" s="4"/>
      <c r="AX266" s="4"/>
      <c r="AY266" s="4"/>
      <c r="AZ266" s="4"/>
      <c r="BA266" s="4"/>
      <c r="BB266" s="4"/>
      <c r="BC266" s="5"/>
      <c r="BD266" s="4"/>
      <c r="BE266" s="4"/>
      <c r="BF266" s="4"/>
      <c r="BG266" s="4"/>
      <c r="BH266" s="4"/>
      <c r="BI266" s="4"/>
      <c r="BJ266" s="4"/>
      <c r="BK266" s="4"/>
      <c r="BL266" s="4"/>
      <c r="BM266" s="4"/>
      <c r="BN266" s="4"/>
      <c r="BO266" s="4"/>
      <c r="BP266" s="4"/>
      <c r="BQ266" s="4"/>
      <c r="BR266" s="4"/>
    </row>
    <row r="267" spans="1:70">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4"/>
      <c r="AH267" s="4"/>
      <c r="AI267" s="4"/>
      <c r="AJ267" s="4"/>
      <c r="AK267" s="4"/>
      <c r="AL267" s="4"/>
      <c r="AM267" s="4"/>
      <c r="AN267" s="4"/>
      <c r="AO267" s="4"/>
      <c r="AP267" s="4"/>
      <c r="AQ267" s="4"/>
      <c r="AR267" s="4"/>
      <c r="AS267" s="4"/>
      <c r="AT267" s="4"/>
      <c r="AU267" s="4"/>
      <c r="AV267" s="4"/>
      <c r="AW267" s="4"/>
      <c r="AX267" s="4"/>
      <c r="AY267" s="4"/>
      <c r="AZ267" s="4"/>
      <c r="BA267" s="4"/>
      <c r="BB267" s="4"/>
      <c r="BC267" s="5"/>
      <c r="BD267" s="4"/>
      <c r="BE267" s="4"/>
      <c r="BF267" s="4"/>
      <c r="BG267" s="4"/>
      <c r="BH267" s="4"/>
      <c r="BI267" s="4"/>
      <c r="BJ267" s="4"/>
      <c r="BK267" s="4"/>
      <c r="BL267" s="4"/>
      <c r="BM267" s="4"/>
      <c r="BN267" s="4"/>
      <c r="BO267" s="4"/>
      <c r="BP267" s="4"/>
      <c r="BQ267" s="4"/>
      <c r="BR267" s="4"/>
    </row>
    <row r="268" spans="1:70">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4"/>
      <c r="AH268" s="4"/>
      <c r="AI268" s="4"/>
      <c r="AJ268" s="4"/>
      <c r="AK268" s="4"/>
      <c r="AL268" s="4"/>
      <c r="AM268" s="4"/>
      <c r="AN268" s="4"/>
      <c r="AO268" s="4"/>
      <c r="AP268" s="4"/>
      <c r="AQ268" s="4"/>
      <c r="AR268" s="4"/>
      <c r="AS268" s="4"/>
      <c r="AT268" s="4"/>
      <c r="AU268" s="4"/>
      <c r="AV268" s="4"/>
      <c r="AW268" s="4"/>
      <c r="AX268" s="4"/>
      <c r="AY268" s="4"/>
      <c r="AZ268" s="4"/>
      <c r="BA268" s="4"/>
      <c r="BB268" s="4"/>
      <c r="BC268" s="5"/>
      <c r="BD268" s="4"/>
      <c r="BE268" s="4"/>
      <c r="BF268" s="4"/>
      <c r="BG268" s="4"/>
      <c r="BH268" s="4"/>
      <c r="BI268" s="4"/>
      <c r="BJ268" s="4"/>
      <c r="BK268" s="4"/>
      <c r="BL268" s="4"/>
      <c r="BM268" s="4"/>
      <c r="BN268" s="4"/>
      <c r="BO268" s="4"/>
      <c r="BP268" s="4"/>
      <c r="BQ268" s="4"/>
      <c r="BR268" s="4"/>
    </row>
    <row r="269" spans="1:70">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4"/>
      <c r="AH269" s="4"/>
      <c r="AI269" s="4"/>
      <c r="AJ269" s="4"/>
      <c r="AK269" s="4"/>
      <c r="AL269" s="4"/>
      <c r="AM269" s="4"/>
      <c r="AN269" s="4"/>
      <c r="AO269" s="4"/>
      <c r="AP269" s="4"/>
      <c r="AQ269" s="4"/>
      <c r="AR269" s="4"/>
      <c r="AS269" s="4"/>
      <c r="AT269" s="4"/>
      <c r="AU269" s="4"/>
      <c r="AV269" s="4"/>
      <c r="AW269" s="4"/>
      <c r="AX269" s="4"/>
      <c r="AY269" s="4"/>
      <c r="AZ269" s="4"/>
      <c r="BA269" s="4"/>
      <c r="BB269" s="4"/>
      <c r="BC269" s="5"/>
      <c r="BD269" s="4"/>
      <c r="BE269" s="4"/>
      <c r="BF269" s="4"/>
      <c r="BG269" s="4"/>
      <c r="BH269" s="4"/>
      <c r="BI269" s="4"/>
      <c r="BJ269" s="4"/>
      <c r="BK269" s="4"/>
      <c r="BL269" s="4"/>
      <c r="BM269" s="4"/>
      <c r="BN269" s="4"/>
      <c r="BO269" s="4"/>
      <c r="BP269" s="4"/>
      <c r="BQ269" s="4"/>
      <c r="BR269" s="4"/>
    </row>
    <row r="270" spans="1: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4"/>
      <c r="AH270" s="4"/>
      <c r="AI270" s="4"/>
      <c r="AJ270" s="4"/>
      <c r="AK270" s="4"/>
      <c r="AL270" s="4"/>
      <c r="AM270" s="4"/>
      <c r="AN270" s="4"/>
      <c r="AO270" s="4"/>
      <c r="AP270" s="4"/>
      <c r="AQ270" s="4"/>
      <c r="AR270" s="4"/>
      <c r="AS270" s="4"/>
      <c r="AT270" s="4"/>
      <c r="AU270" s="4"/>
      <c r="AV270" s="4"/>
      <c r="AW270" s="4"/>
      <c r="AX270" s="4"/>
      <c r="AY270" s="4"/>
      <c r="AZ270" s="4"/>
      <c r="BA270" s="4"/>
      <c r="BB270" s="4"/>
      <c r="BC270" s="5"/>
      <c r="BD270" s="4"/>
      <c r="BE270" s="4"/>
      <c r="BF270" s="4"/>
      <c r="BG270" s="4"/>
      <c r="BH270" s="4"/>
      <c r="BI270" s="4"/>
      <c r="BJ270" s="4"/>
      <c r="BK270" s="4"/>
      <c r="BL270" s="4"/>
      <c r="BM270" s="4"/>
      <c r="BN270" s="4"/>
      <c r="BO270" s="4"/>
      <c r="BP270" s="4"/>
      <c r="BQ270" s="4"/>
      <c r="BR270" s="4"/>
    </row>
    <row r="271" spans="1:70">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c r="AG271" s="4"/>
      <c r="AH271" s="4"/>
      <c r="AI271" s="4"/>
      <c r="AJ271" s="4"/>
      <c r="AK271" s="4"/>
      <c r="AL271" s="4"/>
      <c r="AM271" s="4"/>
      <c r="AN271" s="4"/>
      <c r="AO271" s="4"/>
      <c r="AP271" s="4"/>
      <c r="AQ271" s="4"/>
      <c r="AR271" s="4"/>
      <c r="AS271" s="4"/>
      <c r="AT271" s="4"/>
      <c r="AU271" s="4"/>
      <c r="AV271" s="4"/>
      <c r="AW271" s="4"/>
      <c r="AX271" s="4"/>
      <c r="AY271" s="4"/>
      <c r="AZ271" s="4"/>
      <c r="BA271" s="4"/>
      <c r="BB271" s="4"/>
      <c r="BC271" s="5"/>
      <c r="BD271" s="4"/>
      <c r="BE271" s="4"/>
      <c r="BF271" s="4"/>
      <c r="BG271" s="4"/>
      <c r="BH271" s="4"/>
      <c r="BI271" s="4"/>
      <c r="BJ271" s="4"/>
      <c r="BK271" s="4"/>
      <c r="BL271" s="4"/>
      <c r="BM271" s="4"/>
      <c r="BN271" s="4"/>
      <c r="BO271" s="4"/>
      <c r="BP271" s="4"/>
      <c r="BQ271" s="4"/>
      <c r="BR271" s="4"/>
    </row>
    <row r="272" spans="1:70">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c r="AG272" s="4"/>
      <c r="AH272" s="4"/>
      <c r="AI272" s="4"/>
      <c r="AJ272" s="4"/>
      <c r="AK272" s="4"/>
      <c r="AL272" s="4"/>
      <c r="AM272" s="4"/>
      <c r="AN272" s="4"/>
      <c r="AO272" s="4"/>
      <c r="AP272" s="4"/>
      <c r="AQ272" s="4"/>
      <c r="AR272" s="4"/>
      <c r="AS272" s="4"/>
      <c r="AT272" s="4"/>
      <c r="AU272" s="4"/>
      <c r="AV272" s="4"/>
      <c r="AW272" s="4"/>
      <c r="AX272" s="4"/>
      <c r="AY272" s="4"/>
      <c r="AZ272" s="4"/>
      <c r="BA272" s="4"/>
      <c r="BB272" s="4"/>
      <c r="BC272" s="5"/>
      <c r="BD272" s="4"/>
      <c r="BE272" s="4"/>
      <c r="BF272" s="4"/>
      <c r="BG272" s="4"/>
      <c r="BH272" s="4"/>
      <c r="BI272" s="4"/>
      <c r="BJ272" s="4"/>
      <c r="BK272" s="4"/>
      <c r="BL272" s="4"/>
      <c r="BM272" s="4"/>
      <c r="BN272" s="4"/>
      <c r="BO272" s="4"/>
      <c r="BP272" s="4"/>
      <c r="BQ272" s="4"/>
      <c r="BR272" s="4"/>
    </row>
    <row r="273" spans="1:70">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c r="AG273" s="4"/>
      <c r="AH273" s="4"/>
      <c r="AI273" s="4"/>
      <c r="AJ273" s="4"/>
      <c r="AK273" s="4"/>
      <c r="AL273" s="4"/>
      <c r="AM273" s="4"/>
      <c r="AN273" s="4"/>
      <c r="AO273" s="4"/>
      <c r="AP273" s="4"/>
      <c r="AQ273" s="4"/>
      <c r="AR273" s="4"/>
      <c r="AS273" s="4"/>
      <c r="AT273" s="4"/>
      <c r="AU273" s="4"/>
      <c r="AV273" s="4"/>
      <c r="AW273" s="4"/>
      <c r="AX273" s="4"/>
      <c r="AY273" s="4"/>
      <c r="AZ273" s="4"/>
      <c r="BA273" s="4"/>
      <c r="BB273" s="4"/>
      <c r="BC273" s="5"/>
      <c r="BD273" s="4"/>
      <c r="BE273" s="4"/>
      <c r="BF273" s="4"/>
      <c r="BG273" s="4"/>
      <c r="BH273" s="4"/>
      <c r="BI273" s="4"/>
      <c r="BJ273" s="4"/>
      <c r="BK273" s="4"/>
      <c r="BL273" s="4"/>
      <c r="BM273" s="4"/>
      <c r="BN273" s="4"/>
      <c r="BO273" s="4"/>
      <c r="BP273" s="4"/>
      <c r="BQ273" s="4"/>
      <c r="BR273" s="4"/>
    </row>
    <row r="274" spans="1:70">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c r="AG274" s="4"/>
      <c r="AH274" s="4"/>
      <c r="AI274" s="4"/>
      <c r="AJ274" s="4"/>
      <c r="AK274" s="4"/>
      <c r="AL274" s="4"/>
      <c r="AM274" s="4"/>
      <c r="AN274" s="4"/>
      <c r="AO274" s="4"/>
      <c r="AP274" s="4"/>
      <c r="AQ274" s="4"/>
      <c r="AR274" s="4"/>
      <c r="AS274" s="4"/>
      <c r="AT274" s="4"/>
      <c r="AU274" s="4"/>
      <c r="AV274" s="4"/>
      <c r="AW274" s="4"/>
      <c r="AX274" s="4"/>
      <c r="AY274" s="4"/>
      <c r="AZ274" s="4"/>
      <c r="BA274" s="4"/>
      <c r="BB274" s="4"/>
      <c r="BC274" s="5"/>
      <c r="BD274" s="4"/>
      <c r="BE274" s="4"/>
      <c r="BF274" s="4"/>
      <c r="BG274" s="4"/>
      <c r="BH274" s="4"/>
      <c r="BI274" s="4"/>
      <c r="BJ274" s="4"/>
      <c r="BK274" s="4"/>
      <c r="BL274" s="4"/>
      <c r="BM274" s="4"/>
      <c r="BN274" s="4"/>
      <c r="BO274" s="4"/>
      <c r="BP274" s="4"/>
      <c r="BQ274" s="4"/>
      <c r="BR274" s="4"/>
    </row>
    <row r="275" spans="1:70">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4"/>
      <c r="AH275" s="4"/>
      <c r="AI275" s="4"/>
      <c r="AJ275" s="4"/>
      <c r="AK275" s="4"/>
      <c r="AL275" s="4"/>
      <c r="AM275" s="4"/>
      <c r="AN275" s="4"/>
      <c r="AO275" s="4"/>
      <c r="AP275" s="4"/>
      <c r="AQ275" s="4"/>
      <c r="AR275" s="4"/>
      <c r="AS275" s="4"/>
      <c r="AT275" s="4"/>
      <c r="AU275" s="4"/>
      <c r="AV275" s="4"/>
      <c r="AW275" s="4"/>
      <c r="AX275" s="4"/>
      <c r="AY275" s="4"/>
      <c r="AZ275" s="4"/>
      <c r="BA275" s="4"/>
      <c r="BB275" s="4"/>
      <c r="BC275" s="5"/>
      <c r="BD275" s="4"/>
      <c r="BE275" s="4"/>
      <c r="BF275" s="4"/>
      <c r="BG275" s="4"/>
      <c r="BH275" s="4"/>
      <c r="BI275" s="4"/>
      <c r="BJ275" s="4"/>
      <c r="BK275" s="4"/>
      <c r="BL275" s="4"/>
      <c r="BM275" s="4"/>
      <c r="BN275" s="4"/>
      <c r="BO275" s="4"/>
      <c r="BP275" s="4"/>
      <c r="BQ275" s="4"/>
      <c r="BR275" s="4"/>
    </row>
    <row r="276" spans="1:70">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c r="AG276" s="4"/>
      <c r="AH276" s="4"/>
      <c r="AI276" s="4"/>
      <c r="AJ276" s="4"/>
      <c r="AK276" s="4"/>
      <c r="AL276" s="4"/>
      <c r="AM276" s="4"/>
      <c r="AN276" s="4"/>
      <c r="AO276" s="4"/>
      <c r="AP276" s="4"/>
      <c r="AQ276" s="4"/>
      <c r="AR276" s="4"/>
      <c r="AS276" s="4"/>
      <c r="AT276" s="4"/>
      <c r="AU276" s="4"/>
      <c r="AV276" s="4"/>
      <c r="AW276" s="4"/>
      <c r="AX276" s="4"/>
      <c r="AY276" s="4"/>
      <c r="AZ276" s="4"/>
      <c r="BA276" s="4"/>
      <c r="BB276" s="4"/>
      <c r="BC276" s="5"/>
      <c r="BD276" s="4"/>
      <c r="BE276" s="4"/>
      <c r="BF276" s="4"/>
      <c r="BG276" s="4"/>
      <c r="BH276" s="4"/>
      <c r="BI276" s="4"/>
      <c r="BJ276" s="4"/>
      <c r="BK276" s="4"/>
      <c r="BL276" s="4"/>
      <c r="BM276" s="4"/>
      <c r="BN276" s="4"/>
      <c r="BO276" s="4"/>
      <c r="BP276" s="4"/>
      <c r="BQ276" s="4"/>
      <c r="BR276" s="4"/>
    </row>
    <row r="277" spans="1:70">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c r="AG277" s="4"/>
      <c r="AH277" s="4"/>
      <c r="AI277" s="4"/>
      <c r="AJ277" s="4"/>
      <c r="AK277" s="4"/>
      <c r="AL277" s="4"/>
      <c r="AM277" s="4"/>
      <c r="AN277" s="4"/>
      <c r="AO277" s="4"/>
      <c r="AP277" s="4"/>
      <c r="AQ277" s="4"/>
      <c r="AR277" s="4"/>
      <c r="AS277" s="4"/>
      <c r="AT277" s="4"/>
      <c r="AU277" s="4"/>
      <c r="AV277" s="4"/>
      <c r="AW277" s="4"/>
      <c r="AX277" s="4"/>
      <c r="AY277" s="4"/>
      <c r="AZ277" s="4"/>
      <c r="BA277" s="4"/>
      <c r="BB277" s="4"/>
      <c r="BC277" s="5"/>
      <c r="BD277" s="4"/>
      <c r="BE277" s="4"/>
      <c r="BF277" s="4"/>
      <c r="BG277" s="4"/>
      <c r="BH277" s="4"/>
      <c r="BI277" s="4"/>
      <c r="BJ277" s="4"/>
      <c r="BK277" s="4"/>
      <c r="BL277" s="4"/>
      <c r="BM277" s="4"/>
      <c r="BN277" s="4"/>
      <c r="BO277" s="4"/>
      <c r="BP277" s="4"/>
      <c r="BQ277" s="4"/>
      <c r="BR277" s="4"/>
    </row>
    <row r="278" spans="1:70">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4"/>
      <c r="AH278" s="4"/>
      <c r="AI278" s="4"/>
      <c r="AJ278" s="4"/>
      <c r="AK278" s="4"/>
      <c r="AL278" s="4"/>
      <c r="AM278" s="4"/>
      <c r="AN278" s="4"/>
      <c r="AO278" s="4"/>
      <c r="AP278" s="4"/>
      <c r="AQ278" s="4"/>
      <c r="AR278" s="4"/>
      <c r="AS278" s="4"/>
      <c r="AT278" s="4"/>
      <c r="AU278" s="4"/>
      <c r="AV278" s="4"/>
      <c r="AW278" s="4"/>
      <c r="AX278" s="4"/>
      <c r="AY278" s="4"/>
      <c r="AZ278" s="4"/>
      <c r="BA278" s="4"/>
      <c r="BB278" s="4"/>
      <c r="BC278" s="5"/>
      <c r="BD278" s="4"/>
      <c r="BE278" s="4"/>
      <c r="BF278" s="4"/>
      <c r="BG278" s="4"/>
      <c r="BH278" s="4"/>
      <c r="BI278" s="4"/>
      <c r="BJ278" s="4"/>
      <c r="BK278" s="4"/>
      <c r="BL278" s="4"/>
      <c r="BM278" s="4"/>
      <c r="BN278" s="4"/>
      <c r="BO278" s="4"/>
      <c r="BP278" s="4"/>
      <c r="BQ278" s="4"/>
      <c r="BR278" s="4"/>
    </row>
    <row r="279" spans="1:70">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c r="AG279" s="4"/>
      <c r="AH279" s="4"/>
      <c r="AI279" s="4"/>
      <c r="AJ279" s="4"/>
      <c r="AK279" s="4"/>
      <c r="AL279" s="4"/>
      <c r="AM279" s="4"/>
      <c r="AN279" s="4"/>
      <c r="AO279" s="4"/>
      <c r="AP279" s="4"/>
      <c r="AQ279" s="4"/>
      <c r="AR279" s="4"/>
      <c r="AS279" s="4"/>
      <c r="AT279" s="4"/>
      <c r="AU279" s="4"/>
      <c r="AV279" s="4"/>
      <c r="AW279" s="4"/>
      <c r="AX279" s="4"/>
      <c r="AY279" s="4"/>
      <c r="AZ279" s="4"/>
      <c r="BA279" s="4"/>
      <c r="BB279" s="4"/>
      <c r="BC279" s="5"/>
      <c r="BD279" s="4"/>
      <c r="BE279" s="4"/>
      <c r="BF279" s="4"/>
      <c r="BG279" s="4"/>
      <c r="BH279" s="4"/>
      <c r="BI279" s="4"/>
      <c r="BJ279" s="4"/>
      <c r="BK279" s="4"/>
      <c r="BL279" s="4"/>
      <c r="BM279" s="4"/>
      <c r="BN279" s="4"/>
      <c r="BO279" s="4"/>
      <c r="BP279" s="4"/>
      <c r="BQ279" s="4"/>
      <c r="BR279" s="4"/>
    </row>
    <row r="280" spans="1:7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c r="AG280" s="4"/>
      <c r="AH280" s="4"/>
      <c r="AI280" s="4"/>
      <c r="AJ280" s="4"/>
      <c r="AK280" s="4"/>
      <c r="AL280" s="4"/>
      <c r="AM280" s="4"/>
      <c r="AN280" s="4"/>
      <c r="AO280" s="4"/>
      <c r="AP280" s="4"/>
      <c r="AQ280" s="4"/>
      <c r="AR280" s="4"/>
      <c r="AS280" s="4"/>
      <c r="AT280" s="4"/>
      <c r="AU280" s="4"/>
      <c r="AV280" s="4"/>
      <c r="AW280" s="4"/>
      <c r="AX280" s="4"/>
      <c r="AY280" s="4"/>
      <c r="AZ280" s="4"/>
      <c r="BA280" s="4"/>
      <c r="BB280" s="4"/>
      <c r="BC280" s="5"/>
      <c r="BD280" s="4"/>
      <c r="BE280" s="4"/>
      <c r="BF280" s="4"/>
      <c r="BG280" s="4"/>
      <c r="BH280" s="4"/>
      <c r="BI280" s="4"/>
      <c r="BJ280" s="4"/>
      <c r="BK280" s="4"/>
      <c r="BL280" s="4"/>
      <c r="BM280" s="4"/>
      <c r="BN280" s="4"/>
      <c r="BO280" s="4"/>
      <c r="BP280" s="4"/>
      <c r="BQ280" s="4"/>
      <c r="BR280" s="4"/>
    </row>
    <row r="281" spans="1:70">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c r="AG281" s="4"/>
      <c r="AH281" s="4"/>
      <c r="AI281" s="4"/>
      <c r="AJ281" s="4"/>
      <c r="AK281" s="4"/>
      <c r="AL281" s="4"/>
      <c r="AM281" s="4"/>
      <c r="AN281" s="4"/>
      <c r="AO281" s="4"/>
      <c r="AP281" s="4"/>
      <c r="AQ281" s="4"/>
      <c r="AR281" s="4"/>
      <c r="AS281" s="4"/>
      <c r="AT281" s="4"/>
      <c r="AU281" s="4"/>
      <c r="AV281" s="4"/>
      <c r="AW281" s="4"/>
      <c r="AX281" s="4"/>
      <c r="AY281" s="4"/>
      <c r="AZ281" s="4"/>
      <c r="BA281" s="4"/>
      <c r="BB281" s="4"/>
      <c r="BC281" s="5"/>
      <c r="BD281" s="4"/>
      <c r="BE281" s="4"/>
      <c r="BF281" s="4"/>
      <c r="BG281" s="4"/>
      <c r="BH281" s="4"/>
      <c r="BI281" s="4"/>
      <c r="BJ281" s="4"/>
      <c r="BK281" s="4"/>
      <c r="BL281" s="4"/>
      <c r="BM281" s="4"/>
      <c r="BN281" s="4"/>
      <c r="BO281" s="4"/>
      <c r="BP281" s="4"/>
      <c r="BQ281" s="4"/>
      <c r="BR281" s="4"/>
    </row>
    <row r="282" spans="1:70">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c r="AG282" s="4"/>
      <c r="AH282" s="4"/>
      <c r="AI282" s="4"/>
      <c r="AJ282" s="4"/>
      <c r="AK282" s="4"/>
      <c r="AL282" s="4"/>
      <c r="AM282" s="4"/>
      <c r="AN282" s="4"/>
      <c r="AO282" s="4"/>
      <c r="AP282" s="4"/>
      <c r="AQ282" s="4"/>
      <c r="AR282" s="4"/>
      <c r="AS282" s="4"/>
      <c r="AT282" s="4"/>
      <c r="AU282" s="4"/>
      <c r="AV282" s="4"/>
      <c r="AW282" s="4"/>
      <c r="AX282" s="4"/>
      <c r="AY282" s="4"/>
      <c r="AZ282" s="4"/>
      <c r="BA282" s="4"/>
      <c r="BB282" s="4"/>
      <c r="BC282" s="5"/>
      <c r="BD282" s="4"/>
      <c r="BE282" s="4"/>
      <c r="BF282" s="4"/>
      <c r="BG282" s="4"/>
      <c r="BH282" s="4"/>
      <c r="BI282" s="4"/>
      <c r="BJ282" s="4"/>
      <c r="BK282" s="4"/>
      <c r="BL282" s="4"/>
      <c r="BM282" s="4"/>
      <c r="BN282" s="4"/>
      <c r="BO282" s="4"/>
      <c r="BP282" s="4"/>
      <c r="BQ282" s="4"/>
      <c r="BR282" s="4"/>
    </row>
    <row r="283" spans="1:70">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c r="AG283" s="4"/>
      <c r="AH283" s="4"/>
      <c r="AI283" s="4"/>
      <c r="AJ283" s="4"/>
      <c r="AK283" s="4"/>
      <c r="AL283" s="4"/>
      <c r="AM283" s="4"/>
      <c r="AN283" s="4"/>
      <c r="AO283" s="4"/>
      <c r="AP283" s="4"/>
      <c r="AQ283" s="4"/>
      <c r="AR283" s="4"/>
      <c r="AS283" s="4"/>
      <c r="AT283" s="4"/>
      <c r="AU283" s="4"/>
      <c r="AV283" s="4"/>
      <c r="AW283" s="4"/>
      <c r="AX283" s="4"/>
      <c r="AY283" s="4"/>
      <c r="AZ283" s="4"/>
      <c r="BA283" s="4"/>
      <c r="BB283" s="4"/>
      <c r="BC283" s="5"/>
      <c r="BD283" s="4"/>
      <c r="BE283" s="4"/>
      <c r="BF283" s="4"/>
      <c r="BG283" s="4"/>
      <c r="BH283" s="4"/>
      <c r="BI283" s="4"/>
      <c r="BJ283" s="4"/>
      <c r="BK283" s="4"/>
      <c r="BL283" s="4"/>
      <c r="BM283" s="4"/>
      <c r="BN283" s="4"/>
      <c r="BO283" s="4"/>
      <c r="BP283" s="4"/>
      <c r="BQ283" s="4"/>
      <c r="BR283" s="4"/>
    </row>
    <row r="284" spans="1:70">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c r="AG284" s="4"/>
      <c r="AH284" s="4"/>
      <c r="AI284" s="4"/>
      <c r="AJ284" s="4"/>
      <c r="AK284" s="4"/>
      <c r="AL284" s="4"/>
      <c r="AM284" s="4"/>
      <c r="AN284" s="4"/>
      <c r="AO284" s="4"/>
      <c r="AP284" s="4"/>
      <c r="AQ284" s="4"/>
      <c r="AR284" s="4"/>
      <c r="AS284" s="4"/>
      <c r="AT284" s="4"/>
      <c r="AU284" s="4"/>
      <c r="AV284" s="4"/>
      <c r="AW284" s="4"/>
      <c r="AX284" s="4"/>
      <c r="AY284" s="4"/>
      <c r="AZ284" s="4"/>
      <c r="BA284" s="4"/>
      <c r="BB284" s="4"/>
      <c r="BC284" s="5"/>
      <c r="BD284" s="4"/>
      <c r="BE284" s="4"/>
      <c r="BF284" s="4"/>
      <c r="BG284" s="4"/>
      <c r="BH284" s="4"/>
      <c r="BI284" s="4"/>
      <c r="BJ284" s="4"/>
      <c r="BK284" s="4"/>
      <c r="BL284" s="4"/>
      <c r="BM284" s="4"/>
      <c r="BN284" s="4"/>
      <c r="BO284" s="4"/>
      <c r="BP284" s="4"/>
      <c r="BQ284" s="4"/>
      <c r="BR284" s="4"/>
    </row>
    <row r="285" spans="1:70">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c r="AG285" s="4"/>
      <c r="AH285" s="4"/>
      <c r="AI285" s="4"/>
      <c r="AJ285" s="4"/>
      <c r="AK285" s="4"/>
      <c r="AL285" s="4"/>
      <c r="AM285" s="4"/>
      <c r="AN285" s="4"/>
      <c r="AO285" s="4"/>
      <c r="AP285" s="4"/>
      <c r="AQ285" s="4"/>
      <c r="AR285" s="4"/>
      <c r="AS285" s="4"/>
      <c r="AT285" s="4"/>
      <c r="AU285" s="4"/>
      <c r="AV285" s="4"/>
      <c r="AW285" s="4"/>
      <c r="AX285" s="4"/>
      <c r="AY285" s="4"/>
      <c r="AZ285" s="4"/>
      <c r="BA285" s="4"/>
      <c r="BB285" s="4"/>
      <c r="BC285" s="5"/>
      <c r="BD285" s="4"/>
      <c r="BE285" s="4"/>
      <c r="BF285" s="4"/>
      <c r="BG285" s="4"/>
      <c r="BH285" s="4"/>
      <c r="BI285" s="4"/>
      <c r="BJ285" s="4"/>
      <c r="BK285" s="4"/>
      <c r="BL285" s="4"/>
      <c r="BM285" s="4"/>
      <c r="BN285" s="4"/>
      <c r="BO285" s="4"/>
      <c r="BP285" s="4"/>
      <c r="BQ285" s="4"/>
      <c r="BR285" s="4"/>
    </row>
    <row r="286" spans="1:70">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c r="AG286" s="4"/>
      <c r="AH286" s="4"/>
      <c r="AI286" s="4"/>
      <c r="AJ286" s="4"/>
      <c r="AK286" s="4"/>
      <c r="AL286" s="4"/>
      <c r="AM286" s="4"/>
      <c r="AN286" s="4"/>
      <c r="AO286" s="4"/>
      <c r="AP286" s="4"/>
      <c r="AQ286" s="4"/>
      <c r="AR286" s="4"/>
      <c r="AS286" s="4"/>
      <c r="AT286" s="4"/>
      <c r="AU286" s="4"/>
      <c r="AV286" s="4"/>
      <c r="AW286" s="4"/>
      <c r="AX286" s="4"/>
      <c r="AY286" s="4"/>
      <c r="AZ286" s="4"/>
      <c r="BA286" s="4"/>
      <c r="BB286" s="4"/>
      <c r="BC286" s="5"/>
      <c r="BD286" s="4"/>
      <c r="BE286" s="4"/>
      <c r="BF286" s="4"/>
      <c r="BG286" s="4"/>
      <c r="BH286" s="4"/>
      <c r="BI286" s="4"/>
      <c r="BJ286" s="4"/>
      <c r="BK286" s="4"/>
      <c r="BL286" s="4"/>
      <c r="BM286" s="4"/>
      <c r="BN286" s="4"/>
      <c r="BO286" s="4"/>
      <c r="BP286" s="4"/>
      <c r="BQ286" s="4"/>
      <c r="BR286" s="4"/>
    </row>
    <row r="287" spans="1:70">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c r="AG287" s="4"/>
      <c r="AH287" s="4"/>
      <c r="AI287" s="4"/>
      <c r="AJ287" s="4"/>
      <c r="AK287" s="4"/>
      <c r="AL287" s="4"/>
      <c r="AM287" s="4"/>
      <c r="AN287" s="4"/>
      <c r="AO287" s="4"/>
      <c r="AP287" s="4"/>
      <c r="AQ287" s="4"/>
      <c r="AR287" s="4"/>
      <c r="AS287" s="4"/>
      <c r="AT287" s="4"/>
      <c r="AU287" s="4"/>
      <c r="AV287" s="4"/>
      <c r="AW287" s="4"/>
      <c r="AX287" s="4"/>
      <c r="AY287" s="4"/>
      <c r="AZ287" s="4"/>
      <c r="BA287" s="4"/>
      <c r="BB287" s="4"/>
      <c r="BC287" s="5"/>
      <c r="BD287" s="4"/>
      <c r="BE287" s="4"/>
      <c r="BF287" s="4"/>
      <c r="BG287" s="4"/>
      <c r="BH287" s="4"/>
      <c r="BI287" s="4"/>
      <c r="BJ287" s="4"/>
      <c r="BK287" s="4"/>
      <c r="BL287" s="4"/>
      <c r="BM287" s="4"/>
      <c r="BN287" s="4"/>
      <c r="BO287" s="4"/>
      <c r="BP287" s="4"/>
      <c r="BQ287" s="4"/>
      <c r="BR287" s="4"/>
    </row>
    <row r="288" spans="1:70">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c r="AG288" s="4"/>
      <c r="AH288" s="4"/>
      <c r="AI288" s="4"/>
      <c r="AJ288" s="4"/>
      <c r="AK288" s="4"/>
      <c r="AL288" s="4"/>
      <c r="AM288" s="4"/>
      <c r="AN288" s="4"/>
      <c r="AO288" s="4"/>
      <c r="AP288" s="4"/>
      <c r="AQ288" s="4"/>
      <c r="AR288" s="4"/>
      <c r="AS288" s="4"/>
      <c r="AT288" s="4"/>
      <c r="AU288" s="4"/>
      <c r="AV288" s="4"/>
      <c r="AW288" s="4"/>
      <c r="AX288" s="4"/>
      <c r="AY288" s="4"/>
      <c r="AZ288" s="4"/>
      <c r="BA288" s="4"/>
      <c r="BB288" s="4"/>
      <c r="BC288" s="5"/>
      <c r="BD288" s="4"/>
      <c r="BE288" s="4"/>
      <c r="BF288" s="4"/>
      <c r="BG288" s="4"/>
      <c r="BH288" s="4"/>
      <c r="BI288" s="4"/>
      <c r="BJ288" s="4"/>
      <c r="BK288" s="4"/>
      <c r="BL288" s="4"/>
      <c r="BM288" s="4"/>
      <c r="BN288" s="4"/>
      <c r="BO288" s="4"/>
      <c r="BP288" s="4"/>
      <c r="BQ288" s="4"/>
      <c r="BR288" s="4"/>
    </row>
    <row r="289" spans="1:70">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c r="AG289" s="4"/>
      <c r="AH289" s="4"/>
      <c r="AI289" s="4"/>
      <c r="AJ289" s="4"/>
      <c r="AK289" s="4"/>
      <c r="AL289" s="4"/>
      <c r="AM289" s="4"/>
      <c r="AN289" s="4"/>
      <c r="AO289" s="4"/>
      <c r="AP289" s="4"/>
      <c r="AQ289" s="4"/>
      <c r="AR289" s="4"/>
      <c r="AS289" s="4"/>
      <c r="AT289" s="4"/>
      <c r="AU289" s="4"/>
      <c r="AV289" s="4"/>
      <c r="AW289" s="4"/>
      <c r="AX289" s="4"/>
      <c r="AY289" s="4"/>
      <c r="AZ289" s="4"/>
      <c r="BA289" s="4"/>
      <c r="BB289" s="4"/>
      <c r="BC289" s="5"/>
      <c r="BD289" s="4"/>
      <c r="BE289" s="4"/>
      <c r="BF289" s="4"/>
      <c r="BG289" s="4"/>
      <c r="BH289" s="4"/>
      <c r="BI289" s="4"/>
      <c r="BJ289" s="4"/>
      <c r="BK289" s="4"/>
      <c r="BL289" s="4"/>
      <c r="BM289" s="4"/>
      <c r="BN289" s="4"/>
      <c r="BO289" s="4"/>
      <c r="BP289" s="4"/>
      <c r="BQ289" s="4"/>
      <c r="BR289" s="4"/>
    </row>
    <row r="290" spans="1:7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c r="AG290" s="4"/>
      <c r="AH290" s="4"/>
      <c r="AI290" s="4"/>
      <c r="AJ290" s="4"/>
      <c r="AK290" s="4"/>
      <c r="AL290" s="4"/>
      <c r="AM290" s="4"/>
      <c r="AN290" s="4"/>
      <c r="AO290" s="4"/>
      <c r="AP290" s="4"/>
      <c r="AQ290" s="4"/>
      <c r="AR290" s="4"/>
      <c r="AS290" s="4"/>
      <c r="AT290" s="4"/>
      <c r="AU290" s="4"/>
      <c r="AV290" s="4"/>
      <c r="AW290" s="4"/>
      <c r="AX290" s="4"/>
      <c r="AY290" s="4"/>
      <c r="AZ290" s="4"/>
      <c r="BA290" s="4"/>
      <c r="BB290" s="4"/>
      <c r="BC290" s="5"/>
      <c r="BD290" s="4"/>
      <c r="BE290" s="4"/>
      <c r="BF290" s="4"/>
      <c r="BG290" s="4"/>
      <c r="BH290" s="4"/>
      <c r="BI290" s="4"/>
      <c r="BJ290" s="4"/>
      <c r="BK290" s="4"/>
      <c r="BL290" s="4"/>
      <c r="BM290" s="4"/>
      <c r="BN290" s="4"/>
      <c r="BO290" s="4"/>
      <c r="BP290" s="4"/>
      <c r="BQ290" s="4"/>
      <c r="BR290" s="4"/>
    </row>
    <row r="291" spans="1:70">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c r="AG291" s="4"/>
      <c r="AH291" s="4"/>
      <c r="AI291" s="4"/>
      <c r="AJ291" s="4"/>
      <c r="AK291" s="4"/>
      <c r="AL291" s="4"/>
      <c r="AM291" s="4"/>
      <c r="AN291" s="4"/>
      <c r="AO291" s="4"/>
      <c r="AP291" s="4"/>
      <c r="AQ291" s="4"/>
      <c r="AR291" s="4"/>
      <c r="AS291" s="4"/>
      <c r="AT291" s="4"/>
      <c r="AU291" s="4"/>
      <c r="AV291" s="4"/>
      <c r="AW291" s="4"/>
      <c r="AX291" s="4"/>
      <c r="AY291" s="4"/>
      <c r="AZ291" s="4"/>
      <c r="BA291" s="4"/>
      <c r="BB291" s="4"/>
      <c r="BC291" s="5"/>
      <c r="BD291" s="4"/>
      <c r="BE291" s="4"/>
      <c r="BF291" s="4"/>
      <c r="BG291" s="4"/>
      <c r="BH291" s="4"/>
      <c r="BI291" s="4"/>
      <c r="BJ291" s="4"/>
      <c r="BK291" s="4"/>
      <c r="BL291" s="4"/>
      <c r="BM291" s="4"/>
      <c r="BN291" s="4"/>
      <c r="BO291" s="4"/>
      <c r="BP291" s="4"/>
      <c r="BQ291" s="4"/>
      <c r="BR291" s="4"/>
    </row>
    <row r="292" spans="1:70">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c r="AG292" s="4"/>
      <c r="AH292" s="4"/>
      <c r="AI292" s="4"/>
      <c r="AJ292" s="4"/>
      <c r="AK292" s="4"/>
      <c r="AL292" s="4"/>
      <c r="AM292" s="4"/>
      <c r="AN292" s="4"/>
      <c r="AO292" s="4"/>
      <c r="AP292" s="4"/>
      <c r="AQ292" s="4"/>
      <c r="AR292" s="4"/>
      <c r="AS292" s="4"/>
      <c r="AT292" s="4"/>
      <c r="AU292" s="4"/>
      <c r="AV292" s="4"/>
      <c r="AW292" s="4"/>
      <c r="AX292" s="4"/>
      <c r="AY292" s="4"/>
      <c r="AZ292" s="4"/>
      <c r="BA292" s="4"/>
      <c r="BB292" s="4"/>
      <c r="BC292" s="5"/>
      <c r="BD292" s="4"/>
      <c r="BE292" s="4"/>
      <c r="BF292" s="4"/>
      <c r="BG292" s="4"/>
      <c r="BH292" s="4"/>
      <c r="BI292" s="4"/>
      <c r="BJ292" s="4"/>
      <c r="BK292" s="4"/>
      <c r="BL292" s="4"/>
      <c r="BM292" s="4"/>
      <c r="BN292" s="4"/>
      <c r="BO292" s="4"/>
      <c r="BP292" s="4"/>
      <c r="BQ292" s="4"/>
      <c r="BR292" s="4"/>
    </row>
    <row r="293" spans="1:70">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4"/>
      <c r="AH293" s="4"/>
      <c r="AI293" s="4"/>
      <c r="AJ293" s="4"/>
      <c r="AK293" s="4"/>
      <c r="AL293" s="4"/>
      <c r="AM293" s="4"/>
      <c r="AN293" s="4"/>
      <c r="AO293" s="4"/>
      <c r="AP293" s="4"/>
      <c r="AQ293" s="4"/>
      <c r="AR293" s="4"/>
      <c r="AS293" s="4"/>
      <c r="AT293" s="4"/>
      <c r="AU293" s="4"/>
      <c r="AV293" s="4"/>
      <c r="AW293" s="4"/>
      <c r="AX293" s="4"/>
      <c r="AY293" s="4"/>
      <c r="AZ293" s="4"/>
      <c r="BA293" s="4"/>
      <c r="BB293" s="4"/>
      <c r="BC293" s="5"/>
      <c r="BD293" s="4"/>
      <c r="BE293" s="4"/>
      <c r="BF293" s="4"/>
      <c r="BG293" s="4"/>
      <c r="BH293" s="4"/>
      <c r="BI293" s="4"/>
      <c r="BJ293" s="4"/>
      <c r="BK293" s="4"/>
      <c r="BL293" s="4"/>
      <c r="BM293" s="4"/>
      <c r="BN293" s="4"/>
      <c r="BO293" s="4"/>
      <c r="BP293" s="4"/>
      <c r="BQ293" s="4"/>
      <c r="BR293" s="4"/>
    </row>
    <row r="294" spans="1:70">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c r="AG294" s="4"/>
      <c r="AH294" s="4"/>
      <c r="AI294" s="4"/>
      <c r="AJ294" s="4"/>
      <c r="AK294" s="4"/>
      <c r="AL294" s="4"/>
      <c r="AM294" s="4"/>
      <c r="AN294" s="4"/>
      <c r="AO294" s="4"/>
      <c r="AP294" s="4"/>
      <c r="AQ294" s="4"/>
      <c r="AR294" s="4"/>
      <c r="AS294" s="4"/>
      <c r="AT294" s="4"/>
      <c r="AU294" s="4"/>
      <c r="AV294" s="4"/>
      <c r="AW294" s="4"/>
      <c r="AX294" s="4"/>
      <c r="AY294" s="4"/>
      <c r="AZ294" s="4"/>
      <c r="BA294" s="4"/>
      <c r="BB294" s="4"/>
      <c r="BC294" s="5"/>
      <c r="BD294" s="4"/>
      <c r="BE294" s="4"/>
      <c r="BF294" s="4"/>
      <c r="BG294" s="4"/>
      <c r="BH294" s="4"/>
      <c r="BI294" s="4"/>
      <c r="BJ294" s="4"/>
      <c r="BK294" s="4"/>
      <c r="BL294" s="4"/>
      <c r="BM294" s="4"/>
      <c r="BN294" s="4"/>
      <c r="BO294" s="4"/>
      <c r="BP294" s="4"/>
      <c r="BQ294" s="4"/>
      <c r="BR294" s="4"/>
    </row>
    <row r="295" spans="1:70">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c r="AG295" s="4"/>
      <c r="AH295" s="4"/>
      <c r="AI295" s="4"/>
      <c r="AJ295" s="4"/>
      <c r="AK295" s="4"/>
      <c r="AL295" s="4"/>
      <c r="AM295" s="4"/>
      <c r="AN295" s="4"/>
      <c r="AO295" s="4"/>
      <c r="AP295" s="4"/>
      <c r="AQ295" s="4"/>
      <c r="AR295" s="4"/>
      <c r="AS295" s="4"/>
      <c r="AT295" s="4"/>
      <c r="AU295" s="4"/>
      <c r="AV295" s="4"/>
      <c r="AW295" s="4"/>
      <c r="AX295" s="4"/>
      <c r="AY295" s="4"/>
      <c r="AZ295" s="4"/>
      <c r="BA295" s="4"/>
      <c r="BB295" s="4"/>
      <c r="BC295" s="5"/>
      <c r="BD295" s="4"/>
      <c r="BE295" s="4"/>
      <c r="BF295" s="4"/>
      <c r="BG295" s="4"/>
      <c r="BH295" s="4"/>
      <c r="BI295" s="4"/>
      <c r="BJ295" s="4"/>
      <c r="BK295" s="4"/>
      <c r="BL295" s="4"/>
      <c r="BM295" s="4"/>
      <c r="BN295" s="4"/>
      <c r="BO295" s="4"/>
      <c r="BP295" s="4"/>
      <c r="BQ295" s="4"/>
      <c r="BR295" s="4"/>
    </row>
    <row r="296" spans="1:70">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c r="AG296" s="4"/>
      <c r="AH296" s="4"/>
      <c r="AI296" s="4"/>
      <c r="AJ296" s="4"/>
      <c r="AK296" s="4"/>
      <c r="AL296" s="4"/>
      <c r="AM296" s="4"/>
      <c r="AN296" s="4"/>
      <c r="AO296" s="4"/>
      <c r="AP296" s="4"/>
      <c r="AQ296" s="4"/>
      <c r="AR296" s="4"/>
      <c r="AS296" s="4"/>
      <c r="AT296" s="4"/>
      <c r="AU296" s="4"/>
      <c r="AV296" s="4"/>
      <c r="AW296" s="4"/>
      <c r="AX296" s="4"/>
      <c r="AY296" s="4"/>
      <c r="AZ296" s="4"/>
      <c r="BA296" s="4"/>
      <c r="BB296" s="4"/>
      <c r="BC296" s="5"/>
      <c r="BD296" s="4"/>
      <c r="BE296" s="4"/>
      <c r="BF296" s="4"/>
      <c r="BG296" s="4"/>
      <c r="BH296" s="4"/>
      <c r="BI296" s="4"/>
      <c r="BJ296" s="4"/>
      <c r="BK296" s="4"/>
      <c r="BL296" s="4"/>
      <c r="BM296" s="4"/>
      <c r="BN296" s="4"/>
      <c r="BO296" s="4"/>
      <c r="BP296" s="4"/>
      <c r="BQ296" s="4"/>
      <c r="BR296" s="4"/>
    </row>
    <row r="297" spans="1:70">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c r="AG297" s="4"/>
      <c r="AH297" s="4"/>
      <c r="AI297" s="4"/>
      <c r="AJ297" s="4"/>
      <c r="AK297" s="4"/>
      <c r="AL297" s="4"/>
      <c r="AM297" s="4"/>
      <c r="AN297" s="4"/>
      <c r="AO297" s="4"/>
      <c r="AP297" s="4"/>
      <c r="AQ297" s="4"/>
      <c r="AR297" s="4"/>
      <c r="AS297" s="4"/>
      <c r="AT297" s="4"/>
      <c r="AU297" s="4"/>
      <c r="AV297" s="4"/>
      <c r="AW297" s="4"/>
      <c r="AX297" s="4"/>
      <c r="AY297" s="4"/>
      <c r="AZ297" s="4"/>
      <c r="BA297" s="4"/>
      <c r="BB297" s="4"/>
      <c r="BC297" s="5"/>
      <c r="BD297" s="4"/>
      <c r="BE297" s="4"/>
      <c r="BF297" s="4"/>
      <c r="BG297" s="4"/>
      <c r="BH297" s="4"/>
      <c r="BI297" s="4"/>
      <c r="BJ297" s="4"/>
      <c r="BK297" s="4"/>
      <c r="BL297" s="4"/>
      <c r="BM297" s="4"/>
      <c r="BN297" s="4"/>
      <c r="BO297" s="4"/>
      <c r="BP297" s="4"/>
      <c r="BQ297" s="4"/>
      <c r="BR297" s="4"/>
    </row>
    <row r="298" spans="1:70">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c r="AG298" s="4"/>
      <c r="AH298" s="4"/>
      <c r="AI298" s="4"/>
      <c r="AJ298" s="4"/>
      <c r="AK298" s="4"/>
      <c r="AL298" s="4"/>
      <c r="AM298" s="4"/>
      <c r="AN298" s="4"/>
      <c r="AO298" s="4"/>
      <c r="AP298" s="4"/>
      <c r="AQ298" s="4"/>
      <c r="AR298" s="4"/>
      <c r="AS298" s="4"/>
      <c r="AT298" s="4"/>
      <c r="AU298" s="4"/>
      <c r="AV298" s="4"/>
      <c r="AW298" s="4"/>
      <c r="AX298" s="4"/>
      <c r="AY298" s="4"/>
      <c r="AZ298" s="4"/>
      <c r="BA298" s="4"/>
      <c r="BB298" s="4"/>
      <c r="BC298" s="5"/>
      <c r="BD298" s="4"/>
      <c r="BE298" s="4"/>
      <c r="BF298" s="4"/>
      <c r="BG298" s="4"/>
      <c r="BH298" s="4"/>
      <c r="BI298" s="4"/>
      <c r="BJ298" s="4"/>
      <c r="BK298" s="4"/>
      <c r="BL298" s="4"/>
      <c r="BM298" s="4"/>
      <c r="BN298" s="4"/>
      <c r="BO298" s="4"/>
      <c r="BP298" s="4"/>
      <c r="BQ298" s="4"/>
      <c r="BR298" s="4"/>
    </row>
    <row r="299" spans="1:70">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c r="AG299" s="4"/>
      <c r="AH299" s="4"/>
      <c r="AI299" s="4"/>
      <c r="AJ299" s="4"/>
      <c r="AK299" s="4"/>
      <c r="AL299" s="4"/>
      <c r="AM299" s="4"/>
      <c r="AN299" s="4"/>
      <c r="AO299" s="4"/>
      <c r="AP299" s="4"/>
      <c r="AQ299" s="4"/>
      <c r="AR299" s="4"/>
      <c r="AS299" s="4"/>
      <c r="AT299" s="4"/>
      <c r="AU299" s="4"/>
      <c r="AV299" s="4"/>
      <c r="AW299" s="4"/>
      <c r="AX299" s="4"/>
      <c r="AY299" s="4"/>
      <c r="AZ299" s="4"/>
      <c r="BA299" s="4"/>
      <c r="BB299" s="4"/>
      <c r="BC299" s="5"/>
      <c r="BD299" s="4"/>
      <c r="BE299" s="4"/>
      <c r="BF299" s="4"/>
      <c r="BG299" s="4"/>
      <c r="BH299" s="4"/>
      <c r="BI299" s="4"/>
      <c r="BJ299" s="4"/>
      <c r="BK299" s="4"/>
      <c r="BL299" s="4"/>
      <c r="BM299" s="4"/>
      <c r="BN299" s="4"/>
      <c r="BO299" s="4"/>
      <c r="BP299" s="4"/>
      <c r="BQ299" s="4"/>
      <c r="BR299" s="4"/>
    </row>
    <row r="300" spans="1:7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c r="AG300" s="4"/>
      <c r="AH300" s="4"/>
      <c r="AI300" s="4"/>
      <c r="AJ300" s="4"/>
      <c r="AK300" s="4"/>
      <c r="AL300" s="4"/>
      <c r="AM300" s="4"/>
      <c r="AN300" s="4"/>
      <c r="AO300" s="4"/>
      <c r="AP300" s="4"/>
      <c r="AQ300" s="4"/>
      <c r="AR300" s="4"/>
      <c r="AS300" s="4"/>
      <c r="AT300" s="4"/>
      <c r="AU300" s="4"/>
      <c r="AV300" s="4"/>
      <c r="AW300" s="4"/>
      <c r="AX300" s="4"/>
      <c r="AY300" s="4"/>
      <c r="AZ300" s="4"/>
      <c r="BA300" s="4"/>
      <c r="BB300" s="4"/>
      <c r="BC300" s="5"/>
      <c r="BD300" s="4"/>
      <c r="BE300" s="4"/>
      <c r="BF300" s="4"/>
      <c r="BG300" s="4"/>
      <c r="BH300" s="4"/>
      <c r="BI300" s="4"/>
      <c r="BJ300" s="4"/>
      <c r="BK300" s="4"/>
      <c r="BL300" s="4"/>
      <c r="BM300" s="4"/>
      <c r="BN300" s="4"/>
      <c r="BO300" s="4"/>
      <c r="BP300" s="4"/>
      <c r="BQ300" s="4"/>
      <c r="BR300" s="4"/>
    </row>
    <row r="301" spans="1:70">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c r="AG301" s="4"/>
      <c r="AH301" s="4"/>
      <c r="AI301" s="4"/>
      <c r="AJ301" s="4"/>
      <c r="AK301" s="4"/>
      <c r="AL301" s="4"/>
      <c r="AM301" s="4"/>
      <c r="AN301" s="4"/>
      <c r="AO301" s="4"/>
      <c r="AP301" s="4"/>
      <c r="AQ301" s="4"/>
      <c r="AR301" s="4"/>
      <c r="AS301" s="4"/>
      <c r="AT301" s="4"/>
      <c r="AU301" s="4"/>
      <c r="AV301" s="4"/>
      <c r="AW301" s="4"/>
      <c r="AX301" s="4"/>
      <c r="AY301" s="4"/>
      <c r="AZ301" s="4"/>
      <c r="BA301" s="4"/>
      <c r="BB301" s="4"/>
      <c r="BC301" s="5"/>
      <c r="BD301" s="4"/>
      <c r="BE301" s="4"/>
      <c r="BF301" s="4"/>
      <c r="BG301" s="4"/>
      <c r="BH301" s="4"/>
      <c r="BI301" s="4"/>
      <c r="BJ301" s="4"/>
      <c r="BK301" s="4"/>
      <c r="BL301" s="4"/>
      <c r="BM301" s="4"/>
      <c r="BN301" s="4"/>
      <c r="BO301" s="4"/>
      <c r="BP301" s="4"/>
      <c r="BQ301" s="4"/>
      <c r="BR301" s="4"/>
    </row>
    <row r="302" spans="1:70">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c r="AG302" s="4"/>
      <c r="AH302" s="4"/>
      <c r="AI302" s="4"/>
      <c r="AJ302" s="4"/>
      <c r="AK302" s="4"/>
      <c r="AL302" s="4"/>
      <c r="AM302" s="4"/>
      <c r="AN302" s="4"/>
      <c r="AO302" s="4"/>
      <c r="AP302" s="4"/>
      <c r="AQ302" s="4"/>
      <c r="AR302" s="4"/>
      <c r="AS302" s="4"/>
      <c r="AT302" s="4"/>
      <c r="AU302" s="4"/>
      <c r="AV302" s="4"/>
      <c r="AW302" s="4"/>
      <c r="AX302" s="4"/>
      <c r="AY302" s="4"/>
      <c r="AZ302" s="4"/>
      <c r="BA302" s="4"/>
      <c r="BB302" s="4"/>
      <c r="BC302" s="5"/>
      <c r="BD302" s="4"/>
      <c r="BE302" s="4"/>
      <c r="BF302" s="4"/>
      <c r="BG302" s="4"/>
      <c r="BH302" s="4"/>
      <c r="BI302" s="4"/>
      <c r="BJ302" s="4"/>
      <c r="BK302" s="4"/>
      <c r="BL302" s="4"/>
      <c r="BM302" s="4"/>
      <c r="BN302" s="4"/>
      <c r="BO302" s="4"/>
      <c r="BP302" s="4"/>
      <c r="BQ302" s="4"/>
      <c r="BR302" s="4"/>
    </row>
    <row r="303" spans="1:70">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c r="AG303" s="4"/>
      <c r="AH303" s="4"/>
      <c r="AI303" s="4"/>
      <c r="AJ303" s="4"/>
      <c r="AK303" s="4"/>
      <c r="AL303" s="4"/>
      <c r="AM303" s="4"/>
      <c r="AN303" s="4"/>
      <c r="AO303" s="4"/>
      <c r="AP303" s="4"/>
      <c r="AQ303" s="4"/>
      <c r="AR303" s="4"/>
      <c r="AS303" s="4"/>
      <c r="AT303" s="4"/>
      <c r="AU303" s="4"/>
      <c r="AV303" s="4"/>
      <c r="AW303" s="4"/>
      <c r="AX303" s="4"/>
      <c r="AY303" s="4"/>
      <c r="AZ303" s="4"/>
      <c r="BA303" s="4"/>
      <c r="BB303" s="4"/>
      <c r="BC303" s="5"/>
      <c r="BD303" s="4"/>
      <c r="BE303" s="4"/>
      <c r="BF303" s="4"/>
      <c r="BG303" s="4"/>
      <c r="BH303" s="4"/>
      <c r="BI303" s="4"/>
      <c r="BJ303" s="4"/>
      <c r="BK303" s="4"/>
      <c r="BL303" s="4"/>
      <c r="BM303" s="4"/>
      <c r="BN303" s="4"/>
      <c r="BO303" s="4"/>
      <c r="BP303" s="4"/>
      <c r="BQ303" s="4"/>
      <c r="BR303" s="4"/>
    </row>
    <row r="304" spans="1:70">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4"/>
      <c r="AH304" s="4"/>
      <c r="AI304" s="4"/>
      <c r="AJ304" s="4"/>
      <c r="AK304" s="4"/>
      <c r="AL304" s="4"/>
      <c r="AM304" s="4"/>
      <c r="AN304" s="4"/>
      <c r="AO304" s="4"/>
      <c r="AP304" s="4"/>
      <c r="AQ304" s="4"/>
      <c r="AR304" s="4"/>
      <c r="AS304" s="4"/>
      <c r="AT304" s="4"/>
      <c r="AU304" s="4"/>
      <c r="AV304" s="4"/>
      <c r="AW304" s="4"/>
      <c r="AX304" s="4"/>
      <c r="AY304" s="4"/>
      <c r="AZ304" s="4"/>
      <c r="BA304" s="4"/>
      <c r="BB304" s="4"/>
      <c r="BC304" s="5"/>
      <c r="BD304" s="4"/>
      <c r="BE304" s="4"/>
      <c r="BF304" s="4"/>
      <c r="BG304" s="4"/>
      <c r="BH304" s="4"/>
      <c r="BI304" s="4"/>
      <c r="BJ304" s="4"/>
      <c r="BK304" s="4"/>
      <c r="BL304" s="4"/>
      <c r="BM304" s="4"/>
      <c r="BN304" s="4"/>
      <c r="BO304" s="4"/>
      <c r="BP304" s="4"/>
      <c r="BQ304" s="4"/>
      <c r="BR304" s="4"/>
    </row>
    <row r="305" spans="1:70">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c r="AG305" s="4"/>
      <c r="AH305" s="4"/>
      <c r="AI305" s="4"/>
      <c r="AJ305" s="4"/>
      <c r="AK305" s="4"/>
      <c r="AL305" s="4"/>
      <c r="AM305" s="4"/>
      <c r="AN305" s="4"/>
      <c r="AO305" s="4"/>
      <c r="AP305" s="4"/>
      <c r="AQ305" s="4"/>
      <c r="AR305" s="4"/>
      <c r="AS305" s="4"/>
      <c r="AT305" s="4"/>
      <c r="AU305" s="4"/>
      <c r="AV305" s="4"/>
      <c r="AW305" s="4"/>
      <c r="AX305" s="4"/>
      <c r="AY305" s="4"/>
      <c r="AZ305" s="4"/>
      <c r="BA305" s="4"/>
      <c r="BB305" s="4"/>
      <c r="BC305" s="5"/>
      <c r="BD305" s="4"/>
      <c r="BE305" s="4"/>
      <c r="BF305" s="4"/>
      <c r="BG305" s="4"/>
      <c r="BH305" s="4"/>
      <c r="BI305" s="4"/>
      <c r="BJ305" s="4"/>
      <c r="BK305" s="4"/>
      <c r="BL305" s="4"/>
      <c r="BM305" s="4"/>
      <c r="BN305" s="4"/>
      <c r="BO305" s="4"/>
      <c r="BP305" s="4"/>
      <c r="BQ305" s="4"/>
      <c r="BR305" s="4"/>
    </row>
    <row r="306" spans="1:70">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4"/>
      <c r="AH306" s="4"/>
      <c r="AI306" s="4"/>
      <c r="AJ306" s="4"/>
      <c r="AK306" s="4"/>
      <c r="AL306" s="4"/>
      <c r="AM306" s="4"/>
      <c r="AN306" s="4"/>
      <c r="AO306" s="4"/>
      <c r="AP306" s="4"/>
      <c r="AQ306" s="4"/>
      <c r="AR306" s="4"/>
      <c r="AS306" s="4"/>
      <c r="AT306" s="4"/>
      <c r="AU306" s="4"/>
      <c r="AV306" s="4"/>
      <c r="AW306" s="4"/>
      <c r="AX306" s="4"/>
      <c r="AY306" s="4"/>
      <c r="AZ306" s="4"/>
      <c r="BA306" s="4"/>
      <c r="BB306" s="4"/>
      <c r="BC306" s="5"/>
      <c r="BD306" s="4"/>
      <c r="BE306" s="4"/>
      <c r="BF306" s="4"/>
      <c r="BG306" s="4"/>
      <c r="BH306" s="4"/>
      <c r="BI306" s="4"/>
      <c r="BJ306" s="4"/>
      <c r="BK306" s="4"/>
      <c r="BL306" s="4"/>
      <c r="BM306" s="4"/>
      <c r="BN306" s="4"/>
      <c r="BO306" s="4"/>
      <c r="BP306" s="4"/>
      <c r="BQ306" s="4"/>
      <c r="BR306" s="4"/>
    </row>
    <row r="307" spans="1:70">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c r="AG307" s="4"/>
      <c r="AH307" s="4"/>
      <c r="AI307" s="4"/>
      <c r="AJ307" s="4"/>
      <c r="AK307" s="4"/>
      <c r="AL307" s="4"/>
      <c r="AM307" s="4"/>
      <c r="AN307" s="4"/>
      <c r="AO307" s="4"/>
      <c r="AP307" s="4"/>
      <c r="AQ307" s="4"/>
      <c r="AR307" s="4"/>
      <c r="AS307" s="4"/>
      <c r="AT307" s="4"/>
      <c r="AU307" s="4"/>
      <c r="AV307" s="4"/>
      <c r="AW307" s="4"/>
      <c r="AX307" s="4"/>
      <c r="AY307" s="4"/>
      <c r="AZ307" s="4"/>
      <c r="BA307" s="4"/>
      <c r="BB307" s="4"/>
      <c r="BC307" s="5"/>
      <c r="BD307" s="4"/>
      <c r="BE307" s="4"/>
      <c r="BF307" s="4"/>
      <c r="BG307" s="4"/>
      <c r="BH307" s="4"/>
      <c r="BI307" s="4"/>
      <c r="BJ307" s="4"/>
      <c r="BK307" s="4"/>
      <c r="BL307" s="4"/>
      <c r="BM307" s="4"/>
      <c r="BN307" s="4"/>
      <c r="BO307" s="4"/>
      <c r="BP307" s="4"/>
      <c r="BQ307" s="4"/>
      <c r="BR307" s="4"/>
    </row>
    <row r="308" spans="1:70">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c r="AG308" s="4"/>
      <c r="AH308" s="4"/>
      <c r="AI308" s="4"/>
      <c r="AJ308" s="4"/>
      <c r="AK308" s="4"/>
      <c r="AL308" s="4"/>
      <c r="AM308" s="4"/>
      <c r="AN308" s="4"/>
      <c r="AO308" s="4"/>
      <c r="AP308" s="4"/>
      <c r="AQ308" s="4"/>
      <c r="AR308" s="4"/>
      <c r="AS308" s="4"/>
      <c r="AT308" s="4"/>
      <c r="AU308" s="4"/>
      <c r="AV308" s="4"/>
      <c r="AW308" s="4"/>
      <c r="AX308" s="4"/>
      <c r="AY308" s="4"/>
      <c r="AZ308" s="4"/>
      <c r="BA308" s="4"/>
      <c r="BB308" s="4"/>
      <c r="BC308" s="5"/>
      <c r="BD308" s="4"/>
      <c r="BE308" s="4"/>
      <c r="BF308" s="4"/>
      <c r="BG308" s="4"/>
      <c r="BH308" s="4"/>
      <c r="BI308" s="4"/>
      <c r="BJ308" s="4"/>
      <c r="BK308" s="4"/>
      <c r="BL308" s="4"/>
      <c r="BM308" s="4"/>
      <c r="BN308" s="4"/>
      <c r="BO308" s="4"/>
      <c r="BP308" s="4"/>
      <c r="BQ308" s="4"/>
      <c r="BR308" s="4"/>
    </row>
    <row r="309" spans="1:70">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c r="AG309" s="4"/>
      <c r="AH309" s="4"/>
      <c r="AI309" s="4"/>
      <c r="AJ309" s="4"/>
      <c r="AK309" s="4"/>
      <c r="AL309" s="4"/>
      <c r="AM309" s="4"/>
      <c r="AN309" s="4"/>
      <c r="AO309" s="4"/>
      <c r="AP309" s="4"/>
      <c r="AQ309" s="4"/>
      <c r="AR309" s="4"/>
      <c r="AS309" s="4"/>
      <c r="AT309" s="4"/>
      <c r="AU309" s="4"/>
      <c r="AV309" s="4"/>
      <c r="AW309" s="4"/>
      <c r="AX309" s="4"/>
      <c r="AY309" s="4"/>
      <c r="AZ309" s="4"/>
      <c r="BA309" s="4"/>
      <c r="BB309" s="4"/>
      <c r="BC309" s="5"/>
      <c r="BD309" s="4"/>
      <c r="BE309" s="4"/>
      <c r="BF309" s="4"/>
      <c r="BG309" s="4"/>
      <c r="BH309" s="4"/>
      <c r="BI309" s="4"/>
      <c r="BJ309" s="4"/>
      <c r="BK309" s="4"/>
      <c r="BL309" s="4"/>
      <c r="BM309" s="4"/>
      <c r="BN309" s="4"/>
      <c r="BO309" s="4"/>
      <c r="BP309" s="4"/>
      <c r="BQ309" s="4"/>
      <c r="BR309" s="4"/>
    </row>
    <row r="310" spans="1:7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4"/>
      <c r="AH310" s="4"/>
      <c r="AI310" s="4"/>
      <c r="AJ310" s="4"/>
      <c r="AK310" s="4"/>
      <c r="AL310" s="4"/>
      <c r="AM310" s="4"/>
      <c r="AN310" s="4"/>
      <c r="AO310" s="4"/>
      <c r="AP310" s="4"/>
      <c r="AQ310" s="4"/>
      <c r="AR310" s="4"/>
      <c r="AS310" s="4"/>
      <c r="AT310" s="4"/>
      <c r="AU310" s="4"/>
      <c r="AV310" s="4"/>
      <c r="AW310" s="4"/>
      <c r="AX310" s="4"/>
      <c r="AY310" s="4"/>
      <c r="AZ310" s="4"/>
      <c r="BA310" s="4"/>
      <c r="BB310" s="4"/>
      <c r="BC310" s="5"/>
      <c r="BD310" s="4"/>
      <c r="BE310" s="4"/>
      <c r="BF310" s="4"/>
      <c r="BG310" s="4"/>
      <c r="BH310" s="4"/>
      <c r="BI310" s="4"/>
      <c r="BJ310" s="4"/>
      <c r="BK310" s="4"/>
      <c r="BL310" s="4"/>
      <c r="BM310" s="4"/>
      <c r="BN310" s="4"/>
      <c r="BO310" s="4"/>
      <c r="BP310" s="4"/>
      <c r="BQ310" s="4"/>
      <c r="BR310" s="4"/>
    </row>
    <row r="311" spans="1:70">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c r="AG311" s="4"/>
      <c r="AH311" s="4"/>
      <c r="AI311" s="4"/>
      <c r="AJ311" s="4"/>
      <c r="AK311" s="4"/>
      <c r="AL311" s="4"/>
      <c r="AM311" s="4"/>
      <c r="AN311" s="4"/>
      <c r="AO311" s="4"/>
      <c r="AP311" s="4"/>
      <c r="AQ311" s="4"/>
      <c r="AR311" s="4"/>
      <c r="AS311" s="4"/>
      <c r="AT311" s="4"/>
      <c r="AU311" s="4"/>
      <c r="AV311" s="4"/>
      <c r="AW311" s="4"/>
      <c r="AX311" s="4"/>
      <c r="AY311" s="4"/>
      <c r="AZ311" s="4"/>
      <c r="BA311" s="4"/>
      <c r="BB311" s="4"/>
      <c r="BC311" s="5"/>
      <c r="BD311" s="4"/>
      <c r="BE311" s="4"/>
      <c r="BF311" s="4"/>
      <c r="BG311" s="4"/>
      <c r="BH311" s="4"/>
      <c r="BI311" s="4"/>
      <c r="BJ311" s="4"/>
      <c r="BK311" s="4"/>
      <c r="BL311" s="4"/>
      <c r="BM311" s="4"/>
      <c r="BN311" s="4"/>
      <c r="BO311" s="4"/>
      <c r="BP311" s="4"/>
      <c r="BQ311" s="4"/>
      <c r="BR311" s="4"/>
    </row>
    <row r="312" spans="1:70">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4"/>
      <c r="AH312" s="4"/>
      <c r="AI312" s="4"/>
      <c r="AJ312" s="4"/>
      <c r="AK312" s="4"/>
      <c r="AL312" s="4"/>
      <c r="AM312" s="4"/>
      <c r="AN312" s="4"/>
      <c r="AO312" s="4"/>
      <c r="AP312" s="4"/>
      <c r="AQ312" s="4"/>
      <c r="AR312" s="4"/>
      <c r="AS312" s="4"/>
      <c r="AT312" s="4"/>
      <c r="AU312" s="4"/>
      <c r="AV312" s="4"/>
      <c r="AW312" s="4"/>
      <c r="AX312" s="4"/>
      <c r="AY312" s="4"/>
      <c r="AZ312" s="4"/>
      <c r="BA312" s="4"/>
      <c r="BB312" s="4"/>
      <c r="BC312" s="5"/>
      <c r="BD312" s="4"/>
      <c r="BE312" s="4"/>
      <c r="BF312" s="4"/>
      <c r="BG312" s="4"/>
      <c r="BH312" s="4"/>
      <c r="BI312" s="4"/>
      <c r="BJ312" s="4"/>
      <c r="BK312" s="4"/>
      <c r="BL312" s="4"/>
      <c r="BM312" s="4"/>
      <c r="BN312" s="4"/>
      <c r="BO312" s="4"/>
      <c r="BP312" s="4"/>
      <c r="BQ312" s="4"/>
      <c r="BR312" s="4"/>
    </row>
    <row r="313" spans="1:70">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c r="AG313" s="4"/>
      <c r="AH313" s="4"/>
      <c r="AI313" s="4"/>
      <c r="AJ313" s="4"/>
      <c r="AK313" s="4"/>
      <c r="AL313" s="4"/>
      <c r="AM313" s="4"/>
      <c r="AN313" s="4"/>
      <c r="AO313" s="4"/>
      <c r="AP313" s="4"/>
      <c r="AQ313" s="4"/>
      <c r="AR313" s="4"/>
      <c r="AS313" s="4"/>
      <c r="AT313" s="4"/>
      <c r="AU313" s="4"/>
      <c r="AV313" s="4"/>
      <c r="AW313" s="4"/>
      <c r="AX313" s="4"/>
      <c r="AY313" s="4"/>
      <c r="AZ313" s="4"/>
      <c r="BA313" s="4"/>
      <c r="BB313" s="4"/>
      <c r="BC313" s="5"/>
      <c r="BD313" s="4"/>
      <c r="BE313" s="4"/>
      <c r="BF313" s="4"/>
      <c r="BG313" s="4"/>
      <c r="BH313" s="4"/>
      <c r="BI313" s="4"/>
      <c r="BJ313" s="4"/>
      <c r="BK313" s="4"/>
      <c r="BL313" s="4"/>
      <c r="BM313" s="4"/>
      <c r="BN313" s="4"/>
      <c r="BO313" s="4"/>
      <c r="BP313" s="4"/>
      <c r="BQ313" s="4"/>
      <c r="BR313" s="4"/>
    </row>
    <row r="314" spans="1:70">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c r="AG314" s="4"/>
      <c r="AH314" s="4"/>
      <c r="AI314" s="4"/>
      <c r="AJ314" s="4"/>
      <c r="AK314" s="4"/>
      <c r="AL314" s="4"/>
      <c r="AM314" s="4"/>
      <c r="AN314" s="4"/>
      <c r="AO314" s="4"/>
      <c r="AP314" s="4"/>
      <c r="AQ314" s="4"/>
      <c r="AR314" s="4"/>
      <c r="AS314" s="4"/>
      <c r="AT314" s="4"/>
      <c r="AU314" s="4"/>
      <c r="AV314" s="4"/>
      <c r="AW314" s="4"/>
      <c r="AX314" s="4"/>
      <c r="AY314" s="4"/>
      <c r="AZ314" s="4"/>
      <c r="BA314" s="4"/>
      <c r="BB314" s="4"/>
      <c r="BC314" s="5"/>
      <c r="BD314" s="4"/>
      <c r="BE314" s="4"/>
      <c r="BF314" s="4"/>
      <c r="BG314" s="4"/>
      <c r="BH314" s="4"/>
      <c r="BI314" s="4"/>
      <c r="BJ314" s="4"/>
      <c r="BK314" s="4"/>
      <c r="BL314" s="4"/>
      <c r="BM314" s="4"/>
      <c r="BN314" s="4"/>
      <c r="BO314" s="4"/>
      <c r="BP314" s="4"/>
      <c r="BQ314" s="4"/>
      <c r="BR314" s="4"/>
    </row>
    <row r="315" spans="1:70">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c r="AG315" s="4"/>
      <c r="AH315" s="4"/>
      <c r="AI315" s="4"/>
      <c r="AJ315" s="4"/>
      <c r="AK315" s="4"/>
      <c r="AL315" s="4"/>
      <c r="AM315" s="4"/>
      <c r="AN315" s="4"/>
      <c r="AO315" s="4"/>
      <c r="AP315" s="4"/>
      <c r="AQ315" s="4"/>
      <c r="AR315" s="4"/>
      <c r="AS315" s="4"/>
      <c r="AT315" s="4"/>
      <c r="AU315" s="4"/>
      <c r="AV315" s="4"/>
      <c r="AW315" s="4"/>
      <c r="AX315" s="4"/>
      <c r="AY315" s="4"/>
      <c r="AZ315" s="4"/>
      <c r="BA315" s="4"/>
      <c r="BB315" s="4"/>
      <c r="BC315" s="5"/>
      <c r="BD315" s="4"/>
      <c r="BE315" s="4"/>
      <c r="BF315" s="4"/>
      <c r="BG315" s="4"/>
      <c r="BH315" s="4"/>
      <c r="BI315" s="4"/>
      <c r="BJ315" s="4"/>
      <c r="BK315" s="4"/>
      <c r="BL315" s="4"/>
      <c r="BM315" s="4"/>
      <c r="BN315" s="4"/>
      <c r="BO315" s="4"/>
      <c r="BP315" s="4"/>
      <c r="BQ315" s="4"/>
      <c r="BR315" s="4"/>
    </row>
    <row r="316" spans="1:70">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c r="AG316" s="4"/>
      <c r="AH316" s="4"/>
      <c r="AI316" s="4"/>
      <c r="AJ316" s="4"/>
      <c r="AK316" s="4"/>
      <c r="AL316" s="4"/>
      <c r="AM316" s="4"/>
      <c r="AN316" s="4"/>
      <c r="AO316" s="4"/>
      <c r="AP316" s="4"/>
      <c r="AQ316" s="4"/>
      <c r="AR316" s="4"/>
      <c r="AS316" s="4"/>
      <c r="AT316" s="4"/>
      <c r="AU316" s="4"/>
      <c r="AV316" s="4"/>
      <c r="AW316" s="4"/>
      <c r="AX316" s="4"/>
      <c r="AY316" s="4"/>
      <c r="AZ316" s="4"/>
      <c r="BA316" s="4"/>
      <c r="BB316" s="4"/>
      <c r="BC316" s="5"/>
      <c r="BD316" s="4"/>
      <c r="BE316" s="4"/>
      <c r="BF316" s="4"/>
      <c r="BG316" s="4"/>
      <c r="BH316" s="4"/>
      <c r="BI316" s="4"/>
      <c r="BJ316" s="4"/>
      <c r="BK316" s="4"/>
      <c r="BL316" s="4"/>
      <c r="BM316" s="4"/>
      <c r="BN316" s="4"/>
      <c r="BO316" s="4"/>
      <c r="BP316" s="4"/>
      <c r="BQ316" s="4"/>
      <c r="BR316" s="4"/>
    </row>
    <row r="317" spans="1:70">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c r="AG317" s="4"/>
      <c r="AH317" s="4"/>
      <c r="AI317" s="4"/>
      <c r="AJ317" s="4"/>
      <c r="AK317" s="4"/>
      <c r="AL317" s="4"/>
      <c r="AM317" s="4"/>
      <c r="AN317" s="4"/>
      <c r="AO317" s="4"/>
      <c r="AP317" s="4"/>
      <c r="AQ317" s="4"/>
      <c r="AR317" s="4"/>
      <c r="AS317" s="4"/>
      <c r="AT317" s="4"/>
      <c r="AU317" s="4"/>
      <c r="AV317" s="4"/>
      <c r="AW317" s="4"/>
      <c r="AX317" s="4"/>
      <c r="AY317" s="4"/>
      <c r="AZ317" s="4"/>
      <c r="BA317" s="4"/>
      <c r="BB317" s="4"/>
      <c r="BC317" s="5"/>
      <c r="BD317" s="4"/>
      <c r="BE317" s="4"/>
      <c r="BF317" s="4"/>
      <c r="BG317" s="4"/>
      <c r="BH317" s="4"/>
      <c r="BI317" s="4"/>
      <c r="BJ317" s="4"/>
      <c r="BK317" s="4"/>
      <c r="BL317" s="4"/>
      <c r="BM317" s="4"/>
      <c r="BN317" s="4"/>
      <c r="BO317" s="4"/>
      <c r="BP317" s="4"/>
      <c r="BQ317" s="4"/>
      <c r="BR317" s="4"/>
    </row>
    <row r="318" spans="1:70">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c r="AG318" s="4"/>
      <c r="AH318" s="4"/>
      <c r="AI318" s="4"/>
      <c r="AJ318" s="4"/>
      <c r="AK318" s="4"/>
      <c r="AL318" s="4"/>
      <c r="AM318" s="4"/>
      <c r="AN318" s="4"/>
      <c r="AO318" s="4"/>
      <c r="AP318" s="4"/>
      <c r="AQ318" s="4"/>
      <c r="AR318" s="4"/>
      <c r="AS318" s="4"/>
      <c r="AT318" s="4"/>
      <c r="AU318" s="4"/>
      <c r="AV318" s="4"/>
      <c r="AW318" s="4"/>
      <c r="AX318" s="4"/>
      <c r="AY318" s="4"/>
      <c r="AZ318" s="4"/>
      <c r="BA318" s="4"/>
      <c r="BB318" s="4"/>
      <c r="BC318" s="5"/>
      <c r="BD318" s="4"/>
      <c r="BE318" s="4"/>
      <c r="BF318" s="4"/>
      <c r="BG318" s="4"/>
      <c r="BH318" s="4"/>
      <c r="BI318" s="4"/>
      <c r="BJ318" s="4"/>
      <c r="BK318" s="4"/>
      <c r="BL318" s="4"/>
      <c r="BM318" s="4"/>
      <c r="BN318" s="4"/>
      <c r="BO318" s="4"/>
      <c r="BP318" s="4"/>
      <c r="BQ318" s="4"/>
      <c r="BR318" s="4"/>
    </row>
    <row r="319" spans="1:70">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c r="AG319" s="4"/>
      <c r="AH319" s="4"/>
      <c r="AI319" s="4"/>
      <c r="AJ319" s="4"/>
      <c r="AK319" s="4"/>
      <c r="AL319" s="4"/>
      <c r="AM319" s="4"/>
      <c r="AN319" s="4"/>
      <c r="AO319" s="4"/>
      <c r="AP319" s="4"/>
      <c r="AQ319" s="4"/>
      <c r="AR319" s="4"/>
      <c r="AS319" s="4"/>
      <c r="AT319" s="4"/>
      <c r="AU319" s="4"/>
      <c r="AV319" s="4"/>
      <c r="AW319" s="4"/>
      <c r="AX319" s="4"/>
      <c r="AY319" s="4"/>
      <c r="AZ319" s="4"/>
      <c r="BA319" s="4"/>
      <c r="BB319" s="4"/>
      <c r="BC319" s="5"/>
      <c r="BD319" s="4"/>
      <c r="BE319" s="4"/>
      <c r="BF319" s="4"/>
      <c r="BG319" s="4"/>
      <c r="BH319" s="4"/>
      <c r="BI319" s="4"/>
      <c r="BJ319" s="4"/>
      <c r="BK319" s="4"/>
      <c r="BL319" s="4"/>
      <c r="BM319" s="4"/>
      <c r="BN319" s="4"/>
      <c r="BO319" s="4"/>
      <c r="BP319" s="4"/>
      <c r="BQ319" s="4"/>
      <c r="BR319" s="4"/>
    </row>
    <row r="320" spans="1:7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c r="AG320" s="4"/>
      <c r="AH320" s="4"/>
      <c r="AI320" s="4"/>
      <c r="AJ320" s="4"/>
      <c r="AK320" s="4"/>
      <c r="AL320" s="4"/>
      <c r="AM320" s="4"/>
      <c r="AN320" s="4"/>
      <c r="AO320" s="4"/>
      <c r="AP320" s="4"/>
      <c r="AQ320" s="4"/>
      <c r="AR320" s="4"/>
      <c r="AS320" s="4"/>
      <c r="AT320" s="4"/>
      <c r="AU320" s="4"/>
      <c r="AV320" s="4"/>
      <c r="AW320" s="4"/>
      <c r="AX320" s="4"/>
      <c r="AY320" s="4"/>
      <c r="AZ320" s="4"/>
      <c r="BA320" s="4"/>
      <c r="BB320" s="4"/>
      <c r="BC320" s="5"/>
      <c r="BD320" s="4"/>
      <c r="BE320" s="4"/>
      <c r="BF320" s="4"/>
      <c r="BG320" s="4"/>
      <c r="BH320" s="4"/>
      <c r="BI320" s="4"/>
      <c r="BJ320" s="4"/>
      <c r="BK320" s="4"/>
      <c r="BL320" s="4"/>
      <c r="BM320" s="4"/>
      <c r="BN320" s="4"/>
      <c r="BO320" s="4"/>
      <c r="BP320" s="4"/>
      <c r="BQ320" s="4"/>
      <c r="BR320" s="4"/>
    </row>
    <row r="321" spans="1:70">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c r="AG321" s="4"/>
      <c r="AH321" s="4"/>
      <c r="AI321" s="4"/>
      <c r="AJ321" s="4"/>
      <c r="AK321" s="4"/>
      <c r="AL321" s="4"/>
      <c r="AM321" s="4"/>
      <c r="AN321" s="4"/>
      <c r="AO321" s="4"/>
      <c r="AP321" s="4"/>
      <c r="AQ321" s="4"/>
      <c r="AR321" s="4"/>
      <c r="AS321" s="4"/>
      <c r="AT321" s="4"/>
      <c r="AU321" s="4"/>
      <c r="AV321" s="4"/>
      <c r="AW321" s="4"/>
      <c r="AX321" s="4"/>
      <c r="AY321" s="4"/>
      <c r="AZ321" s="4"/>
      <c r="BA321" s="4"/>
      <c r="BB321" s="4"/>
      <c r="BC321" s="5"/>
      <c r="BD321" s="4"/>
      <c r="BE321" s="4"/>
      <c r="BF321" s="4"/>
      <c r="BG321" s="4"/>
      <c r="BH321" s="4"/>
      <c r="BI321" s="4"/>
      <c r="BJ321" s="4"/>
      <c r="BK321" s="4"/>
      <c r="BL321" s="4"/>
      <c r="BM321" s="4"/>
      <c r="BN321" s="4"/>
      <c r="BO321" s="4"/>
      <c r="BP321" s="4"/>
      <c r="BQ321" s="4"/>
      <c r="BR321" s="4"/>
    </row>
    <row r="322" spans="1:70">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c r="AG322" s="4"/>
      <c r="AH322" s="4"/>
      <c r="AI322" s="4"/>
      <c r="AJ322" s="4"/>
      <c r="AK322" s="4"/>
      <c r="AL322" s="4"/>
      <c r="AM322" s="4"/>
      <c r="AN322" s="4"/>
      <c r="AO322" s="4"/>
      <c r="AP322" s="4"/>
      <c r="AQ322" s="4"/>
      <c r="AR322" s="4"/>
      <c r="AS322" s="4"/>
      <c r="AT322" s="4"/>
      <c r="AU322" s="4"/>
      <c r="AV322" s="4"/>
      <c r="AW322" s="4"/>
      <c r="AX322" s="4"/>
      <c r="AY322" s="4"/>
      <c r="AZ322" s="4"/>
      <c r="BA322" s="4"/>
      <c r="BB322" s="4"/>
      <c r="BC322" s="5"/>
      <c r="BD322" s="4"/>
      <c r="BE322" s="4"/>
      <c r="BF322" s="4"/>
      <c r="BG322" s="4"/>
      <c r="BH322" s="4"/>
      <c r="BI322" s="4"/>
      <c r="BJ322" s="4"/>
      <c r="BK322" s="4"/>
      <c r="BL322" s="4"/>
      <c r="BM322" s="4"/>
      <c r="BN322" s="4"/>
      <c r="BO322" s="4"/>
      <c r="BP322" s="4"/>
      <c r="BQ322" s="4"/>
      <c r="BR322" s="4"/>
    </row>
    <row r="323" spans="1:70">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c r="AG323" s="4"/>
      <c r="AH323" s="4"/>
      <c r="AI323" s="4"/>
      <c r="AJ323" s="4"/>
      <c r="AK323" s="4"/>
      <c r="AL323" s="4"/>
      <c r="AM323" s="4"/>
      <c r="AN323" s="4"/>
      <c r="AO323" s="4"/>
      <c r="AP323" s="4"/>
      <c r="AQ323" s="4"/>
      <c r="AR323" s="4"/>
      <c r="AS323" s="4"/>
      <c r="AT323" s="4"/>
      <c r="AU323" s="4"/>
      <c r="AV323" s="4"/>
      <c r="AW323" s="4"/>
      <c r="AX323" s="4"/>
      <c r="AY323" s="4"/>
      <c r="AZ323" s="4"/>
      <c r="BA323" s="4"/>
      <c r="BB323" s="4"/>
      <c r="BC323" s="5"/>
      <c r="BD323" s="4"/>
      <c r="BE323" s="4"/>
      <c r="BF323" s="4"/>
      <c r="BG323" s="4"/>
      <c r="BH323" s="4"/>
      <c r="BI323" s="4"/>
      <c r="BJ323" s="4"/>
      <c r="BK323" s="4"/>
      <c r="BL323" s="4"/>
      <c r="BM323" s="4"/>
      <c r="BN323" s="4"/>
      <c r="BO323" s="4"/>
      <c r="BP323" s="4"/>
      <c r="BQ323" s="4"/>
      <c r="BR323" s="4"/>
    </row>
    <row r="324" spans="1:70">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c r="AG324" s="4"/>
      <c r="AH324" s="4"/>
      <c r="AI324" s="4"/>
      <c r="AJ324" s="4"/>
      <c r="AK324" s="4"/>
      <c r="AL324" s="4"/>
      <c r="AM324" s="4"/>
      <c r="AN324" s="4"/>
      <c r="AO324" s="4"/>
      <c r="AP324" s="4"/>
      <c r="AQ324" s="4"/>
      <c r="AR324" s="4"/>
      <c r="AS324" s="4"/>
      <c r="AT324" s="4"/>
      <c r="AU324" s="4"/>
      <c r="AV324" s="4"/>
      <c r="AW324" s="4"/>
      <c r="AX324" s="4"/>
      <c r="AY324" s="4"/>
      <c r="AZ324" s="4"/>
      <c r="BA324" s="4"/>
      <c r="BB324" s="4"/>
      <c r="BC324" s="5"/>
      <c r="BD324" s="4"/>
      <c r="BE324" s="4"/>
      <c r="BF324" s="4"/>
      <c r="BG324" s="4"/>
      <c r="BH324" s="4"/>
      <c r="BI324" s="4"/>
      <c r="BJ324" s="4"/>
      <c r="BK324" s="4"/>
      <c r="BL324" s="4"/>
      <c r="BM324" s="4"/>
      <c r="BN324" s="4"/>
      <c r="BO324" s="4"/>
      <c r="BP324" s="4"/>
      <c r="BQ324" s="4"/>
      <c r="BR324" s="4"/>
    </row>
    <row r="325" spans="1:70">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c r="AG325" s="4"/>
      <c r="AH325" s="4"/>
      <c r="AI325" s="4"/>
      <c r="AJ325" s="4"/>
      <c r="AK325" s="4"/>
      <c r="AL325" s="4"/>
      <c r="AM325" s="4"/>
      <c r="AN325" s="4"/>
      <c r="AO325" s="4"/>
      <c r="AP325" s="4"/>
      <c r="AQ325" s="4"/>
      <c r="AR325" s="4"/>
      <c r="AS325" s="4"/>
      <c r="AT325" s="4"/>
      <c r="AU325" s="4"/>
      <c r="AV325" s="4"/>
      <c r="AW325" s="4"/>
      <c r="AX325" s="4"/>
      <c r="AY325" s="4"/>
      <c r="AZ325" s="4"/>
      <c r="BA325" s="4"/>
      <c r="BB325" s="4"/>
      <c r="BC325" s="5"/>
      <c r="BD325" s="4"/>
      <c r="BE325" s="4"/>
      <c r="BF325" s="4"/>
      <c r="BG325" s="4"/>
      <c r="BH325" s="4"/>
      <c r="BI325" s="4"/>
      <c r="BJ325" s="4"/>
      <c r="BK325" s="4"/>
      <c r="BL325" s="4"/>
      <c r="BM325" s="4"/>
      <c r="BN325" s="4"/>
      <c r="BO325" s="4"/>
      <c r="BP325" s="4"/>
      <c r="BQ325" s="4"/>
      <c r="BR325" s="4"/>
    </row>
    <row r="326" spans="1:70">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c r="AG326" s="4"/>
      <c r="AH326" s="4"/>
      <c r="AI326" s="4"/>
      <c r="AJ326" s="4"/>
      <c r="AK326" s="4"/>
      <c r="AL326" s="4"/>
      <c r="AM326" s="4"/>
      <c r="AN326" s="4"/>
      <c r="AO326" s="4"/>
      <c r="AP326" s="4"/>
      <c r="AQ326" s="4"/>
      <c r="AR326" s="4"/>
      <c r="AS326" s="4"/>
      <c r="AT326" s="4"/>
      <c r="AU326" s="4"/>
      <c r="AV326" s="4"/>
      <c r="AW326" s="4"/>
      <c r="AX326" s="4"/>
      <c r="AY326" s="4"/>
      <c r="AZ326" s="4"/>
      <c r="BA326" s="4"/>
      <c r="BB326" s="4"/>
      <c r="BC326" s="5"/>
      <c r="BD326" s="4"/>
      <c r="BE326" s="4"/>
      <c r="BF326" s="4"/>
      <c r="BG326" s="4"/>
      <c r="BH326" s="4"/>
      <c r="BI326" s="4"/>
      <c r="BJ326" s="4"/>
      <c r="BK326" s="4"/>
      <c r="BL326" s="4"/>
      <c r="BM326" s="4"/>
      <c r="BN326" s="4"/>
      <c r="BO326" s="4"/>
      <c r="BP326" s="4"/>
      <c r="BQ326" s="4"/>
      <c r="BR326" s="4"/>
    </row>
    <row r="327" spans="1:70">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c r="AG327" s="4"/>
      <c r="AH327" s="4"/>
      <c r="AI327" s="4"/>
      <c r="AJ327" s="4"/>
      <c r="AK327" s="4"/>
      <c r="AL327" s="4"/>
      <c r="AM327" s="4"/>
      <c r="AN327" s="4"/>
      <c r="AO327" s="4"/>
      <c r="AP327" s="4"/>
      <c r="AQ327" s="4"/>
      <c r="AR327" s="4"/>
      <c r="AS327" s="4"/>
      <c r="AT327" s="4"/>
      <c r="AU327" s="4"/>
      <c r="AV327" s="4"/>
      <c r="AW327" s="4"/>
      <c r="AX327" s="4"/>
      <c r="AY327" s="4"/>
      <c r="AZ327" s="4"/>
      <c r="BA327" s="4"/>
      <c r="BB327" s="4"/>
      <c r="BC327" s="5"/>
      <c r="BD327" s="4"/>
      <c r="BE327" s="4"/>
      <c r="BF327" s="4"/>
      <c r="BG327" s="4"/>
      <c r="BH327" s="4"/>
      <c r="BI327" s="4"/>
      <c r="BJ327" s="4"/>
      <c r="BK327" s="4"/>
      <c r="BL327" s="4"/>
      <c r="BM327" s="4"/>
      <c r="BN327" s="4"/>
      <c r="BO327" s="4"/>
      <c r="BP327" s="4"/>
      <c r="BQ327" s="4"/>
      <c r="BR327" s="4"/>
    </row>
    <row r="328" spans="1:70">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c r="AG328" s="4"/>
      <c r="AH328" s="4"/>
      <c r="AI328" s="4"/>
      <c r="AJ328" s="4"/>
      <c r="AK328" s="4"/>
      <c r="AL328" s="4"/>
      <c r="AM328" s="4"/>
      <c r="AN328" s="4"/>
      <c r="AO328" s="4"/>
      <c r="AP328" s="4"/>
      <c r="AQ328" s="4"/>
      <c r="AR328" s="4"/>
      <c r="AS328" s="4"/>
      <c r="AT328" s="4"/>
      <c r="AU328" s="4"/>
      <c r="AV328" s="4"/>
      <c r="AW328" s="4"/>
      <c r="AX328" s="4"/>
      <c r="AY328" s="4"/>
      <c r="AZ328" s="4"/>
      <c r="BA328" s="4"/>
      <c r="BB328" s="4"/>
      <c r="BC328" s="5"/>
      <c r="BD328" s="4"/>
      <c r="BE328" s="4"/>
      <c r="BF328" s="4"/>
      <c r="BG328" s="4"/>
      <c r="BH328" s="4"/>
      <c r="BI328" s="4"/>
      <c r="BJ328" s="4"/>
      <c r="BK328" s="4"/>
      <c r="BL328" s="4"/>
      <c r="BM328" s="4"/>
      <c r="BN328" s="4"/>
      <c r="BO328" s="4"/>
      <c r="BP328" s="4"/>
      <c r="BQ328" s="4"/>
      <c r="BR328" s="4"/>
    </row>
    <row r="329" spans="1:70">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c r="AG329" s="4"/>
      <c r="AH329" s="4"/>
      <c r="AI329" s="4"/>
      <c r="AJ329" s="4"/>
      <c r="AK329" s="4"/>
      <c r="AL329" s="4"/>
      <c r="AM329" s="4"/>
      <c r="AN329" s="4"/>
      <c r="AO329" s="4"/>
      <c r="AP329" s="4"/>
      <c r="AQ329" s="4"/>
      <c r="AR329" s="4"/>
      <c r="AS329" s="4"/>
      <c r="AT329" s="4"/>
      <c r="AU329" s="4"/>
      <c r="AV329" s="4"/>
      <c r="AW329" s="4"/>
      <c r="AX329" s="4"/>
      <c r="AY329" s="4"/>
      <c r="AZ329" s="4"/>
      <c r="BA329" s="4"/>
      <c r="BB329" s="4"/>
      <c r="BC329" s="5"/>
      <c r="BD329" s="4"/>
      <c r="BE329" s="4"/>
      <c r="BF329" s="4"/>
      <c r="BG329" s="4"/>
      <c r="BH329" s="4"/>
      <c r="BI329" s="4"/>
      <c r="BJ329" s="4"/>
      <c r="BK329" s="4"/>
      <c r="BL329" s="4"/>
      <c r="BM329" s="4"/>
      <c r="BN329" s="4"/>
      <c r="BO329" s="4"/>
      <c r="BP329" s="4"/>
      <c r="BQ329" s="4"/>
      <c r="BR329" s="4"/>
    </row>
    <row r="330" spans="1:7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c r="AG330" s="4"/>
      <c r="AH330" s="4"/>
      <c r="AI330" s="4"/>
      <c r="AJ330" s="4"/>
      <c r="AK330" s="4"/>
      <c r="AL330" s="4"/>
      <c r="AM330" s="4"/>
      <c r="AN330" s="4"/>
      <c r="AO330" s="4"/>
      <c r="AP330" s="4"/>
      <c r="AQ330" s="4"/>
      <c r="AR330" s="4"/>
      <c r="AS330" s="4"/>
      <c r="AT330" s="4"/>
      <c r="AU330" s="4"/>
      <c r="AV330" s="4"/>
      <c r="AW330" s="4"/>
      <c r="AX330" s="4"/>
      <c r="AY330" s="4"/>
      <c r="AZ330" s="4"/>
      <c r="BA330" s="4"/>
      <c r="BB330" s="4"/>
      <c r="BC330" s="5"/>
      <c r="BD330" s="4"/>
      <c r="BE330" s="4"/>
      <c r="BF330" s="4"/>
      <c r="BG330" s="4"/>
      <c r="BH330" s="4"/>
      <c r="BI330" s="4"/>
      <c r="BJ330" s="4"/>
      <c r="BK330" s="4"/>
      <c r="BL330" s="4"/>
      <c r="BM330" s="4"/>
      <c r="BN330" s="4"/>
      <c r="BO330" s="4"/>
      <c r="BP330" s="4"/>
      <c r="BQ330" s="4"/>
      <c r="BR330" s="4"/>
    </row>
    <row r="331" spans="1:70">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c r="AG331" s="4"/>
      <c r="AH331" s="4"/>
      <c r="AI331" s="4"/>
      <c r="AJ331" s="4"/>
      <c r="AK331" s="4"/>
      <c r="AL331" s="4"/>
      <c r="AM331" s="4"/>
      <c r="AN331" s="4"/>
      <c r="AO331" s="4"/>
      <c r="AP331" s="4"/>
      <c r="AQ331" s="4"/>
      <c r="AR331" s="4"/>
      <c r="AS331" s="4"/>
      <c r="AT331" s="4"/>
      <c r="AU331" s="4"/>
      <c r="AV331" s="4"/>
      <c r="AW331" s="4"/>
      <c r="AX331" s="4"/>
      <c r="AY331" s="4"/>
      <c r="AZ331" s="4"/>
      <c r="BA331" s="4"/>
      <c r="BB331" s="4"/>
      <c r="BC331" s="5"/>
      <c r="BD331" s="4"/>
      <c r="BE331" s="4"/>
      <c r="BF331" s="4"/>
      <c r="BG331" s="4"/>
      <c r="BH331" s="4"/>
      <c r="BI331" s="4"/>
      <c r="BJ331" s="4"/>
      <c r="BK331" s="4"/>
      <c r="BL331" s="4"/>
      <c r="BM331" s="4"/>
      <c r="BN331" s="4"/>
      <c r="BO331" s="4"/>
      <c r="BP331" s="4"/>
      <c r="BQ331" s="4"/>
      <c r="BR331" s="4"/>
    </row>
    <row r="332" spans="1:70">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c r="AG332" s="4"/>
      <c r="AH332" s="4"/>
      <c r="AI332" s="4"/>
      <c r="AJ332" s="4"/>
      <c r="AK332" s="4"/>
      <c r="AL332" s="4"/>
      <c r="AM332" s="4"/>
      <c r="AN332" s="4"/>
      <c r="AO332" s="4"/>
      <c r="AP332" s="4"/>
      <c r="AQ332" s="4"/>
      <c r="AR332" s="4"/>
      <c r="AS332" s="4"/>
      <c r="AT332" s="4"/>
      <c r="AU332" s="4"/>
      <c r="AV332" s="4"/>
      <c r="AW332" s="4"/>
      <c r="AX332" s="4"/>
      <c r="AY332" s="4"/>
      <c r="AZ332" s="4"/>
      <c r="BA332" s="4"/>
      <c r="BB332" s="4"/>
      <c r="BC332" s="5"/>
      <c r="BD332" s="4"/>
      <c r="BE332" s="4"/>
      <c r="BF332" s="4"/>
      <c r="BG332" s="4"/>
      <c r="BH332" s="4"/>
      <c r="BI332" s="4"/>
      <c r="BJ332" s="4"/>
      <c r="BK332" s="4"/>
      <c r="BL332" s="4"/>
      <c r="BM332" s="4"/>
      <c r="BN332" s="4"/>
      <c r="BO332" s="4"/>
      <c r="BP332" s="4"/>
      <c r="BQ332" s="4"/>
      <c r="BR332" s="4"/>
    </row>
    <row r="333" spans="1:70">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c r="AG333" s="4"/>
      <c r="AH333" s="4"/>
      <c r="AI333" s="4"/>
      <c r="AJ333" s="4"/>
      <c r="AK333" s="4"/>
      <c r="AL333" s="4"/>
      <c r="AM333" s="4"/>
      <c r="AN333" s="4"/>
      <c r="AO333" s="4"/>
      <c r="AP333" s="4"/>
      <c r="AQ333" s="4"/>
      <c r="AR333" s="4"/>
      <c r="AS333" s="4"/>
      <c r="AT333" s="4"/>
      <c r="AU333" s="4"/>
      <c r="AV333" s="4"/>
      <c r="AW333" s="4"/>
      <c r="AX333" s="4"/>
      <c r="AY333" s="4"/>
      <c r="AZ333" s="4"/>
      <c r="BA333" s="4"/>
      <c r="BB333" s="4"/>
      <c r="BC333" s="5"/>
      <c r="BD333" s="4"/>
      <c r="BE333" s="4"/>
      <c r="BF333" s="4"/>
      <c r="BG333" s="4"/>
      <c r="BH333" s="4"/>
      <c r="BI333" s="4"/>
      <c r="BJ333" s="4"/>
      <c r="BK333" s="4"/>
      <c r="BL333" s="4"/>
      <c r="BM333" s="4"/>
      <c r="BN333" s="4"/>
      <c r="BO333" s="4"/>
      <c r="BP333" s="4"/>
      <c r="BQ333" s="4"/>
      <c r="BR333" s="4"/>
    </row>
    <row r="334" spans="1:70">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c r="AG334" s="4"/>
      <c r="AH334" s="4"/>
      <c r="AI334" s="4"/>
      <c r="AJ334" s="4"/>
      <c r="AK334" s="4"/>
      <c r="AL334" s="4"/>
      <c r="AM334" s="4"/>
      <c r="AN334" s="4"/>
      <c r="AO334" s="4"/>
      <c r="AP334" s="4"/>
      <c r="AQ334" s="4"/>
      <c r="AR334" s="4"/>
      <c r="AS334" s="4"/>
      <c r="AT334" s="4"/>
      <c r="AU334" s="4"/>
      <c r="AV334" s="4"/>
      <c r="AW334" s="4"/>
      <c r="AX334" s="4"/>
      <c r="AY334" s="4"/>
      <c r="AZ334" s="4"/>
      <c r="BA334" s="4"/>
      <c r="BB334" s="4"/>
      <c r="BC334" s="5"/>
      <c r="BD334" s="4"/>
      <c r="BE334" s="4"/>
      <c r="BF334" s="4"/>
      <c r="BG334" s="4"/>
      <c r="BH334" s="4"/>
      <c r="BI334" s="4"/>
      <c r="BJ334" s="4"/>
      <c r="BK334" s="4"/>
      <c r="BL334" s="4"/>
      <c r="BM334" s="4"/>
      <c r="BN334" s="4"/>
      <c r="BO334" s="4"/>
      <c r="BP334" s="4"/>
      <c r="BQ334" s="4"/>
      <c r="BR334" s="4"/>
    </row>
    <row r="335" spans="1:70">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c r="AG335" s="4"/>
      <c r="AH335" s="4"/>
      <c r="AI335" s="4"/>
      <c r="AJ335" s="4"/>
      <c r="AK335" s="4"/>
      <c r="AL335" s="4"/>
      <c r="AM335" s="4"/>
      <c r="AN335" s="4"/>
      <c r="AO335" s="4"/>
      <c r="AP335" s="4"/>
      <c r="AQ335" s="4"/>
      <c r="AR335" s="4"/>
      <c r="AS335" s="4"/>
      <c r="AT335" s="4"/>
      <c r="AU335" s="4"/>
      <c r="AV335" s="4"/>
      <c r="AW335" s="4"/>
      <c r="AX335" s="4"/>
      <c r="AY335" s="4"/>
      <c r="AZ335" s="4"/>
      <c r="BA335" s="4"/>
      <c r="BB335" s="4"/>
      <c r="BC335" s="5"/>
      <c r="BD335" s="4"/>
      <c r="BE335" s="4"/>
      <c r="BF335" s="4"/>
      <c r="BG335" s="4"/>
      <c r="BH335" s="4"/>
      <c r="BI335" s="4"/>
      <c r="BJ335" s="4"/>
      <c r="BK335" s="4"/>
      <c r="BL335" s="4"/>
      <c r="BM335" s="4"/>
      <c r="BN335" s="4"/>
      <c r="BO335" s="4"/>
      <c r="BP335" s="4"/>
      <c r="BQ335" s="4"/>
      <c r="BR335" s="4"/>
    </row>
    <row r="336" spans="1:70">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c r="AG336" s="4"/>
      <c r="AH336" s="4"/>
      <c r="AI336" s="4"/>
      <c r="AJ336" s="4"/>
      <c r="AK336" s="4"/>
      <c r="AL336" s="4"/>
      <c r="AM336" s="4"/>
      <c r="AN336" s="4"/>
      <c r="AO336" s="4"/>
      <c r="AP336" s="4"/>
      <c r="AQ336" s="4"/>
      <c r="AR336" s="4"/>
      <c r="AS336" s="4"/>
      <c r="AT336" s="4"/>
      <c r="AU336" s="4"/>
      <c r="AV336" s="4"/>
      <c r="AW336" s="4"/>
      <c r="AX336" s="4"/>
      <c r="AY336" s="4"/>
      <c r="AZ336" s="4"/>
      <c r="BA336" s="4"/>
      <c r="BB336" s="4"/>
      <c r="BC336" s="5"/>
      <c r="BD336" s="4"/>
      <c r="BE336" s="4"/>
      <c r="BF336" s="4"/>
      <c r="BG336" s="4"/>
      <c r="BH336" s="4"/>
      <c r="BI336" s="4"/>
      <c r="BJ336" s="4"/>
      <c r="BK336" s="4"/>
      <c r="BL336" s="4"/>
      <c r="BM336" s="4"/>
      <c r="BN336" s="4"/>
      <c r="BO336" s="4"/>
      <c r="BP336" s="4"/>
      <c r="BQ336" s="4"/>
      <c r="BR336" s="4"/>
    </row>
    <row r="337" spans="1:70">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c r="AG337" s="4"/>
      <c r="AH337" s="4"/>
      <c r="AI337" s="4"/>
      <c r="AJ337" s="4"/>
      <c r="AK337" s="4"/>
      <c r="AL337" s="4"/>
      <c r="AM337" s="4"/>
      <c r="AN337" s="4"/>
      <c r="AO337" s="4"/>
      <c r="AP337" s="4"/>
      <c r="AQ337" s="4"/>
      <c r="AR337" s="4"/>
      <c r="AS337" s="4"/>
      <c r="AT337" s="4"/>
      <c r="AU337" s="4"/>
      <c r="AV337" s="4"/>
      <c r="AW337" s="4"/>
      <c r="AX337" s="4"/>
      <c r="AY337" s="4"/>
      <c r="AZ337" s="4"/>
      <c r="BA337" s="4"/>
      <c r="BB337" s="4"/>
      <c r="BC337" s="5"/>
      <c r="BD337" s="4"/>
      <c r="BE337" s="4"/>
      <c r="BF337" s="4"/>
      <c r="BG337" s="4"/>
      <c r="BH337" s="4"/>
      <c r="BI337" s="4"/>
      <c r="BJ337" s="4"/>
      <c r="BK337" s="4"/>
      <c r="BL337" s="4"/>
      <c r="BM337" s="4"/>
      <c r="BN337" s="4"/>
      <c r="BO337" s="4"/>
      <c r="BP337" s="4"/>
      <c r="BQ337" s="4"/>
      <c r="BR337" s="4"/>
    </row>
    <row r="338" spans="1:70">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c r="AG338" s="4"/>
      <c r="AH338" s="4"/>
      <c r="AI338" s="4"/>
      <c r="AJ338" s="4"/>
      <c r="AK338" s="4"/>
      <c r="AL338" s="4"/>
      <c r="AM338" s="4"/>
      <c r="AN338" s="4"/>
      <c r="AO338" s="4"/>
      <c r="AP338" s="4"/>
      <c r="AQ338" s="4"/>
      <c r="AR338" s="4"/>
      <c r="AS338" s="4"/>
      <c r="AT338" s="4"/>
      <c r="AU338" s="4"/>
      <c r="AV338" s="4"/>
      <c r="AW338" s="4"/>
      <c r="AX338" s="4"/>
      <c r="AY338" s="4"/>
      <c r="AZ338" s="4"/>
      <c r="BA338" s="4"/>
      <c r="BB338" s="4"/>
      <c r="BC338" s="5"/>
      <c r="BD338" s="4"/>
      <c r="BE338" s="4"/>
      <c r="BF338" s="4"/>
      <c r="BG338" s="4"/>
      <c r="BH338" s="4"/>
      <c r="BI338" s="4"/>
      <c r="BJ338" s="4"/>
      <c r="BK338" s="4"/>
      <c r="BL338" s="4"/>
      <c r="BM338" s="4"/>
      <c r="BN338" s="4"/>
      <c r="BO338" s="4"/>
      <c r="BP338" s="4"/>
      <c r="BQ338" s="4"/>
      <c r="BR338" s="4"/>
    </row>
    <row r="339" spans="1:70">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c r="AG339" s="4"/>
      <c r="AH339" s="4"/>
      <c r="AI339" s="4"/>
      <c r="AJ339" s="4"/>
      <c r="AK339" s="4"/>
      <c r="AL339" s="4"/>
      <c r="AM339" s="4"/>
      <c r="AN339" s="4"/>
      <c r="AO339" s="4"/>
      <c r="AP339" s="4"/>
      <c r="AQ339" s="4"/>
      <c r="AR339" s="4"/>
      <c r="AS339" s="4"/>
      <c r="AT339" s="4"/>
      <c r="AU339" s="4"/>
      <c r="AV339" s="4"/>
      <c r="AW339" s="4"/>
      <c r="AX339" s="4"/>
      <c r="AY339" s="4"/>
      <c r="AZ339" s="4"/>
      <c r="BA339" s="4"/>
      <c r="BB339" s="4"/>
      <c r="BC339" s="5"/>
      <c r="BD339" s="4"/>
      <c r="BE339" s="4"/>
      <c r="BF339" s="4"/>
      <c r="BG339" s="4"/>
      <c r="BH339" s="4"/>
      <c r="BI339" s="4"/>
      <c r="BJ339" s="4"/>
      <c r="BK339" s="4"/>
      <c r="BL339" s="4"/>
      <c r="BM339" s="4"/>
      <c r="BN339" s="4"/>
      <c r="BO339" s="4"/>
      <c r="BP339" s="4"/>
      <c r="BQ339" s="4"/>
      <c r="BR339" s="4"/>
    </row>
    <row r="340" spans="1:7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c r="AG340" s="4"/>
      <c r="AH340" s="4"/>
      <c r="AI340" s="4"/>
      <c r="AJ340" s="4"/>
      <c r="AK340" s="4"/>
      <c r="AL340" s="4"/>
      <c r="AM340" s="4"/>
      <c r="AN340" s="4"/>
      <c r="AO340" s="4"/>
      <c r="AP340" s="4"/>
      <c r="AQ340" s="4"/>
      <c r="AR340" s="4"/>
      <c r="AS340" s="4"/>
      <c r="AT340" s="4"/>
      <c r="AU340" s="4"/>
      <c r="AV340" s="4"/>
      <c r="AW340" s="4"/>
      <c r="AX340" s="4"/>
      <c r="AY340" s="4"/>
      <c r="AZ340" s="4"/>
      <c r="BA340" s="4"/>
      <c r="BB340" s="4"/>
      <c r="BC340" s="5"/>
      <c r="BD340" s="4"/>
      <c r="BE340" s="4"/>
      <c r="BF340" s="4"/>
      <c r="BG340" s="4"/>
      <c r="BH340" s="4"/>
      <c r="BI340" s="4"/>
      <c r="BJ340" s="4"/>
      <c r="BK340" s="4"/>
      <c r="BL340" s="4"/>
      <c r="BM340" s="4"/>
      <c r="BN340" s="4"/>
      <c r="BO340" s="4"/>
      <c r="BP340" s="4"/>
      <c r="BQ340" s="4"/>
      <c r="BR340" s="4"/>
    </row>
    <row r="341" spans="1:70">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c r="AG341" s="4"/>
      <c r="AH341" s="4"/>
      <c r="AI341" s="4"/>
      <c r="AJ341" s="4"/>
      <c r="AK341" s="4"/>
      <c r="AL341" s="4"/>
      <c r="AM341" s="4"/>
      <c r="AN341" s="4"/>
      <c r="AO341" s="4"/>
      <c r="AP341" s="4"/>
      <c r="AQ341" s="4"/>
      <c r="AR341" s="4"/>
      <c r="AS341" s="4"/>
      <c r="AT341" s="4"/>
      <c r="AU341" s="4"/>
      <c r="AV341" s="4"/>
      <c r="AW341" s="4"/>
      <c r="AX341" s="4"/>
      <c r="AY341" s="4"/>
      <c r="AZ341" s="4"/>
      <c r="BA341" s="4"/>
      <c r="BB341" s="4"/>
      <c r="BC341" s="5"/>
      <c r="BD341" s="4"/>
      <c r="BE341" s="4"/>
      <c r="BF341" s="4"/>
      <c r="BG341" s="4"/>
      <c r="BH341" s="4"/>
      <c r="BI341" s="4"/>
      <c r="BJ341" s="4"/>
      <c r="BK341" s="4"/>
      <c r="BL341" s="4"/>
      <c r="BM341" s="4"/>
      <c r="BN341" s="4"/>
      <c r="BO341" s="4"/>
      <c r="BP341" s="4"/>
      <c r="BQ341" s="4"/>
      <c r="BR341" s="4"/>
    </row>
    <row r="342" spans="1:70">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c r="AG342" s="4"/>
      <c r="AH342" s="4"/>
      <c r="AI342" s="4"/>
      <c r="AJ342" s="4"/>
      <c r="AK342" s="4"/>
      <c r="AL342" s="4"/>
      <c r="AM342" s="4"/>
      <c r="AN342" s="4"/>
      <c r="AO342" s="4"/>
      <c r="AP342" s="4"/>
      <c r="AQ342" s="4"/>
      <c r="AR342" s="4"/>
      <c r="AS342" s="4"/>
      <c r="AT342" s="4"/>
      <c r="AU342" s="4"/>
      <c r="AV342" s="4"/>
      <c r="AW342" s="4"/>
      <c r="AX342" s="4"/>
      <c r="AY342" s="4"/>
      <c r="AZ342" s="4"/>
      <c r="BA342" s="4"/>
      <c r="BB342" s="4"/>
      <c r="BC342" s="5"/>
      <c r="BD342" s="4"/>
      <c r="BE342" s="4"/>
      <c r="BF342" s="4"/>
      <c r="BG342" s="4"/>
      <c r="BH342" s="4"/>
      <c r="BI342" s="4"/>
      <c r="BJ342" s="4"/>
      <c r="BK342" s="4"/>
      <c r="BL342" s="4"/>
      <c r="BM342" s="4"/>
      <c r="BN342" s="4"/>
      <c r="BO342" s="4"/>
      <c r="BP342" s="4"/>
      <c r="BQ342" s="4"/>
      <c r="BR342" s="4"/>
    </row>
    <row r="343" spans="1:70">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c r="AG343" s="4"/>
      <c r="AH343" s="4"/>
      <c r="AI343" s="4"/>
      <c r="AJ343" s="4"/>
      <c r="AK343" s="4"/>
      <c r="AL343" s="4"/>
      <c r="AM343" s="4"/>
      <c r="AN343" s="4"/>
      <c r="AO343" s="4"/>
      <c r="AP343" s="4"/>
      <c r="AQ343" s="4"/>
      <c r="AR343" s="4"/>
      <c r="AS343" s="4"/>
      <c r="AT343" s="4"/>
      <c r="AU343" s="4"/>
      <c r="AV343" s="4"/>
      <c r="AW343" s="4"/>
      <c r="AX343" s="4"/>
      <c r="AY343" s="4"/>
      <c r="AZ343" s="4"/>
      <c r="BA343" s="4"/>
      <c r="BB343" s="4"/>
      <c r="BC343" s="5"/>
      <c r="BD343" s="4"/>
      <c r="BE343" s="4"/>
      <c r="BF343" s="4"/>
      <c r="BG343" s="4"/>
      <c r="BH343" s="4"/>
      <c r="BI343" s="4"/>
      <c r="BJ343" s="4"/>
      <c r="BK343" s="4"/>
      <c r="BL343" s="4"/>
      <c r="BM343" s="4"/>
      <c r="BN343" s="4"/>
      <c r="BO343" s="4"/>
      <c r="BP343" s="4"/>
      <c r="BQ343" s="4"/>
      <c r="BR343" s="4"/>
    </row>
    <row r="344" spans="1:70">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c r="AG344" s="4"/>
      <c r="AH344" s="4"/>
      <c r="AI344" s="4"/>
      <c r="AJ344" s="4"/>
      <c r="AK344" s="4"/>
      <c r="AL344" s="4"/>
      <c r="AM344" s="4"/>
      <c r="AN344" s="4"/>
      <c r="AO344" s="4"/>
      <c r="AP344" s="4"/>
      <c r="AQ344" s="4"/>
      <c r="AR344" s="4"/>
      <c r="AS344" s="4"/>
      <c r="AT344" s="4"/>
      <c r="AU344" s="4"/>
      <c r="AV344" s="4"/>
      <c r="AW344" s="4"/>
      <c r="AX344" s="4"/>
      <c r="AY344" s="4"/>
      <c r="AZ344" s="4"/>
      <c r="BA344" s="4"/>
      <c r="BB344" s="4"/>
      <c r="BC344" s="5"/>
      <c r="BD344" s="4"/>
      <c r="BE344" s="4"/>
      <c r="BF344" s="4"/>
      <c r="BG344" s="4"/>
      <c r="BH344" s="4"/>
      <c r="BI344" s="4"/>
      <c r="BJ344" s="4"/>
      <c r="BK344" s="4"/>
      <c r="BL344" s="4"/>
      <c r="BM344" s="4"/>
      <c r="BN344" s="4"/>
      <c r="BO344" s="4"/>
      <c r="BP344" s="4"/>
      <c r="BQ344" s="4"/>
      <c r="BR344" s="4"/>
    </row>
    <row r="345" spans="1:70">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c r="AG345" s="4"/>
      <c r="AH345" s="4"/>
      <c r="AI345" s="4"/>
      <c r="AJ345" s="4"/>
      <c r="AK345" s="4"/>
      <c r="AL345" s="4"/>
      <c r="AM345" s="4"/>
      <c r="AN345" s="4"/>
      <c r="AO345" s="4"/>
      <c r="AP345" s="4"/>
      <c r="AQ345" s="4"/>
      <c r="AR345" s="4"/>
      <c r="AS345" s="4"/>
      <c r="AT345" s="4"/>
      <c r="AU345" s="4"/>
      <c r="AV345" s="4"/>
      <c r="AW345" s="4"/>
      <c r="AX345" s="4"/>
      <c r="AY345" s="4"/>
      <c r="AZ345" s="4"/>
      <c r="BA345" s="4"/>
      <c r="BB345" s="4"/>
      <c r="BC345" s="5"/>
      <c r="BD345" s="4"/>
      <c r="BE345" s="4"/>
      <c r="BF345" s="4"/>
      <c r="BG345" s="4"/>
      <c r="BH345" s="4"/>
      <c r="BI345" s="4"/>
      <c r="BJ345" s="4"/>
      <c r="BK345" s="4"/>
      <c r="BL345" s="4"/>
      <c r="BM345" s="4"/>
      <c r="BN345" s="4"/>
      <c r="BO345" s="4"/>
      <c r="BP345" s="4"/>
      <c r="BQ345" s="4"/>
      <c r="BR345" s="4"/>
    </row>
    <row r="346" spans="1:70">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c r="AG346" s="4"/>
      <c r="AH346" s="4"/>
      <c r="AI346" s="4"/>
      <c r="AJ346" s="4"/>
      <c r="AK346" s="4"/>
      <c r="AL346" s="4"/>
      <c r="AM346" s="4"/>
      <c r="AN346" s="4"/>
      <c r="AO346" s="4"/>
      <c r="AP346" s="4"/>
      <c r="AQ346" s="4"/>
      <c r="AR346" s="4"/>
      <c r="AS346" s="4"/>
      <c r="AT346" s="4"/>
      <c r="AU346" s="4"/>
      <c r="AV346" s="4"/>
      <c r="AW346" s="4"/>
      <c r="AX346" s="4"/>
      <c r="AY346" s="4"/>
      <c r="AZ346" s="4"/>
      <c r="BA346" s="4"/>
      <c r="BB346" s="4"/>
      <c r="BC346" s="5"/>
      <c r="BD346" s="4"/>
      <c r="BE346" s="4"/>
      <c r="BF346" s="4"/>
      <c r="BG346" s="4"/>
      <c r="BH346" s="4"/>
      <c r="BI346" s="4"/>
      <c r="BJ346" s="4"/>
      <c r="BK346" s="4"/>
      <c r="BL346" s="4"/>
      <c r="BM346" s="4"/>
      <c r="BN346" s="4"/>
      <c r="BO346" s="4"/>
      <c r="BP346" s="4"/>
      <c r="BQ346" s="4"/>
      <c r="BR346" s="4"/>
    </row>
    <row r="347" spans="1:70">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c r="AG347" s="4"/>
      <c r="AH347" s="4"/>
      <c r="AI347" s="4"/>
      <c r="AJ347" s="4"/>
      <c r="AK347" s="4"/>
      <c r="AL347" s="4"/>
      <c r="AM347" s="4"/>
      <c r="AN347" s="4"/>
      <c r="AO347" s="4"/>
      <c r="AP347" s="4"/>
      <c r="AQ347" s="4"/>
      <c r="AR347" s="4"/>
      <c r="AS347" s="4"/>
      <c r="AT347" s="4"/>
      <c r="AU347" s="4"/>
      <c r="AV347" s="4"/>
      <c r="AW347" s="4"/>
      <c r="AX347" s="4"/>
      <c r="AY347" s="4"/>
      <c r="AZ347" s="4"/>
      <c r="BA347" s="4"/>
      <c r="BB347" s="4"/>
      <c r="BC347" s="5"/>
      <c r="BD347" s="4"/>
      <c r="BE347" s="4"/>
      <c r="BF347" s="4"/>
      <c r="BG347" s="4"/>
      <c r="BH347" s="4"/>
      <c r="BI347" s="4"/>
      <c r="BJ347" s="4"/>
      <c r="BK347" s="4"/>
      <c r="BL347" s="4"/>
      <c r="BM347" s="4"/>
      <c r="BN347" s="4"/>
      <c r="BO347" s="4"/>
      <c r="BP347" s="4"/>
      <c r="BQ347" s="4"/>
      <c r="BR347" s="4"/>
    </row>
    <row r="348" spans="1:70">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c r="AG348" s="4"/>
      <c r="AH348" s="4"/>
      <c r="AI348" s="4"/>
      <c r="AJ348" s="4"/>
      <c r="AK348" s="4"/>
      <c r="AL348" s="4"/>
      <c r="AM348" s="4"/>
      <c r="AN348" s="4"/>
      <c r="AO348" s="4"/>
      <c r="AP348" s="4"/>
      <c r="AQ348" s="4"/>
      <c r="AR348" s="4"/>
      <c r="AS348" s="4"/>
      <c r="AT348" s="4"/>
      <c r="AU348" s="4"/>
      <c r="AV348" s="4"/>
      <c r="AW348" s="4"/>
      <c r="AX348" s="4"/>
      <c r="AY348" s="4"/>
      <c r="AZ348" s="4"/>
      <c r="BA348" s="4"/>
      <c r="BB348" s="4"/>
      <c r="BC348" s="5"/>
      <c r="BD348" s="4"/>
      <c r="BE348" s="4"/>
      <c r="BF348" s="4"/>
      <c r="BG348" s="4"/>
      <c r="BH348" s="4"/>
      <c r="BI348" s="4"/>
      <c r="BJ348" s="4"/>
      <c r="BK348" s="4"/>
      <c r="BL348" s="4"/>
      <c r="BM348" s="4"/>
      <c r="BN348" s="4"/>
      <c r="BO348" s="4"/>
      <c r="BP348" s="4"/>
      <c r="BQ348" s="4"/>
      <c r="BR348" s="4"/>
    </row>
    <row r="349" spans="1:70">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c r="AG349" s="4"/>
      <c r="AH349" s="4"/>
      <c r="AI349" s="4"/>
      <c r="AJ349" s="4"/>
      <c r="AK349" s="4"/>
      <c r="AL349" s="4"/>
      <c r="AM349" s="4"/>
      <c r="AN349" s="4"/>
      <c r="AO349" s="4"/>
      <c r="AP349" s="4"/>
      <c r="AQ349" s="4"/>
      <c r="AR349" s="4"/>
      <c r="AS349" s="4"/>
      <c r="AT349" s="4"/>
      <c r="AU349" s="4"/>
      <c r="AV349" s="4"/>
      <c r="AW349" s="4"/>
      <c r="AX349" s="4"/>
      <c r="AY349" s="4"/>
      <c r="AZ349" s="4"/>
      <c r="BA349" s="4"/>
      <c r="BB349" s="4"/>
      <c r="BC349" s="5"/>
      <c r="BD349" s="4"/>
      <c r="BE349" s="4"/>
      <c r="BF349" s="4"/>
      <c r="BG349" s="4"/>
      <c r="BH349" s="4"/>
      <c r="BI349" s="4"/>
      <c r="BJ349" s="4"/>
      <c r="BK349" s="4"/>
      <c r="BL349" s="4"/>
      <c r="BM349" s="4"/>
      <c r="BN349" s="4"/>
      <c r="BO349" s="4"/>
      <c r="BP349" s="4"/>
      <c r="BQ349" s="4"/>
      <c r="BR349" s="4"/>
    </row>
    <row r="350" spans="1:7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c r="AG350" s="4"/>
      <c r="AH350" s="4"/>
      <c r="AI350" s="4"/>
      <c r="AJ350" s="4"/>
      <c r="AK350" s="4"/>
      <c r="AL350" s="4"/>
      <c r="AM350" s="4"/>
      <c r="AN350" s="4"/>
      <c r="AO350" s="4"/>
      <c r="AP350" s="4"/>
      <c r="AQ350" s="4"/>
      <c r="AR350" s="4"/>
      <c r="AS350" s="4"/>
      <c r="AT350" s="4"/>
      <c r="AU350" s="4"/>
      <c r="AV350" s="4"/>
      <c r="AW350" s="4"/>
      <c r="AX350" s="4"/>
      <c r="AY350" s="4"/>
      <c r="AZ350" s="4"/>
      <c r="BA350" s="4"/>
      <c r="BB350" s="4"/>
      <c r="BC350" s="5"/>
      <c r="BD350" s="4"/>
      <c r="BE350" s="4"/>
      <c r="BF350" s="4"/>
      <c r="BG350" s="4"/>
      <c r="BH350" s="4"/>
      <c r="BI350" s="4"/>
      <c r="BJ350" s="4"/>
      <c r="BK350" s="4"/>
      <c r="BL350" s="4"/>
      <c r="BM350" s="4"/>
      <c r="BN350" s="4"/>
      <c r="BO350" s="4"/>
      <c r="BP350" s="4"/>
      <c r="BQ350" s="4"/>
      <c r="BR350" s="4"/>
    </row>
    <row r="351" spans="1:70">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c r="AG351" s="4"/>
      <c r="AH351" s="4"/>
      <c r="AI351" s="4"/>
      <c r="AJ351" s="4"/>
      <c r="AK351" s="4"/>
      <c r="AL351" s="4"/>
      <c r="AM351" s="4"/>
      <c r="AN351" s="4"/>
      <c r="AO351" s="4"/>
      <c r="AP351" s="4"/>
      <c r="AQ351" s="4"/>
      <c r="AR351" s="4"/>
      <c r="AS351" s="4"/>
      <c r="AT351" s="4"/>
      <c r="AU351" s="4"/>
      <c r="AV351" s="4"/>
      <c r="AW351" s="4"/>
      <c r="AX351" s="4"/>
      <c r="AY351" s="4"/>
      <c r="AZ351" s="4"/>
      <c r="BA351" s="4"/>
      <c r="BB351" s="4"/>
      <c r="BC351" s="5"/>
      <c r="BD351" s="4"/>
      <c r="BE351" s="4"/>
      <c r="BF351" s="4"/>
      <c r="BG351" s="4"/>
      <c r="BH351" s="4"/>
      <c r="BI351" s="4"/>
      <c r="BJ351" s="4"/>
      <c r="BK351" s="4"/>
      <c r="BL351" s="4"/>
      <c r="BM351" s="4"/>
      <c r="BN351" s="4"/>
      <c r="BO351" s="4"/>
      <c r="BP351" s="4"/>
      <c r="BQ351" s="4"/>
      <c r="BR351" s="4"/>
    </row>
    <row r="352" spans="1:70">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c r="AG352" s="4"/>
      <c r="AH352" s="4"/>
      <c r="AI352" s="4"/>
      <c r="AJ352" s="4"/>
      <c r="AK352" s="4"/>
      <c r="AL352" s="4"/>
      <c r="AM352" s="4"/>
      <c r="AN352" s="4"/>
      <c r="AO352" s="4"/>
      <c r="AP352" s="4"/>
      <c r="AQ352" s="4"/>
      <c r="AR352" s="4"/>
      <c r="AS352" s="4"/>
      <c r="AT352" s="4"/>
      <c r="AU352" s="4"/>
      <c r="AV352" s="4"/>
      <c r="AW352" s="4"/>
      <c r="AX352" s="4"/>
      <c r="AY352" s="4"/>
      <c r="AZ352" s="4"/>
      <c r="BA352" s="4"/>
      <c r="BB352" s="4"/>
      <c r="BC352" s="5"/>
      <c r="BD352" s="4"/>
      <c r="BE352" s="4"/>
      <c r="BF352" s="4"/>
      <c r="BG352" s="4"/>
      <c r="BH352" s="4"/>
      <c r="BI352" s="4"/>
      <c r="BJ352" s="4"/>
      <c r="BK352" s="4"/>
      <c r="BL352" s="4"/>
      <c r="BM352" s="4"/>
      <c r="BN352" s="4"/>
      <c r="BO352" s="4"/>
      <c r="BP352" s="4"/>
      <c r="BQ352" s="4"/>
      <c r="BR352" s="4"/>
    </row>
    <row r="353" spans="1:70">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c r="AG353" s="4"/>
      <c r="AH353" s="4"/>
      <c r="AI353" s="4"/>
      <c r="AJ353" s="4"/>
      <c r="AK353" s="4"/>
      <c r="AL353" s="4"/>
      <c r="AM353" s="4"/>
      <c r="AN353" s="4"/>
      <c r="AO353" s="4"/>
      <c r="AP353" s="4"/>
      <c r="AQ353" s="4"/>
      <c r="AR353" s="4"/>
      <c r="AS353" s="4"/>
      <c r="AT353" s="4"/>
      <c r="AU353" s="4"/>
      <c r="AV353" s="4"/>
      <c r="AW353" s="4"/>
      <c r="AX353" s="4"/>
      <c r="AY353" s="4"/>
      <c r="AZ353" s="4"/>
      <c r="BA353" s="4"/>
      <c r="BB353" s="4"/>
      <c r="BC353" s="5"/>
      <c r="BD353" s="4"/>
      <c r="BE353" s="4"/>
      <c r="BF353" s="4"/>
      <c r="BG353" s="4"/>
      <c r="BH353" s="4"/>
      <c r="BI353" s="4"/>
      <c r="BJ353" s="4"/>
      <c r="BK353" s="4"/>
      <c r="BL353" s="4"/>
      <c r="BM353" s="4"/>
      <c r="BN353" s="4"/>
      <c r="BO353" s="4"/>
      <c r="BP353" s="4"/>
      <c r="BQ353" s="4"/>
      <c r="BR353" s="4"/>
    </row>
    <row r="354" spans="1:70">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c r="AG354" s="4"/>
      <c r="AH354" s="4"/>
      <c r="AI354" s="4"/>
      <c r="AJ354" s="4"/>
      <c r="AK354" s="4"/>
      <c r="AL354" s="4"/>
      <c r="AM354" s="4"/>
      <c r="AN354" s="4"/>
      <c r="AO354" s="4"/>
      <c r="AP354" s="4"/>
      <c r="AQ354" s="4"/>
      <c r="AR354" s="4"/>
      <c r="AS354" s="4"/>
      <c r="AT354" s="4"/>
      <c r="AU354" s="4"/>
      <c r="AV354" s="4"/>
      <c r="AW354" s="4"/>
      <c r="AX354" s="4"/>
      <c r="AY354" s="4"/>
      <c r="AZ354" s="4"/>
      <c r="BA354" s="4"/>
      <c r="BB354" s="4"/>
      <c r="BC354" s="5"/>
      <c r="BD354" s="4"/>
      <c r="BE354" s="4"/>
      <c r="BF354" s="4"/>
      <c r="BG354" s="4"/>
      <c r="BH354" s="4"/>
      <c r="BI354" s="4"/>
      <c r="BJ354" s="4"/>
      <c r="BK354" s="4"/>
      <c r="BL354" s="4"/>
      <c r="BM354" s="4"/>
      <c r="BN354" s="4"/>
      <c r="BO354" s="4"/>
      <c r="BP354" s="4"/>
      <c r="BQ354" s="4"/>
      <c r="BR354" s="4"/>
    </row>
    <row r="355" spans="1:70">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c r="AG355" s="4"/>
      <c r="AH355" s="4"/>
      <c r="AI355" s="4"/>
      <c r="AJ355" s="4"/>
      <c r="AK355" s="4"/>
      <c r="AL355" s="4"/>
      <c r="AM355" s="4"/>
      <c r="AN355" s="4"/>
      <c r="AO355" s="4"/>
      <c r="AP355" s="4"/>
      <c r="AQ355" s="4"/>
      <c r="AR355" s="4"/>
      <c r="AS355" s="4"/>
      <c r="AT355" s="4"/>
      <c r="AU355" s="4"/>
      <c r="AV355" s="4"/>
      <c r="AW355" s="4"/>
      <c r="AX355" s="4"/>
      <c r="AY355" s="4"/>
      <c r="AZ355" s="4"/>
      <c r="BA355" s="4"/>
      <c r="BB355" s="4"/>
      <c r="BC355" s="5"/>
      <c r="BD355" s="4"/>
      <c r="BE355" s="4"/>
      <c r="BF355" s="4"/>
      <c r="BG355" s="4"/>
      <c r="BH355" s="4"/>
      <c r="BI355" s="4"/>
      <c r="BJ355" s="4"/>
      <c r="BK355" s="4"/>
      <c r="BL355" s="4"/>
      <c r="BM355" s="4"/>
      <c r="BN355" s="4"/>
      <c r="BO355" s="4"/>
      <c r="BP355" s="4"/>
      <c r="BQ355" s="4"/>
      <c r="BR355" s="4"/>
    </row>
    <row r="356" spans="1:70">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c r="AG356" s="4"/>
      <c r="AH356" s="4"/>
      <c r="AI356" s="4"/>
      <c r="AJ356" s="4"/>
      <c r="AK356" s="4"/>
      <c r="AL356" s="4"/>
      <c r="AM356" s="4"/>
      <c r="AN356" s="4"/>
      <c r="AO356" s="4"/>
      <c r="AP356" s="4"/>
      <c r="AQ356" s="4"/>
      <c r="AR356" s="4"/>
      <c r="AS356" s="4"/>
      <c r="AT356" s="4"/>
      <c r="AU356" s="4"/>
      <c r="AV356" s="4"/>
      <c r="AW356" s="4"/>
      <c r="AX356" s="4"/>
      <c r="AY356" s="4"/>
      <c r="AZ356" s="4"/>
      <c r="BA356" s="4"/>
      <c r="BB356" s="4"/>
      <c r="BC356" s="5"/>
      <c r="BD356" s="4"/>
      <c r="BE356" s="4"/>
      <c r="BF356" s="4"/>
      <c r="BG356" s="4"/>
      <c r="BH356" s="4"/>
      <c r="BI356" s="4"/>
      <c r="BJ356" s="4"/>
      <c r="BK356" s="4"/>
      <c r="BL356" s="4"/>
      <c r="BM356" s="4"/>
      <c r="BN356" s="4"/>
      <c r="BO356" s="4"/>
      <c r="BP356" s="4"/>
      <c r="BQ356" s="4"/>
      <c r="BR356" s="4"/>
    </row>
    <row r="357" spans="1:70">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c r="AG357" s="4"/>
      <c r="AH357" s="4"/>
      <c r="AI357" s="4"/>
      <c r="AJ357" s="4"/>
      <c r="AK357" s="4"/>
      <c r="AL357" s="4"/>
      <c r="AM357" s="4"/>
      <c r="AN357" s="4"/>
      <c r="AO357" s="4"/>
      <c r="AP357" s="4"/>
      <c r="AQ357" s="4"/>
      <c r="AR357" s="4"/>
      <c r="AS357" s="4"/>
      <c r="AT357" s="4"/>
      <c r="AU357" s="4"/>
      <c r="AV357" s="4"/>
      <c r="AW357" s="4"/>
      <c r="AX357" s="4"/>
      <c r="AY357" s="4"/>
      <c r="AZ357" s="4"/>
      <c r="BA357" s="4"/>
      <c r="BB357" s="4"/>
      <c r="BC357" s="5"/>
      <c r="BD357" s="4"/>
      <c r="BE357" s="4"/>
      <c r="BF357" s="4"/>
      <c r="BG357" s="4"/>
      <c r="BH357" s="4"/>
      <c r="BI357" s="4"/>
      <c r="BJ357" s="4"/>
      <c r="BK357" s="4"/>
      <c r="BL357" s="4"/>
      <c r="BM357" s="4"/>
      <c r="BN357" s="4"/>
      <c r="BO357" s="4"/>
      <c r="BP357" s="4"/>
      <c r="BQ357" s="4"/>
      <c r="BR357" s="4"/>
    </row>
    <row r="358" spans="1:70">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c r="AG358" s="4"/>
      <c r="AH358" s="4"/>
      <c r="AI358" s="4"/>
      <c r="AJ358" s="4"/>
      <c r="AK358" s="4"/>
      <c r="AL358" s="4"/>
      <c r="AM358" s="4"/>
      <c r="AN358" s="4"/>
      <c r="AO358" s="4"/>
      <c r="AP358" s="4"/>
      <c r="AQ358" s="4"/>
      <c r="AR358" s="4"/>
      <c r="AS358" s="4"/>
      <c r="AT358" s="4"/>
      <c r="AU358" s="4"/>
      <c r="AV358" s="4"/>
      <c r="AW358" s="4"/>
      <c r="AX358" s="4"/>
      <c r="AY358" s="4"/>
      <c r="AZ358" s="4"/>
      <c r="BA358" s="4"/>
      <c r="BB358" s="4"/>
      <c r="BC358" s="5"/>
      <c r="BD358" s="4"/>
      <c r="BE358" s="4"/>
      <c r="BF358" s="4"/>
      <c r="BG358" s="4"/>
      <c r="BH358" s="4"/>
      <c r="BI358" s="4"/>
      <c r="BJ358" s="4"/>
      <c r="BK358" s="4"/>
      <c r="BL358" s="4"/>
      <c r="BM358" s="4"/>
      <c r="BN358" s="4"/>
      <c r="BO358" s="4"/>
      <c r="BP358" s="4"/>
      <c r="BQ358" s="4"/>
      <c r="BR358" s="4"/>
    </row>
    <row r="359" spans="1:70">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c r="AG359" s="4"/>
      <c r="AH359" s="4"/>
      <c r="AI359" s="4"/>
      <c r="AJ359" s="4"/>
      <c r="AK359" s="4"/>
      <c r="AL359" s="4"/>
      <c r="AM359" s="4"/>
      <c r="AN359" s="4"/>
      <c r="AO359" s="4"/>
      <c r="AP359" s="4"/>
      <c r="AQ359" s="4"/>
      <c r="AR359" s="4"/>
      <c r="AS359" s="4"/>
      <c r="AT359" s="4"/>
      <c r="AU359" s="4"/>
      <c r="AV359" s="4"/>
      <c r="AW359" s="4"/>
      <c r="AX359" s="4"/>
      <c r="AY359" s="4"/>
      <c r="AZ359" s="4"/>
      <c r="BA359" s="4"/>
      <c r="BB359" s="4"/>
      <c r="BC359" s="5"/>
      <c r="BD359" s="4"/>
      <c r="BE359" s="4"/>
      <c r="BF359" s="4"/>
      <c r="BG359" s="4"/>
      <c r="BH359" s="4"/>
      <c r="BI359" s="4"/>
      <c r="BJ359" s="4"/>
      <c r="BK359" s="4"/>
      <c r="BL359" s="4"/>
      <c r="BM359" s="4"/>
      <c r="BN359" s="4"/>
      <c r="BO359" s="4"/>
      <c r="BP359" s="4"/>
      <c r="BQ359" s="4"/>
      <c r="BR359" s="4"/>
    </row>
    <row r="360" spans="1:7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c r="AG360" s="4"/>
      <c r="AH360" s="4"/>
      <c r="AI360" s="4"/>
      <c r="AJ360" s="4"/>
      <c r="AK360" s="4"/>
      <c r="AL360" s="4"/>
      <c r="AM360" s="4"/>
      <c r="AN360" s="4"/>
      <c r="AO360" s="4"/>
      <c r="AP360" s="4"/>
      <c r="AQ360" s="4"/>
      <c r="AR360" s="4"/>
      <c r="AS360" s="4"/>
      <c r="AT360" s="4"/>
      <c r="AU360" s="4"/>
      <c r="AV360" s="4"/>
      <c r="AW360" s="4"/>
      <c r="AX360" s="4"/>
      <c r="AY360" s="4"/>
      <c r="AZ360" s="4"/>
      <c r="BA360" s="4"/>
      <c r="BB360" s="4"/>
      <c r="BC360" s="5"/>
      <c r="BD360" s="4"/>
      <c r="BE360" s="4"/>
      <c r="BF360" s="4"/>
      <c r="BG360" s="4"/>
      <c r="BH360" s="4"/>
      <c r="BI360" s="4"/>
      <c r="BJ360" s="4"/>
      <c r="BK360" s="4"/>
      <c r="BL360" s="4"/>
      <c r="BM360" s="4"/>
      <c r="BN360" s="4"/>
      <c r="BO360" s="4"/>
      <c r="BP360" s="4"/>
      <c r="BQ360" s="4"/>
      <c r="BR360" s="4"/>
    </row>
    <row r="361" spans="1:70">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c r="AG361" s="4"/>
      <c r="AH361" s="4"/>
      <c r="AI361" s="4"/>
      <c r="AJ361" s="4"/>
      <c r="AK361" s="4"/>
      <c r="AL361" s="4"/>
      <c r="AM361" s="4"/>
      <c r="AN361" s="4"/>
      <c r="AO361" s="4"/>
      <c r="AP361" s="4"/>
      <c r="AQ361" s="4"/>
      <c r="AR361" s="4"/>
      <c r="AS361" s="4"/>
      <c r="AT361" s="4"/>
      <c r="AU361" s="4"/>
      <c r="AV361" s="4"/>
      <c r="AW361" s="4"/>
      <c r="AX361" s="4"/>
      <c r="AY361" s="4"/>
      <c r="AZ361" s="4"/>
      <c r="BA361" s="4"/>
      <c r="BB361" s="4"/>
      <c r="BC361" s="5"/>
      <c r="BD361" s="4"/>
      <c r="BE361" s="4"/>
      <c r="BF361" s="4"/>
      <c r="BG361" s="4"/>
      <c r="BH361" s="4"/>
      <c r="BI361" s="4"/>
      <c r="BJ361" s="4"/>
      <c r="BK361" s="4"/>
      <c r="BL361" s="4"/>
      <c r="BM361" s="4"/>
      <c r="BN361" s="4"/>
      <c r="BO361" s="4"/>
      <c r="BP361" s="4"/>
      <c r="BQ361" s="4"/>
      <c r="BR361" s="4"/>
    </row>
    <row r="362" spans="1:70">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c r="AG362" s="4"/>
      <c r="AH362" s="4"/>
      <c r="AI362" s="4"/>
      <c r="AJ362" s="4"/>
      <c r="AK362" s="4"/>
      <c r="AL362" s="4"/>
      <c r="AM362" s="4"/>
      <c r="AN362" s="4"/>
      <c r="AO362" s="4"/>
      <c r="AP362" s="4"/>
      <c r="AQ362" s="4"/>
      <c r="AR362" s="4"/>
      <c r="AS362" s="4"/>
      <c r="AT362" s="4"/>
      <c r="AU362" s="4"/>
      <c r="AV362" s="4"/>
      <c r="AW362" s="4"/>
      <c r="AX362" s="4"/>
      <c r="AY362" s="4"/>
      <c r="AZ362" s="4"/>
      <c r="BA362" s="4"/>
      <c r="BB362" s="4"/>
      <c r="BC362" s="5"/>
      <c r="BD362" s="4"/>
      <c r="BE362" s="4"/>
      <c r="BF362" s="4"/>
      <c r="BG362" s="4"/>
      <c r="BH362" s="4"/>
      <c r="BI362" s="4"/>
      <c r="BJ362" s="4"/>
      <c r="BK362" s="4"/>
      <c r="BL362" s="4"/>
      <c r="BM362" s="4"/>
      <c r="BN362" s="4"/>
      <c r="BO362" s="4"/>
      <c r="BP362" s="4"/>
      <c r="BQ362" s="4"/>
      <c r="BR362" s="4"/>
    </row>
    <row r="363" spans="1:70">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c r="AG363" s="4"/>
      <c r="AH363" s="4"/>
      <c r="AI363" s="4"/>
      <c r="AJ363" s="4"/>
      <c r="AK363" s="4"/>
      <c r="AL363" s="4"/>
      <c r="AM363" s="4"/>
      <c r="AN363" s="4"/>
      <c r="AO363" s="4"/>
      <c r="AP363" s="4"/>
      <c r="AQ363" s="4"/>
      <c r="AR363" s="4"/>
      <c r="AS363" s="4"/>
      <c r="AT363" s="4"/>
      <c r="AU363" s="4"/>
      <c r="AV363" s="4"/>
      <c r="AW363" s="4"/>
      <c r="AX363" s="4"/>
      <c r="AY363" s="4"/>
      <c r="AZ363" s="4"/>
      <c r="BA363" s="4"/>
      <c r="BB363" s="4"/>
      <c r="BC363" s="5"/>
      <c r="BD363" s="4"/>
      <c r="BE363" s="4"/>
      <c r="BF363" s="4"/>
      <c r="BG363" s="4"/>
      <c r="BH363" s="4"/>
      <c r="BI363" s="4"/>
      <c r="BJ363" s="4"/>
      <c r="BK363" s="4"/>
      <c r="BL363" s="4"/>
      <c r="BM363" s="4"/>
      <c r="BN363" s="4"/>
      <c r="BO363" s="4"/>
      <c r="BP363" s="4"/>
      <c r="BQ363" s="4"/>
      <c r="BR363" s="4"/>
    </row>
    <row r="364" spans="1:70">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c r="AG364" s="4"/>
      <c r="AH364" s="4"/>
      <c r="AI364" s="4"/>
      <c r="AJ364" s="4"/>
      <c r="AK364" s="4"/>
      <c r="AL364" s="4"/>
      <c r="AM364" s="4"/>
      <c r="AN364" s="4"/>
      <c r="AO364" s="4"/>
      <c r="AP364" s="4"/>
      <c r="AQ364" s="4"/>
      <c r="AR364" s="4"/>
      <c r="AS364" s="4"/>
      <c r="AT364" s="4"/>
      <c r="AU364" s="4"/>
      <c r="AV364" s="4"/>
      <c r="AW364" s="4"/>
      <c r="AX364" s="4"/>
      <c r="AY364" s="4"/>
      <c r="AZ364" s="4"/>
      <c r="BA364" s="4"/>
      <c r="BB364" s="4"/>
      <c r="BC364" s="5"/>
      <c r="BD364" s="4"/>
      <c r="BE364" s="4"/>
      <c r="BF364" s="4"/>
      <c r="BG364" s="4"/>
      <c r="BH364" s="4"/>
      <c r="BI364" s="4"/>
      <c r="BJ364" s="4"/>
      <c r="BK364" s="4"/>
      <c r="BL364" s="4"/>
      <c r="BM364" s="4"/>
      <c r="BN364" s="4"/>
      <c r="BO364" s="4"/>
      <c r="BP364" s="4"/>
      <c r="BQ364" s="4"/>
      <c r="BR364" s="4"/>
    </row>
    <row r="365" spans="1:70">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c r="AG365" s="4"/>
      <c r="AH365" s="4"/>
      <c r="AI365" s="4"/>
      <c r="AJ365" s="4"/>
      <c r="AK365" s="4"/>
      <c r="AL365" s="4"/>
      <c r="AM365" s="4"/>
      <c r="AN365" s="4"/>
      <c r="AO365" s="4"/>
      <c r="AP365" s="4"/>
      <c r="AQ365" s="4"/>
      <c r="AR365" s="4"/>
      <c r="AS365" s="4"/>
      <c r="AT365" s="4"/>
      <c r="AU365" s="4"/>
      <c r="AV365" s="4"/>
      <c r="AW365" s="4"/>
      <c r="AX365" s="4"/>
      <c r="AY365" s="4"/>
      <c r="AZ365" s="4"/>
      <c r="BA365" s="4"/>
      <c r="BB365" s="4"/>
      <c r="BC365" s="5"/>
      <c r="BD365" s="4"/>
      <c r="BE365" s="4"/>
      <c r="BF365" s="4"/>
      <c r="BG365" s="4"/>
      <c r="BH365" s="4"/>
      <c r="BI365" s="4"/>
      <c r="BJ365" s="4"/>
      <c r="BK365" s="4"/>
      <c r="BL365" s="4"/>
      <c r="BM365" s="4"/>
      <c r="BN365" s="4"/>
      <c r="BO365" s="4"/>
      <c r="BP365" s="4"/>
      <c r="BQ365" s="4"/>
      <c r="BR365" s="4"/>
    </row>
    <row r="366" spans="1:70">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c r="AG366" s="4"/>
      <c r="AH366" s="4"/>
      <c r="AI366" s="4"/>
      <c r="AJ366" s="4"/>
      <c r="AK366" s="4"/>
      <c r="AL366" s="4"/>
      <c r="AM366" s="4"/>
      <c r="AN366" s="4"/>
      <c r="AO366" s="4"/>
      <c r="AP366" s="4"/>
      <c r="AQ366" s="4"/>
      <c r="AR366" s="4"/>
      <c r="AS366" s="4"/>
      <c r="AT366" s="4"/>
      <c r="AU366" s="4"/>
      <c r="AV366" s="4"/>
      <c r="AW366" s="4"/>
      <c r="AX366" s="4"/>
      <c r="AY366" s="4"/>
      <c r="AZ366" s="4"/>
      <c r="BA366" s="4"/>
      <c r="BB366" s="4"/>
      <c r="BC366" s="5"/>
      <c r="BD366" s="4"/>
      <c r="BE366" s="4"/>
      <c r="BF366" s="4"/>
      <c r="BG366" s="4"/>
      <c r="BH366" s="4"/>
      <c r="BI366" s="4"/>
      <c r="BJ366" s="4"/>
      <c r="BK366" s="4"/>
      <c r="BL366" s="4"/>
      <c r="BM366" s="4"/>
      <c r="BN366" s="4"/>
      <c r="BO366" s="4"/>
      <c r="BP366" s="4"/>
      <c r="BQ366" s="4"/>
      <c r="BR366" s="4"/>
    </row>
    <row r="367" spans="1:70">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c r="AG367" s="4"/>
      <c r="AH367" s="4"/>
      <c r="AI367" s="4"/>
      <c r="AJ367" s="4"/>
      <c r="AK367" s="4"/>
      <c r="AL367" s="4"/>
      <c r="AM367" s="4"/>
      <c r="AN367" s="4"/>
      <c r="AO367" s="4"/>
      <c r="AP367" s="4"/>
      <c r="AQ367" s="4"/>
      <c r="AR367" s="4"/>
      <c r="AS367" s="4"/>
      <c r="AT367" s="4"/>
      <c r="AU367" s="4"/>
      <c r="AV367" s="4"/>
      <c r="AW367" s="4"/>
      <c r="AX367" s="4"/>
      <c r="AY367" s="4"/>
      <c r="AZ367" s="4"/>
      <c r="BA367" s="4"/>
      <c r="BB367" s="4"/>
      <c r="BC367" s="5"/>
      <c r="BD367" s="4"/>
      <c r="BE367" s="4"/>
      <c r="BF367" s="4"/>
      <c r="BG367" s="4"/>
      <c r="BH367" s="4"/>
      <c r="BI367" s="4"/>
      <c r="BJ367" s="4"/>
      <c r="BK367" s="4"/>
      <c r="BL367" s="4"/>
      <c r="BM367" s="4"/>
      <c r="BN367" s="4"/>
      <c r="BO367" s="4"/>
      <c r="BP367" s="4"/>
      <c r="BQ367" s="4"/>
      <c r="BR367" s="4"/>
    </row>
    <row r="368" spans="1:70">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c r="AG368" s="4"/>
      <c r="AH368" s="4"/>
      <c r="AI368" s="4"/>
      <c r="AJ368" s="4"/>
      <c r="AK368" s="4"/>
      <c r="AL368" s="4"/>
      <c r="AM368" s="4"/>
      <c r="AN368" s="4"/>
      <c r="AO368" s="4"/>
      <c r="AP368" s="4"/>
      <c r="AQ368" s="4"/>
      <c r="AR368" s="4"/>
      <c r="AS368" s="4"/>
      <c r="AT368" s="4"/>
      <c r="AU368" s="4"/>
      <c r="AV368" s="4"/>
      <c r="AW368" s="4"/>
      <c r="AX368" s="4"/>
      <c r="AY368" s="4"/>
      <c r="AZ368" s="4"/>
      <c r="BA368" s="4"/>
      <c r="BB368" s="4"/>
      <c r="BC368" s="5"/>
      <c r="BD368" s="4"/>
      <c r="BE368" s="4"/>
      <c r="BF368" s="4"/>
      <c r="BG368" s="4"/>
      <c r="BH368" s="4"/>
      <c r="BI368" s="4"/>
      <c r="BJ368" s="4"/>
      <c r="BK368" s="4"/>
      <c r="BL368" s="4"/>
      <c r="BM368" s="4"/>
      <c r="BN368" s="4"/>
      <c r="BO368" s="4"/>
      <c r="BP368" s="4"/>
      <c r="BQ368" s="4"/>
      <c r="BR368" s="4"/>
    </row>
    <row r="369" spans="1:70">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c r="AG369" s="4"/>
      <c r="AH369" s="4"/>
      <c r="AI369" s="4"/>
      <c r="AJ369" s="4"/>
      <c r="AK369" s="4"/>
      <c r="AL369" s="4"/>
      <c r="AM369" s="4"/>
      <c r="AN369" s="4"/>
      <c r="AO369" s="4"/>
      <c r="AP369" s="4"/>
      <c r="AQ369" s="4"/>
      <c r="AR369" s="4"/>
      <c r="AS369" s="4"/>
      <c r="AT369" s="4"/>
      <c r="AU369" s="4"/>
      <c r="AV369" s="4"/>
      <c r="AW369" s="4"/>
      <c r="AX369" s="4"/>
      <c r="AY369" s="4"/>
      <c r="AZ369" s="4"/>
      <c r="BA369" s="4"/>
      <c r="BB369" s="4"/>
      <c r="BC369" s="5"/>
      <c r="BD369" s="4"/>
      <c r="BE369" s="4"/>
      <c r="BF369" s="4"/>
      <c r="BG369" s="4"/>
      <c r="BH369" s="4"/>
      <c r="BI369" s="4"/>
      <c r="BJ369" s="4"/>
      <c r="BK369" s="4"/>
      <c r="BL369" s="4"/>
      <c r="BM369" s="4"/>
      <c r="BN369" s="4"/>
      <c r="BO369" s="4"/>
      <c r="BP369" s="4"/>
      <c r="BQ369" s="4"/>
      <c r="BR369" s="4"/>
    </row>
    <row r="370" spans="1: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c r="AG370" s="4"/>
      <c r="AH370" s="4"/>
      <c r="AI370" s="4"/>
      <c r="AJ370" s="4"/>
      <c r="AK370" s="4"/>
      <c r="AL370" s="4"/>
      <c r="AM370" s="4"/>
      <c r="AN370" s="4"/>
      <c r="AO370" s="4"/>
      <c r="AP370" s="4"/>
      <c r="AQ370" s="4"/>
      <c r="AR370" s="4"/>
      <c r="AS370" s="4"/>
      <c r="AT370" s="4"/>
      <c r="AU370" s="4"/>
      <c r="AV370" s="4"/>
      <c r="AW370" s="4"/>
      <c r="AX370" s="4"/>
      <c r="AY370" s="4"/>
      <c r="AZ370" s="4"/>
      <c r="BA370" s="4"/>
      <c r="BB370" s="4"/>
      <c r="BC370" s="5"/>
      <c r="BD370" s="4"/>
      <c r="BE370" s="4"/>
      <c r="BF370" s="4"/>
      <c r="BG370" s="4"/>
      <c r="BH370" s="4"/>
      <c r="BI370" s="4"/>
      <c r="BJ370" s="4"/>
      <c r="BK370" s="4"/>
      <c r="BL370" s="4"/>
      <c r="BM370" s="4"/>
      <c r="BN370" s="4"/>
      <c r="BO370" s="4"/>
      <c r="BP370" s="4"/>
      <c r="BQ370" s="4"/>
      <c r="BR370" s="4"/>
    </row>
    <row r="371" spans="1:70">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c r="AG371" s="4"/>
      <c r="AH371" s="4"/>
      <c r="AI371" s="4"/>
      <c r="AJ371" s="4"/>
      <c r="AK371" s="4"/>
      <c r="AL371" s="4"/>
      <c r="AM371" s="4"/>
      <c r="AN371" s="4"/>
      <c r="AO371" s="4"/>
      <c r="AP371" s="4"/>
      <c r="AQ371" s="4"/>
      <c r="AR371" s="4"/>
      <c r="AS371" s="4"/>
      <c r="AT371" s="4"/>
      <c r="AU371" s="4"/>
      <c r="AV371" s="4"/>
      <c r="AW371" s="4"/>
      <c r="AX371" s="4"/>
      <c r="AY371" s="4"/>
      <c r="AZ371" s="4"/>
      <c r="BA371" s="4"/>
      <c r="BB371" s="4"/>
      <c r="BC371" s="5"/>
      <c r="BD371" s="4"/>
      <c r="BE371" s="4"/>
      <c r="BF371" s="4"/>
      <c r="BG371" s="4"/>
      <c r="BH371" s="4"/>
      <c r="BI371" s="4"/>
      <c r="BJ371" s="4"/>
      <c r="BK371" s="4"/>
      <c r="BL371" s="4"/>
      <c r="BM371" s="4"/>
      <c r="BN371" s="4"/>
      <c r="BO371" s="4"/>
      <c r="BP371" s="4"/>
      <c r="BQ371" s="4"/>
      <c r="BR371" s="4"/>
    </row>
    <row r="372" spans="1:70">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c r="AG372" s="4"/>
      <c r="AH372" s="4"/>
      <c r="AI372" s="4"/>
      <c r="AJ372" s="4"/>
      <c r="AK372" s="4"/>
      <c r="AL372" s="4"/>
      <c r="AM372" s="4"/>
      <c r="AN372" s="4"/>
      <c r="AO372" s="4"/>
      <c r="AP372" s="4"/>
      <c r="AQ372" s="4"/>
      <c r="AR372" s="4"/>
      <c r="AS372" s="4"/>
      <c r="AT372" s="4"/>
      <c r="AU372" s="4"/>
      <c r="AV372" s="4"/>
      <c r="AW372" s="4"/>
      <c r="AX372" s="4"/>
      <c r="AY372" s="4"/>
      <c r="AZ372" s="4"/>
      <c r="BA372" s="4"/>
      <c r="BB372" s="4"/>
      <c r="BC372" s="5"/>
      <c r="BD372" s="4"/>
      <c r="BE372" s="4"/>
      <c r="BF372" s="4"/>
      <c r="BG372" s="4"/>
      <c r="BH372" s="4"/>
      <c r="BI372" s="4"/>
      <c r="BJ372" s="4"/>
      <c r="BK372" s="4"/>
      <c r="BL372" s="4"/>
      <c r="BM372" s="4"/>
      <c r="BN372" s="4"/>
      <c r="BO372" s="4"/>
      <c r="BP372" s="4"/>
      <c r="BQ372" s="4"/>
      <c r="BR372" s="4"/>
    </row>
    <row r="373" spans="1:70">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c r="AG373" s="4"/>
      <c r="AH373" s="4"/>
      <c r="AI373" s="4"/>
      <c r="AJ373" s="4"/>
      <c r="AK373" s="4"/>
      <c r="AL373" s="4"/>
      <c r="AM373" s="4"/>
      <c r="AN373" s="4"/>
      <c r="AO373" s="4"/>
      <c r="AP373" s="4"/>
      <c r="AQ373" s="4"/>
      <c r="AR373" s="4"/>
      <c r="AS373" s="4"/>
      <c r="AT373" s="4"/>
      <c r="AU373" s="4"/>
      <c r="AV373" s="4"/>
      <c r="AW373" s="4"/>
      <c r="AX373" s="4"/>
      <c r="AY373" s="4"/>
      <c r="AZ373" s="4"/>
      <c r="BA373" s="4"/>
      <c r="BB373" s="4"/>
      <c r="BC373" s="5"/>
      <c r="BD373" s="4"/>
      <c r="BE373" s="4"/>
      <c r="BF373" s="4"/>
      <c r="BG373" s="4"/>
      <c r="BH373" s="4"/>
      <c r="BI373" s="4"/>
      <c r="BJ373" s="4"/>
      <c r="BK373" s="4"/>
      <c r="BL373" s="4"/>
      <c r="BM373" s="4"/>
      <c r="BN373" s="4"/>
      <c r="BO373" s="4"/>
      <c r="BP373" s="4"/>
      <c r="BQ373" s="4"/>
      <c r="BR373" s="4"/>
    </row>
    <row r="374" spans="1:70">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c r="AG374" s="4"/>
      <c r="AH374" s="4"/>
      <c r="AI374" s="4"/>
      <c r="AJ374" s="4"/>
      <c r="AK374" s="4"/>
      <c r="AL374" s="4"/>
      <c r="AM374" s="4"/>
      <c r="AN374" s="4"/>
      <c r="AO374" s="4"/>
      <c r="AP374" s="4"/>
      <c r="AQ374" s="4"/>
      <c r="AR374" s="4"/>
      <c r="AS374" s="4"/>
      <c r="AT374" s="4"/>
      <c r="AU374" s="4"/>
      <c r="AV374" s="4"/>
      <c r="AW374" s="4"/>
      <c r="AX374" s="4"/>
      <c r="AY374" s="4"/>
      <c r="AZ374" s="4"/>
      <c r="BA374" s="4"/>
      <c r="BB374" s="4"/>
      <c r="BC374" s="5"/>
      <c r="BD374" s="4"/>
      <c r="BE374" s="4"/>
      <c r="BF374" s="4"/>
      <c r="BG374" s="4"/>
      <c r="BH374" s="4"/>
      <c r="BI374" s="4"/>
      <c r="BJ374" s="4"/>
      <c r="BK374" s="4"/>
      <c r="BL374" s="4"/>
      <c r="BM374" s="4"/>
      <c r="BN374" s="4"/>
      <c r="BO374" s="4"/>
      <c r="BP374" s="4"/>
      <c r="BQ374" s="4"/>
      <c r="BR374" s="4"/>
    </row>
    <row r="375" spans="1:70">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c r="AG375" s="4"/>
      <c r="AH375" s="4"/>
      <c r="AI375" s="4"/>
      <c r="AJ375" s="4"/>
      <c r="AK375" s="4"/>
      <c r="AL375" s="4"/>
      <c r="AM375" s="4"/>
      <c r="AN375" s="4"/>
      <c r="AO375" s="4"/>
      <c r="AP375" s="4"/>
      <c r="AQ375" s="4"/>
      <c r="AR375" s="4"/>
      <c r="AS375" s="4"/>
      <c r="AT375" s="4"/>
      <c r="AU375" s="4"/>
      <c r="AV375" s="4"/>
      <c r="AW375" s="4"/>
      <c r="AX375" s="4"/>
      <c r="AY375" s="4"/>
      <c r="AZ375" s="4"/>
      <c r="BA375" s="4"/>
      <c r="BB375" s="4"/>
      <c r="BC375" s="5"/>
      <c r="BD375" s="4"/>
      <c r="BE375" s="4"/>
      <c r="BF375" s="4"/>
      <c r="BG375" s="4"/>
      <c r="BH375" s="4"/>
      <c r="BI375" s="4"/>
      <c r="BJ375" s="4"/>
      <c r="BK375" s="4"/>
      <c r="BL375" s="4"/>
      <c r="BM375" s="4"/>
      <c r="BN375" s="4"/>
      <c r="BO375" s="4"/>
      <c r="BP375" s="4"/>
      <c r="BQ375" s="4"/>
      <c r="BR375" s="4"/>
    </row>
    <row r="376" spans="1:70">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c r="AG376" s="4"/>
      <c r="AH376" s="4"/>
      <c r="AI376" s="4"/>
      <c r="AJ376" s="4"/>
      <c r="AK376" s="4"/>
      <c r="AL376" s="4"/>
      <c r="AM376" s="4"/>
      <c r="AN376" s="4"/>
      <c r="AO376" s="4"/>
      <c r="AP376" s="4"/>
      <c r="AQ376" s="4"/>
      <c r="AR376" s="4"/>
      <c r="AS376" s="4"/>
      <c r="AT376" s="4"/>
      <c r="AU376" s="4"/>
      <c r="AV376" s="4"/>
      <c r="AW376" s="4"/>
      <c r="AX376" s="4"/>
      <c r="AY376" s="4"/>
      <c r="AZ376" s="4"/>
      <c r="BA376" s="4"/>
      <c r="BB376" s="4"/>
      <c r="BC376" s="5"/>
      <c r="BD376" s="4"/>
      <c r="BE376" s="4"/>
      <c r="BF376" s="4"/>
      <c r="BG376" s="4"/>
      <c r="BH376" s="4"/>
      <c r="BI376" s="4"/>
      <c r="BJ376" s="4"/>
      <c r="BK376" s="4"/>
      <c r="BL376" s="4"/>
      <c r="BM376" s="4"/>
      <c r="BN376" s="4"/>
      <c r="BO376" s="4"/>
      <c r="BP376" s="4"/>
      <c r="BQ376" s="4"/>
      <c r="BR376" s="4"/>
    </row>
    <row r="377" spans="1:70">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c r="AG377" s="4"/>
      <c r="AH377" s="4"/>
      <c r="AI377" s="4"/>
      <c r="AJ377" s="4"/>
      <c r="AK377" s="4"/>
      <c r="AL377" s="4"/>
      <c r="AM377" s="4"/>
      <c r="AN377" s="4"/>
      <c r="AO377" s="4"/>
      <c r="AP377" s="4"/>
      <c r="AQ377" s="4"/>
      <c r="AR377" s="4"/>
      <c r="AS377" s="4"/>
      <c r="AT377" s="4"/>
      <c r="AU377" s="4"/>
      <c r="AV377" s="4"/>
      <c r="AW377" s="4"/>
      <c r="AX377" s="4"/>
      <c r="AY377" s="4"/>
      <c r="AZ377" s="4"/>
      <c r="BA377" s="4"/>
      <c r="BB377" s="4"/>
      <c r="BC377" s="5"/>
      <c r="BD377" s="4"/>
      <c r="BE377" s="4"/>
      <c r="BF377" s="4"/>
      <c r="BG377" s="4"/>
      <c r="BH377" s="4"/>
      <c r="BI377" s="4"/>
      <c r="BJ377" s="4"/>
      <c r="BK377" s="4"/>
      <c r="BL377" s="4"/>
      <c r="BM377" s="4"/>
      <c r="BN377" s="4"/>
      <c r="BO377" s="4"/>
      <c r="BP377" s="4"/>
      <c r="BQ377" s="4"/>
      <c r="BR377" s="4"/>
    </row>
    <row r="378" spans="1:70">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4"/>
      <c r="AH378" s="4"/>
      <c r="AI378" s="4"/>
      <c r="AJ378" s="4"/>
      <c r="AK378" s="4"/>
      <c r="AL378" s="4"/>
      <c r="AM378" s="4"/>
      <c r="AN378" s="4"/>
      <c r="AO378" s="4"/>
      <c r="AP378" s="4"/>
      <c r="AQ378" s="4"/>
      <c r="AR378" s="4"/>
      <c r="AS378" s="4"/>
      <c r="AT378" s="4"/>
      <c r="AU378" s="4"/>
      <c r="AV378" s="4"/>
      <c r="AW378" s="4"/>
      <c r="AX378" s="4"/>
      <c r="AY378" s="4"/>
      <c r="AZ378" s="4"/>
      <c r="BA378" s="4"/>
      <c r="BB378" s="4"/>
      <c r="BC378" s="5"/>
      <c r="BD378" s="4"/>
      <c r="BE378" s="4"/>
      <c r="BF378" s="4"/>
      <c r="BG378" s="4"/>
      <c r="BH378" s="4"/>
      <c r="BI378" s="4"/>
      <c r="BJ378" s="4"/>
      <c r="BK378" s="4"/>
      <c r="BL378" s="4"/>
      <c r="BM378" s="4"/>
      <c r="BN378" s="4"/>
      <c r="BO378" s="4"/>
      <c r="BP378" s="4"/>
      <c r="BQ378" s="4"/>
      <c r="BR378" s="4"/>
    </row>
    <row r="379" spans="1:70">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c r="AG379" s="4"/>
      <c r="AH379" s="4"/>
      <c r="AI379" s="4"/>
      <c r="AJ379" s="4"/>
      <c r="AK379" s="4"/>
      <c r="AL379" s="4"/>
      <c r="AM379" s="4"/>
      <c r="AN379" s="4"/>
      <c r="AO379" s="4"/>
      <c r="AP379" s="4"/>
      <c r="AQ379" s="4"/>
      <c r="AR379" s="4"/>
      <c r="AS379" s="4"/>
      <c r="AT379" s="4"/>
      <c r="AU379" s="4"/>
      <c r="AV379" s="4"/>
      <c r="AW379" s="4"/>
      <c r="AX379" s="4"/>
      <c r="AY379" s="4"/>
      <c r="AZ379" s="4"/>
      <c r="BA379" s="4"/>
      <c r="BB379" s="4"/>
      <c r="BC379" s="5"/>
      <c r="BD379" s="4"/>
      <c r="BE379" s="4"/>
      <c r="BF379" s="4"/>
      <c r="BG379" s="4"/>
      <c r="BH379" s="4"/>
      <c r="BI379" s="4"/>
      <c r="BJ379" s="4"/>
      <c r="BK379" s="4"/>
      <c r="BL379" s="4"/>
      <c r="BM379" s="4"/>
      <c r="BN379" s="4"/>
      <c r="BO379" s="4"/>
      <c r="BP379" s="4"/>
      <c r="BQ379" s="4"/>
      <c r="BR379" s="4"/>
    </row>
    <row r="380" spans="1:7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c r="AG380" s="4"/>
      <c r="AH380" s="4"/>
      <c r="AI380" s="4"/>
      <c r="AJ380" s="4"/>
      <c r="AK380" s="4"/>
      <c r="AL380" s="4"/>
      <c r="AM380" s="4"/>
      <c r="AN380" s="4"/>
      <c r="AO380" s="4"/>
      <c r="AP380" s="4"/>
      <c r="AQ380" s="4"/>
      <c r="AR380" s="4"/>
      <c r="AS380" s="4"/>
      <c r="AT380" s="4"/>
      <c r="AU380" s="4"/>
      <c r="AV380" s="4"/>
      <c r="AW380" s="4"/>
      <c r="AX380" s="4"/>
      <c r="AY380" s="4"/>
      <c r="AZ380" s="4"/>
      <c r="BA380" s="4"/>
      <c r="BB380" s="4"/>
      <c r="BC380" s="5"/>
      <c r="BD380" s="4"/>
      <c r="BE380" s="4"/>
      <c r="BF380" s="4"/>
      <c r="BG380" s="4"/>
      <c r="BH380" s="4"/>
      <c r="BI380" s="4"/>
      <c r="BJ380" s="4"/>
      <c r="BK380" s="4"/>
      <c r="BL380" s="4"/>
      <c r="BM380" s="4"/>
      <c r="BN380" s="4"/>
      <c r="BO380" s="4"/>
      <c r="BP380" s="4"/>
      <c r="BQ380" s="4"/>
      <c r="BR380" s="4"/>
    </row>
    <row r="381" spans="1:70">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c r="AG381" s="4"/>
      <c r="AH381" s="4"/>
      <c r="AI381" s="4"/>
      <c r="AJ381" s="4"/>
      <c r="AK381" s="4"/>
      <c r="AL381" s="4"/>
      <c r="AM381" s="4"/>
      <c r="AN381" s="4"/>
      <c r="AO381" s="4"/>
      <c r="AP381" s="4"/>
      <c r="AQ381" s="4"/>
      <c r="AR381" s="4"/>
      <c r="AS381" s="4"/>
      <c r="AT381" s="4"/>
      <c r="AU381" s="4"/>
      <c r="AV381" s="4"/>
      <c r="AW381" s="4"/>
      <c r="AX381" s="4"/>
      <c r="AY381" s="4"/>
      <c r="AZ381" s="4"/>
      <c r="BA381" s="4"/>
      <c r="BB381" s="4"/>
      <c r="BC381" s="5"/>
      <c r="BD381" s="4"/>
      <c r="BE381" s="4"/>
      <c r="BF381" s="4"/>
      <c r="BG381" s="4"/>
      <c r="BH381" s="4"/>
      <c r="BI381" s="4"/>
      <c r="BJ381" s="4"/>
      <c r="BK381" s="4"/>
      <c r="BL381" s="4"/>
      <c r="BM381" s="4"/>
      <c r="BN381" s="4"/>
      <c r="BO381" s="4"/>
      <c r="BP381" s="4"/>
      <c r="BQ381" s="4"/>
      <c r="BR381" s="4"/>
    </row>
    <row r="382" spans="1:70">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c r="AG382" s="4"/>
      <c r="AH382" s="4"/>
      <c r="AI382" s="4"/>
      <c r="AJ382" s="4"/>
      <c r="AK382" s="4"/>
      <c r="AL382" s="4"/>
      <c r="AM382" s="4"/>
      <c r="AN382" s="4"/>
      <c r="AO382" s="4"/>
      <c r="AP382" s="4"/>
      <c r="AQ382" s="4"/>
      <c r="AR382" s="4"/>
      <c r="AS382" s="4"/>
      <c r="AT382" s="4"/>
      <c r="AU382" s="4"/>
      <c r="AV382" s="4"/>
      <c r="AW382" s="4"/>
      <c r="AX382" s="4"/>
      <c r="AY382" s="4"/>
      <c r="AZ382" s="4"/>
      <c r="BA382" s="4"/>
      <c r="BB382" s="4"/>
      <c r="BC382" s="5"/>
      <c r="BD382" s="4"/>
      <c r="BE382" s="4"/>
      <c r="BF382" s="4"/>
      <c r="BG382" s="4"/>
      <c r="BH382" s="4"/>
      <c r="BI382" s="4"/>
      <c r="BJ382" s="4"/>
      <c r="BK382" s="4"/>
      <c r="BL382" s="4"/>
      <c r="BM382" s="4"/>
      <c r="BN382" s="4"/>
      <c r="BO382" s="4"/>
      <c r="BP382" s="4"/>
      <c r="BQ382" s="4"/>
      <c r="BR382" s="4"/>
    </row>
    <row r="383" spans="1:70">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c r="AG383" s="4"/>
      <c r="AH383" s="4"/>
      <c r="AI383" s="4"/>
      <c r="AJ383" s="4"/>
      <c r="AK383" s="4"/>
      <c r="AL383" s="4"/>
      <c r="AM383" s="4"/>
      <c r="AN383" s="4"/>
      <c r="AO383" s="4"/>
      <c r="AP383" s="4"/>
      <c r="AQ383" s="4"/>
      <c r="AR383" s="4"/>
      <c r="AS383" s="4"/>
      <c r="AT383" s="4"/>
      <c r="AU383" s="4"/>
      <c r="AV383" s="4"/>
      <c r="AW383" s="4"/>
      <c r="AX383" s="4"/>
      <c r="AY383" s="4"/>
      <c r="AZ383" s="4"/>
      <c r="BA383" s="4"/>
      <c r="BB383" s="4"/>
      <c r="BC383" s="5"/>
      <c r="BD383" s="4"/>
      <c r="BE383" s="4"/>
      <c r="BF383" s="4"/>
      <c r="BG383" s="4"/>
      <c r="BH383" s="4"/>
      <c r="BI383" s="4"/>
      <c r="BJ383" s="4"/>
      <c r="BK383" s="4"/>
      <c r="BL383" s="4"/>
      <c r="BM383" s="4"/>
      <c r="BN383" s="4"/>
      <c r="BO383" s="4"/>
      <c r="BP383" s="4"/>
      <c r="BQ383" s="4"/>
      <c r="BR383" s="4"/>
    </row>
    <row r="384" spans="1:70">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c r="AG384" s="4"/>
      <c r="AH384" s="4"/>
      <c r="AI384" s="4"/>
      <c r="AJ384" s="4"/>
      <c r="AK384" s="4"/>
      <c r="AL384" s="4"/>
      <c r="AM384" s="4"/>
      <c r="AN384" s="4"/>
      <c r="AO384" s="4"/>
      <c r="AP384" s="4"/>
      <c r="AQ384" s="4"/>
      <c r="AR384" s="4"/>
      <c r="AS384" s="4"/>
      <c r="AT384" s="4"/>
      <c r="AU384" s="4"/>
      <c r="AV384" s="4"/>
      <c r="AW384" s="4"/>
      <c r="AX384" s="4"/>
      <c r="AY384" s="4"/>
      <c r="AZ384" s="4"/>
      <c r="BA384" s="4"/>
      <c r="BB384" s="4"/>
      <c r="BC384" s="5"/>
      <c r="BD384" s="4"/>
      <c r="BE384" s="4"/>
      <c r="BF384" s="4"/>
      <c r="BG384" s="4"/>
      <c r="BH384" s="4"/>
      <c r="BI384" s="4"/>
      <c r="BJ384" s="4"/>
      <c r="BK384" s="4"/>
      <c r="BL384" s="4"/>
      <c r="BM384" s="4"/>
      <c r="BN384" s="4"/>
      <c r="BO384" s="4"/>
      <c r="BP384" s="4"/>
      <c r="BQ384" s="4"/>
      <c r="BR384" s="4"/>
    </row>
    <row r="385" spans="1:70">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c r="AG385" s="4"/>
      <c r="AH385" s="4"/>
      <c r="AI385" s="4"/>
      <c r="AJ385" s="4"/>
      <c r="AK385" s="4"/>
      <c r="AL385" s="4"/>
      <c r="AM385" s="4"/>
      <c r="AN385" s="4"/>
      <c r="AO385" s="4"/>
      <c r="AP385" s="4"/>
      <c r="AQ385" s="4"/>
      <c r="AR385" s="4"/>
      <c r="AS385" s="4"/>
      <c r="AT385" s="4"/>
      <c r="AU385" s="4"/>
      <c r="AV385" s="4"/>
      <c r="AW385" s="4"/>
      <c r="AX385" s="4"/>
      <c r="AY385" s="4"/>
      <c r="AZ385" s="4"/>
      <c r="BA385" s="4"/>
      <c r="BB385" s="4"/>
      <c r="BC385" s="5"/>
      <c r="BD385" s="4"/>
      <c r="BE385" s="4"/>
      <c r="BF385" s="4"/>
      <c r="BG385" s="4"/>
      <c r="BH385" s="4"/>
      <c r="BI385" s="4"/>
      <c r="BJ385" s="4"/>
      <c r="BK385" s="4"/>
      <c r="BL385" s="4"/>
      <c r="BM385" s="4"/>
      <c r="BN385" s="4"/>
      <c r="BO385" s="4"/>
      <c r="BP385" s="4"/>
      <c r="BQ385" s="4"/>
      <c r="BR385" s="4"/>
    </row>
    <row r="386" spans="1:70">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c r="AG386" s="4"/>
      <c r="AH386" s="4"/>
      <c r="AI386" s="4"/>
      <c r="AJ386" s="4"/>
      <c r="AK386" s="4"/>
      <c r="AL386" s="4"/>
      <c r="AM386" s="4"/>
      <c r="AN386" s="4"/>
      <c r="AO386" s="4"/>
      <c r="AP386" s="4"/>
      <c r="AQ386" s="4"/>
      <c r="AR386" s="4"/>
      <c r="AS386" s="4"/>
      <c r="AT386" s="4"/>
      <c r="AU386" s="4"/>
      <c r="AV386" s="4"/>
      <c r="AW386" s="4"/>
      <c r="AX386" s="4"/>
      <c r="AY386" s="4"/>
      <c r="AZ386" s="4"/>
      <c r="BA386" s="4"/>
      <c r="BB386" s="4"/>
      <c r="BC386" s="5"/>
      <c r="BD386" s="4"/>
      <c r="BE386" s="4"/>
      <c r="BF386" s="4"/>
      <c r="BG386" s="4"/>
      <c r="BH386" s="4"/>
      <c r="BI386" s="4"/>
      <c r="BJ386" s="4"/>
      <c r="BK386" s="4"/>
      <c r="BL386" s="4"/>
      <c r="BM386" s="4"/>
      <c r="BN386" s="4"/>
      <c r="BO386" s="4"/>
      <c r="BP386" s="4"/>
      <c r="BQ386" s="4"/>
      <c r="BR386" s="4"/>
    </row>
    <row r="387" spans="1:70">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c r="AG387" s="4"/>
      <c r="AH387" s="4"/>
      <c r="AI387" s="4"/>
      <c r="AJ387" s="4"/>
      <c r="AK387" s="4"/>
      <c r="AL387" s="4"/>
      <c r="AM387" s="4"/>
      <c r="AN387" s="4"/>
      <c r="AO387" s="4"/>
      <c r="AP387" s="4"/>
      <c r="AQ387" s="4"/>
      <c r="AR387" s="4"/>
      <c r="AS387" s="4"/>
      <c r="AT387" s="4"/>
      <c r="AU387" s="4"/>
      <c r="AV387" s="4"/>
      <c r="AW387" s="4"/>
      <c r="AX387" s="4"/>
      <c r="AY387" s="4"/>
      <c r="AZ387" s="4"/>
      <c r="BA387" s="4"/>
      <c r="BB387" s="4"/>
      <c r="BC387" s="5"/>
      <c r="BD387" s="4"/>
      <c r="BE387" s="4"/>
      <c r="BF387" s="4"/>
      <c r="BG387" s="4"/>
      <c r="BH387" s="4"/>
      <c r="BI387" s="4"/>
      <c r="BJ387" s="4"/>
      <c r="BK387" s="4"/>
      <c r="BL387" s="4"/>
      <c r="BM387" s="4"/>
      <c r="BN387" s="4"/>
      <c r="BO387" s="4"/>
      <c r="BP387" s="4"/>
      <c r="BQ387" s="4"/>
      <c r="BR387" s="4"/>
    </row>
    <row r="388" spans="1:70">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c r="AG388" s="4"/>
      <c r="AH388" s="4"/>
      <c r="AI388" s="4"/>
      <c r="AJ388" s="4"/>
      <c r="AK388" s="4"/>
      <c r="AL388" s="4"/>
      <c r="AM388" s="4"/>
      <c r="AN388" s="4"/>
      <c r="AO388" s="4"/>
      <c r="AP388" s="4"/>
      <c r="AQ388" s="4"/>
      <c r="AR388" s="4"/>
      <c r="AS388" s="4"/>
      <c r="AT388" s="4"/>
      <c r="AU388" s="4"/>
      <c r="AV388" s="4"/>
      <c r="AW388" s="4"/>
      <c r="AX388" s="4"/>
      <c r="AY388" s="4"/>
      <c r="AZ388" s="4"/>
      <c r="BA388" s="4"/>
      <c r="BB388" s="4"/>
      <c r="BC388" s="5"/>
      <c r="BD388" s="4"/>
      <c r="BE388" s="4"/>
      <c r="BF388" s="4"/>
      <c r="BG388" s="4"/>
      <c r="BH388" s="4"/>
      <c r="BI388" s="4"/>
      <c r="BJ388" s="4"/>
      <c r="BK388" s="4"/>
      <c r="BL388" s="4"/>
      <c r="BM388" s="4"/>
      <c r="BN388" s="4"/>
      <c r="BO388" s="4"/>
      <c r="BP388" s="4"/>
      <c r="BQ388" s="4"/>
      <c r="BR388" s="4"/>
    </row>
    <row r="389" spans="1:70">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c r="AG389" s="4"/>
      <c r="AH389" s="4"/>
      <c r="AI389" s="4"/>
      <c r="AJ389" s="4"/>
      <c r="AK389" s="4"/>
      <c r="AL389" s="4"/>
      <c r="AM389" s="4"/>
      <c r="AN389" s="4"/>
      <c r="AO389" s="4"/>
      <c r="AP389" s="4"/>
      <c r="AQ389" s="4"/>
      <c r="AR389" s="4"/>
      <c r="AS389" s="4"/>
      <c r="AT389" s="4"/>
      <c r="AU389" s="4"/>
      <c r="AV389" s="4"/>
      <c r="AW389" s="4"/>
      <c r="AX389" s="4"/>
      <c r="AY389" s="4"/>
      <c r="AZ389" s="4"/>
      <c r="BA389" s="4"/>
      <c r="BB389" s="4"/>
      <c r="BC389" s="5"/>
      <c r="BD389" s="4"/>
      <c r="BE389" s="4"/>
      <c r="BF389" s="4"/>
      <c r="BG389" s="4"/>
      <c r="BH389" s="4"/>
      <c r="BI389" s="4"/>
      <c r="BJ389" s="4"/>
      <c r="BK389" s="4"/>
      <c r="BL389" s="4"/>
      <c r="BM389" s="4"/>
      <c r="BN389" s="4"/>
      <c r="BO389" s="4"/>
      <c r="BP389" s="4"/>
      <c r="BQ389" s="4"/>
      <c r="BR389" s="4"/>
    </row>
    <row r="390" spans="1:7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c r="AG390" s="4"/>
      <c r="AH390" s="4"/>
      <c r="AI390" s="4"/>
      <c r="AJ390" s="4"/>
      <c r="AK390" s="4"/>
      <c r="AL390" s="4"/>
      <c r="AM390" s="4"/>
      <c r="AN390" s="4"/>
      <c r="AO390" s="4"/>
      <c r="AP390" s="4"/>
      <c r="AQ390" s="4"/>
      <c r="AR390" s="4"/>
      <c r="AS390" s="4"/>
      <c r="AT390" s="4"/>
      <c r="AU390" s="4"/>
      <c r="AV390" s="4"/>
      <c r="AW390" s="4"/>
      <c r="AX390" s="4"/>
      <c r="AY390" s="4"/>
      <c r="AZ390" s="4"/>
      <c r="BA390" s="4"/>
      <c r="BB390" s="4"/>
      <c r="BC390" s="5"/>
      <c r="BD390" s="4"/>
      <c r="BE390" s="4"/>
      <c r="BF390" s="4"/>
      <c r="BG390" s="4"/>
      <c r="BH390" s="4"/>
      <c r="BI390" s="4"/>
      <c r="BJ390" s="4"/>
      <c r="BK390" s="4"/>
      <c r="BL390" s="4"/>
      <c r="BM390" s="4"/>
      <c r="BN390" s="4"/>
      <c r="BO390" s="4"/>
      <c r="BP390" s="4"/>
      <c r="BQ390" s="4"/>
      <c r="BR390" s="4"/>
    </row>
    <row r="391" spans="1:70">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c r="AG391" s="4"/>
      <c r="AH391" s="4"/>
      <c r="AI391" s="4"/>
      <c r="AJ391" s="4"/>
      <c r="AK391" s="4"/>
      <c r="AL391" s="4"/>
      <c r="AM391" s="4"/>
      <c r="AN391" s="4"/>
      <c r="AO391" s="4"/>
      <c r="AP391" s="4"/>
      <c r="AQ391" s="4"/>
      <c r="AR391" s="4"/>
      <c r="AS391" s="4"/>
      <c r="AT391" s="4"/>
      <c r="AU391" s="4"/>
      <c r="AV391" s="4"/>
      <c r="AW391" s="4"/>
      <c r="AX391" s="4"/>
      <c r="AY391" s="4"/>
      <c r="AZ391" s="4"/>
      <c r="BA391" s="4"/>
      <c r="BB391" s="4"/>
      <c r="BC391" s="5"/>
      <c r="BD391" s="4"/>
      <c r="BE391" s="4"/>
      <c r="BF391" s="4"/>
      <c r="BG391" s="4"/>
      <c r="BH391" s="4"/>
      <c r="BI391" s="4"/>
      <c r="BJ391" s="4"/>
      <c r="BK391" s="4"/>
      <c r="BL391" s="4"/>
      <c r="BM391" s="4"/>
      <c r="BN391" s="4"/>
      <c r="BO391" s="4"/>
      <c r="BP391" s="4"/>
      <c r="BQ391" s="4"/>
      <c r="BR391" s="4"/>
    </row>
    <row r="392" spans="1:70">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c r="AG392" s="4"/>
      <c r="AH392" s="4"/>
      <c r="AI392" s="4"/>
      <c r="AJ392" s="4"/>
      <c r="AK392" s="4"/>
      <c r="AL392" s="4"/>
      <c r="AM392" s="4"/>
      <c r="AN392" s="4"/>
      <c r="AO392" s="4"/>
      <c r="AP392" s="4"/>
      <c r="AQ392" s="4"/>
      <c r="AR392" s="4"/>
      <c r="AS392" s="4"/>
      <c r="AT392" s="4"/>
      <c r="AU392" s="4"/>
      <c r="AV392" s="4"/>
      <c r="AW392" s="4"/>
      <c r="AX392" s="4"/>
      <c r="AY392" s="4"/>
      <c r="AZ392" s="4"/>
      <c r="BA392" s="4"/>
      <c r="BB392" s="4"/>
      <c r="BC392" s="5"/>
      <c r="BD392" s="4"/>
      <c r="BE392" s="4"/>
      <c r="BF392" s="4"/>
      <c r="BG392" s="4"/>
      <c r="BH392" s="4"/>
      <c r="BI392" s="4"/>
      <c r="BJ392" s="4"/>
      <c r="BK392" s="4"/>
      <c r="BL392" s="4"/>
      <c r="BM392" s="4"/>
      <c r="BN392" s="4"/>
      <c r="BO392" s="4"/>
      <c r="BP392" s="4"/>
      <c r="BQ392" s="4"/>
      <c r="BR392" s="4"/>
    </row>
    <row r="393" spans="1:70">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c r="AG393" s="4"/>
      <c r="AH393" s="4"/>
      <c r="AI393" s="4"/>
      <c r="AJ393" s="4"/>
      <c r="AK393" s="4"/>
      <c r="AL393" s="4"/>
      <c r="AM393" s="4"/>
      <c r="AN393" s="4"/>
      <c r="AO393" s="4"/>
      <c r="AP393" s="4"/>
      <c r="AQ393" s="4"/>
      <c r="AR393" s="4"/>
      <c r="AS393" s="4"/>
      <c r="AT393" s="4"/>
      <c r="AU393" s="4"/>
      <c r="AV393" s="4"/>
      <c r="AW393" s="4"/>
      <c r="AX393" s="4"/>
      <c r="AY393" s="4"/>
      <c r="AZ393" s="4"/>
      <c r="BA393" s="4"/>
      <c r="BB393" s="4"/>
      <c r="BC393" s="5"/>
      <c r="BD393" s="4"/>
      <c r="BE393" s="4"/>
      <c r="BF393" s="4"/>
      <c r="BG393" s="4"/>
      <c r="BH393" s="4"/>
      <c r="BI393" s="4"/>
      <c r="BJ393" s="4"/>
      <c r="BK393" s="4"/>
      <c r="BL393" s="4"/>
      <c r="BM393" s="4"/>
      <c r="BN393" s="4"/>
      <c r="BO393" s="4"/>
      <c r="BP393" s="4"/>
      <c r="BQ393" s="4"/>
      <c r="BR393" s="4"/>
    </row>
    <row r="394" spans="1:70">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c r="AG394" s="4"/>
      <c r="AH394" s="4"/>
      <c r="AI394" s="4"/>
      <c r="AJ394" s="4"/>
      <c r="AK394" s="4"/>
      <c r="AL394" s="4"/>
      <c r="AM394" s="4"/>
      <c r="AN394" s="4"/>
      <c r="AO394" s="4"/>
      <c r="AP394" s="4"/>
      <c r="AQ394" s="4"/>
      <c r="AR394" s="4"/>
      <c r="AS394" s="4"/>
      <c r="AT394" s="4"/>
      <c r="AU394" s="4"/>
      <c r="AV394" s="4"/>
      <c r="AW394" s="4"/>
      <c r="AX394" s="4"/>
      <c r="AY394" s="4"/>
      <c r="AZ394" s="4"/>
      <c r="BA394" s="4"/>
      <c r="BB394" s="4"/>
      <c r="BC394" s="5"/>
      <c r="BD394" s="4"/>
      <c r="BE394" s="4"/>
      <c r="BF394" s="4"/>
      <c r="BG394" s="4"/>
      <c r="BH394" s="4"/>
      <c r="BI394" s="4"/>
      <c r="BJ394" s="4"/>
      <c r="BK394" s="4"/>
      <c r="BL394" s="4"/>
      <c r="BM394" s="4"/>
      <c r="BN394" s="4"/>
      <c r="BO394" s="4"/>
      <c r="BP394" s="4"/>
      <c r="BQ394" s="4"/>
      <c r="BR394" s="4"/>
    </row>
    <row r="395" spans="1:70">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c r="AG395" s="4"/>
      <c r="AH395" s="4"/>
      <c r="AI395" s="4"/>
      <c r="AJ395" s="4"/>
      <c r="AK395" s="4"/>
      <c r="AL395" s="4"/>
      <c r="AM395" s="4"/>
      <c r="AN395" s="4"/>
      <c r="AO395" s="4"/>
      <c r="AP395" s="4"/>
      <c r="AQ395" s="4"/>
      <c r="AR395" s="4"/>
      <c r="AS395" s="4"/>
      <c r="AT395" s="4"/>
      <c r="AU395" s="4"/>
      <c r="AV395" s="4"/>
      <c r="AW395" s="4"/>
      <c r="AX395" s="4"/>
      <c r="AY395" s="4"/>
      <c r="AZ395" s="4"/>
      <c r="BA395" s="4"/>
      <c r="BB395" s="4"/>
      <c r="BC395" s="5"/>
      <c r="BD395" s="4"/>
      <c r="BE395" s="4"/>
      <c r="BF395" s="4"/>
      <c r="BG395" s="4"/>
      <c r="BH395" s="4"/>
      <c r="BI395" s="4"/>
      <c r="BJ395" s="4"/>
      <c r="BK395" s="4"/>
      <c r="BL395" s="4"/>
      <c r="BM395" s="4"/>
      <c r="BN395" s="4"/>
      <c r="BO395" s="4"/>
      <c r="BP395" s="4"/>
      <c r="BQ395" s="4"/>
      <c r="BR395" s="4"/>
    </row>
    <row r="396" spans="1:70">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c r="AG396" s="4"/>
      <c r="AH396" s="4"/>
      <c r="AI396" s="4"/>
      <c r="AJ396" s="4"/>
      <c r="AK396" s="4"/>
      <c r="AL396" s="4"/>
      <c r="AM396" s="4"/>
      <c r="AN396" s="4"/>
      <c r="AO396" s="4"/>
      <c r="AP396" s="4"/>
      <c r="AQ396" s="4"/>
      <c r="AR396" s="4"/>
      <c r="AS396" s="4"/>
      <c r="AT396" s="4"/>
      <c r="AU396" s="4"/>
      <c r="AV396" s="4"/>
      <c r="AW396" s="4"/>
      <c r="AX396" s="4"/>
      <c r="AY396" s="4"/>
      <c r="AZ396" s="4"/>
      <c r="BA396" s="4"/>
      <c r="BB396" s="4"/>
      <c r="BC396" s="5"/>
      <c r="BD396" s="4"/>
      <c r="BE396" s="4"/>
      <c r="BF396" s="4"/>
      <c r="BG396" s="4"/>
      <c r="BH396" s="4"/>
      <c r="BI396" s="4"/>
      <c r="BJ396" s="4"/>
      <c r="BK396" s="4"/>
      <c r="BL396" s="4"/>
      <c r="BM396" s="4"/>
      <c r="BN396" s="4"/>
      <c r="BO396" s="4"/>
      <c r="BP396" s="4"/>
      <c r="BQ396" s="4"/>
      <c r="BR396" s="4"/>
    </row>
    <row r="397" spans="1:70">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c r="AG397" s="4"/>
      <c r="AH397" s="4"/>
      <c r="AI397" s="4"/>
      <c r="AJ397" s="4"/>
      <c r="AK397" s="4"/>
      <c r="AL397" s="4"/>
      <c r="AM397" s="4"/>
      <c r="AN397" s="4"/>
      <c r="AO397" s="4"/>
      <c r="AP397" s="4"/>
      <c r="AQ397" s="4"/>
      <c r="AR397" s="4"/>
      <c r="AS397" s="4"/>
      <c r="AT397" s="4"/>
      <c r="AU397" s="4"/>
      <c r="AV397" s="4"/>
      <c r="AW397" s="4"/>
      <c r="AX397" s="4"/>
      <c r="AY397" s="4"/>
      <c r="AZ397" s="4"/>
      <c r="BA397" s="4"/>
      <c r="BB397" s="4"/>
      <c r="BC397" s="5"/>
      <c r="BD397" s="4"/>
      <c r="BE397" s="4"/>
      <c r="BF397" s="4"/>
      <c r="BG397" s="4"/>
      <c r="BH397" s="4"/>
      <c r="BI397" s="4"/>
      <c r="BJ397" s="4"/>
      <c r="BK397" s="4"/>
      <c r="BL397" s="4"/>
      <c r="BM397" s="4"/>
      <c r="BN397" s="4"/>
      <c r="BO397" s="4"/>
      <c r="BP397" s="4"/>
      <c r="BQ397" s="4"/>
      <c r="BR397" s="4"/>
    </row>
    <row r="398" spans="1:70">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c r="AG398" s="4"/>
      <c r="AH398" s="4"/>
      <c r="AI398" s="4"/>
      <c r="AJ398" s="4"/>
      <c r="AK398" s="4"/>
      <c r="AL398" s="4"/>
      <c r="AM398" s="4"/>
      <c r="AN398" s="4"/>
      <c r="AO398" s="4"/>
      <c r="AP398" s="4"/>
      <c r="AQ398" s="4"/>
      <c r="AR398" s="4"/>
      <c r="AS398" s="4"/>
      <c r="AT398" s="4"/>
      <c r="AU398" s="4"/>
      <c r="AV398" s="4"/>
      <c r="AW398" s="4"/>
      <c r="AX398" s="4"/>
      <c r="AY398" s="4"/>
      <c r="AZ398" s="4"/>
      <c r="BA398" s="4"/>
      <c r="BB398" s="4"/>
      <c r="BC398" s="5"/>
      <c r="BD398" s="4"/>
      <c r="BE398" s="4"/>
      <c r="BF398" s="4"/>
      <c r="BG398" s="4"/>
      <c r="BH398" s="4"/>
      <c r="BI398" s="4"/>
      <c r="BJ398" s="4"/>
      <c r="BK398" s="4"/>
      <c r="BL398" s="4"/>
      <c r="BM398" s="4"/>
      <c r="BN398" s="4"/>
      <c r="BO398" s="4"/>
      <c r="BP398" s="4"/>
      <c r="BQ398" s="4"/>
      <c r="BR398" s="4"/>
    </row>
    <row r="399" spans="1:70">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c r="AG399" s="4"/>
      <c r="AH399" s="4"/>
      <c r="AI399" s="4"/>
      <c r="AJ399" s="4"/>
      <c r="AK399" s="4"/>
      <c r="AL399" s="4"/>
      <c r="AM399" s="4"/>
      <c r="AN399" s="4"/>
      <c r="AO399" s="4"/>
      <c r="AP399" s="4"/>
      <c r="AQ399" s="4"/>
      <c r="AR399" s="4"/>
      <c r="AS399" s="4"/>
      <c r="AT399" s="4"/>
      <c r="AU399" s="4"/>
      <c r="AV399" s="4"/>
      <c r="AW399" s="4"/>
      <c r="AX399" s="4"/>
      <c r="AY399" s="4"/>
      <c r="AZ399" s="4"/>
      <c r="BA399" s="4"/>
      <c r="BB399" s="4"/>
      <c r="BC399" s="5"/>
      <c r="BD399" s="4"/>
      <c r="BE399" s="4"/>
      <c r="BF399" s="4"/>
      <c r="BG399" s="4"/>
      <c r="BH399" s="4"/>
      <c r="BI399" s="4"/>
      <c r="BJ399" s="4"/>
      <c r="BK399" s="4"/>
      <c r="BL399" s="4"/>
      <c r="BM399" s="4"/>
      <c r="BN399" s="4"/>
      <c r="BO399" s="4"/>
      <c r="BP399" s="4"/>
      <c r="BQ399" s="4"/>
      <c r="BR399" s="4"/>
    </row>
    <row r="400" spans="1:7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c r="AG400" s="4"/>
      <c r="AH400" s="4"/>
      <c r="AI400" s="4"/>
      <c r="AJ400" s="4"/>
      <c r="AK400" s="4"/>
      <c r="AL400" s="4"/>
      <c r="AM400" s="4"/>
      <c r="AN400" s="4"/>
      <c r="AO400" s="4"/>
      <c r="AP400" s="4"/>
      <c r="AQ400" s="4"/>
      <c r="AR400" s="4"/>
      <c r="AS400" s="4"/>
      <c r="AT400" s="4"/>
      <c r="AU400" s="4"/>
      <c r="AV400" s="4"/>
      <c r="AW400" s="4"/>
      <c r="AX400" s="4"/>
      <c r="AY400" s="4"/>
      <c r="AZ400" s="4"/>
      <c r="BA400" s="4"/>
      <c r="BB400" s="4"/>
      <c r="BC400" s="5"/>
      <c r="BD400" s="4"/>
      <c r="BE400" s="4"/>
      <c r="BF400" s="4"/>
      <c r="BG400" s="4"/>
      <c r="BH400" s="4"/>
      <c r="BI400" s="4"/>
      <c r="BJ400" s="4"/>
      <c r="BK400" s="4"/>
      <c r="BL400" s="4"/>
      <c r="BM400" s="4"/>
      <c r="BN400" s="4"/>
      <c r="BO400" s="4"/>
      <c r="BP400" s="4"/>
      <c r="BQ400" s="4"/>
      <c r="BR400" s="4"/>
    </row>
    <row r="401" spans="1:70">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c r="AG401" s="4"/>
      <c r="AH401" s="4"/>
      <c r="AI401" s="4"/>
      <c r="AJ401" s="4"/>
      <c r="AK401" s="4"/>
      <c r="AL401" s="4"/>
      <c r="AM401" s="4"/>
      <c r="AN401" s="4"/>
      <c r="AO401" s="4"/>
      <c r="AP401" s="4"/>
      <c r="AQ401" s="4"/>
      <c r="AR401" s="4"/>
      <c r="AS401" s="4"/>
      <c r="AT401" s="4"/>
      <c r="AU401" s="4"/>
      <c r="AV401" s="4"/>
      <c r="AW401" s="4"/>
      <c r="AX401" s="4"/>
      <c r="AY401" s="4"/>
      <c r="AZ401" s="4"/>
      <c r="BA401" s="4"/>
      <c r="BB401" s="4"/>
      <c r="BC401" s="5"/>
      <c r="BD401" s="4"/>
      <c r="BE401" s="4"/>
      <c r="BF401" s="4"/>
      <c r="BG401" s="4"/>
      <c r="BH401" s="4"/>
      <c r="BI401" s="4"/>
      <c r="BJ401" s="4"/>
      <c r="BK401" s="4"/>
      <c r="BL401" s="4"/>
      <c r="BM401" s="4"/>
      <c r="BN401" s="4"/>
      <c r="BO401" s="4"/>
      <c r="BP401" s="4"/>
      <c r="BQ401" s="4"/>
      <c r="BR401" s="4"/>
    </row>
    <row r="402" spans="1:70">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c r="AG402" s="4"/>
      <c r="AH402" s="4"/>
      <c r="AI402" s="4"/>
      <c r="AJ402" s="4"/>
      <c r="AK402" s="4"/>
      <c r="AL402" s="4"/>
      <c r="AM402" s="4"/>
      <c r="AN402" s="4"/>
      <c r="AO402" s="4"/>
      <c r="AP402" s="4"/>
      <c r="AQ402" s="4"/>
      <c r="AR402" s="4"/>
      <c r="AS402" s="4"/>
      <c r="AT402" s="4"/>
      <c r="AU402" s="4"/>
      <c r="AV402" s="4"/>
      <c r="AW402" s="4"/>
      <c r="AX402" s="4"/>
      <c r="AY402" s="4"/>
      <c r="AZ402" s="4"/>
      <c r="BA402" s="4"/>
      <c r="BB402" s="4"/>
      <c r="BC402" s="5"/>
      <c r="BD402" s="4"/>
      <c r="BE402" s="4"/>
      <c r="BF402" s="4"/>
      <c r="BG402" s="4"/>
      <c r="BH402" s="4"/>
      <c r="BI402" s="4"/>
      <c r="BJ402" s="4"/>
      <c r="BK402" s="4"/>
      <c r="BL402" s="4"/>
      <c r="BM402" s="4"/>
      <c r="BN402" s="4"/>
      <c r="BO402" s="4"/>
      <c r="BP402" s="4"/>
      <c r="BQ402" s="4"/>
      <c r="BR402" s="4"/>
    </row>
    <row r="403" spans="1:70">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c r="AG403" s="4"/>
      <c r="AH403" s="4"/>
      <c r="AI403" s="4"/>
      <c r="AJ403" s="4"/>
      <c r="AK403" s="4"/>
      <c r="AL403" s="4"/>
      <c r="AM403" s="4"/>
      <c r="AN403" s="4"/>
      <c r="AO403" s="4"/>
      <c r="AP403" s="4"/>
      <c r="AQ403" s="4"/>
      <c r="AR403" s="4"/>
      <c r="AS403" s="4"/>
      <c r="AT403" s="4"/>
      <c r="AU403" s="4"/>
      <c r="AV403" s="4"/>
      <c r="AW403" s="4"/>
      <c r="AX403" s="4"/>
      <c r="AY403" s="4"/>
      <c r="AZ403" s="4"/>
      <c r="BA403" s="4"/>
      <c r="BB403" s="4"/>
      <c r="BC403" s="5"/>
      <c r="BD403" s="4"/>
      <c r="BE403" s="4"/>
      <c r="BF403" s="4"/>
      <c r="BG403" s="4"/>
      <c r="BH403" s="4"/>
      <c r="BI403" s="4"/>
      <c r="BJ403" s="4"/>
      <c r="BK403" s="4"/>
      <c r="BL403" s="4"/>
      <c r="BM403" s="4"/>
      <c r="BN403" s="4"/>
      <c r="BO403" s="4"/>
      <c r="BP403" s="4"/>
      <c r="BQ403" s="4"/>
      <c r="BR403" s="4"/>
    </row>
    <row r="404" spans="1:70">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c r="AG404" s="4"/>
      <c r="AH404" s="4"/>
      <c r="AI404" s="4"/>
      <c r="AJ404" s="4"/>
      <c r="AK404" s="4"/>
      <c r="AL404" s="4"/>
      <c r="AM404" s="4"/>
      <c r="AN404" s="4"/>
      <c r="AO404" s="4"/>
      <c r="AP404" s="4"/>
      <c r="AQ404" s="4"/>
      <c r="AR404" s="4"/>
      <c r="AS404" s="4"/>
      <c r="AT404" s="4"/>
      <c r="AU404" s="4"/>
      <c r="AV404" s="4"/>
      <c r="AW404" s="4"/>
      <c r="AX404" s="4"/>
      <c r="AY404" s="4"/>
      <c r="AZ404" s="4"/>
      <c r="BA404" s="4"/>
      <c r="BB404" s="4"/>
      <c r="BC404" s="5"/>
      <c r="BD404" s="4"/>
      <c r="BE404" s="4"/>
      <c r="BF404" s="4"/>
      <c r="BG404" s="4"/>
      <c r="BH404" s="4"/>
      <c r="BI404" s="4"/>
      <c r="BJ404" s="4"/>
      <c r="BK404" s="4"/>
      <c r="BL404" s="4"/>
      <c r="BM404" s="4"/>
      <c r="BN404" s="4"/>
      <c r="BO404" s="4"/>
      <c r="BP404" s="4"/>
      <c r="BQ404" s="4"/>
      <c r="BR404" s="4"/>
    </row>
    <row r="405" spans="1:70">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c r="AG405" s="4"/>
      <c r="AH405" s="4"/>
      <c r="AI405" s="4"/>
      <c r="AJ405" s="4"/>
      <c r="AK405" s="4"/>
      <c r="AL405" s="4"/>
      <c r="AM405" s="4"/>
      <c r="AN405" s="4"/>
      <c r="AO405" s="4"/>
      <c r="AP405" s="4"/>
      <c r="AQ405" s="4"/>
      <c r="AR405" s="4"/>
      <c r="AS405" s="4"/>
      <c r="AT405" s="4"/>
      <c r="AU405" s="4"/>
      <c r="AV405" s="4"/>
      <c r="AW405" s="4"/>
      <c r="AX405" s="4"/>
      <c r="AY405" s="4"/>
      <c r="AZ405" s="4"/>
      <c r="BA405" s="4"/>
      <c r="BB405" s="4"/>
      <c r="BC405" s="5"/>
      <c r="BD405" s="4"/>
      <c r="BE405" s="4"/>
      <c r="BF405" s="4"/>
      <c r="BG405" s="4"/>
      <c r="BH405" s="4"/>
      <c r="BI405" s="4"/>
      <c r="BJ405" s="4"/>
      <c r="BK405" s="4"/>
      <c r="BL405" s="4"/>
      <c r="BM405" s="4"/>
      <c r="BN405" s="4"/>
      <c r="BO405" s="4"/>
      <c r="BP405" s="4"/>
      <c r="BQ405" s="4"/>
      <c r="BR405" s="4"/>
    </row>
    <row r="406" spans="1:70">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c r="AG406" s="4"/>
      <c r="AH406" s="4"/>
      <c r="AI406" s="4"/>
      <c r="AJ406" s="4"/>
      <c r="AK406" s="4"/>
      <c r="AL406" s="4"/>
      <c r="AM406" s="4"/>
      <c r="AN406" s="4"/>
      <c r="AO406" s="4"/>
      <c r="AP406" s="4"/>
      <c r="AQ406" s="4"/>
      <c r="AR406" s="4"/>
      <c r="AS406" s="4"/>
      <c r="AT406" s="4"/>
      <c r="AU406" s="4"/>
      <c r="AV406" s="4"/>
      <c r="AW406" s="4"/>
      <c r="AX406" s="4"/>
      <c r="AY406" s="4"/>
      <c r="AZ406" s="4"/>
      <c r="BA406" s="4"/>
      <c r="BB406" s="4"/>
      <c r="BC406" s="5"/>
      <c r="BD406" s="4"/>
      <c r="BE406" s="4"/>
      <c r="BF406" s="4"/>
      <c r="BG406" s="4"/>
      <c r="BH406" s="4"/>
      <c r="BI406" s="4"/>
      <c r="BJ406" s="4"/>
      <c r="BK406" s="4"/>
      <c r="BL406" s="4"/>
      <c r="BM406" s="4"/>
      <c r="BN406" s="4"/>
      <c r="BO406" s="4"/>
      <c r="BP406" s="4"/>
      <c r="BQ406" s="4"/>
      <c r="BR406" s="4"/>
    </row>
    <row r="407" spans="1:70">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c r="AG407" s="4"/>
      <c r="AH407" s="4"/>
      <c r="AI407" s="4"/>
      <c r="AJ407" s="4"/>
      <c r="AK407" s="4"/>
      <c r="AL407" s="4"/>
      <c r="AM407" s="4"/>
      <c r="AN407" s="4"/>
      <c r="AO407" s="4"/>
      <c r="AP407" s="4"/>
      <c r="AQ407" s="4"/>
      <c r="AR407" s="4"/>
      <c r="AS407" s="4"/>
      <c r="AT407" s="4"/>
      <c r="AU407" s="4"/>
      <c r="AV407" s="4"/>
      <c r="AW407" s="4"/>
      <c r="AX407" s="4"/>
      <c r="AY407" s="4"/>
      <c r="AZ407" s="4"/>
      <c r="BA407" s="4"/>
      <c r="BB407" s="4"/>
      <c r="BC407" s="5"/>
      <c r="BD407" s="4"/>
      <c r="BE407" s="4"/>
      <c r="BF407" s="4"/>
      <c r="BG407" s="4"/>
      <c r="BH407" s="4"/>
      <c r="BI407" s="4"/>
      <c r="BJ407" s="4"/>
      <c r="BK407" s="4"/>
      <c r="BL407" s="4"/>
      <c r="BM407" s="4"/>
      <c r="BN407" s="4"/>
      <c r="BO407" s="4"/>
      <c r="BP407" s="4"/>
      <c r="BQ407" s="4"/>
      <c r="BR407" s="4"/>
    </row>
    <row r="408" spans="1:70">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c r="AG408" s="4"/>
      <c r="AH408" s="4"/>
      <c r="AI408" s="4"/>
      <c r="AJ408" s="4"/>
      <c r="AK408" s="4"/>
      <c r="AL408" s="4"/>
      <c r="AM408" s="4"/>
      <c r="AN408" s="4"/>
      <c r="AO408" s="4"/>
      <c r="AP408" s="4"/>
      <c r="AQ408" s="4"/>
      <c r="AR408" s="4"/>
      <c r="AS408" s="4"/>
      <c r="AT408" s="4"/>
      <c r="AU408" s="4"/>
      <c r="AV408" s="4"/>
      <c r="AW408" s="4"/>
      <c r="AX408" s="4"/>
      <c r="AY408" s="4"/>
      <c r="AZ408" s="4"/>
      <c r="BA408" s="4"/>
      <c r="BB408" s="4"/>
      <c r="BC408" s="5"/>
      <c r="BD408" s="4"/>
      <c r="BE408" s="4"/>
      <c r="BF408" s="4"/>
      <c r="BG408" s="4"/>
      <c r="BH408" s="4"/>
      <c r="BI408" s="4"/>
      <c r="BJ408" s="4"/>
      <c r="BK408" s="4"/>
      <c r="BL408" s="4"/>
      <c r="BM408" s="4"/>
      <c r="BN408" s="4"/>
      <c r="BO408" s="4"/>
      <c r="BP408" s="4"/>
      <c r="BQ408" s="4"/>
      <c r="BR408" s="4"/>
    </row>
    <row r="409" spans="1:70">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c r="AG409" s="4"/>
      <c r="AH409" s="4"/>
      <c r="AI409" s="4"/>
      <c r="AJ409" s="4"/>
      <c r="AK409" s="4"/>
      <c r="AL409" s="4"/>
      <c r="AM409" s="4"/>
      <c r="AN409" s="4"/>
      <c r="AO409" s="4"/>
      <c r="AP409" s="4"/>
      <c r="AQ409" s="4"/>
      <c r="AR409" s="4"/>
      <c r="AS409" s="4"/>
      <c r="AT409" s="4"/>
      <c r="AU409" s="4"/>
      <c r="AV409" s="4"/>
      <c r="AW409" s="4"/>
      <c r="AX409" s="4"/>
      <c r="AY409" s="4"/>
      <c r="AZ409" s="4"/>
      <c r="BA409" s="4"/>
      <c r="BB409" s="4"/>
      <c r="BC409" s="5"/>
      <c r="BD409" s="4"/>
      <c r="BE409" s="4"/>
      <c r="BF409" s="4"/>
      <c r="BG409" s="4"/>
      <c r="BH409" s="4"/>
      <c r="BI409" s="4"/>
      <c r="BJ409" s="4"/>
      <c r="BK409" s="4"/>
      <c r="BL409" s="4"/>
      <c r="BM409" s="4"/>
      <c r="BN409" s="4"/>
      <c r="BO409" s="4"/>
      <c r="BP409" s="4"/>
      <c r="BQ409" s="4"/>
      <c r="BR409" s="4"/>
    </row>
    <row r="410" spans="1:7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c r="AG410" s="4"/>
      <c r="AH410" s="4"/>
      <c r="AI410" s="4"/>
      <c r="AJ410" s="4"/>
      <c r="AK410" s="4"/>
      <c r="AL410" s="4"/>
      <c r="AM410" s="4"/>
      <c r="AN410" s="4"/>
      <c r="AO410" s="4"/>
      <c r="AP410" s="4"/>
      <c r="AQ410" s="4"/>
      <c r="AR410" s="4"/>
      <c r="AS410" s="4"/>
      <c r="AT410" s="4"/>
      <c r="AU410" s="4"/>
      <c r="AV410" s="4"/>
      <c r="AW410" s="4"/>
      <c r="AX410" s="4"/>
      <c r="AY410" s="4"/>
      <c r="AZ410" s="4"/>
      <c r="BA410" s="4"/>
      <c r="BB410" s="4"/>
      <c r="BC410" s="5"/>
      <c r="BD410" s="4"/>
      <c r="BE410" s="4"/>
      <c r="BF410" s="4"/>
      <c r="BG410" s="4"/>
      <c r="BH410" s="4"/>
      <c r="BI410" s="4"/>
      <c r="BJ410" s="4"/>
      <c r="BK410" s="4"/>
      <c r="BL410" s="4"/>
      <c r="BM410" s="4"/>
      <c r="BN410" s="4"/>
      <c r="BO410" s="4"/>
      <c r="BP410" s="4"/>
      <c r="BQ410" s="4"/>
      <c r="BR410" s="4"/>
    </row>
    <row r="411" spans="1:70">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c r="AG411" s="4"/>
      <c r="AH411" s="4"/>
      <c r="AI411" s="4"/>
      <c r="AJ411" s="4"/>
      <c r="AK411" s="4"/>
      <c r="AL411" s="4"/>
      <c r="AM411" s="4"/>
      <c r="AN411" s="4"/>
      <c r="AO411" s="4"/>
      <c r="AP411" s="4"/>
      <c r="AQ411" s="4"/>
      <c r="AR411" s="4"/>
      <c r="AS411" s="4"/>
      <c r="AT411" s="4"/>
      <c r="AU411" s="4"/>
      <c r="AV411" s="4"/>
      <c r="AW411" s="4"/>
      <c r="AX411" s="4"/>
      <c r="AY411" s="4"/>
      <c r="AZ411" s="4"/>
      <c r="BA411" s="4"/>
      <c r="BB411" s="4"/>
      <c r="BC411" s="5"/>
      <c r="BD411" s="4"/>
      <c r="BE411" s="4"/>
      <c r="BF411" s="4"/>
      <c r="BG411" s="4"/>
      <c r="BH411" s="4"/>
      <c r="BI411" s="4"/>
      <c r="BJ411" s="4"/>
      <c r="BK411" s="4"/>
      <c r="BL411" s="4"/>
      <c r="BM411" s="4"/>
      <c r="BN411" s="4"/>
      <c r="BO411" s="4"/>
      <c r="BP411" s="4"/>
      <c r="BQ411" s="4"/>
      <c r="BR411" s="4"/>
    </row>
    <row r="412" spans="1:70">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c r="AG412" s="4"/>
      <c r="AH412" s="4"/>
      <c r="AI412" s="4"/>
      <c r="AJ412" s="4"/>
      <c r="AK412" s="4"/>
      <c r="AL412" s="4"/>
      <c r="AM412" s="4"/>
      <c r="AN412" s="4"/>
      <c r="AO412" s="4"/>
      <c r="AP412" s="4"/>
      <c r="AQ412" s="4"/>
      <c r="AR412" s="4"/>
      <c r="AS412" s="4"/>
      <c r="AT412" s="4"/>
      <c r="AU412" s="4"/>
      <c r="AV412" s="4"/>
      <c r="AW412" s="4"/>
      <c r="AX412" s="4"/>
      <c r="AY412" s="4"/>
      <c r="AZ412" s="4"/>
      <c r="BA412" s="4"/>
      <c r="BB412" s="4"/>
      <c r="BC412" s="5"/>
      <c r="BD412" s="4"/>
      <c r="BE412" s="4"/>
      <c r="BF412" s="4"/>
      <c r="BG412" s="4"/>
      <c r="BH412" s="4"/>
      <c r="BI412" s="4"/>
      <c r="BJ412" s="4"/>
      <c r="BK412" s="4"/>
      <c r="BL412" s="4"/>
      <c r="BM412" s="4"/>
      <c r="BN412" s="4"/>
      <c r="BO412" s="4"/>
      <c r="BP412" s="4"/>
      <c r="BQ412" s="4"/>
      <c r="BR412" s="4"/>
    </row>
    <row r="413" spans="1:70">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c r="AG413" s="4"/>
      <c r="AH413" s="4"/>
      <c r="AI413" s="4"/>
      <c r="AJ413" s="4"/>
      <c r="AK413" s="4"/>
      <c r="AL413" s="4"/>
      <c r="AM413" s="4"/>
      <c r="AN413" s="4"/>
      <c r="AO413" s="4"/>
      <c r="AP413" s="4"/>
      <c r="AQ413" s="4"/>
      <c r="AR413" s="4"/>
      <c r="AS413" s="4"/>
      <c r="AT413" s="4"/>
      <c r="AU413" s="4"/>
      <c r="AV413" s="4"/>
      <c r="AW413" s="4"/>
      <c r="AX413" s="4"/>
      <c r="AY413" s="4"/>
      <c r="AZ413" s="4"/>
      <c r="BA413" s="4"/>
      <c r="BB413" s="4"/>
      <c r="BC413" s="5"/>
      <c r="BD413" s="4"/>
      <c r="BE413" s="4"/>
      <c r="BF413" s="4"/>
      <c r="BG413" s="4"/>
      <c r="BH413" s="4"/>
      <c r="BI413" s="4"/>
      <c r="BJ413" s="4"/>
      <c r="BK413" s="4"/>
      <c r="BL413" s="4"/>
      <c r="BM413" s="4"/>
      <c r="BN413" s="4"/>
      <c r="BO413" s="4"/>
      <c r="BP413" s="4"/>
      <c r="BQ413" s="4"/>
      <c r="BR413" s="4"/>
    </row>
    <row r="414" spans="1:70">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c r="AG414" s="4"/>
      <c r="AH414" s="4"/>
      <c r="AI414" s="4"/>
      <c r="AJ414" s="4"/>
      <c r="AK414" s="4"/>
      <c r="AL414" s="4"/>
      <c r="AM414" s="4"/>
      <c r="AN414" s="4"/>
      <c r="AO414" s="4"/>
      <c r="AP414" s="4"/>
      <c r="AQ414" s="4"/>
      <c r="AR414" s="4"/>
      <c r="AS414" s="4"/>
      <c r="AT414" s="4"/>
      <c r="AU414" s="4"/>
      <c r="AV414" s="4"/>
      <c r="AW414" s="4"/>
      <c r="AX414" s="4"/>
      <c r="AY414" s="4"/>
      <c r="AZ414" s="4"/>
      <c r="BA414" s="4"/>
      <c r="BB414" s="4"/>
      <c r="BC414" s="5"/>
      <c r="BD414" s="4"/>
      <c r="BE414" s="4"/>
      <c r="BF414" s="4"/>
      <c r="BG414" s="4"/>
      <c r="BH414" s="4"/>
      <c r="BI414" s="4"/>
      <c r="BJ414" s="4"/>
      <c r="BK414" s="4"/>
      <c r="BL414" s="4"/>
      <c r="BM414" s="4"/>
      <c r="BN414" s="4"/>
      <c r="BO414" s="4"/>
      <c r="BP414" s="4"/>
      <c r="BQ414" s="4"/>
      <c r="BR414" s="4"/>
    </row>
    <row r="415" spans="1:70">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c r="AG415" s="4"/>
      <c r="AH415" s="4"/>
      <c r="AI415" s="4"/>
      <c r="AJ415" s="4"/>
      <c r="AK415" s="4"/>
      <c r="AL415" s="4"/>
      <c r="AM415" s="4"/>
      <c r="AN415" s="4"/>
      <c r="AO415" s="4"/>
      <c r="AP415" s="4"/>
      <c r="AQ415" s="4"/>
      <c r="AR415" s="4"/>
      <c r="AS415" s="4"/>
      <c r="AT415" s="4"/>
      <c r="AU415" s="4"/>
      <c r="AV415" s="4"/>
      <c r="AW415" s="4"/>
      <c r="AX415" s="4"/>
      <c r="AY415" s="4"/>
      <c r="AZ415" s="4"/>
      <c r="BA415" s="4"/>
      <c r="BB415" s="4"/>
      <c r="BC415" s="5"/>
      <c r="BD415" s="4"/>
      <c r="BE415" s="4"/>
      <c r="BF415" s="4"/>
      <c r="BG415" s="4"/>
      <c r="BH415" s="4"/>
      <c r="BI415" s="4"/>
      <c r="BJ415" s="4"/>
      <c r="BK415" s="4"/>
      <c r="BL415" s="4"/>
      <c r="BM415" s="4"/>
      <c r="BN415" s="4"/>
      <c r="BO415" s="4"/>
      <c r="BP415" s="4"/>
      <c r="BQ415" s="4"/>
      <c r="BR415" s="4"/>
    </row>
    <row r="416" spans="1:70">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c r="AG416" s="4"/>
      <c r="AH416" s="4"/>
      <c r="AI416" s="4"/>
      <c r="AJ416" s="4"/>
      <c r="AK416" s="4"/>
      <c r="AL416" s="4"/>
      <c r="AM416" s="4"/>
      <c r="AN416" s="4"/>
      <c r="AO416" s="4"/>
      <c r="AP416" s="4"/>
      <c r="AQ416" s="4"/>
      <c r="AR416" s="4"/>
      <c r="AS416" s="4"/>
      <c r="AT416" s="4"/>
      <c r="AU416" s="4"/>
      <c r="AV416" s="4"/>
      <c r="AW416" s="4"/>
      <c r="AX416" s="4"/>
      <c r="AY416" s="4"/>
      <c r="AZ416" s="4"/>
      <c r="BA416" s="4"/>
      <c r="BB416" s="4"/>
      <c r="BC416" s="5"/>
      <c r="BD416" s="4"/>
      <c r="BE416" s="4"/>
      <c r="BF416" s="4"/>
      <c r="BG416" s="4"/>
      <c r="BH416" s="4"/>
      <c r="BI416" s="4"/>
      <c r="BJ416" s="4"/>
      <c r="BK416" s="4"/>
      <c r="BL416" s="4"/>
      <c r="BM416" s="4"/>
      <c r="BN416" s="4"/>
      <c r="BO416" s="4"/>
      <c r="BP416" s="4"/>
      <c r="BQ416" s="4"/>
      <c r="BR416" s="4"/>
    </row>
    <row r="417" spans="1:70">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c r="AG417" s="4"/>
      <c r="AH417" s="4"/>
      <c r="AI417" s="4"/>
      <c r="AJ417" s="4"/>
      <c r="AK417" s="4"/>
      <c r="AL417" s="4"/>
      <c r="AM417" s="4"/>
      <c r="AN417" s="4"/>
      <c r="AO417" s="4"/>
      <c r="AP417" s="4"/>
      <c r="AQ417" s="4"/>
      <c r="AR417" s="4"/>
      <c r="AS417" s="4"/>
      <c r="AT417" s="4"/>
      <c r="AU417" s="4"/>
      <c r="AV417" s="4"/>
      <c r="AW417" s="4"/>
      <c r="AX417" s="4"/>
      <c r="AY417" s="4"/>
      <c r="AZ417" s="4"/>
      <c r="BA417" s="4"/>
      <c r="BB417" s="4"/>
      <c r="BC417" s="5"/>
      <c r="BD417" s="4"/>
      <c r="BE417" s="4"/>
      <c r="BF417" s="4"/>
      <c r="BG417" s="4"/>
      <c r="BH417" s="4"/>
      <c r="BI417" s="4"/>
      <c r="BJ417" s="4"/>
      <c r="BK417" s="4"/>
      <c r="BL417" s="4"/>
      <c r="BM417" s="4"/>
      <c r="BN417" s="4"/>
      <c r="BO417" s="4"/>
      <c r="BP417" s="4"/>
      <c r="BQ417" s="4"/>
      <c r="BR417" s="4"/>
    </row>
    <row r="418" spans="1:70">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c r="AG418" s="4"/>
      <c r="AH418" s="4"/>
      <c r="AI418" s="4"/>
      <c r="AJ418" s="4"/>
      <c r="AK418" s="4"/>
      <c r="AL418" s="4"/>
      <c r="AM418" s="4"/>
      <c r="AN418" s="4"/>
      <c r="AO418" s="4"/>
      <c r="AP418" s="4"/>
      <c r="AQ418" s="4"/>
      <c r="AR418" s="4"/>
      <c r="AS418" s="4"/>
      <c r="AT418" s="4"/>
      <c r="AU418" s="4"/>
      <c r="AV418" s="4"/>
      <c r="AW418" s="4"/>
      <c r="AX418" s="4"/>
      <c r="AY418" s="4"/>
      <c r="AZ418" s="4"/>
      <c r="BA418" s="4"/>
      <c r="BB418" s="4"/>
      <c r="BC418" s="5"/>
      <c r="BD418" s="4"/>
      <c r="BE418" s="4"/>
      <c r="BF418" s="4"/>
      <c r="BG418" s="4"/>
      <c r="BH418" s="4"/>
      <c r="BI418" s="4"/>
      <c r="BJ418" s="4"/>
      <c r="BK418" s="4"/>
      <c r="BL418" s="4"/>
      <c r="BM418" s="4"/>
      <c r="BN418" s="4"/>
      <c r="BO418" s="4"/>
      <c r="BP418" s="4"/>
      <c r="BQ418" s="4"/>
      <c r="BR418" s="4"/>
    </row>
    <row r="419" spans="1:70">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c r="AG419" s="4"/>
      <c r="AH419" s="4"/>
      <c r="AI419" s="4"/>
      <c r="AJ419" s="4"/>
      <c r="AK419" s="4"/>
      <c r="AL419" s="4"/>
      <c r="AM419" s="4"/>
      <c r="AN419" s="4"/>
      <c r="AO419" s="4"/>
      <c r="AP419" s="4"/>
      <c r="AQ419" s="4"/>
      <c r="AR419" s="4"/>
      <c r="AS419" s="4"/>
      <c r="AT419" s="4"/>
      <c r="AU419" s="4"/>
      <c r="AV419" s="4"/>
      <c r="AW419" s="4"/>
      <c r="AX419" s="4"/>
      <c r="AY419" s="4"/>
      <c r="AZ419" s="4"/>
      <c r="BA419" s="4"/>
      <c r="BB419" s="4"/>
      <c r="BC419" s="5"/>
      <c r="BD419" s="4"/>
      <c r="BE419" s="4"/>
      <c r="BF419" s="4"/>
      <c r="BG419" s="4"/>
      <c r="BH419" s="4"/>
      <c r="BI419" s="4"/>
      <c r="BJ419" s="4"/>
      <c r="BK419" s="4"/>
      <c r="BL419" s="4"/>
      <c r="BM419" s="4"/>
      <c r="BN419" s="4"/>
      <c r="BO419" s="4"/>
      <c r="BP419" s="4"/>
      <c r="BQ419" s="4"/>
      <c r="BR419" s="4"/>
    </row>
    <row r="420" spans="1:7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c r="AG420" s="4"/>
      <c r="AH420" s="4"/>
      <c r="AI420" s="4"/>
      <c r="AJ420" s="4"/>
      <c r="AK420" s="4"/>
      <c r="AL420" s="4"/>
      <c r="AM420" s="4"/>
      <c r="AN420" s="4"/>
      <c r="AO420" s="4"/>
      <c r="AP420" s="4"/>
      <c r="AQ420" s="4"/>
      <c r="AR420" s="4"/>
      <c r="AS420" s="4"/>
      <c r="AT420" s="4"/>
      <c r="AU420" s="4"/>
      <c r="AV420" s="4"/>
      <c r="AW420" s="4"/>
      <c r="AX420" s="4"/>
      <c r="AY420" s="4"/>
      <c r="AZ420" s="4"/>
      <c r="BA420" s="4"/>
      <c r="BB420" s="4"/>
      <c r="BC420" s="5"/>
      <c r="BD420" s="4"/>
      <c r="BE420" s="4"/>
      <c r="BF420" s="4"/>
      <c r="BG420" s="4"/>
      <c r="BH420" s="4"/>
      <c r="BI420" s="4"/>
      <c r="BJ420" s="4"/>
      <c r="BK420" s="4"/>
      <c r="BL420" s="4"/>
      <c r="BM420" s="4"/>
      <c r="BN420" s="4"/>
      <c r="BO420" s="4"/>
      <c r="BP420" s="4"/>
      <c r="BQ420" s="4"/>
      <c r="BR420" s="4"/>
    </row>
    <row r="421" spans="1:70">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c r="AG421" s="4"/>
      <c r="AH421" s="4"/>
      <c r="AI421" s="4"/>
      <c r="AJ421" s="4"/>
      <c r="AK421" s="4"/>
      <c r="AL421" s="4"/>
      <c r="AM421" s="4"/>
      <c r="AN421" s="4"/>
      <c r="AO421" s="4"/>
      <c r="AP421" s="4"/>
      <c r="AQ421" s="4"/>
      <c r="AR421" s="4"/>
      <c r="AS421" s="4"/>
      <c r="AT421" s="4"/>
      <c r="AU421" s="4"/>
      <c r="AV421" s="4"/>
      <c r="AW421" s="4"/>
      <c r="AX421" s="4"/>
      <c r="AY421" s="4"/>
      <c r="AZ421" s="4"/>
      <c r="BA421" s="4"/>
      <c r="BB421" s="4"/>
      <c r="BC421" s="5"/>
      <c r="BD421" s="4"/>
      <c r="BE421" s="4"/>
      <c r="BF421" s="4"/>
      <c r="BG421" s="4"/>
      <c r="BH421" s="4"/>
      <c r="BI421" s="4"/>
      <c r="BJ421" s="4"/>
      <c r="BK421" s="4"/>
      <c r="BL421" s="4"/>
      <c r="BM421" s="4"/>
      <c r="BN421" s="4"/>
      <c r="BO421" s="4"/>
      <c r="BP421" s="4"/>
      <c r="BQ421" s="4"/>
      <c r="BR421" s="4"/>
    </row>
    <row r="422" spans="1:70">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c r="AG422" s="4"/>
      <c r="AH422" s="4"/>
      <c r="AI422" s="4"/>
      <c r="AJ422" s="4"/>
      <c r="AK422" s="4"/>
      <c r="AL422" s="4"/>
      <c r="AM422" s="4"/>
      <c r="AN422" s="4"/>
      <c r="AO422" s="4"/>
      <c r="AP422" s="4"/>
      <c r="AQ422" s="4"/>
      <c r="AR422" s="4"/>
      <c r="AS422" s="4"/>
      <c r="AT422" s="4"/>
      <c r="AU422" s="4"/>
      <c r="AV422" s="4"/>
      <c r="AW422" s="4"/>
      <c r="AX422" s="4"/>
      <c r="AY422" s="4"/>
      <c r="AZ422" s="4"/>
      <c r="BA422" s="4"/>
      <c r="BB422" s="4"/>
      <c r="BC422" s="5"/>
      <c r="BD422" s="4"/>
      <c r="BE422" s="4"/>
      <c r="BF422" s="4"/>
      <c r="BG422" s="4"/>
      <c r="BH422" s="4"/>
      <c r="BI422" s="4"/>
      <c r="BJ422" s="4"/>
      <c r="BK422" s="4"/>
      <c r="BL422" s="4"/>
      <c r="BM422" s="4"/>
      <c r="BN422" s="4"/>
      <c r="BO422" s="4"/>
      <c r="BP422" s="4"/>
      <c r="BQ422" s="4"/>
      <c r="BR422" s="4"/>
    </row>
    <row r="423" spans="1:70">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c r="AG423" s="4"/>
      <c r="AH423" s="4"/>
      <c r="AI423" s="4"/>
      <c r="AJ423" s="4"/>
      <c r="AK423" s="4"/>
      <c r="AL423" s="4"/>
      <c r="AM423" s="4"/>
      <c r="AN423" s="4"/>
      <c r="AO423" s="4"/>
      <c r="AP423" s="4"/>
      <c r="AQ423" s="4"/>
      <c r="AR423" s="4"/>
      <c r="AS423" s="4"/>
      <c r="AT423" s="4"/>
      <c r="AU423" s="4"/>
      <c r="AV423" s="4"/>
      <c r="AW423" s="4"/>
      <c r="AX423" s="4"/>
      <c r="AY423" s="4"/>
      <c r="AZ423" s="4"/>
      <c r="BA423" s="4"/>
      <c r="BB423" s="4"/>
      <c r="BC423" s="5"/>
      <c r="BD423" s="4"/>
      <c r="BE423" s="4"/>
      <c r="BF423" s="4"/>
      <c r="BG423" s="4"/>
      <c r="BH423" s="4"/>
      <c r="BI423" s="4"/>
      <c r="BJ423" s="4"/>
      <c r="BK423" s="4"/>
      <c r="BL423" s="4"/>
      <c r="BM423" s="4"/>
      <c r="BN423" s="4"/>
      <c r="BO423" s="4"/>
      <c r="BP423" s="4"/>
      <c r="BQ423" s="4"/>
      <c r="BR423" s="4"/>
    </row>
    <row r="424" spans="1:70">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c r="AG424" s="4"/>
      <c r="AH424" s="4"/>
      <c r="AI424" s="4"/>
      <c r="AJ424" s="4"/>
      <c r="AK424" s="4"/>
      <c r="AL424" s="4"/>
      <c r="AM424" s="4"/>
      <c r="AN424" s="4"/>
      <c r="AO424" s="4"/>
      <c r="AP424" s="4"/>
      <c r="AQ424" s="4"/>
      <c r="AR424" s="4"/>
      <c r="AS424" s="4"/>
      <c r="AT424" s="4"/>
      <c r="AU424" s="4"/>
      <c r="AV424" s="4"/>
      <c r="AW424" s="4"/>
      <c r="AX424" s="4"/>
      <c r="AY424" s="4"/>
      <c r="AZ424" s="4"/>
      <c r="BA424" s="4"/>
      <c r="BB424" s="4"/>
      <c r="BC424" s="5"/>
      <c r="BD424" s="4"/>
      <c r="BE424" s="4"/>
      <c r="BF424" s="4"/>
      <c r="BG424" s="4"/>
      <c r="BH424" s="4"/>
      <c r="BI424" s="4"/>
      <c r="BJ424" s="4"/>
      <c r="BK424" s="4"/>
      <c r="BL424" s="4"/>
      <c r="BM424" s="4"/>
      <c r="BN424" s="4"/>
      <c r="BO424" s="4"/>
      <c r="BP424" s="4"/>
      <c r="BQ424" s="4"/>
      <c r="BR424" s="4"/>
    </row>
    <row r="425" spans="1:70">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c r="AG425" s="4"/>
      <c r="AH425" s="4"/>
      <c r="AI425" s="4"/>
      <c r="AJ425" s="4"/>
      <c r="AK425" s="4"/>
      <c r="AL425" s="4"/>
      <c r="AM425" s="4"/>
      <c r="AN425" s="4"/>
      <c r="AO425" s="4"/>
      <c r="AP425" s="4"/>
      <c r="AQ425" s="4"/>
      <c r="AR425" s="4"/>
      <c r="AS425" s="4"/>
      <c r="AT425" s="4"/>
      <c r="AU425" s="4"/>
      <c r="AV425" s="4"/>
      <c r="AW425" s="4"/>
      <c r="AX425" s="4"/>
      <c r="AY425" s="4"/>
      <c r="AZ425" s="4"/>
      <c r="BA425" s="4"/>
      <c r="BB425" s="4"/>
      <c r="BC425" s="5"/>
      <c r="BD425" s="4"/>
      <c r="BE425" s="4"/>
      <c r="BF425" s="4"/>
      <c r="BG425" s="4"/>
      <c r="BH425" s="4"/>
      <c r="BI425" s="4"/>
      <c r="BJ425" s="4"/>
      <c r="BK425" s="4"/>
      <c r="BL425" s="4"/>
      <c r="BM425" s="4"/>
      <c r="BN425" s="4"/>
      <c r="BO425" s="4"/>
      <c r="BP425" s="4"/>
      <c r="BQ425" s="4"/>
      <c r="BR425" s="4"/>
    </row>
    <row r="426" spans="1:70">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c r="AG426" s="4"/>
      <c r="AH426" s="4"/>
      <c r="AI426" s="4"/>
      <c r="AJ426" s="4"/>
      <c r="AK426" s="4"/>
      <c r="AL426" s="4"/>
      <c r="AM426" s="4"/>
      <c r="AN426" s="4"/>
      <c r="AO426" s="4"/>
      <c r="AP426" s="4"/>
      <c r="AQ426" s="4"/>
      <c r="AR426" s="4"/>
      <c r="AS426" s="4"/>
      <c r="AT426" s="4"/>
      <c r="AU426" s="4"/>
      <c r="AV426" s="4"/>
      <c r="AW426" s="4"/>
      <c r="AX426" s="4"/>
      <c r="AY426" s="4"/>
      <c r="AZ426" s="4"/>
      <c r="BA426" s="4"/>
      <c r="BB426" s="4"/>
      <c r="BC426" s="5"/>
      <c r="BD426" s="4"/>
      <c r="BE426" s="4"/>
      <c r="BF426" s="4"/>
      <c r="BG426" s="4"/>
      <c r="BH426" s="4"/>
      <c r="BI426" s="4"/>
      <c r="BJ426" s="4"/>
      <c r="BK426" s="4"/>
      <c r="BL426" s="4"/>
      <c r="BM426" s="4"/>
      <c r="BN426" s="4"/>
      <c r="BO426" s="4"/>
      <c r="BP426" s="4"/>
      <c r="BQ426" s="4"/>
      <c r="BR426" s="4"/>
    </row>
    <row r="427" spans="1:70">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c r="AG427" s="4"/>
      <c r="AH427" s="4"/>
      <c r="AI427" s="4"/>
      <c r="AJ427" s="4"/>
      <c r="AK427" s="4"/>
      <c r="AL427" s="4"/>
      <c r="AM427" s="4"/>
      <c r="AN427" s="4"/>
      <c r="AO427" s="4"/>
      <c r="AP427" s="4"/>
      <c r="AQ427" s="4"/>
      <c r="AR427" s="4"/>
      <c r="AS427" s="4"/>
      <c r="AT427" s="4"/>
      <c r="AU427" s="4"/>
      <c r="AV427" s="4"/>
      <c r="AW427" s="4"/>
      <c r="AX427" s="4"/>
      <c r="AY427" s="4"/>
      <c r="AZ427" s="4"/>
      <c r="BA427" s="4"/>
      <c r="BB427" s="4"/>
      <c r="BC427" s="5"/>
      <c r="BD427" s="4"/>
      <c r="BE427" s="4"/>
      <c r="BF427" s="4"/>
      <c r="BG427" s="4"/>
      <c r="BH427" s="4"/>
      <c r="BI427" s="4"/>
      <c r="BJ427" s="4"/>
      <c r="BK427" s="4"/>
      <c r="BL427" s="4"/>
      <c r="BM427" s="4"/>
      <c r="BN427" s="4"/>
      <c r="BO427" s="4"/>
      <c r="BP427" s="4"/>
      <c r="BQ427" s="4"/>
      <c r="BR427" s="4"/>
    </row>
    <row r="428" spans="1:70">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c r="AG428" s="4"/>
      <c r="AH428" s="4"/>
      <c r="AI428" s="4"/>
      <c r="AJ428" s="4"/>
      <c r="AK428" s="4"/>
      <c r="AL428" s="4"/>
      <c r="AM428" s="4"/>
      <c r="AN428" s="4"/>
      <c r="AO428" s="4"/>
      <c r="AP428" s="4"/>
      <c r="AQ428" s="4"/>
      <c r="AR428" s="4"/>
      <c r="AS428" s="4"/>
      <c r="AT428" s="4"/>
      <c r="AU428" s="4"/>
      <c r="AV428" s="4"/>
      <c r="AW428" s="4"/>
      <c r="AX428" s="4"/>
      <c r="AY428" s="4"/>
      <c r="AZ428" s="4"/>
      <c r="BA428" s="4"/>
      <c r="BB428" s="4"/>
      <c r="BC428" s="5"/>
      <c r="BD428" s="4"/>
      <c r="BE428" s="4"/>
      <c r="BF428" s="4"/>
      <c r="BG428" s="4"/>
      <c r="BH428" s="4"/>
      <c r="BI428" s="4"/>
      <c r="BJ428" s="4"/>
      <c r="BK428" s="4"/>
      <c r="BL428" s="4"/>
      <c r="BM428" s="4"/>
      <c r="BN428" s="4"/>
      <c r="BO428" s="4"/>
      <c r="BP428" s="4"/>
      <c r="BQ428" s="4"/>
      <c r="BR428" s="4"/>
    </row>
    <row r="429" spans="1:70">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c r="AG429" s="4"/>
      <c r="AH429" s="4"/>
      <c r="AI429" s="4"/>
      <c r="AJ429" s="4"/>
      <c r="AK429" s="4"/>
      <c r="AL429" s="4"/>
      <c r="AM429" s="4"/>
      <c r="AN429" s="4"/>
      <c r="AO429" s="4"/>
      <c r="AP429" s="4"/>
      <c r="AQ429" s="4"/>
      <c r="AR429" s="4"/>
      <c r="AS429" s="4"/>
      <c r="AT429" s="4"/>
      <c r="AU429" s="4"/>
      <c r="AV429" s="4"/>
      <c r="AW429" s="4"/>
      <c r="AX429" s="4"/>
      <c r="AY429" s="4"/>
      <c r="AZ429" s="4"/>
      <c r="BA429" s="4"/>
      <c r="BB429" s="4"/>
      <c r="BC429" s="5"/>
      <c r="BD429" s="4"/>
      <c r="BE429" s="4"/>
      <c r="BF429" s="4"/>
      <c r="BG429" s="4"/>
      <c r="BH429" s="4"/>
      <c r="BI429" s="4"/>
      <c r="BJ429" s="4"/>
      <c r="BK429" s="4"/>
      <c r="BL429" s="4"/>
      <c r="BM429" s="4"/>
      <c r="BN429" s="4"/>
      <c r="BO429" s="4"/>
      <c r="BP429" s="4"/>
      <c r="BQ429" s="4"/>
      <c r="BR429" s="4"/>
    </row>
    <row r="430" spans="1:7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c r="AG430" s="4"/>
      <c r="AH430" s="4"/>
      <c r="AI430" s="4"/>
      <c r="AJ430" s="4"/>
      <c r="AK430" s="4"/>
      <c r="AL430" s="4"/>
      <c r="AM430" s="4"/>
      <c r="AN430" s="4"/>
      <c r="AO430" s="4"/>
      <c r="AP430" s="4"/>
      <c r="AQ430" s="4"/>
      <c r="AR430" s="4"/>
      <c r="AS430" s="4"/>
      <c r="AT430" s="4"/>
      <c r="AU430" s="4"/>
      <c r="AV430" s="4"/>
      <c r="AW430" s="4"/>
      <c r="AX430" s="4"/>
      <c r="AY430" s="4"/>
      <c r="AZ430" s="4"/>
      <c r="BA430" s="4"/>
      <c r="BB430" s="4"/>
      <c r="BC430" s="5"/>
      <c r="BD430" s="4"/>
      <c r="BE430" s="4"/>
      <c r="BF430" s="4"/>
      <c r="BG430" s="4"/>
      <c r="BH430" s="4"/>
      <c r="BI430" s="4"/>
      <c r="BJ430" s="4"/>
      <c r="BK430" s="4"/>
      <c r="BL430" s="4"/>
      <c r="BM430" s="4"/>
      <c r="BN430" s="4"/>
      <c r="BO430" s="4"/>
      <c r="BP430" s="4"/>
      <c r="BQ430" s="4"/>
      <c r="BR430" s="4"/>
    </row>
    <row r="431" spans="1:70">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c r="AG431" s="4"/>
      <c r="AH431" s="4"/>
      <c r="AI431" s="4"/>
      <c r="AJ431" s="4"/>
      <c r="AK431" s="4"/>
      <c r="AL431" s="4"/>
      <c r="AM431" s="4"/>
      <c r="AN431" s="4"/>
      <c r="AO431" s="4"/>
      <c r="AP431" s="4"/>
      <c r="AQ431" s="4"/>
      <c r="AR431" s="4"/>
      <c r="AS431" s="4"/>
      <c r="AT431" s="4"/>
      <c r="AU431" s="4"/>
      <c r="AV431" s="4"/>
      <c r="AW431" s="4"/>
      <c r="AX431" s="4"/>
      <c r="AY431" s="4"/>
      <c r="AZ431" s="4"/>
      <c r="BA431" s="4"/>
      <c r="BB431" s="4"/>
      <c r="BC431" s="5"/>
      <c r="BD431" s="4"/>
      <c r="BE431" s="4"/>
      <c r="BF431" s="4"/>
      <c r="BG431" s="4"/>
      <c r="BH431" s="4"/>
      <c r="BI431" s="4"/>
      <c r="BJ431" s="4"/>
      <c r="BK431" s="4"/>
      <c r="BL431" s="4"/>
      <c r="BM431" s="4"/>
      <c r="BN431" s="4"/>
      <c r="BO431" s="4"/>
      <c r="BP431" s="4"/>
      <c r="BQ431" s="4"/>
      <c r="BR431" s="4"/>
    </row>
    <row r="432" spans="1:70">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c r="AG432" s="4"/>
      <c r="AH432" s="4"/>
      <c r="AI432" s="4"/>
      <c r="AJ432" s="4"/>
      <c r="AK432" s="4"/>
      <c r="AL432" s="4"/>
      <c r="AM432" s="4"/>
      <c r="AN432" s="4"/>
      <c r="AO432" s="4"/>
      <c r="AP432" s="4"/>
      <c r="AQ432" s="4"/>
      <c r="AR432" s="4"/>
      <c r="AS432" s="4"/>
      <c r="AT432" s="4"/>
      <c r="AU432" s="4"/>
      <c r="AV432" s="4"/>
      <c r="AW432" s="4"/>
      <c r="AX432" s="4"/>
      <c r="AY432" s="4"/>
      <c r="AZ432" s="4"/>
      <c r="BA432" s="4"/>
      <c r="BB432" s="4"/>
      <c r="BC432" s="5"/>
      <c r="BD432" s="4"/>
      <c r="BE432" s="4"/>
      <c r="BF432" s="4"/>
      <c r="BG432" s="4"/>
      <c r="BH432" s="4"/>
      <c r="BI432" s="4"/>
      <c r="BJ432" s="4"/>
      <c r="BK432" s="4"/>
      <c r="BL432" s="4"/>
      <c r="BM432" s="4"/>
      <c r="BN432" s="4"/>
      <c r="BO432" s="4"/>
      <c r="BP432" s="4"/>
      <c r="BQ432" s="4"/>
      <c r="BR432" s="4"/>
    </row>
    <row r="433" spans="1:70">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c r="AG433" s="4"/>
      <c r="AH433" s="4"/>
      <c r="AI433" s="4"/>
      <c r="AJ433" s="4"/>
      <c r="AK433" s="4"/>
      <c r="AL433" s="4"/>
      <c r="AM433" s="4"/>
      <c r="AN433" s="4"/>
      <c r="AO433" s="4"/>
      <c r="AP433" s="4"/>
      <c r="AQ433" s="4"/>
      <c r="AR433" s="4"/>
      <c r="AS433" s="4"/>
      <c r="AT433" s="4"/>
      <c r="AU433" s="4"/>
      <c r="AV433" s="4"/>
      <c r="AW433" s="4"/>
      <c r="AX433" s="4"/>
      <c r="AY433" s="4"/>
      <c r="AZ433" s="4"/>
      <c r="BA433" s="4"/>
      <c r="BB433" s="4"/>
      <c r="BC433" s="5"/>
      <c r="BD433" s="4"/>
      <c r="BE433" s="4"/>
      <c r="BF433" s="4"/>
      <c r="BG433" s="4"/>
      <c r="BH433" s="4"/>
      <c r="BI433" s="4"/>
      <c r="BJ433" s="4"/>
      <c r="BK433" s="4"/>
      <c r="BL433" s="4"/>
      <c r="BM433" s="4"/>
      <c r="BN433" s="4"/>
      <c r="BO433" s="4"/>
      <c r="BP433" s="4"/>
      <c r="BQ433" s="4"/>
      <c r="BR433" s="4"/>
    </row>
    <row r="434" spans="1:70">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c r="AG434" s="4"/>
      <c r="AH434" s="4"/>
      <c r="AI434" s="4"/>
      <c r="AJ434" s="4"/>
      <c r="AK434" s="4"/>
      <c r="AL434" s="4"/>
      <c r="AM434" s="4"/>
      <c r="AN434" s="4"/>
      <c r="AO434" s="4"/>
      <c r="AP434" s="4"/>
      <c r="AQ434" s="4"/>
      <c r="AR434" s="4"/>
      <c r="AS434" s="4"/>
      <c r="AT434" s="4"/>
      <c r="AU434" s="4"/>
      <c r="AV434" s="4"/>
      <c r="AW434" s="4"/>
      <c r="AX434" s="4"/>
      <c r="AY434" s="4"/>
      <c r="AZ434" s="4"/>
      <c r="BA434" s="4"/>
      <c r="BB434" s="4"/>
      <c r="BC434" s="5"/>
      <c r="BD434" s="4"/>
      <c r="BE434" s="4"/>
      <c r="BF434" s="4"/>
      <c r="BG434" s="4"/>
      <c r="BH434" s="4"/>
      <c r="BI434" s="4"/>
      <c r="BJ434" s="4"/>
      <c r="BK434" s="4"/>
      <c r="BL434" s="4"/>
      <c r="BM434" s="4"/>
      <c r="BN434" s="4"/>
      <c r="BO434" s="4"/>
      <c r="BP434" s="4"/>
      <c r="BQ434" s="4"/>
      <c r="BR434" s="4"/>
    </row>
    <row r="435" spans="1:70">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c r="AG435" s="4"/>
      <c r="AH435" s="4"/>
      <c r="AI435" s="4"/>
      <c r="AJ435" s="4"/>
      <c r="AK435" s="4"/>
      <c r="AL435" s="4"/>
      <c r="AM435" s="4"/>
      <c r="AN435" s="4"/>
      <c r="AO435" s="4"/>
      <c r="AP435" s="4"/>
      <c r="AQ435" s="4"/>
      <c r="AR435" s="4"/>
      <c r="AS435" s="4"/>
      <c r="AT435" s="4"/>
      <c r="AU435" s="4"/>
      <c r="AV435" s="4"/>
      <c r="AW435" s="4"/>
      <c r="AX435" s="4"/>
      <c r="AY435" s="4"/>
      <c r="AZ435" s="4"/>
      <c r="BA435" s="4"/>
      <c r="BB435" s="4"/>
      <c r="BC435" s="5"/>
      <c r="BD435" s="4"/>
      <c r="BE435" s="4"/>
      <c r="BF435" s="4"/>
      <c r="BG435" s="4"/>
      <c r="BH435" s="4"/>
      <c r="BI435" s="4"/>
      <c r="BJ435" s="4"/>
      <c r="BK435" s="4"/>
      <c r="BL435" s="4"/>
      <c r="BM435" s="4"/>
      <c r="BN435" s="4"/>
      <c r="BO435" s="4"/>
      <c r="BP435" s="4"/>
      <c r="BQ435" s="4"/>
      <c r="BR435" s="4"/>
    </row>
    <row r="436" spans="1:70">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c r="AG436" s="4"/>
      <c r="AH436" s="4"/>
      <c r="AI436" s="4"/>
      <c r="AJ436" s="4"/>
      <c r="AK436" s="4"/>
      <c r="AL436" s="4"/>
      <c r="AM436" s="4"/>
      <c r="AN436" s="4"/>
      <c r="AO436" s="4"/>
      <c r="AP436" s="4"/>
      <c r="AQ436" s="4"/>
      <c r="AR436" s="4"/>
      <c r="AS436" s="4"/>
      <c r="AT436" s="4"/>
      <c r="AU436" s="4"/>
      <c r="AV436" s="4"/>
      <c r="AW436" s="4"/>
      <c r="AX436" s="4"/>
      <c r="AY436" s="4"/>
      <c r="AZ436" s="4"/>
      <c r="BA436" s="4"/>
      <c r="BB436" s="4"/>
      <c r="BC436" s="5"/>
      <c r="BD436" s="4"/>
      <c r="BE436" s="4"/>
      <c r="BF436" s="4"/>
      <c r="BG436" s="4"/>
      <c r="BH436" s="4"/>
      <c r="BI436" s="4"/>
      <c r="BJ436" s="4"/>
      <c r="BK436" s="4"/>
      <c r="BL436" s="4"/>
      <c r="BM436" s="4"/>
      <c r="BN436" s="4"/>
      <c r="BO436" s="4"/>
      <c r="BP436" s="4"/>
      <c r="BQ436" s="4"/>
      <c r="BR436" s="4"/>
    </row>
    <row r="437" spans="1:70">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c r="AG437" s="4"/>
      <c r="AH437" s="4"/>
      <c r="AI437" s="4"/>
      <c r="AJ437" s="4"/>
      <c r="AK437" s="4"/>
      <c r="AL437" s="4"/>
      <c r="AM437" s="4"/>
      <c r="AN437" s="4"/>
      <c r="AO437" s="4"/>
      <c r="AP437" s="4"/>
      <c r="AQ437" s="4"/>
      <c r="AR437" s="4"/>
      <c r="AS437" s="4"/>
      <c r="AT437" s="4"/>
      <c r="AU437" s="4"/>
      <c r="AV437" s="4"/>
      <c r="AW437" s="4"/>
      <c r="AX437" s="4"/>
      <c r="AY437" s="4"/>
      <c r="AZ437" s="4"/>
      <c r="BA437" s="4"/>
      <c r="BB437" s="4"/>
      <c r="BC437" s="5"/>
      <c r="BD437" s="4"/>
      <c r="BE437" s="4"/>
      <c r="BF437" s="4"/>
      <c r="BG437" s="4"/>
      <c r="BH437" s="4"/>
      <c r="BI437" s="4"/>
      <c r="BJ437" s="4"/>
      <c r="BK437" s="4"/>
      <c r="BL437" s="4"/>
      <c r="BM437" s="4"/>
      <c r="BN437" s="4"/>
      <c r="BO437" s="4"/>
      <c r="BP437" s="4"/>
      <c r="BQ437" s="4"/>
      <c r="BR437" s="4"/>
    </row>
    <row r="438" spans="1:70">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c r="AG438" s="4"/>
      <c r="AH438" s="4"/>
      <c r="AI438" s="4"/>
      <c r="AJ438" s="4"/>
      <c r="AK438" s="4"/>
      <c r="AL438" s="4"/>
      <c r="AM438" s="4"/>
      <c r="AN438" s="4"/>
      <c r="AO438" s="4"/>
      <c r="AP438" s="4"/>
      <c r="AQ438" s="4"/>
      <c r="AR438" s="4"/>
      <c r="AS438" s="4"/>
      <c r="AT438" s="4"/>
      <c r="AU438" s="4"/>
      <c r="AV438" s="4"/>
      <c r="AW438" s="4"/>
      <c r="AX438" s="4"/>
      <c r="AY438" s="4"/>
      <c r="AZ438" s="4"/>
      <c r="BA438" s="4"/>
      <c r="BB438" s="4"/>
      <c r="BC438" s="5"/>
      <c r="BD438" s="4"/>
      <c r="BE438" s="4"/>
      <c r="BF438" s="4"/>
      <c r="BG438" s="4"/>
      <c r="BH438" s="4"/>
      <c r="BI438" s="4"/>
      <c r="BJ438" s="4"/>
      <c r="BK438" s="4"/>
      <c r="BL438" s="4"/>
      <c r="BM438" s="4"/>
      <c r="BN438" s="4"/>
      <c r="BO438" s="4"/>
      <c r="BP438" s="4"/>
      <c r="BQ438" s="4"/>
      <c r="BR438" s="4"/>
    </row>
    <row r="439" spans="1:70">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c r="AG439" s="4"/>
      <c r="AH439" s="4"/>
      <c r="AI439" s="4"/>
      <c r="AJ439" s="4"/>
      <c r="AK439" s="4"/>
      <c r="AL439" s="4"/>
      <c r="AM439" s="4"/>
      <c r="AN439" s="4"/>
      <c r="AO439" s="4"/>
      <c r="AP439" s="4"/>
      <c r="AQ439" s="4"/>
      <c r="AR439" s="4"/>
      <c r="AS439" s="4"/>
      <c r="AT439" s="4"/>
      <c r="AU439" s="4"/>
      <c r="AV439" s="4"/>
      <c r="AW439" s="4"/>
      <c r="AX439" s="4"/>
      <c r="AY439" s="4"/>
      <c r="AZ439" s="4"/>
      <c r="BA439" s="4"/>
      <c r="BB439" s="4"/>
      <c r="BC439" s="5"/>
      <c r="BD439" s="4"/>
      <c r="BE439" s="4"/>
      <c r="BF439" s="4"/>
      <c r="BG439" s="4"/>
      <c r="BH439" s="4"/>
      <c r="BI439" s="4"/>
      <c r="BJ439" s="4"/>
      <c r="BK439" s="4"/>
      <c r="BL439" s="4"/>
      <c r="BM439" s="4"/>
      <c r="BN439" s="4"/>
      <c r="BO439" s="4"/>
      <c r="BP439" s="4"/>
      <c r="BQ439" s="4"/>
      <c r="BR439" s="4"/>
    </row>
    <row r="440" spans="1:7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c r="AG440" s="4"/>
      <c r="AH440" s="4"/>
      <c r="AI440" s="4"/>
      <c r="AJ440" s="4"/>
      <c r="AK440" s="4"/>
      <c r="AL440" s="4"/>
      <c r="AM440" s="4"/>
      <c r="AN440" s="4"/>
      <c r="AO440" s="4"/>
      <c r="AP440" s="4"/>
      <c r="AQ440" s="4"/>
      <c r="AR440" s="4"/>
      <c r="AS440" s="4"/>
      <c r="AT440" s="4"/>
      <c r="AU440" s="4"/>
      <c r="AV440" s="4"/>
      <c r="AW440" s="4"/>
      <c r="AX440" s="4"/>
      <c r="AY440" s="4"/>
      <c r="AZ440" s="4"/>
      <c r="BA440" s="4"/>
      <c r="BB440" s="4"/>
      <c r="BC440" s="5"/>
      <c r="BD440" s="4"/>
      <c r="BE440" s="4"/>
      <c r="BF440" s="4"/>
      <c r="BG440" s="4"/>
      <c r="BH440" s="4"/>
      <c r="BI440" s="4"/>
      <c r="BJ440" s="4"/>
      <c r="BK440" s="4"/>
      <c r="BL440" s="4"/>
      <c r="BM440" s="4"/>
      <c r="BN440" s="4"/>
      <c r="BO440" s="4"/>
      <c r="BP440" s="4"/>
      <c r="BQ440" s="4"/>
      <c r="BR440" s="4"/>
    </row>
    <row r="441" spans="1:70">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c r="AG441" s="4"/>
      <c r="AH441" s="4"/>
      <c r="AI441" s="4"/>
      <c r="AJ441" s="4"/>
      <c r="AK441" s="4"/>
      <c r="AL441" s="4"/>
      <c r="AM441" s="4"/>
      <c r="AN441" s="4"/>
      <c r="AO441" s="4"/>
      <c r="AP441" s="4"/>
      <c r="AQ441" s="4"/>
      <c r="AR441" s="4"/>
      <c r="AS441" s="4"/>
      <c r="AT441" s="4"/>
      <c r="AU441" s="4"/>
      <c r="AV441" s="4"/>
      <c r="AW441" s="4"/>
      <c r="AX441" s="4"/>
      <c r="AY441" s="4"/>
      <c r="AZ441" s="4"/>
      <c r="BA441" s="4"/>
      <c r="BB441" s="4"/>
      <c r="BC441" s="5"/>
      <c r="BD441" s="4"/>
      <c r="BE441" s="4"/>
      <c r="BF441" s="4"/>
      <c r="BG441" s="4"/>
      <c r="BH441" s="4"/>
      <c r="BI441" s="4"/>
      <c r="BJ441" s="4"/>
      <c r="BK441" s="4"/>
      <c r="BL441" s="4"/>
      <c r="BM441" s="4"/>
      <c r="BN441" s="4"/>
      <c r="BO441" s="4"/>
      <c r="BP441" s="4"/>
      <c r="BQ441" s="4"/>
      <c r="BR441" s="4"/>
    </row>
    <row r="442" spans="1:70">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c r="AG442" s="4"/>
      <c r="AH442" s="4"/>
      <c r="AI442" s="4"/>
      <c r="AJ442" s="4"/>
      <c r="AK442" s="4"/>
      <c r="AL442" s="4"/>
      <c r="AM442" s="4"/>
      <c r="AN442" s="4"/>
      <c r="AO442" s="4"/>
      <c r="AP442" s="4"/>
      <c r="AQ442" s="4"/>
      <c r="AR442" s="4"/>
      <c r="AS442" s="4"/>
      <c r="AT442" s="4"/>
      <c r="AU442" s="4"/>
      <c r="AV442" s="4"/>
      <c r="AW442" s="4"/>
      <c r="AX442" s="4"/>
      <c r="AY442" s="4"/>
      <c r="AZ442" s="4"/>
      <c r="BA442" s="4"/>
      <c r="BB442" s="4"/>
      <c r="BC442" s="5"/>
      <c r="BD442" s="4"/>
      <c r="BE442" s="4"/>
      <c r="BF442" s="4"/>
      <c r="BG442" s="4"/>
      <c r="BH442" s="4"/>
      <c r="BI442" s="4"/>
      <c r="BJ442" s="4"/>
      <c r="BK442" s="4"/>
      <c r="BL442" s="4"/>
      <c r="BM442" s="4"/>
      <c r="BN442" s="4"/>
      <c r="BO442" s="4"/>
      <c r="BP442" s="4"/>
      <c r="BQ442" s="4"/>
      <c r="BR442" s="4"/>
    </row>
    <row r="443" spans="1:70">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c r="AG443" s="4"/>
      <c r="AH443" s="4"/>
      <c r="AI443" s="4"/>
      <c r="AJ443" s="4"/>
      <c r="AK443" s="4"/>
      <c r="AL443" s="4"/>
      <c r="AM443" s="4"/>
      <c r="AN443" s="4"/>
      <c r="AO443" s="4"/>
      <c r="AP443" s="4"/>
      <c r="AQ443" s="4"/>
      <c r="AR443" s="4"/>
      <c r="AS443" s="4"/>
      <c r="AT443" s="4"/>
      <c r="AU443" s="4"/>
      <c r="AV443" s="4"/>
      <c r="AW443" s="4"/>
      <c r="AX443" s="4"/>
      <c r="AY443" s="4"/>
      <c r="AZ443" s="4"/>
      <c r="BA443" s="4"/>
      <c r="BB443" s="4"/>
      <c r="BC443" s="5"/>
      <c r="BD443" s="4"/>
      <c r="BE443" s="4"/>
      <c r="BF443" s="4"/>
      <c r="BG443" s="4"/>
      <c r="BH443" s="4"/>
      <c r="BI443" s="4"/>
      <c r="BJ443" s="4"/>
      <c r="BK443" s="4"/>
      <c r="BL443" s="4"/>
      <c r="BM443" s="4"/>
      <c r="BN443" s="4"/>
      <c r="BO443" s="4"/>
      <c r="BP443" s="4"/>
      <c r="BQ443" s="4"/>
      <c r="BR443" s="4"/>
    </row>
    <row r="444" spans="1:70">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c r="AG444" s="4"/>
      <c r="AH444" s="4"/>
      <c r="AI444" s="4"/>
      <c r="AJ444" s="4"/>
      <c r="AK444" s="4"/>
      <c r="AL444" s="4"/>
      <c r="AM444" s="4"/>
      <c r="AN444" s="4"/>
      <c r="AO444" s="4"/>
      <c r="AP444" s="4"/>
      <c r="AQ444" s="4"/>
      <c r="AR444" s="4"/>
      <c r="AS444" s="4"/>
      <c r="AT444" s="4"/>
      <c r="AU444" s="4"/>
      <c r="AV444" s="4"/>
      <c r="AW444" s="4"/>
      <c r="AX444" s="4"/>
      <c r="AY444" s="4"/>
      <c r="AZ444" s="4"/>
      <c r="BA444" s="4"/>
      <c r="BB444" s="4"/>
      <c r="BC444" s="5"/>
      <c r="BD444" s="4"/>
      <c r="BE444" s="4"/>
      <c r="BF444" s="4"/>
      <c r="BG444" s="4"/>
      <c r="BH444" s="4"/>
      <c r="BI444" s="4"/>
      <c r="BJ444" s="4"/>
      <c r="BK444" s="4"/>
      <c r="BL444" s="4"/>
      <c r="BM444" s="4"/>
      <c r="BN444" s="4"/>
      <c r="BO444" s="4"/>
      <c r="BP444" s="4"/>
      <c r="BQ444" s="4"/>
      <c r="BR444" s="4"/>
    </row>
    <row r="445" spans="1:70">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c r="AG445" s="4"/>
      <c r="AH445" s="4"/>
      <c r="AI445" s="4"/>
      <c r="AJ445" s="4"/>
      <c r="AK445" s="4"/>
      <c r="AL445" s="4"/>
      <c r="AM445" s="4"/>
      <c r="AN445" s="4"/>
      <c r="AO445" s="4"/>
      <c r="AP445" s="4"/>
      <c r="AQ445" s="4"/>
      <c r="AR445" s="4"/>
      <c r="AS445" s="4"/>
      <c r="AT445" s="4"/>
      <c r="AU445" s="4"/>
      <c r="AV445" s="4"/>
      <c r="AW445" s="4"/>
      <c r="AX445" s="4"/>
      <c r="AY445" s="4"/>
      <c r="AZ445" s="4"/>
      <c r="BA445" s="4"/>
      <c r="BB445" s="4"/>
      <c r="BC445" s="5"/>
      <c r="BD445" s="4"/>
      <c r="BE445" s="4"/>
      <c r="BF445" s="4"/>
      <c r="BG445" s="4"/>
      <c r="BH445" s="4"/>
      <c r="BI445" s="4"/>
      <c r="BJ445" s="4"/>
      <c r="BK445" s="4"/>
      <c r="BL445" s="4"/>
      <c r="BM445" s="4"/>
      <c r="BN445" s="4"/>
      <c r="BO445" s="4"/>
      <c r="BP445" s="4"/>
      <c r="BQ445" s="4"/>
      <c r="BR445" s="4"/>
    </row>
    <row r="446" spans="1:70">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c r="AG446" s="4"/>
      <c r="AH446" s="4"/>
      <c r="AI446" s="4"/>
      <c r="AJ446" s="4"/>
      <c r="AK446" s="4"/>
      <c r="AL446" s="4"/>
      <c r="AM446" s="4"/>
      <c r="AN446" s="4"/>
      <c r="AO446" s="4"/>
      <c r="AP446" s="4"/>
      <c r="AQ446" s="4"/>
      <c r="AR446" s="4"/>
      <c r="AS446" s="4"/>
      <c r="AT446" s="4"/>
      <c r="AU446" s="4"/>
      <c r="AV446" s="4"/>
      <c r="AW446" s="4"/>
      <c r="AX446" s="4"/>
      <c r="AY446" s="4"/>
      <c r="AZ446" s="4"/>
      <c r="BA446" s="4"/>
      <c r="BB446" s="4"/>
      <c r="BC446" s="5"/>
      <c r="BD446" s="4"/>
      <c r="BE446" s="4"/>
      <c r="BF446" s="4"/>
      <c r="BG446" s="4"/>
      <c r="BH446" s="4"/>
      <c r="BI446" s="4"/>
      <c r="BJ446" s="4"/>
      <c r="BK446" s="4"/>
      <c r="BL446" s="4"/>
      <c r="BM446" s="4"/>
      <c r="BN446" s="4"/>
      <c r="BO446" s="4"/>
      <c r="BP446" s="4"/>
      <c r="BQ446" s="4"/>
      <c r="BR446" s="4"/>
    </row>
    <row r="447" spans="1:70">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c r="AG447" s="4"/>
      <c r="AH447" s="4"/>
      <c r="AI447" s="4"/>
      <c r="AJ447" s="4"/>
      <c r="AK447" s="4"/>
      <c r="AL447" s="4"/>
      <c r="AM447" s="4"/>
      <c r="AN447" s="4"/>
      <c r="AO447" s="4"/>
      <c r="AP447" s="4"/>
      <c r="AQ447" s="4"/>
      <c r="AR447" s="4"/>
      <c r="AS447" s="4"/>
      <c r="AT447" s="4"/>
      <c r="AU447" s="4"/>
      <c r="AV447" s="4"/>
      <c r="AW447" s="4"/>
      <c r="AX447" s="4"/>
      <c r="AY447" s="4"/>
      <c r="AZ447" s="4"/>
      <c r="BA447" s="4"/>
      <c r="BB447" s="4"/>
      <c r="BC447" s="5"/>
      <c r="BD447" s="4"/>
      <c r="BE447" s="4"/>
      <c r="BF447" s="4"/>
      <c r="BG447" s="4"/>
      <c r="BH447" s="4"/>
      <c r="BI447" s="4"/>
      <c r="BJ447" s="4"/>
      <c r="BK447" s="4"/>
      <c r="BL447" s="4"/>
      <c r="BM447" s="4"/>
      <c r="BN447" s="4"/>
      <c r="BO447" s="4"/>
      <c r="BP447" s="4"/>
      <c r="BQ447" s="4"/>
      <c r="BR447" s="4"/>
    </row>
    <row r="448" spans="1:70">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c r="AG448" s="4"/>
      <c r="AH448" s="4"/>
      <c r="AI448" s="4"/>
      <c r="AJ448" s="4"/>
      <c r="AK448" s="4"/>
      <c r="AL448" s="4"/>
      <c r="AM448" s="4"/>
      <c r="AN448" s="4"/>
      <c r="AO448" s="4"/>
      <c r="AP448" s="4"/>
      <c r="AQ448" s="4"/>
      <c r="AR448" s="4"/>
      <c r="AS448" s="4"/>
      <c r="AT448" s="4"/>
      <c r="AU448" s="4"/>
      <c r="AV448" s="4"/>
      <c r="AW448" s="4"/>
      <c r="AX448" s="4"/>
      <c r="AY448" s="4"/>
      <c r="AZ448" s="4"/>
      <c r="BA448" s="4"/>
      <c r="BB448" s="4"/>
      <c r="BC448" s="5"/>
      <c r="BD448" s="4"/>
      <c r="BE448" s="4"/>
      <c r="BF448" s="4"/>
      <c r="BG448" s="4"/>
      <c r="BH448" s="4"/>
      <c r="BI448" s="4"/>
      <c r="BJ448" s="4"/>
      <c r="BK448" s="4"/>
      <c r="BL448" s="4"/>
      <c r="BM448" s="4"/>
      <c r="BN448" s="4"/>
      <c r="BO448" s="4"/>
      <c r="BP448" s="4"/>
      <c r="BQ448" s="4"/>
      <c r="BR448" s="4"/>
    </row>
    <row r="449" spans="1:70">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c r="AG449" s="4"/>
      <c r="AH449" s="4"/>
      <c r="AI449" s="4"/>
      <c r="AJ449" s="4"/>
      <c r="AK449" s="4"/>
      <c r="AL449" s="4"/>
      <c r="AM449" s="4"/>
      <c r="AN449" s="4"/>
      <c r="AO449" s="4"/>
      <c r="AP449" s="4"/>
      <c r="AQ449" s="4"/>
      <c r="AR449" s="4"/>
      <c r="AS449" s="4"/>
      <c r="AT449" s="4"/>
      <c r="AU449" s="4"/>
      <c r="AV449" s="4"/>
      <c r="AW449" s="4"/>
      <c r="AX449" s="4"/>
      <c r="AY449" s="4"/>
      <c r="AZ449" s="4"/>
      <c r="BA449" s="4"/>
      <c r="BB449" s="4"/>
      <c r="BC449" s="5"/>
      <c r="BD449" s="4"/>
      <c r="BE449" s="4"/>
      <c r="BF449" s="4"/>
      <c r="BG449" s="4"/>
      <c r="BH449" s="4"/>
      <c r="BI449" s="4"/>
      <c r="BJ449" s="4"/>
      <c r="BK449" s="4"/>
      <c r="BL449" s="4"/>
      <c r="BM449" s="4"/>
      <c r="BN449" s="4"/>
      <c r="BO449" s="4"/>
      <c r="BP449" s="4"/>
      <c r="BQ449" s="4"/>
      <c r="BR449" s="4"/>
    </row>
    <row r="450" spans="1:7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c r="AG450" s="4"/>
      <c r="AH450" s="4"/>
      <c r="AI450" s="4"/>
      <c r="AJ450" s="4"/>
      <c r="AK450" s="4"/>
      <c r="AL450" s="4"/>
      <c r="AM450" s="4"/>
      <c r="AN450" s="4"/>
      <c r="AO450" s="4"/>
      <c r="AP450" s="4"/>
      <c r="AQ450" s="4"/>
      <c r="AR450" s="4"/>
      <c r="AS450" s="4"/>
      <c r="AT450" s="4"/>
      <c r="AU450" s="4"/>
      <c r="AV450" s="4"/>
      <c r="AW450" s="4"/>
      <c r="AX450" s="4"/>
      <c r="AY450" s="4"/>
      <c r="AZ450" s="4"/>
      <c r="BA450" s="4"/>
      <c r="BB450" s="4"/>
      <c r="BC450" s="5"/>
      <c r="BD450" s="4"/>
      <c r="BE450" s="4"/>
      <c r="BF450" s="4"/>
      <c r="BG450" s="4"/>
      <c r="BH450" s="4"/>
      <c r="BI450" s="4"/>
      <c r="BJ450" s="4"/>
      <c r="BK450" s="4"/>
      <c r="BL450" s="4"/>
      <c r="BM450" s="4"/>
      <c r="BN450" s="4"/>
      <c r="BO450" s="4"/>
      <c r="BP450" s="4"/>
      <c r="BQ450" s="4"/>
      <c r="BR450" s="4"/>
    </row>
    <row r="451" spans="1:70">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c r="AG451" s="4"/>
      <c r="AH451" s="4"/>
      <c r="AI451" s="4"/>
      <c r="AJ451" s="4"/>
      <c r="AK451" s="4"/>
      <c r="AL451" s="4"/>
      <c r="AM451" s="4"/>
      <c r="AN451" s="4"/>
      <c r="AO451" s="4"/>
      <c r="AP451" s="4"/>
      <c r="AQ451" s="4"/>
      <c r="AR451" s="4"/>
      <c r="AS451" s="4"/>
      <c r="AT451" s="4"/>
      <c r="AU451" s="4"/>
      <c r="AV451" s="4"/>
      <c r="AW451" s="4"/>
      <c r="AX451" s="4"/>
      <c r="AY451" s="4"/>
      <c r="AZ451" s="4"/>
      <c r="BA451" s="4"/>
      <c r="BB451" s="4"/>
      <c r="BC451" s="5"/>
      <c r="BD451" s="4"/>
      <c r="BE451" s="4"/>
      <c r="BF451" s="4"/>
      <c r="BG451" s="4"/>
      <c r="BH451" s="4"/>
      <c r="BI451" s="4"/>
      <c r="BJ451" s="4"/>
      <c r="BK451" s="4"/>
      <c r="BL451" s="4"/>
      <c r="BM451" s="4"/>
      <c r="BN451" s="4"/>
      <c r="BO451" s="4"/>
      <c r="BP451" s="4"/>
      <c r="BQ451" s="4"/>
      <c r="BR451" s="4"/>
    </row>
    <row r="452" spans="1:70">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c r="AG452" s="4"/>
      <c r="AH452" s="4"/>
      <c r="AI452" s="4"/>
      <c r="AJ452" s="4"/>
      <c r="AK452" s="4"/>
      <c r="AL452" s="4"/>
      <c r="AM452" s="4"/>
      <c r="AN452" s="4"/>
      <c r="AO452" s="4"/>
      <c r="AP452" s="4"/>
      <c r="AQ452" s="4"/>
      <c r="AR452" s="4"/>
      <c r="AS452" s="4"/>
      <c r="AT452" s="4"/>
      <c r="AU452" s="4"/>
      <c r="AV452" s="4"/>
      <c r="AW452" s="4"/>
      <c r="AX452" s="4"/>
      <c r="AY452" s="4"/>
      <c r="AZ452" s="4"/>
      <c r="BA452" s="4"/>
      <c r="BB452" s="4"/>
      <c r="BC452" s="5"/>
      <c r="BD452" s="4"/>
      <c r="BE452" s="4"/>
      <c r="BF452" s="4"/>
      <c r="BG452" s="4"/>
      <c r="BH452" s="4"/>
      <c r="BI452" s="4"/>
      <c r="BJ452" s="4"/>
      <c r="BK452" s="4"/>
      <c r="BL452" s="4"/>
      <c r="BM452" s="4"/>
      <c r="BN452" s="4"/>
      <c r="BO452" s="4"/>
      <c r="BP452" s="4"/>
      <c r="BQ452" s="4"/>
      <c r="BR452" s="4"/>
    </row>
    <row r="453" spans="1:70">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c r="AG453" s="4"/>
      <c r="AH453" s="4"/>
      <c r="AI453" s="4"/>
      <c r="AJ453" s="4"/>
      <c r="AK453" s="4"/>
      <c r="AL453" s="4"/>
      <c r="AM453" s="4"/>
      <c r="AN453" s="4"/>
      <c r="AO453" s="4"/>
      <c r="AP453" s="4"/>
      <c r="AQ453" s="4"/>
      <c r="AR453" s="4"/>
      <c r="AS453" s="4"/>
      <c r="AT453" s="4"/>
      <c r="AU453" s="4"/>
      <c r="AV453" s="4"/>
      <c r="AW453" s="4"/>
      <c r="AX453" s="4"/>
      <c r="AY453" s="4"/>
      <c r="AZ453" s="4"/>
      <c r="BA453" s="4"/>
      <c r="BB453" s="4"/>
      <c r="BC453" s="5"/>
      <c r="BD453" s="4"/>
      <c r="BE453" s="4"/>
      <c r="BF453" s="4"/>
      <c r="BG453" s="4"/>
      <c r="BH453" s="4"/>
      <c r="BI453" s="4"/>
      <c r="BJ453" s="4"/>
      <c r="BK453" s="4"/>
      <c r="BL453" s="4"/>
      <c r="BM453" s="4"/>
      <c r="BN453" s="4"/>
      <c r="BO453" s="4"/>
      <c r="BP453" s="4"/>
      <c r="BQ453" s="4"/>
      <c r="BR453" s="4"/>
    </row>
    <row r="454" spans="1:70">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c r="AG454" s="4"/>
      <c r="AH454" s="4"/>
      <c r="AI454" s="4"/>
      <c r="AJ454" s="4"/>
      <c r="AK454" s="4"/>
      <c r="AL454" s="4"/>
      <c r="AM454" s="4"/>
      <c r="AN454" s="4"/>
      <c r="AO454" s="4"/>
      <c r="AP454" s="4"/>
      <c r="AQ454" s="4"/>
      <c r="AR454" s="4"/>
      <c r="AS454" s="4"/>
      <c r="AT454" s="4"/>
      <c r="AU454" s="4"/>
      <c r="AV454" s="4"/>
      <c r="AW454" s="4"/>
      <c r="AX454" s="4"/>
      <c r="AY454" s="4"/>
      <c r="AZ454" s="4"/>
      <c r="BA454" s="4"/>
      <c r="BB454" s="4"/>
      <c r="BC454" s="5"/>
      <c r="BD454" s="4"/>
      <c r="BE454" s="4"/>
      <c r="BF454" s="4"/>
      <c r="BG454" s="4"/>
      <c r="BH454" s="4"/>
      <c r="BI454" s="4"/>
      <c r="BJ454" s="4"/>
      <c r="BK454" s="4"/>
      <c r="BL454" s="4"/>
      <c r="BM454" s="4"/>
      <c r="BN454" s="4"/>
      <c r="BO454" s="4"/>
      <c r="BP454" s="4"/>
      <c r="BQ454" s="4"/>
      <c r="BR454" s="4"/>
    </row>
    <row r="455" spans="1:70">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c r="AG455" s="4"/>
      <c r="AH455" s="4"/>
      <c r="AI455" s="4"/>
      <c r="AJ455" s="4"/>
      <c r="AK455" s="4"/>
      <c r="AL455" s="4"/>
      <c r="AM455" s="4"/>
      <c r="AN455" s="4"/>
      <c r="AO455" s="4"/>
      <c r="AP455" s="4"/>
      <c r="AQ455" s="4"/>
      <c r="AR455" s="4"/>
      <c r="AS455" s="4"/>
      <c r="AT455" s="4"/>
      <c r="AU455" s="4"/>
      <c r="AV455" s="4"/>
      <c r="AW455" s="4"/>
      <c r="AX455" s="4"/>
      <c r="AY455" s="4"/>
      <c r="AZ455" s="4"/>
      <c r="BA455" s="4"/>
      <c r="BB455" s="4"/>
      <c r="BC455" s="5"/>
      <c r="BD455" s="4"/>
      <c r="BE455" s="4"/>
      <c r="BF455" s="4"/>
      <c r="BG455" s="4"/>
      <c r="BH455" s="4"/>
      <c r="BI455" s="4"/>
      <c r="BJ455" s="4"/>
      <c r="BK455" s="4"/>
      <c r="BL455" s="4"/>
      <c r="BM455" s="4"/>
      <c r="BN455" s="4"/>
      <c r="BO455" s="4"/>
      <c r="BP455" s="4"/>
      <c r="BQ455" s="4"/>
      <c r="BR455" s="4"/>
    </row>
    <row r="456" spans="1:70">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c r="AG456" s="4"/>
      <c r="AH456" s="4"/>
      <c r="AI456" s="4"/>
      <c r="AJ456" s="4"/>
      <c r="AK456" s="4"/>
      <c r="AL456" s="4"/>
      <c r="AM456" s="4"/>
      <c r="AN456" s="4"/>
      <c r="AO456" s="4"/>
      <c r="AP456" s="4"/>
      <c r="AQ456" s="4"/>
      <c r="AR456" s="4"/>
      <c r="AS456" s="4"/>
      <c r="AT456" s="4"/>
      <c r="AU456" s="4"/>
      <c r="AV456" s="4"/>
      <c r="AW456" s="4"/>
      <c r="AX456" s="4"/>
      <c r="AY456" s="4"/>
      <c r="AZ456" s="4"/>
      <c r="BA456" s="4"/>
      <c r="BB456" s="4"/>
      <c r="BC456" s="5"/>
      <c r="BD456" s="4"/>
      <c r="BE456" s="4"/>
      <c r="BF456" s="4"/>
      <c r="BG456" s="4"/>
      <c r="BH456" s="4"/>
      <c r="BI456" s="4"/>
      <c r="BJ456" s="4"/>
      <c r="BK456" s="4"/>
      <c r="BL456" s="4"/>
      <c r="BM456" s="4"/>
      <c r="BN456" s="4"/>
      <c r="BO456" s="4"/>
      <c r="BP456" s="4"/>
      <c r="BQ456" s="4"/>
      <c r="BR456" s="4"/>
    </row>
    <row r="457" spans="1:70">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c r="AG457" s="4"/>
      <c r="AH457" s="4"/>
      <c r="AI457" s="4"/>
      <c r="AJ457" s="4"/>
      <c r="AK457" s="4"/>
      <c r="AL457" s="4"/>
      <c r="AM457" s="4"/>
      <c r="AN457" s="4"/>
      <c r="AO457" s="4"/>
      <c r="AP457" s="4"/>
      <c r="AQ457" s="4"/>
      <c r="AR457" s="4"/>
      <c r="AS457" s="4"/>
      <c r="AT457" s="4"/>
      <c r="AU457" s="4"/>
      <c r="AV457" s="4"/>
      <c r="AW457" s="4"/>
      <c r="AX457" s="4"/>
      <c r="AY457" s="4"/>
      <c r="AZ457" s="4"/>
      <c r="BA457" s="4"/>
      <c r="BB457" s="4"/>
      <c r="BC457" s="5"/>
      <c r="BD457" s="4"/>
      <c r="BE457" s="4"/>
      <c r="BF457" s="4"/>
      <c r="BG457" s="4"/>
      <c r="BH457" s="4"/>
      <c r="BI457" s="4"/>
      <c r="BJ457" s="4"/>
      <c r="BK457" s="4"/>
      <c r="BL457" s="4"/>
      <c r="BM457" s="4"/>
      <c r="BN457" s="4"/>
      <c r="BO457" s="4"/>
      <c r="BP457" s="4"/>
      <c r="BQ457" s="4"/>
      <c r="BR457" s="4"/>
    </row>
    <row r="458" spans="1:70">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c r="AG458" s="4"/>
      <c r="AH458" s="4"/>
      <c r="AI458" s="4"/>
      <c r="AJ458" s="4"/>
      <c r="AK458" s="4"/>
      <c r="AL458" s="4"/>
      <c r="AM458" s="4"/>
      <c r="AN458" s="4"/>
      <c r="AO458" s="4"/>
      <c r="AP458" s="4"/>
      <c r="AQ458" s="4"/>
      <c r="AR458" s="4"/>
      <c r="AS458" s="4"/>
      <c r="AT458" s="4"/>
      <c r="AU458" s="4"/>
      <c r="AV458" s="4"/>
      <c r="AW458" s="4"/>
      <c r="AX458" s="4"/>
      <c r="AY458" s="4"/>
      <c r="AZ458" s="4"/>
      <c r="BA458" s="4"/>
      <c r="BB458" s="4"/>
      <c r="BC458" s="5"/>
      <c r="BD458" s="4"/>
      <c r="BE458" s="4"/>
      <c r="BF458" s="4"/>
      <c r="BG458" s="4"/>
      <c r="BH458" s="4"/>
      <c r="BI458" s="4"/>
      <c r="BJ458" s="4"/>
      <c r="BK458" s="4"/>
      <c r="BL458" s="4"/>
      <c r="BM458" s="4"/>
      <c r="BN458" s="4"/>
      <c r="BO458" s="4"/>
      <c r="BP458" s="4"/>
      <c r="BQ458" s="4"/>
      <c r="BR458" s="4"/>
    </row>
    <row r="459" spans="1:70">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c r="AG459" s="4"/>
      <c r="AH459" s="4"/>
      <c r="AI459" s="4"/>
      <c r="AJ459" s="4"/>
      <c r="AK459" s="4"/>
      <c r="AL459" s="4"/>
      <c r="AM459" s="4"/>
      <c r="AN459" s="4"/>
      <c r="AO459" s="4"/>
      <c r="AP459" s="4"/>
      <c r="AQ459" s="4"/>
      <c r="AR459" s="4"/>
      <c r="AS459" s="4"/>
      <c r="AT459" s="4"/>
      <c r="AU459" s="4"/>
      <c r="AV459" s="4"/>
      <c r="AW459" s="4"/>
      <c r="AX459" s="4"/>
      <c r="AY459" s="4"/>
      <c r="AZ459" s="4"/>
      <c r="BA459" s="4"/>
      <c r="BB459" s="4"/>
      <c r="BC459" s="5"/>
      <c r="BD459" s="4"/>
      <c r="BE459" s="4"/>
      <c r="BF459" s="4"/>
      <c r="BG459" s="4"/>
      <c r="BH459" s="4"/>
      <c r="BI459" s="4"/>
      <c r="BJ459" s="4"/>
      <c r="BK459" s="4"/>
      <c r="BL459" s="4"/>
      <c r="BM459" s="4"/>
      <c r="BN459" s="4"/>
      <c r="BO459" s="4"/>
      <c r="BP459" s="4"/>
      <c r="BQ459" s="4"/>
      <c r="BR459" s="4"/>
    </row>
    <row r="460" spans="1:7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c r="AG460" s="4"/>
      <c r="AH460" s="4"/>
      <c r="AI460" s="4"/>
      <c r="AJ460" s="4"/>
      <c r="AK460" s="4"/>
      <c r="AL460" s="4"/>
      <c r="AM460" s="4"/>
      <c r="AN460" s="4"/>
      <c r="AO460" s="4"/>
      <c r="AP460" s="4"/>
      <c r="AQ460" s="4"/>
      <c r="AR460" s="4"/>
      <c r="AS460" s="4"/>
      <c r="AT460" s="4"/>
      <c r="AU460" s="4"/>
      <c r="AV460" s="4"/>
      <c r="AW460" s="4"/>
      <c r="AX460" s="4"/>
      <c r="AY460" s="4"/>
      <c r="AZ460" s="4"/>
      <c r="BA460" s="4"/>
      <c r="BB460" s="4"/>
      <c r="BC460" s="5"/>
      <c r="BD460" s="4"/>
      <c r="BE460" s="4"/>
      <c r="BF460" s="4"/>
      <c r="BG460" s="4"/>
      <c r="BH460" s="4"/>
      <c r="BI460" s="4"/>
      <c r="BJ460" s="4"/>
      <c r="BK460" s="4"/>
      <c r="BL460" s="4"/>
      <c r="BM460" s="4"/>
      <c r="BN460" s="4"/>
      <c r="BO460" s="4"/>
      <c r="BP460" s="4"/>
      <c r="BQ460" s="4"/>
      <c r="BR460" s="4"/>
    </row>
    <row r="461" spans="1:70">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c r="AG461" s="4"/>
      <c r="AH461" s="4"/>
      <c r="AI461" s="4"/>
      <c r="AJ461" s="4"/>
      <c r="AK461" s="4"/>
      <c r="AL461" s="4"/>
      <c r="AM461" s="4"/>
      <c r="AN461" s="4"/>
      <c r="AO461" s="4"/>
      <c r="AP461" s="4"/>
      <c r="AQ461" s="4"/>
      <c r="AR461" s="4"/>
      <c r="AS461" s="4"/>
      <c r="AT461" s="4"/>
      <c r="AU461" s="4"/>
      <c r="AV461" s="4"/>
      <c r="AW461" s="4"/>
      <c r="AX461" s="4"/>
      <c r="AY461" s="4"/>
      <c r="AZ461" s="4"/>
      <c r="BA461" s="4"/>
      <c r="BB461" s="4"/>
      <c r="BC461" s="5"/>
      <c r="BD461" s="4"/>
      <c r="BE461" s="4"/>
      <c r="BF461" s="4"/>
      <c r="BG461" s="4"/>
      <c r="BH461" s="4"/>
      <c r="BI461" s="4"/>
      <c r="BJ461" s="4"/>
      <c r="BK461" s="4"/>
      <c r="BL461" s="4"/>
      <c r="BM461" s="4"/>
      <c r="BN461" s="4"/>
      <c r="BO461" s="4"/>
      <c r="BP461" s="4"/>
      <c r="BQ461" s="4"/>
      <c r="BR461" s="4"/>
    </row>
    <row r="462" spans="1:70">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c r="AG462" s="4"/>
      <c r="AH462" s="4"/>
      <c r="AI462" s="4"/>
      <c r="AJ462" s="4"/>
      <c r="AK462" s="4"/>
      <c r="AL462" s="4"/>
      <c r="AM462" s="4"/>
      <c r="AN462" s="4"/>
      <c r="AO462" s="4"/>
      <c r="AP462" s="4"/>
      <c r="AQ462" s="4"/>
      <c r="AR462" s="4"/>
      <c r="AS462" s="4"/>
      <c r="AT462" s="4"/>
      <c r="AU462" s="4"/>
      <c r="AV462" s="4"/>
      <c r="AW462" s="4"/>
      <c r="AX462" s="4"/>
      <c r="AY462" s="4"/>
      <c r="AZ462" s="4"/>
      <c r="BA462" s="4"/>
      <c r="BB462" s="4"/>
      <c r="BC462" s="5"/>
      <c r="BD462" s="4"/>
      <c r="BE462" s="4"/>
      <c r="BF462" s="4"/>
      <c r="BG462" s="4"/>
      <c r="BH462" s="4"/>
      <c r="BI462" s="4"/>
      <c r="BJ462" s="4"/>
      <c r="BK462" s="4"/>
      <c r="BL462" s="4"/>
      <c r="BM462" s="4"/>
      <c r="BN462" s="4"/>
      <c r="BO462" s="4"/>
      <c r="BP462" s="4"/>
      <c r="BQ462" s="4"/>
      <c r="BR462" s="4"/>
    </row>
    <row r="463" spans="1:70">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c r="AG463" s="4"/>
      <c r="AH463" s="4"/>
      <c r="AI463" s="4"/>
      <c r="AJ463" s="4"/>
      <c r="AK463" s="4"/>
      <c r="AL463" s="4"/>
      <c r="AM463" s="4"/>
      <c r="AN463" s="4"/>
      <c r="AO463" s="4"/>
      <c r="AP463" s="4"/>
      <c r="AQ463" s="4"/>
      <c r="AR463" s="4"/>
      <c r="AS463" s="4"/>
      <c r="AT463" s="4"/>
      <c r="AU463" s="4"/>
      <c r="AV463" s="4"/>
      <c r="AW463" s="4"/>
      <c r="AX463" s="4"/>
      <c r="AY463" s="4"/>
      <c r="AZ463" s="4"/>
      <c r="BA463" s="4"/>
      <c r="BB463" s="4"/>
      <c r="BC463" s="5"/>
      <c r="BD463" s="4"/>
      <c r="BE463" s="4"/>
      <c r="BF463" s="4"/>
      <c r="BG463" s="4"/>
      <c r="BH463" s="4"/>
      <c r="BI463" s="4"/>
      <c r="BJ463" s="4"/>
      <c r="BK463" s="4"/>
      <c r="BL463" s="4"/>
      <c r="BM463" s="4"/>
      <c r="BN463" s="4"/>
      <c r="BO463" s="4"/>
      <c r="BP463" s="4"/>
      <c r="BQ463" s="4"/>
      <c r="BR463" s="4"/>
    </row>
    <row r="464" spans="1:70">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c r="AG464" s="4"/>
      <c r="AH464" s="4"/>
      <c r="AI464" s="4"/>
      <c r="AJ464" s="4"/>
      <c r="AK464" s="4"/>
      <c r="AL464" s="4"/>
      <c r="AM464" s="4"/>
      <c r="AN464" s="4"/>
      <c r="AO464" s="4"/>
      <c r="AP464" s="4"/>
      <c r="AQ464" s="4"/>
      <c r="AR464" s="4"/>
      <c r="AS464" s="4"/>
      <c r="AT464" s="4"/>
      <c r="AU464" s="4"/>
      <c r="AV464" s="4"/>
      <c r="AW464" s="4"/>
      <c r="AX464" s="4"/>
      <c r="AY464" s="4"/>
      <c r="AZ464" s="4"/>
      <c r="BA464" s="4"/>
      <c r="BB464" s="4"/>
      <c r="BC464" s="5"/>
      <c r="BD464" s="4"/>
      <c r="BE464" s="4"/>
      <c r="BF464" s="4"/>
      <c r="BG464" s="4"/>
      <c r="BH464" s="4"/>
      <c r="BI464" s="4"/>
      <c r="BJ464" s="4"/>
      <c r="BK464" s="4"/>
      <c r="BL464" s="4"/>
      <c r="BM464" s="4"/>
      <c r="BN464" s="4"/>
      <c r="BO464" s="4"/>
      <c r="BP464" s="4"/>
      <c r="BQ464" s="4"/>
      <c r="BR464" s="4"/>
    </row>
    <row r="465" spans="1:70">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c r="AG465" s="4"/>
      <c r="AH465" s="4"/>
      <c r="AI465" s="4"/>
      <c r="AJ465" s="4"/>
      <c r="AK465" s="4"/>
      <c r="AL465" s="4"/>
      <c r="AM465" s="4"/>
      <c r="AN465" s="4"/>
      <c r="AO465" s="4"/>
      <c r="AP465" s="4"/>
      <c r="AQ465" s="4"/>
      <c r="AR465" s="4"/>
      <c r="AS465" s="4"/>
      <c r="AT465" s="4"/>
      <c r="AU465" s="4"/>
      <c r="AV465" s="4"/>
      <c r="AW465" s="4"/>
      <c r="AX465" s="4"/>
      <c r="AY465" s="4"/>
      <c r="AZ465" s="4"/>
      <c r="BA465" s="4"/>
      <c r="BB465" s="4"/>
      <c r="BC465" s="5"/>
      <c r="BD465" s="4"/>
      <c r="BE465" s="4"/>
      <c r="BF465" s="4"/>
      <c r="BG465" s="4"/>
      <c r="BH465" s="4"/>
      <c r="BI465" s="4"/>
      <c r="BJ465" s="4"/>
      <c r="BK465" s="4"/>
      <c r="BL465" s="4"/>
      <c r="BM465" s="4"/>
      <c r="BN465" s="4"/>
      <c r="BO465" s="4"/>
      <c r="BP465" s="4"/>
      <c r="BQ465" s="4"/>
      <c r="BR465" s="4"/>
    </row>
    <row r="466" spans="1:70">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c r="AG466" s="4"/>
      <c r="AH466" s="4"/>
      <c r="AI466" s="4"/>
      <c r="AJ466" s="4"/>
      <c r="AK466" s="4"/>
      <c r="AL466" s="4"/>
      <c r="AM466" s="4"/>
      <c r="AN466" s="4"/>
      <c r="AO466" s="4"/>
      <c r="AP466" s="4"/>
      <c r="AQ466" s="4"/>
      <c r="AR466" s="4"/>
      <c r="AS466" s="4"/>
      <c r="AT466" s="4"/>
      <c r="AU466" s="4"/>
      <c r="AV466" s="4"/>
      <c r="AW466" s="4"/>
      <c r="AX466" s="4"/>
      <c r="AY466" s="4"/>
      <c r="AZ466" s="4"/>
      <c r="BA466" s="4"/>
      <c r="BB466" s="4"/>
      <c r="BC466" s="5"/>
      <c r="BD466" s="4"/>
      <c r="BE466" s="4"/>
      <c r="BF466" s="4"/>
      <c r="BG466" s="4"/>
      <c r="BH466" s="4"/>
      <c r="BI466" s="4"/>
      <c r="BJ466" s="4"/>
      <c r="BK466" s="4"/>
      <c r="BL466" s="4"/>
      <c r="BM466" s="4"/>
      <c r="BN466" s="4"/>
      <c r="BO466" s="4"/>
      <c r="BP466" s="4"/>
      <c r="BQ466" s="4"/>
      <c r="BR466" s="4"/>
    </row>
    <row r="467" spans="1:70">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c r="AG467" s="4"/>
      <c r="AH467" s="4"/>
      <c r="AI467" s="4"/>
      <c r="AJ467" s="4"/>
      <c r="AK467" s="4"/>
      <c r="AL467" s="4"/>
      <c r="AM467" s="4"/>
      <c r="AN467" s="4"/>
      <c r="AO467" s="4"/>
      <c r="AP467" s="4"/>
      <c r="AQ467" s="4"/>
      <c r="AR467" s="4"/>
      <c r="AS467" s="4"/>
      <c r="AT467" s="4"/>
      <c r="AU467" s="4"/>
      <c r="AV467" s="4"/>
      <c r="AW467" s="4"/>
      <c r="AX467" s="4"/>
      <c r="AY467" s="4"/>
      <c r="AZ467" s="4"/>
      <c r="BA467" s="4"/>
      <c r="BB467" s="4"/>
      <c r="BC467" s="5"/>
      <c r="BD467" s="4"/>
      <c r="BE467" s="4"/>
      <c r="BF467" s="4"/>
      <c r="BG467" s="4"/>
      <c r="BH467" s="4"/>
      <c r="BI467" s="4"/>
      <c r="BJ467" s="4"/>
      <c r="BK467" s="4"/>
      <c r="BL467" s="4"/>
      <c r="BM467" s="4"/>
      <c r="BN467" s="4"/>
      <c r="BO467" s="4"/>
      <c r="BP467" s="4"/>
      <c r="BQ467" s="4"/>
      <c r="BR467" s="4"/>
    </row>
    <row r="468" spans="1:70">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c r="AG468" s="4"/>
      <c r="AH468" s="4"/>
      <c r="AI468" s="4"/>
      <c r="AJ468" s="4"/>
      <c r="AK468" s="4"/>
      <c r="AL468" s="4"/>
      <c r="AM468" s="4"/>
      <c r="AN468" s="4"/>
      <c r="AO468" s="4"/>
      <c r="AP468" s="4"/>
      <c r="AQ468" s="4"/>
      <c r="AR468" s="4"/>
      <c r="AS468" s="4"/>
      <c r="AT468" s="4"/>
      <c r="AU468" s="4"/>
      <c r="AV468" s="4"/>
      <c r="AW468" s="4"/>
      <c r="AX468" s="4"/>
      <c r="AY468" s="4"/>
      <c r="AZ468" s="4"/>
      <c r="BA468" s="4"/>
      <c r="BB468" s="4"/>
      <c r="BC468" s="5"/>
      <c r="BD468" s="4"/>
      <c r="BE468" s="4"/>
      <c r="BF468" s="4"/>
      <c r="BG468" s="4"/>
      <c r="BH468" s="4"/>
      <c r="BI468" s="4"/>
      <c r="BJ468" s="4"/>
      <c r="BK468" s="4"/>
      <c r="BL468" s="4"/>
      <c r="BM468" s="4"/>
      <c r="BN468" s="4"/>
      <c r="BO468" s="4"/>
      <c r="BP468" s="4"/>
      <c r="BQ468" s="4"/>
      <c r="BR468" s="4"/>
    </row>
    <row r="469" spans="1:70">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c r="AG469" s="4"/>
      <c r="AH469" s="4"/>
      <c r="AI469" s="4"/>
      <c r="AJ469" s="4"/>
      <c r="AK469" s="4"/>
      <c r="AL469" s="4"/>
      <c r="AM469" s="4"/>
      <c r="AN469" s="4"/>
      <c r="AO469" s="4"/>
      <c r="AP469" s="4"/>
      <c r="AQ469" s="4"/>
      <c r="AR469" s="4"/>
      <c r="AS469" s="4"/>
      <c r="AT469" s="4"/>
      <c r="AU469" s="4"/>
      <c r="AV469" s="4"/>
      <c r="AW469" s="4"/>
      <c r="AX469" s="4"/>
      <c r="AY469" s="4"/>
      <c r="AZ469" s="4"/>
      <c r="BA469" s="4"/>
      <c r="BB469" s="4"/>
      <c r="BC469" s="5"/>
      <c r="BD469" s="4"/>
      <c r="BE469" s="4"/>
      <c r="BF469" s="4"/>
      <c r="BG469" s="4"/>
      <c r="BH469" s="4"/>
      <c r="BI469" s="4"/>
      <c r="BJ469" s="4"/>
      <c r="BK469" s="4"/>
      <c r="BL469" s="4"/>
      <c r="BM469" s="4"/>
      <c r="BN469" s="4"/>
      <c r="BO469" s="4"/>
      <c r="BP469" s="4"/>
      <c r="BQ469" s="4"/>
      <c r="BR469" s="4"/>
    </row>
    <row r="470" spans="1: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c r="AG470" s="4"/>
      <c r="AH470" s="4"/>
      <c r="AI470" s="4"/>
      <c r="AJ470" s="4"/>
      <c r="AK470" s="4"/>
      <c r="AL470" s="4"/>
      <c r="AM470" s="4"/>
      <c r="AN470" s="4"/>
      <c r="AO470" s="4"/>
      <c r="AP470" s="4"/>
      <c r="AQ470" s="4"/>
      <c r="AR470" s="4"/>
      <c r="AS470" s="4"/>
      <c r="AT470" s="4"/>
      <c r="AU470" s="4"/>
      <c r="AV470" s="4"/>
      <c r="AW470" s="4"/>
      <c r="AX470" s="4"/>
      <c r="AY470" s="4"/>
      <c r="AZ470" s="4"/>
      <c r="BA470" s="4"/>
      <c r="BB470" s="4"/>
      <c r="BC470" s="5"/>
      <c r="BD470" s="4"/>
      <c r="BE470" s="4"/>
      <c r="BF470" s="4"/>
      <c r="BG470" s="4"/>
      <c r="BH470" s="4"/>
      <c r="BI470" s="4"/>
      <c r="BJ470" s="4"/>
      <c r="BK470" s="4"/>
      <c r="BL470" s="4"/>
      <c r="BM470" s="4"/>
      <c r="BN470" s="4"/>
      <c r="BO470" s="4"/>
      <c r="BP470" s="4"/>
      <c r="BQ470" s="4"/>
      <c r="BR470" s="4"/>
    </row>
    <row r="471" spans="1:70">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c r="AG471" s="4"/>
      <c r="AH471" s="4"/>
      <c r="AI471" s="4"/>
      <c r="AJ471" s="4"/>
      <c r="AK471" s="4"/>
      <c r="AL471" s="4"/>
      <c r="AM471" s="4"/>
      <c r="AN471" s="4"/>
      <c r="AO471" s="4"/>
      <c r="AP471" s="4"/>
      <c r="AQ471" s="4"/>
      <c r="AR471" s="4"/>
      <c r="AS471" s="4"/>
      <c r="AT471" s="4"/>
      <c r="AU471" s="4"/>
      <c r="AV471" s="4"/>
      <c r="AW471" s="4"/>
      <c r="AX471" s="4"/>
      <c r="AY471" s="4"/>
      <c r="AZ471" s="4"/>
      <c r="BA471" s="4"/>
      <c r="BB471" s="4"/>
      <c r="BC471" s="5"/>
      <c r="BD471" s="4"/>
      <c r="BE471" s="4"/>
      <c r="BF471" s="4"/>
      <c r="BG471" s="4"/>
      <c r="BH471" s="4"/>
      <c r="BI471" s="4"/>
      <c r="BJ471" s="4"/>
      <c r="BK471" s="4"/>
      <c r="BL471" s="4"/>
      <c r="BM471" s="4"/>
      <c r="BN471" s="4"/>
      <c r="BO471" s="4"/>
      <c r="BP471" s="4"/>
      <c r="BQ471" s="4"/>
      <c r="BR471" s="4"/>
    </row>
    <row r="472" spans="1:70">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c r="AG472" s="4"/>
      <c r="AH472" s="4"/>
      <c r="AI472" s="4"/>
      <c r="AJ472" s="4"/>
      <c r="AK472" s="4"/>
      <c r="AL472" s="4"/>
      <c r="AM472" s="4"/>
      <c r="AN472" s="4"/>
      <c r="AO472" s="4"/>
      <c r="AP472" s="4"/>
      <c r="AQ472" s="4"/>
      <c r="AR472" s="4"/>
      <c r="AS472" s="4"/>
      <c r="AT472" s="4"/>
      <c r="AU472" s="4"/>
      <c r="AV472" s="4"/>
      <c r="AW472" s="4"/>
      <c r="AX472" s="4"/>
      <c r="AY472" s="4"/>
      <c r="AZ472" s="4"/>
      <c r="BA472" s="4"/>
      <c r="BB472" s="4"/>
      <c r="BC472" s="5"/>
      <c r="BD472" s="4"/>
      <c r="BE472" s="4"/>
      <c r="BF472" s="4"/>
      <c r="BG472" s="4"/>
      <c r="BH472" s="4"/>
      <c r="BI472" s="4"/>
      <c r="BJ472" s="4"/>
      <c r="BK472" s="4"/>
      <c r="BL472" s="4"/>
      <c r="BM472" s="4"/>
      <c r="BN472" s="4"/>
      <c r="BO472" s="4"/>
      <c r="BP472" s="4"/>
      <c r="BQ472" s="4"/>
      <c r="BR472" s="4"/>
    </row>
    <row r="473" spans="1:70">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c r="AG473" s="4"/>
      <c r="AH473" s="4"/>
      <c r="AI473" s="4"/>
      <c r="AJ473" s="4"/>
      <c r="AK473" s="4"/>
      <c r="AL473" s="4"/>
      <c r="AM473" s="4"/>
      <c r="AN473" s="4"/>
      <c r="AO473" s="4"/>
      <c r="AP473" s="4"/>
      <c r="AQ473" s="4"/>
      <c r="AR473" s="4"/>
      <c r="AS473" s="4"/>
      <c r="AT473" s="4"/>
      <c r="AU473" s="4"/>
      <c r="AV473" s="4"/>
      <c r="AW473" s="4"/>
      <c r="AX473" s="4"/>
      <c r="AY473" s="4"/>
      <c r="AZ473" s="4"/>
      <c r="BA473" s="4"/>
      <c r="BB473" s="4"/>
      <c r="BC473" s="5"/>
      <c r="BD473" s="4"/>
      <c r="BE473" s="4"/>
      <c r="BF473" s="4"/>
      <c r="BG473" s="4"/>
      <c r="BH473" s="4"/>
      <c r="BI473" s="4"/>
      <c r="BJ473" s="4"/>
      <c r="BK473" s="4"/>
      <c r="BL473" s="4"/>
      <c r="BM473" s="4"/>
      <c r="BN473" s="4"/>
      <c r="BO473" s="4"/>
      <c r="BP473" s="4"/>
      <c r="BQ473" s="4"/>
      <c r="BR473" s="4"/>
    </row>
    <row r="474" spans="1:70">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c r="AG474" s="4"/>
      <c r="AH474" s="4"/>
      <c r="AI474" s="4"/>
      <c r="AJ474" s="4"/>
      <c r="AK474" s="4"/>
      <c r="AL474" s="4"/>
      <c r="AM474" s="4"/>
      <c r="AN474" s="4"/>
      <c r="AO474" s="4"/>
      <c r="AP474" s="4"/>
      <c r="AQ474" s="4"/>
      <c r="AR474" s="4"/>
      <c r="AS474" s="4"/>
      <c r="AT474" s="4"/>
      <c r="AU474" s="4"/>
      <c r="AV474" s="4"/>
      <c r="AW474" s="4"/>
      <c r="AX474" s="4"/>
      <c r="AY474" s="4"/>
      <c r="AZ474" s="4"/>
      <c r="BA474" s="4"/>
      <c r="BB474" s="4"/>
      <c r="BC474" s="5"/>
      <c r="BD474" s="4"/>
      <c r="BE474" s="4"/>
      <c r="BF474" s="4"/>
      <c r="BG474" s="4"/>
      <c r="BH474" s="4"/>
      <c r="BI474" s="4"/>
      <c r="BJ474" s="4"/>
      <c r="BK474" s="4"/>
      <c r="BL474" s="4"/>
      <c r="BM474" s="4"/>
      <c r="BN474" s="4"/>
      <c r="BO474" s="4"/>
      <c r="BP474" s="4"/>
      <c r="BQ474" s="4"/>
      <c r="BR474" s="4"/>
    </row>
    <row r="475" spans="1:70">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c r="AG475" s="4"/>
      <c r="AH475" s="4"/>
      <c r="AI475" s="4"/>
      <c r="AJ475" s="4"/>
      <c r="AK475" s="4"/>
      <c r="AL475" s="4"/>
      <c r="AM475" s="4"/>
      <c r="AN475" s="4"/>
      <c r="AO475" s="4"/>
      <c r="AP475" s="4"/>
      <c r="AQ475" s="4"/>
      <c r="AR475" s="4"/>
      <c r="AS475" s="4"/>
      <c r="AT475" s="4"/>
      <c r="AU475" s="4"/>
      <c r="AV475" s="4"/>
      <c r="AW475" s="4"/>
      <c r="AX475" s="4"/>
      <c r="AY475" s="4"/>
      <c r="AZ475" s="4"/>
      <c r="BA475" s="4"/>
      <c r="BB475" s="4"/>
      <c r="BC475" s="5"/>
      <c r="BD475" s="4"/>
      <c r="BE475" s="4"/>
      <c r="BF475" s="4"/>
      <c r="BG475" s="4"/>
      <c r="BH475" s="4"/>
      <c r="BI475" s="4"/>
      <c r="BJ475" s="4"/>
      <c r="BK475" s="4"/>
      <c r="BL475" s="4"/>
      <c r="BM475" s="4"/>
      <c r="BN475" s="4"/>
      <c r="BO475" s="4"/>
      <c r="BP475" s="4"/>
      <c r="BQ475" s="4"/>
      <c r="BR475" s="4"/>
    </row>
    <row r="476" spans="1:70">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c r="AG476" s="4"/>
      <c r="AH476" s="4"/>
      <c r="AI476" s="4"/>
      <c r="AJ476" s="4"/>
      <c r="AK476" s="4"/>
      <c r="AL476" s="4"/>
      <c r="AM476" s="4"/>
      <c r="AN476" s="4"/>
      <c r="AO476" s="4"/>
      <c r="AP476" s="4"/>
      <c r="AQ476" s="4"/>
      <c r="AR476" s="4"/>
      <c r="AS476" s="4"/>
      <c r="AT476" s="4"/>
      <c r="AU476" s="4"/>
      <c r="AV476" s="4"/>
      <c r="AW476" s="4"/>
      <c r="AX476" s="4"/>
      <c r="AY476" s="4"/>
      <c r="AZ476" s="4"/>
      <c r="BA476" s="4"/>
      <c r="BB476" s="4"/>
      <c r="BC476" s="5"/>
      <c r="BD476" s="4"/>
      <c r="BE476" s="4"/>
      <c r="BF476" s="4"/>
      <c r="BG476" s="4"/>
      <c r="BH476" s="4"/>
      <c r="BI476" s="4"/>
      <c r="BJ476" s="4"/>
      <c r="BK476" s="4"/>
      <c r="BL476" s="4"/>
      <c r="BM476" s="4"/>
      <c r="BN476" s="4"/>
      <c r="BO476" s="4"/>
      <c r="BP476" s="4"/>
      <c r="BQ476" s="4"/>
      <c r="BR476" s="4"/>
    </row>
    <row r="477" spans="1:70">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c r="AG477" s="4"/>
      <c r="AH477" s="4"/>
      <c r="AI477" s="4"/>
      <c r="AJ477" s="4"/>
      <c r="AK477" s="4"/>
      <c r="AL477" s="4"/>
      <c r="AM477" s="4"/>
      <c r="AN477" s="4"/>
      <c r="AO477" s="4"/>
      <c r="AP477" s="4"/>
      <c r="AQ477" s="4"/>
      <c r="AR477" s="4"/>
      <c r="AS477" s="4"/>
      <c r="AT477" s="4"/>
      <c r="AU477" s="4"/>
      <c r="AV477" s="4"/>
      <c r="AW477" s="4"/>
      <c r="AX477" s="4"/>
      <c r="AY477" s="4"/>
      <c r="AZ477" s="4"/>
      <c r="BA477" s="4"/>
      <c r="BB477" s="4"/>
      <c r="BC477" s="5"/>
      <c r="BD477" s="4"/>
      <c r="BE477" s="4"/>
      <c r="BF477" s="4"/>
      <c r="BG477" s="4"/>
      <c r="BH477" s="4"/>
      <c r="BI477" s="4"/>
      <c r="BJ477" s="4"/>
      <c r="BK477" s="4"/>
      <c r="BL477" s="4"/>
      <c r="BM477" s="4"/>
      <c r="BN477" s="4"/>
      <c r="BO477" s="4"/>
      <c r="BP477" s="4"/>
      <c r="BQ477" s="4"/>
      <c r="BR477" s="4"/>
    </row>
    <row r="478" spans="1:70">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c r="AG478" s="4"/>
      <c r="AH478" s="4"/>
      <c r="AI478" s="4"/>
      <c r="AJ478" s="4"/>
      <c r="AK478" s="4"/>
      <c r="AL478" s="4"/>
      <c r="AM478" s="4"/>
      <c r="AN478" s="4"/>
      <c r="AO478" s="4"/>
      <c r="AP478" s="4"/>
      <c r="AQ478" s="4"/>
      <c r="AR478" s="4"/>
      <c r="AS478" s="4"/>
      <c r="AT478" s="4"/>
      <c r="AU478" s="4"/>
      <c r="AV478" s="4"/>
      <c r="AW478" s="4"/>
      <c r="AX478" s="4"/>
      <c r="AY478" s="4"/>
      <c r="AZ478" s="4"/>
      <c r="BA478" s="4"/>
      <c r="BB478" s="4"/>
      <c r="BC478" s="5"/>
      <c r="BD478" s="4"/>
      <c r="BE478" s="4"/>
      <c r="BF478" s="4"/>
      <c r="BG478" s="4"/>
      <c r="BH478" s="4"/>
      <c r="BI478" s="4"/>
      <c r="BJ478" s="4"/>
      <c r="BK478" s="4"/>
      <c r="BL478" s="4"/>
      <c r="BM478" s="4"/>
      <c r="BN478" s="4"/>
      <c r="BO478" s="4"/>
      <c r="BP478" s="4"/>
      <c r="BQ478" s="4"/>
      <c r="BR478" s="4"/>
    </row>
    <row r="479" spans="1:70">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c r="AG479" s="4"/>
      <c r="AH479" s="4"/>
      <c r="AI479" s="4"/>
      <c r="AJ479" s="4"/>
      <c r="AK479" s="4"/>
      <c r="AL479" s="4"/>
      <c r="AM479" s="4"/>
      <c r="AN479" s="4"/>
      <c r="AO479" s="4"/>
      <c r="AP479" s="4"/>
      <c r="AQ479" s="4"/>
      <c r="AR479" s="4"/>
      <c r="AS479" s="4"/>
      <c r="AT479" s="4"/>
      <c r="AU479" s="4"/>
      <c r="AV479" s="4"/>
      <c r="AW479" s="4"/>
      <c r="AX479" s="4"/>
      <c r="AY479" s="4"/>
      <c r="AZ479" s="4"/>
      <c r="BA479" s="4"/>
      <c r="BB479" s="4"/>
      <c r="BC479" s="5"/>
      <c r="BD479" s="4"/>
      <c r="BE479" s="4"/>
      <c r="BF479" s="4"/>
      <c r="BG479" s="4"/>
      <c r="BH479" s="4"/>
      <c r="BI479" s="4"/>
      <c r="BJ479" s="4"/>
      <c r="BK479" s="4"/>
      <c r="BL479" s="4"/>
      <c r="BM479" s="4"/>
      <c r="BN479" s="4"/>
      <c r="BO479" s="4"/>
      <c r="BP479" s="4"/>
      <c r="BQ479" s="4"/>
      <c r="BR479" s="4"/>
    </row>
    <row r="480" spans="1:7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c r="AG480" s="4"/>
      <c r="AH480" s="4"/>
      <c r="AI480" s="4"/>
      <c r="AJ480" s="4"/>
      <c r="AK480" s="4"/>
      <c r="AL480" s="4"/>
      <c r="AM480" s="4"/>
      <c r="AN480" s="4"/>
      <c r="AO480" s="4"/>
      <c r="AP480" s="4"/>
      <c r="AQ480" s="4"/>
      <c r="AR480" s="4"/>
      <c r="AS480" s="4"/>
      <c r="AT480" s="4"/>
      <c r="AU480" s="4"/>
      <c r="AV480" s="4"/>
      <c r="AW480" s="4"/>
      <c r="AX480" s="4"/>
      <c r="AY480" s="4"/>
      <c r="AZ480" s="4"/>
      <c r="BA480" s="4"/>
      <c r="BB480" s="4"/>
      <c r="BC480" s="5"/>
      <c r="BD480" s="4"/>
      <c r="BE480" s="4"/>
      <c r="BF480" s="4"/>
      <c r="BG480" s="4"/>
      <c r="BH480" s="4"/>
      <c r="BI480" s="4"/>
      <c r="BJ480" s="4"/>
      <c r="BK480" s="4"/>
      <c r="BL480" s="4"/>
      <c r="BM480" s="4"/>
      <c r="BN480" s="4"/>
      <c r="BO480" s="4"/>
      <c r="BP480" s="4"/>
      <c r="BQ480" s="4"/>
      <c r="BR480" s="4"/>
    </row>
    <row r="481" spans="1:70">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c r="AG481" s="4"/>
      <c r="AH481" s="4"/>
      <c r="AI481" s="4"/>
      <c r="AJ481" s="4"/>
      <c r="AK481" s="4"/>
      <c r="AL481" s="4"/>
      <c r="AM481" s="4"/>
      <c r="AN481" s="4"/>
      <c r="AO481" s="4"/>
      <c r="AP481" s="4"/>
      <c r="AQ481" s="4"/>
      <c r="AR481" s="4"/>
      <c r="AS481" s="4"/>
      <c r="AT481" s="4"/>
      <c r="AU481" s="4"/>
      <c r="AV481" s="4"/>
      <c r="AW481" s="4"/>
      <c r="AX481" s="4"/>
      <c r="AY481" s="4"/>
      <c r="AZ481" s="4"/>
      <c r="BA481" s="4"/>
      <c r="BB481" s="4"/>
      <c r="BC481" s="5"/>
      <c r="BD481" s="4"/>
      <c r="BE481" s="4"/>
      <c r="BF481" s="4"/>
      <c r="BG481" s="4"/>
      <c r="BH481" s="4"/>
      <c r="BI481" s="4"/>
      <c r="BJ481" s="4"/>
      <c r="BK481" s="4"/>
      <c r="BL481" s="4"/>
      <c r="BM481" s="4"/>
      <c r="BN481" s="4"/>
      <c r="BO481" s="4"/>
      <c r="BP481" s="4"/>
      <c r="BQ481" s="4"/>
      <c r="BR481" s="4"/>
    </row>
    <row r="482" spans="1:70">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c r="AG482" s="4"/>
      <c r="AH482" s="4"/>
      <c r="AI482" s="4"/>
      <c r="AJ482" s="4"/>
      <c r="AK482" s="4"/>
      <c r="AL482" s="4"/>
      <c r="AM482" s="4"/>
      <c r="AN482" s="4"/>
      <c r="AO482" s="4"/>
      <c r="AP482" s="4"/>
      <c r="AQ482" s="4"/>
      <c r="AR482" s="4"/>
      <c r="AS482" s="4"/>
      <c r="AT482" s="4"/>
      <c r="AU482" s="4"/>
      <c r="AV482" s="4"/>
      <c r="AW482" s="4"/>
      <c r="AX482" s="4"/>
      <c r="AY482" s="4"/>
      <c r="AZ482" s="4"/>
      <c r="BA482" s="4"/>
      <c r="BB482" s="4"/>
      <c r="BC482" s="5"/>
      <c r="BD482" s="4"/>
      <c r="BE482" s="4"/>
      <c r="BF482" s="4"/>
      <c r="BG482" s="4"/>
      <c r="BH482" s="4"/>
      <c r="BI482" s="4"/>
      <c r="BJ482" s="4"/>
      <c r="BK482" s="4"/>
      <c r="BL482" s="4"/>
      <c r="BM482" s="4"/>
      <c r="BN482" s="4"/>
      <c r="BO482" s="4"/>
      <c r="BP482" s="4"/>
      <c r="BQ482" s="4"/>
      <c r="BR482" s="4"/>
    </row>
    <row r="483" spans="1:70">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c r="AG483" s="4"/>
      <c r="AH483" s="4"/>
      <c r="AI483" s="4"/>
      <c r="AJ483" s="4"/>
      <c r="AK483" s="4"/>
      <c r="AL483" s="4"/>
      <c r="AM483" s="4"/>
      <c r="AN483" s="4"/>
      <c r="AO483" s="4"/>
      <c r="AP483" s="4"/>
      <c r="AQ483" s="4"/>
      <c r="AR483" s="4"/>
      <c r="AS483" s="4"/>
      <c r="AT483" s="4"/>
      <c r="AU483" s="4"/>
      <c r="AV483" s="4"/>
      <c r="AW483" s="4"/>
      <c r="AX483" s="4"/>
      <c r="AY483" s="4"/>
      <c r="AZ483" s="4"/>
      <c r="BA483" s="4"/>
      <c r="BB483" s="4"/>
      <c r="BC483" s="5"/>
      <c r="BD483" s="4"/>
      <c r="BE483" s="4"/>
      <c r="BF483" s="4"/>
      <c r="BG483" s="4"/>
      <c r="BH483" s="4"/>
      <c r="BI483" s="4"/>
      <c r="BJ483" s="4"/>
      <c r="BK483" s="4"/>
      <c r="BL483" s="4"/>
      <c r="BM483" s="4"/>
      <c r="BN483" s="4"/>
      <c r="BO483" s="4"/>
      <c r="BP483" s="4"/>
      <c r="BQ483" s="4"/>
      <c r="BR483" s="4"/>
    </row>
    <row r="484" spans="1:70">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c r="AG484" s="4"/>
      <c r="AH484" s="4"/>
      <c r="AI484" s="4"/>
      <c r="AJ484" s="4"/>
      <c r="AK484" s="4"/>
      <c r="AL484" s="4"/>
      <c r="AM484" s="4"/>
      <c r="AN484" s="4"/>
      <c r="AO484" s="4"/>
      <c r="AP484" s="4"/>
      <c r="AQ484" s="4"/>
      <c r="AR484" s="4"/>
      <c r="AS484" s="4"/>
      <c r="AT484" s="4"/>
      <c r="AU484" s="4"/>
      <c r="AV484" s="4"/>
      <c r="AW484" s="4"/>
      <c r="AX484" s="4"/>
      <c r="AY484" s="4"/>
      <c r="AZ484" s="4"/>
      <c r="BA484" s="4"/>
      <c r="BB484" s="4"/>
      <c r="BC484" s="5"/>
      <c r="BD484" s="4"/>
      <c r="BE484" s="4"/>
      <c r="BF484" s="4"/>
      <c r="BG484" s="4"/>
      <c r="BH484" s="4"/>
      <c r="BI484" s="4"/>
      <c r="BJ484" s="4"/>
      <c r="BK484" s="4"/>
      <c r="BL484" s="4"/>
      <c r="BM484" s="4"/>
      <c r="BN484" s="4"/>
      <c r="BO484" s="4"/>
      <c r="BP484" s="4"/>
      <c r="BQ484" s="4"/>
      <c r="BR484" s="4"/>
    </row>
    <row r="485" spans="1:70">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c r="AG485" s="4"/>
      <c r="AH485" s="4"/>
      <c r="AI485" s="4"/>
      <c r="AJ485" s="4"/>
      <c r="AK485" s="4"/>
      <c r="AL485" s="4"/>
      <c r="AM485" s="4"/>
      <c r="AN485" s="4"/>
      <c r="AO485" s="4"/>
      <c r="AP485" s="4"/>
      <c r="AQ485" s="4"/>
      <c r="AR485" s="4"/>
      <c r="AS485" s="4"/>
      <c r="AT485" s="4"/>
      <c r="AU485" s="4"/>
      <c r="AV485" s="4"/>
      <c r="AW485" s="4"/>
      <c r="AX485" s="4"/>
      <c r="AY485" s="4"/>
      <c r="AZ485" s="4"/>
      <c r="BA485" s="4"/>
      <c r="BB485" s="4"/>
      <c r="BC485" s="5"/>
      <c r="BD485" s="4"/>
      <c r="BE485" s="4"/>
      <c r="BF485" s="4"/>
      <c r="BG485" s="4"/>
      <c r="BH485" s="4"/>
      <c r="BI485" s="4"/>
      <c r="BJ485" s="4"/>
      <c r="BK485" s="4"/>
      <c r="BL485" s="4"/>
      <c r="BM485" s="4"/>
      <c r="BN485" s="4"/>
      <c r="BO485" s="4"/>
      <c r="BP485" s="4"/>
      <c r="BQ485" s="4"/>
      <c r="BR485" s="4"/>
    </row>
    <row r="486" spans="1:70">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c r="AG486" s="4"/>
      <c r="AH486" s="4"/>
      <c r="AI486" s="4"/>
      <c r="AJ486" s="4"/>
      <c r="AK486" s="4"/>
      <c r="AL486" s="4"/>
      <c r="AM486" s="4"/>
      <c r="AN486" s="4"/>
      <c r="AO486" s="4"/>
      <c r="AP486" s="4"/>
      <c r="AQ486" s="4"/>
      <c r="AR486" s="4"/>
      <c r="AS486" s="4"/>
      <c r="AT486" s="4"/>
      <c r="AU486" s="4"/>
      <c r="AV486" s="4"/>
      <c r="AW486" s="4"/>
      <c r="AX486" s="4"/>
      <c r="AY486" s="4"/>
      <c r="AZ486" s="4"/>
      <c r="BA486" s="4"/>
      <c r="BB486" s="4"/>
      <c r="BC486" s="5"/>
      <c r="BD486" s="4"/>
      <c r="BE486" s="4"/>
      <c r="BF486" s="4"/>
      <c r="BG486" s="4"/>
      <c r="BH486" s="4"/>
      <c r="BI486" s="4"/>
      <c r="BJ486" s="4"/>
      <c r="BK486" s="4"/>
      <c r="BL486" s="4"/>
      <c r="BM486" s="4"/>
      <c r="BN486" s="4"/>
      <c r="BO486" s="4"/>
      <c r="BP486" s="4"/>
      <c r="BQ486" s="4"/>
      <c r="BR486" s="4"/>
    </row>
    <row r="487" spans="1:70">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c r="AG487" s="4"/>
      <c r="AH487" s="4"/>
      <c r="AI487" s="4"/>
      <c r="AJ487" s="4"/>
      <c r="AK487" s="4"/>
      <c r="AL487" s="4"/>
      <c r="AM487" s="4"/>
      <c r="AN487" s="4"/>
      <c r="AO487" s="4"/>
      <c r="AP487" s="4"/>
      <c r="AQ487" s="4"/>
      <c r="AR487" s="4"/>
      <c r="AS487" s="4"/>
      <c r="AT487" s="4"/>
      <c r="AU487" s="4"/>
      <c r="AV487" s="4"/>
      <c r="AW487" s="4"/>
      <c r="AX487" s="4"/>
      <c r="AY487" s="4"/>
      <c r="AZ487" s="4"/>
      <c r="BA487" s="4"/>
      <c r="BB487" s="4"/>
      <c r="BC487" s="5"/>
      <c r="BD487" s="4"/>
      <c r="BE487" s="4"/>
      <c r="BF487" s="4"/>
      <c r="BG487" s="4"/>
      <c r="BH487" s="4"/>
      <c r="BI487" s="4"/>
      <c r="BJ487" s="4"/>
      <c r="BK487" s="4"/>
      <c r="BL487" s="4"/>
      <c r="BM487" s="4"/>
      <c r="BN487" s="4"/>
      <c r="BO487" s="4"/>
      <c r="BP487" s="4"/>
      <c r="BQ487" s="4"/>
      <c r="BR487" s="4"/>
    </row>
    <row r="488" spans="1:70">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c r="AG488" s="4"/>
      <c r="AH488" s="4"/>
      <c r="AI488" s="4"/>
      <c r="AJ488" s="4"/>
      <c r="AK488" s="4"/>
      <c r="AL488" s="4"/>
      <c r="AM488" s="4"/>
      <c r="AN488" s="4"/>
      <c r="AO488" s="4"/>
      <c r="AP488" s="4"/>
      <c r="AQ488" s="4"/>
      <c r="AR488" s="4"/>
      <c r="AS488" s="4"/>
      <c r="AT488" s="4"/>
      <c r="AU488" s="4"/>
      <c r="AV488" s="4"/>
      <c r="AW488" s="4"/>
      <c r="AX488" s="4"/>
      <c r="AY488" s="4"/>
      <c r="AZ488" s="4"/>
      <c r="BA488" s="4"/>
      <c r="BB488" s="4"/>
      <c r="BC488" s="5"/>
      <c r="BD488" s="4"/>
      <c r="BE488" s="4"/>
      <c r="BF488" s="4"/>
      <c r="BG488" s="4"/>
      <c r="BH488" s="4"/>
      <c r="BI488" s="4"/>
      <c r="BJ488" s="4"/>
      <c r="BK488" s="4"/>
      <c r="BL488" s="4"/>
      <c r="BM488" s="4"/>
      <c r="BN488" s="4"/>
      <c r="BO488" s="4"/>
      <c r="BP488" s="4"/>
      <c r="BQ488" s="4"/>
      <c r="BR488" s="4"/>
    </row>
    <row r="489" spans="1:70">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c r="AG489" s="4"/>
      <c r="AH489" s="4"/>
      <c r="AI489" s="4"/>
      <c r="AJ489" s="4"/>
      <c r="AK489" s="4"/>
      <c r="AL489" s="4"/>
      <c r="AM489" s="4"/>
      <c r="AN489" s="4"/>
      <c r="AO489" s="4"/>
      <c r="AP489" s="4"/>
      <c r="AQ489" s="4"/>
      <c r="AR489" s="4"/>
      <c r="AS489" s="4"/>
      <c r="AT489" s="4"/>
      <c r="AU489" s="4"/>
      <c r="AV489" s="4"/>
      <c r="AW489" s="4"/>
      <c r="AX489" s="4"/>
      <c r="AY489" s="4"/>
      <c r="AZ489" s="4"/>
      <c r="BA489" s="4"/>
      <c r="BB489" s="4"/>
      <c r="BC489" s="5"/>
      <c r="BD489" s="4"/>
      <c r="BE489" s="4"/>
      <c r="BF489" s="4"/>
      <c r="BG489" s="4"/>
      <c r="BH489" s="4"/>
      <c r="BI489" s="4"/>
      <c r="BJ489" s="4"/>
      <c r="BK489" s="4"/>
      <c r="BL489" s="4"/>
      <c r="BM489" s="4"/>
      <c r="BN489" s="4"/>
      <c r="BO489" s="4"/>
      <c r="BP489" s="4"/>
      <c r="BQ489" s="4"/>
      <c r="BR489" s="4"/>
    </row>
    <row r="490" spans="1:7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c r="AG490" s="4"/>
      <c r="AH490" s="4"/>
      <c r="AI490" s="4"/>
      <c r="AJ490" s="4"/>
      <c r="AK490" s="4"/>
      <c r="AL490" s="4"/>
      <c r="AM490" s="4"/>
      <c r="AN490" s="4"/>
      <c r="AO490" s="4"/>
      <c r="AP490" s="4"/>
      <c r="AQ490" s="4"/>
      <c r="AR490" s="4"/>
      <c r="AS490" s="4"/>
      <c r="AT490" s="4"/>
      <c r="AU490" s="4"/>
      <c r="AV490" s="4"/>
      <c r="AW490" s="4"/>
      <c r="AX490" s="4"/>
      <c r="AY490" s="4"/>
      <c r="AZ490" s="4"/>
      <c r="BA490" s="4"/>
      <c r="BB490" s="4"/>
      <c r="BC490" s="5"/>
      <c r="BD490" s="4"/>
      <c r="BE490" s="4"/>
      <c r="BF490" s="4"/>
      <c r="BG490" s="4"/>
      <c r="BH490" s="4"/>
      <c r="BI490" s="4"/>
      <c r="BJ490" s="4"/>
      <c r="BK490" s="4"/>
      <c r="BL490" s="4"/>
      <c r="BM490" s="4"/>
      <c r="BN490" s="4"/>
      <c r="BO490" s="4"/>
      <c r="BP490" s="4"/>
      <c r="BQ490" s="4"/>
      <c r="BR490" s="4"/>
    </row>
    <row r="491" spans="1:70">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c r="AG491" s="4"/>
      <c r="AH491" s="4"/>
      <c r="AI491" s="4"/>
      <c r="AJ491" s="4"/>
      <c r="AK491" s="4"/>
      <c r="AL491" s="4"/>
      <c r="AM491" s="4"/>
      <c r="AN491" s="4"/>
      <c r="AO491" s="4"/>
      <c r="AP491" s="4"/>
      <c r="AQ491" s="4"/>
      <c r="AR491" s="4"/>
      <c r="AS491" s="4"/>
      <c r="AT491" s="4"/>
      <c r="AU491" s="4"/>
      <c r="AV491" s="4"/>
      <c r="AW491" s="4"/>
      <c r="AX491" s="4"/>
      <c r="AY491" s="4"/>
      <c r="AZ491" s="4"/>
      <c r="BA491" s="4"/>
      <c r="BB491" s="4"/>
      <c r="BC491" s="5"/>
      <c r="BD491" s="4"/>
      <c r="BE491" s="4"/>
      <c r="BF491" s="4"/>
      <c r="BG491" s="4"/>
      <c r="BH491" s="4"/>
      <c r="BI491" s="4"/>
      <c r="BJ491" s="4"/>
      <c r="BK491" s="4"/>
      <c r="BL491" s="4"/>
      <c r="BM491" s="4"/>
      <c r="BN491" s="4"/>
      <c r="BO491" s="4"/>
      <c r="BP491" s="4"/>
      <c r="BQ491" s="4"/>
      <c r="BR491" s="4"/>
    </row>
    <row r="492" spans="1:70">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c r="AG492" s="4"/>
      <c r="AH492" s="4"/>
      <c r="AI492" s="4"/>
      <c r="AJ492" s="4"/>
      <c r="AK492" s="4"/>
      <c r="AL492" s="4"/>
      <c r="AM492" s="4"/>
      <c r="AN492" s="4"/>
      <c r="AO492" s="4"/>
      <c r="AP492" s="4"/>
      <c r="AQ492" s="4"/>
      <c r="AR492" s="4"/>
      <c r="AS492" s="4"/>
      <c r="AT492" s="4"/>
      <c r="AU492" s="4"/>
      <c r="AV492" s="4"/>
      <c r="AW492" s="4"/>
      <c r="AX492" s="4"/>
      <c r="AY492" s="4"/>
      <c r="AZ492" s="4"/>
      <c r="BA492" s="4"/>
      <c r="BB492" s="4"/>
      <c r="BC492" s="5"/>
      <c r="BD492" s="4"/>
      <c r="BE492" s="4"/>
      <c r="BF492" s="4"/>
      <c r="BG492" s="4"/>
      <c r="BH492" s="4"/>
      <c r="BI492" s="4"/>
      <c r="BJ492" s="4"/>
      <c r="BK492" s="4"/>
      <c r="BL492" s="4"/>
      <c r="BM492" s="4"/>
      <c r="BN492" s="4"/>
      <c r="BO492" s="4"/>
      <c r="BP492" s="4"/>
      <c r="BQ492" s="4"/>
      <c r="BR492" s="4"/>
    </row>
    <row r="493" spans="1:70">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c r="AG493" s="4"/>
      <c r="AH493" s="4"/>
      <c r="AI493" s="4"/>
      <c r="AJ493" s="4"/>
      <c r="AK493" s="4"/>
      <c r="AL493" s="4"/>
      <c r="AM493" s="4"/>
      <c r="AN493" s="4"/>
      <c r="AO493" s="4"/>
      <c r="AP493" s="4"/>
      <c r="AQ493" s="4"/>
      <c r="AR493" s="4"/>
      <c r="AS493" s="4"/>
      <c r="AT493" s="4"/>
      <c r="AU493" s="4"/>
      <c r="AV493" s="4"/>
      <c r="AW493" s="4"/>
      <c r="AX493" s="4"/>
      <c r="AY493" s="4"/>
      <c r="AZ493" s="4"/>
      <c r="BA493" s="4"/>
      <c r="BB493" s="4"/>
      <c r="BC493" s="5"/>
      <c r="BD493" s="4"/>
      <c r="BE493" s="4"/>
      <c r="BF493" s="4"/>
      <c r="BG493" s="4"/>
      <c r="BH493" s="4"/>
      <c r="BI493" s="4"/>
      <c r="BJ493" s="4"/>
      <c r="BK493" s="4"/>
      <c r="BL493" s="4"/>
      <c r="BM493" s="4"/>
      <c r="BN493" s="4"/>
      <c r="BO493" s="4"/>
      <c r="BP493" s="4"/>
      <c r="BQ493" s="4"/>
      <c r="BR493" s="4"/>
    </row>
    <row r="494" spans="1:70">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c r="AG494" s="4"/>
      <c r="AH494" s="4"/>
      <c r="AI494" s="4"/>
      <c r="AJ494" s="4"/>
      <c r="AK494" s="4"/>
      <c r="AL494" s="4"/>
      <c r="AM494" s="4"/>
      <c r="AN494" s="4"/>
      <c r="AO494" s="4"/>
      <c r="AP494" s="4"/>
      <c r="AQ494" s="4"/>
      <c r="AR494" s="4"/>
      <c r="AS494" s="4"/>
      <c r="AT494" s="4"/>
      <c r="AU494" s="4"/>
      <c r="AV494" s="4"/>
      <c r="AW494" s="4"/>
      <c r="AX494" s="4"/>
      <c r="AY494" s="4"/>
      <c r="AZ494" s="4"/>
      <c r="BA494" s="4"/>
      <c r="BB494" s="4"/>
      <c r="BC494" s="5"/>
      <c r="BD494" s="4"/>
      <c r="BE494" s="4"/>
      <c r="BF494" s="4"/>
      <c r="BG494" s="4"/>
      <c r="BH494" s="4"/>
      <c r="BI494" s="4"/>
      <c r="BJ494" s="4"/>
      <c r="BK494" s="4"/>
      <c r="BL494" s="4"/>
      <c r="BM494" s="4"/>
      <c r="BN494" s="4"/>
      <c r="BO494" s="4"/>
      <c r="BP494" s="4"/>
      <c r="BQ494" s="4"/>
      <c r="BR494" s="4"/>
    </row>
    <row r="495" spans="1:70">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c r="AG495" s="4"/>
      <c r="AH495" s="4"/>
      <c r="AI495" s="4"/>
      <c r="AJ495" s="4"/>
      <c r="AK495" s="4"/>
      <c r="AL495" s="4"/>
      <c r="AM495" s="4"/>
      <c r="AN495" s="4"/>
      <c r="AO495" s="4"/>
      <c r="AP495" s="4"/>
      <c r="AQ495" s="4"/>
      <c r="AR495" s="4"/>
      <c r="AS495" s="4"/>
      <c r="AT495" s="4"/>
      <c r="AU495" s="4"/>
      <c r="AV495" s="4"/>
      <c r="AW495" s="4"/>
      <c r="AX495" s="4"/>
      <c r="AY495" s="4"/>
      <c r="AZ495" s="4"/>
      <c r="BA495" s="4"/>
      <c r="BB495" s="4"/>
      <c r="BC495" s="5"/>
      <c r="BD495" s="4"/>
      <c r="BE495" s="4"/>
      <c r="BF495" s="4"/>
      <c r="BG495" s="4"/>
      <c r="BH495" s="4"/>
      <c r="BI495" s="4"/>
      <c r="BJ495" s="4"/>
      <c r="BK495" s="4"/>
      <c r="BL495" s="4"/>
      <c r="BM495" s="4"/>
      <c r="BN495" s="4"/>
      <c r="BO495" s="4"/>
      <c r="BP495" s="4"/>
      <c r="BQ495" s="4"/>
      <c r="BR495" s="4"/>
    </row>
    <row r="496" spans="1:70">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c r="AG496" s="4"/>
      <c r="AH496" s="4"/>
      <c r="AI496" s="4"/>
      <c r="AJ496" s="4"/>
      <c r="AK496" s="4"/>
      <c r="AL496" s="4"/>
      <c r="AM496" s="4"/>
      <c r="AN496" s="4"/>
      <c r="AO496" s="4"/>
      <c r="AP496" s="4"/>
      <c r="AQ496" s="4"/>
      <c r="AR496" s="4"/>
      <c r="AS496" s="4"/>
      <c r="AT496" s="4"/>
      <c r="AU496" s="4"/>
      <c r="AV496" s="4"/>
      <c r="AW496" s="4"/>
      <c r="AX496" s="4"/>
      <c r="AY496" s="4"/>
      <c r="AZ496" s="4"/>
      <c r="BA496" s="4"/>
      <c r="BB496" s="4"/>
      <c r="BC496" s="5"/>
      <c r="BD496" s="4"/>
      <c r="BE496" s="4"/>
      <c r="BF496" s="4"/>
      <c r="BG496" s="4"/>
      <c r="BH496" s="4"/>
      <c r="BI496" s="4"/>
      <c r="BJ496" s="4"/>
      <c r="BK496" s="4"/>
      <c r="BL496" s="4"/>
      <c r="BM496" s="4"/>
      <c r="BN496" s="4"/>
      <c r="BO496" s="4"/>
      <c r="BP496" s="4"/>
      <c r="BQ496" s="4"/>
      <c r="BR496" s="4"/>
    </row>
    <row r="497" spans="1:70">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c r="AG497" s="4"/>
      <c r="AH497" s="4"/>
      <c r="AI497" s="4"/>
      <c r="AJ497" s="4"/>
      <c r="AK497" s="4"/>
      <c r="AL497" s="4"/>
      <c r="AM497" s="4"/>
      <c r="AN497" s="4"/>
      <c r="AO497" s="4"/>
      <c r="AP497" s="4"/>
      <c r="AQ497" s="4"/>
      <c r="AR497" s="4"/>
      <c r="AS497" s="4"/>
      <c r="AT497" s="4"/>
      <c r="AU497" s="4"/>
      <c r="AV497" s="4"/>
      <c r="AW497" s="4"/>
      <c r="AX497" s="4"/>
      <c r="AY497" s="4"/>
      <c r="AZ497" s="4"/>
      <c r="BA497" s="4"/>
      <c r="BB497" s="4"/>
      <c r="BC497" s="5"/>
      <c r="BD497" s="4"/>
      <c r="BE497" s="4"/>
      <c r="BF497" s="4"/>
      <c r="BG497" s="4"/>
      <c r="BH497" s="4"/>
      <c r="BI497" s="4"/>
      <c r="BJ497" s="4"/>
      <c r="BK497" s="4"/>
      <c r="BL497" s="4"/>
      <c r="BM497" s="4"/>
      <c r="BN497" s="4"/>
      <c r="BO497" s="4"/>
      <c r="BP497" s="4"/>
      <c r="BQ497" s="4"/>
      <c r="BR497" s="4"/>
    </row>
    <row r="498" spans="1:70">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c r="AG498" s="4"/>
      <c r="AH498" s="4"/>
      <c r="AI498" s="4"/>
      <c r="AJ498" s="4"/>
      <c r="AK498" s="4"/>
      <c r="AL498" s="4"/>
      <c r="AM498" s="4"/>
      <c r="AN498" s="4"/>
      <c r="AO498" s="4"/>
      <c r="AP498" s="4"/>
      <c r="AQ498" s="4"/>
      <c r="AR498" s="4"/>
      <c r="AS498" s="4"/>
      <c r="AT498" s="4"/>
      <c r="AU498" s="4"/>
      <c r="AV498" s="4"/>
      <c r="AW498" s="4"/>
      <c r="AX498" s="4"/>
      <c r="AY498" s="4"/>
      <c r="AZ498" s="4"/>
      <c r="BA498" s="4"/>
      <c r="BB498" s="4"/>
      <c r="BC498" s="5"/>
      <c r="BD498" s="4"/>
      <c r="BE498" s="4"/>
      <c r="BF498" s="4"/>
      <c r="BG498" s="4"/>
      <c r="BH498" s="4"/>
      <c r="BI498" s="4"/>
      <c r="BJ498" s="4"/>
      <c r="BK498" s="4"/>
      <c r="BL498" s="4"/>
      <c r="BM498" s="4"/>
      <c r="BN498" s="4"/>
      <c r="BO498" s="4"/>
      <c r="BP498" s="4"/>
      <c r="BQ498" s="4"/>
      <c r="BR498" s="4"/>
    </row>
    <row r="499" spans="1:70">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c r="AG499" s="4"/>
      <c r="AH499" s="4"/>
      <c r="AI499" s="4"/>
      <c r="AJ499" s="4"/>
      <c r="AK499" s="4"/>
      <c r="AL499" s="4"/>
      <c r="AM499" s="4"/>
      <c r="AN499" s="4"/>
      <c r="AO499" s="4"/>
      <c r="AP499" s="4"/>
      <c r="AQ499" s="4"/>
      <c r="AR499" s="4"/>
      <c r="AS499" s="4"/>
      <c r="AT499" s="4"/>
      <c r="AU499" s="4"/>
      <c r="AV499" s="4"/>
      <c r="AW499" s="4"/>
      <c r="AX499" s="4"/>
      <c r="AY499" s="4"/>
      <c r="AZ499" s="4"/>
      <c r="BA499" s="4"/>
      <c r="BB499" s="4"/>
      <c r="BC499" s="5"/>
      <c r="BD499" s="4"/>
      <c r="BE499" s="4"/>
      <c r="BF499" s="4"/>
      <c r="BG499" s="4"/>
      <c r="BH499" s="4"/>
      <c r="BI499" s="4"/>
      <c r="BJ499" s="4"/>
      <c r="BK499" s="4"/>
      <c r="BL499" s="4"/>
      <c r="BM499" s="4"/>
      <c r="BN499" s="4"/>
      <c r="BO499" s="4"/>
      <c r="BP499" s="4"/>
      <c r="BQ499" s="4"/>
      <c r="BR499" s="4"/>
    </row>
    <row r="500" spans="1:7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c r="AG500" s="4"/>
      <c r="AH500" s="4"/>
      <c r="AI500" s="4"/>
      <c r="AJ500" s="4"/>
      <c r="AK500" s="4"/>
      <c r="AL500" s="4"/>
      <c r="AM500" s="4"/>
      <c r="AN500" s="4"/>
      <c r="AO500" s="4"/>
      <c r="AP500" s="4"/>
      <c r="AQ500" s="4"/>
      <c r="AR500" s="4"/>
      <c r="AS500" s="4"/>
      <c r="AT500" s="4"/>
      <c r="AU500" s="4"/>
      <c r="AV500" s="4"/>
      <c r="AW500" s="4"/>
      <c r="AX500" s="4"/>
      <c r="AY500" s="4"/>
      <c r="AZ500" s="4"/>
      <c r="BA500" s="4"/>
      <c r="BB500" s="4"/>
      <c r="BC500" s="5"/>
      <c r="BD500" s="4"/>
      <c r="BE500" s="4"/>
      <c r="BF500" s="4"/>
      <c r="BG500" s="4"/>
      <c r="BH500" s="4"/>
      <c r="BI500" s="4"/>
      <c r="BJ500" s="4"/>
      <c r="BK500" s="4"/>
      <c r="BL500" s="4"/>
      <c r="BM500" s="4"/>
      <c r="BN500" s="4"/>
      <c r="BO500" s="4"/>
      <c r="BP500" s="4"/>
      <c r="BQ500" s="4"/>
      <c r="BR500" s="4"/>
    </row>
    <row r="501" spans="1:70">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c r="AG501" s="4"/>
      <c r="AH501" s="4"/>
      <c r="AI501" s="4"/>
      <c r="AJ501" s="4"/>
      <c r="AK501" s="4"/>
      <c r="AL501" s="4"/>
      <c r="AM501" s="4"/>
      <c r="AN501" s="4"/>
      <c r="AO501" s="4"/>
      <c r="AP501" s="4"/>
      <c r="AQ501" s="4"/>
      <c r="AR501" s="4"/>
      <c r="AS501" s="4"/>
      <c r="AT501" s="4"/>
      <c r="AU501" s="4"/>
      <c r="AV501" s="4"/>
      <c r="AW501" s="4"/>
      <c r="AX501" s="4"/>
      <c r="AY501" s="4"/>
      <c r="AZ501" s="4"/>
      <c r="BA501" s="4"/>
      <c r="BB501" s="4"/>
      <c r="BC501" s="5"/>
      <c r="BD501" s="4"/>
      <c r="BE501" s="4"/>
      <c r="BF501" s="4"/>
      <c r="BG501" s="4"/>
      <c r="BH501" s="4"/>
      <c r="BI501" s="4"/>
      <c r="BJ501" s="4"/>
      <c r="BK501" s="4"/>
      <c r="BL501" s="4"/>
      <c r="BM501" s="4"/>
      <c r="BN501" s="4"/>
      <c r="BO501" s="4"/>
      <c r="BP501" s="4"/>
      <c r="BQ501" s="4"/>
      <c r="BR501" s="4"/>
    </row>
    <row r="502" spans="1:70">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c r="AG502" s="4"/>
      <c r="AH502" s="4"/>
      <c r="AI502" s="4"/>
      <c r="AJ502" s="4"/>
      <c r="AK502" s="4"/>
      <c r="AL502" s="4"/>
      <c r="AM502" s="4"/>
      <c r="AN502" s="4"/>
      <c r="AO502" s="4"/>
      <c r="AP502" s="4"/>
      <c r="AQ502" s="4"/>
      <c r="AR502" s="4"/>
      <c r="AS502" s="4"/>
      <c r="AT502" s="4"/>
      <c r="AU502" s="4"/>
      <c r="AV502" s="4"/>
      <c r="AW502" s="4"/>
      <c r="AX502" s="4"/>
      <c r="AY502" s="4"/>
      <c r="AZ502" s="4"/>
      <c r="BA502" s="4"/>
      <c r="BB502" s="4"/>
      <c r="BC502" s="5"/>
      <c r="BD502" s="4"/>
      <c r="BE502" s="4"/>
      <c r="BF502" s="4"/>
      <c r="BG502" s="4"/>
      <c r="BH502" s="4"/>
      <c r="BI502" s="4"/>
      <c r="BJ502" s="4"/>
      <c r="BK502" s="4"/>
      <c r="BL502" s="4"/>
      <c r="BM502" s="4"/>
      <c r="BN502" s="4"/>
      <c r="BO502" s="4"/>
      <c r="BP502" s="4"/>
      <c r="BQ502" s="4"/>
      <c r="BR502" s="4"/>
    </row>
    <row r="503" spans="1:70">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c r="AG503" s="4"/>
      <c r="AH503" s="4"/>
      <c r="AI503" s="4"/>
      <c r="AJ503" s="4"/>
      <c r="AK503" s="4"/>
      <c r="AL503" s="4"/>
      <c r="AM503" s="4"/>
      <c r="AN503" s="4"/>
      <c r="AO503" s="4"/>
      <c r="AP503" s="4"/>
      <c r="AQ503" s="4"/>
      <c r="AR503" s="4"/>
      <c r="AS503" s="4"/>
      <c r="AT503" s="4"/>
      <c r="AU503" s="4"/>
      <c r="AV503" s="4"/>
      <c r="AW503" s="4"/>
      <c r="AX503" s="4"/>
      <c r="AY503" s="4"/>
      <c r="AZ503" s="4"/>
      <c r="BA503" s="4"/>
      <c r="BB503" s="4"/>
      <c r="BC503" s="5"/>
      <c r="BD503" s="4"/>
      <c r="BE503" s="4"/>
      <c r="BF503" s="4"/>
      <c r="BG503" s="4"/>
      <c r="BH503" s="4"/>
      <c r="BI503" s="4"/>
      <c r="BJ503" s="4"/>
      <c r="BK503" s="4"/>
      <c r="BL503" s="4"/>
      <c r="BM503" s="4"/>
      <c r="BN503" s="4"/>
      <c r="BO503" s="4"/>
      <c r="BP503" s="4"/>
      <c r="BQ503" s="4"/>
      <c r="BR503" s="4"/>
    </row>
    <row r="504" spans="1:70">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c r="AG504" s="4"/>
      <c r="AH504" s="4"/>
      <c r="AI504" s="4"/>
      <c r="AJ504" s="4"/>
      <c r="AK504" s="4"/>
      <c r="AL504" s="4"/>
      <c r="AM504" s="4"/>
      <c r="AN504" s="4"/>
      <c r="AO504" s="4"/>
      <c r="AP504" s="4"/>
      <c r="AQ504" s="4"/>
      <c r="AR504" s="4"/>
      <c r="AS504" s="4"/>
      <c r="AT504" s="4"/>
      <c r="AU504" s="4"/>
      <c r="AV504" s="4"/>
      <c r="AW504" s="4"/>
      <c r="AX504" s="4"/>
      <c r="AY504" s="4"/>
      <c r="AZ504" s="4"/>
      <c r="BA504" s="4"/>
      <c r="BB504" s="4"/>
      <c r="BC504" s="5"/>
      <c r="BD504" s="4"/>
      <c r="BE504" s="4"/>
      <c r="BF504" s="4"/>
      <c r="BG504" s="4"/>
      <c r="BH504" s="4"/>
      <c r="BI504" s="4"/>
      <c r="BJ504" s="4"/>
      <c r="BK504" s="4"/>
      <c r="BL504" s="4"/>
      <c r="BM504" s="4"/>
      <c r="BN504" s="4"/>
      <c r="BO504" s="4"/>
      <c r="BP504" s="4"/>
      <c r="BQ504" s="4"/>
      <c r="BR504" s="4"/>
    </row>
    <row r="505" spans="1:70">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c r="AG505" s="4"/>
      <c r="AH505" s="4"/>
      <c r="AI505" s="4"/>
      <c r="AJ505" s="4"/>
      <c r="AK505" s="4"/>
      <c r="AL505" s="4"/>
      <c r="AM505" s="4"/>
      <c r="AN505" s="4"/>
      <c r="AO505" s="4"/>
      <c r="AP505" s="4"/>
      <c r="AQ505" s="4"/>
      <c r="AR505" s="4"/>
      <c r="AS505" s="4"/>
      <c r="AT505" s="4"/>
      <c r="AU505" s="4"/>
      <c r="AV505" s="4"/>
      <c r="AW505" s="4"/>
      <c r="AX505" s="4"/>
      <c r="AY505" s="4"/>
      <c r="AZ505" s="4"/>
      <c r="BA505" s="4"/>
      <c r="BB505" s="4"/>
      <c r="BC505" s="5"/>
      <c r="BD505" s="4"/>
      <c r="BE505" s="4"/>
      <c r="BF505" s="4"/>
      <c r="BG505" s="4"/>
      <c r="BH505" s="4"/>
      <c r="BI505" s="4"/>
      <c r="BJ505" s="4"/>
      <c r="BK505" s="4"/>
      <c r="BL505" s="4"/>
      <c r="BM505" s="4"/>
      <c r="BN505" s="4"/>
      <c r="BO505" s="4"/>
      <c r="BP505" s="4"/>
      <c r="BQ505" s="4"/>
      <c r="BR505" s="4"/>
    </row>
    <row r="506" spans="1:70">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c r="AG506" s="4"/>
      <c r="AH506" s="4"/>
      <c r="AI506" s="4"/>
      <c r="AJ506" s="4"/>
      <c r="AK506" s="4"/>
      <c r="AL506" s="4"/>
      <c r="AM506" s="4"/>
      <c r="AN506" s="4"/>
      <c r="AO506" s="4"/>
      <c r="AP506" s="4"/>
      <c r="AQ506" s="4"/>
      <c r="AR506" s="4"/>
      <c r="AS506" s="4"/>
      <c r="AT506" s="4"/>
      <c r="AU506" s="4"/>
      <c r="AV506" s="4"/>
      <c r="AW506" s="4"/>
      <c r="AX506" s="4"/>
      <c r="AY506" s="4"/>
      <c r="AZ506" s="4"/>
      <c r="BA506" s="4"/>
      <c r="BB506" s="4"/>
      <c r="BC506" s="5"/>
      <c r="BD506" s="4"/>
      <c r="BE506" s="4"/>
      <c r="BF506" s="4"/>
      <c r="BG506" s="4"/>
      <c r="BH506" s="4"/>
      <c r="BI506" s="4"/>
      <c r="BJ506" s="4"/>
      <c r="BK506" s="4"/>
      <c r="BL506" s="4"/>
      <c r="BM506" s="4"/>
      <c r="BN506" s="4"/>
      <c r="BO506" s="4"/>
      <c r="BP506" s="4"/>
      <c r="BQ506" s="4"/>
      <c r="BR506" s="4"/>
    </row>
    <row r="507" spans="1:70">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c r="AG507" s="4"/>
      <c r="AH507" s="4"/>
      <c r="AI507" s="4"/>
      <c r="AJ507" s="4"/>
      <c r="AK507" s="4"/>
      <c r="AL507" s="4"/>
      <c r="AM507" s="4"/>
      <c r="AN507" s="4"/>
      <c r="AO507" s="4"/>
      <c r="AP507" s="4"/>
      <c r="AQ507" s="4"/>
      <c r="AR507" s="4"/>
      <c r="AS507" s="4"/>
      <c r="AT507" s="4"/>
      <c r="AU507" s="4"/>
      <c r="AV507" s="4"/>
      <c r="AW507" s="4"/>
      <c r="AX507" s="4"/>
      <c r="AY507" s="4"/>
      <c r="AZ507" s="4"/>
      <c r="BA507" s="4"/>
      <c r="BB507" s="4"/>
      <c r="BC507" s="5"/>
      <c r="BD507" s="4"/>
      <c r="BE507" s="4"/>
      <c r="BF507" s="4"/>
      <c r="BG507" s="4"/>
      <c r="BH507" s="4"/>
      <c r="BI507" s="4"/>
      <c r="BJ507" s="4"/>
      <c r="BK507" s="4"/>
      <c r="BL507" s="4"/>
      <c r="BM507" s="4"/>
      <c r="BN507" s="4"/>
      <c r="BO507" s="4"/>
      <c r="BP507" s="4"/>
      <c r="BQ507" s="4"/>
      <c r="BR507" s="4"/>
    </row>
    <row r="508" spans="1:70">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c r="AG508" s="4"/>
      <c r="AH508" s="4"/>
      <c r="AI508" s="4"/>
      <c r="AJ508" s="4"/>
      <c r="AK508" s="4"/>
      <c r="AL508" s="4"/>
      <c r="AM508" s="4"/>
      <c r="AN508" s="4"/>
      <c r="AO508" s="4"/>
      <c r="AP508" s="4"/>
      <c r="AQ508" s="4"/>
      <c r="AR508" s="4"/>
      <c r="AS508" s="4"/>
      <c r="AT508" s="4"/>
      <c r="AU508" s="4"/>
      <c r="AV508" s="4"/>
      <c r="AW508" s="4"/>
      <c r="AX508" s="4"/>
      <c r="AY508" s="4"/>
      <c r="AZ508" s="4"/>
      <c r="BA508" s="4"/>
      <c r="BB508" s="4"/>
      <c r="BC508" s="5"/>
      <c r="BD508" s="4"/>
      <c r="BE508" s="4"/>
      <c r="BF508" s="4"/>
      <c r="BG508" s="4"/>
      <c r="BH508" s="4"/>
      <c r="BI508" s="4"/>
      <c r="BJ508" s="4"/>
      <c r="BK508" s="4"/>
      <c r="BL508" s="4"/>
      <c r="BM508" s="4"/>
      <c r="BN508" s="4"/>
      <c r="BO508" s="4"/>
      <c r="BP508" s="4"/>
      <c r="BQ508" s="4"/>
      <c r="BR508" s="4"/>
    </row>
    <row r="509" spans="1:70">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c r="AG509" s="4"/>
      <c r="AH509" s="4"/>
      <c r="AI509" s="4"/>
      <c r="AJ509" s="4"/>
      <c r="AK509" s="4"/>
      <c r="AL509" s="4"/>
      <c r="AM509" s="4"/>
      <c r="AN509" s="4"/>
      <c r="AO509" s="4"/>
      <c r="AP509" s="4"/>
      <c r="AQ509" s="4"/>
      <c r="AR509" s="4"/>
      <c r="AS509" s="4"/>
      <c r="AT509" s="4"/>
      <c r="AU509" s="4"/>
      <c r="AV509" s="4"/>
      <c r="AW509" s="4"/>
      <c r="AX509" s="4"/>
      <c r="AY509" s="4"/>
      <c r="AZ509" s="4"/>
      <c r="BA509" s="4"/>
      <c r="BB509" s="4"/>
      <c r="BC509" s="5"/>
      <c r="BD509" s="4"/>
      <c r="BE509" s="4"/>
      <c r="BF509" s="4"/>
      <c r="BG509" s="4"/>
      <c r="BH509" s="4"/>
      <c r="BI509" s="4"/>
      <c r="BJ509" s="4"/>
      <c r="BK509" s="4"/>
      <c r="BL509" s="4"/>
      <c r="BM509" s="4"/>
      <c r="BN509" s="4"/>
      <c r="BO509" s="4"/>
      <c r="BP509" s="4"/>
      <c r="BQ509" s="4"/>
      <c r="BR509" s="4"/>
    </row>
    <row r="510" spans="1:7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c r="AG510" s="4"/>
      <c r="AH510" s="4"/>
      <c r="AI510" s="4"/>
      <c r="AJ510" s="4"/>
      <c r="AK510" s="4"/>
      <c r="AL510" s="4"/>
      <c r="AM510" s="4"/>
      <c r="AN510" s="4"/>
      <c r="AO510" s="4"/>
      <c r="AP510" s="4"/>
      <c r="AQ510" s="4"/>
      <c r="AR510" s="4"/>
      <c r="AS510" s="4"/>
      <c r="AT510" s="4"/>
      <c r="AU510" s="4"/>
      <c r="AV510" s="4"/>
      <c r="AW510" s="4"/>
      <c r="AX510" s="4"/>
      <c r="AY510" s="4"/>
      <c r="AZ510" s="4"/>
      <c r="BA510" s="4"/>
      <c r="BB510" s="4"/>
      <c r="BC510" s="5"/>
      <c r="BD510" s="4"/>
      <c r="BE510" s="4"/>
      <c r="BF510" s="4"/>
      <c r="BG510" s="4"/>
      <c r="BH510" s="4"/>
      <c r="BI510" s="4"/>
      <c r="BJ510" s="4"/>
      <c r="BK510" s="4"/>
      <c r="BL510" s="4"/>
      <c r="BM510" s="4"/>
      <c r="BN510" s="4"/>
      <c r="BO510" s="4"/>
      <c r="BP510" s="4"/>
      <c r="BQ510" s="4"/>
      <c r="BR510" s="4"/>
    </row>
    <row r="511" spans="1:70">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c r="AG511" s="4"/>
      <c r="AH511" s="4"/>
      <c r="AI511" s="4"/>
      <c r="AJ511" s="4"/>
      <c r="AK511" s="4"/>
      <c r="AL511" s="4"/>
      <c r="AM511" s="4"/>
      <c r="AN511" s="4"/>
      <c r="AO511" s="4"/>
      <c r="AP511" s="4"/>
      <c r="AQ511" s="4"/>
      <c r="AR511" s="4"/>
      <c r="AS511" s="4"/>
      <c r="AT511" s="4"/>
      <c r="AU511" s="4"/>
      <c r="AV511" s="4"/>
      <c r="AW511" s="4"/>
      <c r="AX511" s="4"/>
      <c r="AY511" s="4"/>
      <c r="AZ511" s="4"/>
      <c r="BA511" s="4"/>
      <c r="BB511" s="4"/>
      <c r="BC511" s="5"/>
      <c r="BD511" s="4"/>
      <c r="BE511" s="4"/>
      <c r="BF511" s="4"/>
      <c r="BG511" s="4"/>
      <c r="BH511" s="4"/>
      <c r="BI511" s="4"/>
      <c r="BJ511" s="4"/>
      <c r="BK511" s="4"/>
      <c r="BL511" s="4"/>
      <c r="BM511" s="4"/>
      <c r="BN511" s="4"/>
      <c r="BO511" s="4"/>
      <c r="BP511" s="4"/>
      <c r="BQ511" s="4"/>
      <c r="BR511" s="4"/>
    </row>
    <row r="512" spans="1:70">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c r="AG512" s="4"/>
      <c r="AH512" s="4"/>
      <c r="AI512" s="4"/>
      <c r="AJ512" s="4"/>
      <c r="AK512" s="4"/>
      <c r="AL512" s="4"/>
      <c r="AM512" s="4"/>
      <c r="AN512" s="4"/>
      <c r="AO512" s="4"/>
      <c r="AP512" s="4"/>
      <c r="AQ512" s="4"/>
      <c r="AR512" s="4"/>
      <c r="AS512" s="4"/>
      <c r="AT512" s="4"/>
      <c r="AU512" s="4"/>
      <c r="AV512" s="4"/>
      <c r="AW512" s="4"/>
      <c r="AX512" s="4"/>
      <c r="AY512" s="4"/>
      <c r="AZ512" s="4"/>
      <c r="BA512" s="4"/>
      <c r="BB512" s="4"/>
      <c r="BC512" s="5"/>
      <c r="BD512" s="4"/>
      <c r="BE512" s="4"/>
      <c r="BF512" s="4"/>
      <c r="BG512" s="4"/>
      <c r="BH512" s="4"/>
      <c r="BI512" s="4"/>
      <c r="BJ512" s="4"/>
      <c r="BK512" s="4"/>
      <c r="BL512" s="4"/>
      <c r="BM512" s="4"/>
      <c r="BN512" s="4"/>
      <c r="BO512" s="4"/>
      <c r="BP512" s="4"/>
      <c r="BQ512" s="4"/>
      <c r="BR512" s="4"/>
    </row>
    <row r="513" spans="1:70">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c r="AG513" s="4"/>
      <c r="AH513" s="4"/>
      <c r="AI513" s="4"/>
      <c r="AJ513" s="4"/>
      <c r="AK513" s="4"/>
      <c r="AL513" s="4"/>
      <c r="AM513" s="4"/>
      <c r="AN513" s="4"/>
      <c r="AO513" s="4"/>
      <c r="AP513" s="4"/>
      <c r="AQ513" s="4"/>
      <c r="AR513" s="4"/>
      <c r="AS513" s="4"/>
      <c r="AT513" s="4"/>
      <c r="AU513" s="4"/>
      <c r="AV513" s="4"/>
      <c r="AW513" s="4"/>
      <c r="AX513" s="4"/>
      <c r="AY513" s="4"/>
      <c r="AZ513" s="4"/>
      <c r="BA513" s="4"/>
      <c r="BB513" s="4"/>
      <c r="BC513" s="5"/>
      <c r="BD513" s="4"/>
      <c r="BE513" s="4"/>
      <c r="BF513" s="4"/>
      <c r="BG513" s="4"/>
      <c r="BH513" s="4"/>
      <c r="BI513" s="4"/>
      <c r="BJ513" s="4"/>
      <c r="BK513" s="4"/>
      <c r="BL513" s="4"/>
      <c r="BM513" s="4"/>
      <c r="BN513" s="4"/>
      <c r="BO513" s="4"/>
      <c r="BP513" s="4"/>
      <c r="BQ513" s="4"/>
      <c r="BR513" s="4"/>
    </row>
    <row r="514" spans="1:70">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c r="AG514" s="4"/>
      <c r="AH514" s="4"/>
      <c r="AI514" s="4"/>
      <c r="AJ514" s="4"/>
      <c r="AK514" s="4"/>
      <c r="AL514" s="4"/>
      <c r="AM514" s="4"/>
      <c r="AN514" s="4"/>
      <c r="AO514" s="4"/>
      <c r="AP514" s="4"/>
      <c r="AQ514" s="4"/>
      <c r="AR514" s="4"/>
      <c r="AS514" s="4"/>
      <c r="AT514" s="4"/>
      <c r="AU514" s="4"/>
      <c r="AV514" s="4"/>
      <c r="AW514" s="4"/>
      <c r="AX514" s="4"/>
      <c r="AY514" s="4"/>
      <c r="AZ514" s="4"/>
      <c r="BA514" s="4"/>
      <c r="BB514" s="4"/>
      <c r="BC514" s="5"/>
      <c r="BD514" s="4"/>
      <c r="BE514" s="4"/>
      <c r="BF514" s="4"/>
      <c r="BG514" s="4"/>
      <c r="BH514" s="4"/>
      <c r="BI514" s="4"/>
      <c r="BJ514" s="4"/>
      <c r="BK514" s="4"/>
      <c r="BL514" s="4"/>
      <c r="BM514" s="4"/>
      <c r="BN514" s="4"/>
      <c r="BO514" s="4"/>
      <c r="BP514" s="4"/>
      <c r="BQ514" s="4"/>
      <c r="BR514" s="4"/>
    </row>
    <row r="515" spans="1:70">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c r="AG515" s="4"/>
      <c r="AH515" s="4"/>
      <c r="AI515" s="4"/>
      <c r="AJ515" s="4"/>
      <c r="AK515" s="4"/>
      <c r="AL515" s="4"/>
      <c r="AM515" s="4"/>
      <c r="AN515" s="4"/>
      <c r="AO515" s="4"/>
      <c r="AP515" s="4"/>
      <c r="AQ515" s="4"/>
      <c r="AR515" s="4"/>
      <c r="AS515" s="4"/>
      <c r="AT515" s="4"/>
      <c r="AU515" s="4"/>
      <c r="AV515" s="4"/>
      <c r="AW515" s="4"/>
      <c r="AX515" s="4"/>
      <c r="AY515" s="4"/>
      <c r="AZ515" s="4"/>
      <c r="BA515" s="4"/>
      <c r="BB515" s="4"/>
      <c r="BC515" s="5"/>
      <c r="BD515" s="4"/>
      <c r="BE515" s="4"/>
      <c r="BF515" s="4"/>
      <c r="BG515" s="4"/>
      <c r="BH515" s="4"/>
      <c r="BI515" s="4"/>
      <c r="BJ515" s="4"/>
      <c r="BK515" s="4"/>
      <c r="BL515" s="4"/>
      <c r="BM515" s="4"/>
      <c r="BN515" s="4"/>
      <c r="BO515" s="4"/>
      <c r="BP515" s="4"/>
      <c r="BQ515" s="4"/>
      <c r="BR515" s="4"/>
    </row>
    <row r="516" spans="1:70">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c r="AG516" s="4"/>
      <c r="AH516" s="4"/>
      <c r="AI516" s="4"/>
      <c r="AJ516" s="4"/>
      <c r="AK516" s="4"/>
      <c r="AL516" s="4"/>
      <c r="AM516" s="4"/>
      <c r="AN516" s="4"/>
      <c r="AO516" s="4"/>
      <c r="AP516" s="4"/>
      <c r="AQ516" s="4"/>
      <c r="AR516" s="4"/>
      <c r="AS516" s="4"/>
      <c r="AT516" s="4"/>
      <c r="AU516" s="4"/>
      <c r="AV516" s="4"/>
      <c r="AW516" s="4"/>
      <c r="AX516" s="4"/>
      <c r="AY516" s="4"/>
      <c r="AZ516" s="4"/>
      <c r="BA516" s="4"/>
      <c r="BB516" s="4"/>
      <c r="BC516" s="5"/>
      <c r="BD516" s="4"/>
      <c r="BE516" s="4"/>
      <c r="BF516" s="4"/>
      <c r="BG516" s="4"/>
      <c r="BH516" s="4"/>
      <c r="BI516" s="4"/>
      <c r="BJ516" s="4"/>
      <c r="BK516" s="4"/>
      <c r="BL516" s="4"/>
      <c r="BM516" s="4"/>
      <c r="BN516" s="4"/>
      <c r="BO516" s="4"/>
      <c r="BP516" s="4"/>
      <c r="BQ516" s="4"/>
      <c r="BR516" s="4"/>
    </row>
    <row r="517" spans="1:70">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c r="AG517" s="4"/>
      <c r="AH517" s="4"/>
      <c r="AI517" s="4"/>
      <c r="AJ517" s="4"/>
      <c r="AK517" s="4"/>
      <c r="AL517" s="4"/>
      <c r="AM517" s="4"/>
      <c r="AN517" s="4"/>
      <c r="AO517" s="4"/>
      <c r="AP517" s="4"/>
      <c r="AQ517" s="4"/>
      <c r="AR517" s="4"/>
      <c r="AS517" s="4"/>
      <c r="AT517" s="4"/>
      <c r="AU517" s="4"/>
      <c r="AV517" s="4"/>
      <c r="AW517" s="4"/>
      <c r="AX517" s="4"/>
      <c r="AY517" s="4"/>
      <c r="AZ517" s="4"/>
      <c r="BA517" s="4"/>
      <c r="BB517" s="4"/>
      <c r="BC517" s="5"/>
      <c r="BD517" s="4"/>
      <c r="BE517" s="4"/>
      <c r="BF517" s="4"/>
      <c r="BG517" s="4"/>
      <c r="BH517" s="4"/>
      <c r="BI517" s="4"/>
      <c r="BJ517" s="4"/>
      <c r="BK517" s="4"/>
      <c r="BL517" s="4"/>
      <c r="BM517" s="4"/>
      <c r="BN517" s="4"/>
      <c r="BO517" s="4"/>
      <c r="BP517" s="4"/>
      <c r="BQ517" s="4"/>
      <c r="BR517" s="4"/>
    </row>
    <row r="518" spans="1:70">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c r="AG518" s="4"/>
      <c r="AH518" s="4"/>
      <c r="AI518" s="4"/>
      <c r="AJ518" s="4"/>
      <c r="AK518" s="4"/>
      <c r="AL518" s="4"/>
      <c r="AM518" s="4"/>
      <c r="AN518" s="4"/>
      <c r="AO518" s="4"/>
      <c r="AP518" s="4"/>
      <c r="AQ518" s="4"/>
      <c r="AR518" s="4"/>
      <c r="AS518" s="4"/>
      <c r="AT518" s="4"/>
      <c r="AU518" s="4"/>
      <c r="AV518" s="4"/>
      <c r="AW518" s="4"/>
      <c r="AX518" s="4"/>
      <c r="AY518" s="4"/>
      <c r="AZ518" s="4"/>
      <c r="BA518" s="4"/>
      <c r="BB518" s="4"/>
      <c r="BC518" s="5"/>
      <c r="BD518" s="4"/>
      <c r="BE518" s="4"/>
      <c r="BF518" s="4"/>
      <c r="BG518" s="4"/>
      <c r="BH518" s="4"/>
      <c r="BI518" s="4"/>
      <c r="BJ518" s="4"/>
      <c r="BK518" s="4"/>
      <c r="BL518" s="4"/>
      <c r="BM518" s="4"/>
      <c r="BN518" s="4"/>
      <c r="BO518" s="4"/>
      <c r="BP518" s="4"/>
      <c r="BQ518" s="4"/>
      <c r="BR518" s="4"/>
    </row>
    <row r="519" spans="1:70">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c r="AG519" s="4"/>
      <c r="AH519" s="4"/>
      <c r="AI519" s="4"/>
      <c r="AJ519" s="4"/>
      <c r="AK519" s="4"/>
      <c r="AL519" s="4"/>
      <c r="AM519" s="4"/>
      <c r="AN519" s="4"/>
      <c r="AO519" s="4"/>
      <c r="AP519" s="4"/>
      <c r="AQ519" s="4"/>
      <c r="AR519" s="4"/>
      <c r="AS519" s="4"/>
      <c r="AT519" s="4"/>
      <c r="AU519" s="4"/>
      <c r="AV519" s="4"/>
      <c r="AW519" s="4"/>
      <c r="AX519" s="4"/>
      <c r="AY519" s="4"/>
      <c r="AZ519" s="4"/>
      <c r="BA519" s="4"/>
      <c r="BB519" s="4"/>
      <c r="BC519" s="5"/>
      <c r="BD519" s="4"/>
      <c r="BE519" s="4"/>
      <c r="BF519" s="4"/>
      <c r="BG519" s="4"/>
      <c r="BH519" s="4"/>
      <c r="BI519" s="4"/>
      <c r="BJ519" s="4"/>
      <c r="BK519" s="4"/>
      <c r="BL519" s="4"/>
      <c r="BM519" s="4"/>
      <c r="BN519" s="4"/>
      <c r="BO519" s="4"/>
      <c r="BP519" s="4"/>
      <c r="BQ519" s="4"/>
      <c r="BR519" s="4"/>
    </row>
    <row r="520" spans="1:7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c r="AG520" s="4"/>
      <c r="AH520" s="4"/>
      <c r="AI520" s="4"/>
      <c r="AJ520" s="4"/>
      <c r="AK520" s="4"/>
      <c r="AL520" s="4"/>
      <c r="AM520" s="4"/>
      <c r="AN520" s="4"/>
      <c r="AO520" s="4"/>
      <c r="AP520" s="4"/>
      <c r="AQ520" s="4"/>
      <c r="AR520" s="4"/>
      <c r="AS520" s="4"/>
      <c r="AT520" s="4"/>
      <c r="AU520" s="4"/>
      <c r="AV520" s="4"/>
      <c r="AW520" s="4"/>
      <c r="AX520" s="4"/>
      <c r="AY520" s="4"/>
      <c r="AZ520" s="4"/>
      <c r="BA520" s="4"/>
      <c r="BB520" s="4"/>
      <c r="BC520" s="5"/>
      <c r="BD520" s="4"/>
      <c r="BE520" s="4"/>
      <c r="BF520" s="4"/>
      <c r="BG520" s="4"/>
      <c r="BH520" s="4"/>
      <c r="BI520" s="4"/>
      <c r="BJ520" s="4"/>
      <c r="BK520" s="4"/>
      <c r="BL520" s="4"/>
      <c r="BM520" s="4"/>
      <c r="BN520" s="4"/>
      <c r="BO520" s="4"/>
      <c r="BP520" s="4"/>
      <c r="BQ520" s="4"/>
      <c r="BR520" s="4"/>
    </row>
    <row r="521" spans="1:70">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c r="AG521" s="4"/>
      <c r="AH521" s="4"/>
      <c r="AI521" s="4"/>
      <c r="AJ521" s="4"/>
      <c r="AK521" s="4"/>
      <c r="AL521" s="4"/>
      <c r="AM521" s="4"/>
      <c r="AN521" s="4"/>
      <c r="AO521" s="4"/>
      <c r="AP521" s="4"/>
      <c r="AQ521" s="4"/>
      <c r="AR521" s="4"/>
      <c r="AS521" s="4"/>
      <c r="AT521" s="4"/>
      <c r="AU521" s="4"/>
      <c r="AV521" s="4"/>
      <c r="AW521" s="4"/>
      <c r="AX521" s="4"/>
      <c r="AY521" s="4"/>
      <c r="AZ521" s="4"/>
      <c r="BA521" s="4"/>
      <c r="BB521" s="4"/>
      <c r="BC521" s="5"/>
      <c r="BD521" s="4"/>
      <c r="BE521" s="4"/>
      <c r="BF521" s="4"/>
      <c r="BG521" s="4"/>
      <c r="BH521" s="4"/>
      <c r="BI521" s="4"/>
      <c r="BJ521" s="4"/>
      <c r="BK521" s="4"/>
      <c r="BL521" s="4"/>
      <c r="BM521" s="4"/>
      <c r="BN521" s="4"/>
      <c r="BO521" s="4"/>
      <c r="BP521" s="4"/>
      <c r="BQ521" s="4"/>
      <c r="BR521" s="4"/>
    </row>
    <row r="522" spans="1:70">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c r="AG522" s="4"/>
      <c r="AH522" s="4"/>
      <c r="AI522" s="4"/>
      <c r="AJ522" s="4"/>
      <c r="AK522" s="4"/>
      <c r="AL522" s="4"/>
      <c r="AM522" s="4"/>
      <c r="AN522" s="4"/>
      <c r="AO522" s="4"/>
      <c r="AP522" s="4"/>
      <c r="AQ522" s="4"/>
      <c r="AR522" s="4"/>
      <c r="AS522" s="4"/>
      <c r="AT522" s="4"/>
      <c r="AU522" s="4"/>
      <c r="AV522" s="4"/>
      <c r="AW522" s="4"/>
      <c r="AX522" s="4"/>
      <c r="AY522" s="4"/>
      <c r="AZ522" s="4"/>
      <c r="BA522" s="4"/>
      <c r="BB522" s="4"/>
      <c r="BC522" s="5"/>
      <c r="BD522" s="4"/>
      <c r="BE522" s="4"/>
      <c r="BF522" s="4"/>
      <c r="BG522" s="4"/>
      <c r="BH522" s="4"/>
      <c r="BI522" s="4"/>
      <c r="BJ522" s="4"/>
      <c r="BK522" s="4"/>
      <c r="BL522" s="4"/>
      <c r="BM522" s="4"/>
      <c r="BN522" s="4"/>
      <c r="BO522" s="4"/>
      <c r="BP522" s="4"/>
      <c r="BQ522" s="4"/>
      <c r="BR522" s="4"/>
    </row>
    <row r="523" spans="1:70">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c r="AG523" s="4"/>
      <c r="AH523" s="4"/>
      <c r="AI523" s="4"/>
      <c r="AJ523" s="4"/>
      <c r="AK523" s="4"/>
      <c r="AL523" s="4"/>
      <c r="AM523" s="4"/>
      <c r="AN523" s="4"/>
      <c r="AO523" s="4"/>
      <c r="AP523" s="4"/>
      <c r="AQ523" s="4"/>
      <c r="AR523" s="4"/>
      <c r="AS523" s="4"/>
      <c r="AT523" s="4"/>
      <c r="AU523" s="4"/>
      <c r="AV523" s="4"/>
      <c r="AW523" s="4"/>
      <c r="AX523" s="4"/>
      <c r="AY523" s="4"/>
      <c r="AZ523" s="4"/>
      <c r="BA523" s="4"/>
      <c r="BB523" s="4"/>
      <c r="BC523" s="5"/>
      <c r="BD523" s="4"/>
      <c r="BE523" s="4"/>
      <c r="BF523" s="4"/>
      <c r="BG523" s="4"/>
      <c r="BH523" s="4"/>
      <c r="BI523" s="4"/>
      <c r="BJ523" s="4"/>
      <c r="BK523" s="4"/>
      <c r="BL523" s="4"/>
      <c r="BM523" s="4"/>
      <c r="BN523" s="4"/>
      <c r="BO523" s="4"/>
      <c r="BP523" s="4"/>
      <c r="BQ523" s="4"/>
      <c r="BR523" s="4"/>
    </row>
    <row r="524" spans="1:70">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c r="AG524" s="4"/>
      <c r="AH524" s="4"/>
      <c r="AI524" s="4"/>
      <c r="AJ524" s="4"/>
      <c r="AK524" s="4"/>
      <c r="AL524" s="4"/>
      <c r="AM524" s="4"/>
      <c r="AN524" s="4"/>
      <c r="AO524" s="4"/>
      <c r="AP524" s="4"/>
      <c r="AQ524" s="4"/>
      <c r="AR524" s="4"/>
      <c r="AS524" s="4"/>
      <c r="AT524" s="4"/>
      <c r="AU524" s="4"/>
      <c r="AV524" s="4"/>
      <c r="AW524" s="4"/>
      <c r="AX524" s="4"/>
      <c r="AY524" s="4"/>
      <c r="AZ524" s="4"/>
      <c r="BA524" s="4"/>
      <c r="BB524" s="4"/>
      <c r="BC524" s="5"/>
      <c r="BD524" s="4"/>
      <c r="BE524" s="4"/>
      <c r="BF524" s="4"/>
      <c r="BG524" s="4"/>
      <c r="BH524" s="4"/>
      <c r="BI524" s="4"/>
      <c r="BJ524" s="4"/>
      <c r="BK524" s="4"/>
      <c r="BL524" s="4"/>
      <c r="BM524" s="4"/>
      <c r="BN524" s="4"/>
      <c r="BO524" s="4"/>
      <c r="BP524" s="4"/>
      <c r="BQ524" s="4"/>
      <c r="BR524" s="4"/>
    </row>
    <row r="525" spans="1:70">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c r="AG525" s="4"/>
      <c r="AH525" s="4"/>
      <c r="AI525" s="4"/>
      <c r="AJ525" s="4"/>
      <c r="AK525" s="4"/>
      <c r="AL525" s="4"/>
      <c r="AM525" s="4"/>
      <c r="AN525" s="4"/>
      <c r="AO525" s="4"/>
      <c r="AP525" s="4"/>
      <c r="AQ525" s="4"/>
      <c r="AR525" s="4"/>
      <c r="AS525" s="4"/>
      <c r="AT525" s="4"/>
      <c r="AU525" s="4"/>
      <c r="AV525" s="4"/>
      <c r="AW525" s="4"/>
      <c r="AX525" s="4"/>
      <c r="AY525" s="4"/>
      <c r="AZ525" s="4"/>
      <c r="BA525" s="4"/>
      <c r="BB525" s="4"/>
      <c r="BC525" s="5"/>
      <c r="BD525" s="4"/>
      <c r="BE525" s="4"/>
      <c r="BF525" s="4"/>
      <c r="BG525" s="4"/>
      <c r="BH525" s="4"/>
      <c r="BI525" s="4"/>
      <c r="BJ525" s="4"/>
      <c r="BK525" s="4"/>
      <c r="BL525" s="4"/>
      <c r="BM525" s="4"/>
      <c r="BN525" s="4"/>
      <c r="BO525" s="4"/>
      <c r="BP525" s="4"/>
      <c r="BQ525" s="4"/>
      <c r="BR525" s="4"/>
    </row>
    <row r="526" spans="1:70">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c r="AG526" s="4"/>
      <c r="AH526" s="4"/>
      <c r="AI526" s="4"/>
      <c r="AJ526" s="4"/>
      <c r="AK526" s="4"/>
      <c r="AL526" s="4"/>
      <c r="AM526" s="4"/>
      <c r="AN526" s="4"/>
      <c r="AO526" s="4"/>
      <c r="AP526" s="4"/>
      <c r="AQ526" s="4"/>
      <c r="AR526" s="4"/>
      <c r="AS526" s="4"/>
      <c r="AT526" s="4"/>
      <c r="AU526" s="4"/>
      <c r="AV526" s="4"/>
      <c r="AW526" s="4"/>
      <c r="AX526" s="4"/>
      <c r="AY526" s="4"/>
      <c r="AZ526" s="4"/>
      <c r="BA526" s="4"/>
      <c r="BB526" s="4"/>
      <c r="BC526" s="5"/>
      <c r="BD526" s="4"/>
      <c r="BE526" s="4"/>
      <c r="BF526" s="4"/>
      <c r="BG526" s="4"/>
      <c r="BH526" s="4"/>
      <c r="BI526" s="4"/>
      <c r="BJ526" s="4"/>
      <c r="BK526" s="4"/>
      <c r="BL526" s="4"/>
      <c r="BM526" s="4"/>
      <c r="BN526" s="4"/>
      <c r="BO526" s="4"/>
      <c r="BP526" s="4"/>
      <c r="BQ526" s="4"/>
      <c r="BR526" s="4"/>
    </row>
    <row r="527" spans="1:70">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c r="AG527" s="4"/>
      <c r="AH527" s="4"/>
      <c r="AI527" s="4"/>
      <c r="AJ527" s="4"/>
      <c r="AK527" s="4"/>
      <c r="AL527" s="4"/>
      <c r="AM527" s="4"/>
      <c r="AN527" s="4"/>
      <c r="AO527" s="4"/>
      <c r="AP527" s="4"/>
      <c r="AQ527" s="4"/>
      <c r="AR527" s="4"/>
      <c r="AS527" s="4"/>
      <c r="AT527" s="4"/>
      <c r="AU527" s="4"/>
      <c r="AV527" s="4"/>
      <c r="AW527" s="4"/>
      <c r="AX527" s="4"/>
      <c r="AY527" s="4"/>
      <c r="AZ527" s="4"/>
      <c r="BA527" s="4"/>
      <c r="BB527" s="4"/>
      <c r="BC527" s="5"/>
      <c r="BD527" s="4"/>
      <c r="BE527" s="4"/>
      <c r="BF527" s="4"/>
      <c r="BG527" s="4"/>
      <c r="BH527" s="4"/>
      <c r="BI527" s="4"/>
      <c r="BJ527" s="4"/>
      <c r="BK527" s="4"/>
      <c r="BL527" s="4"/>
      <c r="BM527" s="4"/>
      <c r="BN527" s="4"/>
      <c r="BO527" s="4"/>
      <c r="BP527" s="4"/>
      <c r="BQ527" s="4"/>
      <c r="BR527" s="4"/>
    </row>
    <row r="528" spans="1:70">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c r="AG528" s="4"/>
      <c r="AH528" s="4"/>
      <c r="AI528" s="4"/>
      <c r="AJ528" s="4"/>
      <c r="AK528" s="4"/>
      <c r="AL528" s="4"/>
      <c r="AM528" s="4"/>
      <c r="AN528" s="4"/>
      <c r="AO528" s="4"/>
      <c r="AP528" s="4"/>
      <c r="AQ528" s="4"/>
      <c r="AR528" s="4"/>
      <c r="AS528" s="4"/>
      <c r="AT528" s="4"/>
      <c r="AU528" s="4"/>
      <c r="AV528" s="4"/>
      <c r="AW528" s="4"/>
      <c r="AX528" s="4"/>
      <c r="AY528" s="4"/>
      <c r="AZ528" s="4"/>
      <c r="BA528" s="4"/>
      <c r="BB528" s="4"/>
      <c r="BC528" s="5"/>
      <c r="BD528" s="4"/>
      <c r="BE528" s="4"/>
      <c r="BF528" s="4"/>
      <c r="BG528" s="4"/>
      <c r="BH528" s="4"/>
      <c r="BI528" s="4"/>
      <c r="BJ528" s="4"/>
      <c r="BK528" s="4"/>
      <c r="BL528" s="4"/>
      <c r="BM528" s="4"/>
      <c r="BN528" s="4"/>
      <c r="BO528" s="4"/>
      <c r="BP528" s="4"/>
      <c r="BQ528" s="4"/>
      <c r="BR528" s="4"/>
    </row>
    <row r="529" spans="1:70">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c r="AG529" s="4"/>
      <c r="AH529" s="4"/>
      <c r="AI529" s="4"/>
      <c r="AJ529" s="4"/>
      <c r="AK529" s="4"/>
      <c r="AL529" s="4"/>
      <c r="AM529" s="4"/>
      <c r="AN529" s="4"/>
      <c r="AO529" s="4"/>
      <c r="AP529" s="4"/>
      <c r="AQ529" s="4"/>
      <c r="AR529" s="4"/>
      <c r="AS529" s="4"/>
      <c r="AT529" s="4"/>
      <c r="AU529" s="4"/>
      <c r="AV529" s="4"/>
      <c r="AW529" s="4"/>
      <c r="AX529" s="4"/>
      <c r="AY529" s="4"/>
      <c r="AZ529" s="4"/>
      <c r="BA529" s="4"/>
      <c r="BB529" s="4"/>
      <c r="BC529" s="5"/>
      <c r="BD529" s="4"/>
      <c r="BE529" s="4"/>
      <c r="BF529" s="4"/>
      <c r="BG529" s="4"/>
      <c r="BH529" s="4"/>
      <c r="BI529" s="4"/>
      <c r="BJ529" s="4"/>
      <c r="BK529" s="4"/>
      <c r="BL529" s="4"/>
      <c r="BM529" s="4"/>
      <c r="BN529" s="4"/>
      <c r="BO529" s="4"/>
      <c r="BP529" s="4"/>
      <c r="BQ529" s="4"/>
      <c r="BR529" s="4"/>
    </row>
    <row r="530" spans="1:7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c r="AG530" s="4"/>
      <c r="AH530" s="4"/>
      <c r="AI530" s="4"/>
      <c r="AJ530" s="4"/>
      <c r="AK530" s="4"/>
      <c r="AL530" s="4"/>
      <c r="AM530" s="4"/>
      <c r="AN530" s="4"/>
      <c r="AO530" s="4"/>
      <c r="AP530" s="4"/>
      <c r="AQ530" s="4"/>
      <c r="AR530" s="4"/>
      <c r="AS530" s="4"/>
      <c r="AT530" s="4"/>
      <c r="AU530" s="4"/>
      <c r="AV530" s="4"/>
      <c r="AW530" s="4"/>
      <c r="AX530" s="4"/>
      <c r="AY530" s="4"/>
      <c r="AZ530" s="4"/>
      <c r="BA530" s="4"/>
      <c r="BB530" s="4"/>
      <c r="BC530" s="5"/>
      <c r="BD530" s="4"/>
      <c r="BE530" s="4"/>
      <c r="BF530" s="4"/>
      <c r="BG530" s="4"/>
      <c r="BH530" s="4"/>
      <c r="BI530" s="4"/>
      <c r="BJ530" s="4"/>
      <c r="BK530" s="4"/>
      <c r="BL530" s="4"/>
      <c r="BM530" s="4"/>
      <c r="BN530" s="4"/>
      <c r="BO530" s="4"/>
      <c r="BP530" s="4"/>
      <c r="BQ530" s="4"/>
      <c r="BR530" s="4"/>
    </row>
    <row r="531" spans="1:70">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c r="AG531" s="4"/>
      <c r="AH531" s="4"/>
      <c r="AI531" s="4"/>
      <c r="AJ531" s="4"/>
      <c r="AK531" s="4"/>
      <c r="AL531" s="4"/>
      <c r="AM531" s="4"/>
      <c r="AN531" s="4"/>
      <c r="AO531" s="4"/>
      <c r="AP531" s="4"/>
      <c r="AQ531" s="4"/>
      <c r="AR531" s="4"/>
      <c r="AS531" s="4"/>
      <c r="AT531" s="4"/>
      <c r="AU531" s="4"/>
      <c r="AV531" s="4"/>
      <c r="AW531" s="4"/>
      <c r="AX531" s="4"/>
      <c r="AY531" s="4"/>
      <c r="AZ531" s="4"/>
      <c r="BA531" s="4"/>
      <c r="BB531" s="4"/>
      <c r="BC531" s="5"/>
      <c r="BD531" s="4"/>
      <c r="BE531" s="4"/>
      <c r="BF531" s="4"/>
      <c r="BG531" s="4"/>
      <c r="BH531" s="4"/>
      <c r="BI531" s="4"/>
      <c r="BJ531" s="4"/>
      <c r="BK531" s="4"/>
      <c r="BL531" s="4"/>
      <c r="BM531" s="4"/>
      <c r="BN531" s="4"/>
      <c r="BO531" s="4"/>
      <c r="BP531" s="4"/>
      <c r="BQ531" s="4"/>
      <c r="BR531" s="4"/>
    </row>
    <row r="532" spans="1:70">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c r="AG532" s="4"/>
      <c r="AH532" s="4"/>
      <c r="AI532" s="4"/>
      <c r="AJ532" s="4"/>
      <c r="AK532" s="4"/>
      <c r="AL532" s="4"/>
      <c r="AM532" s="4"/>
      <c r="AN532" s="4"/>
      <c r="AO532" s="4"/>
      <c r="AP532" s="4"/>
      <c r="AQ532" s="4"/>
      <c r="AR532" s="4"/>
      <c r="AS532" s="4"/>
      <c r="AT532" s="4"/>
      <c r="AU532" s="4"/>
      <c r="AV532" s="4"/>
      <c r="AW532" s="4"/>
      <c r="AX532" s="4"/>
      <c r="AY532" s="4"/>
      <c r="AZ532" s="4"/>
      <c r="BA532" s="4"/>
      <c r="BB532" s="4"/>
      <c r="BC532" s="5"/>
      <c r="BD532" s="4"/>
      <c r="BE532" s="4"/>
      <c r="BF532" s="4"/>
      <c r="BG532" s="4"/>
      <c r="BH532" s="4"/>
      <c r="BI532" s="4"/>
      <c r="BJ532" s="4"/>
      <c r="BK532" s="4"/>
      <c r="BL532" s="4"/>
      <c r="BM532" s="4"/>
      <c r="BN532" s="4"/>
      <c r="BO532" s="4"/>
      <c r="BP532" s="4"/>
      <c r="BQ532" s="4"/>
      <c r="BR532" s="4"/>
    </row>
    <row r="533" spans="1:70">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c r="AG533" s="4"/>
      <c r="AH533" s="4"/>
      <c r="AI533" s="4"/>
      <c r="AJ533" s="4"/>
      <c r="AK533" s="4"/>
      <c r="AL533" s="4"/>
      <c r="AM533" s="4"/>
      <c r="AN533" s="4"/>
      <c r="AO533" s="4"/>
      <c r="AP533" s="4"/>
      <c r="AQ533" s="4"/>
      <c r="AR533" s="4"/>
      <c r="AS533" s="4"/>
      <c r="AT533" s="4"/>
      <c r="AU533" s="4"/>
      <c r="AV533" s="4"/>
      <c r="AW533" s="4"/>
      <c r="AX533" s="4"/>
      <c r="AY533" s="4"/>
      <c r="AZ533" s="4"/>
      <c r="BA533" s="4"/>
      <c r="BB533" s="4"/>
      <c r="BC533" s="5"/>
      <c r="BD533" s="4"/>
      <c r="BE533" s="4"/>
      <c r="BF533" s="4"/>
      <c r="BG533" s="4"/>
      <c r="BH533" s="4"/>
      <c r="BI533" s="4"/>
      <c r="BJ533" s="4"/>
      <c r="BK533" s="4"/>
      <c r="BL533" s="4"/>
      <c r="BM533" s="4"/>
      <c r="BN533" s="4"/>
      <c r="BO533" s="4"/>
      <c r="BP533" s="4"/>
      <c r="BQ533" s="4"/>
      <c r="BR533" s="4"/>
    </row>
    <row r="534" spans="1:70">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c r="AG534" s="4"/>
      <c r="AH534" s="4"/>
      <c r="AI534" s="4"/>
      <c r="AJ534" s="4"/>
      <c r="AK534" s="4"/>
      <c r="AL534" s="4"/>
      <c r="AM534" s="4"/>
      <c r="AN534" s="4"/>
      <c r="AO534" s="4"/>
      <c r="AP534" s="4"/>
      <c r="AQ534" s="4"/>
      <c r="AR534" s="4"/>
      <c r="AS534" s="4"/>
      <c r="AT534" s="4"/>
      <c r="AU534" s="4"/>
      <c r="AV534" s="4"/>
      <c r="AW534" s="4"/>
      <c r="AX534" s="4"/>
      <c r="AY534" s="4"/>
      <c r="AZ534" s="4"/>
      <c r="BA534" s="4"/>
      <c r="BB534" s="4"/>
      <c r="BC534" s="5"/>
      <c r="BD534" s="4"/>
      <c r="BE534" s="4"/>
      <c r="BF534" s="4"/>
      <c r="BG534" s="4"/>
      <c r="BH534" s="4"/>
      <c r="BI534" s="4"/>
      <c r="BJ534" s="4"/>
      <c r="BK534" s="4"/>
      <c r="BL534" s="4"/>
      <c r="BM534" s="4"/>
      <c r="BN534" s="4"/>
      <c r="BO534" s="4"/>
      <c r="BP534" s="4"/>
      <c r="BQ534" s="4"/>
      <c r="BR534" s="4"/>
    </row>
    <row r="535" spans="1:70">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c r="AG535" s="4"/>
      <c r="AH535" s="4"/>
      <c r="AI535" s="4"/>
      <c r="AJ535" s="4"/>
      <c r="AK535" s="4"/>
      <c r="AL535" s="4"/>
      <c r="AM535" s="4"/>
      <c r="AN535" s="4"/>
      <c r="AO535" s="4"/>
      <c r="AP535" s="4"/>
      <c r="AQ535" s="4"/>
      <c r="AR535" s="4"/>
      <c r="AS535" s="4"/>
      <c r="AT535" s="4"/>
      <c r="AU535" s="4"/>
      <c r="AV535" s="4"/>
      <c r="AW535" s="4"/>
      <c r="AX535" s="4"/>
      <c r="AY535" s="4"/>
      <c r="AZ535" s="4"/>
      <c r="BA535" s="4"/>
      <c r="BB535" s="4"/>
      <c r="BC535" s="5"/>
      <c r="BD535" s="4"/>
      <c r="BE535" s="4"/>
      <c r="BF535" s="4"/>
      <c r="BG535" s="4"/>
      <c r="BH535" s="4"/>
      <c r="BI535" s="4"/>
      <c r="BJ535" s="4"/>
      <c r="BK535" s="4"/>
      <c r="BL535" s="4"/>
      <c r="BM535" s="4"/>
      <c r="BN535" s="4"/>
      <c r="BO535" s="4"/>
      <c r="BP535" s="4"/>
      <c r="BQ535" s="4"/>
      <c r="BR535" s="4"/>
    </row>
    <row r="536" spans="1:70">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c r="AG536" s="4"/>
      <c r="AH536" s="4"/>
      <c r="AI536" s="4"/>
      <c r="AJ536" s="4"/>
      <c r="AK536" s="4"/>
      <c r="AL536" s="4"/>
      <c r="AM536" s="4"/>
      <c r="AN536" s="4"/>
      <c r="AO536" s="4"/>
      <c r="AP536" s="4"/>
      <c r="AQ536" s="4"/>
      <c r="AR536" s="4"/>
      <c r="AS536" s="4"/>
      <c r="AT536" s="4"/>
      <c r="AU536" s="4"/>
      <c r="AV536" s="4"/>
      <c r="AW536" s="4"/>
      <c r="AX536" s="4"/>
      <c r="AY536" s="4"/>
      <c r="AZ536" s="4"/>
      <c r="BA536" s="4"/>
      <c r="BB536" s="4"/>
      <c r="BC536" s="5"/>
      <c r="BD536" s="4"/>
      <c r="BE536" s="4"/>
      <c r="BF536" s="4"/>
      <c r="BG536" s="4"/>
      <c r="BH536" s="4"/>
      <c r="BI536" s="4"/>
      <c r="BJ536" s="4"/>
      <c r="BK536" s="4"/>
      <c r="BL536" s="4"/>
      <c r="BM536" s="4"/>
      <c r="BN536" s="4"/>
      <c r="BO536" s="4"/>
      <c r="BP536" s="4"/>
      <c r="BQ536" s="4"/>
      <c r="BR536" s="4"/>
    </row>
    <row r="537" spans="1:70">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c r="AG537" s="4"/>
      <c r="AH537" s="4"/>
      <c r="AI537" s="4"/>
      <c r="AJ537" s="4"/>
      <c r="AK537" s="4"/>
      <c r="AL537" s="4"/>
      <c r="AM537" s="4"/>
      <c r="AN537" s="4"/>
      <c r="AO537" s="4"/>
      <c r="AP537" s="4"/>
      <c r="AQ537" s="4"/>
      <c r="AR537" s="4"/>
      <c r="AS537" s="4"/>
      <c r="AT537" s="4"/>
      <c r="AU537" s="4"/>
      <c r="AV537" s="4"/>
      <c r="AW537" s="4"/>
      <c r="AX537" s="4"/>
      <c r="AY537" s="4"/>
      <c r="AZ537" s="4"/>
      <c r="BA537" s="4"/>
      <c r="BB537" s="4"/>
      <c r="BC537" s="5"/>
      <c r="BD537" s="4"/>
      <c r="BE537" s="4"/>
      <c r="BF537" s="4"/>
      <c r="BG537" s="4"/>
      <c r="BH537" s="4"/>
      <c r="BI537" s="4"/>
      <c r="BJ537" s="4"/>
      <c r="BK537" s="4"/>
      <c r="BL537" s="4"/>
      <c r="BM537" s="4"/>
      <c r="BN537" s="4"/>
      <c r="BO537" s="4"/>
      <c r="BP537" s="4"/>
      <c r="BQ537" s="4"/>
      <c r="BR537" s="4"/>
    </row>
    <row r="538" spans="1:70">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c r="AG538" s="4"/>
      <c r="AH538" s="4"/>
      <c r="AI538" s="4"/>
      <c r="AJ538" s="4"/>
      <c r="AK538" s="4"/>
      <c r="AL538" s="4"/>
      <c r="AM538" s="4"/>
      <c r="AN538" s="4"/>
      <c r="AO538" s="4"/>
      <c r="AP538" s="4"/>
      <c r="AQ538" s="4"/>
      <c r="AR538" s="4"/>
      <c r="AS538" s="4"/>
      <c r="AT538" s="4"/>
      <c r="AU538" s="4"/>
      <c r="AV538" s="4"/>
      <c r="AW538" s="4"/>
      <c r="AX538" s="4"/>
      <c r="AY538" s="4"/>
      <c r="AZ538" s="4"/>
      <c r="BA538" s="4"/>
      <c r="BB538" s="4"/>
      <c r="BC538" s="5"/>
      <c r="BD538" s="4"/>
      <c r="BE538" s="4"/>
      <c r="BF538" s="4"/>
      <c r="BG538" s="4"/>
      <c r="BH538" s="4"/>
      <c r="BI538" s="4"/>
      <c r="BJ538" s="4"/>
      <c r="BK538" s="4"/>
      <c r="BL538" s="4"/>
      <c r="BM538" s="4"/>
      <c r="BN538" s="4"/>
      <c r="BO538" s="4"/>
      <c r="BP538" s="4"/>
      <c r="BQ538" s="4"/>
      <c r="BR538" s="4"/>
    </row>
    <row r="539" spans="1:70">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c r="AG539" s="4"/>
      <c r="AH539" s="4"/>
      <c r="AI539" s="4"/>
      <c r="AJ539" s="4"/>
      <c r="AK539" s="4"/>
      <c r="AL539" s="4"/>
      <c r="AM539" s="4"/>
      <c r="AN539" s="4"/>
      <c r="AO539" s="4"/>
      <c r="AP539" s="4"/>
      <c r="AQ539" s="4"/>
      <c r="AR539" s="4"/>
      <c r="AS539" s="4"/>
      <c r="AT539" s="4"/>
      <c r="AU539" s="4"/>
      <c r="AV539" s="4"/>
      <c r="AW539" s="4"/>
      <c r="AX539" s="4"/>
      <c r="AY539" s="4"/>
      <c r="AZ539" s="4"/>
      <c r="BA539" s="4"/>
      <c r="BB539" s="4"/>
      <c r="BC539" s="5"/>
      <c r="BD539" s="4"/>
      <c r="BE539" s="4"/>
      <c r="BF539" s="4"/>
      <c r="BG539" s="4"/>
      <c r="BH539" s="4"/>
      <c r="BI539" s="4"/>
      <c r="BJ539" s="4"/>
      <c r="BK539" s="4"/>
      <c r="BL539" s="4"/>
      <c r="BM539" s="4"/>
      <c r="BN539" s="4"/>
      <c r="BO539" s="4"/>
      <c r="BP539" s="4"/>
      <c r="BQ539" s="4"/>
      <c r="BR539" s="4"/>
    </row>
    <row r="540" spans="1:7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c r="AG540" s="4"/>
      <c r="AH540" s="4"/>
      <c r="AI540" s="4"/>
      <c r="AJ540" s="4"/>
      <c r="AK540" s="4"/>
      <c r="AL540" s="4"/>
      <c r="AM540" s="4"/>
      <c r="AN540" s="4"/>
      <c r="AO540" s="4"/>
      <c r="AP540" s="4"/>
      <c r="AQ540" s="4"/>
      <c r="AR540" s="4"/>
      <c r="AS540" s="4"/>
      <c r="AT540" s="4"/>
      <c r="AU540" s="4"/>
      <c r="AV540" s="4"/>
      <c r="AW540" s="4"/>
      <c r="AX540" s="4"/>
      <c r="AY540" s="4"/>
      <c r="AZ540" s="4"/>
      <c r="BA540" s="4"/>
      <c r="BB540" s="4"/>
      <c r="BC540" s="5"/>
      <c r="BD540" s="4"/>
      <c r="BE540" s="4"/>
      <c r="BF540" s="4"/>
      <c r="BG540" s="4"/>
      <c r="BH540" s="4"/>
      <c r="BI540" s="4"/>
      <c r="BJ540" s="4"/>
      <c r="BK540" s="4"/>
      <c r="BL540" s="4"/>
      <c r="BM540" s="4"/>
      <c r="BN540" s="4"/>
      <c r="BO540" s="4"/>
      <c r="BP540" s="4"/>
      <c r="BQ540" s="4"/>
      <c r="BR540" s="4"/>
    </row>
    <row r="541" spans="1:70">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c r="AG541" s="4"/>
      <c r="AH541" s="4"/>
      <c r="AI541" s="4"/>
      <c r="AJ541" s="4"/>
      <c r="AK541" s="4"/>
      <c r="AL541" s="4"/>
      <c r="AM541" s="4"/>
      <c r="AN541" s="4"/>
      <c r="AO541" s="4"/>
      <c r="AP541" s="4"/>
      <c r="AQ541" s="4"/>
      <c r="AR541" s="4"/>
      <c r="AS541" s="4"/>
      <c r="AT541" s="4"/>
      <c r="AU541" s="4"/>
      <c r="AV541" s="4"/>
      <c r="AW541" s="4"/>
      <c r="AX541" s="4"/>
      <c r="AY541" s="4"/>
      <c r="AZ541" s="4"/>
      <c r="BA541" s="4"/>
      <c r="BB541" s="4"/>
      <c r="BC541" s="5"/>
      <c r="BD541" s="4"/>
      <c r="BE541" s="4"/>
      <c r="BF541" s="4"/>
      <c r="BG541" s="4"/>
      <c r="BH541" s="4"/>
      <c r="BI541" s="4"/>
      <c r="BJ541" s="4"/>
      <c r="BK541" s="4"/>
      <c r="BL541" s="4"/>
      <c r="BM541" s="4"/>
      <c r="BN541" s="4"/>
      <c r="BO541" s="4"/>
      <c r="BP541" s="4"/>
      <c r="BQ541" s="4"/>
      <c r="BR541" s="4"/>
    </row>
    <row r="542" spans="1:70">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c r="AG542" s="4"/>
      <c r="AH542" s="4"/>
      <c r="AI542" s="4"/>
      <c r="AJ542" s="4"/>
      <c r="AK542" s="4"/>
      <c r="AL542" s="4"/>
      <c r="AM542" s="4"/>
      <c r="AN542" s="4"/>
      <c r="AO542" s="4"/>
      <c r="AP542" s="4"/>
      <c r="AQ542" s="4"/>
      <c r="AR542" s="4"/>
      <c r="AS542" s="4"/>
      <c r="AT542" s="4"/>
      <c r="AU542" s="4"/>
      <c r="AV542" s="4"/>
      <c r="AW542" s="4"/>
      <c r="AX542" s="4"/>
      <c r="AY542" s="4"/>
      <c r="AZ542" s="4"/>
      <c r="BA542" s="4"/>
      <c r="BB542" s="4"/>
      <c r="BC542" s="5"/>
      <c r="BD542" s="4"/>
      <c r="BE542" s="4"/>
      <c r="BF542" s="4"/>
      <c r="BG542" s="4"/>
      <c r="BH542" s="4"/>
      <c r="BI542" s="4"/>
      <c r="BJ542" s="4"/>
      <c r="BK542" s="4"/>
      <c r="BL542" s="4"/>
      <c r="BM542" s="4"/>
      <c r="BN542" s="4"/>
      <c r="BO542" s="4"/>
      <c r="BP542" s="4"/>
      <c r="BQ542" s="4"/>
      <c r="BR542" s="4"/>
    </row>
    <row r="543" spans="1:70">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c r="AG543" s="4"/>
      <c r="AH543" s="4"/>
      <c r="AI543" s="4"/>
      <c r="AJ543" s="4"/>
      <c r="AK543" s="4"/>
      <c r="AL543" s="4"/>
      <c r="AM543" s="4"/>
      <c r="AN543" s="4"/>
      <c r="AO543" s="4"/>
      <c r="AP543" s="4"/>
      <c r="AQ543" s="4"/>
      <c r="AR543" s="4"/>
      <c r="AS543" s="4"/>
      <c r="AT543" s="4"/>
      <c r="AU543" s="4"/>
      <c r="AV543" s="4"/>
      <c r="AW543" s="4"/>
      <c r="AX543" s="4"/>
      <c r="AY543" s="4"/>
      <c r="AZ543" s="4"/>
      <c r="BA543" s="4"/>
      <c r="BB543" s="4"/>
      <c r="BC543" s="5"/>
      <c r="BD543" s="4"/>
      <c r="BE543" s="4"/>
      <c r="BF543" s="4"/>
      <c r="BG543" s="4"/>
      <c r="BH543" s="4"/>
      <c r="BI543" s="4"/>
      <c r="BJ543" s="4"/>
      <c r="BK543" s="4"/>
      <c r="BL543" s="4"/>
      <c r="BM543" s="4"/>
      <c r="BN543" s="4"/>
      <c r="BO543" s="4"/>
      <c r="BP543" s="4"/>
      <c r="BQ543" s="4"/>
      <c r="BR543" s="4"/>
    </row>
    <row r="544" spans="1:70">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c r="AG544" s="4"/>
      <c r="AH544" s="4"/>
      <c r="AI544" s="4"/>
      <c r="AJ544" s="4"/>
      <c r="AK544" s="4"/>
      <c r="AL544" s="4"/>
      <c r="AM544" s="4"/>
      <c r="AN544" s="4"/>
      <c r="AO544" s="4"/>
      <c r="AP544" s="4"/>
      <c r="AQ544" s="4"/>
      <c r="AR544" s="4"/>
      <c r="AS544" s="4"/>
      <c r="AT544" s="4"/>
      <c r="AU544" s="4"/>
      <c r="AV544" s="4"/>
      <c r="AW544" s="4"/>
      <c r="AX544" s="4"/>
      <c r="AY544" s="4"/>
      <c r="AZ544" s="4"/>
      <c r="BA544" s="4"/>
      <c r="BB544" s="4"/>
      <c r="BC544" s="5"/>
      <c r="BD544" s="4"/>
      <c r="BE544" s="4"/>
      <c r="BF544" s="4"/>
      <c r="BG544" s="4"/>
      <c r="BH544" s="4"/>
      <c r="BI544" s="4"/>
      <c r="BJ544" s="4"/>
      <c r="BK544" s="4"/>
      <c r="BL544" s="4"/>
      <c r="BM544" s="4"/>
      <c r="BN544" s="4"/>
      <c r="BO544" s="4"/>
      <c r="BP544" s="4"/>
      <c r="BQ544" s="4"/>
      <c r="BR544" s="4"/>
    </row>
    <row r="545" spans="1:70">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c r="AG545" s="4"/>
      <c r="AH545" s="4"/>
      <c r="AI545" s="4"/>
      <c r="AJ545" s="4"/>
      <c r="AK545" s="4"/>
      <c r="AL545" s="4"/>
      <c r="AM545" s="4"/>
      <c r="AN545" s="4"/>
      <c r="AO545" s="4"/>
      <c r="AP545" s="4"/>
      <c r="AQ545" s="4"/>
      <c r="AR545" s="4"/>
      <c r="AS545" s="4"/>
      <c r="AT545" s="4"/>
      <c r="AU545" s="4"/>
      <c r="AV545" s="4"/>
      <c r="AW545" s="4"/>
      <c r="AX545" s="4"/>
      <c r="AY545" s="4"/>
      <c r="AZ545" s="4"/>
      <c r="BA545" s="4"/>
      <c r="BB545" s="4"/>
      <c r="BC545" s="5"/>
      <c r="BD545" s="4"/>
      <c r="BE545" s="4"/>
      <c r="BF545" s="4"/>
      <c r="BG545" s="4"/>
      <c r="BH545" s="4"/>
      <c r="BI545" s="4"/>
      <c r="BJ545" s="4"/>
      <c r="BK545" s="4"/>
      <c r="BL545" s="4"/>
      <c r="BM545" s="4"/>
      <c r="BN545" s="4"/>
      <c r="BO545" s="4"/>
      <c r="BP545" s="4"/>
      <c r="BQ545" s="4"/>
      <c r="BR545" s="4"/>
    </row>
    <row r="546" spans="1:70">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c r="AG546" s="4"/>
      <c r="AH546" s="4"/>
      <c r="AI546" s="4"/>
      <c r="AJ546" s="4"/>
      <c r="AK546" s="4"/>
      <c r="AL546" s="4"/>
      <c r="AM546" s="4"/>
      <c r="AN546" s="4"/>
      <c r="AO546" s="4"/>
      <c r="AP546" s="4"/>
      <c r="AQ546" s="4"/>
      <c r="AR546" s="4"/>
      <c r="AS546" s="4"/>
      <c r="AT546" s="4"/>
      <c r="AU546" s="4"/>
      <c r="AV546" s="4"/>
      <c r="AW546" s="4"/>
      <c r="AX546" s="4"/>
      <c r="AY546" s="4"/>
      <c r="AZ546" s="4"/>
      <c r="BA546" s="4"/>
      <c r="BB546" s="4"/>
      <c r="BC546" s="5"/>
      <c r="BD546" s="4"/>
      <c r="BE546" s="4"/>
      <c r="BF546" s="4"/>
      <c r="BG546" s="4"/>
      <c r="BH546" s="4"/>
      <c r="BI546" s="4"/>
      <c r="BJ546" s="4"/>
      <c r="BK546" s="4"/>
      <c r="BL546" s="4"/>
      <c r="BM546" s="4"/>
      <c r="BN546" s="4"/>
      <c r="BO546" s="4"/>
      <c r="BP546" s="4"/>
      <c r="BQ546" s="4"/>
      <c r="BR546" s="4"/>
    </row>
    <row r="547" spans="1:70">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c r="AG547" s="4"/>
      <c r="AH547" s="4"/>
      <c r="AI547" s="4"/>
      <c r="AJ547" s="4"/>
      <c r="AK547" s="4"/>
      <c r="AL547" s="4"/>
      <c r="AM547" s="4"/>
      <c r="AN547" s="4"/>
      <c r="AO547" s="4"/>
      <c r="AP547" s="4"/>
      <c r="AQ547" s="4"/>
      <c r="AR547" s="4"/>
      <c r="AS547" s="4"/>
      <c r="AT547" s="4"/>
      <c r="AU547" s="4"/>
      <c r="AV547" s="4"/>
      <c r="AW547" s="4"/>
      <c r="AX547" s="4"/>
      <c r="AY547" s="4"/>
      <c r="AZ547" s="4"/>
      <c r="BA547" s="4"/>
      <c r="BB547" s="4"/>
      <c r="BC547" s="5"/>
      <c r="BD547" s="4"/>
      <c r="BE547" s="4"/>
      <c r="BF547" s="4"/>
      <c r="BG547" s="4"/>
      <c r="BH547" s="4"/>
      <c r="BI547" s="4"/>
      <c r="BJ547" s="4"/>
      <c r="BK547" s="4"/>
      <c r="BL547" s="4"/>
      <c r="BM547" s="4"/>
      <c r="BN547" s="4"/>
      <c r="BO547" s="4"/>
      <c r="BP547" s="4"/>
      <c r="BQ547" s="4"/>
      <c r="BR547" s="4"/>
    </row>
    <row r="548" spans="1:70">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c r="AG548" s="4"/>
      <c r="AH548" s="4"/>
      <c r="AI548" s="4"/>
      <c r="AJ548" s="4"/>
      <c r="AK548" s="4"/>
      <c r="AL548" s="4"/>
      <c r="AM548" s="4"/>
      <c r="AN548" s="4"/>
      <c r="AO548" s="4"/>
      <c r="AP548" s="4"/>
      <c r="AQ548" s="4"/>
      <c r="AR548" s="4"/>
      <c r="AS548" s="4"/>
      <c r="AT548" s="4"/>
      <c r="AU548" s="4"/>
      <c r="AV548" s="4"/>
      <c r="AW548" s="4"/>
      <c r="AX548" s="4"/>
      <c r="AY548" s="4"/>
      <c r="AZ548" s="4"/>
      <c r="BA548" s="4"/>
      <c r="BB548" s="4"/>
      <c r="BC548" s="5"/>
      <c r="BD548" s="4"/>
      <c r="BE548" s="4"/>
      <c r="BF548" s="4"/>
      <c r="BG548" s="4"/>
      <c r="BH548" s="4"/>
      <c r="BI548" s="4"/>
      <c r="BJ548" s="4"/>
      <c r="BK548" s="4"/>
      <c r="BL548" s="4"/>
      <c r="BM548" s="4"/>
      <c r="BN548" s="4"/>
      <c r="BO548" s="4"/>
      <c r="BP548" s="4"/>
      <c r="BQ548" s="4"/>
      <c r="BR548" s="4"/>
    </row>
    <row r="549" spans="1:70">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c r="AG549" s="4"/>
      <c r="AH549" s="4"/>
      <c r="AI549" s="4"/>
      <c r="AJ549" s="4"/>
      <c r="AK549" s="4"/>
      <c r="AL549" s="4"/>
      <c r="AM549" s="4"/>
      <c r="AN549" s="4"/>
      <c r="AO549" s="4"/>
      <c r="AP549" s="4"/>
      <c r="AQ549" s="4"/>
      <c r="AR549" s="4"/>
      <c r="AS549" s="4"/>
      <c r="AT549" s="4"/>
      <c r="AU549" s="4"/>
      <c r="AV549" s="4"/>
      <c r="AW549" s="4"/>
      <c r="AX549" s="4"/>
      <c r="AY549" s="4"/>
      <c r="AZ549" s="4"/>
      <c r="BA549" s="4"/>
      <c r="BB549" s="4"/>
      <c r="BC549" s="5"/>
      <c r="BD549" s="4"/>
      <c r="BE549" s="4"/>
      <c r="BF549" s="4"/>
      <c r="BG549" s="4"/>
      <c r="BH549" s="4"/>
      <c r="BI549" s="4"/>
      <c r="BJ549" s="4"/>
      <c r="BK549" s="4"/>
      <c r="BL549" s="4"/>
      <c r="BM549" s="4"/>
      <c r="BN549" s="4"/>
      <c r="BO549" s="4"/>
      <c r="BP549" s="4"/>
      <c r="BQ549" s="4"/>
      <c r="BR549" s="4"/>
    </row>
    <row r="550" spans="1:7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c r="AG550" s="4"/>
      <c r="AH550" s="4"/>
      <c r="AI550" s="4"/>
      <c r="AJ550" s="4"/>
      <c r="AK550" s="4"/>
      <c r="AL550" s="4"/>
      <c r="AM550" s="4"/>
      <c r="AN550" s="4"/>
      <c r="AO550" s="4"/>
      <c r="AP550" s="4"/>
      <c r="AQ550" s="4"/>
      <c r="AR550" s="4"/>
      <c r="AS550" s="4"/>
      <c r="AT550" s="4"/>
      <c r="AU550" s="4"/>
      <c r="AV550" s="4"/>
      <c r="AW550" s="4"/>
      <c r="AX550" s="4"/>
      <c r="AY550" s="4"/>
      <c r="AZ550" s="4"/>
      <c r="BA550" s="4"/>
      <c r="BB550" s="4"/>
      <c r="BC550" s="5"/>
      <c r="BD550" s="4"/>
      <c r="BE550" s="4"/>
      <c r="BF550" s="4"/>
      <c r="BG550" s="4"/>
      <c r="BH550" s="4"/>
      <c r="BI550" s="4"/>
      <c r="BJ550" s="4"/>
      <c r="BK550" s="4"/>
      <c r="BL550" s="4"/>
      <c r="BM550" s="4"/>
      <c r="BN550" s="4"/>
      <c r="BO550" s="4"/>
      <c r="BP550" s="4"/>
      <c r="BQ550" s="4"/>
      <c r="BR550" s="4"/>
    </row>
    <row r="551" spans="1:70">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c r="AG551" s="4"/>
      <c r="AH551" s="4"/>
      <c r="AI551" s="4"/>
      <c r="AJ551" s="4"/>
      <c r="AK551" s="4"/>
      <c r="AL551" s="4"/>
      <c r="AM551" s="4"/>
      <c r="AN551" s="4"/>
      <c r="AO551" s="4"/>
      <c r="AP551" s="4"/>
      <c r="AQ551" s="4"/>
      <c r="AR551" s="4"/>
      <c r="AS551" s="4"/>
      <c r="AT551" s="4"/>
      <c r="AU551" s="4"/>
      <c r="AV551" s="4"/>
      <c r="AW551" s="4"/>
      <c r="AX551" s="4"/>
      <c r="AY551" s="4"/>
      <c r="AZ551" s="4"/>
      <c r="BA551" s="4"/>
      <c r="BB551" s="4"/>
      <c r="BC551" s="5"/>
      <c r="BD551" s="4"/>
      <c r="BE551" s="4"/>
      <c r="BF551" s="4"/>
      <c r="BG551" s="4"/>
      <c r="BH551" s="4"/>
      <c r="BI551" s="4"/>
      <c r="BJ551" s="4"/>
      <c r="BK551" s="4"/>
      <c r="BL551" s="4"/>
      <c r="BM551" s="4"/>
      <c r="BN551" s="4"/>
      <c r="BO551" s="4"/>
      <c r="BP551" s="4"/>
      <c r="BQ551" s="4"/>
      <c r="BR551" s="4"/>
    </row>
    <row r="552" spans="1:70">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c r="AG552" s="4"/>
      <c r="AH552" s="4"/>
      <c r="AI552" s="4"/>
      <c r="AJ552" s="4"/>
      <c r="AK552" s="4"/>
      <c r="AL552" s="4"/>
      <c r="AM552" s="4"/>
      <c r="AN552" s="4"/>
      <c r="AO552" s="4"/>
      <c r="AP552" s="4"/>
      <c r="AQ552" s="4"/>
      <c r="AR552" s="4"/>
      <c r="AS552" s="4"/>
      <c r="AT552" s="4"/>
      <c r="AU552" s="4"/>
      <c r="AV552" s="4"/>
      <c r="AW552" s="4"/>
      <c r="AX552" s="4"/>
      <c r="AY552" s="4"/>
      <c r="AZ552" s="4"/>
      <c r="BA552" s="4"/>
      <c r="BB552" s="4"/>
      <c r="BC552" s="5"/>
      <c r="BD552" s="4"/>
      <c r="BE552" s="4"/>
      <c r="BF552" s="4"/>
      <c r="BG552" s="4"/>
      <c r="BH552" s="4"/>
      <c r="BI552" s="4"/>
      <c r="BJ552" s="4"/>
      <c r="BK552" s="4"/>
      <c r="BL552" s="4"/>
      <c r="BM552" s="4"/>
      <c r="BN552" s="4"/>
      <c r="BO552" s="4"/>
      <c r="BP552" s="4"/>
      <c r="BQ552" s="4"/>
      <c r="BR552" s="4"/>
    </row>
    <row r="553" spans="1:70">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c r="AG553" s="4"/>
      <c r="AH553" s="4"/>
      <c r="AI553" s="4"/>
      <c r="AJ553" s="4"/>
      <c r="AK553" s="4"/>
      <c r="AL553" s="4"/>
      <c r="AM553" s="4"/>
      <c r="AN553" s="4"/>
      <c r="AO553" s="4"/>
      <c r="AP553" s="4"/>
      <c r="AQ553" s="4"/>
      <c r="AR553" s="4"/>
      <c r="AS553" s="4"/>
      <c r="AT553" s="4"/>
      <c r="AU553" s="4"/>
      <c r="AV553" s="4"/>
      <c r="AW553" s="4"/>
      <c r="AX553" s="4"/>
      <c r="AY553" s="4"/>
      <c r="AZ553" s="4"/>
      <c r="BA553" s="4"/>
      <c r="BB553" s="4"/>
      <c r="BC553" s="5"/>
      <c r="BD553" s="4"/>
      <c r="BE553" s="4"/>
      <c r="BF553" s="4"/>
      <c r="BG553" s="4"/>
      <c r="BH553" s="4"/>
      <c r="BI553" s="4"/>
      <c r="BJ553" s="4"/>
      <c r="BK553" s="4"/>
      <c r="BL553" s="4"/>
      <c r="BM553" s="4"/>
      <c r="BN553" s="4"/>
      <c r="BO553" s="4"/>
      <c r="BP553" s="4"/>
      <c r="BQ553" s="4"/>
      <c r="BR553" s="4"/>
    </row>
    <row r="554" spans="1:70">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c r="AG554" s="4"/>
      <c r="AH554" s="4"/>
      <c r="AI554" s="4"/>
      <c r="AJ554" s="4"/>
      <c r="AK554" s="4"/>
      <c r="AL554" s="4"/>
      <c r="AM554" s="4"/>
      <c r="AN554" s="4"/>
      <c r="AO554" s="4"/>
      <c r="AP554" s="4"/>
      <c r="AQ554" s="4"/>
      <c r="AR554" s="4"/>
      <c r="AS554" s="4"/>
      <c r="AT554" s="4"/>
      <c r="AU554" s="4"/>
      <c r="AV554" s="4"/>
      <c r="AW554" s="4"/>
      <c r="AX554" s="4"/>
      <c r="AY554" s="4"/>
      <c r="AZ554" s="4"/>
      <c r="BA554" s="4"/>
      <c r="BB554" s="4"/>
      <c r="BC554" s="5"/>
      <c r="BD554" s="4"/>
      <c r="BE554" s="4"/>
      <c r="BF554" s="4"/>
      <c r="BG554" s="4"/>
      <c r="BH554" s="4"/>
      <c r="BI554" s="4"/>
      <c r="BJ554" s="4"/>
      <c r="BK554" s="4"/>
      <c r="BL554" s="4"/>
      <c r="BM554" s="4"/>
      <c r="BN554" s="4"/>
      <c r="BO554" s="4"/>
      <c r="BP554" s="4"/>
      <c r="BQ554" s="4"/>
      <c r="BR554" s="4"/>
    </row>
    <row r="555" spans="1:70">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c r="AG555" s="4"/>
      <c r="AH555" s="4"/>
      <c r="AI555" s="4"/>
      <c r="AJ555" s="4"/>
      <c r="AK555" s="4"/>
      <c r="AL555" s="4"/>
      <c r="AM555" s="4"/>
      <c r="AN555" s="4"/>
      <c r="AO555" s="4"/>
      <c r="AP555" s="4"/>
      <c r="AQ555" s="4"/>
      <c r="AR555" s="4"/>
      <c r="AS555" s="4"/>
      <c r="AT555" s="4"/>
      <c r="AU555" s="4"/>
      <c r="AV555" s="4"/>
      <c r="AW555" s="4"/>
      <c r="AX555" s="4"/>
      <c r="AY555" s="4"/>
      <c r="AZ555" s="4"/>
      <c r="BA555" s="4"/>
      <c r="BB555" s="4"/>
      <c r="BC555" s="5"/>
      <c r="BD555" s="4"/>
      <c r="BE555" s="4"/>
      <c r="BF555" s="4"/>
      <c r="BG555" s="4"/>
      <c r="BH555" s="4"/>
      <c r="BI555" s="4"/>
      <c r="BJ555" s="4"/>
      <c r="BK555" s="4"/>
      <c r="BL555" s="4"/>
      <c r="BM555" s="4"/>
      <c r="BN555" s="4"/>
      <c r="BO555" s="4"/>
      <c r="BP555" s="4"/>
      <c r="BQ555" s="4"/>
      <c r="BR555" s="4"/>
    </row>
    <row r="556" spans="1:70">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c r="AG556" s="4"/>
      <c r="AH556" s="4"/>
      <c r="AI556" s="4"/>
      <c r="AJ556" s="4"/>
      <c r="AK556" s="4"/>
      <c r="AL556" s="4"/>
      <c r="AM556" s="4"/>
      <c r="AN556" s="4"/>
      <c r="AO556" s="4"/>
      <c r="AP556" s="4"/>
      <c r="AQ556" s="4"/>
      <c r="AR556" s="4"/>
      <c r="AS556" s="4"/>
      <c r="AT556" s="4"/>
      <c r="AU556" s="4"/>
      <c r="AV556" s="4"/>
      <c r="AW556" s="4"/>
      <c r="AX556" s="4"/>
      <c r="AY556" s="4"/>
      <c r="AZ556" s="4"/>
      <c r="BA556" s="4"/>
      <c r="BB556" s="4"/>
      <c r="BC556" s="5"/>
      <c r="BD556" s="4"/>
      <c r="BE556" s="4"/>
      <c r="BF556" s="4"/>
      <c r="BG556" s="4"/>
      <c r="BH556" s="4"/>
      <c r="BI556" s="4"/>
      <c r="BJ556" s="4"/>
      <c r="BK556" s="4"/>
      <c r="BL556" s="4"/>
      <c r="BM556" s="4"/>
      <c r="BN556" s="4"/>
      <c r="BO556" s="4"/>
      <c r="BP556" s="4"/>
      <c r="BQ556" s="4"/>
      <c r="BR556" s="4"/>
    </row>
    <row r="557" spans="1:70">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c r="AG557" s="4"/>
      <c r="AH557" s="4"/>
      <c r="AI557" s="4"/>
      <c r="AJ557" s="4"/>
      <c r="AK557" s="4"/>
      <c r="AL557" s="4"/>
      <c r="AM557" s="4"/>
      <c r="AN557" s="4"/>
      <c r="AO557" s="4"/>
      <c r="AP557" s="4"/>
      <c r="AQ557" s="4"/>
      <c r="AR557" s="4"/>
      <c r="AS557" s="4"/>
      <c r="AT557" s="4"/>
      <c r="AU557" s="4"/>
      <c r="AV557" s="4"/>
      <c r="AW557" s="4"/>
      <c r="AX557" s="4"/>
      <c r="AY557" s="4"/>
      <c r="AZ557" s="4"/>
      <c r="BA557" s="4"/>
      <c r="BB557" s="4"/>
      <c r="BC557" s="5"/>
      <c r="BD557" s="4"/>
      <c r="BE557" s="4"/>
      <c r="BF557" s="4"/>
      <c r="BG557" s="4"/>
      <c r="BH557" s="4"/>
      <c r="BI557" s="4"/>
      <c r="BJ557" s="4"/>
      <c r="BK557" s="4"/>
      <c r="BL557" s="4"/>
      <c r="BM557" s="4"/>
      <c r="BN557" s="4"/>
      <c r="BO557" s="4"/>
      <c r="BP557" s="4"/>
      <c r="BQ557" s="4"/>
      <c r="BR557" s="4"/>
    </row>
    <row r="558" spans="1:70">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c r="AG558" s="4"/>
      <c r="AH558" s="4"/>
      <c r="AI558" s="4"/>
      <c r="AJ558" s="4"/>
      <c r="AK558" s="4"/>
      <c r="AL558" s="4"/>
      <c r="AM558" s="4"/>
      <c r="AN558" s="4"/>
      <c r="AO558" s="4"/>
      <c r="AP558" s="4"/>
      <c r="AQ558" s="4"/>
      <c r="AR558" s="4"/>
      <c r="AS558" s="4"/>
      <c r="AT558" s="4"/>
      <c r="AU558" s="4"/>
      <c r="AV558" s="4"/>
      <c r="AW558" s="4"/>
      <c r="AX558" s="4"/>
      <c r="AY558" s="4"/>
      <c r="AZ558" s="4"/>
      <c r="BA558" s="4"/>
      <c r="BB558" s="4"/>
      <c r="BC558" s="5"/>
      <c r="BD558" s="4"/>
      <c r="BE558" s="4"/>
      <c r="BF558" s="4"/>
      <c r="BG558" s="4"/>
      <c r="BH558" s="4"/>
      <c r="BI558" s="4"/>
      <c r="BJ558" s="4"/>
      <c r="BK558" s="4"/>
      <c r="BL558" s="4"/>
      <c r="BM558" s="4"/>
      <c r="BN558" s="4"/>
      <c r="BO558" s="4"/>
      <c r="BP558" s="4"/>
      <c r="BQ558" s="4"/>
      <c r="BR558" s="4"/>
    </row>
    <row r="559" spans="1:70">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c r="AG559" s="4"/>
      <c r="AH559" s="4"/>
      <c r="AI559" s="4"/>
      <c r="AJ559" s="4"/>
      <c r="AK559" s="4"/>
      <c r="AL559" s="4"/>
      <c r="AM559" s="4"/>
      <c r="AN559" s="4"/>
      <c r="AO559" s="4"/>
      <c r="AP559" s="4"/>
      <c r="AQ559" s="4"/>
      <c r="AR559" s="4"/>
      <c r="AS559" s="4"/>
      <c r="AT559" s="4"/>
      <c r="AU559" s="4"/>
      <c r="AV559" s="4"/>
      <c r="AW559" s="4"/>
      <c r="AX559" s="4"/>
      <c r="AY559" s="4"/>
      <c r="AZ559" s="4"/>
      <c r="BA559" s="4"/>
      <c r="BB559" s="4"/>
      <c r="BC559" s="5"/>
      <c r="BD559" s="4"/>
      <c r="BE559" s="4"/>
      <c r="BF559" s="4"/>
      <c r="BG559" s="4"/>
      <c r="BH559" s="4"/>
      <c r="BI559" s="4"/>
      <c r="BJ559" s="4"/>
      <c r="BK559" s="4"/>
      <c r="BL559" s="4"/>
      <c r="BM559" s="4"/>
      <c r="BN559" s="4"/>
      <c r="BO559" s="4"/>
      <c r="BP559" s="4"/>
      <c r="BQ559" s="4"/>
      <c r="BR559" s="4"/>
    </row>
    <row r="560" spans="1:7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c r="AG560" s="4"/>
      <c r="AH560" s="4"/>
      <c r="AI560" s="4"/>
      <c r="AJ560" s="4"/>
      <c r="AK560" s="4"/>
      <c r="AL560" s="4"/>
      <c r="AM560" s="4"/>
      <c r="AN560" s="4"/>
      <c r="AO560" s="4"/>
      <c r="AP560" s="4"/>
      <c r="AQ560" s="4"/>
      <c r="AR560" s="4"/>
      <c r="AS560" s="4"/>
      <c r="AT560" s="4"/>
      <c r="AU560" s="4"/>
      <c r="AV560" s="4"/>
      <c r="AW560" s="4"/>
      <c r="AX560" s="4"/>
      <c r="AY560" s="4"/>
      <c r="AZ560" s="4"/>
      <c r="BA560" s="4"/>
      <c r="BB560" s="4"/>
      <c r="BC560" s="5"/>
      <c r="BD560" s="4"/>
      <c r="BE560" s="4"/>
      <c r="BF560" s="4"/>
      <c r="BG560" s="4"/>
      <c r="BH560" s="4"/>
      <c r="BI560" s="4"/>
      <c r="BJ560" s="4"/>
      <c r="BK560" s="4"/>
      <c r="BL560" s="4"/>
      <c r="BM560" s="4"/>
      <c r="BN560" s="4"/>
      <c r="BO560" s="4"/>
      <c r="BP560" s="4"/>
      <c r="BQ560" s="4"/>
      <c r="BR560" s="4"/>
    </row>
    <row r="561" spans="1:70">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c r="AG561" s="4"/>
      <c r="AH561" s="4"/>
      <c r="AI561" s="4"/>
      <c r="AJ561" s="4"/>
      <c r="AK561" s="4"/>
      <c r="AL561" s="4"/>
      <c r="AM561" s="4"/>
      <c r="AN561" s="4"/>
      <c r="AO561" s="4"/>
      <c r="AP561" s="4"/>
      <c r="AQ561" s="4"/>
      <c r="AR561" s="4"/>
      <c r="AS561" s="4"/>
      <c r="AT561" s="4"/>
      <c r="AU561" s="4"/>
      <c r="AV561" s="4"/>
      <c r="AW561" s="4"/>
      <c r="AX561" s="4"/>
      <c r="AY561" s="4"/>
      <c r="AZ561" s="4"/>
      <c r="BA561" s="4"/>
      <c r="BB561" s="4"/>
      <c r="BC561" s="5"/>
      <c r="BD561" s="4"/>
      <c r="BE561" s="4"/>
      <c r="BF561" s="4"/>
      <c r="BG561" s="4"/>
      <c r="BH561" s="4"/>
      <c r="BI561" s="4"/>
      <c r="BJ561" s="4"/>
      <c r="BK561" s="4"/>
      <c r="BL561" s="4"/>
      <c r="BM561" s="4"/>
      <c r="BN561" s="4"/>
      <c r="BO561" s="4"/>
      <c r="BP561" s="4"/>
      <c r="BQ561" s="4"/>
      <c r="BR561" s="4"/>
    </row>
    <row r="562" spans="1:70">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c r="AG562" s="4"/>
      <c r="AH562" s="4"/>
      <c r="AI562" s="4"/>
      <c r="AJ562" s="4"/>
      <c r="AK562" s="4"/>
      <c r="AL562" s="4"/>
      <c r="AM562" s="4"/>
      <c r="AN562" s="4"/>
      <c r="AO562" s="4"/>
      <c r="AP562" s="4"/>
      <c r="AQ562" s="4"/>
      <c r="AR562" s="4"/>
      <c r="AS562" s="4"/>
      <c r="AT562" s="4"/>
      <c r="AU562" s="4"/>
      <c r="AV562" s="4"/>
      <c r="AW562" s="4"/>
      <c r="AX562" s="4"/>
      <c r="AY562" s="4"/>
      <c r="AZ562" s="4"/>
      <c r="BA562" s="4"/>
      <c r="BB562" s="4"/>
      <c r="BC562" s="5"/>
      <c r="BD562" s="4"/>
      <c r="BE562" s="4"/>
      <c r="BF562" s="4"/>
      <c r="BG562" s="4"/>
      <c r="BH562" s="4"/>
      <c r="BI562" s="4"/>
      <c r="BJ562" s="4"/>
      <c r="BK562" s="4"/>
      <c r="BL562" s="4"/>
      <c r="BM562" s="4"/>
      <c r="BN562" s="4"/>
      <c r="BO562" s="4"/>
      <c r="BP562" s="4"/>
      <c r="BQ562" s="4"/>
      <c r="BR562" s="4"/>
    </row>
    <row r="563" spans="1:70">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c r="AG563" s="4"/>
      <c r="AH563" s="4"/>
      <c r="AI563" s="4"/>
      <c r="AJ563" s="4"/>
      <c r="AK563" s="4"/>
      <c r="AL563" s="4"/>
      <c r="AM563" s="4"/>
      <c r="AN563" s="4"/>
      <c r="AO563" s="4"/>
      <c r="AP563" s="4"/>
      <c r="AQ563" s="4"/>
      <c r="AR563" s="4"/>
      <c r="AS563" s="4"/>
      <c r="AT563" s="4"/>
      <c r="AU563" s="4"/>
      <c r="AV563" s="4"/>
      <c r="AW563" s="4"/>
      <c r="AX563" s="4"/>
      <c r="AY563" s="4"/>
      <c r="AZ563" s="4"/>
      <c r="BA563" s="4"/>
      <c r="BB563" s="4"/>
      <c r="BC563" s="5"/>
      <c r="BD563" s="4"/>
      <c r="BE563" s="4"/>
      <c r="BF563" s="4"/>
      <c r="BG563" s="4"/>
      <c r="BH563" s="4"/>
      <c r="BI563" s="4"/>
      <c r="BJ563" s="4"/>
      <c r="BK563" s="4"/>
      <c r="BL563" s="4"/>
      <c r="BM563" s="4"/>
      <c r="BN563" s="4"/>
      <c r="BO563" s="4"/>
      <c r="BP563" s="4"/>
      <c r="BQ563" s="4"/>
      <c r="BR563" s="4"/>
    </row>
    <row r="564" spans="1:70">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c r="AG564" s="4"/>
      <c r="AH564" s="4"/>
      <c r="AI564" s="4"/>
      <c r="AJ564" s="4"/>
      <c r="AK564" s="4"/>
      <c r="AL564" s="4"/>
      <c r="AM564" s="4"/>
      <c r="AN564" s="4"/>
      <c r="AO564" s="4"/>
      <c r="AP564" s="4"/>
      <c r="AQ564" s="4"/>
      <c r="AR564" s="4"/>
      <c r="AS564" s="4"/>
      <c r="AT564" s="4"/>
      <c r="AU564" s="4"/>
      <c r="AV564" s="4"/>
      <c r="AW564" s="4"/>
      <c r="AX564" s="4"/>
      <c r="AY564" s="4"/>
      <c r="AZ564" s="4"/>
      <c r="BA564" s="4"/>
      <c r="BB564" s="4"/>
      <c r="BC564" s="5"/>
      <c r="BD564" s="4"/>
      <c r="BE564" s="4"/>
      <c r="BF564" s="4"/>
      <c r="BG564" s="4"/>
      <c r="BH564" s="4"/>
      <c r="BI564" s="4"/>
      <c r="BJ564" s="4"/>
      <c r="BK564" s="4"/>
      <c r="BL564" s="4"/>
      <c r="BM564" s="4"/>
      <c r="BN564" s="4"/>
      <c r="BO564" s="4"/>
      <c r="BP564" s="4"/>
      <c r="BQ564" s="4"/>
      <c r="BR564" s="4"/>
    </row>
    <row r="565" spans="1:70">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c r="AG565" s="4"/>
      <c r="AH565" s="4"/>
      <c r="AI565" s="4"/>
      <c r="AJ565" s="4"/>
      <c r="AK565" s="4"/>
      <c r="AL565" s="4"/>
      <c r="AM565" s="4"/>
      <c r="AN565" s="4"/>
      <c r="AO565" s="4"/>
      <c r="AP565" s="4"/>
      <c r="AQ565" s="4"/>
      <c r="AR565" s="4"/>
      <c r="AS565" s="4"/>
      <c r="AT565" s="4"/>
      <c r="AU565" s="4"/>
      <c r="AV565" s="4"/>
      <c r="AW565" s="4"/>
      <c r="AX565" s="4"/>
      <c r="AY565" s="4"/>
      <c r="AZ565" s="4"/>
      <c r="BA565" s="4"/>
      <c r="BB565" s="4"/>
      <c r="BC565" s="5"/>
      <c r="BD565" s="4"/>
      <c r="BE565" s="4"/>
      <c r="BF565" s="4"/>
      <c r="BG565" s="4"/>
      <c r="BH565" s="4"/>
      <c r="BI565" s="4"/>
      <c r="BJ565" s="4"/>
      <c r="BK565" s="4"/>
      <c r="BL565" s="4"/>
      <c r="BM565" s="4"/>
      <c r="BN565" s="4"/>
      <c r="BO565" s="4"/>
      <c r="BP565" s="4"/>
      <c r="BQ565" s="4"/>
      <c r="BR565" s="4"/>
    </row>
    <row r="566" spans="1:70">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c r="AG566" s="4"/>
      <c r="AH566" s="4"/>
      <c r="AI566" s="4"/>
      <c r="AJ566" s="4"/>
      <c r="AK566" s="4"/>
      <c r="AL566" s="4"/>
      <c r="AM566" s="4"/>
      <c r="AN566" s="4"/>
      <c r="AO566" s="4"/>
      <c r="AP566" s="4"/>
      <c r="AQ566" s="4"/>
      <c r="AR566" s="4"/>
      <c r="AS566" s="4"/>
      <c r="AT566" s="4"/>
      <c r="AU566" s="4"/>
      <c r="AV566" s="4"/>
      <c r="AW566" s="4"/>
      <c r="AX566" s="4"/>
      <c r="AY566" s="4"/>
      <c r="AZ566" s="4"/>
      <c r="BA566" s="4"/>
      <c r="BB566" s="4"/>
      <c r="BC566" s="5"/>
      <c r="BD566" s="4"/>
      <c r="BE566" s="4"/>
      <c r="BF566" s="4"/>
      <c r="BG566" s="4"/>
      <c r="BH566" s="4"/>
      <c r="BI566" s="4"/>
      <c r="BJ566" s="4"/>
      <c r="BK566" s="4"/>
      <c r="BL566" s="4"/>
      <c r="BM566" s="4"/>
      <c r="BN566" s="4"/>
      <c r="BO566" s="4"/>
      <c r="BP566" s="4"/>
      <c r="BQ566" s="4"/>
      <c r="BR566" s="4"/>
    </row>
    <row r="567" spans="1:70">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c r="AG567" s="4"/>
      <c r="AH567" s="4"/>
      <c r="AI567" s="4"/>
      <c r="AJ567" s="4"/>
      <c r="AK567" s="4"/>
      <c r="AL567" s="4"/>
      <c r="AM567" s="4"/>
      <c r="AN567" s="4"/>
      <c r="AO567" s="4"/>
      <c r="AP567" s="4"/>
      <c r="AQ567" s="4"/>
      <c r="AR567" s="4"/>
      <c r="AS567" s="4"/>
      <c r="AT567" s="4"/>
      <c r="AU567" s="4"/>
      <c r="AV567" s="4"/>
      <c r="AW567" s="4"/>
      <c r="AX567" s="4"/>
      <c r="AY567" s="4"/>
      <c r="AZ567" s="4"/>
      <c r="BA567" s="4"/>
      <c r="BB567" s="4"/>
      <c r="BC567" s="5"/>
      <c r="BD567" s="4"/>
      <c r="BE567" s="4"/>
      <c r="BF567" s="4"/>
      <c r="BG567" s="4"/>
      <c r="BH567" s="4"/>
      <c r="BI567" s="4"/>
      <c r="BJ567" s="4"/>
      <c r="BK567" s="4"/>
      <c r="BL567" s="4"/>
      <c r="BM567" s="4"/>
      <c r="BN567" s="4"/>
      <c r="BO567" s="4"/>
      <c r="BP567" s="4"/>
      <c r="BQ567" s="4"/>
      <c r="BR567" s="4"/>
    </row>
    <row r="568" spans="1:70">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c r="AG568" s="4"/>
      <c r="AH568" s="4"/>
      <c r="AI568" s="4"/>
      <c r="AJ568" s="4"/>
      <c r="AK568" s="4"/>
      <c r="AL568" s="4"/>
      <c r="AM568" s="4"/>
      <c r="AN568" s="4"/>
      <c r="AO568" s="4"/>
      <c r="AP568" s="4"/>
      <c r="AQ568" s="4"/>
      <c r="AR568" s="4"/>
      <c r="AS568" s="4"/>
      <c r="AT568" s="4"/>
      <c r="AU568" s="4"/>
      <c r="AV568" s="4"/>
      <c r="AW568" s="4"/>
      <c r="AX568" s="4"/>
      <c r="AY568" s="4"/>
      <c r="AZ568" s="4"/>
      <c r="BA568" s="4"/>
      <c r="BB568" s="4"/>
      <c r="BC568" s="5"/>
      <c r="BD568" s="4"/>
      <c r="BE568" s="4"/>
      <c r="BF568" s="4"/>
      <c r="BG568" s="4"/>
      <c r="BH568" s="4"/>
      <c r="BI568" s="4"/>
      <c r="BJ568" s="4"/>
      <c r="BK568" s="4"/>
      <c r="BL568" s="4"/>
      <c r="BM568" s="4"/>
      <c r="BN568" s="4"/>
      <c r="BO568" s="4"/>
      <c r="BP568" s="4"/>
      <c r="BQ568" s="4"/>
      <c r="BR568" s="4"/>
    </row>
    <row r="569" spans="1:70">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c r="AG569" s="4"/>
      <c r="AH569" s="4"/>
      <c r="AI569" s="4"/>
      <c r="AJ569" s="4"/>
      <c r="AK569" s="4"/>
      <c r="AL569" s="4"/>
      <c r="AM569" s="4"/>
      <c r="AN569" s="4"/>
      <c r="AO569" s="4"/>
      <c r="AP569" s="4"/>
      <c r="AQ569" s="4"/>
      <c r="AR569" s="4"/>
      <c r="AS569" s="4"/>
      <c r="AT569" s="4"/>
      <c r="AU569" s="4"/>
      <c r="AV569" s="4"/>
      <c r="AW569" s="4"/>
      <c r="AX569" s="4"/>
      <c r="AY569" s="4"/>
      <c r="AZ569" s="4"/>
      <c r="BA569" s="4"/>
      <c r="BB569" s="4"/>
      <c r="BC569" s="5"/>
      <c r="BD569" s="4"/>
      <c r="BE569" s="4"/>
      <c r="BF569" s="4"/>
      <c r="BG569" s="4"/>
      <c r="BH569" s="4"/>
      <c r="BI569" s="4"/>
      <c r="BJ569" s="4"/>
      <c r="BK569" s="4"/>
      <c r="BL569" s="4"/>
      <c r="BM569" s="4"/>
      <c r="BN569" s="4"/>
      <c r="BO569" s="4"/>
      <c r="BP569" s="4"/>
      <c r="BQ569" s="4"/>
      <c r="BR569" s="4"/>
    </row>
    <row r="570" spans="1: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c r="AG570" s="4"/>
      <c r="AH570" s="4"/>
      <c r="AI570" s="4"/>
      <c r="AJ570" s="4"/>
      <c r="AK570" s="4"/>
      <c r="AL570" s="4"/>
      <c r="AM570" s="4"/>
      <c r="AN570" s="4"/>
      <c r="AO570" s="4"/>
      <c r="AP570" s="4"/>
      <c r="AQ570" s="4"/>
      <c r="AR570" s="4"/>
      <c r="AS570" s="4"/>
      <c r="AT570" s="4"/>
      <c r="AU570" s="4"/>
      <c r="AV570" s="4"/>
      <c r="AW570" s="4"/>
      <c r="AX570" s="4"/>
      <c r="AY570" s="4"/>
      <c r="AZ570" s="4"/>
      <c r="BA570" s="4"/>
      <c r="BB570" s="4"/>
      <c r="BC570" s="5"/>
      <c r="BD570" s="4"/>
      <c r="BE570" s="4"/>
      <c r="BF570" s="4"/>
      <c r="BG570" s="4"/>
      <c r="BH570" s="4"/>
      <c r="BI570" s="4"/>
      <c r="BJ570" s="4"/>
      <c r="BK570" s="4"/>
      <c r="BL570" s="4"/>
      <c r="BM570" s="4"/>
      <c r="BN570" s="4"/>
      <c r="BO570" s="4"/>
      <c r="BP570" s="4"/>
      <c r="BQ570" s="4"/>
      <c r="BR570" s="4"/>
    </row>
    <row r="571" spans="1:70">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c r="AG571" s="4"/>
      <c r="AH571" s="4"/>
      <c r="AI571" s="4"/>
      <c r="AJ571" s="4"/>
      <c r="AK571" s="4"/>
      <c r="AL571" s="4"/>
      <c r="AM571" s="4"/>
      <c r="AN571" s="4"/>
      <c r="AO571" s="4"/>
      <c r="AP571" s="4"/>
      <c r="AQ571" s="4"/>
      <c r="AR571" s="4"/>
      <c r="AS571" s="4"/>
      <c r="AT571" s="4"/>
      <c r="AU571" s="4"/>
      <c r="AV571" s="4"/>
      <c r="AW571" s="4"/>
      <c r="AX571" s="4"/>
      <c r="AY571" s="4"/>
      <c r="AZ571" s="4"/>
      <c r="BA571" s="4"/>
      <c r="BB571" s="4"/>
      <c r="BC571" s="5"/>
      <c r="BD571" s="4"/>
      <c r="BE571" s="4"/>
      <c r="BF571" s="4"/>
      <c r="BG571" s="4"/>
      <c r="BH571" s="4"/>
      <c r="BI571" s="4"/>
      <c r="BJ571" s="4"/>
      <c r="BK571" s="4"/>
      <c r="BL571" s="4"/>
      <c r="BM571" s="4"/>
      <c r="BN571" s="4"/>
      <c r="BO571" s="4"/>
      <c r="BP571" s="4"/>
      <c r="BQ571" s="4"/>
      <c r="BR571" s="4"/>
    </row>
    <row r="572" spans="1:70">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c r="AG572" s="4"/>
      <c r="AH572" s="4"/>
      <c r="AI572" s="4"/>
      <c r="AJ572" s="4"/>
      <c r="AK572" s="4"/>
      <c r="AL572" s="4"/>
      <c r="AM572" s="4"/>
      <c r="AN572" s="4"/>
      <c r="AO572" s="4"/>
      <c r="AP572" s="4"/>
      <c r="AQ572" s="4"/>
      <c r="AR572" s="4"/>
      <c r="AS572" s="4"/>
      <c r="AT572" s="4"/>
      <c r="AU572" s="4"/>
      <c r="AV572" s="4"/>
      <c r="AW572" s="4"/>
      <c r="AX572" s="4"/>
      <c r="AY572" s="4"/>
      <c r="AZ572" s="4"/>
      <c r="BA572" s="4"/>
      <c r="BB572" s="4"/>
      <c r="BC572" s="5"/>
      <c r="BD572" s="4"/>
      <c r="BE572" s="4"/>
      <c r="BF572" s="4"/>
      <c r="BG572" s="4"/>
      <c r="BH572" s="4"/>
      <c r="BI572" s="4"/>
      <c r="BJ572" s="4"/>
      <c r="BK572" s="4"/>
      <c r="BL572" s="4"/>
      <c r="BM572" s="4"/>
      <c r="BN572" s="4"/>
      <c r="BO572" s="4"/>
      <c r="BP572" s="4"/>
      <c r="BQ572" s="4"/>
      <c r="BR572" s="4"/>
    </row>
    <row r="573" spans="1:70">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c r="AG573" s="4"/>
      <c r="AH573" s="4"/>
      <c r="AI573" s="4"/>
      <c r="AJ573" s="4"/>
      <c r="AK573" s="4"/>
      <c r="AL573" s="4"/>
      <c r="AM573" s="4"/>
      <c r="AN573" s="4"/>
      <c r="AO573" s="4"/>
      <c r="AP573" s="4"/>
      <c r="AQ573" s="4"/>
      <c r="AR573" s="4"/>
      <c r="AS573" s="4"/>
      <c r="AT573" s="4"/>
      <c r="AU573" s="4"/>
      <c r="AV573" s="4"/>
      <c r="AW573" s="4"/>
      <c r="AX573" s="4"/>
      <c r="AY573" s="4"/>
      <c r="AZ573" s="4"/>
      <c r="BA573" s="4"/>
      <c r="BB573" s="4"/>
      <c r="BC573" s="5"/>
      <c r="BD573" s="4"/>
      <c r="BE573" s="4"/>
      <c r="BF573" s="4"/>
      <c r="BG573" s="4"/>
      <c r="BH573" s="4"/>
      <c r="BI573" s="4"/>
      <c r="BJ573" s="4"/>
      <c r="BK573" s="4"/>
      <c r="BL573" s="4"/>
      <c r="BM573" s="4"/>
      <c r="BN573" s="4"/>
      <c r="BO573" s="4"/>
      <c r="BP573" s="4"/>
      <c r="BQ573" s="4"/>
      <c r="BR573" s="4"/>
    </row>
    <row r="574" spans="1:70">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c r="AG574" s="4"/>
      <c r="AH574" s="4"/>
      <c r="AI574" s="4"/>
      <c r="AJ574" s="4"/>
      <c r="AK574" s="4"/>
      <c r="AL574" s="4"/>
      <c r="AM574" s="4"/>
      <c r="AN574" s="4"/>
      <c r="AO574" s="4"/>
      <c r="AP574" s="4"/>
      <c r="AQ574" s="4"/>
      <c r="AR574" s="4"/>
      <c r="AS574" s="4"/>
      <c r="AT574" s="4"/>
      <c r="AU574" s="4"/>
      <c r="AV574" s="4"/>
      <c r="AW574" s="4"/>
      <c r="AX574" s="4"/>
      <c r="AY574" s="4"/>
      <c r="AZ574" s="4"/>
      <c r="BA574" s="4"/>
      <c r="BB574" s="4"/>
      <c r="BC574" s="5"/>
      <c r="BD574" s="4"/>
      <c r="BE574" s="4"/>
      <c r="BF574" s="4"/>
      <c r="BG574" s="4"/>
      <c r="BH574" s="4"/>
      <c r="BI574" s="4"/>
      <c r="BJ574" s="4"/>
      <c r="BK574" s="4"/>
      <c r="BL574" s="4"/>
      <c r="BM574" s="4"/>
      <c r="BN574" s="4"/>
      <c r="BO574" s="4"/>
      <c r="BP574" s="4"/>
      <c r="BQ574" s="4"/>
      <c r="BR574" s="4"/>
    </row>
    <row r="575" spans="1:70">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c r="AG575" s="4"/>
      <c r="AH575" s="4"/>
      <c r="AI575" s="4"/>
      <c r="AJ575" s="4"/>
      <c r="AK575" s="4"/>
      <c r="AL575" s="4"/>
      <c r="AM575" s="4"/>
      <c r="AN575" s="4"/>
      <c r="AO575" s="4"/>
      <c r="AP575" s="4"/>
      <c r="AQ575" s="4"/>
      <c r="AR575" s="4"/>
      <c r="AS575" s="4"/>
      <c r="AT575" s="4"/>
      <c r="AU575" s="4"/>
      <c r="AV575" s="4"/>
      <c r="AW575" s="4"/>
      <c r="AX575" s="4"/>
      <c r="AY575" s="4"/>
      <c r="AZ575" s="4"/>
      <c r="BA575" s="4"/>
      <c r="BB575" s="4"/>
      <c r="BC575" s="5"/>
      <c r="BD575" s="4"/>
      <c r="BE575" s="4"/>
      <c r="BF575" s="4"/>
      <c r="BG575" s="4"/>
      <c r="BH575" s="4"/>
      <c r="BI575" s="4"/>
      <c r="BJ575" s="4"/>
      <c r="BK575" s="4"/>
      <c r="BL575" s="4"/>
      <c r="BM575" s="4"/>
      <c r="BN575" s="4"/>
      <c r="BO575" s="4"/>
      <c r="BP575" s="4"/>
      <c r="BQ575" s="4"/>
      <c r="BR575" s="4"/>
    </row>
    <row r="576" spans="1:70">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c r="AG576" s="4"/>
      <c r="AH576" s="4"/>
      <c r="AI576" s="4"/>
      <c r="AJ576" s="4"/>
      <c r="AK576" s="4"/>
      <c r="AL576" s="4"/>
      <c r="AM576" s="4"/>
      <c r="AN576" s="4"/>
      <c r="AO576" s="4"/>
      <c r="AP576" s="4"/>
      <c r="AQ576" s="4"/>
      <c r="AR576" s="4"/>
      <c r="AS576" s="4"/>
      <c r="AT576" s="4"/>
      <c r="AU576" s="4"/>
      <c r="AV576" s="4"/>
      <c r="AW576" s="4"/>
      <c r="AX576" s="4"/>
      <c r="AY576" s="4"/>
      <c r="AZ576" s="4"/>
      <c r="BA576" s="4"/>
      <c r="BB576" s="4"/>
      <c r="BC576" s="5"/>
      <c r="BD576" s="4"/>
      <c r="BE576" s="4"/>
      <c r="BF576" s="4"/>
      <c r="BG576" s="4"/>
      <c r="BH576" s="4"/>
      <c r="BI576" s="4"/>
      <c r="BJ576" s="4"/>
      <c r="BK576" s="4"/>
      <c r="BL576" s="4"/>
      <c r="BM576" s="4"/>
      <c r="BN576" s="4"/>
      <c r="BO576" s="4"/>
      <c r="BP576" s="4"/>
      <c r="BQ576" s="4"/>
      <c r="BR576" s="4"/>
    </row>
    <row r="577" spans="1:70">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c r="AG577" s="4"/>
      <c r="AH577" s="4"/>
      <c r="AI577" s="4"/>
      <c r="AJ577" s="4"/>
      <c r="AK577" s="4"/>
      <c r="AL577" s="4"/>
      <c r="AM577" s="4"/>
      <c r="AN577" s="4"/>
      <c r="AO577" s="4"/>
      <c r="AP577" s="4"/>
      <c r="AQ577" s="4"/>
      <c r="AR577" s="4"/>
      <c r="AS577" s="4"/>
      <c r="AT577" s="4"/>
      <c r="AU577" s="4"/>
      <c r="AV577" s="4"/>
      <c r="AW577" s="4"/>
      <c r="AX577" s="4"/>
      <c r="AY577" s="4"/>
      <c r="AZ577" s="4"/>
      <c r="BA577" s="4"/>
      <c r="BB577" s="4"/>
      <c r="BC577" s="5"/>
      <c r="BD577" s="4"/>
      <c r="BE577" s="4"/>
      <c r="BF577" s="4"/>
      <c r="BG577" s="4"/>
      <c r="BH577" s="4"/>
      <c r="BI577" s="4"/>
      <c r="BJ577" s="4"/>
      <c r="BK577" s="4"/>
      <c r="BL577" s="4"/>
      <c r="BM577" s="4"/>
      <c r="BN577" s="4"/>
      <c r="BO577" s="4"/>
      <c r="BP577" s="4"/>
      <c r="BQ577" s="4"/>
      <c r="BR577" s="4"/>
    </row>
    <row r="578" spans="1:70">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c r="AG578" s="4"/>
      <c r="AH578" s="4"/>
      <c r="AI578" s="4"/>
      <c r="AJ578" s="4"/>
      <c r="AK578" s="4"/>
      <c r="AL578" s="4"/>
      <c r="AM578" s="4"/>
      <c r="AN578" s="4"/>
      <c r="AO578" s="4"/>
      <c r="AP578" s="4"/>
      <c r="AQ578" s="4"/>
      <c r="AR578" s="4"/>
      <c r="AS578" s="4"/>
      <c r="AT578" s="4"/>
      <c r="AU578" s="4"/>
      <c r="AV578" s="4"/>
      <c r="AW578" s="4"/>
      <c r="AX578" s="4"/>
      <c r="AY578" s="4"/>
      <c r="AZ578" s="4"/>
      <c r="BA578" s="4"/>
      <c r="BB578" s="4"/>
      <c r="BC578" s="5"/>
      <c r="BD578" s="4"/>
      <c r="BE578" s="4"/>
      <c r="BF578" s="4"/>
      <c r="BG578" s="4"/>
      <c r="BH578" s="4"/>
      <c r="BI578" s="4"/>
      <c r="BJ578" s="4"/>
      <c r="BK578" s="4"/>
      <c r="BL578" s="4"/>
      <c r="BM578" s="4"/>
      <c r="BN578" s="4"/>
      <c r="BO578" s="4"/>
      <c r="BP578" s="4"/>
      <c r="BQ578" s="4"/>
      <c r="BR578" s="4"/>
    </row>
    <row r="579" spans="1:70">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c r="AG579" s="4"/>
      <c r="AH579" s="4"/>
      <c r="AI579" s="4"/>
      <c r="AJ579" s="4"/>
      <c r="AK579" s="4"/>
      <c r="AL579" s="4"/>
      <c r="AM579" s="4"/>
      <c r="AN579" s="4"/>
      <c r="AO579" s="4"/>
      <c r="AP579" s="4"/>
      <c r="AQ579" s="4"/>
      <c r="AR579" s="4"/>
      <c r="AS579" s="4"/>
      <c r="AT579" s="4"/>
      <c r="AU579" s="4"/>
      <c r="AV579" s="4"/>
      <c r="AW579" s="4"/>
      <c r="AX579" s="4"/>
      <c r="AY579" s="4"/>
      <c r="AZ579" s="4"/>
      <c r="BA579" s="4"/>
      <c r="BB579" s="4"/>
      <c r="BC579" s="5"/>
      <c r="BD579" s="4"/>
      <c r="BE579" s="4"/>
      <c r="BF579" s="4"/>
      <c r="BG579" s="4"/>
      <c r="BH579" s="4"/>
      <c r="BI579" s="4"/>
      <c r="BJ579" s="4"/>
      <c r="BK579" s="4"/>
      <c r="BL579" s="4"/>
      <c r="BM579" s="4"/>
      <c r="BN579" s="4"/>
      <c r="BO579" s="4"/>
      <c r="BP579" s="4"/>
      <c r="BQ579" s="4"/>
      <c r="BR579" s="4"/>
    </row>
    <row r="580" spans="1:7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c r="AG580" s="4"/>
      <c r="AH580" s="4"/>
      <c r="AI580" s="4"/>
      <c r="AJ580" s="4"/>
      <c r="AK580" s="4"/>
      <c r="AL580" s="4"/>
      <c r="AM580" s="4"/>
      <c r="AN580" s="4"/>
      <c r="AO580" s="4"/>
      <c r="AP580" s="4"/>
      <c r="AQ580" s="4"/>
      <c r="AR580" s="4"/>
      <c r="AS580" s="4"/>
      <c r="AT580" s="4"/>
      <c r="AU580" s="4"/>
      <c r="AV580" s="4"/>
      <c r="AW580" s="4"/>
      <c r="AX580" s="4"/>
      <c r="AY580" s="4"/>
      <c r="AZ580" s="4"/>
      <c r="BA580" s="4"/>
      <c r="BB580" s="4"/>
      <c r="BC580" s="5"/>
      <c r="BD580" s="4"/>
      <c r="BE580" s="4"/>
      <c r="BF580" s="4"/>
      <c r="BG580" s="4"/>
      <c r="BH580" s="4"/>
      <c r="BI580" s="4"/>
      <c r="BJ580" s="4"/>
      <c r="BK580" s="4"/>
      <c r="BL580" s="4"/>
      <c r="BM580" s="4"/>
      <c r="BN580" s="4"/>
      <c r="BO580" s="4"/>
      <c r="BP580" s="4"/>
      <c r="BQ580" s="4"/>
      <c r="BR580" s="4"/>
    </row>
    <row r="581" spans="1:70">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c r="AG581" s="4"/>
      <c r="AH581" s="4"/>
      <c r="AI581" s="4"/>
      <c r="AJ581" s="4"/>
      <c r="AK581" s="4"/>
      <c r="AL581" s="4"/>
      <c r="AM581" s="4"/>
      <c r="AN581" s="4"/>
      <c r="AO581" s="4"/>
      <c r="AP581" s="4"/>
      <c r="AQ581" s="4"/>
      <c r="AR581" s="4"/>
      <c r="AS581" s="4"/>
      <c r="AT581" s="4"/>
      <c r="AU581" s="4"/>
      <c r="AV581" s="4"/>
      <c r="AW581" s="4"/>
      <c r="AX581" s="4"/>
      <c r="AY581" s="4"/>
      <c r="AZ581" s="4"/>
      <c r="BA581" s="4"/>
      <c r="BB581" s="4"/>
      <c r="BC581" s="5"/>
      <c r="BD581" s="4"/>
      <c r="BE581" s="4"/>
      <c r="BF581" s="4"/>
      <c r="BG581" s="4"/>
      <c r="BH581" s="4"/>
      <c r="BI581" s="4"/>
      <c r="BJ581" s="4"/>
      <c r="BK581" s="4"/>
      <c r="BL581" s="4"/>
      <c r="BM581" s="4"/>
      <c r="BN581" s="4"/>
      <c r="BO581" s="4"/>
      <c r="BP581" s="4"/>
      <c r="BQ581" s="4"/>
      <c r="BR581" s="4"/>
    </row>
    <row r="582" spans="1:70">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c r="AG582" s="4"/>
      <c r="AH582" s="4"/>
      <c r="AI582" s="4"/>
      <c r="AJ582" s="4"/>
      <c r="AK582" s="4"/>
      <c r="AL582" s="4"/>
      <c r="AM582" s="4"/>
      <c r="AN582" s="4"/>
      <c r="AO582" s="4"/>
      <c r="AP582" s="4"/>
      <c r="AQ582" s="4"/>
      <c r="AR582" s="4"/>
      <c r="AS582" s="4"/>
      <c r="AT582" s="4"/>
      <c r="AU582" s="4"/>
      <c r="AV582" s="4"/>
      <c r="AW582" s="4"/>
      <c r="AX582" s="4"/>
      <c r="AY582" s="4"/>
      <c r="AZ582" s="4"/>
      <c r="BA582" s="4"/>
      <c r="BB582" s="4"/>
      <c r="BC582" s="5"/>
      <c r="BD582" s="4"/>
      <c r="BE582" s="4"/>
      <c r="BF582" s="4"/>
      <c r="BG582" s="4"/>
      <c r="BH582" s="4"/>
      <c r="BI582" s="4"/>
      <c r="BJ582" s="4"/>
      <c r="BK582" s="4"/>
      <c r="BL582" s="4"/>
      <c r="BM582" s="4"/>
      <c r="BN582" s="4"/>
      <c r="BO582" s="4"/>
      <c r="BP582" s="4"/>
      <c r="BQ582" s="4"/>
      <c r="BR582" s="4"/>
    </row>
    <row r="583" spans="1:70">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c r="AG583" s="4"/>
      <c r="AH583" s="4"/>
      <c r="AI583" s="4"/>
      <c r="AJ583" s="4"/>
      <c r="AK583" s="4"/>
      <c r="AL583" s="4"/>
      <c r="AM583" s="4"/>
      <c r="AN583" s="4"/>
      <c r="AO583" s="4"/>
      <c r="AP583" s="4"/>
      <c r="AQ583" s="4"/>
      <c r="AR583" s="4"/>
      <c r="AS583" s="4"/>
      <c r="AT583" s="4"/>
      <c r="AU583" s="4"/>
      <c r="AV583" s="4"/>
      <c r="AW583" s="4"/>
      <c r="AX583" s="4"/>
      <c r="AY583" s="4"/>
      <c r="AZ583" s="4"/>
      <c r="BA583" s="4"/>
      <c r="BB583" s="4"/>
      <c r="BC583" s="5"/>
      <c r="BD583" s="4"/>
      <c r="BE583" s="4"/>
      <c r="BF583" s="4"/>
      <c r="BG583" s="4"/>
      <c r="BH583" s="4"/>
      <c r="BI583" s="4"/>
      <c r="BJ583" s="4"/>
      <c r="BK583" s="4"/>
      <c r="BL583" s="4"/>
      <c r="BM583" s="4"/>
      <c r="BN583" s="4"/>
      <c r="BO583" s="4"/>
      <c r="BP583" s="4"/>
      <c r="BQ583" s="4"/>
      <c r="BR583" s="4"/>
    </row>
    <row r="584" spans="1:70">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c r="AG584" s="4"/>
      <c r="AH584" s="4"/>
      <c r="AI584" s="4"/>
      <c r="AJ584" s="4"/>
      <c r="AK584" s="4"/>
      <c r="AL584" s="4"/>
      <c r="AM584" s="4"/>
      <c r="AN584" s="4"/>
      <c r="AO584" s="4"/>
      <c r="AP584" s="4"/>
      <c r="AQ584" s="4"/>
      <c r="AR584" s="4"/>
      <c r="AS584" s="4"/>
      <c r="AT584" s="4"/>
      <c r="AU584" s="4"/>
      <c r="AV584" s="4"/>
      <c r="AW584" s="4"/>
      <c r="AX584" s="4"/>
      <c r="AY584" s="4"/>
      <c r="AZ584" s="4"/>
      <c r="BA584" s="4"/>
      <c r="BB584" s="4"/>
      <c r="BC584" s="5"/>
      <c r="BD584" s="4"/>
      <c r="BE584" s="4"/>
      <c r="BF584" s="4"/>
      <c r="BG584" s="4"/>
      <c r="BH584" s="4"/>
      <c r="BI584" s="4"/>
      <c r="BJ584" s="4"/>
      <c r="BK584" s="4"/>
      <c r="BL584" s="4"/>
      <c r="BM584" s="4"/>
      <c r="BN584" s="4"/>
      <c r="BO584" s="4"/>
      <c r="BP584" s="4"/>
      <c r="BQ584" s="4"/>
      <c r="BR584" s="4"/>
    </row>
    <row r="585" spans="1:70">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c r="AG585" s="4"/>
      <c r="AH585" s="4"/>
      <c r="AI585" s="4"/>
      <c r="AJ585" s="4"/>
      <c r="AK585" s="4"/>
      <c r="AL585" s="4"/>
      <c r="AM585" s="4"/>
      <c r="AN585" s="4"/>
      <c r="AO585" s="4"/>
      <c r="AP585" s="4"/>
      <c r="AQ585" s="4"/>
      <c r="AR585" s="4"/>
      <c r="AS585" s="4"/>
      <c r="AT585" s="4"/>
      <c r="AU585" s="4"/>
      <c r="AV585" s="4"/>
      <c r="AW585" s="4"/>
      <c r="AX585" s="4"/>
      <c r="AY585" s="4"/>
      <c r="AZ585" s="4"/>
      <c r="BA585" s="4"/>
      <c r="BB585" s="4"/>
      <c r="BC585" s="5"/>
      <c r="BD585" s="4"/>
      <c r="BE585" s="4"/>
      <c r="BF585" s="4"/>
      <c r="BG585" s="4"/>
      <c r="BH585" s="4"/>
      <c r="BI585" s="4"/>
      <c r="BJ585" s="4"/>
      <c r="BK585" s="4"/>
      <c r="BL585" s="4"/>
      <c r="BM585" s="4"/>
      <c r="BN585" s="4"/>
      <c r="BO585" s="4"/>
      <c r="BP585" s="4"/>
      <c r="BQ585" s="4"/>
      <c r="BR585" s="4"/>
    </row>
    <row r="586" spans="1:70">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c r="AG586" s="4"/>
      <c r="AH586" s="4"/>
      <c r="AI586" s="4"/>
      <c r="AJ586" s="4"/>
      <c r="AK586" s="4"/>
      <c r="AL586" s="4"/>
      <c r="AM586" s="4"/>
      <c r="AN586" s="4"/>
      <c r="AO586" s="4"/>
      <c r="AP586" s="4"/>
      <c r="AQ586" s="4"/>
      <c r="AR586" s="4"/>
      <c r="AS586" s="4"/>
      <c r="AT586" s="4"/>
      <c r="AU586" s="4"/>
      <c r="AV586" s="4"/>
      <c r="AW586" s="4"/>
      <c r="AX586" s="4"/>
      <c r="AY586" s="4"/>
      <c r="AZ586" s="4"/>
      <c r="BA586" s="4"/>
      <c r="BB586" s="4"/>
      <c r="BC586" s="5"/>
      <c r="BD586" s="4"/>
      <c r="BE586" s="4"/>
      <c r="BF586" s="4"/>
      <c r="BG586" s="4"/>
      <c r="BH586" s="4"/>
      <c r="BI586" s="4"/>
      <c r="BJ586" s="4"/>
      <c r="BK586" s="4"/>
      <c r="BL586" s="4"/>
      <c r="BM586" s="4"/>
      <c r="BN586" s="4"/>
      <c r="BO586" s="4"/>
      <c r="BP586" s="4"/>
      <c r="BQ586" s="4"/>
      <c r="BR586" s="4"/>
    </row>
    <row r="587" spans="1:70">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c r="AG587" s="4"/>
      <c r="AH587" s="4"/>
      <c r="AI587" s="4"/>
      <c r="AJ587" s="4"/>
      <c r="AK587" s="4"/>
      <c r="AL587" s="4"/>
      <c r="AM587" s="4"/>
      <c r="AN587" s="4"/>
      <c r="AO587" s="4"/>
      <c r="AP587" s="4"/>
      <c r="AQ587" s="4"/>
      <c r="AR587" s="4"/>
      <c r="AS587" s="4"/>
      <c r="AT587" s="4"/>
      <c r="AU587" s="4"/>
      <c r="AV587" s="4"/>
      <c r="AW587" s="4"/>
      <c r="AX587" s="4"/>
      <c r="AY587" s="4"/>
      <c r="AZ587" s="4"/>
      <c r="BA587" s="4"/>
      <c r="BB587" s="4"/>
      <c r="BC587" s="5"/>
      <c r="BD587" s="4"/>
      <c r="BE587" s="4"/>
      <c r="BF587" s="4"/>
      <c r="BG587" s="4"/>
      <c r="BH587" s="4"/>
      <c r="BI587" s="4"/>
      <c r="BJ587" s="4"/>
      <c r="BK587" s="4"/>
      <c r="BL587" s="4"/>
      <c r="BM587" s="4"/>
      <c r="BN587" s="4"/>
      <c r="BO587" s="4"/>
      <c r="BP587" s="4"/>
      <c r="BQ587" s="4"/>
      <c r="BR587" s="4"/>
    </row>
    <row r="588" spans="1:70">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c r="AG588" s="4"/>
      <c r="AH588" s="4"/>
      <c r="AI588" s="4"/>
      <c r="AJ588" s="4"/>
      <c r="AK588" s="4"/>
      <c r="AL588" s="4"/>
      <c r="AM588" s="4"/>
      <c r="AN588" s="4"/>
      <c r="AO588" s="4"/>
      <c r="AP588" s="4"/>
      <c r="AQ588" s="4"/>
      <c r="AR588" s="4"/>
      <c r="AS588" s="4"/>
      <c r="AT588" s="4"/>
      <c r="AU588" s="4"/>
      <c r="AV588" s="4"/>
      <c r="AW588" s="4"/>
      <c r="AX588" s="4"/>
      <c r="AY588" s="4"/>
      <c r="AZ588" s="4"/>
      <c r="BA588" s="4"/>
      <c r="BB588" s="4"/>
      <c r="BC588" s="5"/>
      <c r="BD588" s="4"/>
      <c r="BE588" s="4"/>
      <c r="BF588" s="4"/>
      <c r="BG588" s="4"/>
      <c r="BH588" s="4"/>
      <c r="BI588" s="4"/>
      <c r="BJ588" s="4"/>
      <c r="BK588" s="4"/>
      <c r="BL588" s="4"/>
      <c r="BM588" s="4"/>
      <c r="BN588" s="4"/>
      <c r="BO588" s="4"/>
      <c r="BP588" s="4"/>
      <c r="BQ588" s="4"/>
      <c r="BR588" s="4"/>
    </row>
    <row r="589" spans="1:70">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c r="AG589" s="4"/>
      <c r="AH589" s="4"/>
      <c r="AI589" s="4"/>
      <c r="AJ589" s="4"/>
      <c r="AK589" s="4"/>
      <c r="AL589" s="4"/>
      <c r="AM589" s="4"/>
      <c r="AN589" s="4"/>
      <c r="AO589" s="4"/>
      <c r="AP589" s="4"/>
      <c r="AQ589" s="4"/>
      <c r="AR589" s="4"/>
      <c r="AS589" s="4"/>
      <c r="AT589" s="4"/>
      <c r="AU589" s="4"/>
      <c r="AV589" s="4"/>
      <c r="AW589" s="4"/>
      <c r="AX589" s="4"/>
      <c r="AY589" s="4"/>
      <c r="AZ589" s="4"/>
      <c r="BA589" s="4"/>
      <c r="BB589" s="4"/>
      <c r="BC589" s="5"/>
      <c r="BD589" s="4"/>
      <c r="BE589" s="4"/>
      <c r="BF589" s="4"/>
      <c r="BG589" s="4"/>
      <c r="BH589" s="4"/>
      <c r="BI589" s="4"/>
      <c r="BJ589" s="4"/>
      <c r="BK589" s="4"/>
      <c r="BL589" s="4"/>
      <c r="BM589" s="4"/>
      <c r="BN589" s="4"/>
      <c r="BO589" s="4"/>
      <c r="BP589" s="4"/>
      <c r="BQ589" s="4"/>
      <c r="BR589" s="4"/>
    </row>
    <row r="590" spans="1:7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c r="AG590" s="4"/>
      <c r="AH590" s="4"/>
      <c r="AI590" s="4"/>
      <c r="AJ590" s="4"/>
      <c r="AK590" s="4"/>
      <c r="AL590" s="4"/>
      <c r="AM590" s="4"/>
      <c r="AN590" s="4"/>
      <c r="AO590" s="4"/>
      <c r="AP590" s="4"/>
      <c r="AQ590" s="4"/>
      <c r="AR590" s="4"/>
      <c r="AS590" s="4"/>
      <c r="AT590" s="4"/>
      <c r="AU590" s="4"/>
      <c r="AV590" s="4"/>
      <c r="AW590" s="4"/>
      <c r="AX590" s="4"/>
      <c r="AY590" s="4"/>
      <c r="AZ590" s="4"/>
      <c r="BA590" s="4"/>
      <c r="BB590" s="4"/>
      <c r="BC590" s="5"/>
      <c r="BD590" s="4"/>
      <c r="BE590" s="4"/>
      <c r="BF590" s="4"/>
      <c r="BG590" s="4"/>
      <c r="BH590" s="4"/>
      <c r="BI590" s="4"/>
      <c r="BJ590" s="4"/>
      <c r="BK590" s="4"/>
      <c r="BL590" s="4"/>
      <c r="BM590" s="4"/>
      <c r="BN590" s="4"/>
      <c r="BO590" s="4"/>
      <c r="BP590" s="4"/>
      <c r="BQ590" s="4"/>
      <c r="BR590" s="4"/>
    </row>
    <row r="591" spans="1:70">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c r="AG591" s="4"/>
      <c r="AH591" s="4"/>
      <c r="AI591" s="4"/>
      <c r="AJ591" s="4"/>
      <c r="AK591" s="4"/>
      <c r="AL591" s="4"/>
      <c r="AM591" s="4"/>
      <c r="AN591" s="4"/>
      <c r="AO591" s="4"/>
      <c r="AP591" s="4"/>
      <c r="AQ591" s="4"/>
      <c r="AR591" s="4"/>
      <c r="AS591" s="4"/>
      <c r="AT591" s="4"/>
      <c r="AU591" s="4"/>
      <c r="AV591" s="4"/>
      <c r="AW591" s="4"/>
      <c r="AX591" s="4"/>
      <c r="AY591" s="4"/>
      <c r="AZ591" s="4"/>
      <c r="BA591" s="4"/>
      <c r="BB591" s="4"/>
      <c r="BC591" s="5"/>
      <c r="BD591" s="4"/>
      <c r="BE591" s="4"/>
      <c r="BF591" s="4"/>
      <c r="BG591" s="4"/>
      <c r="BH591" s="4"/>
      <c r="BI591" s="4"/>
      <c r="BJ591" s="4"/>
      <c r="BK591" s="4"/>
      <c r="BL591" s="4"/>
      <c r="BM591" s="4"/>
      <c r="BN591" s="4"/>
      <c r="BO591" s="4"/>
      <c r="BP591" s="4"/>
      <c r="BQ591" s="4"/>
      <c r="BR591" s="4"/>
    </row>
    <row r="592" spans="1:70">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c r="AG592" s="4"/>
      <c r="AH592" s="4"/>
      <c r="AI592" s="4"/>
      <c r="AJ592" s="4"/>
      <c r="AK592" s="4"/>
      <c r="AL592" s="4"/>
      <c r="AM592" s="4"/>
      <c r="AN592" s="4"/>
      <c r="AO592" s="4"/>
      <c r="AP592" s="4"/>
      <c r="AQ592" s="4"/>
      <c r="AR592" s="4"/>
      <c r="AS592" s="4"/>
      <c r="AT592" s="4"/>
      <c r="AU592" s="4"/>
      <c r="AV592" s="4"/>
      <c r="AW592" s="4"/>
      <c r="AX592" s="4"/>
      <c r="AY592" s="4"/>
      <c r="AZ592" s="4"/>
      <c r="BA592" s="4"/>
      <c r="BB592" s="4"/>
      <c r="BC592" s="5"/>
      <c r="BD592" s="4"/>
      <c r="BE592" s="4"/>
      <c r="BF592" s="4"/>
      <c r="BG592" s="4"/>
      <c r="BH592" s="4"/>
      <c r="BI592" s="4"/>
      <c r="BJ592" s="4"/>
      <c r="BK592" s="4"/>
      <c r="BL592" s="4"/>
      <c r="BM592" s="4"/>
      <c r="BN592" s="4"/>
      <c r="BO592" s="4"/>
      <c r="BP592" s="4"/>
      <c r="BQ592" s="4"/>
      <c r="BR592" s="4"/>
    </row>
    <row r="593" spans="1:70">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c r="AG593" s="4"/>
      <c r="AH593" s="4"/>
      <c r="AI593" s="4"/>
      <c r="AJ593" s="4"/>
      <c r="AK593" s="4"/>
      <c r="AL593" s="4"/>
      <c r="AM593" s="4"/>
      <c r="AN593" s="4"/>
      <c r="AO593" s="4"/>
      <c r="AP593" s="4"/>
      <c r="AQ593" s="4"/>
      <c r="AR593" s="4"/>
      <c r="AS593" s="4"/>
      <c r="AT593" s="4"/>
      <c r="AU593" s="4"/>
      <c r="AV593" s="4"/>
      <c r="AW593" s="4"/>
      <c r="AX593" s="4"/>
      <c r="AY593" s="4"/>
      <c r="AZ593" s="4"/>
      <c r="BA593" s="4"/>
      <c r="BB593" s="4"/>
      <c r="BC593" s="5"/>
      <c r="BD593" s="4"/>
      <c r="BE593" s="4"/>
      <c r="BF593" s="4"/>
      <c r="BG593" s="4"/>
      <c r="BH593" s="4"/>
      <c r="BI593" s="4"/>
      <c r="BJ593" s="4"/>
      <c r="BK593" s="4"/>
      <c r="BL593" s="4"/>
      <c r="BM593" s="4"/>
      <c r="BN593" s="4"/>
      <c r="BO593" s="4"/>
      <c r="BP593" s="4"/>
      <c r="BQ593" s="4"/>
      <c r="BR593" s="4"/>
    </row>
    <row r="594" spans="1:70">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c r="AG594" s="4"/>
      <c r="AH594" s="4"/>
      <c r="AI594" s="4"/>
      <c r="AJ594" s="4"/>
      <c r="AK594" s="4"/>
      <c r="AL594" s="4"/>
      <c r="AM594" s="4"/>
      <c r="AN594" s="4"/>
      <c r="AO594" s="4"/>
      <c r="AP594" s="4"/>
      <c r="AQ594" s="4"/>
      <c r="AR594" s="4"/>
      <c r="AS594" s="4"/>
      <c r="AT594" s="4"/>
      <c r="AU594" s="4"/>
      <c r="AV594" s="4"/>
      <c r="AW594" s="4"/>
      <c r="AX594" s="4"/>
      <c r="AY594" s="4"/>
      <c r="AZ594" s="4"/>
      <c r="BA594" s="4"/>
      <c r="BB594" s="4"/>
      <c r="BC594" s="5"/>
      <c r="BD594" s="4"/>
      <c r="BE594" s="4"/>
      <c r="BF594" s="4"/>
      <c r="BG594" s="4"/>
      <c r="BH594" s="4"/>
      <c r="BI594" s="4"/>
      <c r="BJ594" s="4"/>
      <c r="BK594" s="4"/>
      <c r="BL594" s="4"/>
      <c r="BM594" s="4"/>
      <c r="BN594" s="4"/>
      <c r="BO594" s="4"/>
      <c r="BP594" s="4"/>
      <c r="BQ594" s="4"/>
      <c r="BR594" s="4"/>
    </row>
    <row r="595" spans="1:70">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c r="AG595" s="4"/>
      <c r="AH595" s="4"/>
      <c r="AI595" s="4"/>
      <c r="AJ595" s="4"/>
      <c r="AK595" s="4"/>
      <c r="AL595" s="4"/>
      <c r="AM595" s="4"/>
      <c r="AN595" s="4"/>
      <c r="AO595" s="4"/>
      <c r="AP595" s="4"/>
      <c r="AQ595" s="4"/>
      <c r="AR595" s="4"/>
      <c r="AS595" s="4"/>
      <c r="AT595" s="4"/>
      <c r="AU595" s="4"/>
      <c r="AV595" s="4"/>
      <c r="AW595" s="4"/>
      <c r="AX595" s="4"/>
      <c r="AY595" s="4"/>
      <c r="AZ595" s="4"/>
      <c r="BA595" s="4"/>
      <c r="BB595" s="4"/>
      <c r="BC595" s="5"/>
      <c r="BD595" s="4"/>
      <c r="BE595" s="4"/>
      <c r="BF595" s="4"/>
      <c r="BG595" s="4"/>
      <c r="BH595" s="4"/>
      <c r="BI595" s="4"/>
      <c r="BJ595" s="4"/>
      <c r="BK595" s="4"/>
      <c r="BL595" s="4"/>
      <c r="BM595" s="4"/>
      <c r="BN595" s="4"/>
      <c r="BO595" s="4"/>
      <c r="BP595" s="4"/>
      <c r="BQ595" s="4"/>
      <c r="BR595" s="4"/>
    </row>
    <row r="596" spans="1:70">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c r="AG596" s="4"/>
      <c r="AH596" s="4"/>
      <c r="AI596" s="4"/>
      <c r="AJ596" s="4"/>
      <c r="AK596" s="4"/>
      <c r="AL596" s="4"/>
      <c r="AM596" s="4"/>
      <c r="AN596" s="4"/>
      <c r="AO596" s="4"/>
      <c r="AP596" s="4"/>
      <c r="AQ596" s="4"/>
      <c r="AR596" s="4"/>
      <c r="AS596" s="4"/>
      <c r="AT596" s="4"/>
      <c r="AU596" s="4"/>
      <c r="AV596" s="4"/>
      <c r="AW596" s="4"/>
      <c r="AX596" s="4"/>
      <c r="AY596" s="4"/>
      <c r="AZ596" s="4"/>
      <c r="BA596" s="4"/>
      <c r="BB596" s="4"/>
      <c r="BC596" s="5"/>
      <c r="BD596" s="4"/>
      <c r="BE596" s="4"/>
      <c r="BF596" s="4"/>
      <c r="BG596" s="4"/>
      <c r="BH596" s="4"/>
      <c r="BI596" s="4"/>
      <c r="BJ596" s="4"/>
      <c r="BK596" s="4"/>
      <c r="BL596" s="4"/>
      <c r="BM596" s="4"/>
      <c r="BN596" s="4"/>
      <c r="BO596" s="4"/>
      <c r="BP596" s="4"/>
      <c r="BQ596" s="4"/>
      <c r="BR596" s="4"/>
    </row>
    <row r="597" spans="1:70">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c r="AG597" s="4"/>
      <c r="AH597" s="4"/>
      <c r="AI597" s="4"/>
      <c r="AJ597" s="4"/>
      <c r="AK597" s="4"/>
      <c r="AL597" s="4"/>
      <c r="AM597" s="4"/>
      <c r="AN597" s="4"/>
      <c r="AO597" s="4"/>
      <c r="AP597" s="4"/>
      <c r="AQ597" s="4"/>
      <c r="AR597" s="4"/>
      <c r="AS597" s="4"/>
      <c r="AT597" s="4"/>
      <c r="AU597" s="4"/>
      <c r="AV597" s="4"/>
      <c r="AW597" s="4"/>
      <c r="AX597" s="4"/>
      <c r="AY597" s="4"/>
      <c r="AZ597" s="4"/>
      <c r="BA597" s="4"/>
      <c r="BB597" s="4"/>
      <c r="BC597" s="5"/>
      <c r="BD597" s="4"/>
      <c r="BE597" s="4"/>
      <c r="BF597" s="4"/>
      <c r="BG597" s="4"/>
      <c r="BH597" s="4"/>
      <c r="BI597" s="4"/>
      <c r="BJ597" s="4"/>
      <c r="BK597" s="4"/>
      <c r="BL597" s="4"/>
      <c r="BM597" s="4"/>
      <c r="BN597" s="4"/>
      <c r="BO597" s="4"/>
      <c r="BP597" s="4"/>
      <c r="BQ597" s="4"/>
      <c r="BR597" s="4"/>
    </row>
    <row r="598" spans="1:70">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c r="AG598" s="4"/>
      <c r="AH598" s="4"/>
      <c r="AI598" s="4"/>
      <c r="AJ598" s="4"/>
      <c r="AK598" s="4"/>
      <c r="AL598" s="4"/>
      <c r="AM598" s="4"/>
      <c r="AN598" s="4"/>
      <c r="AO598" s="4"/>
      <c r="AP598" s="4"/>
      <c r="AQ598" s="4"/>
      <c r="AR598" s="4"/>
      <c r="AS598" s="4"/>
      <c r="AT598" s="4"/>
      <c r="AU598" s="4"/>
      <c r="AV598" s="4"/>
      <c r="AW598" s="4"/>
      <c r="AX598" s="4"/>
      <c r="AY598" s="4"/>
      <c r="AZ598" s="4"/>
      <c r="BA598" s="4"/>
      <c r="BB598" s="4"/>
      <c r="BC598" s="5"/>
      <c r="BD598" s="4"/>
      <c r="BE598" s="4"/>
      <c r="BF598" s="4"/>
      <c r="BG598" s="4"/>
      <c r="BH598" s="4"/>
      <c r="BI598" s="4"/>
      <c r="BJ598" s="4"/>
      <c r="BK598" s="4"/>
      <c r="BL598" s="4"/>
      <c r="BM598" s="4"/>
      <c r="BN598" s="4"/>
      <c r="BO598" s="4"/>
      <c r="BP598" s="4"/>
      <c r="BQ598" s="4"/>
      <c r="BR598" s="4"/>
    </row>
    <row r="599" spans="1:70">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c r="AG599" s="4"/>
      <c r="AH599" s="4"/>
      <c r="AI599" s="4"/>
      <c r="AJ599" s="4"/>
      <c r="AK599" s="4"/>
      <c r="AL599" s="4"/>
      <c r="AM599" s="4"/>
      <c r="AN599" s="4"/>
      <c r="AO599" s="4"/>
      <c r="AP599" s="4"/>
      <c r="AQ599" s="4"/>
      <c r="AR599" s="4"/>
      <c r="AS599" s="4"/>
      <c r="AT599" s="4"/>
      <c r="AU599" s="4"/>
      <c r="AV599" s="4"/>
      <c r="AW599" s="4"/>
      <c r="AX599" s="4"/>
      <c r="AY599" s="4"/>
      <c r="AZ599" s="4"/>
      <c r="BA599" s="4"/>
      <c r="BB599" s="4"/>
      <c r="BC599" s="5"/>
      <c r="BD599" s="4"/>
      <c r="BE599" s="4"/>
      <c r="BF599" s="4"/>
      <c r="BG599" s="4"/>
      <c r="BH599" s="4"/>
      <c r="BI599" s="4"/>
      <c r="BJ599" s="4"/>
      <c r="BK599" s="4"/>
      <c r="BL599" s="4"/>
      <c r="BM599" s="4"/>
      <c r="BN599" s="4"/>
      <c r="BO599" s="4"/>
      <c r="BP599" s="4"/>
      <c r="BQ599" s="4"/>
      <c r="BR599" s="4"/>
    </row>
    <row r="600" spans="1:7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c r="AG600" s="4"/>
      <c r="AH600" s="4"/>
      <c r="AI600" s="4"/>
      <c r="AJ600" s="4"/>
      <c r="AK600" s="4"/>
      <c r="AL600" s="4"/>
      <c r="AM600" s="4"/>
      <c r="AN600" s="4"/>
      <c r="AO600" s="4"/>
      <c r="AP600" s="4"/>
      <c r="AQ600" s="4"/>
      <c r="AR600" s="4"/>
      <c r="AS600" s="4"/>
      <c r="AT600" s="4"/>
      <c r="AU600" s="4"/>
      <c r="AV600" s="4"/>
      <c r="AW600" s="4"/>
      <c r="AX600" s="4"/>
      <c r="AY600" s="4"/>
      <c r="AZ600" s="4"/>
      <c r="BA600" s="4"/>
      <c r="BB600" s="4"/>
      <c r="BC600" s="5"/>
      <c r="BD600" s="4"/>
      <c r="BE600" s="4"/>
      <c r="BF600" s="4"/>
      <c r="BG600" s="4"/>
      <c r="BH600" s="4"/>
      <c r="BI600" s="4"/>
      <c r="BJ600" s="4"/>
      <c r="BK600" s="4"/>
      <c r="BL600" s="4"/>
      <c r="BM600" s="4"/>
      <c r="BN600" s="4"/>
      <c r="BO600" s="4"/>
      <c r="BP600" s="4"/>
      <c r="BQ600" s="4"/>
      <c r="BR600" s="4"/>
    </row>
    <row r="601" spans="1:70">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c r="AG601" s="4"/>
      <c r="AH601" s="4"/>
      <c r="AI601" s="4"/>
      <c r="AJ601" s="4"/>
      <c r="AK601" s="4"/>
      <c r="AL601" s="4"/>
      <c r="AM601" s="4"/>
      <c r="AN601" s="4"/>
      <c r="AO601" s="4"/>
      <c r="AP601" s="4"/>
      <c r="AQ601" s="4"/>
      <c r="AR601" s="4"/>
      <c r="AS601" s="4"/>
      <c r="AT601" s="4"/>
      <c r="AU601" s="4"/>
      <c r="AV601" s="4"/>
      <c r="AW601" s="4"/>
      <c r="AX601" s="4"/>
      <c r="AY601" s="4"/>
      <c r="AZ601" s="4"/>
      <c r="BA601" s="4"/>
      <c r="BB601" s="4"/>
      <c r="BC601" s="5"/>
      <c r="BD601" s="4"/>
      <c r="BE601" s="4"/>
      <c r="BF601" s="4"/>
      <c r="BG601" s="4"/>
      <c r="BH601" s="4"/>
      <c r="BI601" s="4"/>
      <c r="BJ601" s="4"/>
      <c r="BK601" s="4"/>
      <c r="BL601" s="4"/>
      <c r="BM601" s="4"/>
      <c r="BN601" s="4"/>
      <c r="BO601" s="4"/>
      <c r="BP601" s="4"/>
      <c r="BQ601" s="4"/>
      <c r="BR601" s="4"/>
    </row>
    <row r="602" spans="1:70">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c r="AG602" s="4"/>
      <c r="AH602" s="4"/>
      <c r="AI602" s="4"/>
      <c r="AJ602" s="4"/>
      <c r="AK602" s="4"/>
      <c r="AL602" s="4"/>
      <c r="AM602" s="4"/>
      <c r="AN602" s="4"/>
      <c r="AO602" s="4"/>
      <c r="AP602" s="4"/>
      <c r="AQ602" s="4"/>
      <c r="AR602" s="4"/>
      <c r="AS602" s="4"/>
      <c r="AT602" s="4"/>
      <c r="AU602" s="4"/>
      <c r="AV602" s="4"/>
      <c r="AW602" s="4"/>
      <c r="AX602" s="4"/>
      <c r="AY602" s="4"/>
      <c r="AZ602" s="4"/>
      <c r="BA602" s="4"/>
      <c r="BB602" s="4"/>
      <c r="BC602" s="5"/>
      <c r="BD602" s="4"/>
      <c r="BE602" s="4"/>
      <c r="BF602" s="4"/>
      <c r="BG602" s="4"/>
      <c r="BH602" s="4"/>
      <c r="BI602" s="4"/>
      <c r="BJ602" s="4"/>
      <c r="BK602" s="4"/>
      <c r="BL602" s="4"/>
      <c r="BM602" s="4"/>
      <c r="BN602" s="4"/>
      <c r="BO602" s="4"/>
      <c r="BP602" s="4"/>
      <c r="BQ602" s="4"/>
      <c r="BR602" s="4"/>
    </row>
    <row r="603" spans="1:70">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c r="AG603" s="4"/>
      <c r="AH603" s="4"/>
      <c r="AI603" s="4"/>
      <c r="AJ603" s="4"/>
      <c r="AK603" s="4"/>
      <c r="AL603" s="4"/>
      <c r="AM603" s="4"/>
      <c r="AN603" s="4"/>
      <c r="AO603" s="4"/>
      <c r="AP603" s="4"/>
      <c r="AQ603" s="4"/>
      <c r="AR603" s="4"/>
      <c r="AS603" s="4"/>
      <c r="AT603" s="4"/>
      <c r="AU603" s="4"/>
      <c r="AV603" s="4"/>
      <c r="AW603" s="4"/>
      <c r="AX603" s="4"/>
      <c r="AY603" s="4"/>
      <c r="AZ603" s="4"/>
      <c r="BA603" s="4"/>
      <c r="BB603" s="4"/>
      <c r="BC603" s="5"/>
      <c r="BD603" s="4"/>
      <c r="BE603" s="4"/>
      <c r="BF603" s="4"/>
      <c r="BG603" s="4"/>
      <c r="BH603" s="4"/>
      <c r="BI603" s="4"/>
      <c r="BJ603" s="4"/>
      <c r="BK603" s="4"/>
      <c r="BL603" s="4"/>
      <c r="BM603" s="4"/>
      <c r="BN603" s="4"/>
      <c r="BO603" s="4"/>
      <c r="BP603" s="4"/>
      <c r="BQ603" s="4"/>
      <c r="BR603" s="4"/>
    </row>
    <row r="604" spans="1:70">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c r="AG604" s="4"/>
      <c r="AH604" s="4"/>
      <c r="AI604" s="4"/>
      <c r="AJ604" s="4"/>
      <c r="AK604" s="4"/>
      <c r="AL604" s="4"/>
      <c r="AM604" s="4"/>
      <c r="AN604" s="4"/>
      <c r="AO604" s="4"/>
      <c r="AP604" s="4"/>
      <c r="AQ604" s="4"/>
      <c r="AR604" s="4"/>
      <c r="AS604" s="4"/>
      <c r="AT604" s="4"/>
      <c r="AU604" s="4"/>
      <c r="AV604" s="4"/>
      <c r="AW604" s="4"/>
      <c r="AX604" s="4"/>
      <c r="AY604" s="4"/>
      <c r="AZ604" s="4"/>
      <c r="BA604" s="4"/>
      <c r="BB604" s="4"/>
      <c r="BC604" s="5"/>
      <c r="BD604" s="4"/>
      <c r="BE604" s="4"/>
      <c r="BF604" s="4"/>
      <c r="BG604" s="4"/>
      <c r="BH604" s="4"/>
      <c r="BI604" s="4"/>
      <c r="BJ604" s="4"/>
      <c r="BK604" s="4"/>
      <c r="BL604" s="4"/>
      <c r="BM604" s="4"/>
      <c r="BN604" s="4"/>
      <c r="BO604" s="4"/>
      <c r="BP604" s="4"/>
      <c r="BQ604" s="4"/>
      <c r="BR604" s="4"/>
    </row>
    <row r="605" spans="1:70">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c r="AG605" s="4"/>
      <c r="AH605" s="4"/>
      <c r="AI605" s="4"/>
      <c r="AJ605" s="4"/>
      <c r="AK605" s="4"/>
      <c r="AL605" s="4"/>
      <c r="AM605" s="4"/>
      <c r="AN605" s="4"/>
      <c r="AO605" s="4"/>
      <c r="AP605" s="4"/>
      <c r="AQ605" s="4"/>
      <c r="AR605" s="4"/>
      <c r="AS605" s="4"/>
      <c r="AT605" s="4"/>
      <c r="AU605" s="4"/>
      <c r="AV605" s="4"/>
      <c r="AW605" s="4"/>
      <c r="AX605" s="4"/>
      <c r="AY605" s="4"/>
      <c r="AZ605" s="4"/>
      <c r="BA605" s="4"/>
      <c r="BB605" s="4"/>
      <c r="BC605" s="5"/>
      <c r="BD605" s="4"/>
      <c r="BE605" s="4"/>
      <c r="BF605" s="4"/>
      <c r="BG605" s="4"/>
      <c r="BH605" s="4"/>
      <c r="BI605" s="4"/>
      <c r="BJ605" s="4"/>
      <c r="BK605" s="4"/>
      <c r="BL605" s="4"/>
      <c r="BM605" s="4"/>
      <c r="BN605" s="4"/>
      <c r="BO605" s="4"/>
      <c r="BP605" s="4"/>
      <c r="BQ605" s="4"/>
      <c r="BR605" s="4"/>
    </row>
    <row r="606" spans="1:70">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c r="AG606" s="4"/>
      <c r="AH606" s="4"/>
      <c r="AI606" s="4"/>
      <c r="AJ606" s="4"/>
      <c r="AK606" s="4"/>
      <c r="AL606" s="4"/>
      <c r="AM606" s="4"/>
      <c r="AN606" s="4"/>
      <c r="AO606" s="4"/>
      <c r="AP606" s="4"/>
      <c r="AQ606" s="4"/>
      <c r="AR606" s="4"/>
      <c r="AS606" s="4"/>
      <c r="AT606" s="4"/>
      <c r="AU606" s="4"/>
      <c r="AV606" s="4"/>
      <c r="AW606" s="4"/>
      <c r="AX606" s="4"/>
      <c r="AY606" s="4"/>
      <c r="AZ606" s="4"/>
      <c r="BA606" s="4"/>
      <c r="BB606" s="4"/>
      <c r="BC606" s="5"/>
      <c r="BD606" s="4"/>
      <c r="BE606" s="4"/>
      <c r="BF606" s="4"/>
      <c r="BG606" s="4"/>
      <c r="BH606" s="4"/>
      <c r="BI606" s="4"/>
      <c r="BJ606" s="4"/>
      <c r="BK606" s="4"/>
      <c r="BL606" s="4"/>
      <c r="BM606" s="4"/>
      <c r="BN606" s="4"/>
      <c r="BO606" s="4"/>
      <c r="BP606" s="4"/>
      <c r="BQ606" s="4"/>
      <c r="BR606" s="4"/>
    </row>
    <row r="607" spans="1:70">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c r="AG607" s="4"/>
      <c r="AH607" s="4"/>
      <c r="AI607" s="4"/>
      <c r="AJ607" s="4"/>
      <c r="AK607" s="4"/>
      <c r="AL607" s="4"/>
      <c r="AM607" s="4"/>
      <c r="AN607" s="4"/>
      <c r="AO607" s="4"/>
      <c r="AP607" s="4"/>
      <c r="AQ607" s="4"/>
      <c r="AR607" s="4"/>
      <c r="AS607" s="4"/>
      <c r="AT607" s="4"/>
      <c r="AU607" s="4"/>
      <c r="AV607" s="4"/>
      <c r="AW607" s="4"/>
      <c r="AX607" s="4"/>
      <c r="AY607" s="4"/>
      <c r="AZ607" s="4"/>
      <c r="BA607" s="4"/>
      <c r="BB607" s="4"/>
      <c r="BC607" s="5"/>
      <c r="BD607" s="4"/>
      <c r="BE607" s="4"/>
      <c r="BF607" s="4"/>
      <c r="BG607" s="4"/>
      <c r="BH607" s="4"/>
      <c r="BI607" s="4"/>
      <c r="BJ607" s="4"/>
      <c r="BK607" s="4"/>
      <c r="BL607" s="4"/>
      <c r="BM607" s="4"/>
      <c r="BN607" s="4"/>
      <c r="BO607" s="4"/>
      <c r="BP607" s="4"/>
      <c r="BQ607" s="4"/>
      <c r="BR607" s="4"/>
    </row>
    <row r="608" spans="1:70">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c r="AG608" s="4"/>
      <c r="AH608" s="4"/>
      <c r="AI608" s="4"/>
      <c r="AJ608" s="4"/>
      <c r="AK608" s="4"/>
      <c r="AL608" s="4"/>
      <c r="AM608" s="4"/>
      <c r="AN608" s="4"/>
      <c r="AO608" s="4"/>
      <c r="AP608" s="4"/>
      <c r="AQ608" s="4"/>
      <c r="AR608" s="4"/>
      <c r="AS608" s="4"/>
      <c r="AT608" s="4"/>
      <c r="AU608" s="4"/>
      <c r="AV608" s="4"/>
      <c r="AW608" s="4"/>
      <c r="AX608" s="4"/>
      <c r="AY608" s="4"/>
      <c r="AZ608" s="4"/>
      <c r="BA608" s="4"/>
      <c r="BB608" s="4"/>
      <c r="BC608" s="5"/>
      <c r="BD608" s="4"/>
      <c r="BE608" s="4"/>
      <c r="BF608" s="4"/>
      <c r="BG608" s="4"/>
      <c r="BH608" s="4"/>
      <c r="BI608" s="4"/>
      <c r="BJ608" s="4"/>
      <c r="BK608" s="4"/>
      <c r="BL608" s="4"/>
      <c r="BM608" s="4"/>
      <c r="BN608" s="4"/>
      <c r="BO608" s="4"/>
      <c r="BP608" s="4"/>
      <c r="BQ608" s="4"/>
      <c r="BR608" s="4"/>
    </row>
    <row r="609" spans="1:70">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c r="AG609" s="4"/>
      <c r="AH609" s="4"/>
      <c r="AI609" s="4"/>
      <c r="AJ609" s="4"/>
      <c r="AK609" s="4"/>
      <c r="AL609" s="4"/>
      <c r="AM609" s="4"/>
      <c r="AN609" s="4"/>
      <c r="AO609" s="4"/>
      <c r="AP609" s="4"/>
      <c r="AQ609" s="4"/>
      <c r="AR609" s="4"/>
      <c r="AS609" s="4"/>
      <c r="AT609" s="4"/>
      <c r="AU609" s="4"/>
      <c r="AV609" s="4"/>
      <c r="AW609" s="4"/>
      <c r="AX609" s="4"/>
      <c r="AY609" s="4"/>
      <c r="AZ609" s="4"/>
      <c r="BA609" s="4"/>
      <c r="BB609" s="4"/>
      <c r="BC609" s="5"/>
      <c r="BD609" s="4"/>
      <c r="BE609" s="4"/>
      <c r="BF609" s="4"/>
      <c r="BG609" s="4"/>
      <c r="BH609" s="4"/>
      <c r="BI609" s="4"/>
      <c r="BJ609" s="4"/>
      <c r="BK609" s="4"/>
      <c r="BL609" s="4"/>
      <c r="BM609" s="4"/>
      <c r="BN609" s="4"/>
      <c r="BO609" s="4"/>
      <c r="BP609" s="4"/>
      <c r="BQ609" s="4"/>
      <c r="BR609" s="4"/>
    </row>
    <row r="610" spans="1:7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c r="AG610" s="4"/>
      <c r="AH610" s="4"/>
      <c r="AI610" s="4"/>
      <c r="AJ610" s="4"/>
      <c r="AK610" s="4"/>
      <c r="AL610" s="4"/>
      <c r="AM610" s="4"/>
      <c r="AN610" s="4"/>
      <c r="AO610" s="4"/>
      <c r="AP610" s="4"/>
      <c r="AQ610" s="4"/>
      <c r="AR610" s="4"/>
      <c r="AS610" s="4"/>
      <c r="AT610" s="4"/>
      <c r="AU610" s="4"/>
      <c r="AV610" s="4"/>
      <c r="AW610" s="4"/>
      <c r="AX610" s="4"/>
      <c r="AY610" s="4"/>
      <c r="AZ610" s="4"/>
      <c r="BA610" s="4"/>
      <c r="BB610" s="4"/>
      <c r="BC610" s="5"/>
      <c r="BD610" s="4"/>
      <c r="BE610" s="4"/>
      <c r="BF610" s="4"/>
      <c r="BG610" s="4"/>
      <c r="BH610" s="4"/>
      <c r="BI610" s="4"/>
      <c r="BJ610" s="4"/>
      <c r="BK610" s="4"/>
      <c r="BL610" s="4"/>
      <c r="BM610" s="4"/>
      <c r="BN610" s="4"/>
      <c r="BO610" s="4"/>
      <c r="BP610" s="4"/>
      <c r="BQ610" s="4"/>
      <c r="BR610" s="4"/>
    </row>
    <row r="611" spans="1:70">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c r="AG611" s="4"/>
      <c r="AH611" s="4"/>
      <c r="AI611" s="4"/>
      <c r="AJ611" s="4"/>
      <c r="AK611" s="4"/>
      <c r="AL611" s="4"/>
      <c r="AM611" s="4"/>
      <c r="AN611" s="4"/>
      <c r="AO611" s="4"/>
      <c r="AP611" s="4"/>
      <c r="AQ611" s="4"/>
      <c r="AR611" s="4"/>
      <c r="AS611" s="4"/>
      <c r="AT611" s="4"/>
      <c r="AU611" s="4"/>
      <c r="AV611" s="4"/>
      <c r="AW611" s="4"/>
      <c r="AX611" s="4"/>
      <c r="AY611" s="4"/>
      <c r="AZ611" s="4"/>
      <c r="BA611" s="4"/>
      <c r="BB611" s="4"/>
      <c r="BC611" s="5"/>
      <c r="BD611" s="4"/>
      <c r="BE611" s="4"/>
      <c r="BF611" s="4"/>
      <c r="BG611" s="4"/>
      <c r="BH611" s="4"/>
      <c r="BI611" s="4"/>
      <c r="BJ611" s="4"/>
      <c r="BK611" s="4"/>
      <c r="BL611" s="4"/>
      <c r="BM611" s="4"/>
      <c r="BN611" s="4"/>
      <c r="BO611" s="4"/>
      <c r="BP611" s="4"/>
      <c r="BQ611" s="4"/>
      <c r="BR611" s="4"/>
    </row>
    <row r="612" spans="1:70">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c r="AG612" s="4"/>
      <c r="AH612" s="4"/>
      <c r="AI612" s="4"/>
      <c r="AJ612" s="4"/>
      <c r="AK612" s="4"/>
      <c r="AL612" s="4"/>
      <c r="AM612" s="4"/>
      <c r="AN612" s="4"/>
      <c r="AO612" s="4"/>
      <c r="AP612" s="4"/>
      <c r="AQ612" s="4"/>
      <c r="AR612" s="4"/>
      <c r="AS612" s="4"/>
      <c r="AT612" s="4"/>
      <c r="AU612" s="4"/>
      <c r="AV612" s="4"/>
      <c r="AW612" s="4"/>
      <c r="AX612" s="4"/>
      <c r="AY612" s="4"/>
      <c r="AZ612" s="4"/>
      <c r="BA612" s="4"/>
      <c r="BB612" s="4"/>
      <c r="BC612" s="5"/>
      <c r="BD612" s="4"/>
      <c r="BE612" s="4"/>
      <c r="BF612" s="4"/>
      <c r="BG612" s="4"/>
      <c r="BH612" s="4"/>
      <c r="BI612" s="4"/>
      <c r="BJ612" s="4"/>
      <c r="BK612" s="4"/>
      <c r="BL612" s="4"/>
      <c r="BM612" s="4"/>
      <c r="BN612" s="4"/>
      <c r="BO612" s="4"/>
      <c r="BP612" s="4"/>
      <c r="BQ612" s="4"/>
      <c r="BR612" s="4"/>
    </row>
    <row r="613" spans="1:70">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c r="AG613" s="4"/>
      <c r="AH613" s="4"/>
      <c r="AI613" s="4"/>
      <c r="AJ613" s="4"/>
      <c r="AK613" s="4"/>
      <c r="AL613" s="4"/>
      <c r="AM613" s="4"/>
      <c r="AN613" s="4"/>
      <c r="AO613" s="4"/>
      <c r="AP613" s="4"/>
      <c r="AQ613" s="4"/>
      <c r="AR613" s="4"/>
      <c r="AS613" s="4"/>
      <c r="AT613" s="4"/>
      <c r="AU613" s="4"/>
      <c r="AV613" s="4"/>
      <c r="AW613" s="4"/>
      <c r="AX613" s="4"/>
      <c r="AY613" s="4"/>
      <c r="AZ613" s="4"/>
      <c r="BA613" s="4"/>
      <c r="BB613" s="4"/>
      <c r="BC613" s="5"/>
      <c r="BD613" s="4"/>
      <c r="BE613" s="4"/>
      <c r="BF613" s="4"/>
      <c r="BG613" s="4"/>
      <c r="BH613" s="4"/>
      <c r="BI613" s="4"/>
      <c r="BJ613" s="4"/>
      <c r="BK613" s="4"/>
      <c r="BL613" s="4"/>
      <c r="BM613" s="4"/>
      <c r="BN613" s="4"/>
      <c r="BO613" s="4"/>
      <c r="BP613" s="4"/>
      <c r="BQ613" s="4"/>
      <c r="BR613" s="4"/>
    </row>
    <row r="614" spans="1:70">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c r="AG614" s="4"/>
      <c r="AH614" s="4"/>
      <c r="AI614" s="4"/>
      <c r="AJ614" s="4"/>
      <c r="AK614" s="4"/>
      <c r="AL614" s="4"/>
      <c r="AM614" s="4"/>
      <c r="AN614" s="4"/>
      <c r="AO614" s="4"/>
      <c r="AP614" s="4"/>
      <c r="AQ614" s="4"/>
      <c r="AR614" s="4"/>
      <c r="AS614" s="4"/>
      <c r="AT614" s="4"/>
      <c r="AU614" s="4"/>
      <c r="AV614" s="4"/>
      <c r="AW614" s="4"/>
      <c r="AX614" s="4"/>
      <c r="AY614" s="4"/>
      <c r="AZ614" s="4"/>
      <c r="BA614" s="4"/>
      <c r="BB614" s="4"/>
      <c r="BC614" s="5"/>
      <c r="BD614" s="4"/>
      <c r="BE614" s="4"/>
      <c r="BF614" s="4"/>
      <c r="BG614" s="4"/>
      <c r="BH614" s="4"/>
      <c r="BI614" s="4"/>
      <c r="BJ614" s="4"/>
      <c r="BK614" s="4"/>
      <c r="BL614" s="4"/>
      <c r="BM614" s="4"/>
      <c r="BN614" s="4"/>
      <c r="BO614" s="4"/>
      <c r="BP614" s="4"/>
      <c r="BQ614" s="4"/>
      <c r="BR614" s="4"/>
    </row>
    <row r="615" spans="1:70">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c r="AG615" s="4"/>
      <c r="AH615" s="4"/>
      <c r="AI615" s="4"/>
      <c r="AJ615" s="4"/>
      <c r="AK615" s="4"/>
      <c r="AL615" s="4"/>
      <c r="AM615" s="4"/>
      <c r="AN615" s="4"/>
      <c r="AO615" s="4"/>
      <c r="AP615" s="4"/>
      <c r="AQ615" s="4"/>
      <c r="AR615" s="4"/>
      <c r="AS615" s="4"/>
      <c r="AT615" s="4"/>
      <c r="AU615" s="4"/>
      <c r="AV615" s="4"/>
      <c r="AW615" s="4"/>
      <c r="AX615" s="4"/>
      <c r="AY615" s="4"/>
      <c r="AZ615" s="4"/>
      <c r="BA615" s="4"/>
      <c r="BB615" s="4"/>
      <c r="BC615" s="5"/>
      <c r="BD615" s="4"/>
      <c r="BE615" s="4"/>
      <c r="BF615" s="4"/>
      <c r="BG615" s="4"/>
      <c r="BH615" s="4"/>
      <c r="BI615" s="4"/>
      <c r="BJ615" s="4"/>
      <c r="BK615" s="4"/>
      <c r="BL615" s="4"/>
      <c r="BM615" s="4"/>
      <c r="BN615" s="4"/>
      <c r="BO615" s="4"/>
      <c r="BP615" s="4"/>
      <c r="BQ615" s="4"/>
      <c r="BR615" s="4"/>
    </row>
    <row r="616" spans="1:70">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c r="AG616" s="4"/>
      <c r="AH616" s="4"/>
      <c r="AI616" s="4"/>
      <c r="AJ616" s="4"/>
      <c r="AK616" s="4"/>
      <c r="AL616" s="4"/>
      <c r="AM616" s="4"/>
      <c r="AN616" s="4"/>
      <c r="AO616" s="4"/>
      <c r="AP616" s="4"/>
      <c r="AQ616" s="4"/>
      <c r="AR616" s="4"/>
      <c r="AS616" s="4"/>
      <c r="AT616" s="4"/>
      <c r="AU616" s="4"/>
      <c r="AV616" s="4"/>
      <c r="AW616" s="4"/>
      <c r="AX616" s="4"/>
      <c r="AY616" s="4"/>
      <c r="AZ616" s="4"/>
      <c r="BA616" s="4"/>
      <c r="BB616" s="4"/>
      <c r="BC616" s="5"/>
      <c r="BD616" s="4"/>
      <c r="BE616" s="4"/>
      <c r="BF616" s="4"/>
      <c r="BG616" s="4"/>
      <c r="BH616" s="4"/>
      <c r="BI616" s="4"/>
      <c r="BJ616" s="4"/>
      <c r="BK616" s="4"/>
      <c r="BL616" s="4"/>
      <c r="BM616" s="4"/>
      <c r="BN616" s="4"/>
      <c r="BO616" s="4"/>
      <c r="BP616" s="4"/>
      <c r="BQ616" s="4"/>
      <c r="BR616" s="4"/>
    </row>
    <row r="617" spans="1:70">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c r="AG617" s="4"/>
      <c r="AH617" s="4"/>
      <c r="AI617" s="4"/>
      <c r="AJ617" s="4"/>
      <c r="AK617" s="4"/>
      <c r="AL617" s="4"/>
      <c r="AM617" s="4"/>
      <c r="AN617" s="4"/>
      <c r="AO617" s="4"/>
      <c r="AP617" s="4"/>
      <c r="AQ617" s="4"/>
      <c r="AR617" s="4"/>
      <c r="AS617" s="4"/>
      <c r="AT617" s="4"/>
      <c r="AU617" s="4"/>
      <c r="AV617" s="4"/>
      <c r="AW617" s="4"/>
      <c r="AX617" s="4"/>
      <c r="AY617" s="4"/>
      <c r="AZ617" s="4"/>
      <c r="BA617" s="4"/>
      <c r="BB617" s="4"/>
      <c r="BC617" s="5"/>
      <c r="BD617" s="4"/>
      <c r="BE617" s="4"/>
      <c r="BF617" s="4"/>
      <c r="BG617" s="4"/>
      <c r="BH617" s="4"/>
      <c r="BI617" s="4"/>
      <c r="BJ617" s="4"/>
      <c r="BK617" s="4"/>
      <c r="BL617" s="4"/>
      <c r="BM617" s="4"/>
      <c r="BN617" s="4"/>
      <c r="BO617" s="4"/>
      <c r="BP617" s="4"/>
      <c r="BQ617" s="4"/>
      <c r="BR617" s="4"/>
    </row>
    <row r="618" spans="1:70">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c r="AG618" s="4"/>
      <c r="AH618" s="4"/>
      <c r="AI618" s="4"/>
      <c r="AJ618" s="4"/>
      <c r="AK618" s="4"/>
      <c r="AL618" s="4"/>
      <c r="AM618" s="4"/>
      <c r="AN618" s="4"/>
      <c r="AO618" s="4"/>
      <c r="AP618" s="4"/>
      <c r="AQ618" s="4"/>
      <c r="AR618" s="4"/>
      <c r="AS618" s="4"/>
      <c r="AT618" s="4"/>
      <c r="AU618" s="4"/>
      <c r="AV618" s="4"/>
      <c r="AW618" s="4"/>
      <c r="AX618" s="4"/>
      <c r="AY618" s="4"/>
      <c r="AZ618" s="4"/>
      <c r="BA618" s="4"/>
      <c r="BB618" s="4"/>
      <c r="BC618" s="5"/>
      <c r="BD618" s="4"/>
      <c r="BE618" s="4"/>
      <c r="BF618" s="4"/>
      <c r="BG618" s="4"/>
      <c r="BH618" s="4"/>
      <c r="BI618" s="4"/>
      <c r="BJ618" s="4"/>
      <c r="BK618" s="4"/>
      <c r="BL618" s="4"/>
      <c r="BM618" s="4"/>
      <c r="BN618" s="4"/>
      <c r="BO618" s="4"/>
      <c r="BP618" s="4"/>
      <c r="BQ618" s="4"/>
      <c r="BR618" s="4"/>
    </row>
    <row r="619" spans="1:70">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c r="AG619" s="4"/>
      <c r="AH619" s="4"/>
      <c r="AI619" s="4"/>
      <c r="AJ619" s="4"/>
      <c r="AK619" s="4"/>
      <c r="AL619" s="4"/>
      <c r="AM619" s="4"/>
      <c r="AN619" s="4"/>
      <c r="AO619" s="4"/>
      <c r="AP619" s="4"/>
      <c r="AQ619" s="4"/>
      <c r="AR619" s="4"/>
      <c r="AS619" s="4"/>
      <c r="AT619" s="4"/>
      <c r="AU619" s="4"/>
      <c r="AV619" s="4"/>
      <c r="AW619" s="4"/>
      <c r="AX619" s="4"/>
      <c r="AY619" s="4"/>
      <c r="AZ619" s="4"/>
      <c r="BA619" s="4"/>
      <c r="BB619" s="4"/>
      <c r="BC619" s="5"/>
      <c r="BD619" s="4"/>
      <c r="BE619" s="4"/>
      <c r="BF619" s="4"/>
      <c r="BG619" s="4"/>
      <c r="BH619" s="4"/>
      <c r="BI619" s="4"/>
      <c r="BJ619" s="4"/>
      <c r="BK619" s="4"/>
      <c r="BL619" s="4"/>
      <c r="BM619" s="4"/>
      <c r="BN619" s="4"/>
      <c r="BO619" s="4"/>
      <c r="BP619" s="4"/>
      <c r="BQ619" s="4"/>
      <c r="BR619" s="4"/>
    </row>
    <row r="620" spans="1:7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c r="AG620" s="4"/>
      <c r="AH620" s="4"/>
      <c r="AI620" s="4"/>
      <c r="AJ620" s="4"/>
      <c r="AK620" s="4"/>
      <c r="AL620" s="4"/>
      <c r="AM620" s="4"/>
      <c r="AN620" s="4"/>
      <c r="AO620" s="4"/>
      <c r="AP620" s="4"/>
      <c r="AQ620" s="4"/>
      <c r="AR620" s="4"/>
      <c r="AS620" s="4"/>
      <c r="AT620" s="4"/>
      <c r="AU620" s="4"/>
      <c r="AV620" s="4"/>
      <c r="AW620" s="4"/>
      <c r="AX620" s="4"/>
      <c r="AY620" s="4"/>
      <c r="AZ620" s="4"/>
      <c r="BA620" s="4"/>
      <c r="BB620" s="4"/>
      <c r="BC620" s="5"/>
      <c r="BD620" s="4"/>
      <c r="BE620" s="4"/>
      <c r="BF620" s="4"/>
      <c r="BG620" s="4"/>
      <c r="BH620" s="4"/>
      <c r="BI620" s="4"/>
      <c r="BJ620" s="4"/>
      <c r="BK620" s="4"/>
      <c r="BL620" s="4"/>
      <c r="BM620" s="4"/>
      <c r="BN620" s="4"/>
      <c r="BO620" s="4"/>
      <c r="BP620" s="4"/>
      <c r="BQ620" s="4"/>
      <c r="BR620" s="4"/>
    </row>
    <row r="621" spans="1:70">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c r="AG621" s="4"/>
      <c r="AH621" s="4"/>
      <c r="AI621" s="4"/>
      <c r="AJ621" s="4"/>
      <c r="AK621" s="4"/>
      <c r="AL621" s="4"/>
      <c r="AM621" s="4"/>
      <c r="AN621" s="4"/>
      <c r="AO621" s="4"/>
      <c r="AP621" s="4"/>
      <c r="AQ621" s="4"/>
      <c r="AR621" s="4"/>
      <c r="AS621" s="4"/>
      <c r="AT621" s="4"/>
      <c r="AU621" s="4"/>
      <c r="AV621" s="4"/>
      <c r="AW621" s="4"/>
      <c r="AX621" s="4"/>
      <c r="AY621" s="4"/>
      <c r="AZ621" s="4"/>
      <c r="BA621" s="4"/>
      <c r="BB621" s="4"/>
      <c r="BC621" s="5"/>
      <c r="BD621" s="4"/>
      <c r="BE621" s="4"/>
      <c r="BF621" s="4"/>
      <c r="BG621" s="4"/>
      <c r="BH621" s="4"/>
      <c r="BI621" s="4"/>
      <c r="BJ621" s="4"/>
      <c r="BK621" s="4"/>
      <c r="BL621" s="4"/>
      <c r="BM621" s="4"/>
      <c r="BN621" s="4"/>
      <c r="BO621" s="4"/>
      <c r="BP621" s="4"/>
      <c r="BQ621" s="4"/>
      <c r="BR621" s="4"/>
    </row>
    <row r="622" spans="1:70">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c r="AG622" s="4"/>
      <c r="AH622" s="4"/>
      <c r="AI622" s="4"/>
      <c r="AJ622" s="4"/>
      <c r="AK622" s="4"/>
      <c r="AL622" s="4"/>
      <c r="AM622" s="4"/>
      <c r="AN622" s="4"/>
      <c r="AO622" s="4"/>
      <c r="AP622" s="4"/>
      <c r="AQ622" s="4"/>
      <c r="AR622" s="4"/>
      <c r="AS622" s="4"/>
      <c r="AT622" s="4"/>
      <c r="AU622" s="4"/>
      <c r="AV622" s="4"/>
      <c r="AW622" s="4"/>
      <c r="AX622" s="4"/>
      <c r="AY622" s="4"/>
      <c r="AZ622" s="4"/>
      <c r="BA622" s="4"/>
      <c r="BB622" s="4"/>
      <c r="BC622" s="5"/>
      <c r="BD622" s="4"/>
      <c r="BE622" s="4"/>
      <c r="BF622" s="4"/>
      <c r="BG622" s="4"/>
      <c r="BH622" s="4"/>
      <c r="BI622" s="4"/>
      <c r="BJ622" s="4"/>
      <c r="BK622" s="4"/>
      <c r="BL622" s="4"/>
      <c r="BM622" s="4"/>
      <c r="BN622" s="4"/>
      <c r="BO622" s="4"/>
      <c r="BP622" s="4"/>
      <c r="BQ622" s="4"/>
      <c r="BR622" s="4"/>
    </row>
    <row r="623" spans="1:70">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c r="AG623" s="4"/>
      <c r="AH623" s="4"/>
      <c r="AI623" s="4"/>
      <c r="AJ623" s="4"/>
      <c r="AK623" s="4"/>
      <c r="AL623" s="4"/>
      <c r="AM623" s="4"/>
      <c r="AN623" s="4"/>
      <c r="AO623" s="4"/>
      <c r="AP623" s="4"/>
      <c r="AQ623" s="4"/>
      <c r="AR623" s="4"/>
      <c r="AS623" s="4"/>
      <c r="AT623" s="4"/>
      <c r="AU623" s="4"/>
      <c r="AV623" s="4"/>
      <c r="AW623" s="4"/>
      <c r="AX623" s="4"/>
      <c r="AY623" s="4"/>
      <c r="AZ623" s="4"/>
      <c r="BA623" s="4"/>
      <c r="BB623" s="4"/>
      <c r="BC623" s="5"/>
      <c r="BD623" s="4"/>
      <c r="BE623" s="4"/>
      <c r="BF623" s="4"/>
      <c r="BG623" s="4"/>
      <c r="BH623" s="4"/>
      <c r="BI623" s="4"/>
      <c r="BJ623" s="4"/>
      <c r="BK623" s="4"/>
      <c r="BL623" s="4"/>
      <c r="BM623" s="4"/>
      <c r="BN623" s="4"/>
      <c r="BO623" s="4"/>
      <c r="BP623" s="4"/>
      <c r="BQ623" s="4"/>
      <c r="BR623" s="4"/>
    </row>
    <row r="624" spans="1:70">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c r="AG624" s="4"/>
      <c r="AH624" s="4"/>
      <c r="AI624" s="4"/>
      <c r="AJ624" s="4"/>
      <c r="AK624" s="4"/>
      <c r="AL624" s="4"/>
      <c r="AM624" s="4"/>
      <c r="AN624" s="4"/>
      <c r="AO624" s="4"/>
      <c r="AP624" s="4"/>
      <c r="AQ624" s="4"/>
      <c r="AR624" s="4"/>
      <c r="AS624" s="4"/>
      <c r="AT624" s="4"/>
      <c r="AU624" s="4"/>
      <c r="AV624" s="4"/>
      <c r="AW624" s="4"/>
      <c r="AX624" s="4"/>
      <c r="AY624" s="4"/>
      <c r="AZ624" s="4"/>
      <c r="BA624" s="4"/>
      <c r="BB624" s="4"/>
      <c r="BC624" s="5"/>
      <c r="BD624" s="4"/>
      <c r="BE624" s="4"/>
      <c r="BF624" s="4"/>
      <c r="BG624" s="4"/>
      <c r="BH624" s="4"/>
      <c r="BI624" s="4"/>
      <c r="BJ624" s="4"/>
      <c r="BK624" s="4"/>
      <c r="BL624" s="4"/>
      <c r="BM624" s="4"/>
      <c r="BN624" s="4"/>
      <c r="BO624" s="4"/>
      <c r="BP624" s="4"/>
      <c r="BQ624" s="4"/>
      <c r="BR624" s="4"/>
    </row>
    <row r="625" spans="1:70">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c r="AG625" s="4"/>
      <c r="AH625" s="4"/>
      <c r="AI625" s="4"/>
      <c r="AJ625" s="4"/>
      <c r="AK625" s="4"/>
      <c r="AL625" s="4"/>
      <c r="AM625" s="4"/>
      <c r="AN625" s="4"/>
      <c r="AO625" s="4"/>
      <c r="AP625" s="4"/>
      <c r="AQ625" s="4"/>
      <c r="AR625" s="4"/>
      <c r="AS625" s="4"/>
      <c r="AT625" s="4"/>
      <c r="AU625" s="4"/>
      <c r="AV625" s="4"/>
      <c r="AW625" s="4"/>
      <c r="AX625" s="4"/>
      <c r="AY625" s="4"/>
      <c r="AZ625" s="4"/>
      <c r="BA625" s="4"/>
      <c r="BB625" s="4"/>
      <c r="BC625" s="5"/>
      <c r="BD625" s="4"/>
      <c r="BE625" s="4"/>
      <c r="BF625" s="4"/>
      <c r="BG625" s="4"/>
      <c r="BH625" s="4"/>
      <c r="BI625" s="4"/>
      <c r="BJ625" s="4"/>
      <c r="BK625" s="4"/>
      <c r="BL625" s="4"/>
      <c r="BM625" s="4"/>
      <c r="BN625" s="4"/>
      <c r="BO625" s="4"/>
      <c r="BP625" s="4"/>
      <c r="BQ625" s="4"/>
      <c r="BR625" s="4"/>
    </row>
    <row r="626" spans="1:70">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c r="AG626" s="4"/>
      <c r="AH626" s="4"/>
      <c r="AI626" s="4"/>
      <c r="AJ626" s="4"/>
      <c r="AK626" s="4"/>
      <c r="AL626" s="4"/>
      <c r="AM626" s="4"/>
      <c r="AN626" s="4"/>
      <c r="AO626" s="4"/>
      <c r="AP626" s="4"/>
      <c r="AQ626" s="4"/>
      <c r="AR626" s="4"/>
      <c r="AS626" s="4"/>
      <c r="AT626" s="4"/>
      <c r="AU626" s="4"/>
      <c r="AV626" s="4"/>
      <c r="AW626" s="4"/>
      <c r="AX626" s="4"/>
      <c r="AY626" s="4"/>
      <c r="AZ626" s="4"/>
      <c r="BA626" s="4"/>
      <c r="BB626" s="4"/>
      <c r="BC626" s="5"/>
      <c r="BD626" s="4"/>
      <c r="BE626" s="4"/>
      <c r="BF626" s="4"/>
      <c r="BG626" s="4"/>
      <c r="BH626" s="4"/>
      <c r="BI626" s="4"/>
      <c r="BJ626" s="4"/>
      <c r="BK626" s="4"/>
      <c r="BL626" s="4"/>
      <c r="BM626" s="4"/>
      <c r="BN626" s="4"/>
      <c r="BO626" s="4"/>
      <c r="BP626" s="4"/>
      <c r="BQ626" s="4"/>
      <c r="BR626" s="4"/>
    </row>
    <row r="627" spans="1:70">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c r="AG627" s="4"/>
      <c r="AH627" s="4"/>
      <c r="AI627" s="4"/>
      <c r="AJ627" s="4"/>
      <c r="AK627" s="4"/>
      <c r="AL627" s="4"/>
      <c r="AM627" s="4"/>
      <c r="AN627" s="4"/>
      <c r="AO627" s="4"/>
      <c r="AP627" s="4"/>
      <c r="AQ627" s="4"/>
      <c r="AR627" s="4"/>
      <c r="AS627" s="4"/>
      <c r="AT627" s="4"/>
      <c r="AU627" s="4"/>
      <c r="AV627" s="4"/>
      <c r="AW627" s="4"/>
      <c r="AX627" s="4"/>
      <c r="AY627" s="4"/>
      <c r="AZ627" s="4"/>
      <c r="BA627" s="4"/>
      <c r="BB627" s="4"/>
      <c r="BC627" s="5"/>
      <c r="BD627" s="4"/>
      <c r="BE627" s="4"/>
      <c r="BF627" s="4"/>
      <c r="BG627" s="4"/>
      <c r="BH627" s="4"/>
      <c r="BI627" s="4"/>
      <c r="BJ627" s="4"/>
      <c r="BK627" s="4"/>
      <c r="BL627" s="4"/>
      <c r="BM627" s="4"/>
      <c r="BN627" s="4"/>
      <c r="BO627" s="4"/>
      <c r="BP627" s="4"/>
      <c r="BQ627" s="4"/>
      <c r="BR627" s="4"/>
    </row>
    <row r="628" spans="1:70">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c r="AG628" s="4"/>
      <c r="AH628" s="4"/>
      <c r="AI628" s="4"/>
      <c r="AJ628" s="4"/>
      <c r="AK628" s="4"/>
      <c r="AL628" s="4"/>
      <c r="AM628" s="4"/>
      <c r="AN628" s="4"/>
      <c r="AO628" s="4"/>
      <c r="AP628" s="4"/>
      <c r="AQ628" s="4"/>
      <c r="AR628" s="4"/>
      <c r="AS628" s="4"/>
      <c r="AT628" s="4"/>
      <c r="AU628" s="4"/>
      <c r="AV628" s="4"/>
      <c r="AW628" s="4"/>
      <c r="AX628" s="4"/>
      <c r="AY628" s="4"/>
      <c r="AZ628" s="4"/>
      <c r="BA628" s="4"/>
      <c r="BB628" s="4"/>
      <c r="BC628" s="5"/>
      <c r="BD628" s="4"/>
      <c r="BE628" s="4"/>
      <c r="BF628" s="4"/>
      <c r="BG628" s="4"/>
      <c r="BH628" s="4"/>
      <c r="BI628" s="4"/>
      <c r="BJ628" s="4"/>
      <c r="BK628" s="4"/>
      <c r="BL628" s="4"/>
      <c r="BM628" s="4"/>
      <c r="BN628" s="4"/>
      <c r="BO628" s="4"/>
      <c r="BP628" s="4"/>
      <c r="BQ628" s="4"/>
      <c r="BR628" s="4"/>
    </row>
    <row r="629" spans="1:70">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c r="AG629" s="4"/>
      <c r="AH629" s="4"/>
      <c r="AI629" s="4"/>
      <c r="AJ629" s="4"/>
      <c r="AK629" s="4"/>
      <c r="AL629" s="4"/>
      <c r="AM629" s="4"/>
      <c r="AN629" s="4"/>
      <c r="AO629" s="4"/>
      <c r="AP629" s="4"/>
      <c r="AQ629" s="4"/>
      <c r="AR629" s="4"/>
      <c r="AS629" s="4"/>
      <c r="AT629" s="4"/>
      <c r="AU629" s="4"/>
      <c r="AV629" s="4"/>
      <c r="AW629" s="4"/>
      <c r="AX629" s="4"/>
      <c r="AY629" s="4"/>
      <c r="AZ629" s="4"/>
      <c r="BA629" s="4"/>
      <c r="BB629" s="4"/>
      <c r="BC629" s="5"/>
      <c r="BD629" s="4"/>
      <c r="BE629" s="4"/>
      <c r="BF629" s="4"/>
      <c r="BG629" s="4"/>
      <c r="BH629" s="4"/>
      <c r="BI629" s="4"/>
      <c r="BJ629" s="4"/>
      <c r="BK629" s="4"/>
      <c r="BL629" s="4"/>
      <c r="BM629" s="4"/>
      <c r="BN629" s="4"/>
      <c r="BO629" s="4"/>
      <c r="BP629" s="4"/>
      <c r="BQ629" s="4"/>
      <c r="BR629" s="4"/>
    </row>
    <row r="630" spans="1:7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c r="AG630" s="4"/>
      <c r="AH630" s="4"/>
      <c r="AI630" s="4"/>
      <c r="AJ630" s="4"/>
      <c r="AK630" s="4"/>
      <c r="AL630" s="4"/>
      <c r="AM630" s="4"/>
      <c r="AN630" s="4"/>
      <c r="AO630" s="4"/>
      <c r="AP630" s="4"/>
      <c r="AQ630" s="4"/>
      <c r="AR630" s="4"/>
      <c r="AS630" s="4"/>
      <c r="AT630" s="4"/>
      <c r="AU630" s="4"/>
      <c r="AV630" s="4"/>
      <c r="AW630" s="4"/>
      <c r="AX630" s="4"/>
      <c r="AY630" s="4"/>
      <c r="AZ630" s="4"/>
      <c r="BA630" s="4"/>
      <c r="BB630" s="4"/>
      <c r="BC630" s="5"/>
      <c r="BD630" s="4"/>
      <c r="BE630" s="4"/>
      <c r="BF630" s="4"/>
      <c r="BG630" s="4"/>
      <c r="BH630" s="4"/>
      <c r="BI630" s="4"/>
      <c r="BJ630" s="4"/>
      <c r="BK630" s="4"/>
      <c r="BL630" s="4"/>
      <c r="BM630" s="4"/>
      <c r="BN630" s="4"/>
      <c r="BO630" s="4"/>
      <c r="BP630" s="4"/>
      <c r="BQ630" s="4"/>
      <c r="BR630" s="4"/>
    </row>
    <row r="631" spans="1:70">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c r="AG631" s="4"/>
      <c r="AH631" s="4"/>
      <c r="AI631" s="4"/>
      <c r="AJ631" s="4"/>
      <c r="AK631" s="4"/>
      <c r="AL631" s="4"/>
      <c r="AM631" s="4"/>
      <c r="AN631" s="4"/>
      <c r="AO631" s="4"/>
      <c r="AP631" s="4"/>
      <c r="AQ631" s="4"/>
      <c r="AR631" s="4"/>
      <c r="AS631" s="4"/>
      <c r="AT631" s="4"/>
      <c r="AU631" s="4"/>
      <c r="AV631" s="4"/>
      <c r="AW631" s="4"/>
      <c r="AX631" s="4"/>
      <c r="AY631" s="4"/>
      <c r="AZ631" s="4"/>
      <c r="BA631" s="4"/>
      <c r="BB631" s="4"/>
      <c r="BC631" s="5"/>
      <c r="BD631" s="4"/>
      <c r="BE631" s="4"/>
      <c r="BF631" s="4"/>
      <c r="BG631" s="4"/>
      <c r="BH631" s="4"/>
      <c r="BI631" s="4"/>
      <c r="BJ631" s="4"/>
      <c r="BK631" s="4"/>
      <c r="BL631" s="4"/>
      <c r="BM631" s="4"/>
      <c r="BN631" s="4"/>
      <c r="BO631" s="4"/>
      <c r="BP631" s="4"/>
      <c r="BQ631" s="4"/>
      <c r="BR631" s="4"/>
    </row>
    <row r="632" spans="1:70">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c r="AG632" s="4"/>
      <c r="AH632" s="4"/>
      <c r="AI632" s="4"/>
      <c r="AJ632" s="4"/>
      <c r="AK632" s="4"/>
      <c r="AL632" s="4"/>
      <c r="AM632" s="4"/>
      <c r="AN632" s="4"/>
      <c r="AO632" s="4"/>
      <c r="AP632" s="4"/>
      <c r="AQ632" s="4"/>
      <c r="AR632" s="4"/>
      <c r="AS632" s="4"/>
      <c r="AT632" s="4"/>
      <c r="AU632" s="4"/>
      <c r="AV632" s="4"/>
      <c r="AW632" s="4"/>
      <c r="AX632" s="4"/>
      <c r="AY632" s="4"/>
      <c r="AZ632" s="4"/>
      <c r="BA632" s="4"/>
      <c r="BB632" s="4"/>
      <c r="BC632" s="5"/>
      <c r="BD632" s="4"/>
      <c r="BE632" s="4"/>
      <c r="BF632" s="4"/>
      <c r="BG632" s="4"/>
      <c r="BH632" s="4"/>
      <c r="BI632" s="4"/>
      <c r="BJ632" s="4"/>
      <c r="BK632" s="4"/>
      <c r="BL632" s="4"/>
      <c r="BM632" s="4"/>
      <c r="BN632" s="4"/>
      <c r="BO632" s="4"/>
      <c r="BP632" s="4"/>
      <c r="BQ632" s="4"/>
      <c r="BR632" s="4"/>
    </row>
    <row r="633" spans="1:70">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c r="AG633" s="4"/>
      <c r="AH633" s="4"/>
      <c r="AI633" s="4"/>
      <c r="AJ633" s="4"/>
      <c r="AK633" s="4"/>
      <c r="AL633" s="4"/>
      <c r="AM633" s="4"/>
      <c r="AN633" s="4"/>
      <c r="AO633" s="4"/>
      <c r="AP633" s="4"/>
      <c r="AQ633" s="4"/>
      <c r="AR633" s="4"/>
      <c r="AS633" s="4"/>
      <c r="AT633" s="4"/>
      <c r="AU633" s="4"/>
      <c r="AV633" s="4"/>
      <c r="AW633" s="4"/>
      <c r="AX633" s="4"/>
      <c r="AY633" s="4"/>
      <c r="AZ633" s="4"/>
      <c r="BA633" s="4"/>
      <c r="BB633" s="4"/>
      <c r="BC633" s="5"/>
      <c r="BD633" s="4"/>
      <c r="BE633" s="4"/>
      <c r="BF633" s="4"/>
      <c r="BG633" s="4"/>
      <c r="BH633" s="4"/>
      <c r="BI633" s="4"/>
      <c r="BJ633" s="4"/>
      <c r="BK633" s="4"/>
      <c r="BL633" s="4"/>
      <c r="BM633" s="4"/>
      <c r="BN633" s="4"/>
      <c r="BO633" s="4"/>
      <c r="BP633" s="4"/>
      <c r="BQ633" s="4"/>
      <c r="BR633" s="4"/>
    </row>
    <row r="634" spans="1:70">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c r="AG634" s="4"/>
      <c r="AH634" s="4"/>
      <c r="AI634" s="4"/>
      <c r="AJ634" s="4"/>
      <c r="AK634" s="4"/>
      <c r="AL634" s="4"/>
      <c r="AM634" s="4"/>
      <c r="AN634" s="4"/>
      <c r="AO634" s="4"/>
      <c r="AP634" s="4"/>
      <c r="AQ634" s="4"/>
      <c r="AR634" s="4"/>
      <c r="AS634" s="4"/>
      <c r="AT634" s="4"/>
      <c r="AU634" s="4"/>
      <c r="AV634" s="4"/>
      <c r="AW634" s="4"/>
      <c r="AX634" s="4"/>
      <c r="AY634" s="4"/>
      <c r="AZ634" s="4"/>
      <c r="BA634" s="4"/>
      <c r="BB634" s="4"/>
      <c r="BC634" s="5"/>
      <c r="BD634" s="4"/>
      <c r="BE634" s="4"/>
      <c r="BF634" s="4"/>
      <c r="BG634" s="4"/>
      <c r="BH634" s="4"/>
      <c r="BI634" s="4"/>
      <c r="BJ634" s="4"/>
      <c r="BK634" s="4"/>
      <c r="BL634" s="4"/>
      <c r="BM634" s="4"/>
      <c r="BN634" s="4"/>
      <c r="BO634" s="4"/>
      <c r="BP634" s="4"/>
      <c r="BQ634" s="4"/>
      <c r="BR634" s="4"/>
    </row>
    <row r="635" spans="1:70">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c r="AG635" s="4"/>
      <c r="AH635" s="4"/>
      <c r="AI635" s="4"/>
      <c r="AJ635" s="4"/>
      <c r="AK635" s="4"/>
      <c r="AL635" s="4"/>
      <c r="AM635" s="4"/>
      <c r="AN635" s="4"/>
      <c r="AO635" s="4"/>
      <c r="AP635" s="4"/>
      <c r="AQ635" s="4"/>
      <c r="AR635" s="4"/>
      <c r="AS635" s="4"/>
      <c r="AT635" s="4"/>
      <c r="AU635" s="4"/>
      <c r="AV635" s="4"/>
      <c r="AW635" s="4"/>
      <c r="AX635" s="4"/>
      <c r="AY635" s="4"/>
      <c r="AZ635" s="4"/>
      <c r="BA635" s="4"/>
      <c r="BB635" s="4"/>
      <c r="BC635" s="5"/>
      <c r="BD635" s="4"/>
      <c r="BE635" s="4"/>
      <c r="BF635" s="4"/>
      <c r="BG635" s="4"/>
      <c r="BH635" s="4"/>
      <c r="BI635" s="4"/>
      <c r="BJ635" s="4"/>
      <c r="BK635" s="4"/>
      <c r="BL635" s="4"/>
      <c r="BM635" s="4"/>
      <c r="BN635" s="4"/>
      <c r="BO635" s="4"/>
      <c r="BP635" s="4"/>
      <c r="BQ635" s="4"/>
      <c r="BR635" s="4"/>
    </row>
    <row r="636" spans="1:70">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c r="AG636" s="4"/>
      <c r="AH636" s="4"/>
      <c r="AI636" s="4"/>
      <c r="AJ636" s="4"/>
      <c r="AK636" s="4"/>
      <c r="AL636" s="4"/>
      <c r="AM636" s="4"/>
      <c r="AN636" s="4"/>
      <c r="AO636" s="4"/>
      <c r="AP636" s="4"/>
      <c r="AQ636" s="4"/>
      <c r="AR636" s="4"/>
      <c r="AS636" s="4"/>
      <c r="AT636" s="4"/>
      <c r="AU636" s="4"/>
      <c r="AV636" s="4"/>
      <c r="AW636" s="4"/>
      <c r="AX636" s="4"/>
      <c r="AY636" s="4"/>
      <c r="AZ636" s="4"/>
      <c r="BA636" s="4"/>
      <c r="BB636" s="4"/>
      <c r="BC636" s="5"/>
      <c r="BD636" s="4"/>
      <c r="BE636" s="4"/>
      <c r="BF636" s="4"/>
      <c r="BG636" s="4"/>
      <c r="BH636" s="4"/>
      <c r="BI636" s="4"/>
      <c r="BJ636" s="4"/>
      <c r="BK636" s="4"/>
      <c r="BL636" s="4"/>
      <c r="BM636" s="4"/>
      <c r="BN636" s="4"/>
      <c r="BO636" s="4"/>
      <c r="BP636" s="4"/>
      <c r="BQ636" s="4"/>
      <c r="BR636" s="4"/>
    </row>
    <row r="637" spans="1:70">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c r="AG637" s="4"/>
      <c r="AH637" s="4"/>
      <c r="AI637" s="4"/>
      <c r="AJ637" s="4"/>
      <c r="AK637" s="4"/>
      <c r="AL637" s="4"/>
      <c r="AM637" s="4"/>
      <c r="AN637" s="4"/>
      <c r="AO637" s="4"/>
      <c r="AP637" s="4"/>
      <c r="AQ637" s="4"/>
      <c r="AR637" s="4"/>
      <c r="AS637" s="4"/>
      <c r="AT637" s="4"/>
      <c r="AU637" s="4"/>
      <c r="AV637" s="4"/>
      <c r="AW637" s="4"/>
      <c r="AX637" s="4"/>
      <c r="AY637" s="4"/>
      <c r="AZ637" s="4"/>
      <c r="BA637" s="4"/>
      <c r="BB637" s="4"/>
      <c r="BC637" s="5"/>
      <c r="BD637" s="4"/>
      <c r="BE637" s="4"/>
      <c r="BF637" s="4"/>
      <c r="BG637" s="4"/>
      <c r="BH637" s="4"/>
      <c r="BI637" s="4"/>
      <c r="BJ637" s="4"/>
      <c r="BK637" s="4"/>
      <c r="BL637" s="4"/>
      <c r="BM637" s="4"/>
      <c r="BN637" s="4"/>
      <c r="BO637" s="4"/>
      <c r="BP637" s="4"/>
      <c r="BQ637" s="4"/>
      <c r="BR637" s="4"/>
    </row>
    <row r="638" spans="1:70">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c r="AG638" s="4"/>
      <c r="AH638" s="4"/>
      <c r="AI638" s="4"/>
      <c r="AJ638" s="4"/>
      <c r="AK638" s="4"/>
      <c r="AL638" s="4"/>
      <c r="AM638" s="4"/>
      <c r="AN638" s="4"/>
      <c r="AO638" s="4"/>
      <c r="AP638" s="4"/>
      <c r="AQ638" s="4"/>
      <c r="AR638" s="4"/>
      <c r="AS638" s="4"/>
      <c r="AT638" s="4"/>
      <c r="AU638" s="4"/>
      <c r="AV638" s="4"/>
      <c r="AW638" s="4"/>
      <c r="AX638" s="4"/>
      <c r="AY638" s="4"/>
      <c r="AZ638" s="4"/>
      <c r="BA638" s="4"/>
      <c r="BB638" s="4"/>
      <c r="BC638" s="5"/>
      <c r="BD638" s="4"/>
      <c r="BE638" s="4"/>
      <c r="BF638" s="4"/>
      <c r="BG638" s="4"/>
      <c r="BH638" s="4"/>
      <c r="BI638" s="4"/>
      <c r="BJ638" s="4"/>
      <c r="BK638" s="4"/>
      <c r="BL638" s="4"/>
      <c r="BM638" s="4"/>
      <c r="BN638" s="4"/>
      <c r="BO638" s="4"/>
      <c r="BP638" s="4"/>
      <c r="BQ638" s="4"/>
      <c r="BR638" s="4"/>
    </row>
    <row r="639" spans="1:70">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c r="AG639" s="4"/>
      <c r="AH639" s="4"/>
      <c r="AI639" s="4"/>
      <c r="AJ639" s="4"/>
      <c r="AK639" s="4"/>
      <c r="AL639" s="4"/>
      <c r="AM639" s="4"/>
      <c r="AN639" s="4"/>
      <c r="AO639" s="4"/>
      <c r="AP639" s="4"/>
      <c r="AQ639" s="4"/>
      <c r="AR639" s="4"/>
      <c r="AS639" s="4"/>
      <c r="AT639" s="4"/>
      <c r="AU639" s="4"/>
      <c r="AV639" s="4"/>
      <c r="AW639" s="4"/>
      <c r="AX639" s="4"/>
      <c r="AY639" s="4"/>
      <c r="AZ639" s="4"/>
      <c r="BA639" s="4"/>
      <c r="BB639" s="4"/>
      <c r="BC639" s="5"/>
      <c r="BD639" s="4"/>
      <c r="BE639" s="4"/>
      <c r="BF639" s="4"/>
      <c r="BG639" s="4"/>
      <c r="BH639" s="4"/>
      <c r="BI639" s="4"/>
      <c r="BJ639" s="4"/>
      <c r="BK639" s="4"/>
      <c r="BL639" s="4"/>
      <c r="BM639" s="4"/>
      <c r="BN639" s="4"/>
      <c r="BO639" s="4"/>
      <c r="BP639" s="4"/>
      <c r="BQ639" s="4"/>
      <c r="BR639" s="4"/>
    </row>
    <row r="640" spans="1:7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c r="AG640" s="4"/>
      <c r="AH640" s="4"/>
      <c r="AI640" s="4"/>
      <c r="AJ640" s="4"/>
      <c r="AK640" s="4"/>
      <c r="AL640" s="4"/>
      <c r="AM640" s="4"/>
      <c r="AN640" s="4"/>
      <c r="AO640" s="4"/>
      <c r="AP640" s="4"/>
      <c r="AQ640" s="4"/>
      <c r="AR640" s="4"/>
      <c r="AS640" s="4"/>
      <c r="AT640" s="4"/>
      <c r="AU640" s="4"/>
      <c r="AV640" s="4"/>
      <c r="AW640" s="4"/>
      <c r="AX640" s="4"/>
      <c r="AY640" s="4"/>
      <c r="AZ640" s="4"/>
      <c r="BA640" s="4"/>
      <c r="BB640" s="4"/>
      <c r="BC640" s="5"/>
      <c r="BD640" s="4"/>
      <c r="BE640" s="4"/>
      <c r="BF640" s="4"/>
      <c r="BG640" s="4"/>
      <c r="BH640" s="4"/>
      <c r="BI640" s="4"/>
      <c r="BJ640" s="4"/>
      <c r="BK640" s="4"/>
      <c r="BL640" s="4"/>
      <c r="BM640" s="4"/>
      <c r="BN640" s="4"/>
      <c r="BO640" s="4"/>
      <c r="BP640" s="4"/>
      <c r="BQ640" s="4"/>
      <c r="BR640" s="4"/>
    </row>
    <row r="641" spans="1:70">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c r="AG641" s="4"/>
      <c r="AH641" s="4"/>
      <c r="AI641" s="4"/>
      <c r="AJ641" s="4"/>
      <c r="AK641" s="4"/>
      <c r="AL641" s="4"/>
      <c r="AM641" s="4"/>
      <c r="AN641" s="4"/>
      <c r="AO641" s="4"/>
      <c r="AP641" s="4"/>
      <c r="AQ641" s="4"/>
      <c r="AR641" s="4"/>
      <c r="AS641" s="4"/>
      <c r="AT641" s="4"/>
      <c r="AU641" s="4"/>
      <c r="AV641" s="4"/>
      <c r="AW641" s="4"/>
      <c r="AX641" s="4"/>
      <c r="AY641" s="4"/>
      <c r="AZ641" s="4"/>
      <c r="BA641" s="4"/>
      <c r="BB641" s="4"/>
      <c r="BC641" s="5"/>
      <c r="BD641" s="4"/>
      <c r="BE641" s="4"/>
      <c r="BF641" s="4"/>
      <c r="BG641" s="4"/>
      <c r="BH641" s="4"/>
      <c r="BI641" s="4"/>
      <c r="BJ641" s="4"/>
      <c r="BK641" s="4"/>
      <c r="BL641" s="4"/>
      <c r="BM641" s="4"/>
      <c r="BN641" s="4"/>
      <c r="BO641" s="4"/>
      <c r="BP641" s="4"/>
      <c r="BQ641" s="4"/>
      <c r="BR641" s="4"/>
    </row>
    <row r="642" spans="1:70">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c r="AG642" s="4"/>
      <c r="AH642" s="4"/>
      <c r="AI642" s="4"/>
      <c r="AJ642" s="4"/>
      <c r="AK642" s="4"/>
      <c r="AL642" s="4"/>
      <c r="AM642" s="4"/>
      <c r="AN642" s="4"/>
      <c r="AO642" s="4"/>
      <c r="AP642" s="4"/>
      <c r="AQ642" s="4"/>
      <c r="AR642" s="4"/>
      <c r="AS642" s="4"/>
      <c r="AT642" s="4"/>
      <c r="AU642" s="4"/>
      <c r="AV642" s="4"/>
      <c r="AW642" s="4"/>
      <c r="AX642" s="4"/>
      <c r="AY642" s="4"/>
      <c r="AZ642" s="4"/>
      <c r="BA642" s="4"/>
      <c r="BB642" s="4"/>
      <c r="BC642" s="5"/>
      <c r="BD642" s="4"/>
      <c r="BE642" s="4"/>
      <c r="BF642" s="4"/>
      <c r="BG642" s="4"/>
      <c r="BH642" s="4"/>
      <c r="BI642" s="4"/>
      <c r="BJ642" s="4"/>
      <c r="BK642" s="4"/>
      <c r="BL642" s="4"/>
      <c r="BM642" s="4"/>
      <c r="BN642" s="4"/>
      <c r="BO642" s="4"/>
      <c r="BP642" s="4"/>
      <c r="BQ642" s="4"/>
      <c r="BR642" s="4"/>
    </row>
    <row r="643" spans="1:70">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c r="AG643" s="4"/>
      <c r="AH643" s="4"/>
      <c r="AI643" s="4"/>
      <c r="AJ643" s="4"/>
      <c r="AK643" s="4"/>
      <c r="AL643" s="4"/>
      <c r="AM643" s="4"/>
      <c r="AN643" s="4"/>
      <c r="AO643" s="4"/>
      <c r="AP643" s="4"/>
      <c r="AQ643" s="4"/>
      <c r="AR643" s="4"/>
      <c r="AS643" s="4"/>
      <c r="AT643" s="4"/>
      <c r="AU643" s="4"/>
      <c r="AV643" s="4"/>
      <c r="AW643" s="4"/>
      <c r="AX643" s="4"/>
      <c r="AY643" s="4"/>
      <c r="AZ643" s="4"/>
      <c r="BA643" s="4"/>
      <c r="BB643" s="4"/>
      <c r="BC643" s="5"/>
      <c r="BD643" s="4"/>
      <c r="BE643" s="4"/>
      <c r="BF643" s="4"/>
      <c r="BG643" s="4"/>
      <c r="BH643" s="4"/>
      <c r="BI643" s="4"/>
      <c r="BJ643" s="4"/>
      <c r="BK643" s="4"/>
      <c r="BL643" s="4"/>
      <c r="BM643" s="4"/>
      <c r="BN643" s="4"/>
      <c r="BO643" s="4"/>
      <c r="BP643" s="4"/>
      <c r="BQ643" s="4"/>
      <c r="BR643" s="4"/>
    </row>
    <row r="644" spans="1:70">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c r="AG644" s="4"/>
      <c r="AH644" s="4"/>
      <c r="AI644" s="4"/>
      <c r="AJ644" s="4"/>
      <c r="AK644" s="4"/>
      <c r="AL644" s="4"/>
      <c r="AM644" s="4"/>
      <c r="AN644" s="4"/>
      <c r="AO644" s="4"/>
      <c r="AP644" s="4"/>
      <c r="AQ644" s="4"/>
      <c r="AR644" s="4"/>
      <c r="AS644" s="4"/>
      <c r="AT644" s="4"/>
      <c r="AU644" s="4"/>
      <c r="AV644" s="4"/>
      <c r="AW644" s="4"/>
      <c r="AX644" s="4"/>
      <c r="AY644" s="4"/>
      <c r="AZ644" s="4"/>
      <c r="BA644" s="4"/>
      <c r="BB644" s="4"/>
      <c r="BC644" s="5"/>
      <c r="BD644" s="4"/>
      <c r="BE644" s="4"/>
      <c r="BF644" s="4"/>
      <c r="BG644" s="4"/>
      <c r="BH644" s="4"/>
      <c r="BI644" s="4"/>
      <c r="BJ644" s="4"/>
      <c r="BK644" s="4"/>
      <c r="BL644" s="4"/>
      <c r="BM644" s="4"/>
      <c r="BN644" s="4"/>
      <c r="BO644" s="4"/>
      <c r="BP644" s="4"/>
      <c r="BQ644" s="4"/>
      <c r="BR644" s="4"/>
    </row>
    <row r="645" spans="1:70">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c r="AG645" s="4"/>
      <c r="AH645" s="4"/>
      <c r="AI645" s="4"/>
      <c r="AJ645" s="4"/>
      <c r="AK645" s="4"/>
      <c r="AL645" s="4"/>
      <c r="AM645" s="4"/>
      <c r="AN645" s="4"/>
      <c r="AO645" s="4"/>
      <c r="AP645" s="4"/>
      <c r="AQ645" s="4"/>
      <c r="AR645" s="4"/>
      <c r="AS645" s="4"/>
      <c r="AT645" s="4"/>
      <c r="AU645" s="4"/>
      <c r="AV645" s="4"/>
      <c r="AW645" s="4"/>
      <c r="AX645" s="4"/>
      <c r="AY645" s="4"/>
      <c r="AZ645" s="4"/>
      <c r="BA645" s="4"/>
      <c r="BB645" s="4"/>
      <c r="BC645" s="5"/>
      <c r="BD645" s="4"/>
      <c r="BE645" s="4"/>
      <c r="BF645" s="4"/>
      <c r="BG645" s="4"/>
      <c r="BH645" s="4"/>
      <c r="BI645" s="4"/>
      <c r="BJ645" s="4"/>
      <c r="BK645" s="4"/>
      <c r="BL645" s="4"/>
      <c r="BM645" s="4"/>
      <c r="BN645" s="4"/>
      <c r="BO645" s="4"/>
      <c r="BP645" s="4"/>
      <c r="BQ645" s="4"/>
      <c r="BR645" s="4"/>
    </row>
    <row r="646" spans="1:70">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c r="AG646" s="4"/>
      <c r="AH646" s="4"/>
      <c r="AI646" s="4"/>
      <c r="AJ646" s="4"/>
      <c r="AK646" s="4"/>
      <c r="AL646" s="4"/>
      <c r="AM646" s="4"/>
      <c r="AN646" s="4"/>
      <c r="AO646" s="4"/>
      <c r="AP646" s="4"/>
      <c r="AQ646" s="4"/>
      <c r="AR646" s="4"/>
      <c r="AS646" s="4"/>
      <c r="AT646" s="4"/>
      <c r="AU646" s="4"/>
      <c r="AV646" s="4"/>
      <c r="AW646" s="4"/>
      <c r="AX646" s="4"/>
      <c r="AY646" s="4"/>
      <c r="AZ646" s="4"/>
      <c r="BA646" s="4"/>
      <c r="BB646" s="4"/>
      <c r="BC646" s="5"/>
      <c r="BD646" s="4"/>
      <c r="BE646" s="4"/>
      <c r="BF646" s="4"/>
      <c r="BG646" s="4"/>
      <c r="BH646" s="4"/>
      <c r="BI646" s="4"/>
      <c r="BJ646" s="4"/>
      <c r="BK646" s="4"/>
      <c r="BL646" s="4"/>
      <c r="BM646" s="4"/>
      <c r="BN646" s="4"/>
      <c r="BO646" s="4"/>
      <c r="BP646" s="4"/>
      <c r="BQ646" s="4"/>
      <c r="BR646" s="4"/>
    </row>
    <row r="647" spans="1:70">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c r="AG647" s="4"/>
      <c r="AH647" s="4"/>
      <c r="AI647" s="4"/>
      <c r="AJ647" s="4"/>
      <c r="AK647" s="4"/>
      <c r="AL647" s="4"/>
      <c r="AM647" s="4"/>
      <c r="AN647" s="4"/>
      <c r="AO647" s="4"/>
      <c r="AP647" s="4"/>
      <c r="AQ647" s="4"/>
      <c r="AR647" s="4"/>
      <c r="AS647" s="4"/>
      <c r="AT647" s="4"/>
      <c r="AU647" s="4"/>
      <c r="AV647" s="4"/>
      <c r="AW647" s="4"/>
      <c r="AX647" s="4"/>
      <c r="AY647" s="4"/>
      <c r="AZ647" s="4"/>
      <c r="BA647" s="4"/>
      <c r="BB647" s="4"/>
      <c r="BC647" s="5"/>
      <c r="BD647" s="4"/>
      <c r="BE647" s="4"/>
      <c r="BF647" s="4"/>
      <c r="BG647" s="4"/>
      <c r="BH647" s="4"/>
      <c r="BI647" s="4"/>
      <c r="BJ647" s="4"/>
      <c r="BK647" s="4"/>
      <c r="BL647" s="4"/>
      <c r="BM647" s="4"/>
      <c r="BN647" s="4"/>
      <c r="BO647" s="4"/>
      <c r="BP647" s="4"/>
      <c r="BQ647" s="4"/>
      <c r="BR647" s="4"/>
    </row>
    <row r="648" spans="1:70">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c r="AG648" s="4"/>
      <c r="AH648" s="4"/>
      <c r="AI648" s="4"/>
      <c r="AJ648" s="4"/>
      <c r="AK648" s="4"/>
      <c r="AL648" s="4"/>
      <c r="AM648" s="4"/>
      <c r="AN648" s="4"/>
      <c r="AO648" s="4"/>
      <c r="AP648" s="4"/>
      <c r="AQ648" s="4"/>
      <c r="AR648" s="4"/>
      <c r="AS648" s="4"/>
      <c r="AT648" s="4"/>
      <c r="AU648" s="4"/>
      <c r="AV648" s="4"/>
      <c r="AW648" s="4"/>
      <c r="AX648" s="4"/>
      <c r="AY648" s="4"/>
      <c r="AZ648" s="4"/>
      <c r="BA648" s="4"/>
      <c r="BB648" s="4"/>
      <c r="BC648" s="5"/>
      <c r="BD648" s="4"/>
      <c r="BE648" s="4"/>
      <c r="BF648" s="4"/>
      <c r="BG648" s="4"/>
      <c r="BH648" s="4"/>
      <c r="BI648" s="4"/>
      <c r="BJ648" s="4"/>
      <c r="BK648" s="4"/>
      <c r="BL648" s="4"/>
      <c r="BM648" s="4"/>
      <c r="BN648" s="4"/>
      <c r="BO648" s="4"/>
      <c r="BP648" s="4"/>
      <c r="BQ648" s="4"/>
      <c r="BR648" s="4"/>
    </row>
    <row r="649" spans="1:70">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c r="AG649" s="4"/>
      <c r="AH649" s="4"/>
      <c r="AI649" s="4"/>
      <c r="AJ649" s="4"/>
      <c r="AK649" s="4"/>
      <c r="AL649" s="4"/>
      <c r="AM649" s="4"/>
      <c r="AN649" s="4"/>
      <c r="AO649" s="4"/>
      <c r="AP649" s="4"/>
      <c r="AQ649" s="4"/>
      <c r="AR649" s="4"/>
      <c r="AS649" s="4"/>
      <c r="AT649" s="4"/>
      <c r="AU649" s="4"/>
      <c r="AV649" s="4"/>
      <c r="AW649" s="4"/>
      <c r="AX649" s="4"/>
      <c r="AY649" s="4"/>
      <c r="AZ649" s="4"/>
      <c r="BA649" s="4"/>
      <c r="BB649" s="4"/>
      <c r="BC649" s="5"/>
      <c r="BD649" s="4"/>
      <c r="BE649" s="4"/>
      <c r="BF649" s="4"/>
      <c r="BG649" s="4"/>
      <c r="BH649" s="4"/>
      <c r="BI649" s="4"/>
      <c r="BJ649" s="4"/>
      <c r="BK649" s="4"/>
      <c r="BL649" s="4"/>
      <c r="BM649" s="4"/>
      <c r="BN649" s="4"/>
      <c r="BO649" s="4"/>
      <c r="BP649" s="4"/>
      <c r="BQ649" s="4"/>
      <c r="BR649" s="4"/>
    </row>
    <row r="650" spans="1:7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c r="AG650" s="4"/>
      <c r="AH650" s="4"/>
      <c r="AI650" s="4"/>
      <c r="AJ650" s="4"/>
      <c r="AK650" s="4"/>
      <c r="AL650" s="4"/>
      <c r="AM650" s="4"/>
      <c r="AN650" s="4"/>
      <c r="AO650" s="4"/>
      <c r="AP650" s="4"/>
      <c r="AQ650" s="4"/>
      <c r="AR650" s="4"/>
      <c r="AS650" s="4"/>
      <c r="AT650" s="4"/>
      <c r="AU650" s="4"/>
      <c r="AV650" s="4"/>
      <c r="AW650" s="4"/>
      <c r="AX650" s="4"/>
      <c r="AY650" s="4"/>
      <c r="AZ650" s="4"/>
      <c r="BA650" s="4"/>
      <c r="BB650" s="4"/>
      <c r="BC650" s="5"/>
      <c r="BD650" s="4"/>
      <c r="BE650" s="4"/>
      <c r="BF650" s="4"/>
      <c r="BG650" s="4"/>
      <c r="BH650" s="4"/>
      <c r="BI650" s="4"/>
      <c r="BJ650" s="4"/>
      <c r="BK650" s="4"/>
      <c r="BL650" s="4"/>
      <c r="BM650" s="4"/>
      <c r="BN650" s="4"/>
      <c r="BO650" s="4"/>
      <c r="BP650" s="4"/>
      <c r="BQ650" s="4"/>
      <c r="BR650" s="4"/>
    </row>
    <row r="651" spans="1:70">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c r="AG651" s="4"/>
      <c r="AH651" s="4"/>
      <c r="AI651" s="4"/>
      <c r="AJ651" s="4"/>
      <c r="AK651" s="4"/>
      <c r="AL651" s="4"/>
      <c r="AM651" s="4"/>
      <c r="AN651" s="4"/>
      <c r="AO651" s="4"/>
      <c r="AP651" s="4"/>
      <c r="AQ651" s="4"/>
      <c r="AR651" s="4"/>
      <c r="AS651" s="4"/>
      <c r="AT651" s="4"/>
      <c r="AU651" s="4"/>
      <c r="AV651" s="4"/>
      <c r="AW651" s="4"/>
      <c r="AX651" s="4"/>
      <c r="AY651" s="4"/>
      <c r="AZ651" s="4"/>
      <c r="BA651" s="4"/>
      <c r="BB651" s="4"/>
      <c r="BC651" s="5"/>
      <c r="BD651" s="4"/>
      <c r="BE651" s="4"/>
      <c r="BF651" s="4"/>
      <c r="BG651" s="4"/>
      <c r="BH651" s="4"/>
      <c r="BI651" s="4"/>
      <c r="BJ651" s="4"/>
      <c r="BK651" s="4"/>
      <c r="BL651" s="4"/>
      <c r="BM651" s="4"/>
      <c r="BN651" s="4"/>
      <c r="BO651" s="4"/>
      <c r="BP651" s="4"/>
      <c r="BQ651" s="4"/>
      <c r="BR651" s="4"/>
    </row>
    <row r="652" spans="1:70">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c r="AG652" s="4"/>
      <c r="AH652" s="4"/>
      <c r="AI652" s="4"/>
      <c r="AJ652" s="4"/>
      <c r="AK652" s="4"/>
      <c r="AL652" s="4"/>
      <c r="AM652" s="4"/>
      <c r="AN652" s="4"/>
      <c r="AO652" s="4"/>
      <c r="AP652" s="4"/>
      <c r="AQ652" s="4"/>
      <c r="AR652" s="4"/>
      <c r="AS652" s="4"/>
      <c r="AT652" s="4"/>
      <c r="AU652" s="4"/>
      <c r="AV652" s="4"/>
      <c r="AW652" s="4"/>
      <c r="AX652" s="4"/>
      <c r="AY652" s="4"/>
      <c r="AZ652" s="4"/>
      <c r="BA652" s="4"/>
      <c r="BB652" s="4"/>
      <c r="BC652" s="5"/>
      <c r="BD652" s="4"/>
      <c r="BE652" s="4"/>
      <c r="BF652" s="4"/>
      <c r="BG652" s="4"/>
      <c r="BH652" s="4"/>
      <c r="BI652" s="4"/>
      <c r="BJ652" s="4"/>
      <c r="BK652" s="4"/>
      <c r="BL652" s="4"/>
      <c r="BM652" s="4"/>
      <c r="BN652" s="4"/>
      <c r="BO652" s="4"/>
      <c r="BP652" s="4"/>
      <c r="BQ652" s="4"/>
      <c r="BR652" s="4"/>
    </row>
    <row r="653" spans="1:70">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c r="AG653" s="4"/>
      <c r="AH653" s="4"/>
      <c r="AI653" s="4"/>
      <c r="AJ653" s="4"/>
      <c r="AK653" s="4"/>
      <c r="AL653" s="4"/>
      <c r="AM653" s="4"/>
      <c r="AN653" s="4"/>
      <c r="AO653" s="4"/>
      <c r="AP653" s="4"/>
      <c r="AQ653" s="4"/>
      <c r="AR653" s="4"/>
      <c r="AS653" s="4"/>
      <c r="AT653" s="4"/>
      <c r="AU653" s="4"/>
      <c r="AV653" s="4"/>
      <c r="AW653" s="4"/>
      <c r="AX653" s="4"/>
      <c r="AY653" s="4"/>
      <c r="AZ653" s="4"/>
      <c r="BA653" s="4"/>
      <c r="BB653" s="4"/>
      <c r="BC653" s="5"/>
      <c r="BD653" s="4"/>
      <c r="BE653" s="4"/>
      <c r="BF653" s="4"/>
      <c r="BG653" s="4"/>
      <c r="BH653" s="4"/>
      <c r="BI653" s="4"/>
      <c r="BJ653" s="4"/>
      <c r="BK653" s="4"/>
      <c r="BL653" s="4"/>
      <c r="BM653" s="4"/>
      <c r="BN653" s="4"/>
      <c r="BO653" s="4"/>
      <c r="BP653" s="4"/>
      <c r="BQ653" s="4"/>
      <c r="BR653" s="4"/>
    </row>
    <row r="654" spans="1:70">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c r="AG654" s="4"/>
      <c r="AH654" s="4"/>
      <c r="AI654" s="4"/>
      <c r="AJ654" s="4"/>
      <c r="AK654" s="4"/>
      <c r="AL654" s="4"/>
      <c r="AM654" s="4"/>
      <c r="AN654" s="4"/>
      <c r="AO654" s="4"/>
      <c r="AP654" s="4"/>
      <c r="AQ654" s="4"/>
      <c r="AR654" s="4"/>
      <c r="AS654" s="4"/>
      <c r="AT654" s="4"/>
      <c r="AU654" s="4"/>
      <c r="AV654" s="4"/>
      <c r="AW654" s="4"/>
      <c r="AX654" s="4"/>
      <c r="AY654" s="4"/>
      <c r="AZ654" s="4"/>
      <c r="BA654" s="4"/>
      <c r="BB654" s="4"/>
      <c r="BC654" s="5"/>
      <c r="BD654" s="4"/>
      <c r="BE654" s="4"/>
      <c r="BF654" s="4"/>
      <c r="BG654" s="4"/>
      <c r="BH654" s="4"/>
      <c r="BI654" s="4"/>
      <c r="BJ654" s="4"/>
      <c r="BK654" s="4"/>
      <c r="BL654" s="4"/>
      <c r="BM654" s="4"/>
      <c r="BN654" s="4"/>
      <c r="BO654" s="4"/>
      <c r="BP654" s="4"/>
      <c r="BQ654" s="4"/>
      <c r="BR654" s="4"/>
    </row>
    <row r="655" spans="1:70">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c r="AG655" s="4"/>
      <c r="AH655" s="4"/>
      <c r="AI655" s="4"/>
      <c r="AJ655" s="4"/>
      <c r="AK655" s="4"/>
      <c r="AL655" s="4"/>
      <c r="AM655" s="4"/>
      <c r="AN655" s="4"/>
      <c r="AO655" s="4"/>
      <c r="AP655" s="4"/>
      <c r="AQ655" s="4"/>
      <c r="AR655" s="4"/>
      <c r="AS655" s="4"/>
      <c r="AT655" s="4"/>
      <c r="AU655" s="4"/>
      <c r="AV655" s="4"/>
      <c r="AW655" s="4"/>
      <c r="AX655" s="4"/>
      <c r="AY655" s="4"/>
      <c r="AZ655" s="4"/>
      <c r="BA655" s="4"/>
      <c r="BB655" s="4"/>
      <c r="BC655" s="5"/>
      <c r="BD655" s="4"/>
      <c r="BE655" s="4"/>
      <c r="BF655" s="4"/>
      <c r="BG655" s="4"/>
      <c r="BH655" s="4"/>
      <c r="BI655" s="4"/>
      <c r="BJ655" s="4"/>
      <c r="BK655" s="4"/>
      <c r="BL655" s="4"/>
      <c r="BM655" s="4"/>
      <c r="BN655" s="4"/>
      <c r="BO655" s="4"/>
      <c r="BP655" s="4"/>
      <c r="BQ655" s="4"/>
      <c r="BR655" s="4"/>
    </row>
    <row r="656" spans="1:70">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c r="AG656" s="4"/>
      <c r="AH656" s="4"/>
      <c r="AI656" s="4"/>
      <c r="AJ656" s="4"/>
      <c r="AK656" s="4"/>
      <c r="AL656" s="4"/>
      <c r="AM656" s="4"/>
      <c r="AN656" s="4"/>
      <c r="AO656" s="4"/>
      <c r="AP656" s="4"/>
      <c r="AQ656" s="4"/>
      <c r="AR656" s="4"/>
      <c r="AS656" s="4"/>
      <c r="AT656" s="4"/>
      <c r="AU656" s="4"/>
      <c r="AV656" s="4"/>
      <c r="AW656" s="4"/>
      <c r="AX656" s="4"/>
      <c r="AY656" s="4"/>
      <c r="AZ656" s="4"/>
      <c r="BA656" s="4"/>
      <c r="BB656" s="4"/>
      <c r="BC656" s="5"/>
      <c r="BD656" s="4"/>
      <c r="BE656" s="4"/>
      <c r="BF656" s="4"/>
      <c r="BG656" s="4"/>
      <c r="BH656" s="4"/>
      <c r="BI656" s="4"/>
      <c r="BJ656" s="4"/>
      <c r="BK656" s="4"/>
      <c r="BL656" s="4"/>
      <c r="BM656" s="4"/>
      <c r="BN656" s="4"/>
      <c r="BO656" s="4"/>
      <c r="BP656" s="4"/>
      <c r="BQ656" s="4"/>
      <c r="BR656" s="4"/>
    </row>
    <row r="657" spans="1:70">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c r="AG657" s="4"/>
      <c r="AH657" s="4"/>
      <c r="AI657" s="4"/>
      <c r="AJ657" s="4"/>
      <c r="AK657" s="4"/>
      <c r="AL657" s="4"/>
      <c r="AM657" s="4"/>
      <c r="AN657" s="4"/>
      <c r="AO657" s="4"/>
      <c r="AP657" s="4"/>
      <c r="AQ657" s="4"/>
      <c r="AR657" s="4"/>
      <c r="AS657" s="4"/>
      <c r="AT657" s="4"/>
      <c r="AU657" s="4"/>
      <c r="AV657" s="4"/>
      <c r="AW657" s="4"/>
      <c r="AX657" s="4"/>
      <c r="AY657" s="4"/>
      <c r="AZ657" s="4"/>
      <c r="BA657" s="4"/>
      <c r="BB657" s="4"/>
      <c r="BC657" s="5"/>
      <c r="BD657" s="4"/>
      <c r="BE657" s="4"/>
      <c r="BF657" s="4"/>
      <c r="BG657" s="4"/>
      <c r="BH657" s="4"/>
      <c r="BI657" s="4"/>
      <c r="BJ657" s="4"/>
      <c r="BK657" s="4"/>
      <c r="BL657" s="4"/>
      <c r="BM657" s="4"/>
      <c r="BN657" s="4"/>
      <c r="BO657" s="4"/>
      <c r="BP657" s="4"/>
      <c r="BQ657" s="4"/>
      <c r="BR657" s="4"/>
    </row>
    <row r="658" spans="1:70">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c r="AG658" s="4"/>
      <c r="AH658" s="4"/>
      <c r="AI658" s="4"/>
      <c r="AJ658" s="4"/>
      <c r="AK658" s="4"/>
      <c r="AL658" s="4"/>
      <c r="AM658" s="4"/>
      <c r="AN658" s="4"/>
      <c r="AO658" s="4"/>
      <c r="AP658" s="4"/>
      <c r="AQ658" s="4"/>
      <c r="AR658" s="4"/>
      <c r="AS658" s="4"/>
      <c r="AT658" s="4"/>
      <c r="AU658" s="4"/>
      <c r="AV658" s="4"/>
      <c r="AW658" s="4"/>
      <c r="AX658" s="4"/>
      <c r="AY658" s="4"/>
      <c r="AZ658" s="4"/>
      <c r="BA658" s="4"/>
      <c r="BB658" s="4"/>
      <c r="BC658" s="5"/>
      <c r="BD658" s="4"/>
      <c r="BE658" s="4"/>
      <c r="BF658" s="4"/>
      <c r="BG658" s="4"/>
      <c r="BH658" s="4"/>
      <c r="BI658" s="4"/>
      <c r="BJ658" s="4"/>
      <c r="BK658" s="4"/>
      <c r="BL658" s="4"/>
      <c r="BM658" s="4"/>
      <c r="BN658" s="4"/>
      <c r="BO658" s="4"/>
      <c r="BP658" s="4"/>
      <c r="BQ658" s="4"/>
      <c r="BR658" s="4"/>
    </row>
    <row r="659" spans="1:70">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c r="AG659" s="4"/>
      <c r="AH659" s="4"/>
      <c r="AI659" s="4"/>
      <c r="AJ659" s="4"/>
      <c r="AK659" s="4"/>
      <c r="AL659" s="4"/>
      <c r="AM659" s="4"/>
      <c r="AN659" s="4"/>
      <c r="AO659" s="4"/>
      <c r="AP659" s="4"/>
      <c r="AQ659" s="4"/>
      <c r="AR659" s="4"/>
      <c r="AS659" s="4"/>
      <c r="AT659" s="4"/>
      <c r="AU659" s="4"/>
      <c r="AV659" s="4"/>
      <c r="AW659" s="4"/>
      <c r="AX659" s="4"/>
      <c r="AY659" s="4"/>
      <c r="AZ659" s="4"/>
      <c r="BA659" s="4"/>
      <c r="BB659" s="4"/>
      <c r="BC659" s="5"/>
      <c r="BD659" s="4"/>
      <c r="BE659" s="4"/>
      <c r="BF659" s="4"/>
      <c r="BG659" s="4"/>
      <c r="BH659" s="4"/>
      <c r="BI659" s="4"/>
      <c r="BJ659" s="4"/>
      <c r="BK659" s="4"/>
      <c r="BL659" s="4"/>
      <c r="BM659" s="4"/>
      <c r="BN659" s="4"/>
      <c r="BO659" s="4"/>
      <c r="BP659" s="4"/>
      <c r="BQ659" s="4"/>
      <c r="BR659" s="4"/>
    </row>
    <row r="660" spans="1:7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c r="AG660" s="4"/>
      <c r="AH660" s="4"/>
      <c r="AI660" s="4"/>
      <c r="AJ660" s="4"/>
      <c r="AK660" s="4"/>
      <c r="AL660" s="4"/>
      <c r="AM660" s="4"/>
      <c r="AN660" s="4"/>
      <c r="AO660" s="4"/>
      <c r="AP660" s="4"/>
      <c r="AQ660" s="4"/>
      <c r="AR660" s="4"/>
      <c r="AS660" s="4"/>
      <c r="AT660" s="4"/>
      <c r="AU660" s="4"/>
      <c r="AV660" s="4"/>
      <c r="AW660" s="4"/>
      <c r="AX660" s="4"/>
      <c r="AY660" s="4"/>
      <c r="AZ660" s="4"/>
      <c r="BA660" s="4"/>
      <c r="BB660" s="4"/>
      <c r="BC660" s="5"/>
      <c r="BD660" s="4"/>
      <c r="BE660" s="4"/>
      <c r="BF660" s="4"/>
      <c r="BG660" s="4"/>
      <c r="BH660" s="4"/>
      <c r="BI660" s="4"/>
      <c r="BJ660" s="4"/>
      <c r="BK660" s="4"/>
      <c r="BL660" s="4"/>
      <c r="BM660" s="4"/>
      <c r="BN660" s="4"/>
      <c r="BO660" s="4"/>
      <c r="BP660" s="4"/>
      <c r="BQ660" s="4"/>
      <c r="BR660" s="4"/>
    </row>
    <row r="661" spans="1:70">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c r="AG661" s="4"/>
      <c r="AH661" s="4"/>
      <c r="AI661" s="4"/>
      <c r="AJ661" s="4"/>
      <c r="AK661" s="4"/>
      <c r="AL661" s="4"/>
      <c r="AM661" s="4"/>
      <c r="AN661" s="4"/>
      <c r="AO661" s="4"/>
      <c r="AP661" s="4"/>
      <c r="AQ661" s="4"/>
      <c r="AR661" s="4"/>
      <c r="AS661" s="4"/>
      <c r="AT661" s="4"/>
      <c r="AU661" s="4"/>
      <c r="AV661" s="4"/>
      <c r="AW661" s="4"/>
      <c r="AX661" s="4"/>
      <c r="AY661" s="4"/>
      <c r="AZ661" s="4"/>
      <c r="BA661" s="4"/>
      <c r="BB661" s="4"/>
      <c r="BC661" s="5"/>
      <c r="BD661" s="4"/>
      <c r="BE661" s="4"/>
      <c r="BF661" s="4"/>
      <c r="BG661" s="4"/>
      <c r="BH661" s="4"/>
      <c r="BI661" s="4"/>
      <c r="BJ661" s="4"/>
      <c r="BK661" s="4"/>
      <c r="BL661" s="4"/>
      <c r="BM661" s="4"/>
      <c r="BN661" s="4"/>
      <c r="BO661" s="4"/>
      <c r="BP661" s="4"/>
      <c r="BQ661" s="4"/>
      <c r="BR661" s="4"/>
    </row>
    <row r="662" spans="1:70">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c r="AG662" s="4"/>
      <c r="AH662" s="4"/>
      <c r="AI662" s="4"/>
      <c r="AJ662" s="4"/>
      <c r="AK662" s="4"/>
      <c r="AL662" s="4"/>
      <c r="AM662" s="4"/>
      <c r="AN662" s="4"/>
      <c r="AO662" s="4"/>
      <c r="AP662" s="4"/>
      <c r="AQ662" s="4"/>
      <c r="AR662" s="4"/>
      <c r="AS662" s="4"/>
      <c r="AT662" s="4"/>
      <c r="AU662" s="4"/>
      <c r="AV662" s="4"/>
      <c r="AW662" s="4"/>
      <c r="AX662" s="4"/>
      <c r="AY662" s="4"/>
      <c r="AZ662" s="4"/>
      <c r="BA662" s="4"/>
      <c r="BB662" s="4"/>
      <c r="BC662" s="5"/>
      <c r="BD662" s="4"/>
      <c r="BE662" s="4"/>
      <c r="BF662" s="4"/>
      <c r="BG662" s="4"/>
      <c r="BH662" s="4"/>
      <c r="BI662" s="4"/>
      <c r="BJ662" s="4"/>
      <c r="BK662" s="4"/>
      <c r="BL662" s="4"/>
      <c r="BM662" s="4"/>
      <c r="BN662" s="4"/>
      <c r="BO662" s="4"/>
      <c r="BP662" s="4"/>
      <c r="BQ662" s="4"/>
      <c r="BR662" s="4"/>
    </row>
    <row r="663" spans="1:70">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c r="AG663" s="4"/>
      <c r="AH663" s="4"/>
      <c r="AI663" s="4"/>
      <c r="AJ663" s="4"/>
      <c r="AK663" s="4"/>
      <c r="AL663" s="4"/>
      <c r="AM663" s="4"/>
      <c r="AN663" s="4"/>
      <c r="AO663" s="4"/>
      <c r="AP663" s="4"/>
      <c r="AQ663" s="4"/>
      <c r="AR663" s="4"/>
      <c r="AS663" s="4"/>
      <c r="AT663" s="4"/>
      <c r="AU663" s="4"/>
      <c r="AV663" s="4"/>
      <c r="AW663" s="4"/>
      <c r="AX663" s="4"/>
      <c r="AY663" s="4"/>
      <c r="AZ663" s="4"/>
      <c r="BA663" s="4"/>
      <c r="BB663" s="4"/>
      <c r="BC663" s="5"/>
      <c r="BD663" s="4"/>
      <c r="BE663" s="4"/>
      <c r="BF663" s="4"/>
      <c r="BG663" s="4"/>
      <c r="BH663" s="4"/>
      <c r="BI663" s="4"/>
      <c r="BJ663" s="4"/>
      <c r="BK663" s="4"/>
      <c r="BL663" s="4"/>
      <c r="BM663" s="4"/>
      <c r="BN663" s="4"/>
      <c r="BO663" s="4"/>
      <c r="BP663" s="4"/>
      <c r="BQ663" s="4"/>
      <c r="BR663" s="4"/>
    </row>
    <row r="664" spans="1:70">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c r="AG664" s="4"/>
      <c r="AH664" s="4"/>
      <c r="AI664" s="4"/>
      <c r="AJ664" s="4"/>
      <c r="AK664" s="4"/>
      <c r="AL664" s="4"/>
      <c r="AM664" s="4"/>
      <c r="AN664" s="4"/>
      <c r="AO664" s="4"/>
      <c r="AP664" s="4"/>
      <c r="AQ664" s="4"/>
      <c r="AR664" s="4"/>
      <c r="AS664" s="4"/>
      <c r="AT664" s="4"/>
      <c r="AU664" s="4"/>
      <c r="AV664" s="4"/>
      <c r="AW664" s="4"/>
      <c r="AX664" s="4"/>
      <c r="AY664" s="4"/>
      <c r="AZ664" s="4"/>
      <c r="BA664" s="4"/>
      <c r="BB664" s="4"/>
      <c r="BC664" s="5"/>
      <c r="BD664" s="4"/>
      <c r="BE664" s="4"/>
      <c r="BF664" s="4"/>
      <c r="BG664" s="4"/>
      <c r="BH664" s="4"/>
      <c r="BI664" s="4"/>
      <c r="BJ664" s="4"/>
      <c r="BK664" s="4"/>
      <c r="BL664" s="4"/>
      <c r="BM664" s="4"/>
      <c r="BN664" s="4"/>
      <c r="BO664" s="4"/>
      <c r="BP664" s="4"/>
      <c r="BQ664" s="4"/>
      <c r="BR664" s="4"/>
    </row>
    <row r="665" spans="1:70">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c r="AG665" s="4"/>
      <c r="AH665" s="4"/>
      <c r="AI665" s="4"/>
      <c r="AJ665" s="4"/>
      <c r="AK665" s="4"/>
      <c r="AL665" s="4"/>
      <c r="AM665" s="4"/>
      <c r="AN665" s="4"/>
      <c r="AO665" s="4"/>
      <c r="AP665" s="4"/>
      <c r="AQ665" s="4"/>
      <c r="AR665" s="4"/>
      <c r="AS665" s="4"/>
      <c r="AT665" s="4"/>
      <c r="AU665" s="4"/>
      <c r="AV665" s="4"/>
      <c r="AW665" s="4"/>
      <c r="AX665" s="4"/>
      <c r="AY665" s="4"/>
      <c r="AZ665" s="4"/>
      <c r="BA665" s="4"/>
      <c r="BB665" s="4"/>
      <c r="BC665" s="5"/>
      <c r="BD665" s="4"/>
      <c r="BE665" s="4"/>
      <c r="BF665" s="4"/>
      <c r="BG665" s="4"/>
      <c r="BH665" s="4"/>
      <c r="BI665" s="4"/>
      <c r="BJ665" s="4"/>
      <c r="BK665" s="4"/>
      <c r="BL665" s="4"/>
      <c r="BM665" s="4"/>
      <c r="BN665" s="4"/>
      <c r="BO665" s="4"/>
      <c r="BP665" s="4"/>
      <c r="BQ665" s="4"/>
      <c r="BR665" s="4"/>
    </row>
    <row r="666" spans="1:70">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c r="AG666" s="4"/>
      <c r="AH666" s="4"/>
      <c r="AI666" s="4"/>
      <c r="AJ666" s="4"/>
      <c r="AK666" s="4"/>
      <c r="AL666" s="4"/>
      <c r="AM666" s="4"/>
      <c r="AN666" s="4"/>
      <c r="AO666" s="4"/>
      <c r="AP666" s="4"/>
      <c r="AQ666" s="4"/>
      <c r="AR666" s="4"/>
      <c r="AS666" s="4"/>
      <c r="AT666" s="4"/>
      <c r="AU666" s="4"/>
      <c r="AV666" s="4"/>
      <c r="AW666" s="4"/>
      <c r="AX666" s="4"/>
      <c r="AY666" s="4"/>
      <c r="AZ666" s="4"/>
      <c r="BA666" s="4"/>
      <c r="BB666" s="4"/>
      <c r="BC666" s="5"/>
      <c r="BD666" s="4"/>
      <c r="BE666" s="4"/>
      <c r="BF666" s="4"/>
      <c r="BG666" s="4"/>
      <c r="BH666" s="4"/>
      <c r="BI666" s="4"/>
      <c r="BJ666" s="4"/>
      <c r="BK666" s="4"/>
      <c r="BL666" s="4"/>
      <c r="BM666" s="4"/>
      <c r="BN666" s="4"/>
      <c r="BO666" s="4"/>
      <c r="BP666" s="4"/>
      <c r="BQ666" s="4"/>
      <c r="BR666" s="4"/>
    </row>
    <row r="667" spans="1:70">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c r="AG667" s="4"/>
      <c r="AH667" s="4"/>
      <c r="AI667" s="4"/>
      <c r="AJ667" s="4"/>
      <c r="AK667" s="4"/>
      <c r="AL667" s="4"/>
      <c r="AM667" s="4"/>
      <c r="AN667" s="4"/>
      <c r="AO667" s="4"/>
      <c r="AP667" s="4"/>
      <c r="AQ667" s="4"/>
      <c r="AR667" s="4"/>
      <c r="AS667" s="4"/>
      <c r="AT667" s="4"/>
      <c r="AU667" s="4"/>
      <c r="AV667" s="4"/>
      <c r="AW667" s="4"/>
      <c r="AX667" s="4"/>
      <c r="AY667" s="4"/>
      <c r="AZ667" s="4"/>
      <c r="BA667" s="4"/>
      <c r="BB667" s="4"/>
      <c r="BC667" s="5"/>
      <c r="BD667" s="4"/>
      <c r="BE667" s="4"/>
      <c r="BF667" s="4"/>
      <c r="BG667" s="4"/>
      <c r="BH667" s="4"/>
      <c r="BI667" s="4"/>
      <c r="BJ667" s="4"/>
      <c r="BK667" s="4"/>
      <c r="BL667" s="4"/>
      <c r="BM667" s="4"/>
      <c r="BN667" s="4"/>
      <c r="BO667" s="4"/>
      <c r="BP667" s="4"/>
      <c r="BQ667" s="4"/>
      <c r="BR667" s="4"/>
    </row>
    <row r="668" spans="1:70">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c r="AG668" s="4"/>
      <c r="AH668" s="4"/>
      <c r="AI668" s="4"/>
      <c r="AJ668" s="4"/>
      <c r="AK668" s="4"/>
      <c r="AL668" s="4"/>
      <c r="AM668" s="4"/>
      <c r="AN668" s="4"/>
      <c r="AO668" s="4"/>
      <c r="AP668" s="4"/>
      <c r="AQ668" s="4"/>
      <c r="AR668" s="4"/>
      <c r="AS668" s="4"/>
      <c r="AT668" s="4"/>
      <c r="AU668" s="4"/>
      <c r="AV668" s="4"/>
      <c r="AW668" s="4"/>
      <c r="AX668" s="4"/>
      <c r="AY668" s="4"/>
      <c r="AZ668" s="4"/>
      <c r="BA668" s="4"/>
      <c r="BB668" s="4"/>
      <c r="BC668" s="5"/>
      <c r="BD668" s="4"/>
      <c r="BE668" s="4"/>
      <c r="BF668" s="4"/>
      <c r="BG668" s="4"/>
      <c r="BH668" s="4"/>
      <c r="BI668" s="4"/>
      <c r="BJ668" s="4"/>
      <c r="BK668" s="4"/>
      <c r="BL668" s="4"/>
      <c r="BM668" s="4"/>
      <c r="BN668" s="4"/>
      <c r="BO668" s="4"/>
      <c r="BP668" s="4"/>
      <c r="BQ668" s="4"/>
      <c r="BR668" s="4"/>
    </row>
    <row r="669" spans="1:70">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c r="AG669" s="4"/>
      <c r="AH669" s="4"/>
      <c r="AI669" s="4"/>
      <c r="AJ669" s="4"/>
      <c r="AK669" s="4"/>
      <c r="AL669" s="4"/>
      <c r="AM669" s="4"/>
      <c r="AN669" s="4"/>
      <c r="AO669" s="4"/>
      <c r="AP669" s="4"/>
      <c r="AQ669" s="4"/>
      <c r="AR669" s="4"/>
      <c r="AS669" s="4"/>
      <c r="AT669" s="4"/>
      <c r="AU669" s="4"/>
      <c r="AV669" s="4"/>
      <c r="AW669" s="4"/>
      <c r="AX669" s="4"/>
      <c r="AY669" s="4"/>
      <c r="AZ669" s="4"/>
      <c r="BA669" s="4"/>
      <c r="BB669" s="4"/>
      <c r="BC669" s="5"/>
      <c r="BD669" s="4"/>
      <c r="BE669" s="4"/>
      <c r="BF669" s="4"/>
      <c r="BG669" s="4"/>
      <c r="BH669" s="4"/>
      <c r="BI669" s="4"/>
      <c r="BJ669" s="4"/>
      <c r="BK669" s="4"/>
      <c r="BL669" s="4"/>
      <c r="BM669" s="4"/>
      <c r="BN669" s="4"/>
      <c r="BO669" s="4"/>
      <c r="BP669" s="4"/>
      <c r="BQ669" s="4"/>
      <c r="BR669" s="4"/>
    </row>
    <row r="670" spans="1: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c r="AG670" s="4"/>
      <c r="AH670" s="4"/>
      <c r="AI670" s="4"/>
      <c r="AJ670" s="4"/>
      <c r="AK670" s="4"/>
      <c r="AL670" s="4"/>
      <c r="AM670" s="4"/>
      <c r="AN670" s="4"/>
      <c r="AO670" s="4"/>
      <c r="AP670" s="4"/>
      <c r="AQ670" s="4"/>
      <c r="AR670" s="4"/>
      <c r="AS670" s="4"/>
      <c r="AT670" s="4"/>
      <c r="AU670" s="4"/>
      <c r="AV670" s="4"/>
      <c r="AW670" s="4"/>
      <c r="AX670" s="4"/>
      <c r="AY670" s="4"/>
      <c r="AZ670" s="4"/>
      <c r="BA670" s="4"/>
      <c r="BB670" s="4"/>
      <c r="BC670" s="5"/>
      <c r="BD670" s="4"/>
      <c r="BE670" s="4"/>
      <c r="BF670" s="4"/>
      <c r="BG670" s="4"/>
      <c r="BH670" s="4"/>
      <c r="BI670" s="4"/>
      <c r="BJ670" s="4"/>
      <c r="BK670" s="4"/>
      <c r="BL670" s="4"/>
      <c r="BM670" s="4"/>
      <c r="BN670" s="4"/>
      <c r="BO670" s="4"/>
      <c r="BP670" s="4"/>
      <c r="BQ670" s="4"/>
      <c r="BR670" s="4"/>
    </row>
    <row r="671" spans="1:70">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c r="AG671" s="4"/>
      <c r="AH671" s="4"/>
      <c r="AI671" s="4"/>
      <c r="AJ671" s="4"/>
      <c r="AK671" s="4"/>
      <c r="AL671" s="4"/>
      <c r="AM671" s="4"/>
      <c r="AN671" s="4"/>
      <c r="AO671" s="4"/>
      <c r="AP671" s="4"/>
      <c r="AQ671" s="4"/>
      <c r="AR671" s="4"/>
      <c r="AS671" s="4"/>
      <c r="AT671" s="4"/>
      <c r="AU671" s="4"/>
      <c r="AV671" s="4"/>
      <c r="AW671" s="4"/>
      <c r="AX671" s="4"/>
      <c r="AY671" s="4"/>
      <c r="AZ671" s="4"/>
      <c r="BA671" s="4"/>
      <c r="BB671" s="4"/>
      <c r="BC671" s="5"/>
      <c r="BD671" s="4"/>
      <c r="BE671" s="4"/>
      <c r="BF671" s="4"/>
      <c r="BG671" s="4"/>
      <c r="BH671" s="4"/>
      <c r="BI671" s="4"/>
      <c r="BJ671" s="4"/>
      <c r="BK671" s="4"/>
      <c r="BL671" s="4"/>
      <c r="BM671" s="4"/>
      <c r="BN671" s="4"/>
      <c r="BO671" s="4"/>
      <c r="BP671" s="4"/>
      <c r="BQ671" s="4"/>
      <c r="BR671" s="4"/>
    </row>
    <row r="672" spans="1:70">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c r="AG672" s="4"/>
      <c r="AH672" s="4"/>
      <c r="AI672" s="4"/>
      <c r="AJ672" s="4"/>
      <c r="AK672" s="4"/>
      <c r="AL672" s="4"/>
      <c r="AM672" s="4"/>
      <c r="AN672" s="4"/>
      <c r="AO672" s="4"/>
      <c r="AP672" s="4"/>
      <c r="AQ672" s="4"/>
      <c r="AR672" s="4"/>
      <c r="AS672" s="4"/>
      <c r="AT672" s="4"/>
      <c r="AU672" s="4"/>
      <c r="AV672" s="4"/>
      <c r="AW672" s="4"/>
      <c r="AX672" s="4"/>
      <c r="AY672" s="4"/>
      <c r="AZ672" s="4"/>
      <c r="BA672" s="4"/>
      <c r="BB672" s="4"/>
      <c r="BC672" s="5"/>
      <c r="BD672" s="4"/>
      <c r="BE672" s="4"/>
      <c r="BF672" s="4"/>
      <c r="BG672" s="4"/>
      <c r="BH672" s="4"/>
      <c r="BI672" s="4"/>
      <c r="BJ672" s="4"/>
      <c r="BK672" s="4"/>
      <c r="BL672" s="4"/>
      <c r="BM672" s="4"/>
      <c r="BN672" s="4"/>
      <c r="BO672" s="4"/>
      <c r="BP672" s="4"/>
      <c r="BQ672" s="4"/>
      <c r="BR672" s="4"/>
    </row>
    <row r="673" spans="1:70">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c r="AG673" s="4"/>
      <c r="AH673" s="4"/>
      <c r="AI673" s="4"/>
      <c r="AJ673" s="4"/>
      <c r="AK673" s="4"/>
      <c r="AL673" s="4"/>
      <c r="AM673" s="4"/>
      <c r="AN673" s="4"/>
      <c r="AO673" s="4"/>
      <c r="AP673" s="4"/>
      <c r="AQ673" s="4"/>
      <c r="AR673" s="4"/>
      <c r="AS673" s="4"/>
      <c r="AT673" s="4"/>
      <c r="AU673" s="4"/>
      <c r="AV673" s="4"/>
      <c r="AW673" s="4"/>
      <c r="AX673" s="4"/>
      <c r="AY673" s="4"/>
      <c r="AZ673" s="4"/>
      <c r="BA673" s="4"/>
      <c r="BB673" s="4"/>
      <c r="BC673" s="5"/>
      <c r="BD673" s="4"/>
      <c r="BE673" s="4"/>
      <c r="BF673" s="4"/>
      <c r="BG673" s="4"/>
      <c r="BH673" s="4"/>
      <c r="BI673" s="4"/>
      <c r="BJ673" s="4"/>
      <c r="BK673" s="4"/>
      <c r="BL673" s="4"/>
      <c r="BM673" s="4"/>
      <c r="BN673" s="4"/>
      <c r="BO673" s="4"/>
      <c r="BP673" s="4"/>
      <c r="BQ673" s="4"/>
      <c r="BR673" s="4"/>
    </row>
    <row r="674" spans="1:70">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c r="AG674" s="4"/>
      <c r="AH674" s="4"/>
      <c r="AI674" s="4"/>
      <c r="AJ674" s="4"/>
      <c r="AK674" s="4"/>
      <c r="AL674" s="4"/>
      <c r="AM674" s="4"/>
      <c r="AN674" s="4"/>
      <c r="AO674" s="4"/>
      <c r="AP674" s="4"/>
      <c r="AQ674" s="4"/>
      <c r="AR674" s="4"/>
      <c r="AS674" s="4"/>
      <c r="AT674" s="4"/>
      <c r="AU674" s="4"/>
      <c r="AV674" s="4"/>
      <c r="AW674" s="4"/>
      <c r="AX674" s="4"/>
      <c r="AY674" s="4"/>
      <c r="AZ674" s="4"/>
      <c r="BA674" s="4"/>
      <c r="BB674" s="4"/>
      <c r="BC674" s="5"/>
      <c r="BD674" s="4"/>
      <c r="BE674" s="4"/>
      <c r="BF674" s="4"/>
      <c r="BG674" s="4"/>
      <c r="BH674" s="4"/>
      <c r="BI674" s="4"/>
      <c r="BJ674" s="4"/>
      <c r="BK674" s="4"/>
      <c r="BL674" s="4"/>
      <c r="BM674" s="4"/>
      <c r="BN674" s="4"/>
      <c r="BO674" s="4"/>
      <c r="BP674" s="4"/>
      <c r="BQ674" s="4"/>
      <c r="BR674" s="4"/>
    </row>
    <row r="675" spans="1:70">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c r="AG675" s="4"/>
      <c r="AH675" s="4"/>
      <c r="AI675" s="4"/>
      <c r="AJ675" s="4"/>
      <c r="AK675" s="4"/>
      <c r="AL675" s="4"/>
      <c r="AM675" s="4"/>
      <c r="AN675" s="4"/>
      <c r="AO675" s="4"/>
      <c r="AP675" s="4"/>
      <c r="AQ675" s="4"/>
      <c r="AR675" s="4"/>
      <c r="AS675" s="4"/>
      <c r="AT675" s="4"/>
      <c r="AU675" s="4"/>
      <c r="AV675" s="4"/>
      <c r="AW675" s="4"/>
      <c r="AX675" s="4"/>
      <c r="AY675" s="4"/>
      <c r="AZ675" s="4"/>
      <c r="BA675" s="4"/>
      <c r="BB675" s="4"/>
      <c r="BC675" s="5"/>
      <c r="BD675" s="4"/>
      <c r="BE675" s="4"/>
      <c r="BF675" s="4"/>
      <c r="BG675" s="4"/>
      <c r="BH675" s="4"/>
      <c r="BI675" s="4"/>
      <c r="BJ675" s="4"/>
      <c r="BK675" s="4"/>
      <c r="BL675" s="4"/>
      <c r="BM675" s="4"/>
      <c r="BN675" s="4"/>
      <c r="BO675" s="4"/>
      <c r="BP675" s="4"/>
      <c r="BQ675" s="4"/>
      <c r="BR675" s="4"/>
    </row>
    <row r="676" spans="1:70">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c r="AG676" s="4"/>
      <c r="AH676" s="4"/>
      <c r="AI676" s="4"/>
      <c r="AJ676" s="4"/>
      <c r="AK676" s="4"/>
      <c r="AL676" s="4"/>
      <c r="AM676" s="4"/>
      <c r="AN676" s="4"/>
      <c r="AO676" s="4"/>
      <c r="AP676" s="4"/>
      <c r="AQ676" s="4"/>
      <c r="AR676" s="4"/>
      <c r="AS676" s="4"/>
      <c r="AT676" s="4"/>
      <c r="AU676" s="4"/>
      <c r="AV676" s="4"/>
      <c r="AW676" s="4"/>
      <c r="AX676" s="4"/>
      <c r="AY676" s="4"/>
      <c r="AZ676" s="4"/>
      <c r="BA676" s="4"/>
      <c r="BB676" s="4"/>
      <c r="BC676" s="5"/>
      <c r="BD676" s="4"/>
      <c r="BE676" s="4"/>
      <c r="BF676" s="4"/>
      <c r="BG676" s="4"/>
      <c r="BH676" s="4"/>
      <c r="BI676" s="4"/>
      <c r="BJ676" s="4"/>
      <c r="BK676" s="4"/>
      <c r="BL676" s="4"/>
      <c r="BM676" s="4"/>
      <c r="BN676" s="4"/>
      <c r="BO676" s="4"/>
      <c r="BP676" s="4"/>
      <c r="BQ676" s="4"/>
      <c r="BR676" s="4"/>
    </row>
    <row r="677" spans="1:70">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c r="AG677" s="4"/>
      <c r="AH677" s="4"/>
      <c r="AI677" s="4"/>
      <c r="AJ677" s="4"/>
      <c r="AK677" s="4"/>
      <c r="AL677" s="4"/>
      <c r="AM677" s="4"/>
      <c r="AN677" s="4"/>
      <c r="AO677" s="4"/>
      <c r="AP677" s="4"/>
      <c r="AQ677" s="4"/>
      <c r="AR677" s="4"/>
      <c r="AS677" s="4"/>
      <c r="AT677" s="4"/>
      <c r="AU677" s="4"/>
      <c r="AV677" s="4"/>
      <c r="AW677" s="4"/>
      <c r="AX677" s="4"/>
      <c r="AY677" s="4"/>
      <c r="AZ677" s="4"/>
      <c r="BA677" s="4"/>
      <c r="BB677" s="4"/>
      <c r="BC677" s="5"/>
      <c r="BD677" s="4"/>
      <c r="BE677" s="4"/>
      <c r="BF677" s="4"/>
      <c r="BG677" s="4"/>
      <c r="BH677" s="4"/>
      <c r="BI677" s="4"/>
      <c r="BJ677" s="4"/>
      <c r="BK677" s="4"/>
      <c r="BL677" s="4"/>
      <c r="BM677" s="4"/>
      <c r="BN677" s="4"/>
      <c r="BO677" s="4"/>
      <c r="BP677" s="4"/>
      <c r="BQ677" s="4"/>
      <c r="BR677" s="4"/>
    </row>
    <row r="678" spans="1:70">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c r="AG678" s="4"/>
      <c r="AH678" s="4"/>
      <c r="AI678" s="4"/>
      <c r="AJ678" s="4"/>
      <c r="AK678" s="4"/>
      <c r="AL678" s="4"/>
      <c r="AM678" s="4"/>
      <c r="AN678" s="4"/>
      <c r="AO678" s="4"/>
      <c r="AP678" s="4"/>
      <c r="AQ678" s="4"/>
      <c r="AR678" s="4"/>
      <c r="AS678" s="4"/>
      <c r="AT678" s="4"/>
      <c r="AU678" s="4"/>
      <c r="AV678" s="4"/>
      <c r="AW678" s="4"/>
      <c r="AX678" s="4"/>
      <c r="AY678" s="4"/>
      <c r="AZ678" s="4"/>
      <c r="BA678" s="4"/>
      <c r="BB678" s="4"/>
      <c r="BC678" s="5"/>
      <c r="BD678" s="4"/>
      <c r="BE678" s="4"/>
      <c r="BF678" s="4"/>
      <c r="BG678" s="4"/>
      <c r="BH678" s="4"/>
      <c r="BI678" s="4"/>
      <c r="BJ678" s="4"/>
      <c r="BK678" s="4"/>
      <c r="BL678" s="4"/>
      <c r="BM678" s="4"/>
      <c r="BN678" s="4"/>
      <c r="BO678" s="4"/>
      <c r="BP678" s="4"/>
      <c r="BQ678" s="4"/>
      <c r="BR678" s="4"/>
    </row>
    <row r="679" spans="1:70">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c r="AG679" s="4"/>
      <c r="AH679" s="4"/>
      <c r="AI679" s="4"/>
      <c r="AJ679" s="4"/>
      <c r="AK679" s="4"/>
      <c r="AL679" s="4"/>
      <c r="AM679" s="4"/>
      <c r="AN679" s="4"/>
      <c r="AO679" s="4"/>
      <c r="AP679" s="4"/>
      <c r="AQ679" s="4"/>
      <c r="AR679" s="4"/>
      <c r="AS679" s="4"/>
      <c r="AT679" s="4"/>
      <c r="AU679" s="4"/>
      <c r="AV679" s="4"/>
      <c r="AW679" s="4"/>
      <c r="AX679" s="4"/>
      <c r="AY679" s="4"/>
      <c r="AZ679" s="4"/>
      <c r="BA679" s="4"/>
      <c r="BB679" s="4"/>
      <c r="BC679" s="5"/>
      <c r="BD679" s="4"/>
      <c r="BE679" s="4"/>
      <c r="BF679" s="4"/>
      <c r="BG679" s="4"/>
      <c r="BH679" s="4"/>
      <c r="BI679" s="4"/>
      <c r="BJ679" s="4"/>
      <c r="BK679" s="4"/>
      <c r="BL679" s="4"/>
      <c r="BM679" s="4"/>
      <c r="BN679" s="4"/>
      <c r="BO679" s="4"/>
      <c r="BP679" s="4"/>
      <c r="BQ679" s="4"/>
      <c r="BR679" s="4"/>
    </row>
    <row r="680" spans="1:7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c r="AG680" s="4"/>
      <c r="AH680" s="4"/>
      <c r="AI680" s="4"/>
      <c r="AJ680" s="4"/>
      <c r="AK680" s="4"/>
      <c r="AL680" s="4"/>
      <c r="AM680" s="4"/>
      <c r="AN680" s="4"/>
      <c r="AO680" s="4"/>
      <c r="AP680" s="4"/>
      <c r="AQ680" s="4"/>
      <c r="AR680" s="4"/>
      <c r="AS680" s="4"/>
      <c r="AT680" s="4"/>
      <c r="AU680" s="4"/>
      <c r="AV680" s="4"/>
      <c r="AW680" s="4"/>
      <c r="AX680" s="4"/>
      <c r="AY680" s="4"/>
      <c r="AZ680" s="4"/>
      <c r="BA680" s="4"/>
      <c r="BB680" s="4"/>
      <c r="BC680" s="5"/>
      <c r="BD680" s="4"/>
      <c r="BE680" s="4"/>
      <c r="BF680" s="4"/>
      <c r="BG680" s="4"/>
      <c r="BH680" s="4"/>
      <c r="BI680" s="4"/>
      <c r="BJ680" s="4"/>
      <c r="BK680" s="4"/>
      <c r="BL680" s="4"/>
      <c r="BM680" s="4"/>
      <c r="BN680" s="4"/>
      <c r="BO680" s="4"/>
      <c r="BP680" s="4"/>
      <c r="BQ680" s="4"/>
      <c r="BR680" s="4"/>
    </row>
    <row r="681" spans="1:70">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c r="AG681" s="4"/>
      <c r="AH681" s="4"/>
      <c r="AI681" s="4"/>
      <c r="AJ681" s="4"/>
      <c r="AK681" s="4"/>
      <c r="AL681" s="4"/>
      <c r="AM681" s="4"/>
      <c r="AN681" s="4"/>
      <c r="AO681" s="4"/>
      <c r="AP681" s="4"/>
      <c r="AQ681" s="4"/>
      <c r="AR681" s="4"/>
      <c r="AS681" s="4"/>
      <c r="AT681" s="4"/>
      <c r="AU681" s="4"/>
      <c r="AV681" s="4"/>
      <c r="AW681" s="4"/>
      <c r="AX681" s="4"/>
      <c r="AY681" s="4"/>
      <c r="AZ681" s="4"/>
      <c r="BA681" s="4"/>
      <c r="BB681" s="4"/>
      <c r="BC681" s="5"/>
      <c r="BD681" s="4"/>
      <c r="BE681" s="4"/>
      <c r="BF681" s="4"/>
      <c r="BG681" s="4"/>
      <c r="BH681" s="4"/>
      <c r="BI681" s="4"/>
      <c r="BJ681" s="4"/>
      <c r="BK681" s="4"/>
      <c r="BL681" s="4"/>
      <c r="BM681" s="4"/>
      <c r="BN681" s="4"/>
      <c r="BO681" s="4"/>
      <c r="BP681" s="4"/>
      <c r="BQ681" s="4"/>
      <c r="BR681" s="4"/>
    </row>
    <row r="682" spans="1:70">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c r="AG682" s="4"/>
      <c r="AH682" s="4"/>
      <c r="AI682" s="4"/>
      <c r="AJ682" s="4"/>
      <c r="AK682" s="4"/>
      <c r="AL682" s="4"/>
      <c r="AM682" s="4"/>
      <c r="AN682" s="4"/>
      <c r="AO682" s="4"/>
      <c r="AP682" s="4"/>
      <c r="AQ682" s="4"/>
      <c r="AR682" s="4"/>
      <c r="AS682" s="4"/>
      <c r="AT682" s="4"/>
      <c r="AU682" s="4"/>
      <c r="AV682" s="4"/>
      <c r="AW682" s="4"/>
      <c r="AX682" s="4"/>
      <c r="AY682" s="4"/>
      <c r="AZ682" s="4"/>
      <c r="BA682" s="4"/>
      <c r="BB682" s="4"/>
      <c r="BC682" s="5"/>
      <c r="BD682" s="4"/>
      <c r="BE682" s="4"/>
      <c r="BF682" s="4"/>
      <c r="BG682" s="4"/>
      <c r="BH682" s="4"/>
      <c r="BI682" s="4"/>
      <c r="BJ682" s="4"/>
      <c r="BK682" s="4"/>
      <c r="BL682" s="4"/>
      <c r="BM682" s="4"/>
      <c r="BN682" s="4"/>
      <c r="BO682" s="4"/>
      <c r="BP682" s="4"/>
      <c r="BQ682" s="4"/>
      <c r="BR682" s="4"/>
    </row>
    <row r="683" spans="1:70">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c r="AG683" s="4"/>
      <c r="AH683" s="4"/>
      <c r="AI683" s="4"/>
      <c r="AJ683" s="4"/>
      <c r="AK683" s="4"/>
      <c r="AL683" s="4"/>
      <c r="AM683" s="4"/>
      <c r="AN683" s="4"/>
      <c r="AO683" s="4"/>
      <c r="AP683" s="4"/>
      <c r="AQ683" s="4"/>
      <c r="AR683" s="4"/>
      <c r="AS683" s="4"/>
      <c r="AT683" s="4"/>
      <c r="AU683" s="4"/>
      <c r="AV683" s="4"/>
      <c r="AW683" s="4"/>
      <c r="AX683" s="4"/>
      <c r="AY683" s="4"/>
      <c r="AZ683" s="4"/>
      <c r="BA683" s="4"/>
      <c r="BB683" s="4"/>
      <c r="BC683" s="5"/>
      <c r="BD683" s="4"/>
      <c r="BE683" s="4"/>
      <c r="BF683" s="4"/>
      <c r="BG683" s="4"/>
      <c r="BH683" s="4"/>
      <c r="BI683" s="4"/>
      <c r="BJ683" s="4"/>
      <c r="BK683" s="4"/>
      <c r="BL683" s="4"/>
      <c r="BM683" s="4"/>
      <c r="BN683" s="4"/>
      <c r="BO683" s="4"/>
      <c r="BP683" s="4"/>
      <c r="BQ683" s="4"/>
      <c r="BR683" s="4"/>
    </row>
    <row r="684" spans="1:70">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c r="AG684" s="4"/>
      <c r="AH684" s="4"/>
      <c r="AI684" s="4"/>
      <c r="AJ684" s="4"/>
      <c r="AK684" s="4"/>
      <c r="AL684" s="4"/>
      <c r="AM684" s="4"/>
      <c r="AN684" s="4"/>
      <c r="AO684" s="4"/>
      <c r="AP684" s="4"/>
      <c r="AQ684" s="4"/>
      <c r="AR684" s="4"/>
      <c r="AS684" s="4"/>
      <c r="AT684" s="4"/>
      <c r="AU684" s="4"/>
      <c r="AV684" s="4"/>
      <c r="AW684" s="4"/>
      <c r="AX684" s="4"/>
      <c r="AY684" s="4"/>
      <c r="AZ684" s="4"/>
      <c r="BA684" s="4"/>
      <c r="BB684" s="4"/>
      <c r="BC684" s="5"/>
      <c r="BD684" s="4"/>
      <c r="BE684" s="4"/>
      <c r="BF684" s="4"/>
      <c r="BG684" s="4"/>
      <c r="BH684" s="4"/>
      <c r="BI684" s="4"/>
      <c r="BJ684" s="4"/>
      <c r="BK684" s="4"/>
      <c r="BL684" s="4"/>
      <c r="BM684" s="4"/>
      <c r="BN684" s="4"/>
      <c r="BO684" s="4"/>
      <c r="BP684" s="4"/>
      <c r="BQ684" s="4"/>
      <c r="BR684" s="4"/>
    </row>
    <row r="685" spans="1:70">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c r="AG685" s="4"/>
      <c r="AH685" s="4"/>
      <c r="AI685" s="4"/>
      <c r="AJ685" s="4"/>
      <c r="AK685" s="4"/>
      <c r="AL685" s="4"/>
      <c r="AM685" s="4"/>
      <c r="AN685" s="4"/>
      <c r="AO685" s="4"/>
      <c r="AP685" s="4"/>
      <c r="AQ685" s="4"/>
      <c r="AR685" s="4"/>
      <c r="AS685" s="4"/>
      <c r="AT685" s="4"/>
      <c r="AU685" s="4"/>
      <c r="AV685" s="4"/>
      <c r="AW685" s="4"/>
      <c r="AX685" s="4"/>
      <c r="AY685" s="4"/>
      <c r="AZ685" s="4"/>
      <c r="BA685" s="4"/>
      <c r="BB685" s="4"/>
      <c r="BC685" s="5"/>
      <c r="BD685" s="4"/>
      <c r="BE685" s="4"/>
      <c r="BF685" s="4"/>
      <c r="BG685" s="4"/>
      <c r="BH685" s="4"/>
      <c r="BI685" s="4"/>
      <c r="BJ685" s="4"/>
      <c r="BK685" s="4"/>
      <c r="BL685" s="4"/>
      <c r="BM685" s="4"/>
      <c r="BN685" s="4"/>
      <c r="BO685" s="4"/>
      <c r="BP685" s="4"/>
      <c r="BQ685" s="4"/>
      <c r="BR685" s="4"/>
    </row>
    <row r="686" spans="1:70">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c r="AG686" s="4"/>
      <c r="AH686" s="4"/>
      <c r="AI686" s="4"/>
      <c r="AJ686" s="4"/>
      <c r="AK686" s="4"/>
      <c r="AL686" s="4"/>
      <c r="AM686" s="4"/>
      <c r="AN686" s="4"/>
      <c r="AO686" s="4"/>
      <c r="AP686" s="4"/>
      <c r="AQ686" s="4"/>
      <c r="AR686" s="4"/>
      <c r="AS686" s="4"/>
      <c r="AT686" s="4"/>
      <c r="AU686" s="4"/>
      <c r="AV686" s="4"/>
      <c r="AW686" s="4"/>
      <c r="AX686" s="4"/>
      <c r="AY686" s="4"/>
      <c r="AZ686" s="4"/>
      <c r="BA686" s="4"/>
      <c r="BB686" s="4"/>
      <c r="BC686" s="5"/>
      <c r="BD686" s="4"/>
      <c r="BE686" s="4"/>
      <c r="BF686" s="4"/>
      <c r="BG686" s="4"/>
      <c r="BH686" s="4"/>
      <c r="BI686" s="4"/>
      <c r="BJ686" s="4"/>
      <c r="BK686" s="4"/>
      <c r="BL686" s="4"/>
      <c r="BM686" s="4"/>
      <c r="BN686" s="4"/>
      <c r="BO686" s="4"/>
      <c r="BP686" s="4"/>
      <c r="BQ686" s="4"/>
      <c r="BR686" s="4"/>
    </row>
    <row r="687" spans="1:70">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c r="AG687" s="4"/>
      <c r="AH687" s="4"/>
      <c r="AI687" s="4"/>
      <c r="AJ687" s="4"/>
      <c r="AK687" s="4"/>
      <c r="AL687" s="4"/>
      <c r="AM687" s="4"/>
      <c r="AN687" s="4"/>
      <c r="AO687" s="4"/>
      <c r="AP687" s="4"/>
      <c r="AQ687" s="4"/>
      <c r="AR687" s="4"/>
      <c r="AS687" s="4"/>
      <c r="AT687" s="4"/>
      <c r="AU687" s="4"/>
      <c r="AV687" s="4"/>
      <c r="AW687" s="4"/>
      <c r="AX687" s="4"/>
      <c r="AY687" s="4"/>
      <c r="AZ687" s="4"/>
      <c r="BA687" s="4"/>
      <c r="BB687" s="4"/>
      <c r="BC687" s="5"/>
      <c r="BD687" s="4"/>
      <c r="BE687" s="4"/>
      <c r="BF687" s="4"/>
      <c r="BG687" s="4"/>
      <c r="BH687" s="4"/>
      <c r="BI687" s="4"/>
      <c r="BJ687" s="4"/>
      <c r="BK687" s="4"/>
      <c r="BL687" s="4"/>
      <c r="BM687" s="4"/>
      <c r="BN687" s="4"/>
      <c r="BO687" s="4"/>
      <c r="BP687" s="4"/>
      <c r="BQ687" s="4"/>
      <c r="BR687" s="4"/>
    </row>
    <row r="688" spans="1:70">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c r="AG688" s="4"/>
      <c r="AH688" s="4"/>
      <c r="AI688" s="4"/>
      <c r="AJ688" s="4"/>
      <c r="AK688" s="4"/>
      <c r="AL688" s="4"/>
      <c r="AM688" s="4"/>
      <c r="AN688" s="4"/>
      <c r="AO688" s="4"/>
      <c r="AP688" s="4"/>
      <c r="AQ688" s="4"/>
      <c r="AR688" s="4"/>
      <c r="AS688" s="4"/>
      <c r="AT688" s="4"/>
      <c r="AU688" s="4"/>
      <c r="AV688" s="4"/>
      <c r="AW688" s="4"/>
      <c r="AX688" s="4"/>
      <c r="AY688" s="4"/>
      <c r="AZ688" s="4"/>
      <c r="BA688" s="4"/>
      <c r="BB688" s="4"/>
      <c r="BC688" s="5"/>
      <c r="BD688" s="4"/>
      <c r="BE688" s="4"/>
      <c r="BF688" s="4"/>
      <c r="BG688" s="4"/>
      <c r="BH688" s="4"/>
      <c r="BI688" s="4"/>
      <c r="BJ688" s="4"/>
      <c r="BK688" s="4"/>
      <c r="BL688" s="4"/>
      <c r="BM688" s="4"/>
      <c r="BN688" s="4"/>
      <c r="BO688" s="4"/>
      <c r="BP688" s="4"/>
      <c r="BQ688" s="4"/>
      <c r="BR688" s="4"/>
    </row>
    <row r="689" spans="1:70">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c r="AG689" s="4"/>
      <c r="AH689" s="4"/>
      <c r="AI689" s="4"/>
      <c r="AJ689" s="4"/>
      <c r="AK689" s="4"/>
      <c r="AL689" s="4"/>
      <c r="AM689" s="4"/>
      <c r="AN689" s="4"/>
      <c r="AO689" s="4"/>
      <c r="AP689" s="4"/>
      <c r="AQ689" s="4"/>
      <c r="AR689" s="4"/>
      <c r="AS689" s="4"/>
      <c r="AT689" s="4"/>
      <c r="AU689" s="4"/>
      <c r="AV689" s="4"/>
      <c r="AW689" s="4"/>
      <c r="AX689" s="4"/>
      <c r="AY689" s="4"/>
      <c r="AZ689" s="4"/>
      <c r="BA689" s="4"/>
      <c r="BB689" s="4"/>
      <c r="BC689" s="5"/>
      <c r="BD689" s="4"/>
      <c r="BE689" s="4"/>
      <c r="BF689" s="4"/>
      <c r="BG689" s="4"/>
      <c r="BH689" s="4"/>
      <c r="BI689" s="4"/>
      <c r="BJ689" s="4"/>
      <c r="BK689" s="4"/>
      <c r="BL689" s="4"/>
      <c r="BM689" s="4"/>
      <c r="BN689" s="4"/>
      <c r="BO689" s="4"/>
      <c r="BP689" s="4"/>
      <c r="BQ689" s="4"/>
      <c r="BR689" s="4"/>
    </row>
    <row r="690" spans="1:7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c r="AG690" s="4"/>
      <c r="AH690" s="4"/>
      <c r="AI690" s="4"/>
      <c r="AJ690" s="4"/>
      <c r="AK690" s="4"/>
      <c r="AL690" s="4"/>
      <c r="AM690" s="4"/>
      <c r="AN690" s="4"/>
      <c r="AO690" s="4"/>
      <c r="AP690" s="4"/>
      <c r="AQ690" s="4"/>
      <c r="AR690" s="4"/>
      <c r="AS690" s="4"/>
      <c r="AT690" s="4"/>
      <c r="AU690" s="4"/>
      <c r="AV690" s="4"/>
      <c r="AW690" s="4"/>
      <c r="AX690" s="4"/>
      <c r="AY690" s="4"/>
      <c r="AZ690" s="4"/>
      <c r="BA690" s="4"/>
      <c r="BB690" s="4"/>
      <c r="BC690" s="5"/>
      <c r="BD690" s="4"/>
      <c r="BE690" s="4"/>
      <c r="BF690" s="4"/>
      <c r="BG690" s="4"/>
      <c r="BH690" s="4"/>
      <c r="BI690" s="4"/>
      <c r="BJ690" s="4"/>
      <c r="BK690" s="4"/>
      <c r="BL690" s="4"/>
      <c r="BM690" s="4"/>
      <c r="BN690" s="4"/>
      <c r="BO690" s="4"/>
      <c r="BP690" s="4"/>
      <c r="BQ690" s="4"/>
      <c r="BR690" s="4"/>
    </row>
    <row r="691" spans="1:70">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c r="AG691" s="4"/>
      <c r="AH691" s="4"/>
      <c r="AI691" s="4"/>
      <c r="AJ691" s="4"/>
      <c r="AK691" s="4"/>
      <c r="AL691" s="4"/>
      <c r="AM691" s="4"/>
      <c r="AN691" s="4"/>
      <c r="AO691" s="4"/>
      <c r="AP691" s="4"/>
      <c r="AQ691" s="4"/>
      <c r="AR691" s="4"/>
      <c r="AS691" s="4"/>
      <c r="AT691" s="4"/>
      <c r="AU691" s="4"/>
      <c r="AV691" s="4"/>
      <c r="AW691" s="4"/>
      <c r="AX691" s="4"/>
      <c r="AY691" s="4"/>
      <c r="AZ691" s="4"/>
      <c r="BA691" s="4"/>
      <c r="BB691" s="4"/>
      <c r="BC691" s="5"/>
      <c r="BD691" s="4"/>
      <c r="BE691" s="4"/>
      <c r="BF691" s="4"/>
      <c r="BG691" s="4"/>
      <c r="BH691" s="4"/>
      <c r="BI691" s="4"/>
      <c r="BJ691" s="4"/>
      <c r="BK691" s="4"/>
      <c r="BL691" s="4"/>
      <c r="BM691" s="4"/>
      <c r="BN691" s="4"/>
      <c r="BO691" s="4"/>
      <c r="BP691" s="4"/>
      <c r="BQ691" s="4"/>
      <c r="BR691" s="4"/>
    </row>
    <row r="692" spans="1:70">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c r="AG692" s="4"/>
      <c r="AH692" s="4"/>
      <c r="AI692" s="4"/>
      <c r="AJ692" s="4"/>
      <c r="AK692" s="4"/>
      <c r="AL692" s="4"/>
      <c r="AM692" s="4"/>
      <c r="AN692" s="4"/>
      <c r="AO692" s="4"/>
      <c r="AP692" s="4"/>
      <c r="AQ692" s="4"/>
      <c r="AR692" s="4"/>
      <c r="AS692" s="4"/>
      <c r="AT692" s="4"/>
      <c r="AU692" s="4"/>
      <c r="AV692" s="4"/>
      <c r="AW692" s="4"/>
      <c r="AX692" s="4"/>
      <c r="AY692" s="4"/>
      <c r="AZ692" s="4"/>
      <c r="BA692" s="4"/>
      <c r="BB692" s="4"/>
      <c r="BC692" s="5"/>
      <c r="BD692" s="4"/>
      <c r="BE692" s="4"/>
      <c r="BF692" s="4"/>
      <c r="BG692" s="4"/>
      <c r="BH692" s="4"/>
      <c r="BI692" s="4"/>
      <c r="BJ692" s="4"/>
      <c r="BK692" s="4"/>
      <c r="BL692" s="4"/>
      <c r="BM692" s="4"/>
      <c r="BN692" s="4"/>
      <c r="BO692" s="4"/>
      <c r="BP692" s="4"/>
      <c r="BQ692" s="4"/>
      <c r="BR692" s="4"/>
    </row>
    <row r="693" spans="1:70">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c r="AG693" s="4"/>
      <c r="AH693" s="4"/>
      <c r="AI693" s="4"/>
      <c r="AJ693" s="4"/>
      <c r="AK693" s="4"/>
      <c r="AL693" s="4"/>
      <c r="AM693" s="4"/>
      <c r="AN693" s="4"/>
      <c r="AO693" s="4"/>
      <c r="AP693" s="4"/>
      <c r="AQ693" s="4"/>
      <c r="AR693" s="4"/>
      <c r="AS693" s="4"/>
      <c r="AT693" s="4"/>
      <c r="AU693" s="4"/>
      <c r="AV693" s="4"/>
      <c r="AW693" s="4"/>
      <c r="AX693" s="4"/>
      <c r="AY693" s="4"/>
      <c r="AZ693" s="4"/>
      <c r="BA693" s="4"/>
      <c r="BB693" s="4"/>
      <c r="BC693" s="5"/>
      <c r="BD693" s="4"/>
      <c r="BE693" s="4"/>
      <c r="BF693" s="4"/>
      <c r="BG693" s="4"/>
      <c r="BH693" s="4"/>
      <c r="BI693" s="4"/>
      <c r="BJ693" s="4"/>
      <c r="BK693" s="4"/>
      <c r="BL693" s="4"/>
      <c r="BM693" s="4"/>
      <c r="BN693" s="4"/>
      <c r="BO693" s="4"/>
      <c r="BP693" s="4"/>
      <c r="BQ693" s="4"/>
      <c r="BR693" s="4"/>
    </row>
    <row r="694" spans="1:70">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c r="AG694" s="4"/>
      <c r="AH694" s="4"/>
      <c r="AI694" s="4"/>
      <c r="AJ694" s="4"/>
      <c r="AK694" s="4"/>
      <c r="AL694" s="4"/>
      <c r="AM694" s="4"/>
      <c r="AN694" s="4"/>
      <c r="AO694" s="4"/>
      <c r="AP694" s="4"/>
      <c r="AQ694" s="4"/>
      <c r="AR694" s="4"/>
      <c r="AS694" s="4"/>
      <c r="AT694" s="4"/>
      <c r="AU694" s="4"/>
      <c r="AV694" s="4"/>
      <c r="AW694" s="4"/>
      <c r="AX694" s="4"/>
      <c r="AY694" s="4"/>
      <c r="AZ694" s="4"/>
      <c r="BA694" s="4"/>
      <c r="BB694" s="4"/>
      <c r="BC694" s="5"/>
      <c r="BD694" s="4"/>
      <c r="BE694" s="4"/>
      <c r="BF694" s="4"/>
      <c r="BG694" s="4"/>
      <c r="BH694" s="4"/>
      <c r="BI694" s="4"/>
      <c r="BJ694" s="4"/>
      <c r="BK694" s="4"/>
      <c r="BL694" s="4"/>
      <c r="BM694" s="4"/>
      <c r="BN694" s="4"/>
      <c r="BO694" s="4"/>
      <c r="BP694" s="4"/>
      <c r="BQ694" s="4"/>
      <c r="BR694" s="4"/>
    </row>
    <row r="695" spans="1:70">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c r="AG695" s="4"/>
      <c r="AH695" s="4"/>
      <c r="AI695" s="4"/>
      <c r="AJ695" s="4"/>
      <c r="AK695" s="4"/>
      <c r="AL695" s="4"/>
      <c r="AM695" s="4"/>
      <c r="AN695" s="4"/>
      <c r="AO695" s="4"/>
      <c r="AP695" s="4"/>
      <c r="AQ695" s="4"/>
      <c r="AR695" s="4"/>
      <c r="AS695" s="4"/>
      <c r="AT695" s="4"/>
      <c r="AU695" s="4"/>
      <c r="AV695" s="4"/>
      <c r="AW695" s="4"/>
      <c r="AX695" s="4"/>
      <c r="AY695" s="4"/>
      <c r="AZ695" s="4"/>
      <c r="BA695" s="4"/>
      <c r="BB695" s="4"/>
      <c r="BC695" s="5"/>
      <c r="BD695" s="4"/>
      <c r="BE695" s="4"/>
      <c r="BF695" s="4"/>
      <c r="BG695" s="4"/>
      <c r="BH695" s="4"/>
      <c r="BI695" s="4"/>
      <c r="BJ695" s="4"/>
      <c r="BK695" s="4"/>
      <c r="BL695" s="4"/>
      <c r="BM695" s="4"/>
      <c r="BN695" s="4"/>
      <c r="BO695" s="4"/>
      <c r="BP695" s="4"/>
      <c r="BQ695" s="4"/>
      <c r="BR695" s="4"/>
    </row>
    <row r="696" spans="1:70">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c r="AG696" s="4"/>
      <c r="AH696" s="4"/>
      <c r="AI696" s="4"/>
      <c r="AJ696" s="4"/>
      <c r="AK696" s="4"/>
      <c r="AL696" s="4"/>
      <c r="AM696" s="4"/>
      <c r="AN696" s="4"/>
      <c r="AO696" s="4"/>
      <c r="AP696" s="4"/>
      <c r="AQ696" s="4"/>
      <c r="AR696" s="4"/>
      <c r="AS696" s="4"/>
      <c r="AT696" s="4"/>
      <c r="AU696" s="4"/>
      <c r="AV696" s="4"/>
      <c r="AW696" s="4"/>
      <c r="AX696" s="4"/>
      <c r="AY696" s="4"/>
      <c r="AZ696" s="4"/>
      <c r="BA696" s="4"/>
      <c r="BB696" s="4"/>
      <c r="BC696" s="5"/>
      <c r="BD696" s="4"/>
      <c r="BE696" s="4"/>
      <c r="BF696" s="4"/>
      <c r="BG696" s="4"/>
      <c r="BH696" s="4"/>
      <c r="BI696" s="4"/>
      <c r="BJ696" s="4"/>
      <c r="BK696" s="4"/>
      <c r="BL696" s="4"/>
      <c r="BM696" s="4"/>
      <c r="BN696" s="4"/>
      <c r="BO696" s="4"/>
      <c r="BP696" s="4"/>
      <c r="BQ696" s="4"/>
      <c r="BR696" s="4"/>
    </row>
    <row r="697" spans="1:70">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c r="AG697" s="4"/>
      <c r="AH697" s="4"/>
      <c r="AI697" s="4"/>
      <c r="AJ697" s="4"/>
      <c r="AK697" s="4"/>
      <c r="AL697" s="4"/>
      <c r="AM697" s="4"/>
      <c r="AN697" s="4"/>
      <c r="AO697" s="4"/>
      <c r="AP697" s="4"/>
      <c r="AQ697" s="4"/>
      <c r="AR697" s="4"/>
      <c r="AS697" s="4"/>
      <c r="AT697" s="4"/>
      <c r="AU697" s="4"/>
      <c r="AV697" s="4"/>
      <c r="AW697" s="4"/>
      <c r="AX697" s="4"/>
      <c r="AY697" s="4"/>
      <c r="AZ697" s="4"/>
      <c r="BA697" s="4"/>
      <c r="BB697" s="4"/>
      <c r="BC697" s="5"/>
      <c r="BD697" s="4"/>
      <c r="BE697" s="4"/>
      <c r="BF697" s="4"/>
      <c r="BG697" s="4"/>
      <c r="BH697" s="4"/>
      <c r="BI697" s="4"/>
      <c r="BJ697" s="4"/>
      <c r="BK697" s="4"/>
      <c r="BL697" s="4"/>
      <c r="BM697" s="4"/>
      <c r="BN697" s="4"/>
      <c r="BO697" s="4"/>
      <c r="BP697" s="4"/>
      <c r="BQ697" s="4"/>
      <c r="BR697" s="4"/>
    </row>
    <row r="698" spans="1:70">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c r="AG698" s="4"/>
      <c r="AH698" s="4"/>
      <c r="AI698" s="4"/>
      <c r="AJ698" s="4"/>
      <c r="AK698" s="4"/>
      <c r="AL698" s="4"/>
      <c r="AM698" s="4"/>
      <c r="AN698" s="4"/>
      <c r="AO698" s="4"/>
      <c r="AP698" s="4"/>
      <c r="AQ698" s="4"/>
      <c r="AR698" s="4"/>
      <c r="AS698" s="4"/>
      <c r="AT698" s="4"/>
      <c r="AU698" s="4"/>
      <c r="AV698" s="4"/>
      <c r="AW698" s="4"/>
      <c r="AX698" s="4"/>
      <c r="AY698" s="4"/>
      <c r="AZ698" s="4"/>
      <c r="BA698" s="4"/>
      <c r="BB698" s="4"/>
      <c r="BC698" s="5"/>
      <c r="BD698" s="4"/>
      <c r="BE698" s="4"/>
      <c r="BF698" s="4"/>
      <c r="BG698" s="4"/>
      <c r="BH698" s="4"/>
      <c r="BI698" s="4"/>
      <c r="BJ698" s="4"/>
      <c r="BK698" s="4"/>
      <c r="BL698" s="4"/>
      <c r="BM698" s="4"/>
      <c r="BN698" s="4"/>
      <c r="BO698" s="4"/>
      <c r="BP698" s="4"/>
      <c r="BQ698" s="4"/>
      <c r="BR698" s="4"/>
    </row>
    <row r="699" spans="1:70">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c r="AG699" s="4"/>
      <c r="AH699" s="4"/>
      <c r="AI699" s="4"/>
      <c r="AJ699" s="4"/>
      <c r="AK699" s="4"/>
      <c r="AL699" s="4"/>
      <c r="AM699" s="4"/>
      <c r="AN699" s="4"/>
      <c r="AO699" s="4"/>
      <c r="AP699" s="4"/>
      <c r="AQ699" s="4"/>
      <c r="AR699" s="4"/>
      <c r="AS699" s="4"/>
      <c r="AT699" s="4"/>
      <c r="AU699" s="4"/>
      <c r="AV699" s="4"/>
      <c r="AW699" s="4"/>
      <c r="AX699" s="4"/>
      <c r="AY699" s="4"/>
      <c r="AZ699" s="4"/>
      <c r="BA699" s="4"/>
      <c r="BB699" s="4"/>
      <c r="BC699" s="5"/>
      <c r="BD699" s="4"/>
      <c r="BE699" s="4"/>
      <c r="BF699" s="4"/>
      <c r="BG699" s="4"/>
      <c r="BH699" s="4"/>
      <c r="BI699" s="4"/>
      <c r="BJ699" s="4"/>
      <c r="BK699" s="4"/>
      <c r="BL699" s="4"/>
      <c r="BM699" s="4"/>
      <c r="BN699" s="4"/>
      <c r="BO699" s="4"/>
      <c r="BP699" s="4"/>
      <c r="BQ699" s="4"/>
      <c r="BR699" s="4"/>
    </row>
    <row r="700" spans="1:7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c r="AG700" s="4"/>
      <c r="AH700" s="4"/>
      <c r="AI700" s="4"/>
      <c r="AJ700" s="4"/>
      <c r="AK700" s="4"/>
      <c r="AL700" s="4"/>
      <c r="AM700" s="4"/>
      <c r="AN700" s="4"/>
      <c r="AO700" s="4"/>
      <c r="AP700" s="4"/>
      <c r="AQ700" s="4"/>
      <c r="AR700" s="4"/>
      <c r="AS700" s="4"/>
      <c r="AT700" s="4"/>
      <c r="AU700" s="4"/>
      <c r="AV700" s="4"/>
      <c r="AW700" s="4"/>
      <c r="AX700" s="4"/>
      <c r="AY700" s="4"/>
      <c r="AZ700" s="4"/>
      <c r="BA700" s="4"/>
      <c r="BB700" s="4"/>
      <c r="BC700" s="5"/>
      <c r="BD700" s="4"/>
      <c r="BE700" s="4"/>
      <c r="BF700" s="4"/>
      <c r="BG700" s="4"/>
      <c r="BH700" s="4"/>
      <c r="BI700" s="4"/>
      <c r="BJ700" s="4"/>
      <c r="BK700" s="4"/>
      <c r="BL700" s="4"/>
      <c r="BM700" s="4"/>
      <c r="BN700" s="4"/>
      <c r="BO700" s="4"/>
      <c r="BP700" s="4"/>
      <c r="BQ700" s="4"/>
      <c r="BR700" s="4"/>
    </row>
    <row r="701" spans="1:70">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c r="AG701" s="4"/>
      <c r="AH701" s="4"/>
      <c r="AI701" s="4"/>
      <c r="AJ701" s="4"/>
      <c r="AK701" s="4"/>
      <c r="AL701" s="4"/>
      <c r="AM701" s="4"/>
      <c r="AN701" s="4"/>
      <c r="AO701" s="4"/>
      <c r="AP701" s="4"/>
      <c r="AQ701" s="4"/>
      <c r="AR701" s="4"/>
      <c r="AS701" s="4"/>
      <c r="AT701" s="4"/>
      <c r="AU701" s="4"/>
      <c r="AV701" s="4"/>
      <c r="AW701" s="4"/>
      <c r="AX701" s="4"/>
      <c r="AY701" s="4"/>
      <c r="AZ701" s="4"/>
      <c r="BA701" s="4"/>
      <c r="BB701" s="4"/>
      <c r="BC701" s="5"/>
      <c r="BD701" s="4"/>
      <c r="BE701" s="4"/>
      <c r="BF701" s="4"/>
      <c r="BG701" s="4"/>
      <c r="BH701" s="4"/>
      <c r="BI701" s="4"/>
      <c r="BJ701" s="4"/>
      <c r="BK701" s="4"/>
      <c r="BL701" s="4"/>
      <c r="BM701" s="4"/>
      <c r="BN701" s="4"/>
      <c r="BO701" s="4"/>
      <c r="BP701" s="4"/>
      <c r="BQ701" s="4"/>
      <c r="BR701" s="4"/>
    </row>
    <row r="702" spans="1:70">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c r="AG702" s="4"/>
      <c r="AH702" s="4"/>
      <c r="AI702" s="4"/>
      <c r="AJ702" s="4"/>
      <c r="AK702" s="4"/>
      <c r="AL702" s="4"/>
      <c r="AM702" s="4"/>
      <c r="AN702" s="4"/>
      <c r="AO702" s="4"/>
      <c r="AP702" s="4"/>
      <c r="AQ702" s="4"/>
      <c r="AR702" s="4"/>
      <c r="AS702" s="4"/>
      <c r="AT702" s="4"/>
      <c r="AU702" s="4"/>
      <c r="AV702" s="4"/>
      <c r="AW702" s="4"/>
      <c r="AX702" s="4"/>
      <c r="AY702" s="4"/>
      <c r="AZ702" s="4"/>
      <c r="BA702" s="4"/>
      <c r="BB702" s="4"/>
      <c r="BC702" s="5"/>
      <c r="BD702" s="4"/>
      <c r="BE702" s="4"/>
      <c r="BF702" s="4"/>
      <c r="BG702" s="4"/>
      <c r="BH702" s="4"/>
      <c r="BI702" s="4"/>
      <c r="BJ702" s="4"/>
      <c r="BK702" s="4"/>
      <c r="BL702" s="4"/>
      <c r="BM702" s="4"/>
      <c r="BN702" s="4"/>
      <c r="BO702" s="4"/>
      <c r="BP702" s="4"/>
      <c r="BQ702" s="4"/>
      <c r="BR702" s="4"/>
    </row>
    <row r="703" spans="1:70">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c r="AG703" s="4"/>
      <c r="AH703" s="4"/>
      <c r="AI703" s="4"/>
      <c r="AJ703" s="4"/>
      <c r="AK703" s="4"/>
      <c r="AL703" s="4"/>
      <c r="AM703" s="4"/>
      <c r="AN703" s="4"/>
      <c r="AO703" s="4"/>
      <c r="AP703" s="4"/>
      <c r="AQ703" s="4"/>
      <c r="AR703" s="4"/>
      <c r="AS703" s="4"/>
      <c r="AT703" s="4"/>
      <c r="AU703" s="4"/>
      <c r="AV703" s="4"/>
      <c r="AW703" s="4"/>
      <c r="AX703" s="4"/>
      <c r="AY703" s="4"/>
      <c r="AZ703" s="4"/>
      <c r="BA703" s="4"/>
      <c r="BB703" s="4"/>
      <c r="BC703" s="5"/>
      <c r="BD703" s="4"/>
      <c r="BE703" s="4"/>
      <c r="BF703" s="4"/>
      <c r="BG703" s="4"/>
      <c r="BH703" s="4"/>
      <c r="BI703" s="4"/>
      <c r="BJ703" s="4"/>
      <c r="BK703" s="4"/>
      <c r="BL703" s="4"/>
      <c r="BM703" s="4"/>
      <c r="BN703" s="4"/>
      <c r="BO703" s="4"/>
      <c r="BP703" s="4"/>
      <c r="BQ703" s="4"/>
      <c r="BR703" s="4"/>
    </row>
    <row r="704" spans="1:70">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c r="AG704" s="4"/>
      <c r="AH704" s="4"/>
      <c r="AI704" s="4"/>
      <c r="AJ704" s="4"/>
      <c r="AK704" s="4"/>
      <c r="AL704" s="4"/>
      <c r="AM704" s="4"/>
      <c r="AN704" s="4"/>
      <c r="AO704" s="4"/>
      <c r="AP704" s="4"/>
      <c r="AQ704" s="4"/>
      <c r="AR704" s="4"/>
      <c r="AS704" s="4"/>
      <c r="AT704" s="4"/>
      <c r="AU704" s="4"/>
      <c r="AV704" s="4"/>
      <c r="AW704" s="4"/>
      <c r="AX704" s="4"/>
      <c r="AY704" s="4"/>
      <c r="AZ704" s="4"/>
      <c r="BA704" s="4"/>
      <c r="BB704" s="4"/>
      <c r="BC704" s="5"/>
      <c r="BD704" s="4"/>
      <c r="BE704" s="4"/>
      <c r="BF704" s="4"/>
      <c r="BG704" s="4"/>
      <c r="BH704" s="4"/>
      <c r="BI704" s="4"/>
      <c r="BJ704" s="4"/>
      <c r="BK704" s="4"/>
      <c r="BL704" s="4"/>
      <c r="BM704" s="4"/>
      <c r="BN704" s="4"/>
      <c r="BO704" s="4"/>
      <c r="BP704" s="4"/>
      <c r="BQ704" s="4"/>
      <c r="BR704" s="4"/>
    </row>
    <row r="705" spans="1:70">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c r="AG705" s="4"/>
      <c r="AH705" s="4"/>
      <c r="AI705" s="4"/>
      <c r="AJ705" s="4"/>
      <c r="AK705" s="4"/>
      <c r="AL705" s="4"/>
      <c r="AM705" s="4"/>
      <c r="AN705" s="4"/>
      <c r="AO705" s="4"/>
      <c r="AP705" s="4"/>
      <c r="AQ705" s="4"/>
      <c r="AR705" s="4"/>
      <c r="AS705" s="4"/>
      <c r="AT705" s="4"/>
      <c r="AU705" s="4"/>
      <c r="AV705" s="4"/>
      <c r="AW705" s="4"/>
      <c r="AX705" s="4"/>
      <c r="AY705" s="4"/>
      <c r="AZ705" s="4"/>
      <c r="BA705" s="4"/>
      <c r="BB705" s="4"/>
      <c r="BC705" s="5"/>
      <c r="BD705" s="4"/>
      <c r="BE705" s="4"/>
      <c r="BF705" s="4"/>
      <c r="BG705" s="4"/>
      <c r="BH705" s="4"/>
      <c r="BI705" s="4"/>
      <c r="BJ705" s="4"/>
      <c r="BK705" s="4"/>
      <c r="BL705" s="4"/>
      <c r="BM705" s="4"/>
      <c r="BN705" s="4"/>
      <c r="BO705" s="4"/>
      <c r="BP705" s="4"/>
      <c r="BQ705" s="4"/>
      <c r="BR705" s="4"/>
    </row>
    <row r="706" spans="1:70">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c r="AG706" s="4"/>
      <c r="AH706" s="4"/>
      <c r="AI706" s="4"/>
      <c r="AJ706" s="4"/>
      <c r="AK706" s="4"/>
      <c r="AL706" s="4"/>
      <c r="AM706" s="4"/>
      <c r="AN706" s="4"/>
      <c r="AO706" s="4"/>
      <c r="AP706" s="4"/>
      <c r="AQ706" s="4"/>
      <c r="AR706" s="4"/>
      <c r="AS706" s="4"/>
      <c r="AT706" s="4"/>
      <c r="AU706" s="4"/>
      <c r="AV706" s="4"/>
      <c r="AW706" s="4"/>
      <c r="AX706" s="4"/>
      <c r="AY706" s="4"/>
      <c r="AZ706" s="4"/>
      <c r="BA706" s="4"/>
      <c r="BB706" s="4"/>
      <c r="BC706" s="5"/>
      <c r="BD706" s="4"/>
      <c r="BE706" s="4"/>
      <c r="BF706" s="4"/>
      <c r="BG706" s="4"/>
      <c r="BH706" s="4"/>
      <c r="BI706" s="4"/>
      <c r="BJ706" s="4"/>
      <c r="BK706" s="4"/>
      <c r="BL706" s="4"/>
      <c r="BM706" s="4"/>
      <c r="BN706" s="4"/>
      <c r="BO706" s="4"/>
      <c r="BP706" s="4"/>
      <c r="BQ706" s="4"/>
      <c r="BR706" s="4"/>
    </row>
    <row r="707" spans="1:70">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c r="AG707" s="4"/>
      <c r="AH707" s="4"/>
      <c r="AI707" s="4"/>
      <c r="AJ707" s="4"/>
      <c r="AK707" s="4"/>
      <c r="AL707" s="4"/>
      <c r="AM707" s="4"/>
      <c r="AN707" s="4"/>
      <c r="AO707" s="4"/>
      <c r="AP707" s="4"/>
      <c r="AQ707" s="4"/>
      <c r="AR707" s="4"/>
      <c r="AS707" s="4"/>
      <c r="AT707" s="4"/>
      <c r="AU707" s="4"/>
      <c r="AV707" s="4"/>
      <c r="AW707" s="4"/>
      <c r="AX707" s="4"/>
      <c r="AY707" s="4"/>
      <c r="AZ707" s="4"/>
      <c r="BA707" s="4"/>
      <c r="BB707" s="4"/>
      <c r="BC707" s="5"/>
      <c r="BD707" s="4"/>
      <c r="BE707" s="4"/>
      <c r="BF707" s="4"/>
      <c r="BG707" s="4"/>
      <c r="BH707" s="4"/>
      <c r="BI707" s="4"/>
      <c r="BJ707" s="4"/>
      <c r="BK707" s="4"/>
      <c r="BL707" s="4"/>
      <c r="BM707" s="4"/>
      <c r="BN707" s="4"/>
      <c r="BO707" s="4"/>
      <c r="BP707" s="4"/>
      <c r="BQ707" s="4"/>
      <c r="BR707" s="4"/>
    </row>
    <row r="708" spans="1:70">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c r="AG708" s="4"/>
      <c r="AH708" s="4"/>
      <c r="AI708" s="4"/>
      <c r="AJ708" s="4"/>
      <c r="AK708" s="4"/>
      <c r="AL708" s="4"/>
      <c r="AM708" s="4"/>
      <c r="AN708" s="4"/>
      <c r="AO708" s="4"/>
      <c r="AP708" s="4"/>
      <c r="AQ708" s="4"/>
      <c r="AR708" s="4"/>
      <c r="AS708" s="4"/>
      <c r="AT708" s="4"/>
      <c r="AU708" s="4"/>
      <c r="AV708" s="4"/>
      <c r="AW708" s="4"/>
      <c r="AX708" s="4"/>
      <c r="AY708" s="4"/>
      <c r="AZ708" s="4"/>
      <c r="BA708" s="4"/>
      <c r="BB708" s="4"/>
      <c r="BC708" s="5"/>
      <c r="BD708" s="4"/>
      <c r="BE708" s="4"/>
      <c r="BF708" s="4"/>
      <c r="BG708" s="4"/>
      <c r="BH708" s="4"/>
      <c r="BI708" s="4"/>
      <c r="BJ708" s="4"/>
      <c r="BK708" s="4"/>
      <c r="BL708" s="4"/>
      <c r="BM708" s="4"/>
      <c r="BN708" s="4"/>
      <c r="BO708" s="4"/>
      <c r="BP708" s="4"/>
      <c r="BQ708" s="4"/>
      <c r="BR708" s="4"/>
    </row>
    <row r="709" spans="1:70">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c r="AG709" s="4"/>
      <c r="AH709" s="4"/>
      <c r="AI709" s="4"/>
      <c r="AJ709" s="4"/>
      <c r="AK709" s="4"/>
      <c r="AL709" s="4"/>
      <c r="AM709" s="4"/>
      <c r="AN709" s="4"/>
      <c r="AO709" s="4"/>
      <c r="AP709" s="4"/>
      <c r="AQ709" s="4"/>
      <c r="AR709" s="4"/>
      <c r="AS709" s="4"/>
      <c r="AT709" s="4"/>
      <c r="AU709" s="4"/>
      <c r="AV709" s="4"/>
      <c r="AW709" s="4"/>
      <c r="AX709" s="4"/>
      <c r="AY709" s="4"/>
      <c r="AZ709" s="4"/>
      <c r="BA709" s="4"/>
      <c r="BB709" s="4"/>
      <c r="BC709" s="5"/>
      <c r="BD709" s="4"/>
      <c r="BE709" s="4"/>
      <c r="BF709" s="4"/>
      <c r="BG709" s="4"/>
      <c r="BH709" s="4"/>
      <c r="BI709" s="4"/>
      <c r="BJ709" s="4"/>
      <c r="BK709" s="4"/>
      <c r="BL709" s="4"/>
      <c r="BM709" s="4"/>
      <c r="BN709" s="4"/>
      <c r="BO709" s="4"/>
      <c r="BP709" s="4"/>
      <c r="BQ709" s="4"/>
      <c r="BR709" s="4"/>
    </row>
    <row r="710" spans="1:7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c r="AG710" s="4"/>
      <c r="AH710" s="4"/>
      <c r="AI710" s="4"/>
      <c r="AJ710" s="4"/>
      <c r="AK710" s="4"/>
      <c r="AL710" s="4"/>
      <c r="AM710" s="4"/>
      <c r="AN710" s="4"/>
      <c r="AO710" s="4"/>
      <c r="AP710" s="4"/>
      <c r="AQ710" s="4"/>
      <c r="AR710" s="4"/>
      <c r="AS710" s="4"/>
      <c r="AT710" s="4"/>
      <c r="AU710" s="4"/>
      <c r="AV710" s="4"/>
      <c r="AW710" s="4"/>
      <c r="AX710" s="4"/>
      <c r="AY710" s="4"/>
      <c r="AZ710" s="4"/>
      <c r="BA710" s="4"/>
      <c r="BB710" s="4"/>
      <c r="BC710" s="5"/>
      <c r="BD710" s="4"/>
      <c r="BE710" s="4"/>
      <c r="BF710" s="4"/>
      <c r="BG710" s="4"/>
      <c r="BH710" s="4"/>
      <c r="BI710" s="4"/>
      <c r="BJ710" s="4"/>
      <c r="BK710" s="4"/>
      <c r="BL710" s="4"/>
      <c r="BM710" s="4"/>
      <c r="BN710" s="4"/>
      <c r="BO710" s="4"/>
      <c r="BP710" s="4"/>
      <c r="BQ710" s="4"/>
      <c r="BR710" s="4"/>
    </row>
    <row r="711" spans="1:70">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c r="AG711" s="4"/>
      <c r="AH711" s="4"/>
      <c r="AI711" s="4"/>
      <c r="AJ711" s="4"/>
      <c r="AK711" s="4"/>
      <c r="AL711" s="4"/>
      <c r="AM711" s="4"/>
      <c r="AN711" s="4"/>
      <c r="AO711" s="4"/>
      <c r="AP711" s="4"/>
      <c r="AQ711" s="4"/>
      <c r="AR711" s="4"/>
      <c r="AS711" s="4"/>
      <c r="AT711" s="4"/>
      <c r="AU711" s="4"/>
      <c r="AV711" s="4"/>
      <c r="AW711" s="4"/>
      <c r="AX711" s="4"/>
      <c r="AY711" s="4"/>
      <c r="AZ711" s="4"/>
      <c r="BA711" s="4"/>
      <c r="BB711" s="4"/>
      <c r="BC711" s="5"/>
      <c r="BD711" s="4"/>
      <c r="BE711" s="4"/>
      <c r="BF711" s="4"/>
      <c r="BG711" s="4"/>
      <c r="BH711" s="4"/>
      <c r="BI711" s="4"/>
      <c r="BJ711" s="4"/>
      <c r="BK711" s="4"/>
      <c r="BL711" s="4"/>
      <c r="BM711" s="4"/>
      <c r="BN711" s="4"/>
      <c r="BO711" s="4"/>
      <c r="BP711" s="4"/>
      <c r="BQ711" s="4"/>
      <c r="BR711" s="4"/>
    </row>
    <row r="712" spans="1:70">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c r="AG712" s="4"/>
      <c r="AH712" s="4"/>
      <c r="AI712" s="4"/>
      <c r="AJ712" s="4"/>
      <c r="AK712" s="4"/>
      <c r="AL712" s="4"/>
      <c r="AM712" s="4"/>
      <c r="AN712" s="4"/>
      <c r="AO712" s="4"/>
      <c r="AP712" s="4"/>
      <c r="AQ712" s="4"/>
      <c r="AR712" s="4"/>
      <c r="AS712" s="4"/>
      <c r="AT712" s="4"/>
      <c r="AU712" s="4"/>
      <c r="AV712" s="4"/>
      <c r="AW712" s="4"/>
      <c r="AX712" s="4"/>
      <c r="AY712" s="4"/>
      <c r="AZ712" s="4"/>
      <c r="BA712" s="4"/>
      <c r="BB712" s="4"/>
      <c r="BC712" s="5"/>
      <c r="BD712" s="4"/>
      <c r="BE712" s="4"/>
      <c r="BF712" s="4"/>
      <c r="BG712" s="4"/>
      <c r="BH712" s="4"/>
      <c r="BI712" s="4"/>
      <c r="BJ712" s="4"/>
      <c r="BK712" s="4"/>
      <c r="BL712" s="4"/>
      <c r="BM712" s="4"/>
      <c r="BN712" s="4"/>
      <c r="BO712" s="4"/>
      <c r="BP712" s="4"/>
      <c r="BQ712" s="4"/>
      <c r="BR712" s="4"/>
    </row>
    <row r="713" spans="1:70">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c r="AG713" s="4"/>
      <c r="AH713" s="4"/>
      <c r="AI713" s="4"/>
      <c r="AJ713" s="4"/>
      <c r="AK713" s="4"/>
      <c r="AL713" s="4"/>
      <c r="AM713" s="4"/>
      <c r="AN713" s="4"/>
      <c r="AO713" s="4"/>
      <c r="AP713" s="4"/>
      <c r="AQ713" s="4"/>
      <c r="AR713" s="4"/>
      <c r="AS713" s="4"/>
      <c r="AT713" s="4"/>
      <c r="AU713" s="4"/>
      <c r="AV713" s="4"/>
      <c r="AW713" s="4"/>
      <c r="AX713" s="4"/>
      <c r="AY713" s="4"/>
      <c r="AZ713" s="4"/>
      <c r="BA713" s="4"/>
      <c r="BB713" s="4"/>
      <c r="BC713" s="5"/>
      <c r="BD713" s="4"/>
      <c r="BE713" s="4"/>
      <c r="BF713" s="4"/>
      <c r="BG713" s="4"/>
      <c r="BH713" s="4"/>
      <c r="BI713" s="4"/>
      <c r="BJ713" s="4"/>
      <c r="BK713" s="4"/>
      <c r="BL713" s="4"/>
      <c r="BM713" s="4"/>
      <c r="BN713" s="4"/>
      <c r="BO713" s="4"/>
      <c r="BP713" s="4"/>
      <c r="BQ713" s="4"/>
      <c r="BR713" s="4"/>
    </row>
    <row r="714" spans="1:70">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c r="AG714" s="4"/>
      <c r="AH714" s="4"/>
      <c r="AI714" s="4"/>
      <c r="AJ714" s="4"/>
      <c r="AK714" s="4"/>
      <c r="AL714" s="4"/>
      <c r="AM714" s="4"/>
      <c r="AN714" s="4"/>
      <c r="AO714" s="4"/>
      <c r="AP714" s="4"/>
      <c r="AQ714" s="4"/>
      <c r="AR714" s="4"/>
      <c r="AS714" s="4"/>
      <c r="AT714" s="4"/>
      <c r="AU714" s="4"/>
      <c r="AV714" s="4"/>
      <c r="AW714" s="4"/>
      <c r="AX714" s="4"/>
      <c r="AY714" s="4"/>
      <c r="AZ714" s="4"/>
      <c r="BA714" s="4"/>
      <c r="BB714" s="4"/>
      <c r="BC714" s="5"/>
      <c r="BD714" s="4"/>
      <c r="BE714" s="4"/>
      <c r="BF714" s="4"/>
      <c r="BG714" s="4"/>
      <c r="BH714" s="4"/>
      <c r="BI714" s="4"/>
      <c r="BJ714" s="4"/>
      <c r="BK714" s="4"/>
      <c r="BL714" s="4"/>
      <c r="BM714" s="4"/>
      <c r="BN714" s="4"/>
      <c r="BO714" s="4"/>
      <c r="BP714" s="4"/>
      <c r="BQ714" s="4"/>
      <c r="BR714" s="4"/>
    </row>
    <row r="715" spans="1:70">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c r="AG715" s="4"/>
      <c r="AH715" s="4"/>
      <c r="AI715" s="4"/>
      <c r="AJ715" s="4"/>
      <c r="AK715" s="4"/>
      <c r="AL715" s="4"/>
      <c r="AM715" s="4"/>
      <c r="AN715" s="4"/>
      <c r="AO715" s="4"/>
      <c r="AP715" s="4"/>
      <c r="AQ715" s="4"/>
      <c r="AR715" s="4"/>
      <c r="AS715" s="4"/>
      <c r="AT715" s="4"/>
      <c r="AU715" s="4"/>
      <c r="AV715" s="4"/>
      <c r="AW715" s="4"/>
      <c r="AX715" s="4"/>
      <c r="AY715" s="4"/>
      <c r="AZ715" s="4"/>
      <c r="BA715" s="4"/>
      <c r="BB715" s="4"/>
      <c r="BC715" s="5"/>
      <c r="BD715" s="4"/>
      <c r="BE715" s="4"/>
      <c r="BF715" s="4"/>
      <c r="BG715" s="4"/>
      <c r="BH715" s="4"/>
      <c r="BI715" s="4"/>
      <c r="BJ715" s="4"/>
      <c r="BK715" s="4"/>
      <c r="BL715" s="4"/>
      <c r="BM715" s="4"/>
      <c r="BN715" s="4"/>
      <c r="BO715" s="4"/>
      <c r="BP715" s="4"/>
      <c r="BQ715" s="4"/>
      <c r="BR715" s="4"/>
    </row>
    <row r="716" spans="1:70">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c r="AG716" s="4"/>
      <c r="AH716" s="4"/>
      <c r="AI716" s="4"/>
      <c r="AJ716" s="4"/>
      <c r="AK716" s="4"/>
      <c r="AL716" s="4"/>
      <c r="AM716" s="4"/>
      <c r="AN716" s="4"/>
      <c r="AO716" s="4"/>
      <c r="AP716" s="4"/>
      <c r="AQ716" s="4"/>
      <c r="AR716" s="4"/>
      <c r="AS716" s="4"/>
      <c r="AT716" s="4"/>
      <c r="AU716" s="4"/>
      <c r="AV716" s="4"/>
      <c r="AW716" s="4"/>
      <c r="AX716" s="4"/>
      <c r="AY716" s="4"/>
      <c r="AZ716" s="4"/>
      <c r="BA716" s="4"/>
      <c r="BB716" s="4"/>
      <c r="BC716" s="5"/>
      <c r="BD716" s="4"/>
      <c r="BE716" s="4"/>
      <c r="BF716" s="4"/>
      <c r="BG716" s="4"/>
      <c r="BH716" s="4"/>
      <c r="BI716" s="4"/>
      <c r="BJ716" s="4"/>
      <c r="BK716" s="4"/>
      <c r="BL716" s="4"/>
      <c r="BM716" s="4"/>
      <c r="BN716" s="4"/>
      <c r="BO716" s="4"/>
      <c r="BP716" s="4"/>
      <c r="BQ716" s="4"/>
      <c r="BR716" s="4"/>
    </row>
    <row r="717" spans="1:70">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c r="AG717" s="4"/>
      <c r="AH717" s="4"/>
      <c r="AI717" s="4"/>
      <c r="AJ717" s="4"/>
      <c r="AK717" s="4"/>
      <c r="AL717" s="4"/>
      <c r="AM717" s="4"/>
      <c r="AN717" s="4"/>
      <c r="AO717" s="4"/>
      <c r="AP717" s="4"/>
      <c r="AQ717" s="4"/>
      <c r="AR717" s="4"/>
      <c r="AS717" s="4"/>
      <c r="AT717" s="4"/>
      <c r="AU717" s="4"/>
      <c r="AV717" s="4"/>
      <c r="AW717" s="4"/>
      <c r="AX717" s="4"/>
      <c r="AY717" s="4"/>
      <c r="AZ717" s="4"/>
      <c r="BA717" s="4"/>
      <c r="BB717" s="4"/>
      <c r="BC717" s="5"/>
      <c r="BD717" s="4"/>
      <c r="BE717" s="4"/>
      <c r="BF717" s="4"/>
      <c r="BG717" s="4"/>
      <c r="BH717" s="4"/>
      <c r="BI717" s="4"/>
      <c r="BJ717" s="4"/>
      <c r="BK717" s="4"/>
      <c r="BL717" s="4"/>
      <c r="BM717" s="4"/>
      <c r="BN717" s="4"/>
      <c r="BO717" s="4"/>
      <c r="BP717" s="4"/>
      <c r="BQ717" s="4"/>
      <c r="BR717" s="4"/>
    </row>
    <row r="718" spans="1:70">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c r="AG718" s="4"/>
      <c r="AH718" s="4"/>
      <c r="AI718" s="4"/>
      <c r="AJ718" s="4"/>
      <c r="AK718" s="4"/>
      <c r="AL718" s="4"/>
      <c r="AM718" s="4"/>
      <c r="AN718" s="4"/>
      <c r="AO718" s="4"/>
      <c r="AP718" s="4"/>
      <c r="AQ718" s="4"/>
      <c r="AR718" s="4"/>
      <c r="AS718" s="4"/>
      <c r="AT718" s="4"/>
      <c r="AU718" s="4"/>
      <c r="AV718" s="4"/>
      <c r="AW718" s="4"/>
      <c r="AX718" s="4"/>
      <c r="AY718" s="4"/>
      <c r="AZ718" s="4"/>
      <c r="BA718" s="4"/>
      <c r="BB718" s="4"/>
      <c r="BC718" s="5"/>
      <c r="BD718" s="4"/>
      <c r="BE718" s="4"/>
      <c r="BF718" s="4"/>
      <c r="BG718" s="4"/>
      <c r="BH718" s="4"/>
      <c r="BI718" s="4"/>
      <c r="BJ718" s="4"/>
      <c r="BK718" s="4"/>
      <c r="BL718" s="4"/>
      <c r="BM718" s="4"/>
      <c r="BN718" s="4"/>
      <c r="BO718" s="4"/>
      <c r="BP718" s="4"/>
      <c r="BQ718" s="4"/>
      <c r="BR718" s="4"/>
    </row>
    <row r="719" spans="1:70">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c r="AG719" s="4"/>
      <c r="AH719" s="4"/>
      <c r="AI719" s="4"/>
      <c r="AJ719" s="4"/>
      <c r="AK719" s="4"/>
      <c r="AL719" s="4"/>
      <c r="AM719" s="4"/>
      <c r="AN719" s="4"/>
      <c r="AO719" s="4"/>
      <c r="AP719" s="4"/>
      <c r="AQ719" s="4"/>
      <c r="AR719" s="4"/>
      <c r="AS719" s="4"/>
      <c r="AT719" s="4"/>
      <c r="AU719" s="4"/>
      <c r="AV719" s="4"/>
      <c r="AW719" s="4"/>
      <c r="AX719" s="4"/>
      <c r="AY719" s="4"/>
      <c r="AZ719" s="4"/>
      <c r="BA719" s="4"/>
      <c r="BB719" s="4"/>
      <c r="BC719" s="5"/>
      <c r="BD719" s="4"/>
      <c r="BE719" s="4"/>
      <c r="BF719" s="4"/>
      <c r="BG719" s="4"/>
      <c r="BH719" s="4"/>
      <c r="BI719" s="4"/>
      <c r="BJ719" s="4"/>
      <c r="BK719" s="4"/>
      <c r="BL719" s="4"/>
      <c r="BM719" s="4"/>
      <c r="BN719" s="4"/>
      <c r="BO719" s="4"/>
      <c r="BP719" s="4"/>
      <c r="BQ719" s="4"/>
      <c r="BR719" s="4"/>
    </row>
    <row r="720" spans="1:7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c r="AG720" s="4"/>
      <c r="AH720" s="4"/>
      <c r="AI720" s="4"/>
      <c r="AJ720" s="4"/>
      <c r="AK720" s="4"/>
      <c r="AL720" s="4"/>
      <c r="AM720" s="4"/>
      <c r="AN720" s="4"/>
      <c r="AO720" s="4"/>
      <c r="AP720" s="4"/>
      <c r="AQ720" s="4"/>
      <c r="AR720" s="4"/>
      <c r="AS720" s="4"/>
      <c r="AT720" s="4"/>
      <c r="AU720" s="4"/>
      <c r="AV720" s="4"/>
      <c r="AW720" s="4"/>
      <c r="AX720" s="4"/>
      <c r="AY720" s="4"/>
      <c r="AZ720" s="4"/>
      <c r="BA720" s="4"/>
      <c r="BB720" s="4"/>
      <c r="BC720" s="5"/>
      <c r="BD720" s="4"/>
      <c r="BE720" s="4"/>
      <c r="BF720" s="4"/>
      <c r="BG720" s="4"/>
      <c r="BH720" s="4"/>
      <c r="BI720" s="4"/>
      <c r="BJ720" s="4"/>
      <c r="BK720" s="4"/>
      <c r="BL720" s="4"/>
      <c r="BM720" s="4"/>
      <c r="BN720" s="4"/>
      <c r="BO720" s="4"/>
      <c r="BP720" s="4"/>
      <c r="BQ720" s="4"/>
      <c r="BR720" s="4"/>
    </row>
    <row r="721" spans="1:70">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c r="AG721" s="4"/>
      <c r="AH721" s="4"/>
      <c r="AI721" s="4"/>
      <c r="AJ721" s="4"/>
      <c r="AK721" s="4"/>
      <c r="AL721" s="4"/>
      <c r="AM721" s="4"/>
      <c r="AN721" s="4"/>
      <c r="AO721" s="4"/>
      <c r="AP721" s="4"/>
      <c r="AQ721" s="4"/>
      <c r="AR721" s="4"/>
      <c r="AS721" s="4"/>
      <c r="AT721" s="4"/>
      <c r="AU721" s="4"/>
      <c r="AV721" s="4"/>
      <c r="AW721" s="4"/>
      <c r="AX721" s="4"/>
      <c r="AY721" s="4"/>
      <c r="AZ721" s="4"/>
      <c r="BA721" s="4"/>
      <c r="BB721" s="4"/>
      <c r="BC721" s="5"/>
      <c r="BD721" s="4"/>
      <c r="BE721" s="4"/>
      <c r="BF721" s="4"/>
      <c r="BG721" s="4"/>
      <c r="BH721" s="4"/>
      <c r="BI721" s="4"/>
      <c r="BJ721" s="4"/>
      <c r="BK721" s="4"/>
      <c r="BL721" s="4"/>
      <c r="BM721" s="4"/>
      <c r="BN721" s="4"/>
      <c r="BO721" s="4"/>
      <c r="BP721" s="4"/>
      <c r="BQ721" s="4"/>
      <c r="BR721" s="4"/>
    </row>
    <row r="722" spans="1:70">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c r="AG722" s="4"/>
      <c r="AH722" s="4"/>
      <c r="AI722" s="4"/>
      <c r="AJ722" s="4"/>
      <c r="AK722" s="4"/>
      <c r="AL722" s="4"/>
      <c r="AM722" s="4"/>
      <c r="AN722" s="4"/>
      <c r="AO722" s="4"/>
      <c r="AP722" s="4"/>
      <c r="AQ722" s="4"/>
      <c r="AR722" s="4"/>
      <c r="AS722" s="4"/>
      <c r="AT722" s="4"/>
      <c r="AU722" s="4"/>
      <c r="AV722" s="4"/>
      <c r="AW722" s="4"/>
      <c r="AX722" s="4"/>
      <c r="AY722" s="4"/>
      <c r="AZ722" s="4"/>
      <c r="BA722" s="4"/>
      <c r="BB722" s="4"/>
      <c r="BC722" s="5"/>
      <c r="BD722" s="4"/>
      <c r="BE722" s="4"/>
      <c r="BF722" s="4"/>
      <c r="BG722" s="4"/>
      <c r="BH722" s="4"/>
      <c r="BI722" s="4"/>
      <c r="BJ722" s="4"/>
      <c r="BK722" s="4"/>
      <c r="BL722" s="4"/>
      <c r="BM722" s="4"/>
      <c r="BN722" s="4"/>
      <c r="BO722" s="4"/>
      <c r="BP722" s="4"/>
      <c r="BQ722" s="4"/>
      <c r="BR722" s="4"/>
    </row>
    <row r="723" spans="1:70">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c r="AG723" s="4"/>
      <c r="AH723" s="4"/>
      <c r="AI723" s="4"/>
      <c r="AJ723" s="4"/>
      <c r="AK723" s="4"/>
      <c r="AL723" s="4"/>
      <c r="AM723" s="4"/>
      <c r="AN723" s="4"/>
      <c r="AO723" s="4"/>
      <c r="AP723" s="4"/>
      <c r="AQ723" s="4"/>
      <c r="AR723" s="4"/>
      <c r="AS723" s="4"/>
      <c r="AT723" s="4"/>
      <c r="AU723" s="4"/>
      <c r="AV723" s="4"/>
      <c r="AW723" s="4"/>
      <c r="AX723" s="4"/>
      <c r="AY723" s="4"/>
      <c r="AZ723" s="4"/>
      <c r="BA723" s="4"/>
      <c r="BB723" s="4"/>
      <c r="BC723" s="5"/>
      <c r="BD723" s="4"/>
      <c r="BE723" s="4"/>
      <c r="BF723" s="4"/>
      <c r="BG723" s="4"/>
      <c r="BH723" s="4"/>
      <c r="BI723" s="4"/>
      <c r="BJ723" s="4"/>
      <c r="BK723" s="4"/>
      <c r="BL723" s="4"/>
      <c r="BM723" s="4"/>
      <c r="BN723" s="4"/>
      <c r="BO723" s="4"/>
      <c r="BP723" s="4"/>
      <c r="BQ723" s="4"/>
      <c r="BR723" s="4"/>
    </row>
    <row r="724" spans="1:70">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c r="AG724" s="4"/>
      <c r="AH724" s="4"/>
      <c r="AI724" s="4"/>
      <c r="AJ724" s="4"/>
      <c r="AK724" s="4"/>
      <c r="AL724" s="4"/>
      <c r="AM724" s="4"/>
      <c r="AN724" s="4"/>
      <c r="AO724" s="4"/>
      <c r="AP724" s="4"/>
      <c r="AQ724" s="4"/>
      <c r="AR724" s="4"/>
      <c r="AS724" s="4"/>
      <c r="AT724" s="4"/>
      <c r="AU724" s="4"/>
      <c r="AV724" s="4"/>
      <c r="AW724" s="4"/>
      <c r="AX724" s="4"/>
      <c r="AY724" s="4"/>
      <c r="AZ724" s="4"/>
      <c r="BA724" s="4"/>
      <c r="BB724" s="4"/>
      <c r="BC724" s="5"/>
      <c r="BD724" s="4"/>
      <c r="BE724" s="4"/>
      <c r="BF724" s="4"/>
      <c r="BG724" s="4"/>
      <c r="BH724" s="4"/>
      <c r="BI724" s="4"/>
      <c r="BJ724" s="4"/>
      <c r="BK724" s="4"/>
      <c r="BL724" s="4"/>
      <c r="BM724" s="4"/>
      <c r="BN724" s="4"/>
      <c r="BO724" s="4"/>
      <c r="BP724" s="4"/>
      <c r="BQ724" s="4"/>
      <c r="BR724" s="4"/>
    </row>
    <row r="725" spans="1:70">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c r="AG725" s="4"/>
      <c r="AH725" s="4"/>
      <c r="AI725" s="4"/>
      <c r="AJ725" s="4"/>
      <c r="AK725" s="4"/>
      <c r="AL725" s="4"/>
      <c r="AM725" s="4"/>
      <c r="AN725" s="4"/>
      <c r="AO725" s="4"/>
      <c r="AP725" s="4"/>
      <c r="AQ725" s="4"/>
      <c r="AR725" s="4"/>
      <c r="AS725" s="4"/>
      <c r="AT725" s="4"/>
      <c r="AU725" s="4"/>
      <c r="AV725" s="4"/>
      <c r="AW725" s="4"/>
      <c r="AX725" s="4"/>
      <c r="AY725" s="4"/>
      <c r="AZ725" s="4"/>
      <c r="BA725" s="4"/>
      <c r="BB725" s="4"/>
      <c r="BC725" s="5"/>
      <c r="BD725" s="4"/>
      <c r="BE725" s="4"/>
      <c r="BF725" s="4"/>
      <c r="BG725" s="4"/>
      <c r="BH725" s="4"/>
      <c r="BI725" s="4"/>
      <c r="BJ725" s="4"/>
      <c r="BK725" s="4"/>
      <c r="BL725" s="4"/>
      <c r="BM725" s="4"/>
      <c r="BN725" s="4"/>
      <c r="BO725" s="4"/>
      <c r="BP725" s="4"/>
      <c r="BQ725" s="4"/>
      <c r="BR725" s="4"/>
    </row>
    <row r="726" spans="1:70">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c r="AG726" s="4"/>
      <c r="AH726" s="4"/>
      <c r="AI726" s="4"/>
      <c r="AJ726" s="4"/>
      <c r="AK726" s="4"/>
      <c r="AL726" s="4"/>
      <c r="AM726" s="4"/>
      <c r="AN726" s="4"/>
      <c r="AO726" s="4"/>
      <c r="AP726" s="4"/>
      <c r="AQ726" s="4"/>
      <c r="AR726" s="4"/>
      <c r="AS726" s="4"/>
      <c r="AT726" s="4"/>
      <c r="AU726" s="4"/>
      <c r="AV726" s="4"/>
      <c r="AW726" s="4"/>
      <c r="AX726" s="4"/>
      <c r="AY726" s="4"/>
      <c r="AZ726" s="4"/>
      <c r="BA726" s="4"/>
      <c r="BB726" s="4"/>
      <c r="BC726" s="5"/>
      <c r="BD726" s="4"/>
      <c r="BE726" s="4"/>
      <c r="BF726" s="4"/>
      <c r="BG726" s="4"/>
      <c r="BH726" s="4"/>
      <c r="BI726" s="4"/>
      <c r="BJ726" s="4"/>
      <c r="BK726" s="4"/>
      <c r="BL726" s="4"/>
      <c r="BM726" s="4"/>
      <c r="BN726" s="4"/>
      <c r="BO726" s="4"/>
      <c r="BP726" s="4"/>
      <c r="BQ726" s="4"/>
      <c r="BR726" s="4"/>
    </row>
    <row r="727" spans="1:70">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c r="AG727" s="4"/>
      <c r="AH727" s="4"/>
      <c r="AI727" s="4"/>
      <c r="AJ727" s="4"/>
      <c r="AK727" s="4"/>
      <c r="AL727" s="4"/>
      <c r="AM727" s="4"/>
      <c r="AN727" s="4"/>
      <c r="AO727" s="4"/>
      <c r="AP727" s="4"/>
      <c r="AQ727" s="4"/>
      <c r="AR727" s="4"/>
      <c r="AS727" s="4"/>
      <c r="AT727" s="4"/>
      <c r="AU727" s="4"/>
      <c r="AV727" s="4"/>
      <c r="AW727" s="4"/>
      <c r="AX727" s="4"/>
      <c r="AY727" s="4"/>
      <c r="AZ727" s="4"/>
      <c r="BA727" s="4"/>
      <c r="BB727" s="4"/>
      <c r="BC727" s="5"/>
      <c r="BD727" s="4"/>
      <c r="BE727" s="4"/>
      <c r="BF727" s="4"/>
      <c r="BG727" s="4"/>
      <c r="BH727" s="4"/>
      <c r="BI727" s="4"/>
      <c r="BJ727" s="4"/>
      <c r="BK727" s="4"/>
      <c r="BL727" s="4"/>
      <c r="BM727" s="4"/>
      <c r="BN727" s="4"/>
      <c r="BO727" s="4"/>
      <c r="BP727" s="4"/>
      <c r="BQ727" s="4"/>
      <c r="BR727" s="4"/>
    </row>
    <row r="728" spans="1:70">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c r="AG728" s="4"/>
      <c r="AH728" s="4"/>
      <c r="AI728" s="4"/>
      <c r="AJ728" s="4"/>
      <c r="AK728" s="4"/>
      <c r="AL728" s="4"/>
      <c r="AM728" s="4"/>
      <c r="AN728" s="4"/>
      <c r="AO728" s="4"/>
      <c r="AP728" s="4"/>
      <c r="AQ728" s="4"/>
      <c r="AR728" s="4"/>
      <c r="AS728" s="4"/>
      <c r="AT728" s="4"/>
      <c r="AU728" s="4"/>
      <c r="AV728" s="4"/>
      <c r="AW728" s="4"/>
      <c r="AX728" s="4"/>
      <c r="AY728" s="4"/>
      <c r="AZ728" s="4"/>
      <c r="BA728" s="4"/>
      <c r="BB728" s="4"/>
      <c r="BC728" s="5"/>
      <c r="BD728" s="4"/>
      <c r="BE728" s="4"/>
      <c r="BF728" s="4"/>
      <c r="BG728" s="4"/>
      <c r="BH728" s="4"/>
      <c r="BI728" s="4"/>
      <c r="BJ728" s="4"/>
      <c r="BK728" s="4"/>
      <c r="BL728" s="4"/>
      <c r="BM728" s="4"/>
      <c r="BN728" s="4"/>
      <c r="BO728" s="4"/>
      <c r="BP728" s="4"/>
      <c r="BQ728" s="4"/>
      <c r="BR728" s="4"/>
    </row>
    <row r="729" spans="1:70">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c r="AG729" s="4"/>
      <c r="AH729" s="4"/>
      <c r="AI729" s="4"/>
      <c r="AJ729" s="4"/>
      <c r="AK729" s="4"/>
      <c r="AL729" s="4"/>
      <c r="AM729" s="4"/>
      <c r="AN729" s="4"/>
      <c r="AO729" s="4"/>
      <c r="AP729" s="4"/>
      <c r="AQ729" s="4"/>
      <c r="AR729" s="4"/>
      <c r="AS729" s="4"/>
      <c r="AT729" s="4"/>
      <c r="AU729" s="4"/>
      <c r="AV729" s="4"/>
      <c r="AW729" s="4"/>
      <c r="AX729" s="4"/>
      <c r="AY729" s="4"/>
      <c r="AZ729" s="4"/>
      <c r="BA729" s="4"/>
      <c r="BB729" s="4"/>
      <c r="BC729" s="5"/>
      <c r="BD729" s="4"/>
      <c r="BE729" s="4"/>
      <c r="BF729" s="4"/>
      <c r="BG729" s="4"/>
      <c r="BH729" s="4"/>
      <c r="BI729" s="4"/>
      <c r="BJ729" s="4"/>
      <c r="BK729" s="4"/>
      <c r="BL729" s="4"/>
      <c r="BM729" s="4"/>
      <c r="BN729" s="4"/>
      <c r="BO729" s="4"/>
      <c r="BP729" s="4"/>
      <c r="BQ729" s="4"/>
      <c r="BR729" s="4"/>
    </row>
    <row r="730" spans="1:7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c r="AG730" s="4"/>
      <c r="AH730" s="4"/>
      <c r="AI730" s="4"/>
      <c r="AJ730" s="4"/>
      <c r="AK730" s="4"/>
      <c r="AL730" s="4"/>
      <c r="AM730" s="4"/>
      <c r="AN730" s="4"/>
      <c r="AO730" s="4"/>
      <c r="AP730" s="4"/>
      <c r="AQ730" s="4"/>
      <c r="AR730" s="4"/>
      <c r="AS730" s="4"/>
      <c r="AT730" s="4"/>
      <c r="AU730" s="4"/>
      <c r="AV730" s="4"/>
      <c r="AW730" s="4"/>
      <c r="AX730" s="4"/>
      <c r="AY730" s="4"/>
      <c r="AZ730" s="4"/>
      <c r="BA730" s="4"/>
      <c r="BB730" s="4"/>
      <c r="BC730" s="5"/>
      <c r="BD730" s="4"/>
      <c r="BE730" s="4"/>
      <c r="BF730" s="4"/>
      <c r="BG730" s="4"/>
      <c r="BH730" s="4"/>
      <c r="BI730" s="4"/>
      <c r="BJ730" s="4"/>
      <c r="BK730" s="4"/>
      <c r="BL730" s="4"/>
      <c r="BM730" s="4"/>
      <c r="BN730" s="4"/>
      <c r="BO730" s="4"/>
      <c r="BP730" s="4"/>
      <c r="BQ730" s="4"/>
      <c r="BR730" s="4"/>
    </row>
    <row r="731" spans="1:70">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c r="AG731" s="4"/>
      <c r="AH731" s="4"/>
      <c r="AI731" s="4"/>
      <c r="AJ731" s="4"/>
      <c r="AK731" s="4"/>
      <c r="AL731" s="4"/>
      <c r="AM731" s="4"/>
      <c r="AN731" s="4"/>
      <c r="AO731" s="4"/>
      <c r="AP731" s="4"/>
      <c r="AQ731" s="4"/>
      <c r="AR731" s="4"/>
      <c r="AS731" s="4"/>
      <c r="AT731" s="4"/>
      <c r="AU731" s="4"/>
      <c r="AV731" s="4"/>
      <c r="AW731" s="4"/>
      <c r="AX731" s="4"/>
      <c r="AY731" s="4"/>
      <c r="AZ731" s="4"/>
      <c r="BA731" s="4"/>
      <c r="BB731" s="4"/>
      <c r="BC731" s="5"/>
      <c r="BD731" s="4"/>
      <c r="BE731" s="4"/>
      <c r="BF731" s="4"/>
      <c r="BG731" s="4"/>
      <c r="BH731" s="4"/>
      <c r="BI731" s="4"/>
      <c r="BJ731" s="4"/>
      <c r="BK731" s="4"/>
      <c r="BL731" s="4"/>
      <c r="BM731" s="4"/>
      <c r="BN731" s="4"/>
      <c r="BO731" s="4"/>
      <c r="BP731" s="4"/>
      <c r="BQ731" s="4"/>
      <c r="BR731" s="4"/>
    </row>
    <row r="732" spans="1:70">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c r="AG732" s="4"/>
      <c r="AH732" s="4"/>
      <c r="AI732" s="4"/>
      <c r="AJ732" s="4"/>
      <c r="AK732" s="4"/>
      <c r="AL732" s="4"/>
      <c r="AM732" s="4"/>
      <c r="AN732" s="4"/>
      <c r="AO732" s="4"/>
      <c r="AP732" s="4"/>
      <c r="AQ732" s="4"/>
      <c r="AR732" s="4"/>
      <c r="AS732" s="4"/>
      <c r="AT732" s="4"/>
      <c r="AU732" s="4"/>
      <c r="AV732" s="4"/>
      <c r="AW732" s="4"/>
      <c r="AX732" s="4"/>
      <c r="AY732" s="4"/>
      <c r="AZ732" s="4"/>
      <c r="BA732" s="4"/>
      <c r="BB732" s="4"/>
      <c r="BC732" s="5"/>
      <c r="BD732" s="4"/>
      <c r="BE732" s="4"/>
      <c r="BF732" s="4"/>
      <c r="BG732" s="4"/>
      <c r="BH732" s="4"/>
      <c r="BI732" s="4"/>
      <c r="BJ732" s="4"/>
      <c r="BK732" s="4"/>
      <c r="BL732" s="4"/>
      <c r="BM732" s="4"/>
      <c r="BN732" s="4"/>
      <c r="BO732" s="4"/>
      <c r="BP732" s="4"/>
      <c r="BQ732" s="4"/>
      <c r="BR732" s="4"/>
    </row>
    <row r="733" spans="1:70">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c r="AG733" s="4"/>
      <c r="AH733" s="4"/>
      <c r="AI733" s="4"/>
      <c r="AJ733" s="4"/>
      <c r="AK733" s="4"/>
      <c r="AL733" s="4"/>
      <c r="AM733" s="4"/>
      <c r="AN733" s="4"/>
      <c r="AO733" s="4"/>
      <c r="AP733" s="4"/>
      <c r="AQ733" s="4"/>
      <c r="AR733" s="4"/>
      <c r="AS733" s="4"/>
      <c r="AT733" s="4"/>
      <c r="AU733" s="4"/>
      <c r="AV733" s="4"/>
      <c r="AW733" s="4"/>
      <c r="AX733" s="4"/>
      <c r="AY733" s="4"/>
      <c r="AZ733" s="4"/>
      <c r="BA733" s="4"/>
      <c r="BB733" s="4"/>
      <c r="BC733" s="5"/>
      <c r="BD733" s="4"/>
      <c r="BE733" s="4"/>
      <c r="BF733" s="4"/>
      <c r="BG733" s="4"/>
      <c r="BH733" s="4"/>
      <c r="BI733" s="4"/>
      <c r="BJ733" s="4"/>
      <c r="BK733" s="4"/>
      <c r="BL733" s="4"/>
      <c r="BM733" s="4"/>
      <c r="BN733" s="4"/>
      <c r="BO733" s="4"/>
      <c r="BP733" s="4"/>
      <c r="BQ733" s="4"/>
      <c r="BR733" s="4"/>
    </row>
    <row r="734" spans="1:70">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c r="AG734" s="4"/>
      <c r="AH734" s="4"/>
      <c r="AI734" s="4"/>
      <c r="AJ734" s="4"/>
      <c r="AK734" s="4"/>
      <c r="AL734" s="4"/>
      <c r="AM734" s="4"/>
      <c r="AN734" s="4"/>
      <c r="AO734" s="4"/>
      <c r="AP734" s="4"/>
      <c r="AQ734" s="4"/>
      <c r="AR734" s="4"/>
      <c r="AS734" s="4"/>
      <c r="AT734" s="4"/>
      <c r="AU734" s="4"/>
      <c r="AV734" s="4"/>
      <c r="AW734" s="4"/>
      <c r="AX734" s="4"/>
      <c r="AY734" s="4"/>
      <c r="AZ734" s="4"/>
      <c r="BA734" s="4"/>
      <c r="BB734" s="4"/>
      <c r="BC734" s="5"/>
      <c r="BD734" s="4"/>
      <c r="BE734" s="4"/>
      <c r="BF734" s="4"/>
      <c r="BG734" s="4"/>
      <c r="BH734" s="4"/>
      <c r="BI734" s="4"/>
      <c r="BJ734" s="4"/>
      <c r="BK734" s="4"/>
      <c r="BL734" s="4"/>
      <c r="BM734" s="4"/>
      <c r="BN734" s="4"/>
      <c r="BO734" s="4"/>
      <c r="BP734" s="4"/>
      <c r="BQ734" s="4"/>
      <c r="BR734" s="4"/>
    </row>
    <row r="735" spans="1:70">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c r="AG735" s="4"/>
      <c r="AH735" s="4"/>
      <c r="AI735" s="4"/>
      <c r="AJ735" s="4"/>
      <c r="AK735" s="4"/>
      <c r="AL735" s="4"/>
      <c r="AM735" s="4"/>
      <c r="AN735" s="4"/>
      <c r="AO735" s="4"/>
      <c r="AP735" s="4"/>
      <c r="AQ735" s="4"/>
      <c r="AR735" s="4"/>
      <c r="AS735" s="4"/>
      <c r="AT735" s="4"/>
      <c r="AU735" s="4"/>
      <c r="AV735" s="4"/>
      <c r="AW735" s="4"/>
      <c r="AX735" s="4"/>
      <c r="AY735" s="4"/>
      <c r="AZ735" s="4"/>
      <c r="BA735" s="4"/>
      <c r="BB735" s="4"/>
      <c r="BC735" s="5"/>
      <c r="BD735" s="4"/>
      <c r="BE735" s="4"/>
      <c r="BF735" s="4"/>
      <c r="BG735" s="4"/>
      <c r="BH735" s="4"/>
      <c r="BI735" s="4"/>
      <c r="BJ735" s="4"/>
      <c r="BK735" s="4"/>
      <c r="BL735" s="4"/>
      <c r="BM735" s="4"/>
      <c r="BN735" s="4"/>
      <c r="BO735" s="4"/>
      <c r="BP735" s="4"/>
      <c r="BQ735" s="4"/>
      <c r="BR735" s="4"/>
    </row>
    <row r="736" spans="1:70">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c r="AG736" s="4"/>
      <c r="AH736" s="4"/>
      <c r="AI736" s="4"/>
      <c r="AJ736" s="4"/>
      <c r="AK736" s="4"/>
      <c r="AL736" s="4"/>
      <c r="AM736" s="4"/>
      <c r="AN736" s="4"/>
      <c r="AO736" s="4"/>
      <c r="AP736" s="4"/>
      <c r="AQ736" s="4"/>
      <c r="AR736" s="4"/>
      <c r="AS736" s="4"/>
      <c r="AT736" s="4"/>
      <c r="AU736" s="4"/>
      <c r="AV736" s="4"/>
      <c r="AW736" s="4"/>
      <c r="AX736" s="4"/>
      <c r="AY736" s="4"/>
      <c r="AZ736" s="4"/>
      <c r="BA736" s="4"/>
      <c r="BB736" s="4"/>
      <c r="BC736" s="5"/>
      <c r="BD736" s="4"/>
      <c r="BE736" s="4"/>
      <c r="BF736" s="4"/>
      <c r="BG736" s="4"/>
      <c r="BH736" s="4"/>
      <c r="BI736" s="4"/>
      <c r="BJ736" s="4"/>
      <c r="BK736" s="4"/>
      <c r="BL736" s="4"/>
      <c r="BM736" s="4"/>
      <c r="BN736" s="4"/>
      <c r="BO736" s="4"/>
      <c r="BP736" s="4"/>
      <c r="BQ736" s="4"/>
      <c r="BR736" s="4"/>
    </row>
    <row r="737" spans="1:70">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c r="AG737" s="4"/>
      <c r="AH737" s="4"/>
      <c r="AI737" s="4"/>
      <c r="AJ737" s="4"/>
      <c r="AK737" s="4"/>
      <c r="AL737" s="4"/>
      <c r="AM737" s="4"/>
      <c r="AN737" s="4"/>
      <c r="AO737" s="4"/>
      <c r="AP737" s="4"/>
      <c r="AQ737" s="4"/>
      <c r="AR737" s="4"/>
      <c r="AS737" s="4"/>
      <c r="AT737" s="4"/>
      <c r="AU737" s="4"/>
      <c r="AV737" s="4"/>
      <c r="AW737" s="4"/>
      <c r="AX737" s="4"/>
      <c r="AY737" s="4"/>
      <c r="AZ737" s="4"/>
      <c r="BA737" s="4"/>
      <c r="BB737" s="4"/>
      <c r="BC737" s="5"/>
      <c r="BD737" s="4"/>
      <c r="BE737" s="4"/>
      <c r="BF737" s="4"/>
      <c r="BG737" s="4"/>
      <c r="BH737" s="4"/>
      <c r="BI737" s="4"/>
      <c r="BJ737" s="4"/>
      <c r="BK737" s="4"/>
      <c r="BL737" s="4"/>
      <c r="BM737" s="4"/>
      <c r="BN737" s="4"/>
      <c r="BO737" s="4"/>
      <c r="BP737" s="4"/>
      <c r="BQ737" s="4"/>
      <c r="BR737" s="4"/>
    </row>
    <row r="738" spans="1:70">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c r="AG738" s="4"/>
      <c r="AH738" s="4"/>
      <c r="AI738" s="4"/>
      <c r="AJ738" s="4"/>
      <c r="AK738" s="4"/>
      <c r="AL738" s="4"/>
      <c r="AM738" s="4"/>
      <c r="AN738" s="4"/>
      <c r="AO738" s="4"/>
      <c r="AP738" s="4"/>
      <c r="AQ738" s="4"/>
      <c r="AR738" s="4"/>
      <c r="AS738" s="4"/>
      <c r="AT738" s="4"/>
      <c r="AU738" s="4"/>
      <c r="AV738" s="4"/>
      <c r="AW738" s="4"/>
      <c r="AX738" s="4"/>
      <c r="AY738" s="4"/>
      <c r="AZ738" s="4"/>
      <c r="BA738" s="4"/>
      <c r="BB738" s="4"/>
      <c r="BC738" s="5"/>
      <c r="BD738" s="4"/>
      <c r="BE738" s="4"/>
      <c r="BF738" s="4"/>
      <c r="BG738" s="4"/>
      <c r="BH738" s="4"/>
      <c r="BI738" s="4"/>
      <c r="BJ738" s="4"/>
      <c r="BK738" s="4"/>
      <c r="BL738" s="4"/>
      <c r="BM738" s="4"/>
      <c r="BN738" s="4"/>
      <c r="BO738" s="4"/>
      <c r="BP738" s="4"/>
      <c r="BQ738" s="4"/>
      <c r="BR738" s="4"/>
    </row>
    <row r="739" spans="1:70">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c r="AG739" s="4"/>
      <c r="AH739" s="4"/>
      <c r="AI739" s="4"/>
      <c r="AJ739" s="4"/>
      <c r="AK739" s="4"/>
      <c r="AL739" s="4"/>
      <c r="AM739" s="4"/>
      <c r="AN739" s="4"/>
      <c r="AO739" s="4"/>
      <c r="AP739" s="4"/>
      <c r="AQ739" s="4"/>
      <c r="AR739" s="4"/>
      <c r="AS739" s="4"/>
      <c r="AT739" s="4"/>
      <c r="AU739" s="4"/>
      <c r="AV739" s="4"/>
      <c r="AW739" s="4"/>
      <c r="AX739" s="4"/>
      <c r="AY739" s="4"/>
      <c r="AZ739" s="4"/>
      <c r="BA739" s="4"/>
      <c r="BB739" s="4"/>
      <c r="BC739" s="5"/>
      <c r="BD739" s="4"/>
      <c r="BE739" s="4"/>
      <c r="BF739" s="4"/>
      <c r="BG739" s="4"/>
      <c r="BH739" s="4"/>
      <c r="BI739" s="4"/>
      <c r="BJ739" s="4"/>
      <c r="BK739" s="4"/>
      <c r="BL739" s="4"/>
      <c r="BM739" s="4"/>
      <c r="BN739" s="4"/>
      <c r="BO739" s="4"/>
      <c r="BP739" s="4"/>
      <c r="BQ739" s="4"/>
      <c r="BR739" s="4"/>
    </row>
    <row r="740" spans="1:7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c r="AG740" s="4"/>
      <c r="AH740" s="4"/>
      <c r="AI740" s="4"/>
      <c r="AJ740" s="4"/>
      <c r="AK740" s="4"/>
      <c r="AL740" s="4"/>
      <c r="AM740" s="4"/>
      <c r="AN740" s="4"/>
      <c r="AO740" s="4"/>
      <c r="AP740" s="4"/>
      <c r="AQ740" s="4"/>
      <c r="AR740" s="4"/>
      <c r="AS740" s="4"/>
      <c r="AT740" s="4"/>
      <c r="AU740" s="4"/>
      <c r="AV740" s="4"/>
      <c r="AW740" s="4"/>
      <c r="AX740" s="4"/>
      <c r="AY740" s="4"/>
      <c r="AZ740" s="4"/>
      <c r="BA740" s="4"/>
      <c r="BB740" s="4"/>
      <c r="BC740" s="5"/>
      <c r="BD740" s="4"/>
      <c r="BE740" s="4"/>
      <c r="BF740" s="4"/>
      <c r="BG740" s="4"/>
      <c r="BH740" s="4"/>
      <c r="BI740" s="4"/>
      <c r="BJ740" s="4"/>
      <c r="BK740" s="4"/>
      <c r="BL740" s="4"/>
      <c r="BM740" s="4"/>
      <c r="BN740" s="4"/>
      <c r="BO740" s="4"/>
      <c r="BP740" s="4"/>
      <c r="BQ740" s="4"/>
      <c r="BR740" s="4"/>
    </row>
    <row r="741" spans="1:70">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c r="AG741" s="4"/>
      <c r="AH741" s="4"/>
      <c r="AI741" s="4"/>
      <c r="AJ741" s="4"/>
      <c r="AK741" s="4"/>
      <c r="AL741" s="4"/>
      <c r="AM741" s="4"/>
      <c r="AN741" s="4"/>
      <c r="AO741" s="4"/>
      <c r="AP741" s="4"/>
      <c r="AQ741" s="4"/>
      <c r="AR741" s="4"/>
      <c r="AS741" s="4"/>
      <c r="AT741" s="4"/>
      <c r="AU741" s="4"/>
      <c r="AV741" s="4"/>
      <c r="AW741" s="4"/>
      <c r="AX741" s="4"/>
      <c r="AY741" s="4"/>
      <c r="AZ741" s="4"/>
      <c r="BA741" s="4"/>
      <c r="BB741" s="4"/>
      <c r="BC741" s="5"/>
      <c r="BD741" s="4"/>
      <c r="BE741" s="4"/>
      <c r="BF741" s="4"/>
      <c r="BG741" s="4"/>
      <c r="BH741" s="4"/>
      <c r="BI741" s="4"/>
      <c r="BJ741" s="4"/>
      <c r="BK741" s="4"/>
      <c r="BL741" s="4"/>
      <c r="BM741" s="4"/>
      <c r="BN741" s="4"/>
      <c r="BO741" s="4"/>
      <c r="BP741" s="4"/>
      <c r="BQ741" s="4"/>
      <c r="BR741" s="4"/>
    </row>
    <row r="742" spans="1:70">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c r="AG742" s="4"/>
      <c r="AH742" s="4"/>
      <c r="AI742" s="4"/>
      <c r="AJ742" s="4"/>
      <c r="AK742" s="4"/>
      <c r="AL742" s="4"/>
      <c r="AM742" s="4"/>
      <c r="AN742" s="4"/>
      <c r="AO742" s="4"/>
      <c r="AP742" s="4"/>
      <c r="AQ742" s="4"/>
      <c r="AR742" s="4"/>
      <c r="AS742" s="4"/>
      <c r="AT742" s="4"/>
      <c r="AU742" s="4"/>
      <c r="AV742" s="4"/>
      <c r="AW742" s="4"/>
      <c r="AX742" s="4"/>
      <c r="AY742" s="4"/>
      <c r="AZ742" s="4"/>
      <c r="BA742" s="4"/>
      <c r="BB742" s="4"/>
      <c r="BC742" s="5"/>
      <c r="BD742" s="4"/>
      <c r="BE742" s="4"/>
      <c r="BF742" s="4"/>
      <c r="BG742" s="4"/>
      <c r="BH742" s="4"/>
      <c r="BI742" s="4"/>
      <c r="BJ742" s="4"/>
      <c r="BK742" s="4"/>
      <c r="BL742" s="4"/>
      <c r="BM742" s="4"/>
      <c r="BN742" s="4"/>
      <c r="BO742" s="4"/>
      <c r="BP742" s="4"/>
      <c r="BQ742" s="4"/>
      <c r="BR742" s="4"/>
    </row>
    <row r="743" spans="1:70">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c r="AG743" s="4"/>
      <c r="AH743" s="4"/>
      <c r="AI743" s="4"/>
      <c r="AJ743" s="4"/>
      <c r="AK743" s="4"/>
      <c r="AL743" s="4"/>
      <c r="AM743" s="4"/>
      <c r="AN743" s="4"/>
      <c r="AO743" s="4"/>
      <c r="AP743" s="4"/>
      <c r="AQ743" s="4"/>
      <c r="AR743" s="4"/>
      <c r="AS743" s="4"/>
      <c r="AT743" s="4"/>
      <c r="AU743" s="4"/>
      <c r="AV743" s="4"/>
      <c r="AW743" s="4"/>
      <c r="AX743" s="4"/>
      <c r="AY743" s="4"/>
      <c r="AZ743" s="4"/>
      <c r="BA743" s="4"/>
      <c r="BB743" s="4"/>
      <c r="BC743" s="5"/>
      <c r="BD743" s="4"/>
      <c r="BE743" s="4"/>
      <c r="BF743" s="4"/>
      <c r="BG743" s="4"/>
      <c r="BH743" s="4"/>
      <c r="BI743" s="4"/>
      <c r="BJ743" s="4"/>
      <c r="BK743" s="4"/>
      <c r="BL743" s="4"/>
      <c r="BM743" s="4"/>
      <c r="BN743" s="4"/>
      <c r="BO743" s="4"/>
      <c r="BP743" s="4"/>
      <c r="BQ743" s="4"/>
      <c r="BR743" s="4"/>
    </row>
    <row r="744" spans="1:70">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c r="AG744" s="4"/>
      <c r="AH744" s="4"/>
      <c r="AI744" s="4"/>
      <c r="AJ744" s="4"/>
      <c r="AK744" s="4"/>
      <c r="AL744" s="4"/>
      <c r="AM744" s="4"/>
      <c r="AN744" s="4"/>
      <c r="AO744" s="4"/>
      <c r="AP744" s="4"/>
      <c r="AQ744" s="4"/>
      <c r="AR744" s="4"/>
      <c r="AS744" s="4"/>
      <c r="AT744" s="4"/>
      <c r="AU744" s="4"/>
      <c r="AV744" s="4"/>
      <c r="AW744" s="4"/>
      <c r="AX744" s="4"/>
      <c r="AY744" s="4"/>
      <c r="AZ744" s="4"/>
      <c r="BA744" s="4"/>
      <c r="BB744" s="4"/>
      <c r="BC744" s="5"/>
      <c r="BD744" s="4"/>
      <c r="BE744" s="4"/>
      <c r="BF744" s="4"/>
      <c r="BG744" s="4"/>
      <c r="BH744" s="4"/>
      <c r="BI744" s="4"/>
      <c r="BJ744" s="4"/>
      <c r="BK744" s="4"/>
      <c r="BL744" s="4"/>
      <c r="BM744" s="4"/>
      <c r="BN744" s="4"/>
      <c r="BO744" s="4"/>
      <c r="BP744" s="4"/>
      <c r="BQ744" s="4"/>
      <c r="BR744" s="4"/>
    </row>
    <row r="745" spans="1:70">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c r="AG745" s="4"/>
      <c r="AH745" s="4"/>
      <c r="AI745" s="4"/>
      <c r="AJ745" s="4"/>
      <c r="AK745" s="4"/>
      <c r="AL745" s="4"/>
      <c r="AM745" s="4"/>
      <c r="AN745" s="4"/>
      <c r="AO745" s="4"/>
      <c r="AP745" s="4"/>
      <c r="AQ745" s="4"/>
      <c r="AR745" s="4"/>
      <c r="AS745" s="4"/>
      <c r="AT745" s="4"/>
      <c r="AU745" s="4"/>
      <c r="AV745" s="4"/>
      <c r="AW745" s="4"/>
      <c r="AX745" s="4"/>
      <c r="AY745" s="4"/>
      <c r="AZ745" s="4"/>
      <c r="BA745" s="4"/>
      <c r="BB745" s="4"/>
      <c r="BC745" s="5"/>
      <c r="BD745" s="4"/>
      <c r="BE745" s="4"/>
      <c r="BF745" s="4"/>
      <c r="BG745" s="4"/>
      <c r="BH745" s="4"/>
      <c r="BI745" s="4"/>
      <c r="BJ745" s="4"/>
      <c r="BK745" s="4"/>
      <c r="BL745" s="4"/>
      <c r="BM745" s="4"/>
      <c r="BN745" s="4"/>
      <c r="BO745" s="4"/>
      <c r="BP745" s="4"/>
      <c r="BQ745" s="4"/>
      <c r="BR745" s="4"/>
    </row>
    <row r="746" spans="1:70">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c r="AG746" s="4"/>
      <c r="AH746" s="4"/>
      <c r="AI746" s="4"/>
      <c r="AJ746" s="4"/>
      <c r="AK746" s="4"/>
      <c r="AL746" s="4"/>
      <c r="AM746" s="4"/>
      <c r="AN746" s="4"/>
      <c r="AO746" s="4"/>
      <c r="AP746" s="4"/>
      <c r="AQ746" s="4"/>
      <c r="AR746" s="4"/>
      <c r="AS746" s="4"/>
      <c r="AT746" s="4"/>
      <c r="AU746" s="4"/>
      <c r="AV746" s="4"/>
      <c r="AW746" s="4"/>
      <c r="AX746" s="4"/>
      <c r="AY746" s="4"/>
      <c r="AZ746" s="4"/>
      <c r="BA746" s="4"/>
      <c r="BB746" s="4"/>
      <c r="BC746" s="5"/>
      <c r="BD746" s="4"/>
      <c r="BE746" s="4"/>
      <c r="BF746" s="4"/>
      <c r="BG746" s="4"/>
      <c r="BH746" s="4"/>
      <c r="BI746" s="4"/>
      <c r="BJ746" s="4"/>
      <c r="BK746" s="4"/>
      <c r="BL746" s="4"/>
      <c r="BM746" s="4"/>
      <c r="BN746" s="4"/>
      <c r="BO746" s="4"/>
      <c r="BP746" s="4"/>
      <c r="BQ746" s="4"/>
      <c r="BR746" s="4"/>
    </row>
    <row r="747" spans="1:70">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c r="AG747" s="4"/>
      <c r="AH747" s="4"/>
      <c r="AI747" s="4"/>
      <c r="AJ747" s="4"/>
      <c r="AK747" s="4"/>
      <c r="AL747" s="4"/>
      <c r="AM747" s="4"/>
      <c r="AN747" s="4"/>
      <c r="AO747" s="4"/>
      <c r="AP747" s="4"/>
      <c r="AQ747" s="4"/>
      <c r="AR747" s="4"/>
      <c r="AS747" s="4"/>
      <c r="AT747" s="4"/>
      <c r="AU747" s="4"/>
      <c r="AV747" s="4"/>
      <c r="AW747" s="4"/>
      <c r="AX747" s="4"/>
      <c r="AY747" s="4"/>
      <c r="AZ747" s="4"/>
      <c r="BA747" s="4"/>
      <c r="BB747" s="4"/>
      <c r="BC747" s="5"/>
      <c r="BD747" s="4"/>
      <c r="BE747" s="4"/>
      <c r="BF747" s="4"/>
      <c r="BG747" s="4"/>
      <c r="BH747" s="4"/>
      <c r="BI747" s="4"/>
      <c r="BJ747" s="4"/>
      <c r="BK747" s="4"/>
      <c r="BL747" s="4"/>
      <c r="BM747" s="4"/>
      <c r="BN747" s="4"/>
      <c r="BO747" s="4"/>
      <c r="BP747" s="4"/>
      <c r="BQ747" s="4"/>
      <c r="BR747" s="4"/>
    </row>
    <row r="748" spans="1:70">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c r="AG748" s="4"/>
      <c r="AH748" s="4"/>
      <c r="AI748" s="4"/>
      <c r="AJ748" s="4"/>
      <c r="AK748" s="4"/>
      <c r="AL748" s="4"/>
      <c r="AM748" s="4"/>
      <c r="AN748" s="4"/>
      <c r="AO748" s="4"/>
      <c r="AP748" s="4"/>
      <c r="AQ748" s="4"/>
      <c r="AR748" s="4"/>
      <c r="AS748" s="4"/>
      <c r="AT748" s="4"/>
      <c r="AU748" s="4"/>
      <c r="AV748" s="4"/>
      <c r="AW748" s="4"/>
      <c r="AX748" s="4"/>
      <c r="AY748" s="4"/>
      <c r="AZ748" s="4"/>
      <c r="BA748" s="4"/>
      <c r="BB748" s="4"/>
      <c r="BC748" s="5"/>
      <c r="BD748" s="4"/>
      <c r="BE748" s="4"/>
      <c r="BF748" s="4"/>
      <c r="BG748" s="4"/>
      <c r="BH748" s="4"/>
      <c r="BI748" s="4"/>
      <c r="BJ748" s="4"/>
      <c r="BK748" s="4"/>
      <c r="BL748" s="4"/>
      <c r="BM748" s="4"/>
      <c r="BN748" s="4"/>
      <c r="BO748" s="4"/>
      <c r="BP748" s="4"/>
      <c r="BQ748" s="4"/>
      <c r="BR748" s="4"/>
    </row>
    <row r="749" spans="1:70">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c r="AG749" s="4"/>
      <c r="AH749" s="4"/>
      <c r="AI749" s="4"/>
      <c r="AJ749" s="4"/>
      <c r="AK749" s="4"/>
      <c r="AL749" s="4"/>
      <c r="AM749" s="4"/>
      <c r="AN749" s="4"/>
      <c r="AO749" s="4"/>
      <c r="AP749" s="4"/>
      <c r="AQ749" s="4"/>
      <c r="AR749" s="4"/>
      <c r="AS749" s="4"/>
      <c r="AT749" s="4"/>
      <c r="AU749" s="4"/>
      <c r="AV749" s="4"/>
      <c r="AW749" s="4"/>
      <c r="AX749" s="4"/>
      <c r="AY749" s="4"/>
      <c r="AZ749" s="4"/>
      <c r="BA749" s="4"/>
      <c r="BB749" s="4"/>
      <c r="BC749" s="5"/>
      <c r="BD749" s="4"/>
      <c r="BE749" s="4"/>
      <c r="BF749" s="4"/>
      <c r="BG749" s="4"/>
      <c r="BH749" s="4"/>
      <c r="BI749" s="4"/>
      <c r="BJ749" s="4"/>
      <c r="BK749" s="4"/>
      <c r="BL749" s="4"/>
      <c r="BM749" s="4"/>
      <c r="BN749" s="4"/>
      <c r="BO749" s="4"/>
      <c r="BP749" s="4"/>
      <c r="BQ749" s="4"/>
      <c r="BR749" s="4"/>
    </row>
    <row r="750" spans="1:7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c r="AG750" s="4"/>
      <c r="AH750" s="4"/>
      <c r="AI750" s="4"/>
      <c r="AJ750" s="4"/>
      <c r="AK750" s="4"/>
      <c r="AL750" s="4"/>
      <c r="AM750" s="4"/>
      <c r="AN750" s="4"/>
      <c r="AO750" s="4"/>
      <c r="AP750" s="4"/>
      <c r="AQ750" s="4"/>
      <c r="AR750" s="4"/>
      <c r="AS750" s="4"/>
      <c r="AT750" s="4"/>
      <c r="AU750" s="4"/>
      <c r="AV750" s="4"/>
      <c r="AW750" s="4"/>
      <c r="AX750" s="4"/>
      <c r="AY750" s="4"/>
      <c r="AZ750" s="4"/>
      <c r="BA750" s="4"/>
      <c r="BB750" s="4"/>
      <c r="BC750" s="5"/>
      <c r="BD750" s="4"/>
      <c r="BE750" s="4"/>
      <c r="BF750" s="4"/>
      <c r="BG750" s="4"/>
      <c r="BH750" s="4"/>
      <c r="BI750" s="4"/>
      <c r="BJ750" s="4"/>
      <c r="BK750" s="4"/>
      <c r="BL750" s="4"/>
      <c r="BM750" s="4"/>
      <c r="BN750" s="4"/>
      <c r="BO750" s="4"/>
      <c r="BP750" s="4"/>
      <c r="BQ750" s="4"/>
      <c r="BR750" s="4"/>
    </row>
    <row r="751" spans="1:70">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c r="AG751" s="4"/>
      <c r="AH751" s="4"/>
      <c r="AI751" s="4"/>
      <c r="AJ751" s="4"/>
      <c r="AK751" s="4"/>
      <c r="AL751" s="4"/>
      <c r="AM751" s="4"/>
      <c r="AN751" s="4"/>
      <c r="AO751" s="4"/>
      <c r="AP751" s="4"/>
      <c r="AQ751" s="4"/>
      <c r="AR751" s="4"/>
      <c r="AS751" s="4"/>
      <c r="AT751" s="4"/>
      <c r="AU751" s="4"/>
      <c r="AV751" s="4"/>
      <c r="AW751" s="4"/>
      <c r="AX751" s="4"/>
      <c r="AY751" s="4"/>
      <c r="AZ751" s="4"/>
      <c r="BA751" s="4"/>
      <c r="BB751" s="4"/>
      <c r="BC751" s="5"/>
      <c r="BD751" s="4"/>
      <c r="BE751" s="4"/>
      <c r="BF751" s="4"/>
      <c r="BG751" s="4"/>
      <c r="BH751" s="4"/>
      <c r="BI751" s="4"/>
      <c r="BJ751" s="4"/>
      <c r="BK751" s="4"/>
      <c r="BL751" s="4"/>
      <c r="BM751" s="4"/>
      <c r="BN751" s="4"/>
      <c r="BO751" s="4"/>
      <c r="BP751" s="4"/>
      <c r="BQ751" s="4"/>
      <c r="BR751" s="4"/>
    </row>
    <row r="752" spans="1:70">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c r="AG752" s="4"/>
      <c r="AH752" s="4"/>
      <c r="AI752" s="4"/>
      <c r="AJ752" s="4"/>
      <c r="AK752" s="4"/>
      <c r="AL752" s="4"/>
      <c r="AM752" s="4"/>
      <c r="AN752" s="4"/>
      <c r="AO752" s="4"/>
      <c r="AP752" s="4"/>
      <c r="AQ752" s="4"/>
      <c r="AR752" s="4"/>
      <c r="AS752" s="4"/>
      <c r="AT752" s="4"/>
      <c r="AU752" s="4"/>
      <c r="AV752" s="4"/>
      <c r="AW752" s="4"/>
      <c r="AX752" s="4"/>
      <c r="AY752" s="4"/>
      <c r="AZ752" s="4"/>
      <c r="BA752" s="4"/>
      <c r="BB752" s="4"/>
      <c r="BC752" s="5"/>
      <c r="BD752" s="4"/>
      <c r="BE752" s="4"/>
      <c r="BF752" s="4"/>
      <c r="BG752" s="4"/>
      <c r="BH752" s="4"/>
      <c r="BI752" s="4"/>
      <c r="BJ752" s="4"/>
      <c r="BK752" s="4"/>
      <c r="BL752" s="4"/>
      <c r="BM752" s="4"/>
      <c r="BN752" s="4"/>
      <c r="BO752" s="4"/>
      <c r="BP752" s="4"/>
      <c r="BQ752" s="4"/>
      <c r="BR752" s="4"/>
    </row>
    <row r="753" spans="1:70">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c r="AG753" s="4"/>
      <c r="AH753" s="4"/>
      <c r="AI753" s="4"/>
      <c r="AJ753" s="4"/>
      <c r="AK753" s="4"/>
      <c r="AL753" s="4"/>
      <c r="AM753" s="4"/>
      <c r="AN753" s="4"/>
      <c r="AO753" s="4"/>
      <c r="AP753" s="4"/>
      <c r="AQ753" s="4"/>
      <c r="AR753" s="4"/>
      <c r="AS753" s="4"/>
      <c r="AT753" s="4"/>
      <c r="AU753" s="4"/>
      <c r="AV753" s="4"/>
      <c r="AW753" s="4"/>
      <c r="AX753" s="4"/>
      <c r="AY753" s="4"/>
      <c r="AZ753" s="4"/>
      <c r="BA753" s="4"/>
      <c r="BB753" s="4"/>
      <c r="BC753" s="5"/>
      <c r="BD753" s="4"/>
      <c r="BE753" s="4"/>
      <c r="BF753" s="4"/>
      <c r="BG753" s="4"/>
      <c r="BH753" s="4"/>
      <c r="BI753" s="4"/>
      <c r="BJ753" s="4"/>
      <c r="BK753" s="4"/>
      <c r="BL753" s="4"/>
      <c r="BM753" s="4"/>
      <c r="BN753" s="4"/>
      <c r="BO753" s="4"/>
      <c r="BP753" s="4"/>
      <c r="BQ753" s="4"/>
      <c r="BR753" s="4"/>
    </row>
    <row r="754" spans="1:70">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c r="AG754" s="4"/>
      <c r="AH754" s="4"/>
      <c r="AI754" s="4"/>
      <c r="AJ754" s="4"/>
      <c r="AK754" s="4"/>
      <c r="AL754" s="4"/>
      <c r="AM754" s="4"/>
      <c r="AN754" s="4"/>
      <c r="AO754" s="4"/>
      <c r="AP754" s="4"/>
      <c r="AQ754" s="4"/>
      <c r="AR754" s="4"/>
      <c r="AS754" s="4"/>
      <c r="AT754" s="4"/>
      <c r="AU754" s="4"/>
      <c r="AV754" s="4"/>
      <c r="AW754" s="4"/>
      <c r="AX754" s="4"/>
      <c r="AY754" s="4"/>
      <c r="AZ754" s="4"/>
      <c r="BA754" s="4"/>
      <c r="BB754" s="4"/>
      <c r="BC754" s="5"/>
      <c r="BD754" s="4"/>
      <c r="BE754" s="4"/>
      <c r="BF754" s="4"/>
      <c r="BG754" s="4"/>
      <c r="BH754" s="4"/>
      <c r="BI754" s="4"/>
      <c r="BJ754" s="4"/>
      <c r="BK754" s="4"/>
      <c r="BL754" s="4"/>
      <c r="BM754" s="4"/>
      <c r="BN754" s="4"/>
      <c r="BO754" s="4"/>
      <c r="BP754" s="4"/>
      <c r="BQ754" s="4"/>
      <c r="BR754" s="4"/>
    </row>
    <row r="755" spans="1:70">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c r="AG755" s="4"/>
      <c r="AH755" s="4"/>
      <c r="AI755" s="4"/>
      <c r="AJ755" s="4"/>
      <c r="AK755" s="4"/>
      <c r="AL755" s="4"/>
      <c r="AM755" s="4"/>
      <c r="AN755" s="4"/>
      <c r="AO755" s="4"/>
      <c r="AP755" s="4"/>
      <c r="AQ755" s="4"/>
      <c r="AR755" s="4"/>
      <c r="AS755" s="4"/>
      <c r="AT755" s="4"/>
      <c r="AU755" s="4"/>
      <c r="AV755" s="4"/>
      <c r="AW755" s="4"/>
      <c r="AX755" s="4"/>
      <c r="AY755" s="4"/>
      <c r="AZ755" s="4"/>
      <c r="BA755" s="4"/>
      <c r="BB755" s="4"/>
      <c r="BC755" s="5"/>
      <c r="BD755" s="4"/>
      <c r="BE755" s="4"/>
      <c r="BF755" s="4"/>
      <c r="BG755" s="4"/>
      <c r="BH755" s="4"/>
      <c r="BI755" s="4"/>
      <c r="BJ755" s="4"/>
      <c r="BK755" s="4"/>
      <c r="BL755" s="4"/>
      <c r="BM755" s="4"/>
      <c r="BN755" s="4"/>
      <c r="BO755" s="4"/>
      <c r="BP755" s="4"/>
      <c r="BQ755" s="4"/>
      <c r="BR755" s="4"/>
    </row>
    <row r="756" spans="1:70">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c r="AG756" s="4"/>
      <c r="AH756" s="4"/>
      <c r="AI756" s="4"/>
      <c r="AJ756" s="4"/>
      <c r="AK756" s="4"/>
      <c r="AL756" s="4"/>
      <c r="AM756" s="4"/>
      <c r="AN756" s="4"/>
      <c r="AO756" s="4"/>
      <c r="AP756" s="4"/>
      <c r="AQ756" s="4"/>
      <c r="AR756" s="4"/>
      <c r="AS756" s="4"/>
      <c r="AT756" s="4"/>
      <c r="AU756" s="4"/>
      <c r="AV756" s="4"/>
      <c r="AW756" s="4"/>
      <c r="AX756" s="4"/>
      <c r="AY756" s="4"/>
      <c r="AZ756" s="4"/>
      <c r="BA756" s="4"/>
      <c r="BB756" s="4"/>
      <c r="BC756" s="5"/>
      <c r="BD756" s="4"/>
      <c r="BE756" s="4"/>
      <c r="BF756" s="4"/>
      <c r="BG756" s="4"/>
      <c r="BH756" s="4"/>
      <c r="BI756" s="4"/>
      <c r="BJ756" s="4"/>
      <c r="BK756" s="4"/>
      <c r="BL756" s="4"/>
      <c r="BM756" s="4"/>
      <c r="BN756" s="4"/>
      <c r="BO756" s="4"/>
      <c r="BP756" s="4"/>
      <c r="BQ756" s="4"/>
      <c r="BR756" s="4"/>
    </row>
    <row r="757" spans="1:70">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c r="AG757" s="4"/>
      <c r="AH757" s="4"/>
      <c r="AI757" s="4"/>
      <c r="AJ757" s="4"/>
      <c r="AK757" s="4"/>
      <c r="AL757" s="4"/>
      <c r="AM757" s="4"/>
      <c r="AN757" s="4"/>
      <c r="AO757" s="4"/>
      <c r="AP757" s="4"/>
      <c r="AQ757" s="4"/>
      <c r="AR757" s="4"/>
      <c r="AS757" s="4"/>
      <c r="AT757" s="4"/>
      <c r="AU757" s="4"/>
      <c r="AV757" s="4"/>
      <c r="AW757" s="4"/>
      <c r="AX757" s="4"/>
      <c r="AY757" s="4"/>
      <c r="AZ757" s="4"/>
      <c r="BA757" s="4"/>
      <c r="BB757" s="4"/>
      <c r="BC757" s="5"/>
      <c r="BD757" s="4"/>
      <c r="BE757" s="4"/>
      <c r="BF757" s="4"/>
      <c r="BG757" s="4"/>
      <c r="BH757" s="4"/>
      <c r="BI757" s="4"/>
      <c r="BJ757" s="4"/>
      <c r="BK757" s="4"/>
      <c r="BL757" s="4"/>
      <c r="BM757" s="4"/>
      <c r="BN757" s="4"/>
      <c r="BO757" s="4"/>
      <c r="BP757" s="4"/>
      <c r="BQ757" s="4"/>
      <c r="BR757" s="4"/>
    </row>
    <row r="758" spans="1:70">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c r="AG758" s="4"/>
      <c r="AH758" s="4"/>
      <c r="AI758" s="4"/>
      <c r="AJ758" s="4"/>
      <c r="AK758" s="4"/>
      <c r="AL758" s="4"/>
      <c r="AM758" s="4"/>
      <c r="AN758" s="4"/>
      <c r="AO758" s="4"/>
      <c r="AP758" s="4"/>
      <c r="AQ758" s="4"/>
      <c r="AR758" s="4"/>
      <c r="AS758" s="4"/>
      <c r="AT758" s="4"/>
      <c r="AU758" s="4"/>
      <c r="AV758" s="4"/>
      <c r="AW758" s="4"/>
      <c r="AX758" s="4"/>
      <c r="AY758" s="4"/>
      <c r="AZ758" s="4"/>
      <c r="BA758" s="4"/>
      <c r="BB758" s="4"/>
      <c r="BC758" s="5"/>
      <c r="BD758" s="4"/>
      <c r="BE758" s="4"/>
      <c r="BF758" s="4"/>
      <c r="BG758" s="4"/>
      <c r="BH758" s="4"/>
      <c r="BI758" s="4"/>
      <c r="BJ758" s="4"/>
      <c r="BK758" s="4"/>
      <c r="BL758" s="4"/>
      <c r="BM758" s="4"/>
      <c r="BN758" s="4"/>
      <c r="BO758" s="4"/>
      <c r="BP758" s="4"/>
      <c r="BQ758" s="4"/>
      <c r="BR758" s="4"/>
    </row>
    <row r="759" spans="1:70">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c r="AG759" s="4"/>
      <c r="AH759" s="4"/>
      <c r="AI759" s="4"/>
      <c r="AJ759" s="4"/>
      <c r="AK759" s="4"/>
      <c r="AL759" s="4"/>
      <c r="AM759" s="4"/>
      <c r="AN759" s="4"/>
      <c r="AO759" s="4"/>
      <c r="AP759" s="4"/>
      <c r="AQ759" s="4"/>
      <c r="AR759" s="4"/>
      <c r="AS759" s="4"/>
      <c r="AT759" s="4"/>
      <c r="AU759" s="4"/>
      <c r="AV759" s="4"/>
      <c r="AW759" s="4"/>
      <c r="AX759" s="4"/>
      <c r="AY759" s="4"/>
      <c r="AZ759" s="4"/>
      <c r="BA759" s="4"/>
      <c r="BB759" s="4"/>
      <c r="BC759" s="5"/>
      <c r="BD759" s="4"/>
      <c r="BE759" s="4"/>
      <c r="BF759" s="4"/>
      <c r="BG759" s="4"/>
      <c r="BH759" s="4"/>
      <c r="BI759" s="4"/>
      <c r="BJ759" s="4"/>
      <c r="BK759" s="4"/>
      <c r="BL759" s="4"/>
      <c r="BM759" s="4"/>
      <c r="BN759" s="4"/>
      <c r="BO759" s="4"/>
      <c r="BP759" s="4"/>
      <c r="BQ759" s="4"/>
      <c r="BR759" s="4"/>
    </row>
    <row r="760" spans="1:7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c r="AG760" s="4"/>
      <c r="AH760" s="4"/>
      <c r="AI760" s="4"/>
      <c r="AJ760" s="4"/>
      <c r="AK760" s="4"/>
      <c r="AL760" s="4"/>
      <c r="AM760" s="4"/>
      <c r="AN760" s="4"/>
      <c r="AO760" s="4"/>
      <c r="AP760" s="4"/>
      <c r="AQ760" s="4"/>
      <c r="AR760" s="4"/>
      <c r="AS760" s="4"/>
      <c r="AT760" s="4"/>
      <c r="AU760" s="4"/>
      <c r="AV760" s="4"/>
      <c r="AW760" s="4"/>
      <c r="AX760" s="4"/>
      <c r="AY760" s="4"/>
      <c r="AZ760" s="4"/>
      <c r="BA760" s="4"/>
      <c r="BB760" s="4"/>
      <c r="BC760" s="5"/>
      <c r="BD760" s="4"/>
      <c r="BE760" s="4"/>
      <c r="BF760" s="4"/>
      <c r="BG760" s="4"/>
      <c r="BH760" s="4"/>
      <c r="BI760" s="4"/>
      <c r="BJ760" s="4"/>
      <c r="BK760" s="4"/>
      <c r="BL760" s="4"/>
      <c r="BM760" s="4"/>
      <c r="BN760" s="4"/>
      <c r="BO760" s="4"/>
      <c r="BP760" s="4"/>
      <c r="BQ760" s="4"/>
      <c r="BR760" s="4"/>
    </row>
    <row r="761" spans="1:70">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c r="AG761" s="4"/>
      <c r="AH761" s="4"/>
      <c r="AI761" s="4"/>
      <c r="AJ761" s="4"/>
      <c r="AK761" s="4"/>
      <c r="AL761" s="4"/>
      <c r="AM761" s="4"/>
      <c r="AN761" s="4"/>
      <c r="AO761" s="4"/>
      <c r="AP761" s="4"/>
      <c r="AQ761" s="4"/>
      <c r="AR761" s="4"/>
      <c r="AS761" s="4"/>
      <c r="AT761" s="4"/>
      <c r="AU761" s="4"/>
      <c r="AV761" s="4"/>
      <c r="AW761" s="4"/>
      <c r="AX761" s="4"/>
      <c r="AY761" s="4"/>
      <c r="AZ761" s="4"/>
      <c r="BA761" s="4"/>
      <c r="BB761" s="4"/>
      <c r="BC761" s="5"/>
      <c r="BD761" s="4"/>
      <c r="BE761" s="4"/>
      <c r="BF761" s="4"/>
      <c r="BG761" s="4"/>
      <c r="BH761" s="4"/>
      <c r="BI761" s="4"/>
      <c r="BJ761" s="4"/>
      <c r="BK761" s="4"/>
      <c r="BL761" s="4"/>
      <c r="BM761" s="4"/>
      <c r="BN761" s="4"/>
      <c r="BO761" s="4"/>
      <c r="BP761" s="4"/>
      <c r="BQ761" s="4"/>
      <c r="BR761" s="4"/>
    </row>
    <row r="762" spans="1:70">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c r="AG762" s="4"/>
      <c r="AH762" s="4"/>
      <c r="AI762" s="4"/>
      <c r="AJ762" s="4"/>
      <c r="AK762" s="4"/>
      <c r="AL762" s="4"/>
      <c r="AM762" s="4"/>
      <c r="AN762" s="4"/>
      <c r="AO762" s="4"/>
      <c r="AP762" s="4"/>
      <c r="AQ762" s="4"/>
      <c r="AR762" s="4"/>
      <c r="AS762" s="4"/>
      <c r="AT762" s="4"/>
      <c r="AU762" s="4"/>
      <c r="AV762" s="4"/>
      <c r="AW762" s="4"/>
      <c r="AX762" s="4"/>
      <c r="AY762" s="4"/>
      <c r="AZ762" s="4"/>
      <c r="BA762" s="4"/>
      <c r="BB762" s="4"/>
      <c r="BC762" s="5"/>
      <c r="BD762" s="4"/>
      <c r="BE762" s="4"/>
      <c r="BF762" s="4"/>
      <c r="BG762" s="4"/>
      <c r="BH762" s="4"/>
      <c r="BI762" s="4"/>
      <c r="BJ762" s="4"/>
      <c r="BK762" s="4"/>
      <c r="BL762" s="4"/>
      <c r="BM762" s="4"/>
      <c r="BN762" s="4"/>
      <c r="BO762" s="4"/>
      <c r="BP762" s="4"/>
      <c r="BQ762" s="4"/>
      <c r="BR762" s="4"/>
    </row>
    <row r="763" spans="1:70">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c r="AG763" s="4"/>
      <c r="AH763" s="4"/>
      <c r="AI763" s="4"/>
      <c r="AJ763" s="4"/>
      <c r="AK763" s="4"/>
      <c r="AL763" s="4"/>
      <c r="AM763" s="4"/>
      <c r="AN763" s="4"/>
      <c r="AO763" s="4"/>
      <c r="AP763" s="4"/>
      <c r="AQ763" s="4"/>
      <c r="AR763" s="4"/>
      <c r="AS763" s="4"/>
      <c r="AT763" s="4"/>
      <c r="AU763" s="4"/>
      <c r="AV763" s="4"/>
      <c r="AW763" s="4"/>
      <c r="AX763" s="4"/>
      <c r="AY763" s="4"/>
      <c r="AZ763" s="4"/>
      <c r="BA763" s="4"/>
      <c r="BB763" s="4"/>
      <c r="BC763" s="5"/>
      <c r="BD763" s="4"/>
      <c r="BE763" s="4"/>
      <c r="BF763" s="4"/>
      <c r="BG763" s="4"/>
      <c r="BH763" s="4"/>
      <c r="BI763" s="4"/>
      <c r="BJ763" s="4"/>
      <c r="BK763" s="4"/>
      <c r="BL763" s="4"/>
      <c r="BM763" s="4"/>
      <c r="BN763" s="4"/>
      <c r="BO763" s="4"/>
      <c r="BP763" s="4"/>
      <c r="BQ763" s="4"/>
      <c r="BR763" s="4"/>
    </row>
    <row r="764" spans="1:70">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c r="AG764" s="4"/>
      <c r="AH764" s="4"/>
      <c r="AI764" s="4"/>
      <c r="AJ764" s="4"/>
      <c r="AK764" s="4"/>
      <c r="AL764" s="4"/>
      <c r="AM764" s="4"/>
      <c r="AN764" s="4"/>
      <c r="AO764" s="4"/>
      <c r="AP764" s="4"/>
      <c r="AQ764" s="4"/>
      <c r="AR764" s="4"/>
      <c r="AS764" s="4"/>
      <c r="AT764" s="4"/>
      <c r="AU764" s="4"/>
      <c r="AV764" s="4"/>
      <c r="AW764" s="4"/>
      <c r="AX764" s="4"/>
      <c r="AY764" s="4"/>
      <c r="AZ764" s="4"/>
      <c r="BA764" s="4"/>
      <c r="BB764" s="4"/>
      <c r="BC764" s="5"/>
      <c r="BD764" s="4"/>
      <c r="BE764" s="4"/>
      <c r="BF764" s="4"/>
      <c r="BG764" s="4"/>
      <c r="BH764" s="4"/>
      <c r="BI764" s="4"/>
      <c r="BJ764" s="4"/>
      <c r="BK764" s="4"/>
      <c r="BL764" s="4"/>
      <c r="BM764" s="4"/>
      <c r="BN764" s="4"/>
      <c r="BO764" s="4"/>
      <c r="BP764" s="4"/>
      <c r="BQ764" s="4"/>
      <c r="BR764" s="4"/>
    </row>
    <row r="765" spans="1:70">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c r="AG765" s="4"/>
      <c r="AH765" s="4"/>
      <c r="AI765" s="4"/>
      <c r="AJ765" s="4"/>
      <c r="AK765" s="4"/>
      <c r="AL765" s="4"/>
      <c r="AM765" s="4"/>
      <c r="AN765" s="4"/>
      <c r="AO765" s="4"/>
      <c r="AP765" s="4"/>
      <c r="AQ765" s="4"/>
      <c r="AR765" s="4"/>
      <c r="AS765" s="4"/>
      <c r="AT765" s="4"/>
      <c r="AU765" s="4"/>
      <c r="AV765" s="4"/>
      <c r="AW765" s="4"/>
      <c r="AX765" s="4"/>
      <c r="AY765" s="4"/>
      <c r="AZ765" s="4"/>
      <c r="BA765" s="4"/>
      <c r="BB765" s="4"/>
      <c r="BC765" s="5"/>
      <c r="BD765" s="4"/>
      <c r="BE765" s="4"/>
      <c r="BF765" s="4"/>
      <c r="BG765" s="4"/>
      <c r="BH765" s="4"/>
      <c r="BI765" s="4"/>
      <c r="BJ765" s="4"/>
      <c r="BK765" s="4"/>
      <c r="BL765" s="4"/>
      <c r="BM765" s="4"/>
      <c r="BN765" s="4"/>
      <c r="BO765" s="4"/>
      <c r="BP765" s="4"/>
      <c r="BQ765" s="4"/>
      <c r="BR765" s="4"/>
    </row>
    <row r="766" spans="1:70">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c r="AG766" s="4"/>
      <c r="AH766" s="4"/>
      <c r="AI766" s="4"/>
      <c r="AJ766" s="4"/>
      <c r="AK766" s="4"/>
      <c r="AL766" s="4"/>
      <c r="AM766" s="4"/>
      <c r="AN766" s="4"/>
      <c r="AO766" s="4"/>
      <c r="AP766" s="4"/>
      <c r="AQ766" s="4"/>
      <c r="AR766" s="4"/>
      <c r="AS766" s="4"/>
      <c r="AT766" s="4"/>
      <c r="AU766" s="4"/>
      <c r="AV766" s="4"/>
      <c r="AW766" s="4"/>
      <c r="AX766" s="4"/>
      <c r="AY766" s="4"/>
      <c r="AZ766" s="4"/>
      <c r="BA766" s="4"/>
      <c r="BB766" s="4"/>
      <c r="BC766" s="5"/>
      <c r="BD766" s="4"/>
      <c r="BE766" s="4"/>
      <c r="BF766" s="4"/>
      <c r="BG766" s="4"/>
      <c r="BH766" s="4"/>
      <c r="BI766" s="4"/>
      <c r="BJ766" s="4"/>
      <c r="BK766" s="4"/>
      <c r="BL766" s="4"/>
      <c r="BM766" s="4"/>
      <c r="BN766" s="4"/>
      <c r="BO766" s="4"/>
      <c r="BP766" s="4"/>
      <c r="BQ766" s="4"/>
      <c r="BR766" s="4"/>
    </row>
    <row r="767" spans="1:70">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c r="AG767" s="4"/>
      <c r="AH767" s="4"/>
      <c r="AI767" s="4"/>
      <c r="AJ767" s="4"/>
      <c r="AK767" s="4"/>
      <c r="AL767" s="4"/>
      <c r="AM767" s="4"/>
      <c r="AN767" s="4"/>
      <c r="AO767" s="4"/>
      <c r="AP767" s="4"/>
      <c r="AQ767" s="4"/>
      <c r="AR767" s="4"/>
      <c r="AS767" s="4"/>
      <c r="AT767" s="4"/>
      <c r="AU767" s="4"/>
      <c r="AV767" s="4"/>
      <c r="AW767" s="4"/>
      <c r="AX767" s="4"/>
      <c r="AY767" s="4"/>
      <c r="AZ767" s="4"/>
      <c r="BA767" s="4"/>
      <c r="BB767" s="4"/>
      <c r="BC767" s="5"/>
      <c r="BD767" s="4"/>
      <c r="BE767" s="4"/>
      <c r="BF767" s="4"/>
      <c r="BG767" s="4"/>
      <c r="BH767" s="4"/>
      <c r="BI767" s="4"/>
      <c r="BJ767" s="4"/>
      <c r="BK767" s="4"/>
      <c r="BL767" s="4"/>
      <c r="BM767" s="4"/>
      <c r="BN767" s="4"/>
      <c r="BO767" s="4"/>
      <c r="BP767" s="4"/>
      <c r="BQ767" s="4"/>
      <c r="BR767" s="4"/>
    </row>
    <row r="768" spans="1:70">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c r="AG768" s="4"/>
      <c r="AH768" s="4"/>
      <c r="AI768" s="4"/>
      <c r="AJ768" s="4"/>
      <c r="AK768" s="4"/>
      <c r="AL768" s="4"/>
      <c r="AM768" s="4"/>
      <c r="AN768" s="4"/>
      <c r="AO768" s="4"/>
      <c r="AP768" s="4"/>
      <c r="AQ768" s="4"/>
      <c r="AR768" s="4"/>
      <c r="AS768" s="4"/>
      <c r="AT768" s="4"/>
      <c r="AU768" s="4"/>
      <c r="AV768" s="4"/>
      <c r="AW768" s="4"/>
      <c r="AX768" s="4"/>
      <c r="AY768" s="4"/>
      <c r="AZ768" s="4"/>
      <c r="BA768" s="4"/>
      <c r="BB768" s="4"/>
      <c r="BC768" s="5"/>
      <c r="BD768" s="4"/>
      <c r="BE768" s="4"/>
      <c r="BF768" s="4"/>
      <c r="BG768" s="4"/>
      <c r="BH768" s="4"/>
      <c r="BI768" s="4"/>
      <c r="BJ768" s="4"/>
      <c r="BK768" s="4"/>
      <c r="BL768" s="4"/>
      <c r="BM768" s="4"/>
      <c r="BN768" s="4"/>
      <c r="BO768" s="4"/>
      <c r="BP768" s="4"/>
      <c r="BQ768" s="4"/>
      <c r="BR768" s="4"/>
    </row>
    <row r="769" spans="1:70">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c r="AG769" s="4"/>
      <c r="AH769" s="4"/>
      <c r="AI769" s="4"/>
      <c r="AJ769" s="4"/>
      <c r="AK769" s="4"/>
      <c r="AL769" s="4"/>
      <c r="AM769" s="4"/>
      <c r="AN769" s="4"/>
      <c r="AO769" s="4"/>
      <c r="AP769" s="4"/>
      <c r="AQ769" s="4"/>
      <c r="AR769" s="4"/>
      <c r="AS769" s="4"/>
      <c r="AT769" s="4"/>
      <c r="AU769" s="4"/>
      <c r="AV769" s="4"/>
      <c r="AW769" s="4"/>
      <c r="AX769" s="4"/>
      <c r="AY769" s="4"/>
      <c r="AZ769" s="4"/>
      <c r="BA769" s="4"/>
      <c r="BB769" s="4"/>
      <c r="BC769" s="5"/>
      <c r="BD769" s="4"/>
      <c r="BE769" s="4"/>
      <c r="BF769" s="4"/>
      <c r="BG769" s="4"/>
      <c r="BH769" s="4"/>
      <c r="BI769" s="4"/>
      <c r="BJ769" s="4"/>
      <c r="BK769" s="4"/>
      <c r="BL769" s="4"/>
      <c r="BM769" s="4"/>
      <c r="BN769" s="4"/>
      <c r="BO769" s="4"/>
      <c r="BP769" s="4"/>
      <c r="BQ769" s="4"/>
      <c r="BR769" s="4"/>
    </row>
    <row r="770" spans="1: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c r="AG770" s="4"/>
      <c r="AH770" s="4"/>
      <c r="AI770" s="4"/>
      <c r="AJ770" s="4"/>
      <c r="AK770" s="4"/>
      <c r="AL770" s="4"/>
      <c r="AM770" s="4"/>
      <c r="AN770" s="4"/>
      <c r="AO770" s="4"/>
      <c r="AP770" s="4"/>
      <c r="AQ770" s="4"/>
      <c r="AR770" s="4"/>
      <c r="AS770" s="4"/>
      <c r="AT770" s="4"/>
      <c r="AU770" s="4"/>
      <c r="AV770" s="4"/>
      <c r="AW770" s="4"/>
      <c r="AX770" s="4"/>
      <c r="AY770" s="4"/>
      <c r="AZ770" s="4"/>
      <c r="BA770" s="4"/>
      <c r="BB770" s="4"/>
      <c r="BC770" s="5"/>
      <c r="BD770" s="4"/>
      <c r="BE770" s="4"/>
      <c r="BF770" s="4"/>
      <c r="BG770" s="4"/>
      <c r="BH770" s="4"/>
      <c r="BI770" s="4"/>
      <c r="BJ770" s="4"/>
      <c r="BK770" s="4"/>
      <c r="BL770" s="4"/>
      <c r="BM770" s="4"/>
      <c r="BN770" s="4"/>
      <c r="BO770" s="4"/>
      <c r="BP770" s="4"/>
      <c r="BQ770" s="4"/>
      <c r="BR770" s="4"/>
    </row>
    <row r="771" spans="1:70">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c r="AG771" s="4"/>
      <c r="AH771" s="4"/>
      <c r="AI771" s="4"/>
      <c r="AJ771" s="4"/>
      <c r="AK771" s="4"/>
      <c r="AL771" s="4"/>
      <c r="AM771" s="4"/>
      <c r="AN771" s="4"/>
      <c r="AO771" s="4"/>
      <c r="AP771" s="4"/>
      <c r="AQ771" s="4"/>
      <c r="AR771" s="4"/>
      <c r="AS771" s="4"/>
      <c r="AT771" s="4"/>
      <c r="AU771" s="4"/>
      <c r="AV771" s="4"/>
      <c r="AW771" s="4"/>
      <c r="AX771" s="4"/>
      <c r="AY771" s="4"/>
      <c r="AZ771" s="4"/>
      <c r="BA771" s="4"/>
      <c r="BB771" s="4"/>
      <c r="BC771" s="5"/>
      <c r="BD771" s="4"/>
      <c r="BE771" s="4"/>
      <c r="BF771" s="4"/>
      <c r="BG771" s="4"/>
      <c r="BH771" s="4"/>
      <c r="BI771" s="4"/>
      <c r="BJ771" s="4"/>
      <c r="BK771" s="4"/>
      <c r="BL771" s="4"/>
      <c r="BM771" s="4"/>
      <c r="BN771" s="4"/>
      <c r="BO771" s="4"/>
      <c r="BP771" s="4"/>
      <c r="BQ771" s="4"/>
      <c r="BR771" s="4"/>
    </row>
    <row r="772" spans="1:70">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c r="AG772" s="4"/>
      <c r="AH772" s="4"/>
      <c r="AI772" s="4"/>
      <c r="AJ772" s="4"/>
      <c r="AK772" s="4"/>
      <c r="AL772" s="4"/>
      <c r="AM772" s="4"/>
      <c r="AN772" s="4"/>
      <c r="AO772" s="4"/>
      <c r="AP772" s="4"/>
      <c r="AQ772" s="4"/>
      <c r="AR772" s="4"/>
      <c r="AS772" s="4"/>
      <c r="AT772" s="4"/>
      <c r="AU772" s="4"/>
      <c r="AV772" s="4"/>
      <c r="AW772" s="4"/>
      <c r="AX772" s="4"/>
      <c r="AY772" s="4"/>
      <c r="AZ772" s="4"/>
      <c r="BA772" s="4"/>
      <c r="BB772" s="4"/>
      <c r="BC772" s="5"/>
      <c r="BD772" s="4"/>
      <c r="BE772" s="4"/>
      <c r="BF772" s="4"/>
      <c r="BG772" s="4"/>
      <c r="BH772" s="4"/>
      <c r="BI772" s="4"/>
      <c r="BJ772" s="4"/>
      <c r="BK772" s="4"/>
      <c r="BL772" s="4"/>
      <c r="BM772" s="4"/>
      <c r="BN772" s="4"/>
      <c r="BO772" s="4"/>
      <c r="BP772" s="4"/>
      <c r="BQ772" s="4"/>
      <c r="BR772" s="4"/>
    </row>
    <row r="773" spans="1:70">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c r="AG773" s="4"/>
      <c r="AH773" s="4"/>
      <c r="AI773" s="4"/>
      <c r="AJ773" s="4"/>
      <c r="AK773" s="4"/>
      <c r="AL773" s="4"/>
      <c r="AM773" s="4"/>
      <c r="AN773" s="4"/>
      <c r="AO773" s="4"/>
      <c r="AP773" s="4"/>
      <c r="AQ773" s="4"/>
      <c r="AR773" s="4"/>
      <c r="AS773" s="4"/>
      <c r="AT773" s="4"/>
      <c r="AU773" s="4"/>
      <c r="AV773" s="4"/>
      <c r="AW773" s="4"/>
      <c r="AX773" s="4"/>
      <c r="AY773" s="4"/>
      <c r="AZ773" s="4"/>
      <c r="BA773" s="4"/>
      <c r="BB773" s="4"/>
      <c r="BC773" s="5"/>
      <c r="BD773" s="4"/>
      <c r="BE773" s="4"/>
      <c r="BF773" s="4"/>
      <c r="BG773" s="4"/>
      <c r="BH773" s="4"/>
      <c r="BI773" s="4"/>
      <c r="BJ773" s="4"/>
      <c r="BK773" s="4"/>
      <c r="BL773" s="4"/>
      <c r="BM773" s="4"/>
      <c r="BN773" s="4"/>
      <c r="BO773" s="4"/>
      <c r="BP773" s="4"/>
      <c r="BQ773" s="4"/>
      <c r="BR773" s="4"/>
    </row>
    <row r="774" spans="1:70">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c r="AG774" s="4"/>
      <c r="AH774" s="4"/>
      <c r="AI774" s="4"/>
      <c r="AJ774" s="4"/>
      <c r="AK774" s="4"/>
      <c r="AL774" s="4"/>
      <c r="AM774" s="4"/>
      <c r="AN774" s="4"/>
      <c r="AO774" s="4"/>
      <c r="AP774" s="4"/>
      <c r="AQ774" s="4"/>
      <c r="AR774" s="4"/>
      <c r="AS774" s="4"/>
      <c r="AT774" s="4"/>
      <c r="AU774" s="4"/>
      <c r="AV774" s="4"/>
      <c r="AW774" s="4"/>
      <c r="AX774" s="4"/>
      <c r="AY774" s="4"/>
      <c r="AZ774" s="4"/>
      <c r="BA774" s="4"/>
      <c r="BB774" s="4"/>
      <c r="BC774" s="5"/>
      <c r="BD774" s="4"/>
      <c r="BE774" s="4"/>
      <c r="BF774" s="4"/>
      <c r="BG774" s="4"/>
      <c r="BH774" s="4"/>
      <c r="BI774" s="4"/>
      <c r="BJ774" s="4"/>
      <c r="BK774" s="4"/>
      <c r="BL774" s="4"/>
      <c r="BM774" s="4"/>
      <c r="BN774" s="4"/>
      <c r="BO774" s="4"/>
      <c r="BP774" s="4"/>
      <c r="BQ774" s="4"/>
      <c r="BR774" s="4"/>
    </row>
    <row r="775" spans="1:70">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c r="AG775" s="4"/>
      <c r="AH775" s="4"/>
      <c r="AI775" s="4"/>
      <c r="AJ775" s="4"/>
      <c r="AK775" s="4"/>
      <c r="AL775" s="4"/>
      <c r="AM775" s="4"/>
      <c r="AN775" s="4"/>
      <c r="AO775" s="4"/>
      <c r="AP775" s="4"/>
      <c r="AQ775" s="4"/>
      <c r="AR775" s="4"/>
      <c r="AS775" s="4"/>
      <c r="AT775" s="4"/>
      <c r="AU775" s="4"/>
      <c r="AV775" s="4"/>
      <c r="AW775" s="4"/>
      <c r="AX775" s="4"/>
      <c r="AY775" s="4"/>
      <c r="AZ775" s="4"/>
      <c r="BA775" s="4"/>
      <c r="BB775" s="4"/>
      <c r="BC775" s="5"/>
      <c r="BD775" s="4"/>
      <c r="BE775" s="4"/>
      <c r="BF775" s="4"/>
      <c r="BG775" s="4"/>
      <c r="BH775" s="4"/>
      <c r="BI775" s="4"/>
      <c r="BJ775" s="4"/>
      <c r="BK775" s="4"/>
      <c r="BL775" s="4"/>
      <c r="BM775" s="4"/>
      <c r="BN775" s="4"/>
      <c r="BO775" s="4"/>
      <c r="BP775" s="4"/>
      <c r="BQ775" s="4"/>
      <c r="BR775" s="4"/>
    </row>
    <row r="776" spans="1:70">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c r="AG776" s="4"/>
      <c r="AH776" s="4"/>
      <c r="AI776" s="4"/>
      <c r="AJ776" s="4"/>
      <c r="AK776" s="4"/>
      <c r="AL776" s="4"/>
      <c r="AM776" s="4"/>
      <c r="AN776" s="4"/>
      <c r="AO776" s="4"/>
      <c r="AP776" s="4"/>
      <c r="AQ776" s="4"/>
      <c r="AR776" s="4"/>
      <c r="AS776" s="4"/>
      <c r="AT776" s="4"/>
      <c r="AU776" s="4"/>
      <c r="AV776" s="4"/>
      <c r="AW776" s="4"/>
      <c r="AX776" s="4"/>
      <c r="AY776" s="4"/>
      <c r="AZ776" s="4"/>
      <c r="BA776" s="4"/>
      <c r="BB776" s="4"/>
      <c r="BC776" s="5"/>
      <c r="BD776" s="4"/>
      <c r="BE776" s="4"/>
      <c r="BF776" s="4"/>
      <c r="BG776" s="4"/>
      <c r="BH776" s="4"/>
      <c r="BI776" s="4"/>
      <c r="BJ776" s="4"/>
      <c r="BK776" s="4"/>
      <c r="BL776" s="4"/>
      <c r="BM776" s="4"/>
      <c r="BN776" s="4"/>
      <c r="BO776" s="4"/>
      <c r="BP776" s="4"/>
      <c r="BQ776" s="4"/>
      <c r="BR776" s="4"/>
    </row>
    <row r="777" spans="1:70">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c r="AG777" s="4"/>
      <c r="AH777" s="4"/>
      <c r="AI777" s="4"/>
      <c r="AJ777" s="4"/>
      <c r="AK777" s="4"/>
      <c r="AL777" s="4"/>
      <c r="AM777" s="4"/>
      <c r="AN777" s="4"/>
      <c r="AO777" s="4"/>
      <c r="AP777" s="4"/>
      <c r="AQ777" s="4"/>
      <c r="AR777" s="4"/>
      <c r="AS777" s="4"/>
      <c r="AT777" s="4"/>
      <c r="AU777" s="4"/>
      <c r="AV777" s="4"/>
      <c r="AW777" s="4"/>
      <c r="AX777" s="4"/>
      <c r="AY777" s="4"/>
      <c r="AZ777" s="4"/>
      <c r="BA777" s="4"/>
      <c r="BB777" s="4"/>
      <c r="BC777" s="5"/>
      <c r="BD777" s="4"/>
      <c r="BE777" s="4"/>
      <c r="BF777" s="4"/>
      <c r="BG777" s="4"/>
      <c r="BH777" s="4"/>
      <c r="BI777" s="4"/>
      <c r="BJ777" s="4"/>
      <c r="BK777" s="4"/>
      <c r="BL777" s="4"/>
      <c r="BM777" s="4"/>
      <c r="BN777" s="4"/>
      <c r="BO777" s="4"/>
      <c r="BP777" s="4"/>
      <c r="BQ777" s="4"/>
      <c r="BR777" s="4"/>
    </row>
    <row r="778" spans="1:70">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c r="AG778" s="4"/>
      <c r="AH778" s="4"/>
      <c r="AI778" s="4"/>
      <c r="AJ778" s="4"/>
      <c r="AK778" s="4"/>
      <c r="AL778" s="4"/>
      <c r="AM778" s="4"/>
      <c r="AN778" s="4"/>
      <c r="AO778" s="4"/>
      <c r="AP778" s="4"/>
      <c r="AQ778" s="4"/>
      <c r="AR778" s="4"/>
      <c r="AS778" s="4"/>
      <c r="AT778" s="4"/>
      <c r="AU778" s="4"/>
      <c r="AV778" s="4"/>
      <c r="AW778" s="4"/>
      <c r="AX778" s="4"/>
      <c r="AY778" s="4"/>
      <c r="AZ778" s="4"/>
      <c r="BA778" s="4"/>
      <c r="BB778" s="4"/>
      <c r="BC778" s="5"/>
      <c r="BD778" s="4"/>
      <c r="BE778" s="4"/>
      <c r="BF778" s="4"/>
      <c r="BG778" s="4"/>
      <c r="BH778" s="4"/>
      <c r="BI778" s="4"/>
      <c r="BJ778" s="4"/>
      <c r="BK778" s="4"/>
      <c r="BL778" s="4"/>
      <c r="BM778" s="4"/>
      <c r="BN778" s="4"/>
      <c r="BO778" s="4"/>
      <c r="BP778" s="4"/>
      <c r="BQ778" s="4"/>
      <c r="BR778" s="4"/>
    </row>
    <row r="779" spans="1:70">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c r="AG779" s="4"/>
      <c r="AH779" s="4"/>
      <c r="AI779" s="4"/>
      <c r="AJ779" s="4"/>
      <c r="AK779" s="4"/>
      <c r="AL779" s="4"/>
      <c r="AM779" s="4"/>
      <c r="AN779" s="4"/>
      <c r="AO779" s="4"/>
      <c r="AP779" s="4"/>
      <c r="AQ779" s="4"/>
      <c r="AR779" s="4"/>
      <c r="AS779" s="4"/>
      <c r="AT779" s="4"/>
      <c r="AU779" s="4"/>
      <c r="AV779" s="4"/>
      <c r="AW779" s="4"/>
      <c r="AX779" s="4"/>
      <c r="AY779" s="4"/>
      <c r="AZ779" s="4"/>
      <c r="BA779" s="4"/>
      <c r="BB779" s="4"/>
      <c r="BC779" s="5"/>
      <c r="BD779" s="4"/>
      <c r="BE779" s="4"/>
      <c r="BF779" s="4"/>
      <c r="BG779" s="4"/>
      <c r="BH779" s="4"/>
      <c r="BI779" s="4"/>
      <c r="BJ779" s="4"/>
      <c r="BK779" s="4"/>
      <c r="BL779" s="4"/>
      <c r="BM779" s="4"/>
      <c r="BN779" s="4"/>
      <c r="BO779" s="4"/>
      <c r="BP779" s="4"/>
      <c r="BQ779" s="4"/>
      <c r="BR779" s="4"/>
    </row>
    <row r="780" spans="1:7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c r="AG780" s="4"/>
      <c r="AH780" s="4"/>
      <c r="AI780" s="4"/>
      <c r="AJ780" s="4"/>
      <c r="AK780" s="4"/>
      <c r="AL780" s="4"/>
      <c r="AM780" s="4"/>
      <c r="AN780" s="4"/>
      <c r="AO780" s="4"/>
      <c r="AP780" s="4"/>
      <c r="AQ780" s="4"/>
      <c r="AR780" s="4"/>
      <c r="AS780" s="4"/>
      <c r="AT780" s="4"/>
      <c r="AU780" s="4"/>
      <c r="AV780" s="4"/>
      <c r="AW780" s="4"/>
      <c r="AX780" s="4"/>
      <c r="AY780" s="4"/>
      <c r="AZ780" s="4"/>
      <c r="BA780" s="4"/>
      <c r="BB780" s="4"/>
      <c r="BC780" s="5"/>
      <c r="BD780" s="4"/>
      <c r="BE780" s="4"/>
      <c r="BF780" s="4"/>
      <c r="BG780" s="4"/>
      <c r="BH780" s="4"/>
      <c r="BI780" s="4"/>
      <c r="BJ780" s="4"/>
      <c r="BK780" s="4"/>
      <c r="BL780" s="4"/>
      <c r="BM780" s="4"/>
      <c r="BN780" s="4"/>
      <c r="BO780" s="4"/>
      <c r="BP780" s="4"/>
      <c r="BQ780" s="4"/>
      <c r="BR780" s="4"/>
    </row>
    <row r="781" spans="1:70">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c r="AG781" s="4"/>
      <c r="AH781" s="4"/>
      <c r="AI781" s="4"/>
      <c r="AJ781" s="4"/>
      <c r="AK781" s="4"/>
      <c r="AL781" s="4"/>
      <c r="AM781" s="4"/>
      <c r="AN781" s="4"/>
      <c r="AO781" s="4"/>
      <c r="AP781" s="4"/>
      <c r="AQ781" s="4"/>
      <c r="AR781" s="4"/>
      <c r="AS781" s="4"/>
      <c r="AT781" s="4"/>
      <c r="AU781" s="4"/>
      <c r="AV781" s="4"/>
      <c r="AW781" s="4"/>
      <c r="AX781" s="4"/>
      <c r="AY781" s="4"/>
      <c r="AZ781" s="4"/>
      <c r="BA781" s="4"/>
      <c r="BB781" s="4"/>
      <c r="BC781" s="5"/>
      <c r="BD781" s="4"/>
      <c r="BE781" s="4"/>
      <c r="BF781" s="4"/>
      <c r="BG781" s="4"/>
      <c r="BH781" s="4"/>
      <c r="BI781" s="4"/>
      <c r="BJ781" s="4"/>
      <c r="BK781" s="4"/>
      <c r="BL781" s="4"/>
      <c r="BM781" s="4"/>
      <c r="BN781" s="4"/>
      <c r="BO781" s="4"/>
      <c r="BP781" s="4"/>
      <c r="BQ781" s="4"/>
      <c r="BR781" s="4"/>
    </row>
    <row r="782" spans="1:70">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c r="AG782" s="4"/>
      <c r="AH782" s="4"/>
      <c r="AI782" s="4"/>
      <c r="AJ782" s="4"/>
      <c r="AK782" s="4"/>
      <c r="AL782" s="4"/>
      <c r="AM782" s="4"/>
      <c r="AN782" s="4"/>
      <c r="AO782" s="4"/>
      <c r="AP782" s="4"/>
      <c r="AQ782" s="4"/>
      <c r="AR782" s="4"/>
      <c r="AS782" s="4"/>
      <c r="AT782" s="4"/>
      <c r="AU782" s="4"/>
      <c r="AV782" s="4"/>
      <c r="AW782" s="4"/>
      <c r="AX782" s="4"/>
      <c r="AY782" s="4"/>
      <c r="AZ782" s="4"/>
      <c r="BA782" s="4"/>
      <c r="BB782" s="4"/>
      <c r="BC782" s="5"/>
      <c r="BD782" s="4"/>
      <c r="BE782" s="4"/>
      <c r="BF782" s="4"/>
      <c r="BG782" s="4"/>
      <c r="BH782" s="4"/>
      <c r="BI782" s="4"/>
      <c r="BJ782" s="4"/>
      <c r="BK782" s="4"/>
      <c r="BL782" s="4"/>
      <c r="BM782" s="4"/>
      <c r="BN782" s="4"/>
      <c r="BO782" s="4"/>
      <c r="BP782" s="4"/>
      <c r="BQ782" s="4"/>
      <c r="BR782" s="4"/>
    </row>
    <row r="783" spans="1:70">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c r="AG783" s="4"/>
      <c r="AH783" s="4"/>
      <c r="AI783" s="4"/>
      <c r="AJ783" s="4"/>
      <c r="AK783" s="4"/>
      <c r="AL783" s="4"/>
      <c r="AM783" s="4"/>
      <c r="AN783" s="4"/>
      <c r="AO783" s="4"/>
      <c r="AP783" s="4"/>
      <c r="AQ783" s="4"/>
      <c r="AR783" s="4"/>
      <c r="AS783" s="4"/>
      <c r="AT783" s="4"/>
      <c r="AU783" s="4"/>
      <c r="AV783" s="4"/>
      <c r="AW783" s="4"/>
      <c r="AX783" s="4"/>
      <c r="AY783" s="4"/>
      <c r="AZ783" s="4"/>
      <c r="BA783" s="4"/>
      <c r="BB783" s="4"/>
      <c r="BC783" s="5"/>
      <c r="BD783" s="4"/>
      <c r="BE783" s="4"/>
      <c r="BF783" s="4"/>
      <c r="BG783" s="4"/>
      <c r="BH783" s="4"/>
      <c r="BI783" s="4"/>
      <c r="BJ783" s="4"/>
      <c r="BK783" s="4"/>
      <c r="BL783" s="4"/>
      <c r="BM783" s="4"/>
      <c r="BN783" s="4"/>
      <c r="BO783" s="4"/>
      <c r="BP783" s="4"/>
      <c r="BQ783" s="4"/>
      <c r="BR783" s="4"/>
    </row>
    <row r="784" spans="1:70">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c r="AG784" s="4"/>
      <c r="AH784" s="4"/>
      <c r="AI784" s="4"/>
      <c r="AJ784" s="4"/>
      <c r="AK784" s="4"/>
      <c r="AL784" s="4"/>
      <c r="AM784" s="4"/>
      <c r="AN784" s="4"/>
      <c r="AO784" s="4"/>
      <c r="AP784" s="4"/>
      <c r="AQ784" s="4"/>
      <c r="AR784" s="4"/>
      <c r="AS784" s="4"/>
      <c r="AT784" s="4"/>
      <c r="AU784" s="4"/>
      <c r="AV784" s="4"/>
      <c r="AW784" s="4"/>
      <c r="AX784" s="4"/>
      <c r="AY784" s="4"/>
      <c r="AZ784" s="4"/>
      <c r="BA784" s="4"/>
      <c r="BB784" s="4"/>
      <c r="BC784" s="5"/>
      <c r="BD784" s="4"/>
      <c r="BE784" s="4"/>
      <c r="BF784" s="4"/>
      <c r="BG784" s="4"/>
      <c r="BH784" s="4"/>
      <c r="BI784" s="4"/>
      <c r="BJ784" s="4"/>
      <c r="BK784" s="4"/>
      <c r="BL784" s="4"/>
      <c r="BM784" s="4"/>
      <c r="BN784" s="4"/>
      <c r="BO784" s="4"/>
      <c r="BP784" s="4"/>
      <c r="BQ784" s="4"/>
      <c r="BR784" s="4"/>
    </row>
    <row r="785" spans="1:70">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c r="AG785" s="4"/>
      <c r="AH785" s="4"/>
      <c r="AI785" s="4"/>
      <c r="AJ785" s="4"/>
      <c r="AK785" s="4"/>
      <c r="AL785" s="4"/>
      <c r="AM785" s="4"/>
      <c r="AN785" s="4"/>
      <c r="AO785" s="4"/>
      <c r="AP785" s="4"/>
      <c r="AQ785" s="4"/>
      <c r="AR785" s="4"/>
      <c r="AS785" s="4"/>
      <c r="AT785" s="4"/>
      <c r="AU785" s="4"/>
      <c r="AV785" s="4"/>
      <c r="AW785" s="4"/>
      <c r="AX785" s="4"/>
      <c r="AY785" s="4"/>
      <c r="AZ785" s="4"/>
      <c r="BA785" s="4"/>
      <c r="BB785" s="4"/>
      <c r="BC785" s="5"/>
      <c r="BD785" s="4"/>
      <c r="BE785" s="4"/>
      <c r="BF785" s="4"/>
      <c r="BG785" s="4"/>
      <c r="BH785" s="4"/>
      <c r="BI785" s="4"/>
      <c r="BJ785" s="4"/>
      <c r="BK785" s="4"/>
      <c r="BL785" s="4"/>
      <c r="BM785" s="4"/>
      <c r="BN785" s="4"/>
      <c r="BO785" s="4"/>
      <c r="BP785" s="4"/>
      <c r="BQ785" s="4"/>
      <c r="BR785" s="4"/>
    </row>
    <row r="786" spans="1:70">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c r="AG786" s="4"/>
      <c r="AH786" s="4"/>
      <c r="AI786" s="4"/>
      <c r="AJ786" s="4"/>
      <c r="AK786" s="4"/>
      <c r="AL786" s="4"/>
      <c r="AM786" s="4"/>
      <c r="AN786" s="4"/>
      <c r="AO786" s="4"/>
      <c r="AP786" s="4"/>
      <c r="AQ786" s="4"/>
      <c r="AR786" s="4"/>
      <c r="AS786" s="4"/>
      <c r="AT786" s="4"/>
      <c r="AU786" s="4"/>
      <c r="AV786" s="4"/>
      <c r="AW786" s="4"/>
      <c r="AX786" s="4"/>
      <c r="AY786" s="4"/>
      <c r="AZ786" s="4"/>
      <c r="BA786" s="4"/>
      <c r="BB786" s="4"/>
      <c r="BC786" s="5"/>
      <c r="BD786" s="4"/>
      <c r="BE786" s="4"/>
      <c r="BF786" s="4"/>
      <c r="BG786" s="4"/>
      <c r="BH786" s="4"/>
      <c r="BI786" s="4"/>
      <c r="BJ786" s="4"/>
      <c r="BK786" s="4"/>
      <c r="BL786" s="4"/>
      <c r="BM786" s="4"/>
      <c r="BN786" s="4"/>
      <c r="BO786" s="4"/>
      <c r="BP786" s="4"/>
      <c r="BQ786" s="4"/>
      <c r="BR786" s="4"/>
    </row>
    <row r="787" spans="1:70">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c r="AG787" s="4"/>
      <c r="AH787" s="4"/>
      <c r="AI787" s="4"/>
      <c r="AJ787" s="4"/>
      <c r="AK787" s="4"/>
      <c r="AL787" s="4"/>
      <c r="AM787" s="4"/>
      <c r="AN787" s="4"/>
      <c r="AO787" s="4"/>
      <c r="AP787" s="4"/>
      <c r="AQ787" s="4"/>
      <c r="AR787" s="4"/>
      <c r="AS787" s="4"/>
      <c r="AT787" s="4"/>
      <c r="AU787" s="4"/>
      <c r="AV787" s="4"/>
      <c r="AW787" s="4"/>
      <c r="AX787" s="4"/>
      <c r="AY787" s="4"/>
      <c r="AZ787" s="4"/>
      <c r="BA787" s="4"/>
      <c r="BB787" s="4"/>
      <c r="BC787" s="5"/>
      <c r="BD787" s="4"/>
      <c r="BE787" s="4"/>
      <c r="BF787" s="4"/>
      <c r="BG787" s="4"/>
      <c r="BH787" s="4"/>
      <c r="BI787" s="4"/>
      <c r="BJ787" s="4"/>
      <c r="BK787" s="4"/>
      <c r="BL787" s="4"/>
      <c r="BM787" s="4"/>
      <c r="BN787" s="4"/>
      <c r="BO787" s="4"/>
      <c r="BP787" s="4"/>
      <c r="BQ787" s="4"/>
      <c r="BR787" s="4"/>
    </row>
    <row r="788" spans="1:70">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c r="AG788" s="4"/>
      <c r="AH788" s="4"/>
      <c r="AI788" s="4"/>
      <c r="AJ788" s="4"/>
      <c r="AK788" s="4"/>
      <c r="AL788" s="4"/>
      <c r="AM788" s="4"/>
      <c r="AN788" s="4"/>
      <c r="AO788" s="4"/>
      <c r="AP788" s="4"/>
      <c r="AQ788" s="4"/>
      <c r="AR788" s="4"/>
      <c r="AS788" s="4"/>
      <c r="AT788" s="4"/>
      <c r="AU788" s="4"/>
      <c r="AV788" s="4"/>
      <c r="AW788" s="4"/>
      <c r="AX788" s="4"/>
      <c r="AY788" s="4"/>
      <c r="AZ788" s="4"/>
      <c r="BA788" s="4"/>
      <c r="BB788" s="4"/>
      <c r="BC788" s="5"/>
      <c r="BD788" s="4"/>
      <c r="BE788" s="4"/>
      <c r="BF788" s="4"/>
      <c r="BG788" s="4"/>
      <c r="BH788" s="4"/>
      <c r="BI788" s="4"/>
      <c r="BJ788" s="4"/>
      <c r="BK788" s="4"/>
      <c r="BL788" s="4"/>
      <c r="BM788" s="4"/>
      <c r="BN788" s="4"/>
      <c r="BO788" s="4"/>
      <c r="BP788" s="4"/>
      <c r="BQ788" s="4"/>
      <c r="BR788" s="4"/>
    </row>
    <row r="789" spans="1:70">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c r="AG789" s="4"/>
      <c r="AH789" s="4"/>
      <c r="AI789" s="4"/>
      <c r="AJ789" s="4"/>
      <c r="AK789" s="4"/>
      <c r="AL789" s="4"/>
      <c r="AM789" s="4"/>
      <c r="AN789" s="4"/>
      <c r="AO789" s="4"/>
      <c r="AP789" s="4"/>
      <c r="AQ789" s="4"/>
      <c r="AR789" s="4"/>
      <c r="AS789" s="4"/>
      <c r="AT789" s="4"/>
      <c r="AU789" s="4"/>
      <c r="AV789" s="4"/>
      <c r="AW789" s="4"/>
      <c r="AX789" s="4"/>
      <c r="AY789" s="4"/>
      <c r="AZ789" s="4"/>
      <c r="BA789" s="4"/>
      <c r="BB789" s="4"/>
      <c r="BC789" s="5"/>
      <c r="BD789" s="4"/>
      <c r="BE789" s="4"/>
      <c r="BF789" s="4"/>
      <c r="BG789" s="4"/>
      <c r="BH789" s="4"/>
      <c r="BI789" s="4"/>
      <c r="BJ789" s="4"/>
      <c r="BK789" s="4"/>
      <c r="BL789" s="4"/>
      <c r="BM789" s="4"/>
      <c r="BN789" s="4"/>
      <c r="BO789" s="4"/>
      <c r="BP789" s="4"/>
      <c r="BQ789" s="4"/>
      <c r="BR789" s="4"/>
    </row>
    <row r="790" spans="1:7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c r="AG790" s="4"/>
      <c r="AH790" s="4"/>
      <c r="AI790" s="4"/>
      <c r="AJ790" s="4"/>
      <c r="AK790" s="4"/>
      <c r="AL790" s="4"/>
      <c r="AM790" s="4"/>
      <c r="AN790" s="4"/>
      <c r="AO790" s="4"/>
      <c r="AP790" s="4"/>
      <c r="AQ790" s="4"/>
      <c r="AR790" s="4"/>
      <c r="AS790" s="4"/>
      <c r="AT790" s="4"/>
      <c r="AU790" s="4"/>
      <c r="AV790" s="4"/>
      <c r="AW790" s="4"/>
      <c r="AX790" s="4"/>
      <c r="AY790" s="4"/>
      <c r="AZ790" s="4"/>
      <c r="BA790" s="4"/>
      <c r="BB790" s="4"/>
      <c r="BC790" s="5"/>
      <c r="BD790" s="4"/>
      <c r="BE790" s="4"/>
      <c r="BF790" s="4"/>
      <c r="BG790" s="4"/>
      <c r="BH790" s="4"/>
      <c r="BI790" s="4"/>
      <c r="BJ790" s="4"/>
      <c r="BK790" s="4"/>
      <c r="BL790" s="4"/>
      <c r="BM790" s="4"/>
      <c r="BN790" s="4"/>
      <c r="BO790" s="4"/>
      <c r="BP790" s="4"/>
      <c r="BQ790" s="4"/>
      <c r="BR790" s="4"/>
    </row>
    <row r="791" spans="1:70">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c r="AG791" s="4"/>
      <c r="AH791" s="4"/>
      <c r="AI791" s="4"/>
      <c r="AJ791" s="4"/>
      <c r="AK791" s="4"/>
      <c r="AL791" s="4"/>
      <c r="AM791" s="4"/>
      <c r="AN791" s="4"/>
      <c r="AO791" s="4"/>
      <c r="AP791" s="4"/>
      <c r="AQ791" s="4"/>
      <c r="AR791" s="4"/>
      <c r="AS791" s="4"/>
      <c r="AT791" s="4"/>
      <c r="AU791" s="4"/>
      <c r="AV791" s="4"/>
      <c r="AW791" s="4"/>
      <c r="AX791" s="4"/>
      <c r="AY791" s="4"/>
      <c r="AZ791" s="4"/>
      <c r="BA791" s="4"/>
      <c r="BB791" s="4"/>
      <c r="BC791" s="5"/>
      <c r="BD791" s="4"/>
      <c r="BE791" s="4"/>
      <c r="BF791" s="4"/>
      <c r="BG791" s="4"/>
      <c r="BH791" s="4"/>
      <c r="BI791" s="4"/>
      <c r="BJ791" s="4"/>
      <c r="BK791" s="4"/>
      <c r="BL791" s="4"/>
      <c r="BM791" s="4"/>
      <c r="BN791" s="4"/>
      <c r="BO791" s="4"/>
      <c r="BP791" s="4"/>
      <c r="BQ791" s="4"/>
      <c r="BR791" s="4"/>
    </row>
    <row r="792" spans="1:70">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c r="AG792" s="4"/>
      <c r="AH792" s="4"/>
      <c r="AI792" s="4"/>
      <c r="AJ792" s="4"/>
      <c r="AK792" s="4"/>
      <c r="AL792" s="4"/>
      <c r="AM792" s="4"/>
      <c r="AN792" s="4"/>
      <c r="AO792" s="4"/>
      <c r="AP792" s="4"/>
      <c r="AQ792" s="4"/>
      <c r="AR792" s="4"/>
      <c r="AS792" s="4"/>
      <c r="AT792" s="4"/>
      <c r="AU792" s="4"/>
      <c r="AV792" s="4"/>
      <c r="AW792" s="4"/>
      <c r="AX792" s="4"/>
      <c r="AY792" s="4"/>
      <c r="AZ792" s="4"/>
      <c r="BA792" s="4"/>
      <c r="BB792" s="4"/>
      <c r="BC792" s="5"/>
      <c r="BD792" s="4"/>
      <c r="BE792" s="4"/>
      <c r="BF792" s="4"/>
      <c r="BG792" s="4"/>
      <c r="BH792" s="4"/>
      <c r="BI792" s="4"/>
      <c r="BJ792" s="4"/>
      <c r="BK792" s="4"/>
      <c r="BL792" s="4"/>
      <c r="BM792" s="4"/>
      <c r="BN792" s="4"/>
      <c r="BO792" s="4"/>
      <c r="BP792" s="4"/>
      <c r="BQ792" s="4"/>
      <c r="BR792" s="4"/>
    </row>
    <row r="793" spans="1:70">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c r="AG793" s="4"/>
      <c r="AH793" s="4"/>
      <c r="AI793" s="4"/>
      <c r="AJ793" s="4"/>
      <c r="AK793" s="4"/>
      <c r="AL793" s="4"/>
      <c r="AM793" s="4"/>
      <c r="AN793" s="4"/>
      <c r="AO793" s="4"/>
      <c r="AP793" s="4"/>
      <c r="AQ793" s="4"/>
      <c r="AR793" s="4"/>
      <c r="AS793" s="4"/>
      <c r="AT793" s="4"/>
      <c r="AU793" s="4"/>
      <c r="AV793" s="4"/>
      <c r="AW793" s="4"/>
      <c r="AX793" s="4"/>
      <c r="AY793" s="4"/>
      <c r="AZ793" s="4"/>
      <c r="BA793" s="4"/>
      <c r="BB793" s="4"/>
      <c r="BC793" s="5"/>
      <c r="BD793" s="4"/>
      <c r="BE793" s="4"/>
      <c r="BF793" s="4"/>
      <c r="BG793" s="4"/>
      <c r="BH793" s="4"/>
      <c r="BI793" s="4"/>
      <c r="BJ793" s="4"/>
      <c r="BK793" s="4"/>
      <c r="BL793" s="4"/>
      <c r="BM793" s="4"/>
      <c r="BN793" s="4"/>
      <c r="BO793" s="4"/>
      <c r="BP793" s="4"/>
      <c r="BQ793" s="4"/>
      <c r="BR793" s="4"/>
    </row>
    <row r="794" spans="1:70">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c r="AG794" s="4"/>
      <c r="AH794" s="4"/>
      <c r="AI794" s="4"/>
      <c r="AJ794" s="4"/>
      <c r="AK794" s="4"/>
      <c r="AL794" s="4"/>
      <c r="AM794" s="4"/>
      <c r="AN794" s="4"/>
      <c r="AO794" s="4"/>
      <c r="AP794" s="4"/>
      <c r="AQ794" s="4"/>
      <c r="AR794" s="4"/>
      <c r="AS794" s="4"/>
      <c r="AT794" s="4"/>
      <c r="AU794" s="4"/>
      <c r="AV794" s="4"/>
      <c r="AW794" s="4"/>
      <c r="AX794" s="4"/>
      <c r="AY794" s="4"/>
      <c r="AZ794" s="4"/>
      <c r="BA794" s="4"/>
      <c r="BB794" s="4"/>
      <c r="BC794" s="5"/>
      <c r="BD794" s="4"/>
      <c r="BE794" s="4"/>
      <c r="BF794" s="4"/>
      <c r="BG794" s="4"/>
      <c r="BH794" s="4"/>
      <c r="BI794" s="4"/>
      <c r="BJ794" s="4"/>
      <c r="BK794" s="4"/>
      <c r="BL794" s="4"/>
      <c r="BM794" s="4"/>
      <c r="BN794" s="4"/>
      <c r="BO794" s="4"/>
      <c r="BP794" s="4"/>
      <c r="BQ794" s="4"/>
      <c r="BR794" s="4"/>
    </row>
    <row r="795" spans="1:70">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c r="AG795" s="4"/>
      <c r="AH795" s="4"/>
      <c r="AI795" s="4"/>
      <c r="AJ795" s="4"/>
      <c r="AK795" s="4"/>
      <c r="AL795" s="4"/>
      <c r="AM795" s="4"/>
      <c r="AN795" s="4"/>
      <c r="AO795" s="4"/>
      <c r="AP795" s="4"/>
      <c r="AQ795" s="4"/>
      <c r="AR795" s="4"/>
      <c r="AS795" s="4"/>
      <c r="AT795" s="4"/>
      <c r="AU795" s="4"/>
      <c r="AV795" s="4"/>
      <c r="AW795" s="4"/>
      <c r="AX795" s="4"/>
      <c r="AY795" s="4"/>
      <c r="AZ795" s="4"/>
      <c r="BA795" s="4"/>
      <c r="BB795" s="4"/>
      <c r="BC795" s="5"/>
      <c r="BD795" s="4"/>
      <c r="BE795" s="4"/>
      <c r="BF795" s="4"/>
      <c r="BG795" s="4"/>
      <c r="BH795" s="4"/>
      <c r="BI795" s="4"/>
      <c r="BJ795" s="4"/>
      <c r="BK795" s="4"/>
      <c r="BL795" s="4"/>
      <c r="BM795" s="4"/>
      <c r="BN795" s="4"/>
      <c r="BO795" s="4"/>
      <c r="BP795" s="4"/>
      <c r="BQ795" s="4"/>
      <c r="BR795" s="4"/>
    </row>
    <row r="796" spans="1:70">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c r="AG796" s="4"/>
      <c r="AH796" s="4"/>
      <c r="AI796" s="4"/>
      <c r="AJ796" s="4"/>
      <c r="AK796" s="4"/>
      <c r="AL796" s="4"/>
      <c r="AM796" s="4"/>
      <c r="AN796" s="4"/>
      <c r="AO796" s="4"/>
      <c r="AP796" s="4"/>
      <c r="AQ796" s="4"/>
      <c r="AR796" s="4"/>
      <c r="AS796" s="4"/>
      <c r="AT796" s="4"/>
      <c r="AU796" s="4"/>
      <c r="AV796" s="4"/>
      <c r="AW796" s="4"/>
      <c r="AX796" s="4"/>
      <c r="AY796" s="4"/>
      <c r="AZ796" s="4"/>
      <c r="BA796" s="4"/>
      <c r="BB796" s="4"/>
      <c r="BC796" s="5"/>
      <c r="BD796" s="4"/>
      <c r="BE796" s="4"/>
      <c r="BF796" s="4"/>
      <c r="BG796" s="4"/>
      <c r="BH796" s="4"/>
      <c r="BI796" s="4"/>
      <c r="BJ796" s="4"/>
      <c r="BK796" s="4"/>
      <c r="BL796" s="4"/>
      <c r="BM796" s="4"/>
      <c r="BN796" s="4"/>
      <c r="BO796" s="4"/>
      <c r="BP796" s="4"/>
      <c r="BQ796" s="4"/>
      <c r="BR796" s="4"/>
    </row>
    <row r="797" spans="1:70">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c r="AG797" s="4"/>
      <c r="AH797" s="4"/>
      <c r="AI797" s="4"/>
      <c r="AJ797" s="4"/>
      <c r="AK797" s="4"/>
      <c r="AL797" s="4"/>
      <c r="AM797" s="4"/>
      <c r="AN797" s="4"/>
      <c r="AO797" s="4"/>
      <c r="AP797" s="4"/>
      <c r="AQ797" s="4"/>
      <c r="AR797" s="4"/>
      <c r="AS797" s="4"/>
      <c r="AT797" s="4"/>
      <c r="AU797" s="4"/>
      <c r="AV797" s="4"/>
      <c r="AW797" s="4"/>
      <c r="AX797" s="4"/>
      <c r="AY797" s="4"/>
      <c r="AZ797" s="4"/>
      <c r="BA797" s="4"/>
      <c r="BB797" s="4"/>
      <c r="BC797" s="5"/>
      <c r="BD797" s="4"/>
      <c r="BE797" s="4"/>
      <c r="BF797" s="4"/>
      <c r="BG797" s="4"/>
      <c r="BH797" s="4"/>
      <c r="BI797" s="4"/>
      <c r="BJ797" s="4"/>
      <c r="BK797" s="4"/>
      <c r="BL797" s="4"/>
      <c r="BM797" s="4"/>
      <c r="BN797" s="4"/>
      <c r="BO797" s="4"/>
      <c r="BP797" s="4"/>
      <c r="BQ797" s="4"/>
      <c r="BR797" s="4"/>
    </row>
    <row r="798" spans="1:70">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c r="AG798" s="4"/>
      <c r="AH798" s="4"/>
      <c r="AI798" s="4"/>
      <c r="AJ798" s="4"/>
      <c r="AK798" s="4"/>
      <c r="AL798" s="4"/>
      <c r="AM798" s="4"/>
      <c r="AN798" s="4"/>
      <c r="AO798" s="4"/>
      <c r="AP798" s="4"/>
      <c r="AQ798" s="4"/>
      <c r="AR798" s="4"/>
      <c r="AS798" s="4"/>
      <c r="AT798" s="4"/>
      <c r="AU798" s="4"/>
      <c r="AV798" s="4"/>
      <c r="AW798" s="4"/>
      <c r="AX798" s="4"/>
      <c r="AY798" s="4"/>
      <c r="AZ798" s="4"/>
      <c r="BA798" s="4"/>
      <c r="BB798" s="4"/>
      <c r="BC798" s="5"/>
      <c r="BD798" s="4"/>
      <c r="BE798" s="4"/>
      <c r="BF798" s="4"/>
      <c r="BG798" s="4"/>
      <c r="BH798" s="4"/>
      <c r="BI798" s="4"/>
      <c r="BJ798" s="4"/>
      <c r="BK798" s="4"/>
      <c r="BL798" s="4"/>
      <c r="BM798" s="4"/>
      <c r="BN798" s="4"/>
      <c r="BO798" s="4"/>
      <c r="BP798" s="4"/>
      <c r="BQ798" s="4"/>
      <c r="BR798" s="4"/>
    </row>
    <row r="799" spans="1:70">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c r="AG799" s="4"/>
      <c r="AH799" s="4"/>
      <c r="AI799" s="4"/>
      <c r="AJ799" s="4"/>
      <c r="AK799" s="4"/>
      <c r="AL799" s="4"/>
      <c r="AM799" s="4"/>
      <c r="AN799" s="4"/>
      <c r="AO799" s="4"/>
      <c r="AP799" s="4"/>
      <c r="AQ799" s="4"/>
      <c r="AR799" s="4"/>
      <c r="AS799" s="4"/>
      <c r="AT799" s="4"/>
      <c r="AU799" s="4"/>
      <c r="AV799" s="4"/>
      <c r="AW799" s="4"/>
      <c r="AX799" s="4"/>
      <c r="AY799" s="4"/>
      <c r="AZ799" s="4"/>
      <c r="BA799" s="4"/>
      <c r="BB799" s="4"/>
      <c r="BC799" s="5"/>
      <c r="BD799" s="4"/>
      <c r="BE799" s="4"/>
      <c r="BF799" s="4"/>
      <c r="BG799" s="4"/>
      <c r="BH799" s="4"/>
      <c r="BI799" s="4"/>
      <c r="BJ799" s="4"/>
      <c r="BK799" s="4"/>
      <c r="BL799" s="4"/>
      <c r="BM799" s="4"/>
      <c r="BN799" s="4"/>
      <c r="BO799" s="4"/>
      <c r="BP799" s="4"/>
      <c r="BQ799" s="4"/>
      <c r="BR799" s="4"/>
    </row>
    <row r="800" spans="1:7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c r="AG800" s="4"/>
      <c r="AH800" s="4"/>
      <c r="AI800" s="4"/>
      <c r="AJ800" s="4"/>
      <c r="AK800" s="4"/>
      <c r="AL800" s="4"/>
      <c r="AM800" s="4"/>
      <c r="AN800" s="4"/>
      <c r="AO800" s="4"/>
      <c r="AP800" s="4"/>
      <c r="AQ800" s="4"/>
      <c r="AR800" s="4"/>
      <c r="AS800" s="4"/>
      <c r="AT800" s="4"/>
      <c r="AU800" s="4"/>
      <c r="AV800" s="4"/>
      <c r="AW800" s="4"/>
      <c r="AX800" s="4"/>
      <c r="AY800" s="4"/>
      <c r="AZ800" s="4"/>
      <c r="BA800" s="4"/>
      <c r="BB800" s="4"/>
      <c r="BC800" s="5"/>
      <c r="BD800" s="4"/>
      <c r="BE800" s="4"/>
      <c r="BF800" s="4"/>
      <c r="BG800" s="4"/>
      <c r="BH800" s="4"/>
      <c r="BI800" s="4"/>
      <c r="BJ800" s="4"/>
      <c r="BK800" s="4"/>
      <c r="BL800" s="4"/>
      <c r="BM800" s="4"/>
      <c r="BN800" s="4"/>
      <c r="BO800" s="4"/>
      <c r="BP800" s="4"/>
      <c r="BQ800" s="4"/>
      <c r="BR800" s="4"/>
    </row>
    <row r="801" spans="1:70">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c r="AG801" s="4"/>
      <c r="AH801" s="4"/>
      <c r="AI801" s="4"/>
      <c r="AJ801" s="4"/>
      <c r="AK801" s="4"/>
      <c r="AL801" s="4"/>
      <c r="AM801" s="4"/>
      <c r="AN801" s="4"/>
      <c r="AO801" s="4"/>
      <c r="AP801" s="4"/>
      <c r="AQ801" s="4"/>
      <c r="AR801" s="4"/>
      <c r="AS801" s="4"/>
      <c r="AT801" s="4"/>
      <c r="AU801" s="4"/>
      <c r="AV801" s="4"/>
      <c r="AW801" s="4"/>
      <c r="AX801" s="4"/>
      <c r="AY801" s="4"/>
      <c r="AZ801" s="4"/>
      <c r="BA801" s="4"/>
      <c r="BB801" s="4"/>
      <c r="BC801" s="5"/>
      <c r="BD801" s="4"/>
      <c r="BE801" s="4"/>
      <c r="BF801" s="4"/>
      <c r="BG801" s="4"/>
      <c r="BH801" s="4"/>
      <c r="BI801" s="4"/>
      <c r="BJ801" s="4"/>
      <c r="BK801" s="4"/>
      <c r="BL801" s="4"/>
      <c r="BM801" s="4"/>
      <c r="BN801" s="4"/>
      <c r="BO801" s="4"/>
      <c r="BP801" s="4"/>
      <c r="BQ801" s="4"/>
      <c r="BR801" s="4"/>
    </row>
    <row r="802" spans="1:70">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c r="AG802" s="4"/>
      <c r="AH802" s="4"/>
      <c r="AI802" s="4"/>
      <c r="AJ802" s="4"/>
      <c r="AK802" s="4"/>
      <c r="AL802" s="4"/>
      <c r="AM802" s="4"/>
      <c r="AN802" s="4"/>
      <c r="AO802" s="4"/>
      <c r="AP802" s="4"/>
      <c r="AQ802" s="4"/>
      <c r="AR802" s="4"/>
      <c r="AS802" s="4"/>
      <c r="AT802" s="4"/>
      <c r="AU802" s="4"/>
      <c r="AV802" s="4"/>
      <c r="AW802" s="4"/>
      <c r="AX802" s="4"/>
      <c r="AY802" s="4"/>
      <c r="AZ802" s="4"/>
      <c r="BA802" s="4"/>
      <c r="BB802" s="4"/>
      <c r="BC802" s="5"/>
      <c r="BD802" s="4"/>
      <c r="BE802" s="4"/>
      <c r="BF802" s="4"/>
      <c r="BG802" s="4"/>
      <c r="BH802" s="4"/>
      <c r="BI802" s="4"/>
      <c r="BJ802" s="4"/>
      <c r="BK802" s="4"/>
      <c r="BL802" s="4"/>
      <c r="BM802" s="4"/>
      <c r="BN802" s="4"/>
      <c r="BO802" s="4"/>
      <c r="BP802" s="4"/>
      <c r="BQ802" s="4"/>
      <c r="BR802" s="4"/>
    </row>
    <row r="803" spans="1:70">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c r="AG803" s="4"/>
      <c r="AH803" s="4"/>
      <c r="AI803" s="4"/>
      <c r="AJ803" s="4"/>
      <c r="AK803" s="4"/>
      <c r="AL803" s="4"/>
      <c r="AM803" s="4"/>
      <c r="AN803" s="4"/>
      <c r="AO803" s="4"/>
      <c r="AP803" s="4"/>
      <c r="AQ803" s="4"/>
      <c r="AR803" s="4"/>
      <c r="AS803" s="4"/>
      <c r="AT803" s="4"/>
      <c r="AU803" s="4"/>
      <c r="AV803" s="4"/>
      <c r="AW803" s="4"/>
      <c r="AX803" s="4"/>
      <c r="AY803" s="4"/>
      <c r="AZ803" s="4"/>
      <c r="BA803" s="4"/>
      <c r="BB803" s="4"/>
      <c r="BC803" s="5"/>
      <c r="BD803" s="4"/>
      <c r="BE803" s="4"/>
      <c r="BF803" s="4"/>
      <c r="BG803" s="4"/>
      <c r="BH803" s="4"/>
      <c r="BI803" s="4"/>
      <c r="BJ803" s="4"/>
      <c r="BK803" s="4"/>
      <c r="BL803" s="4"/>
      <c r="BM803" s="4"/>
      <c r="BN803" s="4"/>
      <c r="BO803" s="4"/>
      <c r="BP803" s="4"/>
      <c r="BQ803" s="4"/>
      <c r="BR803" s="4"/>
    </row>
    <row r="804" spans="1:70">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c r="AG804" s="4"/>
      <c r="AH804" s="4"/>
      <c r="AI804" s="4"/>
      <c r="AJ804" s="4"/>
      <c r="AK804" s="4"/>
      <c r="AL804" s="4"/>
      <c r="AM804" s="4"/>
      <c r="AN804" s="4"/>
      <c r="AO804" s="4"/>
      <c r="AP804" s="4"/>
      <c r="AQ804" s="4"/>
      <c r="AR804" s="4"/>
      <c r="AS804" s="4"/>
      <c r="AT804" s="4"/>
      <c r="AU804" s="4"/>
      <c r="AV804" s="4"/>
      <c r="AW804" s="4"/>
      <c r="AX804" s="4"/>
      <c r="AY804" s="4"/>
      <c r="AZ804" s="4"/>
      <c r="BA804" s="4"/>
      <c r="BB804" s="4"/>
      <c r="BC804" s="5"/>
      <c r="BD804" s="4"/>
      <c r="BE804" s="4"/>
      <c r="BF804" s="4"/>
      <c r="BG804" s="4"/>
      <c r="BH804" s="4"/>
      <c r="BI804" s="4"/>
      <c r="BJ804" s="4"/>
      <c r="BK804" s="4"/>
      <c r="BL804" s="4"/>
      <c r="BM804" s="4"/>
      <c r="BN804" s="4"/>
      <c r="BO804" s="4"/>
      <c r="BP804" s="4"/>
      <c r="BQ804" s="4"/>
      <c r="BR804" s="4"/>
    </row>
    <row r="805" spans="1:70">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c r="AG805" s="4"/>
      <c r="AH805" s="4"/>
      <c r="AI805" s="4"/>
      <c r="AJ805" s="4"/>
      <c r="AK805" s="4"/>
      <c r="AL805" s="4"/>
      <c r="AM805" s="4"/>
      <c r="AN805" s="4"/>
      <c r="AO805" s="4"/>
      <c r="AP805" s="4"/>
      <c r="AQ805" s="4"/>
      <c r="AR805" s="4"/>
      <c r="AS805" s="4"/>
      <c r="AT805" s="4"/>
      <c r="AU805" s="4"/>
      <c r="AV805" s="4"/>
      <c r="AW805" s="4"/>
      <c r="AX805" s="4"/>
      <c r="AY805" s="4"/>
      <c r="AZ805" s="4"/>
      <c r="BA805" s="4"/>
      <c r="BB805" s="4"/>
      <c r="BC805" s="5"/>
      <c r="BD805" s="4"/>
      <c r="BE805" s="4"/>
      <c r="BF805" s="4"/>
      <c r="BG805" s="4"/>
      <c r="BH805" s="4"/>
      <c r="BI805" s="4"/>
      <c r="BJ805" s="4"/>
      <c r="BK805" s="4"/>
      <c r="BL805" s="4"/>
      <c r="BM805" s="4"/>
      <c r="BN805" s="4"/>
      <c r="BO805" s="4"/>
      <c r="BP805" s="4"/>
      <c r="BQ805" s="4"/>
      <c r="BR805" s="4"/>
    </row>
    <row r="806" spans="1:70">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c r="AG806" s="4"/>
      <c r="AH806" s="4"/>
      <c r="AI806" s="4"/>
      <c r="AJ806" s="4"/>
      <c r="AK806" s="4"/>
      <c r="AL806" s="4"/>
      <c r="AM806" s="4"/>
      <c r="AN806" s="4"/>
      <c r="AO806" s="4"/>
      <c r="AP806" s="4"/>
      <c r="AQ806" s="4"/>
      <c r="AR806" s="4"/>
      <c r="AS806" s="4"/>
      <c r="AT806" s="4"/>
      <c r="AU806" s="4"/>
      <c r="AV806" s="4"/>
      <c r="AW806" s="4"/>
      <c r="AX806" s="4"/>
      <c r="AY806" s="4"/>
      <c r="AZ806" s="4"/>
      <c r="BA806" s="4"/>
      <c r="BB806" s="4"/>
      <c r="BC806" s="5"/>
      <c r="BD806" s="4"/>
      <c r="BE806" s="4"/>
      <c r="BF806" s="4"/>
      <c r="BG806" s="4"/>
      <c r="BH806" s="4"/>
      <c r="BI806" s="4"/>
      <c r="BJ806" s="4"/>
      <c r="BK806" s="4"/>
      <c r="BL806" s="4"/>
      <c r="BM806" s="4"/>
      <c r="BN806" s="4"/>
      <c r="BO806" s="4"/>
      <c r="BP806" s="4"/>
      <c r="BQ806" s="4"/>
      <c r="BR806" s="4"/>
    </row>
    <row r="807" spans="1:70">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c r="AG807" s="4"/>
      <c r="AH807" s="4"/>
      <c r="AI807" s="4"/>
      <c r="AJ807" s="4"/>
      <c r="AK807" s="4"/>
      <c r="AL807" s="4"/>
      <c r="AM807" s="4"/>
      <c r="AN807" s="4"/>
      <c r="AO807" s="4"/>
      <c r="AP807" s="4"/>
      <c r="AQ807" s="4"/>
      <c r="AR807" s="4"/>
      <c r="AS807" s="4"/>
      <c r="AT807" s="4"/>
      <c r="AU807" s="4"/>
      <c r="AV807" s="4"/>
      <c r="AW807" s="4"/>
      <c r="AX807" s="4"/>
      <c r="AY807" s="4"/>
      <c r="AZ807" s="4"/>
      <c r="BA807" s="4"/>
      <c r="BB807" s="4"/>
      <c r="BC807" s="5"/>
      <c r="BD807" s="4"/>
      <c r="BE807" s="4"/>
      <c r="BF807" s="4"/>
      <c r="BG807" s="4"/>
      <c r="BH807" s="4"/>
      <c r="BI807" s="4"/>
      <c r="BJ807" s="4"/>
      <c r="BK807" s="4"/>
      <c r="BL807" s="4"/>
      <c r="BM807" s="4"/>
      <c r="BN807" s="4"/>
      <c r="BO807" s="4"/>
      <c r="BP807" s="4"/>
      <c r="BQ807" s="4"/>
      <c r="BR807" s="4"/>
    </row>
    <row r="808" spans="1:70">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c r="AG808" s="4"/>
      <c r="AH808" s="4"/>
      <c r="AI808" s="4"/>
      <c r="AJ808" s="4"/>
      <c r="AK808" s="4"/>
      <c r="AL808" s="4"/>
      <c r="AM808" s="4"/>
      <c r="AN808" s="4"/>
      <c r="AO808" s="4"/>
      <c r="AP808" s="4"/>
      <c r="AQ808" s="4"/>
      <c r="AR808" s="4"/>
      <c r="AS808" s="4"/>
      <c r="AT808" s="4"/>
      <c r="AU808" s="4"/>
      <c r="AV808" s="4"/>
      <c r="AW808" s="4"/>
      <c r="AX808" s="4"/>
      <c r="AY808" s="4"/>
      <c r="AZ808" s="4"/>
      <c r="BA808" s="4"/>
      <c r="BB808" s="4"/>
      <c r="BC808" s="5"/>
      <c r="BD808" s="4"/>
      <c r="BE808" s="4"/>
      <c r="BF808" s="4"/>
      <c r="BG808" s="4"/>
      <c r="BH808" s="4"/>
      <c r="BI808" s="4"/>
      <c r="BJ808" s="4"/>
      <c r="BK808" s="4"/>
      <c r="BL808" s="4"/>
      <c r="BM808" s="4"/>
      <c r="BN808" s="4"/>
      <c r="BO808" s="4"/>
      <c r="BP808" s="4"/>
      <c r="BQ808" s="4"/>
      <c r="BR808" s="4"/>
    </row>
    <row r="809" spans="1:70">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c r="AG809" s="4"/>
      <c r="AH809" s="4"/>
      <c r="AI809" s="4"/>
      <c r="AJ809" s="4"/>
      <c r="AK809" s="4"/>
      <c r="AL809" s="4"/>
      <c r="AM809" s="4"/>
      <c r="AN809" s="4"/>
      <c r="AO809" s="4"/>
      <c r="AP809" s="4"/>
      <c r="AQ809" s="4"/>
      <c r="AR809" s="4"/>
      <c r="AS809" s="4"/>
      <c r="AT809" s="4"/>
      <c r="AU809" s="4"/>
      <c r="AV809" s="4"/>
      <c r="AW809" s="4"/>
      <c r="AX809" s="4"/>
      <c r="AY809" s="4"/>
      <c r="AZ809" s="4"/>
      <c r="BA809" s="4"/>
      <c r="BB809" s="4"/>
      <c r="BC809" s="5"/>
      <c r="BD809" s="4"/>
      <c r="BE809" s="4"/>
      <c r="BF809" s="4"/>
      <c r="BG809" s="4"/>
      <c r="BH809" s="4"/>
      <c r="BI809" s="4"/>
      <c r="BJ809" s="4"/>
      <c r="BK809" s="4"/>
      <c r="BL809" s="4"/>
      <c r="BM809" s="4"/>
      <c r="BN809" s="4"/>
      <c r="BO809" s="4"/>
      <c r="BP809" s="4"/>
      <c r="BQ809" s="4"/>
      <c r="BR809" s="4"/>
    </row>
    <row r="810" spans="1:7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c r="AG810" s="4"/>
      <c r="AH810" s="4"/>
      <c r="AI810" s="4"/>
      <c r="AJ810" s="4"/>
      <c r="AK810" s="4"/>
      <c r="AL810" s="4"/>
      <c r="AM810" s="4"/>
      <c r="AN810" s="4"/>
      <c r="AO810" s="4"/>
      <c r="AP810" s="4"/>
      <c r="AQ810" s="4"/>
      <c r="AR810" s="4"/>
      <c r="AS810" s="4"/>
      <c r="AT810" s="4"/>
      <c r="AU810" s="4"/>
      <c r="AV810" s="4"/>
      <c r="AW810" s="4"/>
      <c r="AX810" s="4"/>
      <c r="AY810" s="4"/>
      <c r="AZ810" s="4"/>
      <c r="BA810" s="4"/>
      <c r="BB810" s="4"/>
      <c r="BC810" s="5"/>
      <c r="BD810" s="4"/>
      <c r="BE810" s="4"/>
      <c r="BF810" s="4"/>
      <c r="BG810" s="4"/>
      <c r="BH810" s="4"/>
      <c r="BI810" s="4"/>
      <c r="BJ810" s="4"/>
      <c r="BK810" s="4"/>
      <c r="BL810" s="4"/>
      <c r="BM810" s="4"/>
      <c r="BN810" s="4"/>
      <c r="BO810" s="4"/>
      <c r="BP810" s="4"/>
      <c r="BQ810" s="4"/>
      <c r="BR810" s="4"/>
    </row>
    <row r="811" spans="1:70">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c r="AG811" s="4"/>
      <c r="AH811" s="4"/>
      <c r="AI811" s="4"/>
      <c r="AJ811" s="4"/>
      <c r="AK811" s="4"/>
      <c r="AL811" s="4"/>
      <c r="AM811" s="4"/>
      <c r="AN811" s="4"/>
      <c r="AO811" s="4"/>
      <c r="AP811" s="4"/>
      <c r="AQ811" s="4"/>
      <c r="AR811" s="4"/>
      <c r="AS811" s="4"/>
      <c r="AT811" s="4"/>
      <c r="AU811" s="4"/>
      <c r="AV811" s="4"/>
      <c r="AW811" s="4"/>
      <c r="AX811" s="4"/>
      <c r="AY811" s="4"/>
      <c r="AZ811" s="4"/>
      <c r="BA811" s="4"/>
      <c r="BB811" s="4"/>
      <c r="BC811" s="5"/>
      <c r="BD811" s="4"/>
      <c r="BE811" s="4"/>
      <c r="BF811" s="4"/>
      <c r="BG811" s="4"/>
      <c r="BH811" s="4"/>
      <c r="BI811" s="4"/>
      <c r="BJ811" s="4"/>
      <c r="BK811" s="4"/>
      <c r="BL811" s="4"/>
      <c r="BM811" s="4"/>
      <c r="BN811" s="4"/>
      <c r="BO811" s="4"/>
      <c r="BP811" s="4"/>
      <c r="BQ811" s="4"/>
      <c r="BR811" s="4"/>
    </row>
    <row r="812" spans="1:70">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c r="AG812" s="4"/>
      <c r="AH812" s="4"/>
      <c r="AI812" s="4"/>
      <c r="AJ812" s="4"/>
      <c r="AK812" s="4"/>
      <c r="AL812" s="4"/>
      <c r="AM812" s="4"/>
      <c r="AN812" s="4"/>
      <c r="AO812" s="4"/>
      <c r="AP812" s="4"/>
      <c r="AQ812" s="4"/>
      <c r="AR812" s="4"/>
      <c r="AS812" s="4"/>
      <c r="AT812" s="4"/>
      <c r="AU812" s="4"/>
      <c r="AV812" s="4"/>
      <c r="AW812" s="4"/>
      <c r="AX812" s="4"/>
      <c r="AY812" s="4"/>
      <c r="AZ812" s="4"/>
      <c r="BA812" s="4"/>
      <c r="BB812" s="4"/>
      <c r="BC812" s="5"/>
      <c r="BD812" s="4"/>
      <c r="BE812" s="4"/>
      <c r="BF812" s="4"/>
      <c r="BG812" s="4"/>
      <c r="BH812" s="4"/>
      <c r="BI812" s="4"/>
      <c r="BJ812" s="4"/>
      <c r="BK812" s="4"/>
      <c r="BL812" s="4"/>
      <c r="BM812" s="4"/>
      <c r="BN812" s="4"/>
      <c r="BO812" s="4"/>
      <c r="BP812" s="4"/>
      <c r="BQ812" s="4"/>
      <c r="BR812" s="4"/>
    </row>
    <row r="813" spans="1:70">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c r="AG813" s="4"/>
      <c r="AH813" s="4"/>
      <c r="AI813" s="4"/>
      <c r="AJ813" s="4"/>
      <c r="AK813" s="4"/>
      <c r="AL813" s="4"/>
      <c r="AM813" s="4"/>
      <c r="AN813" s="4"/>
      <c r="AO813" s="4"/>
      <c r="AP813" s="4"/>
      <c r="AQ813" s="4"/>
      <c r="AR813" s="4"/>
      <c r="AS813" s="4"/>
      <c r="AT813" s="4"/>
      <c r="AU813" s="4"/>
      <c r="AV813" s="4"/>
      <c r="AW813" s="4"/>
      <c r="AX813" s="4"/>
      <c r="AY813" s="4"/>
      <c r="AZ813" s="4"/>
      <c r="BA813" s="4"/>
      <c r="BB813" s="4"/>
      <c r="BC813" s="5"/>
      <c r="BD813" s="4"/>
      <c r="BE813" s="4"/>
      <c r="BF813" s="4"/>
      <c r="BG813" s="4"/>
      <c r="BH813" s="4"/>
      <c r="BI813" s="4"/>
      <c r="BJ813" s="4"/>
      <c r="BK813" s="4"/>
      <c r="BL813" s="4"/>
      <c r="BM813" s="4"/>
      <c r="BN813" s="4"/>
      <c r="BO813" s="4"/>
      <c r="BP813" s="4"/>
      <c r="BQ813" s="4"/>
      <c r="BR813" s="4"/>
    </row>
    <row r="814" spans="1:70">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c r="AG814" s="4"/>
      <c r="AH814" s="4"/>
      <c r="AI814" s="4"/>
      <c r="AJ814" s="4"/>
      <c r="AK814" s="4"/>
      <c r="AL814" s="4"/>
      <c r="AM814" s="4"/>
      <c r="AN814" s="4"/>
      <c r="AO814" s="4"/>
      <c r="AP814" s="4"/>
      <c r="AQ814" s="4"/>
      <c r="AR814" s="4"/>
      <c r="AS814" s="4"/>
      <c r="AT814" s="4"/>
      <c r="AU814" s="4"/>
      <c r="AV814" s="4"/>
      <c r="AW814" s="4"/>
      <c r="AX814" s="4"/>
      <c r="AY814" s="4"/>
      <c r="AZ814" s="4"/>
      <c r="BA814" s="4"/>
      <c r="BB814" s="4"/>
      <c r="BC814" s="5"/>
      <c r="BD814" s="4"/>
      <c r="BE814" s="4"/>
      <c r="BF814" s="4"/>
      <c r="BG814" s="4"/>
      <c r="BH814" s="4"/>
      <c r="BI814" s="4"/>
      <c r="BJ814" s="4"/>
      <c r="BK814" s="4"/>
      <c r="BL814" s="4"/>
      <c r="BM814" s="4"/>
      <c r="BN814" s="4"/>
      <c r="BO814" s="4"/>
      <c r="BP814" s="4"/>
      <c r="BQ814" s="4"/>
      <c r="BR814" s="4"/>
    </row>
    <row r="815" spans="1:70">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c r="AG815" s="4"/>
      <c r="AH815" s="4"/>
      <c r="AI815" s="4"/>
      <c r="AJ815" s="4"/>
      <c r="AK815" s="4"/>
      <c r="AL815" s="4"/>
      <c r="AM815" s="4"/>
      <c r="AN815" s="4"/>
      <c r="AO815" s="4"/>
      <c r="AP815" s="4"/>
      <c r="AQ815" s="4"/>
      <c r="AR815" s="4"/>
      <c r="AS815" s="4"/>
      <c r="AT815" s="4"/>
      <c r="AU815" s="4"/>
      <c r="AV815" s="4"/>
      <c r="AW815" s="4"/>
      <c r="AX815" s="4"/>
      <c r="AY815" s="4"/>
      <c r="AZ815" s="4"/>
      <c r="BA815" s="4"/>
      <c r="BB815" s="4"/>
      <c r="BC815" s="5"/>
      <c r="BD815" s="4"/>
      <c r="BE815" s="4"/>
      <c r="BF815" s="4"/>
      <c r="BG815" s="4"/>
      <c r="BH815" s="4"/>
      <c r="BI815" s="4"/>
      <c r="BJ815" s="4"/>
      <c r="BK815" s="4"/>
      <c r="BL815" s="4"/>
      <c r="BM815" s="4"/>
      <c r="BN815" s="4"/>
      <c r="BO815" s="4"/>
      <c r="BP815" s="4"/>
      <c r="BQ815" s="4"/>
      <c r="BR815" s="4"/>
    </row>
    <row r="816" spans="1:70">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c r="AG816" s="4"/>
      <c r="AH816" s="4"/>
      <c r="AI816" s="4"/>
      <c r="AJ816" s="4"/>
      <c r="AK816" s="4"/>
      <c r="AL816" s="4"/>
      <c r="AM816" s="4"/>
      <c r="AN816" s="4"/>
      <c r="AO816" s="4"/>
      <c r="AP816" s="4"/>
      <c r="AQ816" s="4"/>
      <c r="AR816" s="4"/>
      <c r="AS816" s="4"/>
      <c r="AT816" s="4"/>
      <c r="AU816" s="4"/>
      <c r="AV816" s="4"/>
      <c r="AW816" s="4"/>
      <c r="AX816" s="4"/>
      <c r="AY816" s="4"/>
      <c r="AZ816" s="4"/>
      <c r="BA816" s="4"/>
      <c r="BB816" s="4"/>
      <c r="BC816" s="5"/>
      <c r="BD816" s="4"/>
      <c r="BE816" s="4"/>
      <c r="BF816" s="4"/>
      <c r="BG816" s="4"/>
      <c r="BH816" s="4"/>
      <c r="BI816" s="4"/>
      <c r="BJ816" s="4"/>
      <c r="BK816" s="4"/>
      <c r="BL816" s="4"/>
      <c r="BM816" s="4"/>
      <c r="BN816" s="4"/>
      <c r="BO816" s="4"/>
      <c r="BP816" s="4"/>
      <c r="BQ816" s="4"/>
      <c r="BR816" s="4"/>
    </row>
    <row r="817" spans="1:70">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c r="AG817" s="4"/>
      <c r="AH817" s="4"/>
      <c r="AI817" s="4"/>
      <c r="AJ817" s="4"/>
      <c r="AK817" s="4"/>
      <c r="AL817" s="4"/>
      <c r="AM817" s="4"/>
      <c r="AN817" s="4"/>
      <c r="AO817" s="4"/>
      <c r="AP817" s="4"/>
      <c r="AQ817" s="4"/>
      <c r="AR817" s="4"/>
      <c r="AS817" s="4"/>
      <c r="AT817" s="4"/>
      <c r="AU817" s="4"/>
      <c r="AV817" s="4"/>
      <c r="AW817" s="4"/>
      <c r="AX817" s="4"/>
      <c r="AY817" s="4"/>
      <c r="AZ817" s="4"/>
      <c r="BA817" s="4"/>
      <c r="BB817" s="4"/>
      <c r="BC817" s="5"/>
      <c r="BD817" s="4"/>
      <c r="BE817" s="4"/>
      <c r="BF817" s="4"/>
      <c r="BG817" s="4"/>
      <c r="BH817" s="4"/>
      <c r="BI817" s="4"/>
      <c r="BJ817" s="4"/>
      <c r="BK817" s="4"/>
      <c r="BL817" s="4"/>
      <c r="BM817" s="4"/>
      <c r="BN817" s="4"/>
      <c r="BO817" s="4"/>
      <c r="BP817" s="4"/>
      <c r="BQ817" s="4"/>
      <c r="BR817" s="4"/>
    </row>
    <row r="818" spans="1:70">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c r="AG818" s="4"/>
      <c r="AH818" s="4"/>
      <c r="AI818" s="4"/>
      <c r="AJ818" s="4"/>
      <c r="AK818" s="4"/>
      <c r="AL818" s="4"/>
      <c r="AM818" s="4"/>
      <c r="AN818" s="4"/>
      <c r="AO818" s="4"/>
      <c r="AP818" s="4"/>
      <c r="AQ818" s="4"/>
      <c r="AR818" s="4"/>
      <c r="AS818" s="4"/>
      <c r="AT818" s="4"/>
      <c r="AU818" s="4"/>
      <c r="AV818" s="4"/>
      <c r="AW818" s="4"/>
      <c r="AX818" s="4"/>
      <c r="AY818" s="4"/>
      <c r="AZ818" s="4"/>
      <c r="BA818" s="4"/>
      <c r="BB818" s="4"/>
      <c r="BC818" s="5"/>
      <c r="BD818" s="4"/>
      <c r="BE818" s="4"/>
      <c r="BF818" s="4"/>
      <c r="BG818" s="4"/>
      <c r="BH818" s="4"/>
      <c r="BI818" s="4"/>
      <c r="BJ818" s="4"/>
      <c r="BK818" s="4"/>
      <c r="BL818" s="4"/>
      <c r="BM818" s="4"/>
      <c r="BN818" s="4"/>
      <c r="BO818" s="4"/>
      <c r="BP818" s="4"/>
      <c r="BQ818" s="4"/>
      <c r="BR818" s="4"/>
    </row>
    <row r="819" spans="1:70">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c r="AG819" s="4"/>
      <c r="AH819" s="4"/>
      <c r="AI819" s="4"/>
      <c r="AJ819" s="4"/>
      <c r="AK819" s="4"/>
      <c r="AL819" s="4"/>
      <c r="AM819" s="4"/>
      <c r="AN819" s="4"/>
      <c r="AO819" s="4"/>
      <c r="AP819" s="4"/>
      <c r="AQ819" s="4"/>
      <c r="AR819" s="4"/>
      <c r="AS819" s="4"/>
      <c r="AT819" s="4"/>
      <c r="AU819" s="4"/>
      <c r="AV819" s="4"/>
      <c r="AW819" s="4"/>
      <c r="AX819" s="4"/>
      <c r="AY819" s="4"/>
      <c r="AZ819" s="4"/>
      <c r="BA819" s="4"/>
      <c r="BB819" s="4"/>
      <c r="BC819" s="5"/>
      <c r="BD819" s="4"/>
      <c r="BE819" s="4"/>
      <c r="BF819" s="4"/>
      <c r="BG819" s="4"/>
      <c r="BH819" s="4"/>
      <c r="BI819" s="4"/>
      <c r="BJ819" s="4"/>
      <c r="BK819" s="4"/>
      <c r="BL819" s="4"/>
      <c r="BM819" s="4"/>
      <c r="BN819" s="4"/>
      <c r="BO819" s="4"/>
      <c r="BP819" s="4"/>
      <c r="BQ819" s="4"/>
      <c r="BR819" s="4"/>
    </row>
    <row r="820" spans="1:7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c r="AG820" s="4"/>
      <c r="AH820" s="4"/>
      <c r="AI820" s="4"/>
      <c r="AJ820" s="4"/>
      <c r="AK820" s="4"/>
      <c r="AL820" s="4"/>
      <c r="AM820" s="4"/>
      <c r="AN820" s="4"/>
      <c r="AO820" s="4"/>
      <c r="AP820" s="4"/>
      <c r="AQ820" s="4"/>
      <c r="AR820" s="4"/>
      <c r="AS820" s="4"/>
      <c r="AT820" s="4"/>
      <c r="AU820" s="4"/>
      <c r="AV820" s="4"/>
      <c r="AW820" s="4"/>
      <c r="AX820" s="4"/>
      <c r="AY820" s="4"/>
      <c r="AZ820" s="4"/>
      <c r="BA820" s="4"/>
      <c r="BB820" s="4"/>
      <c r="BC820" s="5"/>
      <c r="BD820" s="4"/>
      <c r="BE820" s="4"/>
      <c r="BF820" s="4"/>
      <c r="BG820" s="4"/>
      <c r="BH820" s="4"/>
      <c r="BI820" s="4"/>
      <c r="BJ820" s="4"/>
      <c r="BK820" s="4"/>
      <c r="BL820" s="4"/>
      <c r="BM820" s="4"/>
      <c r="BN820" s="4"/>
      <c r="BO820" s="4"/>
      <c r="BP820" s="4"/>
      <c r="BQ820" s="4"/>
      <c r="BR820" s="4"/>
    </row>
    <row r="821" spans="1:70">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c r="AG821" s="4"/>
      <c r="AH821" s="4"/>
      <c r="AI821" s="4"/>
      <c r="AJ821" s="4"/>
      <c r="AK821" s="4"/>
      <c r="AL821" s="4"/>
      <c r="AM821" s="4"/>
      <c r="AN821" s="4"/>
      <c r="AO821" s="4"/>
      <c r="AP821" s="4"/>
      <c r="AQ821" s="4"/>
      <c r="AR821" s="4"/>
      <c r="AS821" s="4"/>
      <c r="AT821" s="4"/>
      <c r="AU821" s="4"/>
      <c r="AV821" s="4"/>
      <c r="AW821" s="4"/>
      <c r="AX821" s="4"/>
      <c r="AY821" s="4"/>
      <c r="AZ821" s="4"/>
      <c r="BA821" s="4"/>
      <c r="BB821" s="4"/>
      <c r="BC821" s="5"/>
      <c r="BD821" s="4"/>
      <c r="BE821" s="4"/>
      <c r="BF821" s="4"/>
      <c r="BG821" s="4"/>
      <c r="BH821" s="4"/>
      <c r="BI821" s="4"/>
      <c r="BJ821" s="4"/>
      <c r="BK821" s="4"/>
      <c r="BL821" s="4"/>
      <c r="BM821" s="4"/>
      <c r="BN821" s="4"/>
      <c r="BO821" s="4"/>
      <c r="BP821" s="4"/>
      <c r="BQ821" s="4"/>
      <c r="BR821" s="4"/>
    </row>
    <row r="822" spans="1:70">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c r="AG822" s="4"/>
      <c r="AH822" s="4"/>
      <c r="AI822" s="4"/>
      <c r="AJ822" s="4"/>
      <c r="AK822" s="4"/>
      <c r="AL822" s="4"/>
      <c r="AM822" s="4"/>
      <c r="AN822" s="4"/>
      <c r="AO822" s="4"/>
      <c r="AP822" s="4"/>
      <c r="AQ822" s="4"/>
      <c r="AR822" s="4"/>
      <c r="AS822" s="4"/>
      <c r="AT822" s="4"/>
      <c r="AU822" s="4"/>
      <c r="AV822" s="4"/>
      <c r="AW822" s="4"/>
      <c r="AX822" s="4"/>
      <c r="AY822" s="4"/>
      <c r="AZ822" s="4"/>
      <c r="BA822" s="4"/>
      <c r="BB822" s="4"/>
      <c r="BC822" s="5"/>
      <c r="BD822" s="4"/>
      <c r="BE822" s="4"/>
      <c r="BF822" s="4"/>
      <c r="BG822" s="4"/>
      <c r="BH822" s="4"/>
      <c r="BI822" s="4"/>
      <c r="BJ822" s="4"/>
      <c r="BK822" s="4"/>
      <c r="BL822" s="4"/>
      <c r="BM822" s="4"/>
      <c r="BN822" s="4"/>
      <c r="BO822" s="4"/>
      <c r="BP822" s="4"/>
      <c r="BQ822" s="4"/>
      <c r="BR822" s="4"/>
    </row>
    <row r="823" spans="1:70">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c r="AG823" s="4"/>
      <c r="AH823" s="4"/>
      <c r="AI823" s="4"/>
      <c r="AJ823" s="4"/>
      <c r="AK823" s="4"/>
      <c r="AL823" s="4"/>
      <c r="AM823" s="4"/>
      <c r="AN823" s="4"/>
      <c r="AO823" s="4"/>
      <c r="AP823" s="4"/>
      <c r="AQ823" s="4"/>
      <c r="AR823" s="4"/>
      <c r="AS823" s="4"/>
      <c r="AT823" s="4"/>
      <c r="AU823" s="4"/>
      <c r="AV823" s="4"/>
      <c r="AW823" s="4"/>
      <c r="AX823" s="4"/>
      <c r="AY823" s="4"/>
      <c r="AZ823" s="4"/>
      <c r="BA823" s="4"/>
      <c r="BB823" s="4"/>
      <c r="BC823" s="5"/>
      <c r="BD823" s="4"/>
      <c r="BE823" s="4"/>
      <c r="BF823" s="4"/>
      <c r="BG823" s="4"/>
      <c r="BH823" s="4"/>
      <c r="BI823" s="4"/>
      <c r="BJ823" s="4"/>
      <c r="BK823" s="4"/>
      <c r="BL823" s="4"/>
      <c r="BM823" s="4"/>
      <c r="BN823" s="4"/>
      <c r="BO823" s="4"/>
      <c r="BP823" s="4"/>
      <c r="BQ823" s="4"/>
      <c r="BR823" s="4"/>
    </row>
    <row r="824" spans="1:70">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c r="AG824" s="4"/>
      <c r="AH824" s="4"/>
      <c r="AI824" s="4"/>
      <c r="AJ824" s="4"/>
      <c r="AK824" s="4"/>
      <c r="AL824" s="4"/>
      <c r="AM824" s="4"/>
      <c r="AN824" s="4"/>
      <c r="AO824" s="4"/>
      <c r="AP824" s="4"/>
      <c r="AQ824" s="4"/>
      <c r="AR824" s="4"/>
      <c r="AS824" s="4"/>
      <c r="AT824" s="4"/>
      <c r="AU824" s="4"/>
      <c r="AV824" s="4"/>
      <c r="AW824" s="4"/>
      <c r="AX824" s="4"/>
      <c r="AY824" s="4"/>
      <c r="AZ824" s="4"/>
      <c r="BA824" s="4"/>
      <c r="BB824" s="4"/>
      <c r="BC824" s="5"/>
      <c r="BD824" s="4"/>
      <c r="BE824" s="4"/>
      <c r="BF824" s="4"/>
      <c r="BG824" s="4"/>
      <c r="BH824" s="4"/>
      <c r="BI824" s="4"/>
      <c r="BJ824" s="4"/>
      <c r="BK824" s="4"/>
      <c r="BL824" s="4"/>
      <c r="BM824" s="4"/>
      <c r="BN824" s="4"/>
      <c r="BO824" s="4"/>
      <c r="BP824" s="4"/>
      <c r="BQ824" s="4"/>
      <c r="BR824" s="4"/>
    </row>
    <row r="825" spans="1:70">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c r="AG825" s="4"/>
      <c r="AH825" s="4"/>
      <c r="AI825" s="4"/>
      <c r="AJ825" s="4"/>
      <c r="AK825" s="4"/>
      <c r="AL825" s="4"/>
      <c r="AM825" s="4"/>
      <c r="AN825" s="4"/>
      <c r="AO825" s="4"/>
      <c r="AP825" s="4"/>
      <c r="AQ825" s="4"/>
      <c r="AR825" s="4"/>
      <c r="AS825" s="4"/>
      <c r="AT825" s="4"/>
      <c r="AU825" s="4"/>
      <c r="AV825" s="4"/>
      <c r="AW825" s="4"/>
      <c r="AX825" s="4"/>
      <c r="AY825" s="4"/>
      <c r="AZ825" s="4"/>
      <c r="BA825" s="4"/>
      <c r="BB825" s="4"/>
      <c r="BC825" s="5"/>
      <c r="BD825" s="4"/>
      <c r="BE825" s="4"/>
      <c r="BF825" s="4"/>
      <c r="BG825" s="4"/>
      <c r="BH825" s="4"/>
      <c r="BI825" s="4"/>
      <c r="BJ825" s="4"/>
      <c r="BK825" s="4"/>
      <c r="BL825" s="4"/>
      <c r="BM825" s="4"/>
      <c r="BN825" s="4"/>
      <c r="BO825" s="4"/>
      <c r="BP825" s="4"/>
      <c r="BQ825" s="4"/>
      <c r="BR825" s="4"/>
    </row>
    <row r="826" spans="1:70">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c r="AG826" s="4"/>
      <c r="AH826" s="4"/>
      <c r="AI826" s="4"/>
      <c r="AJ826" s="4"/>
      <c r="AK826" s="4"/>
      <c r="AL826" s="4"/>
      <c r="AM826" s="4"/>
      <c r="AN826" s="4"/>
      <c r="AO826" s="4"/>
      <c r="AP826" s="4"/>
      <c r="AQ826" s="4"/>
      <c r="AR826" s="4"/>
      <c r="AS826" s="4"/>
      <c r="AT826" s="4"/>
      <c r="AU826" s="4"/>
      <c r="AV826" s="4"/>
      <c r="AW826" s="4"/>
      <c r="AX826" s="4"/>
      <c r="AY826" s="4"/>
      <c r="AZ826" s="4"/>
      <c r="BA826" s="4"/>
      <c r="BB826" s="4"/>
      <c r="BC826" s="5"/>
      <c r="BD826" s="4"/>
      <c r="BE826" s="4"/>
      <c r="BF826" s="4"/>
      <c r="BG826" s="4"/>
      <c r="BH826" s="4"/>
      <c r="BI826" s="4"/>
      <c r="BJ826" s="4"/>
      <c r="BK826" s="4"/>
      <c r="BL826" s="4"/>
      <c r="BM826" s="4"/>
      <c r="BN826" s="4"/>
      <c r="BO826" s="4"/>
      <c r="BP826" s="4"/>
      <c r="BQ826" s="4"/>
      <c r="BR826" s="4"/>
    </row>
    <row r="827" spans="1:70">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c r="AG827" s="4"/>
      <c r="AH827" s="4"/>
      <c r="AI827" s="4"/>
      <c r="AJ827" s="4"/>
      <c r="AK827" s="4"/>
      <c r="AL827" s="4"/>
      <c r="AM827" s="4"/>
      <c r="AN827" s="4"/>
      <c r="AO827" s="4"/>
      <c r="AP827" s="4"/>
      <c r="AQ827" s="4"/>
      <c r="AR827" s="4"/>
      <c r="AS827" s="4"/>
      <c r="AT827" s="4"/>
      <c r="AU827" s="4"/>
      <c r="AV827" s="4"/>
      <c r="AW827" s="4"/>
      <c r="AX827" s="4"/>
      <c r="AY827" s="4"/>
      <c r="AZ827" s="4"/>
      <c r="BA827" s="4"/>
      <c r="BB827" s="4"/>
      <c r="BC827" s="5"/>
      <c r="BD827" s="4"/>
      <c r="BE827" s="4"/>
      <c r="BF827" s="4"/>
      <c r="BG827" s="4"/>
      <c r="BH827" s="4"/>
      <c r="BI827" s="4"/>
      <c r="BJ827" s="4"/>
      <c r="BK827" s="4"/>
      <c r="BL827" s="4"/>
      <c r="BM827" s="4"/>
      <c r="BN827" s="4"/>
      <c r="BO827" s="4"/>
      <c r="BP827" s="4"/>
      <c r="BQ827" s="4"/>
      <c r="BR827" s="4"/>
    </row>
    <row r="828" spans="1:70">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c r="AG828" s="4"/>
      <c r="AH828" s="4"/>
      <c r="AI828" s="4"/>
      <c r="AJ828" s="4"/>
      <c r="AK828" s="4"/>
      <c r="AL828" s="4"/>
      <c r="AM828" s="4"/>
      <c r="AN828" s="4"/>
      <c r="AO828" s="4"/>
      <c r="AP828" s="4"/>
      <c r="AQ828" s="4"/>
      <c r="AR828" s="4"/>
      <c r="AS828" s="4"/>
      <c r="AT828" s="4"/>
      <c r="AU828" s="4"/>
      <c r="AV828" s="4"/>
      <c r="AW828" s="4"/>
      <c r="AX828" s="4"/>
      <c r="AY828" s="4"/>
      <c r="AZ828" s="4"/>
      <c r="BA828" s="4"/>
      <c r="BB828" s="4"/>
      <c r="BC828" s="5"/>
      <c r="BD828" s="4"/>
      <c r="BE828" s="4"/>
      <c r="BF828" s="4"/>
      <c r="BG828" s="4"/>
      <c r="BH828" s="4"/>
      <c r="BI828" s="4"/>
      <c r="BJ828" s="4"/>
      <c r="BK828" s="4"/>
      <c r="BL828" s="4"/>
      <c r="BM828" s="4"/>
      <c r="BN828" s="4"/>
      <c r="BO828" s="4"/>
      <c r="BP828" s="4"/>
      <c r="BQ828" s="4"/>
      <c r="BR828" s="4"/>
    </row>
    <row r="829" spans="1:70">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c r="AG829" s="4"/>
      <c r="AH829" s="4"/>
      <c r="AI829" s="4"/>
      <c r="AJ829" s="4"/>
      <c r="AK829" s="4"/>
      <c r="AL829" s="4"/>
      <c r="AM829" s="4"/>
      <c r="AN829" s="4"/>
      <c r="AO829" s="4"/>
      <c r="AP829" s="4"/>
      <c r="AQ829" s="4"/>
      <c r="AR829" s="4"/>
      <c r="AS829" s="4"/>
      <c r="AT829" s="4"/>
      <c r="AU829" s="4"/>
      <c r="AV829" s="4"/>
      <c r="AW829" s="4"/>
      <c r="AX829" s="4"/>
      <c r="AY829" s="4"/>
      <c r="AZ829" s="4"/>
      <c r="BA829" s="4"/>
      <c r="BB829" s="4"/>
      <c r="BC829" s="5"/>
      <c r="BD829" s="4"/>
      <c r="BE829" s="4"/>
      <c r="BF829" s="4"/>
      <c r="BG829" s="4"/>
      <c r="BH829" s="4"/>
      <c r="BI829" s="4"/>
      <c r="BJ829" s="4"/>
      <c r="BK829" s="4"/>
      <c r="BL829" s="4"/>
      <c r="BM829" s="4"/>
      <c r="BN829" s="4"/>
      <c r="BO829" s="4"/>
      <c r="BP829" s="4"/>
      <c r="BQ829" s="4"/>
      <c r="BR829" s="4"/>
    </row>
    <row r="830" spans="1:7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c r="AG830" s="4"/>
      <c r="AH830" s="4"/>
      <c r="AI830" s="4"/>
      <c r="AJ830" s="4"/>
      <c r="AK830" s="4"/>
      <c r="AL830" s="4"/>
      <c r="AM830" s="4"/>
      <c r="AN830" s="4"/>
      <c r="AO830" s="4"/>
      <c r="AP830" s="4"/>
      <c r="AQ830" s="4"/>
      <c r="AR830" s="4"/>
      <c r="AS830" s="4"/>
      <c r="AT830" s="4"/>
      <c r="AU830" s="4"/>
      <c r="AV830" s="4"/>
      <c r="AW830" s="4"/>
      <c r="AX830" s="4"/>
      <c r="AY830" s="4"/>
      <c r="AZ830" s="4"/>
      <c r="BA830" s="4"/>
      <c r="BB830" s="4"/>
      <c r="BC830" s="5"/>
      <c r="BD830" s="4"/>
      <c r="BE830" s="4"/>
      <c r="BF830" s="4"/>
      <c r="BG830" s="4"/>
      <c r="BH830" s="4"/>
      <c r="BI830" s="4"/>
      <c r="BJ830" s="4"/>
      <c r="BK830" s="4"/>
      <c r="BL830" s="4"/>
      <c r="BM830" s="4"/>
      <c r="BN830" s="4"/>
      <c r="BO830" s="4"/>
      <c r="BP830" s="4"/>
      <c r="BQ830" s="4"/>
      <c r="BR830" s="4"/>
    </row>
    <row r="831" spans="1:70">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c r="AG831" s="4"/>
      <c r="AH831" s="4"/>
      <c r="AI831" s="4"/>
      <c r="AJ831" s="4"/>
      <c r="AK831" s="4"/>
      <c r="AL831" s="4"/>
      <c r="AM831" s="4"/>
      <c r="AN831" s="4"/>
      <c r="AO831" s="4"/>
      <c r="AP831" s="4"/>
      <c r="AQ831" s="4"/>
      <c r="AR831" s="4"/>
      <c r="AS831" s="4"/>
      <c r="AT831" s="4"/>
      <c r="AU831" s="4"/>
      <c r="AV831" s="4"/>
      <c r="AW831" s="4"/>
      <c r="AX831" s="4"/>
      <c r="AY831" s="4"/>
      <c r="AZ831" s="4"/>
      <c r="BA831" s="4"/>
      <c r="BB831" s="4"/>
      <c r="BC831" s="5"/>
      <c r="BD831" s="4"/>
      <c r="BE831" s="4"/>
      <c r="BF831" s="4"/>
      <c r="BG831" s="4"/>
      <c r="BH831" s="4"/>
      <c r="BI831" s="4"/>
      <c r="BJ831" s="4"/>
      <c r="BK831" s="4"/>
      <c r="BL831" s="4"/>
      <c r="BM831" s="4"/>
      <c r="BN831" s="4"/>
      <c r="BO831" s="4"/>
      <c r="BP831" s="4"/>
      <c r="BQ831" s="4"/>
      <c r="BR831" s="4"/>
    </row>
    <row r="832" spans="1:70">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c r="AG832" s="4"/>
      <c r="AH832" s="4"/>
      <c r="AI832" s="4"/>
      <c r="AJ832" s="4"/>
      <c r="AK832" s="4"/>
      <c r="AL832" s="4"/>
      <c r="AM832" s="4"/>
      <c r="AN832" s="4"/>
      <c r="AO832" s="4"/>
      <c r="AP832" s="4"/>
      <c r="AQ832" s="4"/>
      <c r="AR832" s="4"/>
      <c r="AS832" s="4"/>
      <c r="AT832" s="4"/>
      <c r="AU832" s="4"/>
      <c r="AV832" s="4"/>
      <c r="AW832" s="4"/>
      <c r="AX832" s="4"/>
      <c r="AY832" s="4"/>
      <c r="AZ832" s="4"/>
      <c r="BA832" s="4"/>
      <c r="BB832" s="4"/>
      <c r="BC832" s="5"/>
      <c r="BD832" s="4"/>
      <c r="BE832" s="4"/>
      <c r="BF832" s="4"/>
      <c r="BG832" s="4"/>
      <c r="BH832" s="4"/>
      <c r="BI832" s="4"/>
      <c r="BJ832" s="4"/>
      <c r="BK832" s="4"/>
      <c r="BL832" s="4"/>
      <c r="BM832" s="4"/>
      <c r="BN832" s="4"/>
      <c r="BO832" s="4"/>
      <c r="BP832" s="4"/>
      <c r="BQ832" s="4"/>
      <c r="BR832" s="4"/>
    </row>
    <row r="833" spans="1:70">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c r="AG833" s="4"/>
      <c r="AH833" s="4"/>
      <c r="AI833" s="4"/>
      <c r="AJ833" s="4"/>
      <c r="AK833" s="4"/>
      <c r="AL833" s="4"/>
      <c r="AM833" s="4"/>
      <c r="AN833" s="4"/>
      <c r="AO833" s="4"/>
      <c r="AP833" s="4"/>
      <c r="AQ833" s="4"/>
      <c r="AR833" s="4"/>
      <c r="AS833" s="4"/>
      <c r="AT833" s="4"/>
      <c r="AU833" s="4"/>
      <c r="AV833" s="4"/>
      <c r="AW833" s="4"/>
      <c r="AX833" s="4"/>
      <c r="AY833" s="4"/>
      <c r="AZ833" s="4"/>
      <c r="BA833" s="4"/>
      <c r="BB833" s="4"/>
      <c r="BC833" s="5"/>
      <c r="BD833" s="4"/>
      <c r="BE833" s="4"/>
      <c r="BF833" s="4"/>
      <c r="BG833" s="4"/>
      <c r="BH833" s="4"/>
      <c r="BI833" s="4"/>
      <c r="BJ833" s="4"/>
      <c r="BK833" s="4"/>
      <c r="BL833" s="4"/>
      <c r="BM833" s="4"/>
      <c r="BN833" s="4"/>
      <c r="BO833" s="4"/>
      <c r="BP833" s="4"/>
      <c r="BQ833" s="4"/>
      <c r="BR833" s="4"/>
    </row>
    <row r="834" spans="1:70">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c r="AG834" s="4"/>
      <c r="AH834" s="4"/>
      <c r="AI834" s="4"/>
      <c r="AJ834" s="4"/>
      <c r="AK834" s="4"/>
      <c r="AL834" s="4"/>
      <c r="AM834" s="4"/>
      <c r="AN834" s="4"/>
      <c r="AO834" s="4"/>
      <c r="AP834" s="4"/>
      <c r="AQ834" s="4"/>
      <c r="AR834" s="4"/>
      <c r="AS834" s="4"/>
      <c r="AT834" s="4"/>
      <c r="AU834" s="4"/>
      <c r="AV834" s="4"/>
      <c r="AW834" s="4"/>
      <c r="AX834" s="4"/>
      <c r="AY834" s="4"/>
      <c r="AZ834" s="4"/>
      <c r="BA834" s="4"/>
      <c r="BB834" s="4"/>
      <c r="BC834" s="5"/>
      <c r="BD834" s="4"/>
      <c r="BE834" s="4"/>
      <c r="BF834" s="4"/>
      <c r="BG834" s="4"/>
      <c r="BH834" s="4"/>
      <c r="BI834" s="4"/>
      <c r="BJ834" s="4"/>
      <c r="BK834" s="4"/>
      <c r="BL834" s="4"/>
      <c r="BM834" s="4"/>
      <c r="BN834" s="4"/>
      <c r="BO834" s="4"/>
      <c r="BP834" s="4"/>
      <c r="BQ834" s="4"/>
      <c r="BR834" s="4"/>
    </row>
    <row r="835" spans="1:70">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c r="AG835" s="4"/>
      <c r="AH835" s="4"/>
      <c r="AI835" s="4"/>
      <c r="AJ835" s="4"/>
      <c r="AK835" s="4"/>
      <c r="AL835" s="4"/>
      <c r="AM835" s="4"/>
      <c r="AN835" s="4"/>
      <c r="AO835" s="4"/>
      <c r="AP835" s="4"/>
      <c r="AQ835" s="4"/>
      <c r="AR835" s="4"/>
      <c r="AS835" s="4"/>
      <c r="AT835" s="4"/>
      <c r="AU835" s="4"/>
      <c r="AV835" s="4"/>
      <c r="AW835" s="4"/>
      <c r="AX835" s="4"/>
      <c r="AY835" s="4"/>
      <c r="AZ835" s="4"/>
      <c r="BA835" s="4"/>
      <c r="BB835" s="4"/>
      <c r="BC835" s="5"/>
      <c r="BD835" s="4"/>
      <c r="BE835" s="4"/>
      <c r="BF835" s="4"/>
      <c r="BG835" s="4"/>
      <c r="BH835" s="4"/>
      <c r="BI835" s="4"/>
      <c r="BJ835" s="4"/>
      <c r="BK835" s="4"/>
      <c r="BL835" s="4"/>
      <c r="BM835" s="4"/>
      <c r="BN835" s="4"/>
      <c r="BO835" s="4"/>
      <c r="BP835" s="4"/>
      <c r="BQ835" s="4"/>
      <c r="BR835" s="4"/>
    </row>
    <row r="836" spans="1:70">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c r="AG836" s="4"/>
      <c r="AH836" s="4"/>
      <c r="AI836" s="4"/>
      <c r="AJ836" s="4"/>
      <c r="AK836" s="4"/>
      <c r="AL836" s="4"/>
      <c r="AM836" s="4"/>
      <c r="AN836" s="4"/>
      <c r="AO836" s="4"/>
      <c r="AP836" s="4"/>
      <c r="AQ836" s="4"/>
      <c r="AR836" s="4"/>
      <c r="AS836" s="4"/>
      <c r="AT836" s="4"/>
      <c r="AU836" s="4"/>
      <c r="AV836" s="4"/>
      <c r="AW836" s="4"/>
      <c r="AX836" s="4"/>
      <c r="AY836" s="4"/>
      <c r="AZ836" s="4"/>
      <c r="BA836" s="4"/>
      <c r="BB836" s="4"/>
      <c r="BC836" s="5"/>
      <c r="BD836" s="4"/>
      <c r="BE836" s="4"/>
      <c r="BF836" s="4"/>
      <c r="BG836" s="4"/>
      <c r="BH836" s="4"/>
      <c r="BI836" s="4"/>
      <c r="BJ836" s="4"/>
      <c r="BK836" s="4"/>
      <c r="BL836" s="4"/>
      <c r="BM836" s="4"/>
      <c r="BN836" s="4"/>
      <c r="BO836" s="4"/>
      <c r="BP836" s="4"/>
      <c r="BQ836" s="4"/>
      <c r="BR836" s="4"/>
    </row>
    <row r="837" spans="1:70">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c r="AG837" s="4"/>
      <c r="AH837" s="4"/>
      <c r="AI837" s="4"/>
      <c r="AJ837" s="4"/>
      <c r="AK837" s="4"/>
      <c r="AL837" s="4"/>
      <c r="AM837" s="4"/>
      <c r="AN837" s="4"/>
      <c r="AO837" s="4"/>
      <c r="AP837" s="4"/>
      <c r="AQ837" s="4"/>
      <c r="AR837" s="4"/>
      <c r="AS837" s="4"/>
      <c r="AT837" s="4"/>
      <c r="AU837" s="4"/>
      <c r="AV837" s="4"/>
      <c r="AW837" s="4"/>
      <c r="AX837" s="4"/>
      <c r="AY837" s="4"/>
      <c r="AZ837" s="4"/>
      <c r="BA837" s="4"/>
      <c r="BB837" s="4"/>
      <c r="BC837" s="5"/>
      <c r="BD837" s="4"/>
      <c r="BE837" s="4"/>
      <c r="BF837" s="4"/>
      <c r="BG837" s="4"/>
      <c r="BH837" s="4"/>
      <c r="BI837" s="4"/>
      <c r="BJ837" s="4"/>
      <c r="BK837" s="4"/>
      <c r="BL837" s="4"/>
      <c r="BM837" s="4"/>
      <c r="BN837" s="4"/>
      <c r="BO837" s="4"/>
      <c r="BP837" s="4"/>
      <c r="BQ837" s="4"/>
      <c r="BR837" s="4"/>
    </row>
    <row r="838" spans="1:70">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c r="AG838" s="4"/>
      <c r="AH838" s="4"/>
      <c r="AI838" s="4"/>
      <c r="AJ838" s="4"/>
      <c r="AK838" s="4"/>
      <c r="AL838" s="4"/>
      <c r="AM838" s="4"/>
      <c r="AN838" s="4"/>
      <c r="AO838" s="4"/>
      <c r="AP838" s="4"/>
      <c r="AQ838" s="4"/>
      <c r="AR838" s="4"/>
      <c r="AS838" s="4"/>
      <c r="AT838" s="4"/>
      <c r="AU838" s="4"/>
      <c r="AV838" s="4"/>
      <c r="AW838" s="4"/>
      <c r="AX838" s="4"/>
      <c r="AY838" s="4"/>
      <c r="AZ838" s="4"/>
      <c r="BA838" s="4"/>
      <c r="BB838" s="4"/>
      <c r="BC838" s="5"/>
      <c r="BD838" s="4"/>
      <c r="BE838" s="4"/>
      <c r="BF838" s="4"/>
      <c r="BG838" s="4"/>
      <c r="BH838" s="4"/>
      <c r="BI838" s="4"/>
      <c r="BJ838" s="4"/>
      <c r="BK838" s="4"/>
      <c r="BL838" s="4"/>
      <c r="BM838" s="4"/>
      <c r="BN838" s="4"/>
      <c r="BO838" s="4"/>
      <c r="BP838" s="4"/>
      <c r="BQ838" s="4"/>
      <c r="BR838" s="4"/>
    </row>
    <row r="839" spans="1:70">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c r="AG839" s="4"/>
      <c r="AH839" s="4"/>
      <c r="AI839" s="4"/>
      <c r="AJ839" s="4"/>
      <c r="AK839" s="4"/>
      <c r="AL839" s="4"/>
      <c r="AM839" s="4"/>
      <c r="AN839" s="4"/>
      <c r="AO839" s="4"/>
      <c r="AP839" s="4"/>
      <c r="AQ839" s="4"/>
      <c r="AR839" s="4"/>
      <c r="AS839" s="4"/>
      <c r="AT839" s="4"/>
      <c r="AU839" s="4"/>
      <c r="AV839" s="4"/>
      <c r="AW839" s="4"/>
      <c r="AX839" s="4"/>
      <c r="AY839" s="4"/>
      <c r="AZ839" s="4"/>
      <c r="BA839" s="4"/>
      <c r="BB839" s="4"/>
      <c r="BC839" s="5"/>
      <c r="BD839" s="4"/>
      <c r="BE839" s="4"/>
      <c r="BF839" s="4"/>
      <c r="BG839" s="4"/>
      <c r="BH839" s="4"/>
      <c r="BI839" s="4"/>
      <c r="BJ839" s="4"/>
      <c r="BK839" s="4"/>
      <c r="BL839" s="4"/>
      <c r="BM839" s="4"/>
      <c r="BN839" s="4"/>
      <c r="BO839" s="4"/>
      <c r="BP839" s="4"/>
      <c r="BQ839" s="4"/>
      <c r="BR839" s="4"/>
    </row>
    <row r="840" spans="1:7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c r="AG840" s="4"/>
      <c r="AH840" s="4"/>
      <c r="AI840" s="4"/>
      <c r="AJ840" s="4"/>
      <c r="AK840" s="4"/>
      <c r="AL840" s="4"/>
      <c r="AM840" s="4"/>
      <c r="AN840" s="4"/>
      <c r="AO840" s="4"/>
      <c r="AP840" s="4"/>
      <c r="AQ840" s="4"/>
      <c r="AR840" s="4"/>
      <c r="AS840" s="4"/>
      <c r="AT840" s="4"/>
      <c r="AU840" s="4"/>
      <c r="AV840" s="4"/>
      <c r="AW840" s="4"/>
      <c r="AX840" s="4"/>
      <c r="AY840" s="4"/>
      <c r="AZ840" s="4"/>
      <c r="BA840" s="4"/>
      <c r="BB840" s="4"/>
      <c r="BC840" s="5"/>
      <c r="BD840" s="4"/>
      <c r="BE840" s="4"/>
      <c r="BF840" s="4"/>
      <c r="BG840" s="4"/>
      <c r="BH840" s="4"/>
      <c r="BI840" s="4"/>
      <c r="BJ840" s="4"/>
      <c r="BK840" s="4"/>
      <c r="BL840" s="4"/>
      <c r="BM840" s="4"/>
      <c r="BN840" s="4"/>
      <c r="BO840" s="4"/>
      <c r="BP840" s="4"/>
      <c r="BQ840" s="4"/>
      <c r="BR840" s="4"/>
    </row>
    <row r="841" spans="1:70">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c r="AG841" s="4"/>
      <c r="AH841" s="4"/>
      <c r="AI841" s="4"/>
      <c r="AJ841" s="4"/>
      <c r="AK841" s="4"/>
      <c r="AL841" s="4"/>
      <c r="AM841" s="4"/>
      <c r="AN841" s="4"/>
      <c r="AO841" s="4"/>
      <c r="AP841" s="4"/>
      <c r="AQ841" s="4"/>
      <c r="AR841" s="4"/>
      <c r="AS841" s="4"/>
      <c r="AT841" s="4"/>
      <c r="AU841" s="4"/>
      <c r="AV841" s="4"/>
      <c r="AW841" s="4"/>
      <c r="AX841" s="4"/>
      <c r="AY841" s="4"/>
      <c r="AZ841" s="4"/>
      <c r="BA841" s="4"/>
      <c r="BB841" s="4"/>
      <c r="BC841" s="5"/>
      <c r="BD841" s="4"/>
      <c r="BE841" s="4"/>
      <c r="BF841" s="4"/>
      <c r="BG841" s="4"/>
      <c r="BH841" s="4"/>
      <c r="BI841" s="4"/>
      <c r="BJ841" s="4"/>
      <c r="BK841" s="4"/>
      <c r="BL841" s="4"/>
      <c r="BM841" s="4"/>
      <c r="BN841" s="4"/>
      <c r="BO841" s="4"/>
      <c r="BP841" s="4"/>
      <c r="BQ841" s="4"/>
      <c r="BR841" s="4"/>
    </row>
    <row r="842" spans="1:70">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c r="AG842" s="4"/>
      <c r="AH842" s="4"/>
      <c r="AI842" s="4"/>
      <c r="AJ842" s="4"/>
      <c r="AK842" s="4"/>
      <c r="AL842" s="4"/>
      <c r="AM842" s="4"/>
      <c r="AN842" s="4"/>
      <c r="AO842" s="4"/>
      <c r="AP842" s="4"/>
      <c r="AQ842" s="4"/>
      <c r="AR842" s="4"/>
      <c r="AS842" s="4"/>
      <c r="AT842" s="4"/>
      <c r="AU842" s="4"/>
      <c r="AV842" s="4"/>
      <c r="AW842" s="4"/>
      <c r="AX842" s="4"/>
      <c r="AY842" s="4"/>
      <c r="AZ842" s="4"/>
      <c r="BA842" s="4"/>
      <c r="BB842" s="4"/>
      <c r="BC842" s="5"/>
      <c r="BD842" s="4"/>
      <c r="BE842" s="4"/>
      <c r="BF842" s="4"/>
      <c r="BG842" s="4"/>
      <c r="BH842" s="4"/>
      <c r="BI842" s="4"/>
      <c r="BJ842" s="4"/>
      <c r="BK842" s="4"/>
      <c r="BL842" s="4"/>
      <c r="BM842" s="4"/>
      <c r="BN842" s="4"/>
      <c r="BO842" s="4"/>
      <c r="BP842" s="4"/>
      <c r="BQ842" s="4"/>
      <c r="BR842" s="4"/>
    </row>
    <row r="843" spans="1:70">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c r="AG843" s="4"/>
      <c r="AH843" s="4"/>
      <c r="AI843" s="4"/>
      <c r="AJ843" s="4"/>
      <c r="AK843" s="4"/>
      <c r="AL843" s="4"/>
      <c r="AM843" s="4"/>
      <c r="AN843" s="4"/>
      <c r="AO843" s="4"/>
      <c r="AP843" s="4"/>
      <c r="AQ843" s="4"/>
      <c r="AR843" s="4"/>
      <c r="AS843" s="4"/>
      <c r="AT843" s="4"/>
      <c r="AU843" s="4"/>
      <c r="AV843" s="4"/>
      <c r="AW843" s="4"/>
      <c r="AX843" s="4"/>
      <c r="AY843" s="4"/>
      <c r="AZ843" s="4"/>
      <c r="BA843" s="4"/>
      <c r="BB843" s="4"/>
      <c r="BC843" s="5"/>
      <c r="BD843" s="4"/>
      <c r="BE843" s="4"/>
      <c r="BF843" s="4"/>
      <c r="BG843" s="4"/>
      <c r="BH843" s="4"/>
      <c r="BI843" s="4"/>
      <c r="BJ843" s="4"/>
      <c r="BK843" s="4"/>
      <c r="BL843" s="4"/>
      <c r="BM843" s="4"/>
      <c r="BN843" s="4"/>
      <c r="BO843" s="4"/>
      <c r="BP843" s="4"/>
      <c r="BQ843" s="4"/>
      <c r="BR843" s="4"/>
    </row>
    <row r="844" spans="1:70">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c r="AG844" s="4"/>
      <c r="AH844" s="4"/>
      <c r="AI844" s="4"/>
      <c r="AJ844" s="4"/>
      <c r="AK844" s="4"/>
      <c r="AL844" s="4"/>
      <c r="AM844" s="4"/>
      <c r="AN844" s="4"/>
      <c r="AO844" s="4"/>
      <c r="AP844" s="4"/>
      <c r="AQ844" s="4"/>
      <c r="AR844" s="4"/>
      <c r="AS844" s="4"/>
      <c r="AT844" s="4"/>
      <c r="AU844" s="4"/>
      <c r="AV844" s="4"/>
      <c r="AW844" s="4"/>
      <c r="AX844" s="4"/>
      <c r="AY844" s="4"/>
      <c r="AZ844" s="4"/>
      <c r="BA844" s="4"/>
      <c r="BB844" s="4"/>
      <c r="BC844" s="5"/>
      <c r="BD844" s="4"/>
      <c r="BE844" s="4"/>
      <c r="BF844" s="4"/>
      <c r="BG844" s="4"/>
      <c r="BH844" s="4"/>
      <c r="BI844" s="4"/>
      <c r="BJ844" s="4"/>
      <c r="BK844" s="4"/>
      <c r="BL844" s="4"/>
      <c r="BM844" s="4"/>
      <c r="BN844" s="4"/>
      <c r="BO844" s="4"/>
      <c r="BP844" s="4"/>
      <c r="BQ844" s="4"/>
      <c r="BR844" s="4"/>
    </row>
    <row r="845" spans="1:70">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c r="AG845" s="4"/>
      <c r="AH845" s="4"/>
      <c r="AI845" s="4"/>
      <c r="AJ845" s="4"/>
      <c r="AK845" s="4"/>
      <c r="AL845" s="4"/>
      <c r="AM845" s="4"/>
      <c r="AN845" s="4"/>
      <c r="AO845" s="4"/>
      <c r="AP845" s="4"/>
      <c r="AQ845" s="4"/>
      <c r="AR845" s="4"/>
      <c r="AS845" s="4"/>
      <c r="AT845" s="4"/>
      <c r="AU845" s="4"/>
      <c r="AV845" s="4"/>
      <c r="AW845" s="4"/>
      <c r="AX845" s="4"/>
      <c r="AY845" s="4"/>
      <c r="AZ845" s="4"/>
      <c r="BA845" s="4"/>
      <c r="BB845" s="4"/>
      <c r="BC845" s="5"/>
      <c r="BD845" s="4"/>
      <c r="BE845" s="4"/>
      <c r="BF845" s="4"/>
      <c r="BG845" s="4"/>
      <c r="BH845" s="4"/>
      <c r="BI845" s="4"/>
      <c r="BJ845" s="4"/>
      <c r="BK845" s="4"/>
      <c r="BL845" s="4"/>
      <c r="BM845" s="4"/>
      <c r="BN845" s="4"/>
      <c r="BO845" s="4"/>
      <c r="BP845" s="4"/>
      <c r="BQ845" s="4"/>
      <c r="BR845" s="4"/>
    </row>
    <row r="846" spans="1:70">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c r="AG846" s="4"/>
      <c r="AH846" s="4"/>
      <c r="AI846" s="4"/>
      <c r="AJ846" s="4"/>
      <c r="AK846" s="4"/>
      <c r="AL846" s="4"/>
      <c r="AM846" s="4"/>
      <c r="AN846" s="4"/>
      <c r="AO846" s="4"/>
      <c r="AP846" s="4"/>
      <c r="AQ846" s="4"/>
      <c r="AR846" s="4"/>
      <c r="AS846" s="4"/>
      <c r="AT846" s="4"/>
      <c r="AU846" s="4"/>
      <c r="AV846" s="4"/>
      <c r="AW846" s="4"/>
      <c r="AX846" s="4"/>
      <c r="AY846" s="4"/>
      <c r="AZ846" s="4"/>
      <c r="BA846" s="4"/>
      <c r="BB846" s="4"/>
      <c r="BC846" s="5"/>
      <c r="BD846" s="4"/>
      <c r="BE846" s="4"/>
      <c r="BF846" s="4"/>
      <c r="BG846" s="4"/>
      <c r="BH846" s="4"/>
      <c r="BI846" s="4"/>
      <c r="BJ846" s="4"/>
      <c r="BK846" s="4"/>
      <c r="BL846" s="4"/>
      <c r="BM846" s="4"/>
      <c r="BN846" s="4"/>
      <c r="BO846" s="4"/>
      <c r="BP846" s="4"/>
      <c r="BQ846" s="4"/>
      <c r="BR846" s="4"/>
    </row>
    <row r="847" spans="1:70">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c r="AG847" s="4"/>
      <c r="AH847" s="4"/>
      <c r="AI847" s="4"/>
      <c r="AJ847" s="4"/>
      <c r="AK847" s="4"/>
      <c r="AL847" s="4"/>
      <c r="AM847" s="4"/>
      <c r="AN847" s="4"/>
      <c r="AO847" s="4"/>
      <c r="AP847" s="4"/>
      <c r="AQ847" s="4"/>
      <c r="AR847" s="4"/>
      <c r="AS847" s="4"/>
      <c r="AT847" s="4"/>
      <c r="AU847" s="4"/>
      <c r="AV847" s="4"/>
      <c r="AW847" s="4"/>
      <c r="AX847" s="4"/>
      <c r="AY847" s="4"/>
      <c r="AZ847" s="4"/>
      <c r="BA847" s="4"/>
      <c r="BB847" s="4"/>
      <c r="BC847" s="5"/>
      <c r="BD847" s="4"/>
      <c r="BE847" s="4"/>
      <c r="BF847" s="4"/>
      <c r="BG847" s="4"/>
      <c r="BH847" s="4"/>
      <c r="BI847" s="4"/>
      <c r="BJ847" s="4"/>
      <c r="BK847" s="4"/>
      <c r="BL847" s="4"/>
      <c r="BM847" s="4"/>
      <c r="BN847" s="4"/>
      <c r="BO847" s="4"/>
      <c r="BP847" s="4"/>
      <c r="BQ847" s="4"/>
      <c r="BR847" s="4"/>
    </row>
    <row r="848" spans="1:70">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c r="AG848" s="4"/>
      <c r="AH848" s="4"/>
      <c r="AI848" s="4"/>
      <c r="AJ848" s="4"/>
      <c r="AK848" s="4"/>
      <c r="AL848" s="4"/>
      <c r="AM848" s="4"/>
      <c r="AN848" s="4"/>
      <c r="AO848" s="4"/>
      <c r="AP848" s="4"/>
      <c r="AQ848" s="4"/>
      <c r="AR848" s="4"/>
      <c r="AS848" s="4"/>
      <c r="AT848" s="4"/>
      <c r="AU848" s="4"/>
      <c r="AV848" s="4"/>
      <c r="AW848" s="4"/>
      <c r="AX848" s="4"/>
      <c r="AY848" s="4"/>
      <c r="AZ848" s="4"/>
      <c r="BA848" s="4"/>
      <c r="BB848" s="4"/>
      <c r="BC848" s="5"/>
      <c r="BD848" s="4"/>
      <c r="BE848" s="4"/>
      <c r="BF848" s="4"/>
      <c r="BG848" s="4"/>
      <c r="BH848" s="4"/>
      <c r="BI848" s="4"/>
      <c r="BJ848" s="4"/>
      <c r="BK848" s="4"/>
      <c r="BL848" s="4"/>
      <c r="BM848" s="4"/>
      <c r="BN848" s="4"/>
      <c r="BO848" s="4"/>
      <c r="BP848" s="4"/>
      <c r="BQ848" s="4"/>
      <c r="BR848" s="4"/>
    </row>
    <row r="849" spans="1:70">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c r="AG849" s="4"/>
      <c r="AH849" s="4"/>
      <c r="AI849" s="4"/>
      <c r="AJ849" s="4"/>
      <c r="AK849" s="4"/>
      <c r="AL849" s="4"/>
      <c r="AM849" s="4"/>
      <c r="AN849" s="4"/>
      <c r="AO849" s="4"/>
      <c r="AP849" s="4"/>
      <c r="AQ849" s="4"/>
      <c r="AR849" s="4"/>
      <c r="AS849" s="4"/>
      <c r="AT849" s="4"/>
      <c r="AU849" s="4"/>
      <c r="AV849" s="4"/>
      <c r="AW849" s="4"/>
      <c r="AX849" s="4"/>
      <c r="AY849" s="4"/>
      <c r="AZ849" s="4"/>
      <c r="BA849" s="4"/>
      <c r="BB849" s="4"/>
      <c r="BC849" s="5"/>
      <c r="BD849" s="4"/>
      <c r="BE849" s="4"/>
      <c r="BF849" s="4"/>
      <c r="BG849" s="4"/>
      <c r="BH849" s="4"/>
      <c r="BI849" s="4"/>
      <c r="BJ849" s="4"/>
      <c r="BK849" s="4"/>
      <c r="BL849" s="4"/>
      <c r="BM849" s="4"/>
      <c r="BN849" s="4"/>
      <c r="BO849" s="4"/>
      <c r="BP849" s="4"/>
      <c r="BQ849" s="4"/>
      <c r="BR849" s="4"/>
    </row>
    <row r="850" spans="1:7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c r="AG850" s="4"/>
      <c r="AH850" s="4"/>
      <c r="AI850" s="4"/>
      <c r="AJ850" s="4"/>
      <c r="AK850" s="4"/>
      <c r="AL850" s="4"/>
      <c r="AM850" s="4"/>
      <c r="AN850" s="4"/>
      <c r="AO850" s="4"/>
      <c r="AP850" s="4"/>
      <c r="AQ850" s="4"/>
      <c r="AR850" s="4"/>
      <c r="AS850" s="4"/>
      <c r="AT850" s="4"/>
      <c r="AU850" s="4"/>
      <c r="AV850" s="4"/>
      <c r="AW850" s="4"/>
      <c r="AX850" s="4"/>
      <c r="AY850" s="4"/>
      <c r="AZ850" s="4"/>
      <c r="BA850" s="4"/>
      <c r="BB850" s="4"/>
      <c r="BC850" s="5"/>
      <c r="BD850" s="4"/>
      <c r="BE850" s="4"/>
      <c r="BF850" s="4"/>
      <c r="BG850" s="4"/>
      <c r="BH850" s="4"/>
      <c r="BI850" s="4"/>
      <c r="BJ850" s="4"/>
      <c r="BK850" s="4"/>
      <c r="BL850" s="4"/>
      <c r="BM850" s="4"/>
      <c r="BN850" s="4"/>
      <c r="BO850" s="4"/>
      <c r="BP850" s="4"/>
      <c r="BQ850" s="4"/>
      <c r="BR850" s="4"/>
    </row>
    <row r="851" spans="1:70">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c r="AG851" s="4"/>
      <c r="AH851" s="4"/>
      <c r="AI851" s="4"/>
      <c r="AJ851" s="4"/>
      <c r="AK851" s="4"/>
      <c r="AL851" s="4"/>
      <c r="AM851" s="4"/>
      <c r="AN851" s="4"/>
      <c r="AO851" s="4"/>
      <c r="AP851" s="4"/>
      <c r="AQ851" s="4"/>
      <c r="AR851" s="4"/>
      <c r="AS851" s="4"/>
      <c r="AT851" s="4"/>
      <c r="AU851" s="4"/>
      <c r="AV851" s="4"/>
      <c r="AW851" s="4"/>
      <c r="AX851" s="4"/>
      <c r="AY851" s="4"/>
      <c r="AZ851" s="4"/>
      <c r="BA851" s="4"/>
      <c r="BB851" s="4"/>
      <c r="BC851" s="5"/>
      <c r="BD851" s="4"/>
      <c r="BE851" s="4"/>
      <c r="BF851" s="4"/>
      <c r="BG851" s="4"/>
      <c r="BH851" s="4"/>
      <c r="BI851" s="4"/>
      <c r="BJ851" s="4"/>
      <c r="BK851" s="4"/>
      <c r="BL851" s="4"/>
      <c r="BM851" s="4"/>
      <c r="BN851" s="4"/>
      <c r="BO851" s="4"/>
      <c r="BP851" s="4"/>
      <c r="BQ851" s="4"/>
      <c r="BR851" s="4"/>
    </row>
    <row r="852" spans="1:70">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c r="AG852" s="4"/>
      <c r="AH852" s="4"/>
      <c r="AI852" s="4"/>
      <c r="AJ852" s="4"/>
      <c r="AK852" s="4"/>
      <c r="AL852" s="4"/>
      <c r="AM852" s="4"/>
      <c r="AN852" s="4"/>
      <c r="AO852" s="4"/>
      <c r="AP852" s="4"/>
      <c r="AQ852" s="4"/>
      <c r="AR852" s="4"/>
      <c r="AS852" s="4"/>
      <c r="AT852" s="4"/>
      <c r="AU852" s="4"/>
      <c r="AV852" s="4"/>
      <c r="AW852" s="4"/>
      <c r="AX852" s="4"/>
      <c r="AY852" s="4"/>
      <c r="AZ852" s="4"/>
      <c r="BA852" s="4"/>
      <c r="BB852" s="4"/>
      <c r="BC852" s="5"/>
      <c r="BD852" s="4"/>
      <c r="BE852" s="4"/>
      <c r="BF852" s="4"/>
      <c r="BG852" s="4"/>
      <c r="BH852" s="4"/>
      <c r="BI852" s="4"/>
      <c r="BJ852" s="4"/>
      <c r="BK852" s="4"/>
      <c r="BL852" s="4"/>
      <c r="BM852" s="4"/>
      <c r="BN852" s="4"/>
      <c r="BO852" s="4"/>
      <c r="BP852" s="4"/>
      <c r="BQ852" s="4"/>
      <c r="BR852" s="4"/>
    </row>
    <row r="853" spans="1:70">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c r="AG853" s="4"/>
      <c r="AH853" s="4"/>
      <c r="AI853" s="4"/>
      <c r="AJ853" s="4"/>
      <c r="AK853" s="4"/>
      <c r="AL853" s="4"/>
      <c r="AM853" s="4"/>
      <c r="AN853" s="4"/>
      <c r="AO853" s="4"/>
      <c r="AP853" s="4"/>
      <c r="AQ853" s="4"/>
      <c r="AR853" s="4"/>
      <c r="AS853" s="4"/>
      <c r="AT853" s="4"/>
      <c r="AU853" s="4"/>
      <c r="AV853" s="4"/>
      <c r="AW853" s="4"/>
      <c r="AX853" s="4"/>
      <c r="AY853" s="4"/>
      <c r="AZ853" s="4"/>
      <c r="BA853" s="4"/>
      <c r="BB853" s="4"/>
      <c r="BC853" s="5"/>
      <c r="BD853" s="4"/>
      <c r="BE853" s="4"/>
      <c r="BF853" s="4"/>
      <c r="BG853" s="4"/>
      <c r="BH853" s="4"/>
      <c r="BI853" s="4"/>
      <c r="BJ853" s="4"/>
      <c r="BK853" s="4"/>
      <c r="BL853" s="4"/>
      <c r="BM853" s="4"/>
      <c r="BN853" s="4"/>
      <c r="BO853" s="4"/>
      <c r="BP853" s="4"/>
      <c r="BQ853" s="4"/>
      <c r="BR853" s="4"/>
    </row>
    <row r="854" spans="1:70">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c r="AG854" s="4"/>
      <c r="AH854" s="4"/>
      <c r="AI854" s="4"/>
      <c r="AJ854" s="4"/>
      <c r="AK854" s="4"/>
      <c r="AL854" s="4"/>
      <c r="AM854" s="4"/>
      <c r="AN854" s="4"/>
      <c r="AO854" s="4"/>
      <c r="AP854" s="4"/>
      <c r="AQ854" s="4"/>
      <c r="AR854" s="4"/>
      <c r="AS854" s="4"/>
      <c r="AT854" s="4"/>
      <c r="AU854" s="4"/>
      <c r="AV854" s="4"/>
      <c r="AW854" s="4"/>
      <c r="AX854" s="4"/>
      <c r="AY854" s="4"/>
      <c r="AZ854" s="4"/>
      <c r="BA854" s="4"/>
      <c r="BB854" s="4"/>
      <c r="BC854" s="5"/>
      <c r="BD854" s="4"/>
      <c r="BE854" s="4"/>
      <c r="BF854" s="4"/>
      <c r="BG854" s="4"/>
      <c r="BH854" s="4"/>
      <c r="BI854" s="4"/>
      <c r="BJ854" s="4"/>
      <c r="BK854" s="4"/>
      <c r="BL854" s="4"/>
      <c r="BM854" s="4"/>
      <c r="BN854" s="4"/>
      <c r="BO854" s="4"/>
      <c r="BP854" s="4"/>
      <c r="BQ854" s="4"/>
      <c r="BR854" s="4"/>
    </row>
    <row r="855" spans="1:70">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c r="AG855" s="4"/>
      <c r="AH855" s="4"/>
      <c r="AI855" s="4"/>
      <c r="AJ855" s="4"/>
      <c r="AK855" s="4"/>
      <c r="AL855" s="4"/>
      <c r="AM855" s="4"/>
      <c r="AN855" s="4"/>
      <c r="AO855" s="4"/>
      <c r="AP855" s="4"/>
      <c r="AQ855" s="4"/>
      <c r="AR855" s="4"/>
      <c r="AS855" s="4"/>
      <c r="AT855" s="4"/>
      <c r="AU855" s="4"/>
      <c r="AV855" s="4"/>
      <c r="AW855" s="4"/>
      <c r="AX855" s="4"/>
      <c r="AY855" s="4"/>
      <c r="AZ855" s="4"/>
      <c r="BA855" s="4"/>
      <c r="BB855" s="4"/>
      <c r="BC855" s="5"/>
      <c r="BD855" s="4"/>
      <c r="BE855" s="4"/>
      <c r="BF855" s="4"/>
      <c r="BG855" s="4"/>
      <c r="BH855" s="4"/>
      <c r="BI855" s="4"/>
      <c r="BJ855" s="4"/>
      <c r="BK855" s="4"/>
      <c r="BL855" s="4"/>
      <c r="BM855" s="4"/>
      <c r="BN855" s="4"/>
      <c r="BO855" s="4"/>
      <c r="BP855" s="4"/>
      <c r="BQ855" s="4"/>
      <c r="BR855" s="4"/>
    </row>
    <row r="856" spans="1:70">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c r="AG856" s="4"/>
      <c r="AH856" s="4"/>
      <c r="AI856" s="4"/>
      <c r="AJ856" s="4"/>
      <c r="AK856" s="4"/>
      <c r="AL856" s="4"/>
      <c r="AM856" s="4"/>
      <c r="AN856" s="4"/>
      <c r="AO856" s="4"/>
      <c r="AP856" s="4"/>
      <c r="AQ856" s="4"/>
      <c r="AR856" s="4"/>
      <c r="AS856" s="4"/>
      <c r="AT856" s="4"/>
      <c r="AU856" s="4"/>
      <c r="AV856" s="4"/>
      <c r="AW856" s="4"/>
      <c r="AX856" s="4"/>
      <c r="AY856" s="4"/>
      <c r="AZ856" s="4"/>
      <c r="BA856" s="4"/>
      <c r="BB856" s="4"/>
      <c r="BC856" s="5"/>
      <c r="BD856" s="4"/>
      <c r="BE856" s="4"/>
      <c r="BF856" s="4"/>
      <c r="BG856" s="4"/>
      <c r="BH856" s="4"/>
      <c r="BI856" s="4"/>
      <c r="BJ856" s="4"/>
      <c r="BK856" s="4"/>
      <c r="BL856" s="4"/>
      <c r="BM856" s="4"/>
      <c r="BN856" s="4"/>
      <c r="BO856" s="4"/>
      <c r="BP856" s="4"/>
      <c r="BQ856" s="4"/>
      <c r="BR856" s="4"/>
    </row>
    <row r="857" spans="1:70">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c r="AG857" s="4"/>
      <c r="AH857" s="4"/>
      <c r="AI857" s="4"/>
      <c r="AJ857" s="4"/>
      <c r="AK857" s="4"/>
      <c r="AL857" s="4"/>
      <c r="AM857" s="4"/>
      <c r="AN857" s="4"/>
      <c r="AO857" s="4"/>
      <c r="AP857" s="4"/>
      <c r="AQ857" s="4"/>
      <c r="AR857" s="4"/>
      <c r="AS857" s="4"/>
      <c r="AT857" s="4"/>
      <c r="AU857" s="4"/>
      <c r="AV857" s="4"/>
      <c r="AW857" s="4"/>
      <c r="AX857" s="4"/>
      <c r="AY857" s="4"/>
      <c r="AZ857" s="4"/>
      <c r="BA857" s="4"/>
      <c r="BB857" s="4"/>
      <c r="BC857" s="5"/>
      <c r="BD857" s="4"/>
      <c r="BE857" s="4"/>
      <c r="BF857" s="4"/>
      <c r="BG857" s="4"/>
      <c r="BH857" s="4"/>
      <c r="BI857" s="4"/>
      <c r="BJ857" s="4"/>
      <c r="BK857" s="4"/>
      <c r="BL857" s="4"/>
      <c r="BM857" s="4"/>
      <c r="BN857" s="4"/>
      <c r="BO857" s="4"/>
      <c r="BP857" s="4"/>
      <c r="BQ857" s="4"/>
      <c r="BR857" s="4"/>
    </row>
    <row r="858" spans="1:70">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c r="AG858" s="4"/>
      <c r="AH858" s="4"/>
      <c r="AI858" s="4"/>
      <c r="AJ858" s="4"/>
      <c r="AK858" s="4"/>
      <c r="AL858" s="4"/>
      <c r="AM858" s="4"/>
      <c r="AN858" s="4"/>
      <c r="AO858" s="4"/>
      <c r="AP858" s="4"/>
      <c r="AQ858" s="4"/>
      <c r="AR858" s="4"/>
      <c r="AS858" s="4"/>
      <c r="AT858" s="4"/>
      <c r="AU858" s="4"/>
      <c r="AV858" s="4"/>
      <c r="AW858" s="4"/>
      <c r="AX858" s="4"/>
      <c r="AY858" s="4"/>
      <c r="AZ858" s="4"/>
      <c r="BA858" s="4"/>
      <c r="BB858" s="4"/>
      <c r="BC858" s="5"/>
      <c r="BD858" s="4"/>
      <c r="BE858" s="4"/>
      <c r="BF858" s="4"/>
      <c r="BG858" s="4"/>
      <c r="BH858" s="4"/>
      <c r="BI858" s="4"/>
      <c r="BJ858" s="4"/>
      <c r="BK858" s="4"/>
      <c r="BL858" s="4"/>
      <c r="BM858" s="4"/>
      <c r="BN858" s="4"/>
      <c r="BO858" s="4"/>
      <c r="BP858" s="4"/>
      <c r="BQ858" s="4"/>
      <c r="BR858" s="4"/>
    </row>
    <row r="859" spans="1:70">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c r="AG859" s="4"/>
      <c r="AH859" s="4"/>
      <c r="AI859" s="4"/>
      <c r="AJ859" s="4"/>
      <c r="AK859" s="4"/>
      <c r="AL859" s="4"/>
      <c r="AM859" s="4"/>
      <c r="AN859" s="4"/>
      <c r="AO859" s="4"/>
      <c r="AP859" s="4"/>
      <c r="AQ859" s="4"/>
      <c r="AR859" s="4"/>
      <c r="AS859" s="4"/>
      <c r="AT859" s="4"/>
      <c r="AU859" s="4"/>
      <c r="AV859" s="4"/>
      <c r="AW859" s="4"/>
      <c r="AX859" s="4"/>
      <c r="AY859" s="4"/>
      <c r="AZ859" s="4"/>
      <c r="BA859" s="4"/>
      <c r="BB859" s="4"/>
      <c r="BC859" s="5"/>
      <c r="BD859" s="4"/>
      <c r="BE859" s="4"/>
      <c r="BF859" s="4"/>
      <c r="BG859" s="4"/>
      <c r="BH859" s="4"/>
      <c r="BI859" s="4"/>
      <c r="BJ859" s="4"/>
      <c r="BK859" s="4"/>
      <c r="BL859" s="4"/>
      <c r="BM859" s="4"/>
      <c r="BN859" s="4"/>
      <c r="BO859" s="4"/>
      <c r="BP859" s="4"/>
      <c r="BQ859" s="4"/>
      <c r="BR859" s="4"/>
    </row>
    <row r="860" spans="1:7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c r="AG860" s="4"/>
      <c r="AH860" s="4"/>
      <c r="AI860" s="4"/>
      <c r="AJ860" s="4"/>
      <c r="AK860" s="4"/>
      <c r="AL860" s="4"/>
      <c r="AM860" s="4"/>
      <c r="AN860" s="4"/>
      <c r="AO860" s="4"/>
      <c r="AP860" s="4"/>
      <c r="AQ860" s="4"/>
      <c r="AR860" s="4"/>
      <c r="AS860" s="4"/>
      <c r="AT860" s="4"/>
      <c r="AU860" s="4"/>
      <c r="AV860" s="4"/>
      <c r="AW860" s="4"/>
      <c r="AX860" s="4"/>
      <c r="AY860" s="4"/>
      <c r="AZ860" s="4"/>
      <c r="BA860" s="4"/>
      <c r="BB860" s="4"/>
      <c r="BC860" s="5"/>
      <c r="BD860" s="4"/>
      <c r="BE860" s="4"/>
      <c r="BF860" s="4"/>
      <c r="BG860" s="4"/>
      <c r="BH860" s="4"/>
      <c r="BI860" s="4"/>
      <c r="BJ860" s="4"/>
      <c r="BK860" s="4"/>
      <c r="BL860" s="4"/>
      <c r="BM860" s="4"/>
      <c r="BN860" s="4"/>
      <c r="BO860" s="4"/>
      <c r="BP860" s="4"/>
      <c r="BQ860" s="4"/>
      <c r="BR860" s="4"/>
    </row>
    <row r="861" spans="1:70">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c r="AG861" s="4"/>
      <c r="AH861" s="4"/>
      <c r="AI861" s="4"/>
      <c r="AJ861" s="4"/>
      <c r="AK861" s="4"/>
      <c r="AL861" s="4"/>
      <c r="AM861" s="4"/>
      <c r="AN861" s="4"/>
      <c r="AO861" s="4"/>
      <c r="AP861" s="4"/>
      <c r="AQ861" s="4"/>
      <c r="AR861" s="4"/>
      <c r="AS861" s="4"/>
      <c r="AT861" s="4"/>
      <c r="AU861" s="4"/>
      <c r="AV861" s="4"/>
      <c r="AW861" s="4"/>
      <c r="AX861" s="4"/>
      <c r="AY861" s="4"/>
      <c r="AZ861" s="4"/>
      <c r="BA861" s="4"/>
      <c r="BB861" s="4"/>
      <c r="BC861" s="5"/>
      <c r="BD861" s="4"/>
      <c r="BE861" s="4"/>
      <c r="BF861" s="4"/>
      <c r="BG861" s="4"/>
      <c r="BH861" s="4"/>
      <c r="BI861" s="4"/>
      <c r="BJ861" s="4"/>
      <c r="BK861" s="4"/>
      <c r="BL861" s="4"/>
      <c r="BM861" s="4"/>
      <c r="BN861" s="4"/>
      <c r="BO861" s="4"/>
      <c r="BP861" s="4"/>
      <c r="BQ861" s="4"/>
      <c r="BR861" s="4"/>
    </row>
    <row r="862" spans="1:70">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c r="AG862" s="4"/>
      <c r="AH862" s="4"/>
      <c r="AI862" s="4"/>
      <c r="AJ862" s="4"/>
      <c r="AK862" s="4"/>
      <c r="AL862" s="4"/>
      <c r="AM862" s="4"/>
      <c r="AN862" s="4"/>
      <c r="AO862" s="4"/>
      <c r="AP862" s="4"/>
      <c r="AQ862" s="4"/>
      <c r="AR862" s="4"/>
      <c r="AS862" s="4"/>
      <c r="AT862" s="4"/>
      <c r="AU862" s="4"/>
      <c r="AV862" s="4"/>
      <c r="AW862" s="4"/>
      <c r="AX862" s="4"/>
      <c r="AY862" s="4"/>
      <c r="AZ862" s="4"/>
      <c r="BA862" s="4"/>
      <c r="BB862" s="4"/>
      <c r="BC862" s="5"/>
      <c r="BD862" s="4"/>
      <c r="BE862" s="4"/>
      <c r="BF862" s="4"/>
      <c r="BG862" s="4"/>
      <c r="BH862" s="4"/>
      <c r="BI862" s="4"/>
      <c r="BJ862" s="4"/>
      <c r="BK862" s="4"/>
      <c r="BL862" s="4"/>
      <c r="BM862" s="4"/>
      <c r="BN862" s="4"/>
      <c r="BO862" s="4"/>
      <c r="BP862" s="4"/>
      <c r="BQ862" s="4"/>
      <c r="BR862" s="4"/>
    </row>
    <row r="863" spans="1:70">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c r="AG863" s="4"/>
      <c r="AH863" s="4"/>
      <c r="AI863" s="4"/>
      <c r="AJ863" s="4"/>
      <c r="AK863" s="4"/>
      <c r="AL863" s="4"/>
      <c r="AM863" s="4"/>
      <c r="AN863" s="4"/>
      <c r="AO863" s="4"/>
      <c r="AP863" s="4"/>
      <c r="AQ863" s="4"/>
      <c r="AR863" s="4"/>
      <c r="AS863" s="4"/>
      <c r="AT863" s="4"/>
      <c r="AU863" s="4"/>
      <c r="AV863" s="4"/>
      <c r="AW863" s="4"/>
      <c r="AX863" s="4"/>
      <c r="AY863" s="4"/>
      <c r="AZ863" s="4"/>
      <c r="BA863" s="4"/>
      <c r="BB863" s="4"/>
      <c r="BC863" s="5"/>
      <c r="BD863" s="4"/>
      <c r="BE863" s="4"/>
      <c r="BF863" s="4"/>
      <c r="BG863" s="4"/>
      <c r="BH863" s="4"/>
      <c r="BI863" s="4"/>
      <c r="BJ863" s="4"/>
      <c r="BK863" s="4"/>
      <c r="BL863" s="4"/>
      <c r="BM863" s="4"/>
      <c r="BN863" s="4"/>
      <c r="BO863" s="4"/>
      <c r="BP863" s="4"/>
      <c r="BQ863" s="4"/>
      <c r="BR863" s="4"/>
    </row>
    <row r="864" spans="1:70">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c r="AG864" s="4"/>
      <c r="AH864" s="4"/>
      <c r="AI864" s="4"/>
      <c r="AJ864" s="4"/>
      <c r="AK864" s="4"/>
      <c r="AL864" s="4"/>
      <c r="AM864" s="4"/>
      <c r="AN864" s="4"/>
      <c r="AO864" s="4"/>
      <c r="AP864" s="4"/>
      <c r="AQ864" s="4"/>
      <c r="AR864" s="4"/>
      <c r="AS864" s="4"/>
      <c r="AT864" s="4"/>
      <c r="AU864" s="4"/>
      <c r="AV864" s="4"/>
      <c r="AW864" s="4"/>
      <c r="AX864" s="4"/>
      <c r="AY864" s="4"/>
      <c r="AZ864" s="4"/>
      <c r="BA864" s="4"/>
      <c r="BB864" s="4"/>
      <c r="BC864" s="5"/>
      <c r="BD864" s="4"/>
      <c r="BE864" s="4"/>
      <c r="BF864" s="4"/>
      <c r="BG864" s="4"/>
      <c r="BH864" s="4"/>
      <c r="BI864" s="4"/>
      <c r="BJ864" s="4"/>
      <c r="BK864" s="4"/>
      <c r="BL864" s="4"/>
      <c r="BM864" s="4"/>
      <c r="BN864" s="4"/>
      <c r="BO864" s="4"/>
      <c r="BP864" s="4"/>
      <c r="BQ864" s="4"/>
      <c r="BR864" s="4"/>
    </row>
    <row r="865" spans="1:70">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c r="AG865" s="4"/>
      <c r="AH865" s="4"/>
      <c r="AI865" s="4"/>
      <c r="AJ865" s="4"/>
      <c r="AK865" s="4"/>
      <c r="AL865" s="4"/>
      <c r="AM865" s="4"/>
      <c r="AN865" s="4"/>
      <c r="AO865" s="4"/>
      <c r="AP865" s="4"/>
      <c r="AQ865" s="4"/>
      <c r="AR865" s="4"/>
      <c r="AS865" s="4"/>
      <c r="AT865" s="4"/>
      <c r="AU865" s="4"/>
      <c r="AV865" s="4"/>
      <c r="AW865" s="4"/>
      <c r="AX865" s="4"/>
      <c r="AY865" s="4"/>
      <c r="AZ865" s="4"/>
      <c r="BA865" s="4"/>
      <c r="BB865" s="4"/>
      <c r="BC865" s="5"/>
      <c r="BD865" s="4"/>
      <c r="BE865" s="4"/>
      <c r="BF865" s="4"/>
      <c r="BG865" s="4"/>
      <c r="BH865" s="4"/>
      <c r="BI865" s="4"/>
      <c r="BJ865" s="4"/>
      <c r="BK865" s="4"/>
      <c r="BL865" s="4"/>
      <c r="BM865" s="4"/>
      <c r="BN865" s="4"/>
      <c r="BO865" s="4"/>
      <c r="BP865" s="4"/>
      <c r="BQ865" s="4"/>
      <c r="BR865" s="4"/>
    </row>
    <row r="866" spans="1:70">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c r="AG866" s="4"/>
      <c r="AH866" s="4"/>
      <c r="AI866" s="4"/>
      <c r="AJ866" s="4"/>
      <c r="AK866" s="4"/>
      <c r="AL866" s="4"/>
      <c r="AM866" s="4"/>
      <c r="AN866" s="4"/>
      <c r="AO866" s="4"/>
      <c r="AP866" s="4"/>
      <c r="AQ866" s="4"/>
      <c r="AR866" s="4"/>
      <c r="AS866" s="4"/>
      <c r="AT866" s="4"/>
      <c r="AU866" s="4"/>
      <c r="AV866" s="4"/>
      <c r="AW866" s="4"/>
      <c r="AX866" s="4"/>
      <c r="AY866" s="4"/>
      <c r="AZ866" s="4"/>
      <c r="BA866" s="4"/>
      <c r="BB866" s="4"/>
      <c r="BC866" s="5"/>
      <c r="BD866" s="4"/>
      <c r="BE866" s="4"/>
      <c r="BF866" s="4"/>
      <c r="BG866" s="4"/>
      <c r="BH866" s="4"/>
      <c r="BI866" s="4"/>
      <c r="BJ866" s="4"/>
      <c r="BK866" s="4"/>
      <c r="BL866" s="4"/>
      <c r="BM866" s="4"/>
      <c r="BN866" s="4"/>
      <c r="BO866" s="4"/>
      <c r="BP866" s="4"/>
      <c r="BQ866" s="4"/>
      <c r="BR866" s="4"/>
    </row>
    <row r="867" spans="1:70">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c r="AG867" s="4"/>
      <c r="AH867" s="4"/>
      <c r="AI867" s="4"/>
      <c r="AJ867" s="4"/>
      <c r="AK867" s="4"/>
      <c r="AL867" s="4"/>
      <c r="AM867" s="4"/>
      <c r="AN867" s="4"/>
      <c r="AO867" s="4"/>
      <c r="AP867" s="4"/>
      <c r="AQ867" s="4"/>
      <c r="AR867" s="4"/>
      <c r="AS867" s="4"/>
      <c r="AT867" s="4"/>
      <c r="AU867" s="4"/>
      <c r="AV867" s="4"/>
      <c r="AW867" s="4"/>
      <c r="AX867" s="4"/>
      <c r="AY867" s="4"/>
      <c r="AZ867" s="4"/>
      <c r="BA867" s="4"/>
      <c r="BB867" s="4"/>
      <c r="BC867" s="5"/>
      <c r="BD867" s="4"/>
      <c r="BE867" s="4"/>
      <c r="BF867" s="4"/>
      <c r="BG867" s="4"/>
      <c r="BH867" s="4"/>
      <c r="BI867" s="4"/>
      <c r="BJ867" s="4"/>
      <c r="BK867" s="4"/>
      <c r="BL867" s="4"/>
      <c r="BM867" s="4"/>
      <c r="BN867" s="4"/>
      <c r="BO867" s="4"/>
      <c r="BP867" s="4"/>
      <c r="BQ867" s="4"/>
      <c r="BR867" s="4"/>
    </row>
    <row r="868" spans="1:70">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c r="AG868" s="4"/>
      <c r="AH868" s="4"/>
      <c r="AI868" s="4"/>
      <c r="AJ868" s="4"/>
      <c r="AK868" s="4"/>
      <c r="AL868" s="4"/>
      <c r="AM868" s="4"/>
      <c r="AN868" s="4"/>
      <c r="AO868" s="4"/>
      <c r="AP868" s="4"/>
      <c r="AQ868" s="4"/>
      <c r="AR868" s="4"/>
      <c r="AS868" s="4"/>
      <c r="AT868" s="4"/>
      <c r="AU868" s="4"/>
      <c r="AV868" s="4"/>
      <c r="AW868" s="4"/>
      <c r="AX868" s="4"/>
      <c r="AY868" s="4"/>
      <c r="AZ868" s="4"/>
      <c r="BA868" s="4"/>
      <c r="BB868" s="4"/>
      <c r="BC868" s="5"/>
      <c r="BD868" s="4"/>
      <c r="BE868" s="4"/>
      <c r="BF868" s="4"/>
      <c r="BG868" s="4"/>
      <c r="BH868" s="4"/>
      <c r="BI868" s="4"/>
      <c r="BJ868" s="4"/>
      <c r="BK868" s="4"/>
      <c r="BL868" s="4"/>
      <c r="BM868" s="4"/>
      <c r="BN868" s="4"/>
      <c r="BO868" s="4"/>
      <c r="BP868" s="4"/>
      <c r="BQ868" s="4"/>
      <c r="BR868" s="4"/>
    </row>
    <row r="869" spans="1:70">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c r="AG869" s="4"/>
      <c r="AH869" s="4"/>
      <c r="AI869" s="4"/>
      <c r="AJ869" s="4"/>
      <c r="AK869" s="4"/>
      <c r="AL869" s="4"/>
      <c r="AM869" s="4"/>
      <c r="AN869" s="4"/>
      <c r="AO869" s="4"/>
      <c r="AP869" s="4"/>
      <c r="AQ869" s="4"/>
      <c r="AR869" s="4"/>
      <c r="AS869" s="4"/>
      <c r="AT869" s="4"/>
      <c r="AU869" s="4"/>
      <c r="AV869" s="4"/>
      <c r="AW869" s="4"/>
      <c r="AX869" s="4"/>
      <c r="AY869" s="4"/>
      <c r="AZ869" s="4"/>
      <c r="BA869" s="4"/>
      <c r="BB869" s="4"/>
      <c r="BC869" s="5"/>
      <c r="BD869" s="4"/>
      <c r="BE869" s="4"/>
      <c r="BF869" s="4"/>
      <c r="BG869" s="4"/>
      <c r="BH869" s="4"/>
      <c r="BI869" s="4"/>
      <c r="BJ869" s="4"/>
      <c r="BK869" s="4"/>
      <c r="BL869" s="4"/>
      <c r="BM869" s="4"/>
      <c r="BN869" s="4"/>
      <c r="BO869" s="4"/>
      <c r="BP869" s="4"/>
      <c r="BQ869" s="4"/>
      <c r="BR869" s="4"/>
    </row>
    <row r="870" spans="1: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c r="AG870" s="4"/>
      <c r="AH870" s="4"/>
      <c r="AI870" s="4"/>
      <c r="AJ870" s="4"/>
      <c r="AK870" s="4"/>
      <c r="AL870" s="4"/>
      <c r="AM870" s="4"/>
      <c r="AN870" s="4"/>
      <c r="AO870" s="4"/>
      <c r="AP870" s="4"/>
      <c r="AQ870" s="4"/>
      <c r="AR870" s="4"/>
      <c r="AS870" s="4"/>
      <c r="AT870" s="4"/>
      <c r="AU870" s="4"/>
      <c r="AV870" s="4"/>
      <c r="AW870" s="4"/>
      <c r="AX870" s="4"/>
      <c r="AY870" s="4"/>
      <c r="AZ870" s="4"/>
      <c r="BA870" s="4"/>
      <c r="BB870" s="4"/>
      <c r="BC870" s="5"/>
      <c r="BD870" s="4"/>
      <c r="BE870" s="4"/>
      <c r="BF870" s="4"/>
      <c r="BG870" s="4"/>
      <c r="BH870" s="4"/>
      <c r="BI870" s="4"/>
      <c r="BJ870" s="4"/>
      <c r="BK870" s="4"/>
      <c r="BL870" s="4"/>
      <c r="BM870" s="4"/>
      <c r="BN870" s="4"/>
      <c r="BO870" s="4"/>
      <c r="BP870" s="4"/>
      <c r="BQ870" s="4"/>
      <c r="BR870" s="4"/>
    </row>
    <row r="871" spans="1:70">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c r="AG871" s="4"/>
      <c r="AH871" s="4"/>
      <c r="AI871" s="4"/>
      <c r="AJ871" s="4"/>
      <c r="AK871" s="4"/>
      <c r="AL871" s="4"/>
      <c r="AM871" s="4"/>
      <c r="AN871" s="4"/>
      <c r="AO871" s="4"/>
      <c r="AP871" s="4"/>
      <c r="AQ871" s="4"/>
      <c r="AR871" s="4"/>
      <c r="AS871" s="4"/>
      <c r="AT871" s="4"/>
      <c r="AU871" s="4"/>
      <c r="AV871" s="4"/>
      <c r="AW871" s="4"/>
      <c r="AX871" s="4"/>
      <c r="AY871" s="4"/>
      <c r="AZ871" s="4"/>
      <c r="BA871" s="4"/>
      <c r="BB871" s="4"/>
      <c r="BC871" s="5"/>
      <c r="BD871" s="4"/>
      <c r="BE871" s="4"/>
      <c r="BF871" s="4"/>
      <c r="BG871" s="4"/>
      <c r="BH871" s="4"/>
      <c r="BI871" s="4"/>
      <c r="BJ871" s="4"/>
      <c r="BK871" s="4"/>
      <c r="BL871" s="4"/>
      <c r="BM871" s="4"/>
      <c r="BN871" s="4"/>
      <c r="BO871" s="4"/>
      <c r="BP871" s="4"/>
      <c r="BQ871" s="4"/>
      <c r="BR871" s="4"/>
    </row>
    <row r="872" spans="1:70">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c r="AG872" s="4"/>
      <c r="AH872" s="4"/>
      <c r="AI872" s="4"/>
      <c r="AJ872" s="4"/>
      <c r="AK872" s="4"/>
      <c r="AL872" s="4"/>
      <c r="AM872" s="4"/>
      <c r="AN872" s="4"/>
      <c r="AO872" s="4"/>
      <c r="AP872" s="4"/>
      <c r="AQ872" s="4"/>
      <c r="AR872" s="4"/>
      <c r="AS872" s="4"/>
      <c r="AT872" s="4"/>
      <c r="AU872" s="4"/>
      <c r="AV872" s="4"/>
      <c r="AW872" s="4"/>
      <c r="AX872" s="4"/>
      <c r="AY872" s="4"/>
      <c r="AZ872" s="4"/>
      <c r="BA872" s="4"/>
      <c r="BB872" s="4"/>
      <c r="BC872" s="5"/>
      <c r="BD872" s="4"/>
      <c r="BE872" s="4"/>
      <c r="BF872" s="4"/>
      <c r="BG872" s="4"/>
      <c r="BH872" s="4"/>
      <c r="BI872" s="4"/>
      <c r="BJ872" s="4"/>
      <c r="BK872" s="4"/>
      <c r="BL872" s="4"/>
      <c r="BM872" s="4"/>
      <c r="BN872" s="4"/>
      <c r="BO872" s="4"/>
      <c r="BP872" s="4"/>
      <c r="BQ872" s="4"/>
      <c r="BR872" s="4"/>
    </row>
    <row r="873" spans="1:70">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c r="AG873" s="4"/>
      <c r="AH873" s="4"/>
      <c r="AI873" s="4"/>
      <c r="AJ873" s="4"/>
      <c r="AK873" s="4"/>
      <c r="AL873" s="4"/>
      <c r="AM873" s="4"/>
      <c r="AN873" s="4"/>
      <c r="AO873" s="4"/>
      <c r="AP873" s="4"/>
      <c r="AQ873" s="4"/>
      <c r="AR873" s="4"/>
      <c r="AS873" s="4"/>
      <c r="AT873" s="4"/>
      <c r="AU873" s="4"/>
      <c r="AV873" s="4"/>
      <c r="AW873" s="4"/>
      <c r="AX873" s="4"/>
      <c r="AY873" s="4"/>
      <c r="AZ873" s="4"/>
      <c r="BA873" s="4"/>
      <c r="BB873" s="4"/>
      <c r="BC873" s="5"/>
      <c r="BD873" s="4"/>
      <c r="BE873" s="4"/>
      <c r="BF873" s="4"/>
      <c r="BG873" s="4"/>
      <c r="BH873" s="4"/>
      <c r="BI873" s="4"/>
      <c r="BJ873" s="4"/>
      <c r="BK873" s="4"/>
      <c r="BL873" s="4"/>
      <c r="BM873" s="4"/>
      <c r="BN873" s="4"/>
      <c r="BO873" s="4"/>
      <c r="BP873" s="4"/>
      <c r="BQ873" s="4"/>
      <c r="BR873" s="4"/>
    </row>
    <row r="874" spans="1:70">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c r="AG874" s="4"/>
      <c r="AH874" s="4"/>
      <c r="AI874" s="4"/>
      <c r="AJ874" s="4"/>
      <c r="AK874" s="4"/>
      <c r="AL874" s="4"/>
      <c r="AM874" s="4"/>
      <c r="AN874" s="4"/>
      <c r="AO874" s="4"/>
      <c r="AP874" s="4"/>
      <c r="AQ874" s="4"/>
      <c r="AR874" s="4"/>
      <c r="AS874" s="4"/>
      <c r="AT874" s="4"/>
      <c r="AU874" s="4"/>
      <c r="AV874" s="4"/>
      <c r="AW874" s="4"/>
      <c r="AX874" s="4"/>
      <c r="AY874" s="4"/>
      <c r="AZ874" s="4"/>
      <c r="BA874" s="4"/>
      <c r="BB874" s="4"/>
      <c r="BC874" s="5"/>
      <c r="BD874" s="4"/>
      <c r="BE874" s="4"/>
      <c r="BF874" s="4"/>
      <c r="BG874" s="4"/>
      <c r="BH874" s="4"/>
      <c r="BI874" s="4"/>
      <c r="BJ874" s="4"/>
      <c r="BK874" s="4"/>
      <c r="BL874" s="4"/>
      <c r="BM874" s="4"/>
      <c r="BN874" s="4"/>
      <c r="BO874" s="4"/>
      <c r="BP874" s="4"/>
      <c r="BQ874" s="4"/>
      <c r="BR874" s="4"/>
    </row>
    <row r="875" spans="1:70">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c r="AG875" s="4"/>
      <c r="AH875" s="4"/>
      <c r="AI875" s="4"/>
      <c r="AJ875" s="4"/>
      <c r="AK875" s="4"/>
      <c r="AL875" s="4"/>
      <c r="AM875" s="4"/>
      <c r="AN875" s="4"/>
      <c r="AO875" s="4"/>
      <c r="AP875" s="4"/>
      <c r="AQ875" s="4"/>
      <c r="AR875" s="4"/>
      <c r="AS875" s="4"/>
      <c r="AT875" s="4"/>
      <c r="AU875" s="4"/>
      <c r="AV875" s="4"/>
      <c r="AW875" s="4"/>
      <c r="AX875" s="4"/>
      <c r="AY875" s="4"/>
      <c r="AZ875" s="4"/>
      <c r="BA875" s="4"/>
      <c r="BB875" s="4"/>
      <c r="BC875" s="5"/>
      <c r="BD875" s="4"/>
      <c r="BE875" s="4"/>
      <c r="BF875" s="4"/>
      <c r="BG875" s="4"/>
      <c r="BH875" s="4"/>
      <c r="BI875" s="4"/>
      <c r="BJ875" s="4"/>
      <c r="BK875" s="4"/>
      <c r="BL875" s="4"/>
      <c r="BM875" s="4"/>
      <c r="BN875" s="4"/>
      <c r="BO875" s="4"/>
      <c r="BP875" s="4"/>
      <c r="BQ875" s="4"/>
      <c r="BR875" s="4"/>
    </row>
    <row r="876" spans="1:70">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c r="AG876" s="4"/>
      <c r="AH876" s="4"/>
      <c r="AI876" s="4"/>
      <c r="AJ876" s="4"/>
      <c r="AK876" s="4"/>
      <c r="AL876" s="4"/>
      <c r="AM876" s="4"/>
      <c r="AN876" s="4"/>
      <c r="AO876" s="4"/>
      <c r="AP876" s="4"/>
      <c r="AQ876" s="4"/>
      <c r="AR876" s="4"/>
      <c r="AS876" s="4"/>
      <c r="AT876" s="4"/>
      <c r="AU876" s="4"/>
      <c r="AV876" s="4"/>
      <c r="AW876" s="4"/>
      <c r="AX876" s="4"/>
      <c r="AY876" s="4"/>
      <c r="AZ876" s="4"/>
      <c r="BA876" s="4"/>
      <c r="BB876" s="4"/>
      <c r="BC876" s="5"/>
      <c r="BD876" s="4"/>
      <c r="BE876" s="4"/>
      <c r="BF876" s="4"/>
      <c r="BG876" s="4"/>
      <c r="BH876" s="4"/>
      <c r="BI876" s="4"/>
      <c r="BJ876" s="4"/>
      <c r="BK876" s="4"/>
      <c r="BL876" s="4"/>
      <c r="BM876" s="4"/>
      <c r="BN876" s="4"/>
      <c r="BO876" s="4"/>
      <c r="BP876" s="4"/>
      <c r="BQ876" s="4"/>
      <c r="BR876" s="4"/>
    </row>
    <row r="877" spans="1:70">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c r="AG877" s="4"/>
      <c r="AH877" s="4"/>
      <c r="AI877" s="4"/>
      <c r="AJ877" s="4"/>
      <c r="AK877" s="4"/>
      <c r="AL877" s="4"/>
      <c r="AM877" s="4"/>
      <c r="AN877" s="4"/>
      <c r="AO877" s="4"/>
      <c r="AP877" s="4"/>
      <c r="AQ877" s="4"/>
      <c r="AR877" s="4"/>
      <c r="AS877" s="4"/>
      <c r="AT877" s="4"/>
      <c r="AU877" s="4"/>
      <c r="AV877" s="4"/>
      <c r="AW877" s="4"/>
      <c r="AX877" s="4"/>
      <c r="AY877" s="4"/>
      <c r="AZ877" s="4"/>
      <c r="BA877" s="4"/>
      <c r="BB877" s="4"/>
      <c r="BC877" s="5"/>
      <c r="BD877" s="4"/>
      <c r="BE877" s="4"/>
      <c r="BF877" s="4"/>
      <c r="BG877" s="4"/>
      <c r="BH877" s="4"/>
      <c r="BI877" s="4"/>
      <c r="BJ877" s="4"/>
      <c r="BK877" s="4"/>
      <c r="BL877" s="4"/>
      <c r="BM877" s="4"/>
      <c r="BN877" s="4"/>
      <c r="BO877" s="4"/>
      <c r="BP877" s="4"/>
      <c r="BQ877" s="4"/>
      <c r="BR877" s="4"/>
    </row>
    <row r="878" spans="1:70">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c r="AG878" s="4"/>
      <c r="AH878" s="4"/>
      <c r="AI878" s="4"/>
      <c r="AJ878" s="4"/>
      <c r="AK878" s="4"/>
      <c r="AL878" s="4"/>
      <c r="AM878" s="4"/>
      <c r="AN878" s="4"/>
      <c r="AO878" s="4"/>
      <c r="AP878" s="4"/>
      <c r="AQ878" s="4"/>
      <c r="AR878" s="4"/>
      <c r="AS878" s="4"/>
      <c r="AT878" s="4"/>
      <c r="AU878" s="4"/>
      <c r="AV878" s="4"/>
      <c r="AW878" s="4"/>
      <c r="AX878" s="4"/>
      <c r="AY878" s="4"/>
      <c r="AZ878" s="4"/>
      <c r="BA878" s="4"/>
      <c r="BB878" s="4"/>
      <c r="BC878" s="5"/>
      <c r="BD878" s="4"/>
      <c r="BE878" s="4"/>
      <c r="BF878" s="4"/>
      <c r="BG878" s="4"/>
      <c r="BH878" s="4"/>
      <c r="BI878" s="4"/>
      <c r="BJ878" s="4"/>
      <c r="BK878" s="4"/>
      <c r="BL878" s="4"/>
      <c r="BM878" s="4"/>
      <c r="BN878" s="4"/>
      <c r="BO878" s="4"/>
      <c r="BP878" s="4"/>
      <c r="BQ878" s="4"/>
      <c r="BR878" s="4"/>
    </row>
    <row r="879" spans="1:70">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c r="AG879" s="4"/>
      <c r="AH879" s="4"/>
      <c r="AI879" s="4"/>
      <c r="AJ879" s="4"/>
      <c r="AK879" s="4"/>
      <c r="AL879" s="4"/>
      <c r="AM879" s="4"/>
      <c r="AN879" s="4"/>
      <c r="AO879" s="4"/>
      <c r="AP879" s="4"/>
      <c r="AQ879" s="4"/>
      <c r="AR879" s="4"/>
      <c r="AS879" s="4"/>
      <c r="AT879" s="4"/>
      <c r="AU879" s="4"/>
      <c r="AV879" s="4"/>
      <c r="AW879" s="4"/>
      <c r="AX879" s="4"/>
      <c r="AY879" s="4"/>
      <c r="AZ879" s="4"/>
      <c r="BA879" s="4"/>
      <c r="BB879" s="4"/>
      <c r="BC879" s="5"/>
      <c r="BD879" s="4"/>
      <c r="BE879" s="4"/>
      <c r="BF879" s="4"/>
      <c r="BG879" s="4"/>
      <c r="BH879" s="4"/>
      <c r="BI879" s="4"/>
      <c r="BJ879" s="4"/>
      <c r="BK879" s="4"/>
      <c r="BL879" s="4"/>
      <c r="BM879" s="4"/>
      <c r="BN879" s="4"/>
      <c r="BO879" s="4"/>
      <c r="BP879" s="4"/>
      <c r="BQ879" s="4"/>
      <c r="BR879" s="4"/>
    </row>
    <row r="880" spans="1:7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c r="AG880" s="4"/>
      <c r="AH880" s="4"/>
      <c r="AI880" s="4"/>
      <c r="AJ880" s="4"/>
      <c r="AK880" s="4"/>
      <c r="AL880" s="4"/>
      <c r="AM880" s="4"/>
      <c r="AN880" s="4"/>
      <c r="AO880" s="4"/>
      <c r="AP880" s="4"/>
      <c r="AQ880" s="4"/>
      <c r="AR880" s="4"/>
      <c r="AS880" s="4"/>
      <c r="AT880" s="4"/>
      <c r="AU880" s="4"/>
      <c r="AV880" s="4"/>
      <c r="AW880" s="4"/>
      <c r="AX880" s="4"/>
      <c r="AY880" s="4"/>
      <c r="AZ880" s="4"/>
      <c r="BA880" s="4"/>
      <c r="BB880" s="4"/>
      <c r="BC880" s="5"/>
      <c r="BD880" s="4"/>
      <c r="BE880" s="4"/>
      <c r="BF880" s="4"/>
      <c r="BG880" s="4"/>
      <c r="BH880" s="4"/>
      <c r="BI880" s="4"/>
      <c r="BJ880" s="4"/>
      <c r="BK880" s="4"/>
      <c r="BL880" s="4"/>
      <c r="BM880" s="4"/>
      <c r="BN880" s="4"/>
      <c r="BO880" s="4"/>
      <c r="BP880" s="4"/>
      <c r="BQ880" s="4"/>
      <c r="BR880" s="4"/>
    </row>
    <row r="881" spans="1:70">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c r="AG881" s="4"/>
      <c r="AH881" s="4"/>
      <c r="AI881" s="4"/>
      <c r="AJ881" s="4"/>
      <c r="AK881" s="4"/>
      <c r="AL881" s="4"/>
      <c r="AM881" s="4"/>
      <c r="AN881" s="4"/>
      <c r="AO881" s="4"/>
      <c r="AP881" s="4"/>
      <c r="AQ881" s="4"/>
      <c r="AR881" s="4"/>
      <c r="AS881" s="4"/>
      <c r="AT881" s="4"/>
      <c r="AU881" s="4"/>
      <c r="AV881" s="4"/>
      <c r="AW881" s="4"/>
      <c r="AX881" s="4"/>
      <c r="AY881" s="4"/>
      <c r="AZ881" s="4"/>
      <c r="BA881" s="4"/>
      <c r="BB881" s="4"/>
      <c r="BC881" s="5"/>
      <c r="BD881" s="4"/>
      <c r="BE881" s="4"/>
      <c r="BF881" s="4"/>
      <c r="BG881" s="4"/>
      <c r="BH881" s="4"/>
      <c r="BI881" s="4"/>
      <c r="BJ881" s="4"/>
      <c r="BK881" s="4"/>
      <c r="BL881" s="4"/>
      <c r="BM881" s="4"/>
      <c r="BN881" s="4"/>
      <c r="BO881" s="4"/>
      <c r="BP881" s="4"/>
      <c r="BQ881" s="4"/>
      <c r="BR881" s="4"/>
    </row>
    <row r="882" spans="1:70">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c r="AG882" s="4"/>
      <c r="AH882" s="4"/>
      <c r="AI882" s="4"/>
      <c r="AJ882" s="4"/>
      <c r="AK882" s="4"/>
      <c r="AL882" s="4"/>
      <c r="AM882" s="4"/>
      <c r="AN882" s="4"/>
      <c r="AO882" s="4"/>
      <c r="AP882" s="4"/>
      <c r="AQ882" s="4"/>
      <c r="AR882" s="4"/>
      <c r="AS882" s="4"/>
      <c r="AT882" s="4"/>
      <c r="AU882" s="4"/>
      <c r="AV882" s="4"/>
      <c r="AW882" s="4"/>
      <c r="AX882" s="4"/>
      <c r="AY882" s="4"/>
      <c r="AZ882" s="4"/>
      <c r="BA882" s="4"/>
      <c r="BB882" s="4"/>
      <c r="BC882" s="5"/>
      <c r="BD882" s="4"/>
      <c r="BE882" s="4"/>
      <c r="BF882" s="4"/>
      <c r="BG882" s="4"/>
      <c r="BH882" s="4"/>
      <c r="BI882" s="4"/>
      <c r="BJ882" s="4"/>
      <c r="BK882" s="4"/>
      <c r="BL882" s="4"/>
      <c r="BM882" s="4"/>
      <c r="BN882" s="4"/>
      <c r="BO882" s="4"/>
      <c r="BP882" s="4"/>
      <c r="BQ882" s="4"/>
      <c r="BR882" s="4"/>
    </row>
    <row r="883" spans="1:70">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c r="AG883" s="4"/>
      <c r="AH883" s="4"/>
      <c r="AI883" s="4"/>
      <c r="AJ883" s="4"/>
      <c r="AK883" s="4"/>
      <c r="AL883" s="4"/>
      <c r="AM883" s="4"/>
      <c r="AN883" s="4"/>
      <c r="AO883" s="4"/>
      <c r="AP883" s="4"/>
      <c r="AQ883" s="4"/>
      <c r="AR883" s="4"/>
      <c r="AS883" s="4"/>
      <c r="AT883" s="4"/>
      <c r="AU883" s="4"/>
      <c r="AV883" s="4"/>
      <c r="AW883" s="4"/>
      <c r="AX883" s="4"/>
      <c r="AY883" s="4"/>
      <c r="AZ883" s="4"/>
      <c r="BA883" s="4"/>
      <c r="BB883" s="4"/>
      <c r="BC883" s="5"/>
      <c r="BD883" s="4"/>
      <c r="BE883" s="4"/>
      <c r="BF883" s="4"/>
      <c r="BG883" s="4"/>
      <c r="BH883" s="4"/>
      <c r="BI883" s="4"/>
      <c r="BJ883" s="4"/>
      <c r="BK883" s="4"/>
      <c r="BL883" s="4"/>
      <c r="BM883" s="4"/>
      <c r="BN883" s="4"/>
      <c r="BO883" s="4"/>
      <c r="BP883" s="4"/>
      <c r="BQ883" s="4"/>
      <c r="BR883" s="4"/>
    </row>
    <row r="884" spans="1:70">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c r="AG884" s="4"/>
      <c r="AH884" s="4"/>
      <c r="AI884" s="4"/>
      <c r="AJ884" s="4"/>
      <c r="AK884" s="4"/>
      <c r="AL884" s="4"/>
      <c r="AM884" s="4"/>
      <c r="AN884" s="4"/>
      <c r="AO884" s="4"/>
      <c r="AP884" s="4"/>
      <c r="AQ884" s="4"/>
      <c r="AR884" s="4"/>
      <c r="AS884" s="4"/>
      <c r="AT884" s="4"/>
      <c r="AU884" s="4"/>
      <c r="AV884" s="4"/>
      <c r="AW884" s="4"/>
      <c r="AX884" s="4"/>
      <c r="AY884" s="4"/>
      <c r="AZ884" s="4"/>
      <c r="BA884" s="4"/>
      <c r="BB884" s="4"/>
      <c r="BC884" s="5"/>
      <c r="BD884" s="4"/>
      <c r="BE884" s="4"/>
      <c r="BF884" s="4"/>
      <c r="BG884" s="4"/>
      <c r="BH884" s="4"/>
      <c r="BI884" s="4"/>
      <c r="BJ884" s="4"/>
      <c r="BK884" s="4"/>
      <c r="BL884" s="4"/>
      <c r="BM884" s="4"/>
      <c r="BN884" s="4"/>
      <c r="BO884" s="4"/>
      <c r="BP884" s="4"/>
      <c r="BQ884" s="4"/>
      <c r="BR884" s="4"/>
    </row>
    <row r="885" spans="1:70">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c r="AG885" s="4"/>
      <c r="AH885" s="4"/>
      <c r="AI885" s="4"/>
      <c r="AJ885" s="4"/>
      <c r="AK885" s="4"/>
      <c r="AL885" s="4"/>
      <c r="AM885" s="4"/>
      <c r="AN885" s="4"/>
      <c r="AO885" s="4"/>
      <c r="AP885" s="4"/>
      <c r="AQ885" s="4"/>
      <c r="AR885" s="4"/>
      <c r="AS885" s="4"/>
      <c r="AT885" s="4"/>
      <c r="AU885" s="4"/>
      <c r="AV885" s="4"/>
      <c r="AW885" s="4"/>
      <c r="AX885" s="4"/>
      <c r="AY885" s="4"/>
      <c r="AZ885" s="4"/>
      <c r="BA885" s="4"/>
      <c r="BB885" s="4"/>
      <c r="BC885" s="5"/>
      <c r="BD885" s="4"/>
      <c r="BE885" s="4"/>
      <c r="BF885" s="4"/>
      <c r="BG885" s="4"/>
      <c r="BH885" s="4"/>
      <c r="BI885" s="4"/>
      <c r="BJ885" s="4"/>
      <c r="BK885" s="4"/>
      <c r="BL885" s="4"/>
      <c r="BM885" s="4"/>
      <c r="BN885" s="4"/>
      <c r="BO885" s="4"/>
      <c r="BP885" s="4"/>
      <c r="BQ885" s="4"/>
      <c r="BR885" s="4"/>
    </row>
    <row r="886" spans="1:70">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c r="AG886" s="4"/>
      <c r="AH886" s="4"/>
      <c r="AI886" s="4"/>
      <c r="AJ886" s="4"/>
      <c r="AK886" s="4"/>
      <c r="AL886" s="4"/>
      <c r="AM886" s="4"/>
      <c r="AN886" s="4"/>
      <c r="AO886" s="4"/>
      <c r="AP886" s="4"/>
      <c r="AQ886" s="4"/>
      <c r="AR886" s="4"/>
      <c r="AS886" s="4"/>
      <c r="AT886" s="4"/>
      <c r="AU886" s="4"/>
      <c r="AV886" s="4"/>
      <c r="AW886" s="4"/>
      <c r="AX886" s="4"/>
      <c r="AY886" s="4"/>
      <c r="AZ886" s="4"/>
      <c r="BA886" s="4"/>
      <c r="BB886" s="4"/>
      <c r="BC886" s="5"/>
      <c r="BD886" s="4"/>
      <c r="BE886" s="4"/>
      <c r="BF886" s="4"/>
      <c r="BG886" s="4"/>
      <c r="BH886" s="4"/>
      <c r="BI886" s="4"/>
      <c r="BJ886" s="4"/>
      <c r="BK886" s="4"/>
      <c r="BL886" s="4"/>
      <c r="BM886" s="4"/>
      <c r="BN886" s="4"/>
      <c r="BO886" s="4"/>
      <c r="BP886" s="4"/>
      <c r="BQ886" s="4"/>
      <c r="BR886" s="4"/>
    </row>
    <row r="887" spans="1:70">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c r="AG887" s="4"/>
      <c r="AH887" s="4"/>
      <c r="AI887" s="4"/>
      <c r="AJ887" s="4"/>
      <c r="AK887" s="4"/>
      <c r="AL887" s="4"/>
      <c r="AM887" s="4"/>
      <c r="AN887" s="4"/>
      <c r="AO887" s="4"/>
      <c r="AP887" s="4"/>
      <c r="AQ887" s="4"/>
      <c r="AR887" s="4"/>
      <c r="AS887" s="4"/>
      <c r="AT887" s="4"/>
      <c r="AU887" s="4"/>
      <c r="AV887" s="4"/>
      <c r="AW887" s="4"/>
      <c r="AX887" s="4"/>
      <c r="AY887" s="4"/>
      <c r="AZ887" s="4"/>
      <c r="BA887" s="4"/>
      <c r="BB887" s="4"/>
      <c r="BC887" s="5"/>
      <c r="BD887" s="4"/>
      <c r="BE887" s="4"/>
      <c r="BF887" s="4"/>
      <c r="BG887" s="4"/>
      <c r="BH887" s="4"/>
      <c r="BI887" s="4"/>
      <c r="BJ887" s="4"/>
      <c r="BK887" s="4"/>
      <c r="BL887" s="4"/>
      <c r="BM887" s="4"/>
      <c r="BN887" s="4"/>
      <c r="BO887" s="4"/>
      <c r="BP887" s="4"/>
      <c r="BQ887" s="4"/>
      <c r="BR887" s="4"/>
    </row>
    <row r="888" spans="1:70">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c r="AG888" s="4"/>
      <c r="AH888" s="4"/>
      <c r="AI888" s="4"/>
      <c r="AJ888" s="4"/>
      <c r="AK888" s="4"/>
      <c r="AL888" s="4"/>
      <c r="AM888" s="4"/>
      <c r="AN888" s="4"/>
      <c r="AO888" s="4"/>
      <c r="AP888" s="4"/>
      <c r="AQ888" s="4"/>
      <c r="AR888" s="4"/>
      <c r="AS888" s="4"/>
      <c r="AT888" s="4"/>
      <c r="AU888" s="4"/>
      <c r="AV888" s="4"/>
      <c r="AW888" s="4"/>
      <c r="AX888" s="4"/>
      <c r="AY888" s="4"/>
      <c r="AZ888" s="4"/>
      <c r="BA888" s="4"/>
      <c r="BB888" s="4"/>
      <c r="BC888" s="5"/>
      <c r="BD888" s="4"/>
      <c r="BE888" s="4"/>
      <c r="BF888" s="4"/>
      <c r="BG888" s="4"/>
      <c r="BH888" s="4"/>
      <c r="BI888" s="4"/>
      <c r="BJ888" s="4"/>
      <c r="BK888" s="4"/>
      <c r="BL888" s="4"/>
      <c r="BM888" s="4"/>
      <c r="BN888" s="4"/>
      <c r="BO888" s="4"/>
      <c r="BP888" s="4"/>
      <c r="BQ888" s="4"/>
      <c r="BR888" s="4"/>
    </row>
    <row r="889" spans="1:70">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c r="AG889" s="4"/>
      <c r="AH889" s="4"/>
      <c r="AI889" s="4"/>
      <c r="AJ889" s="4"/>
      <c r="AK889" s="4"/>
      <c r="AL889" s="4"/>
      <c r="AM889" s="4"/>
      <c r="AN889" s="4"/>
      <c r="AO889" s="4"/>
      <c r="AP889" s="4"/>
      <c r="AQ889" s="4"/>
      <c r="AR889" s="4"/>
      <c r="AS889" s="4"/>
      <c r="AT889" s="4"/>
      <c r="AU889" s="4"/>
      <c r="AV889" s="4"/>
      <c r="AW889" s="4"/>
      <c r="AX889" s="4"/>
      <c r="AY889" s="4"/>
      <c r="AZ889" s="4"/>
      <c r="BA889" s="4"/>
      <c r="BB889" s="4"/>
      <c r="BC889" s="5"/>
      <c r="BD889" s="4"/>
      <c r="BE889" s="4"/>
      <c r="BF889" s="4"/>
      <c r="BG889" s="4"/>
      <c r="BH889" s="4"/>
      <c r="BI889" s="4"/>
      <c r="BJ889" s="4"/>
      <c r="BK889" s="4"/>
      <c r="BL889" s="4"/>
      <c r="BM889" s="4"/>
      <c r="BN889" s="4"/>
      <c r="BO889" s="4"/>
      <c r="BP889" s="4"/>
      <c r="BQ889" s="4"/>
      <c r="BR889" s="4"/>
    </row>
    <row r="890" spans="1:7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c r="AG890" s="4"/>
      <c r="AH890" s="4"/>
      <c r="AI890" s="4"/>
      <c r="AJ890" s="4"/>
      <c r="AK890" s="4"/>
      <c r="AL890" s="4"/>
      <c r="AM890" s="4"/>
      <c r="AN890" s="4"/>
      <c r="AO890" s="4"/>
      <c r="AP890" s="4"/>
      <c r="AQ890" s="4"/>
      <c r="AR890" s="4"/>
      <c r="AS890" s="4"/>
      <c r="AT890" s="4"/>
      <c r="AU890" s="4"/>
      <c r="AV890" s="4"/>
      <c r="AW890" s="4"/>
      <c r="AX890" s="4"/>
      <c r="AY890" s="4"/>
      <c r="AZ890" s="4"/>
      <c r="BA890" s="4"/>
      <c r="BB890" s="4"/>
      <c r="BC890" s="5"/>
      <c r="BD890" s="4"/>
      <c r="BE890" s="4"/>
      <c r="BF890" s="4"/>
      <c r="BG890" s="4"/>
      <c r="BH890" s="4"/>
      <c r="BI890" s="4"/>
      <c r="BJ890" s="4"/>
      <c r="BK890" s="4"/>
      <c r="BL890" s="4"/>
      <c r="BM890" s="4"/>
      <c r="BN890" s="4"/>
      <c r="BO890" s="4"/>
      <c r="BP890" s="4"/>
      <c r="BQ890" s="4"/>
      <c r="BR890" s="4"/>
    </row>
    <row r="891" spans="1:70">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c r="AG891" s="4"/>
      <c r="AH891" s="4"/>
      <c r="AI891" s="4"/>
      <c r="AJ891" s="4"/>
      <c r="AK891" s="4"/>
      <c r="AL891" s="4"/>
      <c r="AM891" s="4"/>
      <c r="AN891" s="4"/>
      <c r="AO891" s="4"/>
      <c r="AP891" s="4"/>
      <c r="AQ891" s="4"/>
      <c r="AR891" s="4"/>
      <c r="AS891" s="4"/>
      <c r="AT891" s="4"/>
      <c r="AU891" s="4"/>
      <c r="AV891" s="4"/>
      <c r="AW891" s="4"/>
      <c r="AX891" s="4"/>
      <c r="AY891" s="4"/>
      <c r="AZ891" s="4"/>
      <c r="BA891" s="4"/>
      <c r="BB891" s="4"/>
      <c r="BC891" s="5"/>
      <c r="BD891" s="4"/>
      <c r="BE891" s="4"/>
      <c r="BF891" s="4"/>
      <c r="BG891" s="4"/>
      <c r="BH891" s="4"/>
      <c r="BI891" s="4"/>
      <c r="BJ891" s="4"/>
      <c r="BK891" s="4"/>
      <c r="BL891" s="4"/>
      <c r="BM891" s="4"/>
      <c r="BN891" s="4"/>
      <c r="BO891" s="4"/>
      <c r="BP891" s="4"/>
      <c r="BQ891" s="4"/>
      <c r="BR891" s="4"/>
    </row>
    <row r="892" spans="1:70">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c r="AG892" s="4"/>
      <c r="AH892" s="4"/>
      <c r="AI892" s="4"/>
      <c r="AJ892" s="4"/>
      <c r="AK892" s="4"/>
      <c r="AL892" s="4"/>
      <c r="AM892" s="4"/>
      <c r="AN892" s="4"/>
      <c r="AO892" s="4"/>
      <c r="AP892" s="4"/>
      <c r="AQ892" s="4"/>
      <c r="AR892" s="4"/>
      <c r="AS892" s="4"/>
      <c r="AT892" s="4"/>
      <c r="AU892" s="4"/>
      <c r="AV892" s="4"/>
      <c r="AW892" s="4"/>
      <c r="AX892" s="4"/>
      <c r="AY892" s="4"/>
      <c r="AZ892" s="4"/>
      <c r="BA892" s="4"/>
      <c r="BB892" s="4"/>
      <c r="BC892" s="5"/>
      <c r="BD892" s="4"/>
      <c r="BE892" s="4"/>
      <c r="BF892" s="4"/>
      <c r="BG892" s="4"/>
      <c r="BH892" s="4"/>
      <c r="BI892" s="4"/>
      <c r="BJ892" s="4"/>
      <c r="BK892" s="4"/>
      <c r="BL892" s="4"/>
      <c r="BM892" s="4"/>
      <c r="BN892" s="4"/>
      <c r="BO892" s="4"/>
      <c r="BP892" s="4"/>
      <c r="BQ892" s="4"/>
      <c r="BR892" s="4"/>
    </row>
    <row r="893" spans="1:70">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c r="AG893" s="4"/>
      <c r="AH893" s="4"/>
      <c r="AI893" s="4"/>
      <c r="AJ893" s="4"/>
      <c r="AK893" s="4"/>
      <c r="AL893" s="4"/>
      <c r="AM893" s="4"/>
      <c r="AN893" s="4"/>
      <c r="AO893" s="4"/>
      <c r="AP893" s="4"/>
      <c r="AQ893" s="4"/>
      <c r="AR893" s="4"/>
      <c r="AS893" s="4"/>
      <c r="AT893" s="4"/>
      <c r="AU893" s="4"/>
      <c r="AV893" s="4"/>
      <c r="AW893" s="4"/>
      <c r="AX893" s="4"/>
      <c r="AY893" s="4"/>
      <c r="AZ893" s="4"/>
      <c r="BA893" s="4"/>
      <c r="BB893" s="4"/>
      <c r="BC893" s="5"/>
      <c r="BD893" s="4"/>
      <c r="BE893" s="4"/>
      <c r="BF893" s="4"/>
      <c r="BG893" s="4"/>
      <c r="BH893" s="4"/>
      <c r="BI893" s="4"/>
      <c r="BJ893" s="4"/>
      <c r="BK893" s="4"/>
      <c r="BL893" s="4"/>
      <c r="BM893" s="4"/>
      <c r="BN893" s="4"/>
      <c r="BO893" s="4"/>
      <c r="BP893" s="4"/>
      <c r="BQ893" s="4"/>
      <c r="BR893" s="4"/>
    </row>
    <row r="894" spans="1:70">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c r="AG894" s="4"/>
      <c r="AH894" s="4"/>
      <c r="AI894" s="4"/>
      <c r="AJ894" s="4"/>
      <c r="AK894" s="4"/>
      <c r="AL894" s="4"/>
      <c r="AM894" s="4"/>
      <c r="AN894" s="4"/>
      <c r="AO894" s="4"/>
      <c r="AP894" s="4"/>
      <c r="AQ894" s="4"/>
      <c r="AR894" s="4"/>
      <c r="AS894" s="4"/>
      <c r="AT894" s="4"/>
      <c r="AU894" s="4"/>
      <c r="AV894" s="4"/>
      <c r="AW894" s="4"/>
      <c r="AX894" s="4"/>
      <c r="AY894" s="4"/>
      <c r="AZ894" s="4"/>
      <c r="BA894" s="4"/>
      <c r="BB894" s="4"/>
      <c r="BC894" s="5"/>
      <c r="BD894" s="4"/>
      <c r="BE894" s="4"/>
      <c r="BF894" s="4"/>
      <c r="BG894" s="4"/>
      <c r="BH894" s="4"/>
      <c r="BI894" s="4"/>
      <c r="BJ894" s="4"/>
      <c r="BK894" s="4"/>
      <c r="BL894" s="4"/>
      <c r="BM894" s="4"/>
      <c r="BN894" s="4"/>
      <c r="BO894" s="4"/>
      <c r="BP894" s="4"/>
      <c r="BQ894" s="4"/>
      <c r="BR894" s="4"/>
    </row>
    <row r="895" spans="1:70">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c r="AG895" s="4"/>
      <c r="AH895" s="4"/>
      <c r="AI895" s="4"/>
      <c r="AJ895" s="4"/>
      <c r="AK895" s="4"/>
      <c r="AL895" s="4"/>
      <c r="AM895" s="4"/>
      <c r="AN895" s="4"/>
      <c r="AO895" s="4"/>
      <c r="AP895" s="4"/>
      <c r="AQ895" s="4"/>
      <c r="AR895" s="4"/>
      <c r="AS895" s="4"/>
      <c r="AT895" s="4"/>
      <c r="AU895" s="4"/>
      <c r="AV895" s="4"/>
      <c r="AW895" s="4"/>
      <c r="AX895" s="4"/>
      <c r="AY895" s="4"/>
      <c r="AZ895" s="4"/>
      <c r="BA895" s="4"/>
      <c r="BB895" s="4"/>
      <c r="BC895" s="5"/>
      <c r="BD895" s="4"/>
      <c r="BE895" s="4"/>
      <c r="BF895" s="4"/>
      <c r="BG895" s="4"/>
      <c r="BH895" s="4"/>
      <c r="BI895" s="4"/>
      <c r="BJ895" s="4"/>
      <c r="BK895" s="4"/>
      <c r="BL895" s="4"/>
      <c r="BM895" s="4"/>
      <c r="BN895" s="4"/>
      <c r="BO895" s="4"/>
      <c r="BP895" s="4"/>
      <c r="BQ895" s="4"/>
      <c r="BR895" s="4"/>
    </row>
    <row r="896" spans="1:70">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c r="AG896" s="4"/>
      <c r="AH896" s="4"/>
      <c r="AI896" s="4"/>
      <c r="AJ896" s="4"/>
      <c r="AK896" s="4"/>
      <c r="AL896" s="4"/>
      <c r="AM896" s="4"/>
      <c r="AN896" s="4"/>
      <c r="AO896" s="4"/>
      <c r="AP896" s="4"/>
      <c r="AQ896" s="4"/>
      <c r="AR896" s="4"/>
      <c r="AS896" s="4"/>
      <c r="AT896" s="4"/>
      <c r="AU896" s="4"/>
      <c r="AV896" s="4"/>
      <c r="AW896" s="4"/>
      <c r="AX896" s="4"/>
      <c r="AY896" s="4"/>
      <c r="AZ896" s="4"/>
      <c r="BA896" s="4"/>
      <c r="BB896" s="4"/>
      <c r="BC896" s="5"/>
      <c r="BD896" s="4"/>
      <c r="BE896" s="4"/>
      <c r="BF896" s="4"/>
      <c r="BG896" s="4"/>
      <c r="BH896" s="4"/>
      <c r="BI896" s="4"/>
      <c r="BJ896" s="4"/>
      <c r="BK896" s="4"/>
      <c r="BL896" s="4"/>
      <c r="BM896" s="4"/>
      <c r="BN896" s="4"/>
      <c r="BO896" s="4"/>
      <c r="BP896" s="4"/>
      <c r="BQ896" s="4"/>
      <c r="BR896" s="4"/>
    </row>
    <row r="897" spans="1:70">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c r="AG897" s="4"/>
      <c r="AH897" s="4"/>
      <c r="AI897" s="4"/>
      <c r="AJ897" s="4"/>
      <c r="AK897" s="4"/>
      <c r="AL897" s="4"/>
      <c r="AM897" s="4"/>
      <c r="AN897" s="4"/>
      <c r="AO897" s="4"/>
      <c r="AP897" s="4"/>
      <c r="AQ897" s="4"/>
      <c r="AR897" s="4"/>
      <c r="AS897" s="4"/>
      <c r="AT897" s="4"/>
      <c r="AU897" s="4"/>
      <c r="AV897" s="4"/>
      <c r="AW897" s="4"/>
      <c r="AX897" s="4"/>
      <c r="AY897" s="4"/>
      <c r="AZ897" s="4"/>
      <c r="BA897" s="4"/>
      <c r="BB897" s="4"/>
      <c r="BC897" s="5"/>
      <c r="BD897" s="4"/>
      <c r="BE897" s="4"/>
      <c r="BF897" s="4"/>
      <c r="BG897" s="4"/>
      <c r="BH897" s="4"/>
      <c r="BI897" s="4"/>
      <c r="BJ897" s="4"/>
      <c r="BK897" s="4"/>
      <c r="BL897" s="4"/>
      <c r="BM897" s="4"/>
      <c r="BN897" s="4"/>
      <c r="BO897" s="4"/>
      <c r="BP897" s="4"/>
      <c r="BQ897" s="4"/>
      <c r="BR897" s="4"/>
    </row>
    <row r="898" spans="1:70">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c r="AG898" s="4"/>
      <c r="AH898" s="4"/>
      <c r="AI898" s="4"/>
      <c r="AJ898" s="4"/>
      <c r="AK898" s="4"/>
      <c r="AL898" s="4"/>
      <c r="AM898" s="4"/>
      <c r="AN898" s="4"/>
      <c r="AO898" s="4"/>
      <c r="AP898" s="4"/>
      <c r="AQ898" s="4"/>
      <c r="AR898" s="4"/>
      <c r="AS898" s="4"/>
      <c r="AT898" s="4"/>
      <c r="AU898" s="4"/>
      <c r="AV898" s="4"/>
      <c r="AW898" s="4"/>
      <c r="AX898" s="4"/>
      <c r="AY898" s="4"/>
      <c r="AZ898" s="4"/>
      <c r="BA898" s="4"/>
      <c r="BB898" s="4"/>
      <c r="BC898" s="5"/>
      <c r="BD898" s="4"/>
      <c r="BE898" s="4"/>
      <c r="BF898" s="4"/>
      <c r="BG898" s="4"/>
      <c r="BH898" s="4"/>
      <c r="BI898" s="4"/>
      <c r="BJ898" s="4"/>
      <c r="BK898" s="4"/>
      <c r="BL898" s="4"/>
      <c r="BM898" s="4"/>
      <c r="BN898" s="4"/>
      <c r="BO898" s="4"/>
      <c r="BP898" s="4"/>
      <c r="BQ898" s="4"/>
      <c r="BR898" s="4"/>
    </row>
    <row r="899" spans="1:70">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c r="AG899" s="4"/>
      <c r="AH899" s="4"/>
      <c r="AI899" s="4"/>
      <c r="AJ899" s="4"/>
      <c r="AK899" s="4"/>
      <c r="AL899" s="4"/>
      <c r="AM899" s="4"/>
      <c r="AN899" s="4"/>
      <c r="AO899" s="4"/>
      <c r="AP899" s="4"/>
      <c r="AQ899" s="4"/>
      <c r="AR899" s="4"/>
      <c r="AS899" s="4"/>
      <c r="AT899" s="4"/>
      <c r="AU899" s="4"/>
      <c r="AV899" s="4"/>
      <c r="AW899" s="4"/>
      <c r="AX899" s="4"/>
      <c r="AY899" s="4"/>
      <c r="AZ899" s="4"/>
      <c r="BA899" s="4"/>
      <c r="BB899" s="4"/>
      <c r="BC899" s="5"/>
      <c r="BD899" s="4"/>
      <c r="BE899" s="4"/>
      <c r="BF899" s="4"/>
      <c r="BG899" s="4"/>
      <c r="BH899" s="4"/>
      <c r="BI899" s="4"/>
      <c r="BJ899" s="4"/>
      <c r="BK899" s="4"/>
      <c r="BL899" s="4"/>
      <c r="BM899" s="4"/>
      <c r="BN899" s="4"/>
      <c r="BO899" s="4"/>
      <c r="BP899" s="4"/>
      <c r="BQ899" s="4"/>
      <c r="BR899" s="4"/>
    </row>
    <row r="900" spans="1:7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c r="AG900" s="4"/>
      <c r="AH900" s="4"/>
      <c r="AI900" s="4"/>
      <c r="AJ900" s="4"/>
      <c r="AK900" s="4"/>
      <c r="AL900" s="4"/>
      <c r="AM900" s="4"/>
      <c r="AN900" s="4"/>
      <c r="AO900" s="4"/>
      <c r="AP900" s="4"/>
      <c r="AQ900" s="4"/>
      <c r="AR900" s="4"/>
      <c r="AS900" s="4"/>
      <c r="AT900" s="4"/>
      <c r="AU900" s="4"/>
      <c r="AV900" s="4"/>
      <c r="AW900" s="4"/>
      <c r="AX900" s="4"/>
      <c r="AY900" s="4"/>
      <c r="AZ900" s="4"/>
      <c r="BA900" s="4"/>
      <c r="BB900" s="4"/>
      <c r="BC900" s="5"/>
      <c r="BD900" s="4"/>
      <c r="BE900" s="4"/>
      <c r="BF900" s="4"/>
      <c r="BG900" s="4"/>
      <c r="BH900" s="4"/>
      <c r="BI900" s="4"/>
      <c r="BJ900" s="4"/>
      <c r="BK900" s="4"/>
      <c r="BL900" s="4"/>
      <c r="BM900" s="4"/>
      <c r="BN900" s="4"/>
      <c r="BO900" s="4"/>
      <c r="BP900" s="4"/>
      <c r="BQ900" s="4"/>
      <c r="BR900" s="4"/>
    </row>
    <row r="901" spans="1:70">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c r="AG901" s="4"/>
      <c r="AH901" s="4"/>
      <c r="AI901" s="4"/>
      <c r="AJ901" s="4"/>
      <c r="AK901" s="4"/>
      <c r="AL901" s="4"/>
      <c r="AM901" s="4"/>
      <c r="AN901" s="4"/>
      <c r="AO901" s="4"/>
      <c r="AP901" s="4"/>
      <c r="AQ901" s="4"/>
      <c r="AR901" s="4"/>
      <c r="AS901" s="4"/>
      <c r="AT901" s="4"/>
      <c r="AU901" s="4"/>
      <c r="AV901" s="4"/>
      <c r="AW901" s="4"/>
      <c r="AX901" s="4"/>
      <c r="AY901" s="4"/>
      <c r="AZ901" s="4"/>
      <c r="BA901" s="4"/>
      <c r="BB901" s="4"/>
      <c r="BC901" s="5"/>
      <c r="BD901" s="4"/>
      <c r="BE901" s="4"/>
      <c r="BF901" s="4"/>
      <c r="BG901" s="4"/>
      <c r="BH901" s="4"/>
      <c r="BI901" s="4"/>
      <c r="BJ901" s="4"/>
      <c r="BK901" s="4"/>
      <c r="BL901" s="4"/>
      <c r="BM901" s="4"/>
      <c r="BN901" s="4"/>
      <c r="BO901" s="4"/>
      <c r="BP901" s="4"/>
      <c r="BQ901" s="4"/>
      <c r="BR901" s="4"/>
    </row>
    <row r="902" spans="1:70">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c r="AG902" s="4"/>
      <c r="AH902" s="4"/>
      <c r="AI902" s="4"/>
      <c r="AJ902" s="4"/>
      <c r="AK902" s="4"/>
      <c r="AL902" s="4"/>
      <c r="AM902" s="4"/>
      <c r="AN902" s="4"/>
      <c r="AO902" s="4"/>
      <c r="AP902" s="4"/>
      <c r="AQ902" s="4"/>
      <c r="AR902" s="4"/>
      <c r="AS902" s="4"/>
      <c r="AT902" s="4"/>
      <c r="AU902" s="4"/>
      <c r="AV902" s="4"/>
      <c r="AW902" s="4"/>
      <c r="AX902" s="4"/>
      <c r="AY902" s="4"/>
      <c r="AZ902" s="4"/>
      <c r="BA902" s="4"/>
      <c r="BB902" s="4"/>
      <c r="BC902" s="5"/>
      <c r="BD902" s="4"/>
      <c r="BE902" s="4"/>
      <c r="BF902" s="4"/>
      <c r="BG902" s="4"/>
      <c r="BH902" s="4"/>
      <c r="BI902" s="4"/>
      <c r="BJ902" s="4"/>
      <c r="BK902" s="4"/>
      <c r="BL902" s="4"/>
      <c r="BM902" s="4"/>
      <c r="BN902" s="4"/>
      <c r="BO902" s="4"/>
      <c r="BP902" s="4"/>
      <c r="BQ902" s="4"/>
      <c r="BR902" s="4"/>
    </row>
    <row r="903" spans="1:70">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c r="AG903" s="4"/>
      <c r="AH903" s="4"/>
      <c r="AI903" s="4"/>
      <c r="AJ903" s="4"/>
      <c r="AK903" s="4"/>
      <c r="AL903" s="4"/>
      <c r="AM903" s="4"/>
      <c r="AN903" s="4"/>
      <c r="AO903" s="4"/>
      <c r="AP903" s="4"/>
      <c r="AQ903" s="4"/>
      <c r="AR903" s="4"/>
      <c r="AS903" s="4"/>
      <c r="AT903" s="4"/>
      <c r="AU903" s="4"/>
      <c r="AV903" s="4"/>
      <c r="AW903" s="4"/>
      <c r="AX903" s="4"/>
      <c r="AY903" s="4"/>
      <c r="AZ903" s="4"/>
      <c r="BA903" s="4"/>
      <c r="BB903" s="4"/>
      <c r="BC903" s="5"/>
      <c r="BD903" s="4"/>
      <c r="BE903" s="4"/>
      <c r="BF903" s="4"/>
      <c r="BG903" s="4"/>
      <c r="BH903" s="4"/>
      <c r="BI903" s="4"/>
      <c r="BJ903" s="4"/>
      <c r="BK903" s="4"/>
      <c r="BL903" s="4"/>
      <c r="BM903" s="4"/>
      <c r="BN903" s="4"/>
      <c r="BO903" s="4"/>
      <c r="BP903" s="4"/>
      <c r="BQ903" s="4"/>
      <c r="BR903" s="4"/>
    </row>
    <row r="904" spans="1:70">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c r="AG904" s="4"/>
      <c r="AH904" s="4"/>
      <c r="AI904" s="4"/>
      <c r="AJ904" s="4"/>
      <c r="AK904" s="4"/>
      <c r="AL904" s="4"/>
      <c r="AM904" s="4"/>
      <c r="AN904" s="4"/>
      <c r="AO904" s="4"/>
      <c r="AP904" s="4"/>
      <c r="AQ904" s="4"/>
      <c r="AR904" s="4"/>
      <c r="AS904" s="4"/>
      <c r="AT904" s="4"/>
      <c r="AU904" s="4"/>
      <c r="AV904" s="4"/>
      <c r="AW904" s="4"/>
      <c r="AX904" s="4"/>
      <c r="AY904" s="4"/>
      <c r="AZ904" s="4"/>
      <c r="BA904" s="4"/>
      <c r="BB904" s="4"/>
      <c r="BC904" s="5"/>
      <c r="BD904" s="4"/>
      <c r="BE904" s="4"/>
      <c r="BF904" s="4"/>
      <c r="BG904" s="4"/>
      <c r="BH904" s="4"/>
      <c r="BI904" s="4"/>
      <c r="BJ904" s="4"/>
      <c r="BK904" s="4"/>
      <c r="BL904" s="4"/>
      <c r="BM904" s="4"/>
      <c r="BN904" s="4"/>
      <c r="BO904" s="4"/>
      <c r="BP904" s="4"/>
      <c r="BQ904" s="4"/>
      <c r="BR904" s="4"/>
    </row>
    <row r="905" spans="1:70">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c r="AG905" s="4"/>
      <c r="AH905" s="4"/>
      <c r="AI905" s="4"/>
      <c r="AJ905" s="4"/>
      <c r="AK905" s="4"/>
      <c r="AL905" s="4"/>
      <c r="AM905" s="4"/>
      <c r="AN905" s="4"/>
      <c r="AO905" s="4"/>
      <c r="AP905" s="4"/>
      <c r="AQ905" s="4"/>
      <c r="AR905" s="4"/>
      <c r="AS905" s="4"/>
      <c r="AT905" s="4"/>
      <c r="AU905" s="4"/>
      <c r="AV905" s="4"/>
      <c r="AW905" s="4"/>
      <c r="AX905" s="4"/>
      <c r="AY905" s="4"/>
      <c r="AZ905" s="4"/>
      <c r="BA905" s="4"/>
      <c r="BB905" s="4"/>
      <c r="BC905" s="5"/>
      <c r="BD905" s="4"/>
      <c r="BE905" s="4"/>
      <c r="BF905" s="4"/>
      <c r="BG905" s="4"/>
      <c r="BH905" s="4"/>
      <c r="BI905" s="4"/>
      <c r="BJ905" s="4"/>
      <c r="BK905" s="4"/>
      <c r="BL905" s="4"/>
      <c r="BM905" s="4"/>
      <c r="BN905" s="4"/>
      <c r="BO905" s="4"/>
      <c r="BP905" s="4"/>
      <c r="BQ905" s="4"/>
      <c r="BR905" s="4"/>
    </row>
    <row r="906" spans="1:70">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c r="AG906" s="4"/>
      <c r="AH906" s="4"/>
      <c r="AI906" s="4"/>
      <c r="AJ906" s="4"/>
      <c r="AK906" s="4"/>
      <c r="AL906" s="4"/>
      <c r="AM906" s="4"/>
      <c r="AN906" s="4"/>
      <c r="AO906" s="4"/>
      <c r="AP906" s="4"/>
      <c r="AQ906" s="4"/>
      <c r="AR906" s="4"/>
      <c r="AS906" s="4"/>
      <c r="AT906" s="4"/>
      <c r="AU906" s="4"/>
      <c r="AV906" s="4"/>
      <c r="AW906" s="4"/>
      <c r="AX906" s="4"/>
      <c r="AY906" s="4"/>
      <c r="AZ906" s="4"/>
      <c r="BA906" s="4"/>
      <c r="BB906" s="4"/>
      <c r="BC906" s="5"/>
      <c r="BD906" s="4"/>
      <c r="BE906" s="4"/>
      <c r="BF906" s="4"/>
      <c r="BG906" s="4"/>
      <c r="BH906" s="4"/>
      <c r="BI906" s="4"/>
      <c r="BJ906" s="4"/>
      <c r="BK906" s="4"/>
      <c r="BL906" s="4"/>
      <c r="BM906" s="4"/>
      <c r="BN906" s="4"/>
      <c r="BO906" s="4"/>
      <c r="BP906" s="4"/>
      <c r="BQ906" s="4"/>
      <c r="BR906" s="4"/>
    </row>
    <row r="907" spans="1:70">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c r="AG907" s="4"/>
      <c r="AH907" s="4"/>
      <c r="AI907" s="4"/>
      <c r="AJ907" s="4"/>
      <c r="AK907" s="4"/>
      <c r="AL907" s="4"/>
      <c r="AM907" s="4"/>
      <c r="AN907" s="4"/>
      <c r="AO907" s="4"/>
      <c r="AP907" s="4"/>
      <c r="AQ907" s="4"/>
      <c r="AR907" s="4"/>
      <c r="AS907" s="4"/>
      <c r="AT907" s="4"/>
      <c r="AU907" s="4"/>
      <c r="AV907" s="4"/>
      <c r="AW907" s="4"/>
      <c r="AX907" s="4"/>
      <c r="AY907" s="4"/>
      <c r="AZ907" s="4"/>
      <c r="BA907" s="4"/>
      <c r="BB907" s="4"/>
      <c r="BC907" s="5"/>
      <c r="BD907" s="4"/>
      <c r="BE907" s="4"/>
      <c r="BF907" s="4"/>
      <c r="BG907" s="4"/>
      <c r="BH907" s="4"/>
      <c r="BI907" s="4"/>
      <c r="BJ907" s="4"/>
      <c r="BK907" s="4"/>
      <c r="BL907" s="4"/>
      <c r="BM907" s="4"/>
      <c r="BN907" s="4"/>
      <c r="BO907" s="4"/>
      <c r="BP907" s="4"/>
      <c r="BQ907" s="4"/>
      <c r="BR907" s="4"/>
    </row>
    <row r="908" spans="1:70">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c r="AG908" s="4"/>
      <c r="AH908" s="4"/>
      <c r="AI908" s="4"/>
      <c r="AJ908" s="4"/>
      <c r="AK908" s="4"/>
      <c r="AL908" s="4"/>
      <c r="AM908" s="4"/>
      <c r="AN908" s="4"/>
      <c r="AO908" s="4"/>
      <c r="AP908" s="4"/>
      <c r="AQ908" s="4"/>
      <c r="AR908" s="4"/>
      <c r="AS908" s="4"/>
      <c r="AT908" s="4"/>
      <c r="AU908" s="4"/>
      <c r="AV908" s="4"/>
      <c r="AW908" s="4"/>
      <c r="AX908" s="4"/>
      <c r="AY908" s="4"/>
      <c r="AZ908" s="4"/>
      <c r="BA908" s="4"/>
      <c r="BB908" s="4"/>
      <c r="BC908" s="5"/>
      <c r="BD908" s="4"/>
      <c r="BE908" s="4"/>
      <c r="BF908" s="4"/>
      <c r="BG908" s="4"/>
      <c r="BH908" s="4"/>
      <c r="BI908" s="4"/>
      <c r="BJ908" s="4"/>
      <c r="BK908" s="4"/>
      <c r="BL908" s="4"/>
      <c r="BM908" s="4"/>
      <c r="BN908" s="4"/>
      <c r="BO908" s="4"/>
      <c r="BP908" s="4"/>
      <c r="BQ908" s="4"/>
      <c r="BR908" s="4"/>
    </row>
    <row r="909" spans="1:70">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c r="AG909" s="4"/>
      <c r="AH909" s="4"/>
      <c r="AI909" s="4"/>
      <c r="AJ909" s="4"/>
      <c r="AK909" s="4"/>
      <c r="AL909" s="4"/>
      <c r="AM909" s="4"/>
      <c r="AN909" s="4"/>
      <c r="AO909" s="4"/>
      <c r="AP909" s="4"/>
      <c r="AQ909" s="4"/>
      <c r="AR909" s="4"/>
      <c r="AS909" s="4"/>
      <c r="AT909" s="4"/>
      <c r="AU909" s="4"/>
      <c r="AV909" s="4"/>
      <c r="AW909" s="4"/>
      <c r="AX909" s="4"/>
      <c r="AY909" s="4"/>
      <c r="AZ909" s="4"/>
      <c r="BA909" s="4"/>
      <c r="BB909" s="4"/>
      <c r="BC909" s="5"/>
      <c r="BD909" s="4"/>
      <c r="BE909" s="4"/>
      <c r="BF909" s="4"/>
      <c r="BG909" s="4"/>
      <c r="BH909" s="4"/>
      <c r="BI909" s="4"/>
      <c r="BJ909" s="4"/>
      <c r="BK909" s="4"/>
      <c r="BL909" s="4"/>
      <c r="BM909" s="4"/>
      <c r="BN909" s="4"/>
      <c r="BO909" s="4"/>
      <c r="BP909" s="4"/>
      <c r="BQ909" s="4"/>
      <c r="BR909" s="4"/>
    </row>
    <row r="910" spans="1:7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c r="AG910" s="4"/>
      <c r="AH910" s="4"/>
      <c r="AI910" s="4"/>
      <c r="AJ910" s="4"/>
      <c r="AK910" s="4"/>
      <c r="AL910" s="4"/>
      <c r="AM910" s="4"/>
      <c r="AN910" s="4"/>
      <c r="AO910" s="4"/>
      <c r="AP910" s="4"/>
      <c r="AQ910" s="4"/>
      <c r="AR910" s="4"/>
      <c r="AS910" s="4"/>
      <c r="AT910" s="4"/>
      <c r="AU910" s="4"/>
      <c r="AV910" s="4"/>
      <c r="AW910" s="4"/>
      <c r="AX910" s="4"/>
      <c r="AY910" s="4"/>
      <c r="AZ910" s="4"/>
      <c r="BA910" s="4"/>
      <c r="BB910" s="4"/>
      <c r="BC910" s="5"/>
      <c r="BD910" s="4"/>
      <c r="BE910" s="4"/>
      <c r="BF910" s="4"/>
      <c r="BG910" s="4"/>
      <c r="BH910" s="4"/>
      <c r="BI910" s="4"/>
      <c r="BJ910" s="4"/>
      <c r="BK910" s="4"/>
      <c r="BL910" s="4"/>
      <c r="BM910" s="4"/>
      <c r="BN910" s="4"/>
      <c r="BO910" s="4"/>
      <c r="BP910" s="4"/>
      <c r="BQ910" s="4"/>
      <c r="BR910" s="4"/>
    </row>
    <row r="911" spans="1:70">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c r="AG911" s="4"/>
      <c r="AH911" s="4"/>
      <c r="AI911" s="4"/>
      <c r="AJ911" s="4"/>
      <c r="AK911" s="4"/>
      <c r="AL911" s="4"/>
      <c r="AM911" s="4"/>
      <c r="AN911" s="4"/>
      <c r="AO911" s="4"/>
      <c r="AP911" s="4"/>
      <c r="AQ911" s="4"/>
      <c r="AR911" s="4"/>
      <c r="AS911" s="4"/>
      <c r="AT911" s="4"/>
      <c r="AU911" s="4"/>
      <c r="AV911" s="4"/>
      <c r="AW911" s="4"/>
      <c r="AX911" s="4"/>
      <c r="AY911" s="4"/>
      <c r="AZ911" s="4"/>
      <c r="BA911" s="4"/>
      <c r="BB911" s="4"/>
      <c r="BC911" s="5"/>
      <c r="BD911" s="4"/>
      <c r="BE911" s="4"/>
      <c r="BF911" s="4"/>
      <c r="BG911" s="4"/>
      <c r="BH911" s="4"/>
      <c r="BI911" s="4"/>
      <c r="BJ911" s="4"/>
      <c r="BK911" s="4"/>
      <c r="BL911" s="4"/>
      <c r="BM911" s="4"/>
      <c r="BN911" s="4"/>
      <c r="BO911" s="4"/>
      <c r="BP911" s="4"/>
      <c r="BQ911" s="4"/>
      <c r="BR911" s="4"/>
    </row>
    <row r="912" spans="1:70">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c r="AG912" s="4"/>
      <c r="AH912" s="4"/>
      <c r="AI912" s="4"/>
      <c r="AJ912" s="4"/>
      <c r="AK912" s="4"/>
      <c r="AL912" s="4"/>
      <c r="AM912" s="4"/>
      <c r="AN912" s="4"/>
      <c r="AO912" s="4"/>
      <c r="AP912" s="4"/>
      <c r="AQ912" s="4"/>
      <c r="AR912" s="4"/>
      <c r="AS912" s="4"/>
      <c r="AT912" s="4"/>
      <c r="AU912" s="4"/>
      <c r="AV912" s="4"/>
      <c r="AW912" s="4"/>
      <c r="AX912" s="4"/>
      <c r="AY912" s="4"/>
      <c r="AZ912" s="4"/>
      <c r="BA912" s="4"/>
      <c r="BB912" s="4"/>
      <c r="BC912" s="5"/>
      <c r="BD912" s="4"/>
      <c r="BE912" s="4"/>
      <c r="BF912" s="4"/>
      <c r="BG912" s="4"/>
      <c r="BH912" s="4"/>
      <c r="BI912" s="4"/>
      <c r="BJ912" s="4"/>
      <c r="BK912" s="4"/>
      <c r="BL912" s="4"/>
      <c r="BM912" s="4"/>
      <c r="BN912" s="4"/>
      <c r="BO912" s="4"/>
      <c r="BP912" s="4"/>
      <c r="BQ912" s="4"/>
      <c r="BR912" s="4"/>
    </row>
    <row r="913" spans="1:70">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c r="AG913" s="4"/>
      <c r="AH913" s="4"/>
      <c r="AI913" s="4"/>
      <c r="AJ913" s="4"/>
      <c r="AK913" s="4"/>
      <c r="AL913" s="4"/>
      <c r="AM913" s="4"/>
      <c r="AN913" s="4"/>
      <c r="AO913" s="4"/>
      <c r="AP913" s="4"/>
      <c r="AQ913" s="4"/>
      <c r="AR913" s="4"/>
      <c r="AS913" s="4"/>
      <c r="AT913" s="4"/>
      <c r="AU913" s="4"/>
      <c r="AV913" s="4"/>
      <c r="AW913" s="4"/>
      <c r="AX913" s="4"/>
      <c r="AY913" s="4"/>
      <c r="AZ913" s="4"/>
      <c r="BA913" s="4"/>
      <c r="BB913" s="4"/>
      <c r="BC913" s="5"/>
      <c r="BD913" s="4"/>
      <c r="BE913" s="4"/>
      <c r="BF913" s="4"/>
      <c r="BG913" s="4"/>
      <c r="BH913" s="4"/>
      <c r="BI913" s="4"/>
      <c r="BJ913" s="4"/>
      <c r="BK913" s="4"/>
      <c r="BL913" s="4"/>
      <c r="BM913" s="4"/>
      <c r="BN913" s="4"/>
      <c r="BO913" s="4"/>
      <c r="BP913" s="4"/>
      <c r="BQ913" s="4"/>
      <c r="BR913" s="4"/>
    </row>
    <row r="914" spans="1:70">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c r="AG914" s="4"/>
      <c r="AH914" s="4"/>
      <c r="AI914" s="4"/>
      <c r="AJ914" s="4"/>
      <c r="AK914" s="4"/>
      <c r="AL914" s="4"/>
      <c r="AM914" s="4"/>
      <c r="AN914" s="4"/>
      <c r="AO914" s="4"/>
      <c r="AP914" s="4"/>
      <c r="AQ914" s="4"/>
      <c r="AR914" s="4"/>
      <c r="AS914" s="4"/>
      <c r="AT914" s="4"/>
      <c r="AU914" s="4"/>
      <c r="AV914" s="4"/>
      <c r="AW914" s="4"/>
      <c r="AX914" s="4"/>
      <c r="AY914" s="4"/>
      <c r="AZ914" s="4"/>
      <c r="BA914" s="4"/>
      <c r="BB914" s="4"/>
      <c r="BC914" s="5"/>
      <c r="BD914" s="4"/>
      <c r="BE914" s="4"/>
      <c r="BF914" s="4"/>
      <c r="BG914" s="4"/>
      <c r="BH914" s="4"/>
      <c r="BI914" s="4"/>
      <c r="BJ914" s="4"/>
      <c r="BK914" s="4"/>
      <c r="BL914" s="4"/>
      <c r="BM914" s="4"/>
      <c r="BN914" s="4"/>
      <c r="BO914" s="4"/>
      <c r="BP914" s="4"/>
      <c r="BQ914" s="4"/>
      <c r="BR914" s="4"/>
    </row>
    <row r="915" spans="1:70">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c r="AG915" s="4"/>
      <c r="AH915" s="4"/>
      <c r="AI915" s="4"/>
      <c r="AJ915" s="4"/>
      <c r="AK915" s="4"/>
      <c r="AL915" s="4"/>
      <c r="AM915" s="4"/>
      <c r="AN915" s="4"/>
      <c r="AO915" s="4"/>
      <c r="AP915" s="4"/>
      <c r="AQ915" s="4"/>
      <c r="AR915" s="4"/>
      <c r="AS915" s="4"/>
      <c r="AT915" s="4"/>
      <c r="AU915" s="4"/>
      <c r="AV915" s="4"/>
      <c r="AW915" s="4"/>
      <c r="AX915" s="4"/>
      <c r="AY915" s="4"/>
      <c r="AZ915" s="4"/>
      <c r="BA915" s="4"/>
      <c r="BB915" s="4"/>
      <c r="BC915" s="5"/>
      <c r="BD915" s="4"/>
      <c r="BE915" s="4"/>
      <c r="BF915" s="4"/>
      <c r="BG915" s="4"/>
      <c r="BH915" s="4"/>
      <c r="BI915" s="4"/>
      <c r="BJ915" s="4"/>
      <c r="BK915" s="4"/>
      <c r="BL915" s="4"/>
      <c r="BM915" s="4"/>
      <c r="BN915" s="4"/>
      <c r="BO915" s="4"/>
      <c r="BP915" s="4"/>
      <c r="BQ915" s="4"/>
      <c r="BR915" s="4"/>
    </row>
    <row r="916" spans="1:70">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c r="AG916" s="4"/>
      <c r="AH916" s="4"/>
      <c r="AI916" s="4"/>
      <c r="AJ916" s="4"/>
      <c r="AK916" s="4"/>
      <c r="AL916" s="4"/>
      <c r="AM916" s="4"/>
      <c r="AN916" s="4"/>
      <c r="AO916" s="4"/>
      <c r="AP916" s="4"/>
      <c r="AQ916" s="4"/>
      <c r="AR916" s="4"/>
      <c r="AS916" s="4"/>
      <c r="AT916" s="4"/>
      <c r="AU916" s="4"/>
      <c r="AV916" s="4"/>
      <c r="AW916" s="4"/>
      <c r="AX916" s="4"/>
      <c r="AY916" s="4"/>
      <c r="AZ916" s="4"/>
      <c r="BA916" s="4"/>
      <c r="BB916" s="4"/>
      <c r="BC916" s="5"/>
      <c r="BD916" s="4"/>
      <c r="BE916" s="4"/>
      <c r="BF916" s="4"/>
      <c r="BG916" s="4"/>
      <c r="BH916" s="4"/>
      <c r="BI916" s="4"/>
      <c r="BJ916" s="4"/>
      <c r="BK916" s="4"/>
      <c r="BL916" s="4"/>
      <c r="BM916" s="4"/>
      <c r="BN916" s="4"/>
      <c r="BO916" s="4"/>
      <c r="BP916" s="4"/>
      <c r="BQ916" s="4"/>
      <c r="BR916" s="4"/>
    </row>
    <row r="917" spans="1:70">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c r="AG917" s="4"/>
      <c r="AH917" s="4"/>
      <c r="AI917" s="4"/>
      <c r="AJ917" s="4"/>
      <c r="AK917" s="4"/>
      <c r="AL917" s="4"/>
      <c r="AM917" s="4"/>
      <c r="AN917" s="4"/>
      <c r="AO917" s="4"/>
      <c r="AP917" s="4"/>
      <c r="AQ917" s="4"/>
      <c r="AR917" s="4"/>
      <c r="AS917" s="4"/>
      <c r="AT917" s="4"/>
      <c r="AU917" s="4"/>
      <c r="AV917" s="4"/>
      <c r="AW917" s="4"/>
      <c r="AX917" s="4"/>
      <c r="AY917" s="4"/>
      <c r="AZ917" s="4"/>
      <c r="BA917" s="4"/>
      <c r="BB917" s="4"/>
      <c r="BC917" s="5"/>
      <c r="BD917" s="4"/>
      <c r="BE917" s="4"/>
      <c r="BF917" s="4"/>
      <c r="BG917" s="4"/>
      <c r="BH917" s="4"/>
      <c r="BI917" s="4"/>
      <c r="BJ917" s="4"/>
      <c r="BK917" s="4"/>
      <c r="BL917" s="4"/>
      <c r="BM917" s="4"/>
      <c r="BN917" s="4"/>
      <c r="BO917" s="4"/>
      <c r="BP917" s="4"/>
      <c r="BQ917" s="4"/>
      <c r="BR917" s="4"/>
    </row>
    <row r="918" spans="1:70">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c r="AG918" s="4"/>
      <c r="AH918" s="4"/>
      <c r="AI918" s="4"/>
      <c r="AJ918" s="4"/>
      <c r="AK918" s="4"/>
      <c r="AL918" s="4"/>
      <c r="AM918" s="4"/>
      <c r="AN918" s="4"/>
      <c r="AO918" s="4"/>
      <c r="AP918" s="4"/>
      <c r="AQ918" s="4"/>
      <c r="AR918" s="4"/>
      <c r="AS918" s="4"/>
      <c r="AT918" s="4"/>
      <c r="AU918" s="4"/>
      <c r="AV918" s="4"/>
      <c r="AW918" s="4"/>
      <c r="AX918" s="4"/>
      <c r="AY918" s="4"/>
      <c r="AZ918" s="4"/>
      <c r="BA918" s="4"/>
      <c r="BB918" s="4"/>
      <c r="BC918" s="5"/>
      <c r="BD918" s="4"/>
      <c r="BE918" s="4"/>
      <c r="BF918" s="4"/>
      <c r="BG918" s="4"/>
      <c r="BH918" s="4"/>
      <c r="BI918" s="4"/>
      <c r="BJ918" s="4"/>
      <c r="BK918" s="4"/>
      <c r="BL918" s="4"/>
      <c r="BM918" s="4"/>
      <c r="BN918" s="4"/>
      <c r="BO918" s="4"/>
      <c r="BP918" s="4"/>
      <c r="BQ918" s="4"/>
      <c r="BR918" s="4"/>
    </row>
    <row r="919" spans="1:70">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c r="AG919" s="4"/>
      <c r="AH919" s="4"/>
      <c r="AI919" s="4"/>
      <c r="AJ919" s="4"/>
      <c r="AK919" s="4"/>
      <c r="AL919" s="4"/>
      <c r="AM919" s="4"/>
      <c r="AN919" s="4"/>
      <c r="AO919" s="4"/>
      <c r="AP919" s="4"/>
      <c r="AQ919" s="4"/>
      <c r="AR919" s="4"/>
      <c r="AS919" s="4"/>
      <c r="AT919" s="4"/>
      <c r="AU919" s="4"/>
      <c r="AV919" s="4"/>
      <c r="AW919" s="4"/>
      <c r="AX919" s="4"/>
      <c r="AY919" s="4"/>
      <c r="AZ919" s="4"/>
      <c r="BA919" s="4"/>
      <c r="BB919" s="4"/>
      <c r="BC919" s="5"/>
      <c r="BD919" s="4"/>
      <c r="BE919" s="4"/>
      <c r="BF919" s="4"/>
      <c r="BG919" s="4"/>
      <c r="BH919" s="4"/>
      <c r="BI919" s="4"/>
      <c r="BJ919" s="4"/>
      <c r="BK919" s="4"/>
      <c r="BL919" s="4"/>
      <c r="BM919" s="4"/>
      <c r="BN919" s="4"/>
      <c r="BO919" s="4"/>
      <c r="BP919" s="4"/>
      <c r="BQ919" s="4"/>
      <c r="BR919" s="4"/>
    </row>
    <row r="920" spans="1:7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c r="AG920" s="4"/>
      <c r="AH920" s="4"/>
      <c r="AI920" s="4"/>
      <c r="AJ920" s="4"/>
      <c r="AK920" s="4"/>
      <c r="AL920" s="4"/>
      <c r="AM920" s="4"/>
      <c r="AN920" s="4"/>
      <c r="AO920" s="4"/>
      <c r="AP920" s="4"/>
      <c r="AQ920" s="4"/>
      <c r="AR920" s="4"/>
      <c r="AS920" s="4"/>
      <c r="AT920" s="4"/>
      <c r="AU920" s="4"/>
      <c r="AV920" s="4"/>
      <c r="AW920" s="4"/>
      <c r="AX920" s="4"/>
      <c r="AY920" s="4"/>
      <c r="AZ920" s="4"/>
      <c r="BA920" s="4"/>
      <c r="BB920" s="4"/>
      <c r="BC920" s="5"/>
      <c r="BD920" s="4"/>
      <c r="BE920" s="4"/>
      <c r="BF920" s="4"/>
      <c r="BG920" s="4"/>
      <c r="BH920" s="4"/>
      <c r="BI920" s="4"/>
      <c r="BJ920" s="4"/>
      <c r="BK920" s="4"/>
      <c r="BL920" s="4"/>
      <c r="BM920" s="4"/>
      <c r="BN920" s="4"/>
      <c r="BO920" s="4"/>
      <c r="BP920" s="4"/>
      <c r="BQ920" s="4"/>
      <c r="BR920" s="4"/>
    </row>
    <row r="921" spans="1:70">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c r="AG921" s="4"/>
      <c r="AH921" s="4"/>
      <c r="AI921" s="4"/>
      <c r="AJ921" s="4"/>
      <c r="AK921" s="4"/>
      <c r="AL921" s="4"/>
      <c r="AM921" s="4"/>
      <c r="AN921" s="4"/>
      <c r="AO921" s="4"/>
      <c r="AP921" s="4"/>
      <c r="AQ921" s="4"/>
      <c r="AR921" s="4"/>
      <c r="AS921" s="4"/>
      <c r="AT921" s="4"/>
      <c r="AU921" s="4"/>
      <c r="AV921" s="4"/>
      <c r="AW921" s="4"/>
      <c r="AX921" s="4"/>
      <c r="AY921" s="4"/>
      <c r="AZ921" s="4"/>
      <c r="BA921" s="4"/>
      <c r="BB921" s="4"/>
      <c r="BC921" s="5"/>
      <c r="BD921" s="4"/>
      <c r="BE921" s="4"/>
      <c r="BF921" s="4"/>
      <c r="BG921" s="4"/>
      <c r="BH921" s="4"/>
      <c r="BI921" s="4"/>
      <c r="BJ921" s="4"/>
      <c r="BK921" s="4"/>
      <c r="BL921" s="4"/>
      <c r="BM921" s="4"/>
      <c r="BN921" s="4"/>
      <c r="BO921" s="4"/>
      <c r="BP921" s="4"/>
      <c r="BQ921" s="4"/>
      <c r="BR921" s="4"/>
    </row>
    <row r="922" spans="1:70">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c r="AG922" s="4"/>
      <c r="AH922" s="4"/>
      <c r="AI922" s="4"/>
      <c r="AJ922" s="4"/>
      <c r="AK922" s="4"/>
      <c r="AL922" s="4"/>
      <c r="AM922" s="4"/>
      <c r="AN922" s="4"/>
      <c r="AO922" s="4"/>
      <c r="AP922" s="4"/>
      <c r="AQ922" s="4"/>
      <c r="AR922" s="4"/>
      <c r="AS922" s="4"/>
      <c r="AT922" s="4"/>
      <c r="AU922" s="4"/>
      <c r="AV922" s="4"/>
      <c r="AW922" s="4"/>
      <c r="AX922" s="4"/>
      <c r="AY922" s="4"/>
      <c r="AZ922" s="4"/>
      <c r="BA922" s="4"/>
      <c r="BB922" s="4"/>
      <c r="BC922" s="5"/>
      <c r="BD922" s="4"/>
      <c r="BE922" s="4"/>
      <c r="BF922" s="4"/>
      <c r="BG922" s="4"/>
      <c r="BH922" s="4"/>
      <c r="BI922" s="4"/>
      <c r="BJ922" s="4"/>
      <c r="BK922" s="4"/>
      <c r="BL922" s="4"/>
      <c r="BM922" s="4"/>
      <c r="BN922" s="4"/>
      <c r="BO922" s="4"/>
      <c r="BP922" s="4"/>
      <c r="BQ922" s="4"/>
      <c r="BR922" s="4"/>
    </row>
    <row r="923" spans="1:70">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c r="AG923" s="4"/>
      <c r="AH923" s="4"/>
      <c r="AI923" s="4"/>
      <c r="AJ923" s="4"/>
      <c r="AK923" s="4"/>
      <c r="AL923" s="4"/>
      <c r="AM923" s="4"/>
      <c r="AN923" s="4"/>
      <c r="AO923" s="4"/>
      <c r="AP923" s="4"/>
      <c r="AQ923" s="4"/>
      <c r="AR923" s="4"/>
      <c r="AS923" s="4"/>
      <c r="AT923" s="4"/>
      <c r="AU923" s="4"/>
      <c r="AV923" s="4"/>
      <c r="AW923" s="4"/>
      <c r="AX923" s="4"/>
      <c r="AY923" s="4"/>
      <c r="AZ923" s="4"/>
      <c r="BA923" s="4"/>
      <c r="BB923" s="4"/>
      <c r="BC923" s="5"/>
      <c r="BD923" s="4"/>
      <c r="BE923" s="4"/>
      <c r="BF923" s="4"/>
      <c r="BG923" s="4"/>
      <c r="BH923" s="4"/>
      <c r="BI923" s="4"/>
      <c r="BJ923" s="4"/>
      <c r="BK923" s="4"/>
      <c r="BL923" s="4"/>
      <c r="BM923" s="4"/>
      <c r="BN923" s="4"/>
      <c r="BO923" s="4"/>
      <c r="BP923" s="4"/>
      <c r="BQ923" s="4"/>
      <c r="BR923" s="4"/>
    </row>
    <row r="924" spans="1:70">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c r="AG924" s="4"/>
      <c r="AH924" s="4"/>
      <c r="AI924" s="4"/>
      <c r="AJ924" s="4"/>
      <c r="AK924" s="4"/>
      <c r="AL924" s="4"/>
      <c r="AM924" s="4"/>
      <c r="AN924" s="4"/>
      <c r="AO924" s="4"/>
      <c r="AP924" s="4"/>
      <c r="AQ924" s="4"/>
      <c r="AR924" s="4"/>
      <c r="AS924" s="4"/>
      <c r="AT924" s="4"/>
      <c r="AU924" s="4"/>
      <c r="AV924" s="4"/>
      <c r="AW924" s="4"/>
      <c r="AX924" s="4"/>
      <c r="AY924" s="4"/>
      <c r="AZ924" s="4"/>
      <c r="BA924" s="4"/>
      <c r="BB924" s="4"/>
      <c r="BC924" s="5"/>
      <c r="BD924" s="4"/>
      <c r="BE924" s="4"/>
      <c r="BF924" s="4"/>
      <c r="BG924" s="4"/>
      <c r="BH924" s="4"/>
      <c r="BI924" s="4"/>
      <c r="BJ924" s="4"/>
      <c r="BK924" s="4"/>
      <c r="BL924" s="4"/>
      <c r="BM924" s="4"/>
      <c r="BN924" s="4"/>
      <c r="BO924" s="4"/>
      <c r="BP924" s="4"/>
      <c r="BQ924" s="4"/>
      <c r="BR924" s="4"/>
    </row>
    <row r="925" spans="1:70">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c r="AG925" s="4"/>
      <c r="AH925" s="4"/>
      <c r="AI925" s="4"/>
      <c r="AJ925" s="4"/>
      <c r="AK925" s="4"/>
      <c r="AL925" s="4"/>
      <c r="AM925" s="4"/>
      <c r="AN925" s="4"/>
      <c r="AO925" s="4"/>
      <c r="AP925" s="4"/>
      <c r="AQ925" s="4"/>
      <c r="AR925" s="4"/>
      <c r="AS925" s="4"/>
      <c r="AT925" s="4"/>
      <c r="AU925" s="4"/>
      <c r="AV925" s="4"/>
      <c r="AW925" s="4"/>
      <c r="AX925" s="4"/>
      <c r="AY925" s="4"/>
      <c r="AZ925" s="4"/>
      <c r="BA925" s="4"/>
      <c r="BB925" s="4"/>
      <c r="BC925" s="5"/>
      <c r="BD925" s="4"/>
      <c r="BE925" s="4"/>
      <c r="BF925" s="4"/>
      <c r="BG925" s="4"/>
      <c r="BH925" s="4"/>
      <c r="BI925" s="4"/>
      <c r="BJ925" s="4"/>
      <c r="BK925" s="4"/>
      <c r="BL925" s="4"/>
      <c r="BM925" s="4"/>
      <c r="BN925" s="4"/>
      <c r="BO925" s="4"/>
      <c r="BP925" s="4"/>
      <c r="BQ925" s="4"/>
      <c r="BR925" s="4"/>
    </row>
    <row r="926" spans="1:70">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c r="AG926" s="4"/>
      <c r="AH926" s="4"/>
      <c r="AI926" s="4"/>
      <c r="AJ926" s="4"/>
      <c r="AK926" s="4"/>
      <c r="AL926" s="4"/>
      <c r="AM926" s="4"/>
      <c r="AN926" s="4"/>
      <c r="AO926" s="4"/>
      <c r="AP926" s="4"/>
      <c r="AQ926" s="4"/>
      <c r="AR926" s="4"/>
      <c r="AS926" s="4"/>
      <c r="AT926" s="4"/>
      <c r="AU926" s="4"/>
      <c r="AV926" s="4"/>
      <c r="AW926" s="4"/>
      <c r="AX926" s="4"/>
      <c r="AY926" s="4"/>
      <c r="AZ926" s="4"/>
      <c r="BA926" s="4"/>
      <c r="BB926" s="4"/>
      <c r="BC926" s="5"/>
      <c r="BD926" s="4"/>
      <c r="BE926" s="4"/>
      <c r="BF926" s="4"/>
      <c r="BG926" s="4"/>
      <c r="BH926" s="4"/>
      <c r="BI926" s="4"/>
      <c r="BJ926" s="4"/>
      <c r="BK926" s="4"/>
      <c r="BL926" s="4"/>
      <c r="BM926" s="4"/>
      <c r="BN926" s="4"/>
      <c r="BO926" s="4"/>
      <c r="BP926" s="4"/>
      <c r="BQ926" s="4"/>
      <c r="BR926" s="4"/>
    </row>
    <row r="927" spans="1:70">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c r="AG927" s="4"/>
      <c r="AH927" s="4"/>
      <c r="AI927" s="4"/>
      <c r="AJ927" s="4"/>
      <c r="AK927" s="4"/>
      <c r="AL927" s="4"/>
      <c r="AM927" s="4"/>
      <c r="AN927" s="4"/>
      <c r="AO927" s="4"/>
      <c r="AP927" s="4"/>
      <c r="AQ927" s="4"/>
      <c r="AR927" s="4"/>
      <c r="AS927" s="4"/>
      <c r="AT927" s="4"/>
      <c r="AU927" s="4"/>
      <c r="AV927" s="4"/>
      <c r="AW927" s="4"/>
      <c r="AX927" s="4"/>
      <c r="AY927" s="4"/>
      <c r="AZ927" s="4"/>
      <c r="BA927" s="4"/>
      <c r="BB927" s="4"/>
      <c r="BC927" s="5"/>
      <c r="BD927" s="4"/>
      <c r="BE927" s="4"/>
      <c r="BF927" s="4"/>
      <c r="BG927" s="4"/>
      <c r="BH927" s="4"/>
      <c r="BI927" s="4"/>
      <c r="BJ927" s="4"/>
      <c r="BK927" s="4"/>
      <c r="BL927" s="4"/>
      <c r="BM927" s="4"/>
      <c r="BN927" s="4"/>
      <c r="BO927" s="4"/>
      <c r="BP927" s="4"/>
      <c r="BQ927" s="4"/>
      <c r="BR927" s="4"/>
    </row>
    <row r="928" spans="1:70">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c r="AG928" s="4"/>
      <c r="AH928" s="4"/>
      <c r="AI928" s="4"/>
      <c r="AJ928" s="4"/>
      <c r="AK928" s="4"/>
      <c r="AL928" s="4"/>
      <c r="AM928" s="4"/>
      <c r="AN928" s="4"/>
      <c r="AO928" s="4"/>
      <c r="AP928" s="4"/>
      <c r="AQ928" s="4"/>
      <c r="AR928" s="4"/>
      <c r="AS928" s="4"/>
      <c r="AT928" s="4"/>
      <c r="AU928" s="4"/>
      <c r="AV928" s="4"/>
      <c r="AW928" s="4"/>
      <c r="AX928" s="4"/>
      <c r="AY928" s="4"/>
      <c r="AZ928" s="4"/>
      <c r="BA928" s="4"/>
      <c r="BB928" s="4"/>
      <c r="BC928" s="5"/>
      <c r="BD928" s="4"/>
      <c r="BE928" s="4"/>
      <c r="BF928" s="4"/>
      <c r="BG928" s="4"/>
      <c r="BH928" s="4"/>
      <c r="BI928" s="4"/>
      <c r="BJ928" s="4"/>
      <c r="BK928" s="4"/>
      <c r="BL928" s="4"/>
      <c r="BM928" s="4"/>
      <c r="BN928" s="4"/>
      <c r="BO928" s="4"/>
      <c r="BP928" s="4"/>
      <c r="BQ928" s="4"/>
      <c r="BR928" s="4"/>
    </row>
    <row r="929" spans="1:70">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c r="AG929" s="4"/>
      <c r="AH929" s="4"/>
      <c r="AI929" s="4"/>
      <c r="AJ929" s="4"/>
      <c r="AK929" s="4"/>
      <c r="AL929" s="4"/>
      <c r="AM929" s="4"/>
      <c r="AN929" s="4"/>
      <c r="AO929" s="4"/>
      <c r="AP929" s="4"/>
      <c r="AQ929" s="4"/>
      <c r="AR929" s="4"/>
      <c r="AS929" s="4"/>
      <c r="AT929" s="4"/>
      <c r="AU929" s="4"/>
      <c r="AV929" s="4"/>
      <c r="AW929" s="4"/>
      <c r="AX929" s="4"/>
      <c r="AY929" s="4"/>
      <c r="AZ929" s="4"/>
      <c r="BA929" s="4"/>
      <c r="BB929" s="4"/>
      <c r="BC929" s="5"/>
      <c r="BD929" s="4"/>
      <c r="BE929" s="4"/>
      <c r="BF929" s="4"/>
      <c r="BG929" s="4"/>
      <c r="BH929" s="4"/>
      <c r="BI929" s="4"/>
      <c r="BJ929" s="4"/>
      <c r="BK929" s="4"/>
      <c r="BL929" s="4"/>
      <c r="BM929" s="4"/>
      <c r="BN929" s="4"/>
      <c r="BO929" s="4"/>
      <c r="BP929" s="4"/>
      <c r="BQ929" s="4"/>
      <c r="BR929" s="4"/>
    </row>
    <row r="930" spans="1:7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c r="AG930" s="4"/>
      <c r="AH930" s="4"/>
      <c r="AI930" s="4"/>
      <c r="AJ930" s="4"/>
      <c r="AK930" s="4"/>
      <c r="AL930" s="4"/>
      <c r="AM930" s="4"/>
      <c r="AN930" s="4"/>
      <c r="AO930" s="4"/>
      <c r="AP930" s="4"/>
      <c r="AQ930" s="4"/>
      <c r="AR930" s="4"/>
      <c r="AS930" s="4"/>
      <c r="AT930" s="4"/>
      <c r="AU930" s="4"/>
      <c r="AV930" s="4"/>
      <c r="AW930" s="4"/>
      <c r="AX930" s="4"/>
      <c r="AY930" s="4"/>
      <c r="AZ930" s="4"/>
      <c r="BA930" s="4"/>
      <c r="BB930" s="4"/>
      <c r="BC930" s="5"/>
      <c r="BD930" s="4"/>
      <c r="BE930" s="4"/>
      <c r="BF930" s="4"/>
      <c r="BG930" s="4"/>
      <c r="BH930" s="4"/>
      <c r="BI930" s="4"/>
      <c r="BJ930" s="4"/>
      <c r="BK930" s="4"/>
      <c r="BL930" s="4"/>
      <c r="BM930" s="4"/>
      <c r="BN930" s="4"/>
      <c r="BO930" s="4"/>
      <c r="BP930" s="4"/>
      <c r="BQ930" s="4"/>
      <c r="BR930" s="4"/>
    </row>
    <row r="931" spans="1:70">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c r="AG931" s="4"/>
      <c r="AH931" s="4"/>
      <c r="AI931" s="4"/>
      <c r="AJ931" s="4"/>
      <c r="AK931" s="4"/>
      <c r="AL931" s="4"/>
      <c r="AM931" s="4"/>
      <c r="AN931" s="4"/>
      <c r="AO931" s="4"/>
      <c r="AP931" s="4"/>
      <c r="AQ931" s="4"/>
      <c r="AR931" s="4"/>
      <c r="AS931" s="4"/>
      <c r="AT931" s="4"/>
      <c r="AU931" s="4"/>
      <c r="AV931" s="4"/>
      <c r="AW931" s="4"/>
      <c r="AX931" s="4"/>
      <c r="AY931" s="4"/>
      <c r="AZ931" s="4"/>
      <c r="BA931" s="4"/>
      <c r="BB931" s="4"/>
      <c r="BC931" s="5"/>
      <c r="BD931" s="4"/>
      <c r="BE931" s="4"/>
      <c r="BF931" s="4"/>
      <c r="BG931" s="4"/>
      <c r="BH931" s="4"/>
      <c r="BI931" s="4"/>
      <c r="BJ931" s="4"/>
      <c r="BK931" s="4"/>
      <c r="BL931" s="4"/>
      <c r="BM931" s="4"/>
      <c r="BN931" s="4"/>
      <c r="BO931" s="4"/>
      <c r="BP931" s="4"/>
      <c r="BQ931" s="4"/>
      <c r="BR931" s="4"/>
    </row>
    <row r="932" spans="1:70">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c r="AG932" s="4"/>
      <c r="AH932" s="4"/>
      <c r="AI932" s="4"/>
      <c r="AJ932" s="4"/>
      <c r="AK932" s="4"/>
      <c r="AL932" s="4"/>
      <c r="AM932" s="4"/>
      <c r="AN932" s="4"/>
      <c r="AO932" s="4"/>
      <c r="AP932" s="4"/>
      <c r="AQ932" s="4"/>
      <c r="AR932" s="4"/>
      <c r="AS932" s="4"/>
      <c r="AT932" s="4"/>
      <c r="AU932" s="4"/>
      <c r="AV932" s="4"/>
      <c r="AW932" s="4"/>
      <c r="AX932" s="4"/>
      <c r="AY932" s="4"/>
      <c r="AZ932" s="4"/>
      <c r="BA932" s="4"/>
      <c r="BB932" s="4"/>
      <c r="BC932" s="5"/>
      <c r="BD932" s="4"/>
      <c r="BE932" s="4"/>
      <c r="BF932" s="4"/>
      <c r="BG932" s="4"/>
      <c r="BH932" s="4"/>
      <c r="BI932" s="4"/>
      <c r="BJ932" s="4"/>
      <c r="BK932" s="4"/>
      <c r="BL932" s="4"/>
      <c r="BM932" s="4"/>
      <c r="BN932" s="4"/>
      <c r="BO932" s="4"/>
      <c r="BP932" s="4"/>
      <c r="BQ932" s="4"/>
      <c r="BR932" s="4"/>
    </row>
    <row r="933" spans="1:70">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c r="AG933" s="4"/>
      <c r="AH933" s="4"/>
      <c r="AI933" s="4"/>
      <c r="AJ933" s="4"/>
      <c r="AK933" s="4"/>
      <c r="AL933" s="4"/>
      <c r="AM933" s="4"/>
      <c r="AN933" s="4"/>
      <c r="AO933" s="4"/>
      <c r="AP933" s="4"/>
      <c r="AQ933" s="4"/>
      <c r="AR933" s="4"/>
      <c r="AS933" s="4"/>
      <c r="AT933" s="4"/>
      <c r="AU933" s="4"/>
      <c r="AV933" s="4"/>
      <c r="AW933" s="4"/>
      <c r="AX933" s="4"/>
      <c r="AY933" s="4"/>
      <c r="AZ933" s="4"/>
      <c r="BA933" s="4"/>
      <c r="BB933" s="4"/>
      <c r="BC933" s="5"/>
      <c r="BD933" s="4"/>
      <c r="BE933" s="4"/>
      <c r="BF933" s="4"/>
      <c r="BG933" s="4"/>
      <c r="BH933" s="4"/>
      <c r="BI933" s="4"/>
      <c r="BJ933" s="4"/>
      <c r="BK933" s="4"/>
      <c r="BL933" s="4"/>
      <c r="BM933" s="4"/>
      <c r="BN933" s="4"/>
      <c r="BO933" s="4"/>
      <c r="BP933" s="4"/>
      <c r="BQ933" s="4"/>
      <c r="BR933" s="4"/>
    </row>
    <row r="934" spans="1:70">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c r="AG934" s="4"/>
      <c r="AH934" s="4"/>
      <c r="AI934" s="4"/>
      <c r="AJ934" s="4"/>
      <c r="AK934" s="4"/>
      <c r="AL934" s="4"/>
      <c r="AM934" s="4"/>
      <c r="AN934" s="4"/>
      <c r="AO934" s="4"/>
      <c r="AP934" s="4"/>
      <c r="AQ934" s="4"/>
      <c r="AR934" s="4"/>
      <c r="AS934" s="4"/>
      <c r="AT934" s="4"/>
      <c r="AU934" s="4"/>
      <c r="AV934" s="4"/>
      <c r="AW934" s="4"/>
      <c r="AX934" s="4"/>
      <c r="AY934" s="4"/>
      <c r="AZ934" s="4"/>
      <c r="BA934" s="4"/>
      <c r="BB934" s="4"/>
      <c r="BC934" s="5"/>
      <c r="BD934" s="4"/>
      <c r="BE934" s="4"/>
      <c r="BF934" s="4"/>
      <c r="BG934" s="4"/>
      <c r="BH934" s="4"/>
      <c r="BI934" s="4"/>
      <c r="BJ934" s="4"/>
      <c r="BK934" s="4"/>
      <c r="BL934" s="4"/>
      <c r="BM934" s="4"/>
      <c r="BN934" s="4"/>
      <c r="BO934" s="4"/>
      <c r="BP934" s="4"/>
      <c r="BQ934" s="4"/>
      <c r="BR934" s="4"/>
    </row>
    <row r="935" spans="1:70">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c r="AG935" s="4"/>
      <c r="AH935" s="4"/>
      <c r="AI935" s="4"/>
      <c r="AJ935" s="4"/>
      <c r="AK935" s="4"/>
      <c r="AL935" s="4"/>
      <c r="AM935" s="4"/>
      <c r="AN935" s="4"/>
      <c r="AO935" s="4"/>
      <c r="AP935" s="4"/>
      <c r="AQ935" s="4"/>
      <c r="AR935" s="4"/>
      <c r="AS935" s="4"/>
      <c r="AT935" s="4"/>
      <c r="AU935" s="4"/>
      <c r="AV935" s="4"/>
      <c r="AW935" s="4"/>
      <c r="AX935" s="4"/>
      <c r="AY935" s="4"/>
      <c r="AZ935" s="4"/>
      <c r="BA935" s="4"/>
      <c r="BB935" s="4"/>
      <c r="BC935" s="5"/>
      <c r="BD935" s="4"/>
      <c r="BE935" s="4"/>
      <c r="BF935" s="4"/>
      <c r="BG935" s="4"/>
      <c r="BH935" s="4"/>
      <c r="BI935" s="4"/>
      <c r="BJ935" s="4"/>
      <c r="BK935" s="4"/>
      <c r="BL935" s="4"/>
      <c r="BM935" s="4"/>
      <c r="BN935" s="4"/>
      <c r="BO935" s="4"/>
      <c r="BP935" s="4"/>
      <c r="BQ935" s="4"/>
      <c r="BR935" s="4"/>
    </row>
    <row r="936" spans="1:70">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c r="AG936" s="4"/>
      <c r="AH936" s="4"/>
      <c r="AI936" s="4"/>
      <c r="AJ936" s="4"/>
      <c r="AK936" s="4"/>
      <c r="AL936" s="4"/>
      <c r="AM936" s="4"/>
      <c r="AN936" s="4"/>
      <c r="AO936" s="4"/>
      <c r="AP936" s="4"/>
      <c r="AQ936" s="4"/>
      <c r="AR936" s="4"/>
      <c r="AS936" s="4"/>
      <c r="AT936" s="4"/>
      <c r="AU936" s="4"/>
      <c r="AV936" s="4"/>
      <c r="AW936" s="4"/>
      <c r="AX936" s="4"/>
      <c r="AY936" s="4"/>
      <c r="AZ936" s="4"/>
      <c r="BA936" s="4"/>
      <c r="BB936" s="4"/>
      <c r="BC936" s="5"/>
      <c r="BD936" s="4"/>
      <c r="BE936" s="4"/>
      <c r="BF936" s="4"/>
      <c r="BG936" s="4"/>
      <c r="BH936" s="4"/>
      <c r="BI936" s="4"/>
      <c r="BJ936" s="4"/>
      <c r="BK936" s="4"/>
      <c r="BL936" s="4"/>
      <c r="BM936" s="4"/>
      <c r="BN936" s="4"/>
      <c r="BO936" s="4"/>
      <c r="BP936" s="4"/>
      <c r="BQ936" s="4"/>
      <c r="BR936" s="4"/>
    </row>
    <row r="937" spans="1:70">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c r="AG937" s="4"/>
      <c r="AH937" s="4"/>
      <c r="AI937" s="4"/>
      <c r="AJ937" s="4"/>
      <c r="AK937" s="4"/>
      <c r="AL937" s="4"/>
      <c r="AM937" s="4"/>
      <c r="AN937" s="4"/>
      <c r="AO937" s="4"/>
      <c r="AP937" s="4"/>
      <c r="AQ937" s="4"/>
      <c r="AR937" s="4"/>
      <c r="AS937" s="4"/>
      <c r="AT937" s="4"/>
      <c r="AU937" s="4"/>
      <c r="AV937" s="4"/>
      <c r="AW937" s="4"/>
      <c r="AX937" s="4"/>
      <c r="AY937" s="4"/>
      <c r="AZ937" s="4"/>
      <c r="BA937" s="4"/>
      <c r="BB937" s="4"/>
      <c r="BC937" s="5"/>
      <c r="BD937" s="4"/>
      <c r="BE937" s="4"/>
      <c r="BF937" s="4"/>
      <c r="BG937" s="4"/>
      <c r="BH937" s="4"/>
      <c r="BI937" s="4"/>
      <c r="BJ937" s="4"/>
      <c r="BK937" s="4"/>
      <c r="BL937" s="4"/>
      <c r="BM937" s="4"/>
      <c r="BN937" s="4"/>
      <c r="BO937" s="4"/>
      <c r="BP937" s="4"/>
      <c r="BQ937" s="4"/>
      <c r="BR937" s="4"/>
    </row>
    <row r="938" spans="1:70">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c r="AG938" s="4"/>
      <c r="AH938" s="4"/>
      <c r="AI938" s="4"/>
      <c r="AJ938" s="4"/>
      <c r="AK938" s="4"/>
      <c r="AL938" s="4"/>
      <c r="AM938" s="4"/>
      <c r="AN938" s="4"/>
      <c r="AO938" s="4"/>
      <c r="AP938" s="4"/>
      <c r="AQ938" s="4"/>
      <c r="AR938" s="4"/>
      <c r="AS938" s="4"/>
      <c r="AT938" s="4"/>
      <c r="AU938" s="4"/>
      <c r="AV938" s="4"/>
      <c r="AW938" s="4"/>
      <c r="AX938" s="4"/>
      <c r="AY938" s="4"/>
      <c r="AZ938" s="4"/>
      <c r="BA938" s="4"/>
      <c r="BB938" s="4"/>
      <c r="BC938" s="5"/>
      <c r="BD938" s="4"/>
      <c r="BE938" s="4"/>
      <c r="BF938" s="4"/>
      <c r="BG938" s="4"/>
      <c r="BH938" s="4"/>
      <c r="BI938" s="4"/>
      <c r="BJ938" s="4"/>
      <c r="BK938" s="4"/>
      <c r="BL938" s="4"/>
      <c r="BM938" s="4"/>
      <c r="BN938" s="4"/>
      <c r="BO938" s="4"/>
      <c r="BP938" s="4"/>
      <c r="BQ938" s="4"/>
      <c r="BR938" s="4"/>
    </row>
    <row r="939" spans="1:70">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c r="AG939" s="4"/>
      <c r="AH939" s="4"/>
      <c r="AI939" s="4"/>
      <c r="AJ939" s="4"/>
      <c r="AK939" s="4"/>
      <c r="AL939" s="4"/>
      <c r="AM939" s="4"/>
      <c r="AN939" s="4"/>
      <c r="AO939" s="4"/>
      <c r="AP939" s="4"/>
      <c r="AQ939" s="4"/>
      <c r="AR939" s="4"/>
      <c r="AS939" s="4"/>
      <c r="AT939" s="4"/>
      <c r="AU939" s="4"/>
      <c r="AV939" s="4"/>
      <c r="AW939" s="4"/>
      <c r="AX939" s="4"/>
      <c r="AY939" s="4"/>
      <c r="AZ939" s="4"/>
      <c r="BA939" s="4"/>
      <c r="BB939" s="4"/>
      <c r="BC939" s="5"/>
      <c r="BD939" s="4"/>
      <c r="BE939" s="4"/>
      <c r="BF939" s="4"/>
      <c r="BG939" s="4"/>
      <c r="BH939" s="4"/>
      <c r="BI939" s="4"/>
      <c r="BJ939" s="4"/>
      <c r="BK939" s="4"/>
      <c r="BL939" s="4"/>
      <c r="BM939" s="4"/>
      <c r="BN939" s="4"/>
      <c r="BO939" s="4"/>
      <c r="BP939" s="4"/>
      <c r="BQ939" s="4"/>
      <c r="BR939" s="4"/>
    </row>
    <row r="940" spans="1:7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c r="AG940" s="4"/>
      <c r="AH940" s="4"/>
      <c r="AI940" s="4"/>
      <c r="AJ940" s="4"/>
      <c r="AK940" s="4"/>
      <c r="AL940" s="4"/>
      <c r="AM940" s="4"/>
      <c r="AN940" s="4"/>
      <c r="AO940" s="4"/>
      <c r="AP940" s="4"/>
      <c r="AQ940" s="4"/>
      <c r="AR940" s="4"/>
      <c r="AS940" s="4"/>
      <c r="AT940" s="4"/>
      <c r="AU940" s="4"/>
      <c r="AV940" s="4"/>
      <c r="AW940" s="4"/>
      <c r="AX940" s="4"/>
      <c r="AY940" s="4"/>
      <c r="AZ940" s="4"/>
      <c r="BA940" s="4"/>
      <c r="BB940" s="4"/>
      <c r="BC940" s="5"/>
      <c r="BD940" s="4"/>
      <c r="BE940" s="4"/>
      <c r="BF940" s="4"/>
      <c r="BG940" s="4"/>
      <c r="BH940" s="4"/>
      <c r="BI940" s="4"/>
      <c r="BJ940" s="4"/>
      <c r="BK940" s="4"/>
      <c r="BL940" s="4"/>
      <c r="BM940" s="4"/>
      <c r="BN940" s="4"/>
      <c r="BO940" s="4"/>
      <c r="BP940" s="4"/>
      <c r="BQ940" s="4"/>
      <c r="BR940" s="4"/>
    </row>
    <row r="941" spans="1:70">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c r="AG941" s="4"/>
      <c r="AH941" s="4"/>
      <c r="AI941" s="4"/>
      <c r="AJ941" s="4"/>
      <c r="AK941" s="4"/>
      <c r="AL941" s="4"/>
      <c r="AM941" s="4"/>
      <c r="AN941" s="4"/>
      <c r="AO941" s="4"/>
      <c r="AP941" s="4"/>
      <c r="AQ941" s="4"/>
      <c r="AR941" s="4"/>
      <c r="AS941" s="4"/>
      <c r="AT941" s="4"/>
      <c r="AU941" s="4"/>
      <c r="AV941" s="4"/>
      <c r="AW941" s="4"/>
      <c r="AX941" s="4"/>
      <c r="AY941" s="4"/>
      <c r="AZ941" s="4"/>
      <c r="BA941" s="4"/>
      <c r="BB941" s="4"/>
      <c r="BC941" s="5"/>
      <c r="BD941" s="4"/>
      <c r="BE941" s="4"/>
      <c r="BF941" s="4"/>
      <c r="BG941" s="4"/>
      <c r="BH941" s="4"/>
      <c r="BI941" s="4"/>
      <c r="BJ941" s="4"/>
      <c r="BK941" s="4"/>
      <c r="BL941" s="4"/>
      <c r="BM941" s="4"/>
      <c r="BN941" s="4"/>
      <c r="BO941" s="4"/>
      <c r="BP941" s="4"/>
      <c r="BQ941" s="4"/>
      <c r="BR941" s="4"/>
    </row>
    <row r="942" spans="1:70">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c r="AG942" s="4"/>
      <c r="AH942" s="4"/>
      <c r="AI942" s="4"/>
      <c r="AJ942" s="4"/>
      <c r="AK942" s="4"/>
      <c r="AL942" s="4"/>
      <c r="AM942" s="4"/>
      <c r="AN942" s="4"/>
      <c r="AO942" s="4"/>
      <c r="AP942" s="4"/>
      <c r="AQ942" s="4"/>
      <c r="AR942" s="4"/>
      <c r="AS942" s="4"/>
      <c r="AT942" s="4"/>
      <c r="AU942" s="4"/>
      <c r="AV942" s="4"/>
      <c r="AW942" s="4"/>
      <c r="AX942" s="4"/>
      <c r="AY942" s="4"/>
      <c r="AZ942" s="4"/>
      <c r="BA942" s="4"/>
      <c r="BB942" s="4"/>
      <c r="BC942" s="5"/>
      <c r="BD942" s="4"/>
      <c r="BE942" s="4"/>
      <c r="BF942" s="4"/>
      <c r="BG942" s="4"/>
      <c r="BH942" s="4"/>
      <c r="BI942" s="4"/>
      <c r="BJ942" s="4"/>
      <c r="BK942" s="4"/>
      <c r="BL942" s="4"/>
      <c r="BM942" s="4"/>
      <c r="BN942" s="4"/>
      <c r="BO942" s="4"/>
      <c r="BP942" s="4"/>
      <c r="BQ942" s="4"/>
      <c r="BR942" s="4"/>
    </row>
    <row r="943" spans="1:70">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c r="AG943" s="4"/>
      <c r="AH943" s="4"/>
      <c r="AI943" s="4"/>
      <c r="AJ943" s="4"/>
      <c r="AK943" s="4"/>
      <c r="AL943" s="4"/>
      <c r="AM943" s="4"/>
      <c r="AN943" s="4"/>
      <c r="AO943" s="4"/>
      <c r="AP943" s="4"/>
      <c r="AQ943" s="4"/>
      <c r="AR943" s="4"/>
      <c r="AS943" s="4"/>
      <c r="AT943" s="4"/>
      <c r="AU943" s="4"/>
      <c r="AV943" s="4"/>
      <c r="AW943" s="4"/>
      <c r="AX943" s="4"/>
      <c r="AY943" s="4"/>
      <c r="AZ943" s="4"/>
      <c r="BA943" s="4"/>
      <c r="BB943" s="4"/>
      <c r="BC943" s="5"/>
      <c r="BD943" s="4"/>
      <c r="BE943" s="4"/>
      <c r="BF943" s="4"/>
      <c r="BG943" s="4"/>
      <c r="BH943" s="4"/>
      <c r="BI943" s="4"/>
      <c r="BJ943" s="4"/>
      <c r="BK943" s="4"/>
      <c r="BL943" s="4"/>
      <c r="BM943" s="4"/>
      <c r="BN943" s="4"/>
      <c r="BO943" s="4"/>
      <c r="BP943" s="4"/>
      <c r="BQ943" s="4"/>
      <c r="BR943" s="4"/>
    </row>
    <row r="944" spans="1:70">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c r="AG944" s="4"/>
      <c r="AH944" s="4"/>
      <c r="AI944" s="4"/>
      <c r="AJ944" s="4"/>
      <c r="AK944" s="4"/>
      <c r="AL944" s="4"/>
      <c r="AM944" s="4"/>
      <c r="AN944" s="4"/>
      <c r="AO944" s="4"/>
      <c r="AP944" s="4"/>
      <c r="AQ944" s="4"/>
      <c r="AR944" s="4"/>
      <c r="AS944" s="4"/>
      <c r="AT944" s="4"/>
      <c r="AU944" s="4"/>
      <c r="AV944" s="4"/>
      <c r="AW944" s="4"/>
      <c r="AX944" s="4"/>
      <c r="AY944" s="4"/>
      <c r="AZ944" s="4"/>
      <c r="BA944" s="4"/>
      <c r="BB944" s="4"/>
      <c r="BC944" s="5"/>
      <c r="BD944" s="4"/>
      <c r="BE944" s="4"/>
      <c r="BF944" s="4"/>
      <c r="BG944" s="4"/>
      <c r="BH944" s="4"/>
      <c r="BI944" s="4"/>
      <c r="BJ944" s="4"/>
      <c r="BK944" s="4"/>
      <c r="BL944" s="4"/>
      <c r="BM944" s="4"/>
      <c r="BN944" s="4"/>
      <c r="BO944" s="4"/>
      <c r="BP944" s="4"/>
      <c r="BQ944" s="4"/>
      <c r="BR944" s="4"/>
    </row>
    <row r="945" spans="1:70">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c r="AG945" s="4"/>
      <c r="AH945" s="4"/>
      <c r="AI945" s="4"/>
      <c r="AJ945" s="4"/>
      <c r="AK945" s="4"/>
      <c r="AL945" s="4"/>
      <c r="AM945" s="4"/>
      <c r="AN945" s="4"/>
      <c r="AO945" s="4"/>
      <c r="AP945" s="4"/>
      <c r="AQ945" s="4"/>
      <c r="AR945" s="4"/>
      <c r="AS945" s="4"/>
      <c r="AT945" s="4"/>
      <c r="AU945" s="4"/>
      <c r="AV945" s="4"/>
      <c r="AW945" s="4"/>
      <c r="AX945" s="4"/>
      <c r="AY945" s="4"/>
      <c r="AZ945" s="4"/>
      <c r="BA945" s="4"/>
      <c r="BB945" s="4"/>
      <c r="BC945" s="5"/>
      <c r="BD945" s="4"/>
      <c r="BE945" s="4"/>
      <c r="BF945" s="4"/>
      <c r="BG945" s="4"/>
      <c r="BH945" s="4"/>
      <c r="BI945" s="4"/>
      <c r="BJ945" s="4"/>
      <c r="BK945" s="4"/>
      <c r="BL945" s="4"/>
      <c r="BM945" s="4"/>
      <c r="BN945" s="4"/>
      <c r="BO945" s="4"/>
      <c r="BP945" s="4"/>
      <c r="BQ945" s="4"/>
      <c r="BR945" s="4"/>
    </row>
    <row r="946" spans="1:70">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c r="AG946" s="4"/>
      <c r="AH946" s="4"/>
      <c r="AI946" s="4"/>
      <c r="AJ946" s="4"/>
      <c r="AK946" s="4"/>
      <c r="AL946" s="4"/>
      <c r="AM946" s="4"/>
      <c r="AN946" s="4"/>
      <c r="AO946" s="4"/>
      <c r="AP946" s="4"/>
      <c r="AQ946" s="4"/>
      <c r="AR946" s="4"/>
      <c r="AS946" s="4"/>
      <c r="AT946" s="4"/>
      <c r="AU946" s="4"/>
      <c r="AV946" s="4"/>
      <c r="AW946" s="4"/>
      <c r="AX946" s="4"/>
      <c r="AY946" s="4"/>
      <c r="AZ946" s="4"/>
      <c r="BA946" s="4"/>
      <c r="BB946" s="4"/>
      <c r="BC946" s="5"/>
      <c r="BD946" s="4"/>
      <c r="BE946" s="4"/>
      <c r="BF946" s="4"/>
      <c r="BG946" s="4"/>
      <c r="BH946" s="4"/>
      <c r="BI946" s="4"/>
      <c r="BJ946" s="4"/>
      <c r="BK946" s="4"/>
      <c r="BL946" s="4"/>
      <c r="BM946" s="4"/>
      <c r="BN946" s="4"/>
      <c r="BO946" s="4"/>
      <c r="BP946" s="4"/>
      <c r="BQ946" s="4"/>
      <c r="BR946" s="4"/>
    </row>
    <row r="947" spans="1:70">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c r="AG947" s="4"/>
      <c r="AH947" s="4"/>
      <c r="AI947" s="4"/>
      <c r="AJ947" s="4"/>
      <c r="AK947" s="4"/>
      <c r="AL947" s="4"/>
      <c r="AM947" s="4"/>
      <c r="AN947" s="4"/>
      <c r="AO947" s="4"/>
      <c r="AP947" s="4"/>
      <c r="AQ947" s="4"/>
      <c r="AR947" s="4"/>
      <c r="AS947" s="4"/>
      <c r="AT947" s="4"/>
      <c r="AU947" s="4"/>
      <c r="AV947" s="4"/>
      <c r="AW947" s="4"/>
      <c r="AX947" s="4"/>
      <c r="AY947" s="4"/>
      <c r="AZ947" s="4"/>
      <c r="BA947" s="4"/>
      <c r="BB947" s="4"/>
      <c r="BC947" s="5"/>
      <c r="BD947" s="4"/>
      <c r="BE947" s="4"/>
      <c r="BF947" s="4"/>
      <c r="BG947" s="4"/>
      <c r="BH947" s="4"/>
      <c r="BI947" s="4"/>
      <c r="BJ947" s="4"/>
      <c r="BK947" s="4"/>
      <c r="BL947" s="4"/>
      <c r="BM947" s="4"/>
      <c r="BN947" s="4"/>
      <c r="BO947" s="4"/>
      <c r="BP947" s="4"/>
      <c r="BQ947" s="4"/>
      <c r="BR947" s="4"/>
    </row>
    <row r="948" spans="1:70">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c r="AG948" s="4"/>
      <c r="AH948" s="4"/>
      <c r="AI948" s="4"/>
      <c r="AJ948" s="4"/>
      <c r="AK948" s="4"/>
      <c r="AL948" s="4"/>
      <c r="AM948" s="4"/>
      <c r="AN948" s="4"/>
      <c r="AO948" s="4"/>
      <c r="AP948" s="4"/>
      <c r="AQ948" s="4"/>
      <c r="AR948" s="4"/>
      <c r="AS948" s="4"/>
      <c r="AT948" s="4"/>
      <c r="AU948" s="4"/>
      <c r="AV948" s="4"/>
      <c r="AW948" s="4"/>
      <c r="AX948" s="4"/>
      <c r="AY948" s="4"/>
      <c r="AZ948" s="4"/>
      <c r="BA948" s="4"/>
      <c r="BB948" s="4"/>
      <c r="BC948" s="5"/>
      <c r="BD948" s="4"/>
      <c r="BE948" s="4"/>
      <c r="BF948" s="4"/>
      <c r="BG948" s="4"/>
      <c r="BH948" s="4"/>
      <c r="BI948" s="4"/>
      <c r="BJ948" s="4"/>
      <c r="BK948" s="4"/>
      <c r="BL948" s="4"/>
      <c r="BM948" s="4"/>
      <c r="BN948" s="4"/>
      <c r="BO948" s="4"/>
      <c r="BP948" s="4"/>
      <c r="BQ948" s="4"/>
      <c r="BR948" s="4"/>
    </row>
    <row r="949" spans="1:70">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c r="AG949" s="4"/>
      <c r="AH949" s="4"/>
      <c r="AI949" s="4"/>
      <c r="AJ949" s="4"/>
      <c r="AK949" s="4"/>
      <c r="AL949" s="4"/>
      <c r="AM949" s="4"/>
      <c r="AN949" s="4"/>
      <c r="AO949" s="4"/>
      <c r="AP949" s="4"/>
      <c r="AQ949" s="4"/>
      <c r="AR949" s="4"/>
      <c r="AS949" s="4"/>
      <c r="AT949" s="4"/>
      <c r="AU949" s="4"/>
      <c r="AV949" s="4"/>
      <c r="AW949" s="4"/>
      <c r="AX949" s="4"/>
      <c r="AY949" s="4"/>
      <c r="AZ949" s="4"/>
      <c r="BA949" s="4"/>
      <c r="BB949" s="4"/>
      <c r="BC949" s="5"/>
      <c r="BD949" s="4"/>
      <c r="BE949" s="4"/>
      <c r="BF949" s="4"/>
      <c r="BG949" s="4"/>
      <c r="BH949" s="4"/>
      <c r="BI949" s="4"/>
      <c r="BJ949" s="4"/>
      <c r="BK949" s="4"/>
      <c r="BL949" s="4"/>
      <c r="BM949" s="4"/>
      <c r="BN949" s="4"/>
      <c r="BO949" s="4"/>
      <c r="BP949" s="4"/>
      <c r="BQ949" s="4"/>
      <c r="BR949" s="4"/>
    </row>
    <row r="950" spans="1:7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c r="AF950" s="3"/>
      <c r="AG950" s="4"/>
      <c r="AH950" s="4"/>
      <c r="AI950" s="4"/>
      <c r="AJ950" s="4"/>
      <c r="AK950" s="4"/>
      <c r="AL950" s="4"/>
      <c r="AM950" s="4"/>
      <c r="AN950" s="4"/>
      <c r="AO950" s="4"/>
      <c r="AP950" s="4"/>
      <c r="AQ950" s="4"/>
      <c r="AR950" s="4"/>
      <c r="AS950" s="4"/>
      <c r="AT950" s="4"/>
      <c r="AU950" s="4"/>
      <c r="AV950" s="4"/>
      <c r="AW950" s="4"/>
      <c r="AX950" s="4"/>
      <c r="AY950" s="4"/>
      <c r="AZ950" s="4"/>
      <c r="BA950" s="4"/>
      <c r="BB950" s="4"/>
      <c r="BC950" s="5"/>
      <c r="BD950" s="4"/>
      <c r="BE950" s="4"/>
      <c r="BF950" s="4"/>
      <c r="BG950" s="4"/>
      <c r="BH950" s="4"/>
      <c r="BI950" s="4"/>
      <c r="BJ950" s="4"/>
      <c r="BK950" s="4"/>
      <c r="BL950" s="4"/>
      <c r="BM950" s="4"/>
      <c r="BN950" s="4"/>
      <c r="BO950" s="4"/>
      <c r="BP950" s="4"/>
      <c r="BQ950" s="4"/>
      <c r="BR950" s="4"/>
    </row>
    <row r="951" spans="1:70">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c r="AF951" s="3"/>
      <c r="AG951" s="4"/>
      <c r="AH951" s="4"/>
      <c r="AI951" s="4"/>
      <c r="AJ951" s="4"/>
      <c r="AK951" s="4"/>
      <c r="AL951" s="4"/>
      <c r="AM951" s="4"/>
      <c r="AN951" s="4"/>
      <c r="AO951" s="4"/>
      <c r="AP951" s="4"/>
      <c r="AQ951" s="4"/>
      <c r="AR951" s="4"/>
      <c r="AS951" s="4"/>
      <c r="AT951" s="4"/>
      <c r="AU951" s="4"/>
      <c r="AV951" s="4"/>
      <c r="AW951" s="4"/>
      <c r="AX951" s="4"/>
      <c r="AY951" s="4"/>
      <c r="AZ951" s="4"/>
      <c r="BA951" s="4"/>
      <c r="BB951" s="4"/>
      <c r="BC951" s="5"/>
      <c r="BD951" s="4"/>
      <c r="BE951" s="4"/>
      <c r="BF951" s="4"/>
      <c r="BG951" s="4"/>
      <c r="BH951" s="4"/>
      <c r="BI951" s="4"/>
      <c r="BJ951" s="4"/>
      <c r="BK951" s="4"/>
      <c r="BL951" s="4"/>
      <c r="BM951" s="4"/>
      <c r="BN951" s="4"/>
      <c r="BO951" s="4"/>
      <c r="BP951" s="4"/>
      <c r="BQ951" s="4"/>
      <c r="BR951" s="4"/>
    </row>
    <row r="952" spans="1:70">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c r="AF952" s="3"/>
      <c r="AG952" s="4"/>
      <c r="AH952" s="4"/>
      <c r="AI952" s="4"/>
      <c r="AJ952" s="4"/>
      <c r="AK952" s="4"/>
      <c r="AL952" s="4"/>
      <c r="AM952" s="4"/>
      <c r="AN952" s="4"/>
      <c r="AO952" s="4"/>
      <c r="AP952" s="4"/>
      <c r="AQ952" s="4"/>
      <c r="AR952" s="4"/>
      <c r="AS952" s="4"/>
      <c r="AT952" s="4"/>
      <c r="AU952" s="4"/>
      <c r="AV952" s="4"/>
      <c r="AW952" s="4"/>
      <c r="AX952" s="4"/>
      <c r="AY952" s="4"/>
      <c r="AZ952" s="4"/>
      <c r="BA952" s="4"/>
      <c r="BB952" s="4"/>
      <c r="BC952" s="5"/>
      <c r="BD952" s="4"/>
      <c r="BE952" s="4"/>
      <c r="BF952" s="4"/>
      <c r="BG952" s="4"/>
      <c r="BH952" s="4"/>
      <c r="BI952" s="4"/>
      <c r="BJ952" s="4"/>
      <c r="BK952" s="4"/>
      <c r="BL952" s="4"/>
      <c r="BM952" s="4"/>
      <c r="BN952" s="4"/>
      <c r="BO952" s="4"/>
      <c r="BP952" s="4"/>
      <c r="BQ952" s="4"/>
      <c r="BR952" s="4"/>
    </row>
    <row r="953" spans="1:70">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c r="AG953" s="4"/>
      <c r="AH953" s="4"/>
      <c r="AI953" s="4"/>
      <c r="AJ953" s="4"/>
      <c r="AK953" s="4"/>
      <c r="AL953" s="4"/>
      <c r="AM953" s="4"/>
      <c r="AN953" s="4"/>
      <c r="AO953" s="4"/>
      <c r="AP953" s="4"/>
      <c r="AQ953" s="4"/>
      <c r="AR953" s="4"/>
      <c r="AS953" s="4"/>
      <c r="AT953" s="4"/>
      <c r="AU953" s="4"/>
      <c r="AV953" s="4"/>
      <c r="AW953" s="4"/>
      <c r="AX953" s="4"/>
      <c r="AY953" s="4"/>
      <c r="AZ953" s="4"/>
      <c r="BA953" s="4"/>
      <c r="BB953" s="4"/>
      <c r="BC953" s="5"/>
      <c r="BD953" s="4"/>
      <c r="BE953" s="4"/>
      <c r="BF953" s="4"/>
      <c r="BG953" s="4"/>
      <c r="BH953" s="4"/>
      <c r="BI953" s="4"/>
      <c r="BJ953" s="4"/>
      <c r="BK953" s="4"/>
      <c r="BL953" s="4"/>
      <c r="BM953" s="4"/>
      <c r="BN953" s="4"/>
      <c r="BO953" s="4"/>
      <c r="BP953" s="4"/>
      <c r="BQ953" s="4"/>
      <c r="BR953" s="4"/>
    </row>
    <row r="954" spans="1:70">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c r="AF954" s="3"/>
      <c r="AG954" s="4"/>
      <c r="AH954" s="4"/>
      <c r="AI954" s="4"/>
      <c r="AJ954" s="4"/>
      <c r="AK954" s="4"/>
      <c r="AL954" s="4"/>
      <c r="AM954" s="4"/>
      <c r="AN954" s="4"/>
      <c r="AO954" s="4"/>
      <c r="AP954" s="4"/>
      <c r="AQ954" s="4"/>
      <c r="AR954" s="4"/>
      <c r="AS954" s="4"/>
      <c r="AT954" s="4"/>
      <c r="AU954" s="4"/>
      <c r="AV954" s="4"/>
      <c r="AW954" s="4"/>
      <c r="AX954" s="4"/>
      <c r="AY954" s="4"/>
      <c r="AZ954" s="4"/>
      <c r="BA954" s="4"/>
      <c r="BB954" s="4"/>
      <c r="BC954" s="5"/>
      <c r="BD954" s="4"/>
      <c r="BE954" s="4"/>
      <c r="BF954" s="4"/>
      <c r="BG954" s="4"/>
      <c r="BH954" s="4"/>
      <c r="BI954" s="4"/>
      <c r="BJ954" s="4"/>
      <c r="BK954" s="4"/>
      <c r="BL954" s="4"/>
      <c r="BM954" s="4"/>
      <c r="BN954" s="4"/>
      <c r="BO954" s="4"/>
      <c r="BP954" s="4"/>
      <c r="BQ954" s="4"/>
      <c r="BR954" s="4"/>
    </row>
    <row r="955" spans="1:70">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c r="AF955" s="3"/>
      <c r="AG955" s="4"/>
      <c r="AH955" s="4"/>
      <c r="AI955" s="4"/>
      <c r="AJ955" s="4"/>
      <c r="AK955" s="4"/>
      <c r="AL955" s="4"/>
      <c r="AM955" s="4"/>
      <c r="AN955" s="4"/>
      <c r="AO955" s="4"/>
      <c r="AP955" s="4"/>
      <c r="AQ955" s="4"/>
      <c r="AR955" s="4"/>
      <c r="AS955" s="4"/>
      <c r="AT955" s="4"/>
      <c r="AU955" s="4"/>
      <c r="AV955" s="4"/>
      <c r="AW955" s="4"/>
      <c r="AX955" s="4"/>
      <c r="AY955" s="4"/>
      <c r="AZ955" s="4"/>
      <c r="BA955" s="4"/>
      <c r="BB955" s="4"/>
      <c r="BC955" s="5"/>
      <c r="BD955" s="4"/>
      <c r="BE955" s="4"/>
      <c r="BF955" s="4"/>
      <c r="BG955" s="4"/>
      <c r="BH955" s="4"/>
      <c r="BI955" s="4"/>
      <c r="BJ955" s="4"/>
      <c r="BK955" s="4"/>
      <c r="BL955" s="4"/>
      <c r="BM955" s="4"/>
      <c r="BN955" s="4"/>
      <c r="BO955" s="4"/>
      <c r="BP955" s="4"/>
      <c r="BQ955" s="4"/>
      <c r="BR955" s="4"/>
    </row>
    <row r="956" spans="1:70">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c r="AF956" s="3"/>
      <c r="AG956" s="4"/>
      <c r="AH956" s="4"/>
      <c r="AI956" s="4"/>
      <c r="AJ956" s="4"/>
      <c r="AK956" s="4"/>
      <c r="AL956" s="4"/>
      <c r="AM956" s="4"/>
      <c r="AN956" s="4"/>
      <c r="AO956" s="4"/>
      <c r="AP956" s="4"/>
      <c r="AQ956" s="4"/>
      <c r="AR956" s="4"/>
      <c r="AS956" s="4"/>
      <c r="AT956" s="4"/>
      <c r="AU956" s="4"/>
      <c r="AV956" s="4"/>
      <c r="AW956" s="4"/>
      <c r="AX956" s="4"/>
      <c r="AY956" s="4"/>
      <c r="AZ956" s="4"/>
      <c r="BA956" s="4"/>
      <c r="BB956" s="4"/>
      <c r="BC956" s="5"/>
      <c r="BD956" s="4"/>
      <c r="BE956" s="4"/>
      <c r="BF956" s="4"/>
      <c r="BG956" s="4"/>
      <c r="BH956" s="4"/>
      <c r="BI956" s="4"/>
      <c r="BJ956" s="4"/>
      <c r="BK956" s="4"/>
      <c r="BL956" s="4"/>
      <c r="BM956" s="4"/>
      <c r="BN956" s="4"/>
      <c r="BO956" s="4"/>
      <c r="BP956" s="4"/>
      <c r="BQ956" s="4"/>
      <c r="BR956" s="4"/>
    </row>
    <row r="957" spans="1:70">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c r="AF957" s="3"/>
      <c r="AG957" s="4"/>
      <c r="AH957" s="4"/>
      <c r="AI957" s="4"/>
      <c r="AJ957" s="4"/>
      <c r="AK957" s="4"/>
      <c r="AL957" s="4"/>
      <c r="AM957" s="4"/>
      <c r="AN957" s="4"/>
      <c r="AO957" s="4"/>
      <c r="AP957" s="4"/>
      <c r="AQ957" s="4"/>
      <c r="AR957" s="4"/>
      <c r="AS957" s="4"/>
      <c r="AT957" s="4"/>
      <c r="AU957" s="4"/>
      <c r="AV957" s="4"/>
      <c r="AW957" s="4"/>
      <c r="AX957" s="4"/>
      <c r="AY957" s="4"/>
      <c r="AZ957" s="4"/>
      <c r="BA957" s="4"/>
      <c r="BB957" s="4"/>
      <c r="BC957" s="5"/>
      <c r="BD957" s="4"/>
      <c r="BE957" s="4"/>
      <c r="BF957" s="4"/>
      <c r="BG957" s="4"/>
      <c r="BH957" s="4"/>
      <c r="BI957" s="4"/>
      <c r="BJ957" s="4"/>
      <c r="BK957" s="4"/>
      <c r="BL957" s="4"/>
      <c r="BM957" s="4"/>
      <c r="BN957" s="4"/>
      <c r="BO957" s="4"/>
      <c r="BP957" s="4"/>
      <c r="BQ957" s="4"/>
      <c r="BR957" s="4"/>
    </row>
    <row r="958" spans="1:70">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c r="AF958" s="3"/>
      <c r="AG958" s="4"/>
      <c r="AH958" s="4"/>
      <c r="AI958" s="4"/>
      <c r="AJ958" s="4"/>
      <c r="AK958" s="4"/>
      <c r="AL958" s="4"/>
      <c r="AM958" s="4"/>
      <c r="AN958" s="4"/>
      <c r="AO958" s="4"/>
      <c r="AP958" s="4"/>
      <c r="AQ958" s="4"/>
      <c r="AR958" s="4"/>
      <c r="AS958" s="4"/>
      <c r="AT958" s="4"/>
      <c r="AU958" s="4"/>
      <c r="AV958" s="4"/>
      <c r="AW958" s="4"/>
      <c r="AX958" s="4"/>
      <c r="AY958" s="4"/>
      <c r="AZ958" s="4"/>
      <c r="BA958" s="4"/>
      <c r="BB958" s="4"/>
      <c r="BC958" s="5"/>
      <c r="BD958" s="4"/>
      <c r="BE958" s="4"/>
      <c r="BF958" s="4"/>
      <c r="BG958" s="4"/>
      <c r="BH958" s="4"/>
      <c r="BI958" s="4"/>
      <c r="BJ958" s="4"/>
      <c r="BK958" s="4"/>
      <c r="BL958" s="4"/>
      <c r="BM958" s="4"/>
      <c r="BN958" s="4"/>
      <c r="BO958" s="4"/>
      <c r="BP958" s="4"/>
      <c r="BQ958" s="4"/>
      <c r="BR958" s="4"/>
    </row>
    <row r="959" spans="1:70">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c r="AF959" s="3"/>
      <c r="AG959" s="4"/>
      <c r="AH959" s="4"/>
      <c r="AI959" s="4"/>
      <c r="AJ959" s="4"/>
      <c r="AK959" s="4"/>
      <c r="AL959" s="4"/>
      <c r="AM959" s="4"/>
      <c r="AN959" s="4"/>
      <c r="AO959" s="4"/>
      <c r="AP959" s="4"/>
      <c r="AQ959" s="4"/>
      <c r="AR959" s="4"/>
      <c r="AS959" s="4"/>
      <c r="AT959" s="4"/>
      <c r="AU959" s="4"/>
      <c r="AV959" s="4"/>
      <c r="AW959" s="4"/>
      <c r="AX959" s="4"/>
      <c r="AY959" s="4"/>
      <c r="AZ959" s="4"/>
      <c r="BA959" s="4"/>
      <c r="BB959" s="4"/>
      <c r="BC959" s="5"/>
      <c r="BD959" s="4"/>
      <c r="BE959" s="4"/>
      <c r="BF959" s="4"/>
      <c r="BG959" s="4"/>
      <c r="BH959" s="4"/>
      <c r="BI959" s="4"/>
      <c r="BJ959" s="4"/>
      <c r="BK959" s="4"/>
      <c r="BL959" s="4"/>
      <c r="BM959" s="4"/>
      <c r="BN959" s="4"/>
      <c r="BO959" s="4"/>
      <c r="BP959" s="4"/>
      <c r="BQ959" s="4"/>
      <c r="BR959" s="4"/>
    </row>
    <row r="960" spans="1:7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c r="AF960" s="3"/>
      <c r="AG960" s="4"/>
      <c r="AH960" s="4"/>
      <c r="AI960" s="4"/>
      <c r="AJ960" s="4"/>
      <c r="AK960" s="4"/>
      <c r="AL960" s="4"/>
      <c r="AM960" s="4"/>
      <c r="AN960" s="4"/>
      <c r="AO960" s="4"/>
      <c r="AP960" s="4"/>
      <c r="AQ960" s="4"/>
      <c r="AR960" s="4"/>
      <c r="AS960" s="4"/>
      <c r="AT960" s="4"/>
      <c r="AU960" s="4"/>
      <c r="AV960" s="4"/>
      <c r="AW960" s="4"/>
      <c r="AX960" s="4"/>
      <c r="AY960" s="4"/>
      <c r="AZ960" s="4"/>
      <c r="BA960" s="4"/>
      <c r="BB960" s="4"/>
      <c r="BC960" s="5"/>
      <c r="BD960" s="4"/>
      <c r="BE960" s="4"/>
      <c r="BF960" s="4"/>
      <c r="BG960" s="4"/>
      <c r="BH960" s="4"/>
      <c r="BI960" s="4"/>
      <c r="BJ960" s="4"/>
      <c r="BK960" s="4"/>
      <c r="BL960" s="4"/>
      <c r="BM960" s="4"/>
      <c r="BN960" s="4"/>
      <c r="BO960" s="4"/>
      <c r="BP960" s="4"/>
      <c r="BQ960" s="4"/>
      <c r="BR960" s="4"/>
    </row>
    <row r="961" spans="1:70">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c r="AF961" s="3"/>
      <c r="AG961" s="4"/>
      <c r="AH961" s="4"/>
      <c r="AI961" s="4"/>
      <c r="AJ961" s="4"/>
      <c r="AK961" s="4"/>
      <c r="AL961" s="4"/>
      <c r="AM961" s="4"/>
      <c r="AN961" s="4"/>
      <c r="AO961" s="4"/>
      <c r="AP961" s="4"/>
      <c r="AQ961" s="4"/>
      <c r="AR961" s="4"/>
      <c r="AS961" s="4"/>
      <c r="AT961" s="4"/>
      <c r="AU961" s="4"/>
      <c r="AV961" s="4"/>
      <c r="AW961" s="4"/>
      <c r="AX961" s="4"/>
      <c r="AY961" s="4"/>
      <c r="AZ961" s="4"/>
      <c r="BA961" s="4"/>
      <c r="BB961" s="4"/>
      <c r="BC961" s="5"/>
      <c r="BD961" s="4"/>
      <c r="BE961" s="4"/>
      <c r="BF961" s="4"/>
      <c r="BG961" s="4"/>
      <c r="BH961" s="4"/>
      <c r="BI961" s="4"/>
      <c r="BJ961" s="4"/>
      <c r="BK961" s="4"/>
      <c r="BL961" s="4"/>
      <c r="BM961" s="4"/>
      <c r="BN961" s="4"/>
      <c r="BO961" s="4"/>
      <c r="BP961" s="4"/>
      <c r="BQ961" s="4"/>
      <c r="BR961" s="4"/>
    </row>
    <row r="962" spans="1:70">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c r="AF962" s="3"/>
      <c r="AG962" s="4"/>
      <c r="AH962" s="4"/>
      <c r="AI962" s="4"/>
      <c r="AJ962" s="4"/>
      <c r="AK962" s="4"/>
      <c r="AL962" s="4"/>
      <c r="AM962" s="4"/>
      <c r="AN962" s="4"/>
      <c r="AO962" s="4"/>
      <c r="AP962" s="4"/>
      <c r="AQ962" s="4"/>
      <c r="AR962" s="4"/>
      <c r="AS962" s="4"/>
      <c r="AT962" s="4"/>
      <c r="AU962" s="4"/>
      <c r="AV962" s="4"/>
      <c r="AW962" s="4"/>
      <c r="AX962" s="4"/>
      <c r="AY962" s="4"/>
      <c r="AZ962" s="4"/>
      <c r="BA962" s="4"/>
      <c r="BB962" s="4"/>
      <c r="BC962" s="5"/>
      <c r="BD962" s="4"/>
      <c r="BE962" s="4"/>
      <c r="BF962" s="4"/>
      <c r="BG962" s="4"/>
      <c r="BH962" s="4"/>
      <c r="BI962" s="4"/>
      <c r="BJ962" s="4"/>
      <c r="BK962" s="4"/>
      <c r="BL962" s="4"/>
      <c r="BM962" s="4"/>
      <c r="BN962" s="4"/>
      <c r="BO962" s="4"/>
      <c r="BP962" s="4"/>
      <c r="BQ962" s="4"/>
      <c r="BR962" s="4"/>
    </row>
    <row r="963" spans="1:70">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c r="AF963" s="3"/>
      <c r="AG963" s="4"/>
      <c r="AH963" s="4"/>
      <c r="AI963" s="4"/>
      <c r="AJ963" s="4"/>
      <c r="AK963" s="4"/>
      <c r="AL963" s="4"/>
      <c r="AM963" s="4"/>
      <c r="AN963" s="4"/>
      <c r="AO963" s="4"/>
      <c r="AP963" s="4"/>
      <c r="AQ963" s="4"/>
      <c r="AR963" s="4"/>
      <c r="AS963" s="4"/>
      <c r="AT963" s="4"/>
      <c r="AU963" s="4"/>
      <c r="AV963" s="4"/>
      <c r="AW963" s="4"/>
      <c r="AX963" s="4"/>
      <c r="AY963" s="4"/>
      <c r="AZ963" s="4"/>
      <c r="BA963" s="4"/>
      <c r="BB963" s="4"/>
      <c r="BC963" s="5"/>
      <c r="BD963" s="4"/>
      <c r="BE963" s="4"/>
      <c r="BF963" s="4"/>
      <c r="BG963" s="4"/>
      <c r="BH963" s="4"/>
      <c r="BI963" s="4"/>
      <c r="BJ963" s="4"/>
      <c r="BK963" s="4"/>
      <c r="BL963" s="4"/>
      <c r="BM963" s="4"/>
      <c r="BN963" s="4"/>
      <c r="BO963" s="4"/>
      <c r="BP963" s="4"/>
      <c r="BQ963" s="4"/>
      <c r="BR963" s="4"/>
    </row>
    <row r="964" spans="1:70">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c r="AF964" s="3"/>
      <c r="AG964" s="4"/>
      <c r="AH964" s="4"/>
      <c r="AI964" s="4"/>
      <c r="AJ964" s="4"/>
      <c r="AK964" s="4"/>
      <c r="AL964" s="4"/>
      <c r="AM964" s="4"/>
      <c r="AN964" s="4"/>
      <c r="AO964" s="4"/>
      <c r="AP964" s="4"/>
      <c r="AQ964" s="4"/>
      <c r="AR964" s="4"/>
      <c r="AS964" s="4"/>
      <c r="AT964" s="4"/>
      <c r="AU964" s="4"/>
      <c r="AV964" s="4"/>
      <c r="AW964" s="4"/>
      <c r="AX964" s="4"/>
      <c r="AY964" s="4"/>
      <c r="AZ964" s="4"/>
      <c r="BA964" s="4"/>
      <c r="BB964" s="4"/>
      <c r="BC964" s="5"/>
      <c r="BD964" s="4"/>
      <c r="BE964" s="4"/>
      <c r="BF964" s="4"/>
      <c r="BG964" s="4"/>
      <c r="BH964" s="4"/>
      <c r="BI964" s="4"/>
      <c r="BJ964" s="4"/>
      <c r="BK964" s="4"/>
      <c r="BL964" s="4"/>
      <c r="BM964" s="4"/>
      <c r="BN964" s="4"/>
      <c r="BO964" s="4"/>
      <c r="BP964" s="4"/>
      <c r="BQ964" s="4"/>
      <c r="BR964" s="4"/>
    </row>
    <row r="965" spans="1:70">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c r="AF965" s="3"/>
      <c r="AG965" s="4"/>
      <c r="AH965" s="4"/>
      <c r="AI965" s="4"/>
      <c r="AJ965" s="4"/>
      <c r="AK965" s="4"/>
      <c r="AL965" s="4"/>
      <c r="AM965" s="4"/>
      <c r="AN965" s="4"/>
      <c r="AO965" s="4"/>
      <c r="AP965" s="4"/>
      <c r="AQ965" s="4"/>
      <c r="AR965" s="4"/>
      <c r="AS965" s="4"/>
      <c r="AT965" s="4"/>
      <c r="AU965" s="4"/>
      <c r="AV965" s="4"/>
      <c r="AW965" s="4"/>
      <c r="AX965" s="4"/>
      <c r="AY965" s="4"/>
      <c r="AZ965" s="4"/>
      <c r="BA965" s="4"/>
      <c r="BB965" s="4"/>
      <c r="BC965" s="5"/>
      <c r="BD965" s="4"/>
      <c r="BE965" s="4"/>
      <c r="BF965" s="4"/>
      <c r="BG965" s="4"/>
      <c r="BH965" s="4"/>
      <c r="BI965" s="4"/>
      <c r="BJ965" s="4"/>
      <c r="BK965" s="4"/>
      <c r="BL965" s="4"/>
      <c r="BM965" s="4"/>
      <c r="BN965" s="4"/>
      <c r="BO965" s="4"/>
      <c r="BP965" s="4"/>
      <c r="BQ965" s="4"/>
      <c r="BR965" s="4"/>
    </row>
    <row r="966" spans="1:70">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c r="AF966" s="3"/>
      <c r="AG966" s="4"/>
      <c r="AH966" s="4"/>
      <c r="AI966" s="4"/>
      <c r="AJ966" s="4"/>
      <c r="AK966" s="4"/>
      <c r="AL966" s="4"/>
      <c r="AM966" s="4"/>
      <c r="AN966" s="4"/>
      <c r="AO966" s="4"/>
      <c r="AP966" s="4"/>
      <c r="AQ966" s="4"/>
      <c r="AR966" s="4"/>
      <c r="AS966" s="4"/>
      <c r="AT966" s="4"/>
      <c r="AU966" s="4"/>
      <c r="AV966" s="4"/>
      <c r="AW966" s="4"/>
      <c r="AX966" s="4"/>
      <c r="AY966" s="4"/>
      <c r="AZ966" s="4"/>
      <c r="BA966" s="4"/>
      <c r="BB966" s="4"/>
      <c r="BC966" s="5"/>
      <c r="BD966" s="4"/>
      <c r="BE966" s="4"/>
      <c r="BF966" s="4"/>
      <c r="BG966" s="4"/>
      <c r="BH966" s="4"/>
      <c r="BI966" s="4"/>
      <c r="BJ966" s="4"/>
      <c r="BK966" s="4"/>
      <c r="BL966" s="4"/>
      <c r="BM966" s="4"/>
      <c r="BN966" s="4"/>
      <c r="BO966" s="4"/>
      <c r="BP966" s="4"/>
      <c r="BQ966" s="4"/>
      <c r="BR966" s="4"/>
    </row>
    <row r="967" spans="1:70">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c r="AF967" s="3"/>
      <c r="AG967" s="4"/>
      <c r="AH967" s="4"/>
      <c r="AI967" s="4"/>
      <c r="AJ967" s="4"/>
      <c r="AK967" s="4"/>
      <c r="AL967" s="4"/>
      <c r="AM967" s="4"/>
      <c r="AN967" s="4"/>
      <c r="AO967" s="4"/>
      <c r="AP967" s="4"/>
      <c r="AQ967" s="4"/>
      <c r="AR967" s="4"/>
      <c r="AS967" s="4"/>
      <c r="AT967" s="4"/>
      <c r="AU967" s="4"/>
      <c r="AV967" s="4"/>
      <c r="AW967" s="4"/>
      <c r="AX967" s="4"/>
      <c r="AY967" s="4"/>
      <c r="AZ967" s="4"/>
      <c r="BA967" s="4"/>
      <c r="BB967" s="4"/>
      <c r="BC967" s="5"/>
      <c r="BD967" s="4"/>
      <c r="BE967" s="4"/>
      <c r="BF967" s="4"/>
      <c r="BG967" s="4"/>
      <c r="BH967" s="4"/>
      <c r="BI967" s="4"/>
      <c r="BJ967" s="4"/>
      <c r="BK967" s="4"/>
      <c r="BL967" s="4"/>
      <c r="BM967" s="4"/>
      <c r="BN967" s="4"/>
      <c r="BO967" s="4"/>
      <c r="BP967" s="4"/>
      <c r="BQ967" s="4"/>
      <c r="BR967" s="4"/>
    </row>
    <row r="968" spans="1:70">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c r="AG968" s="4"/>
      <c r="AH968" s="4"/>
      <c r="AI968" s="4"/>
      <c r="AJ968" s="4"/>
      <c r="AK968" s="4"/>
      <c r="AL968" s="4"/>
      <c r="AM968" s="4"/>
      <c r="AN968" s="4"/>
      <c r="AO968" s="4"/>
      <c r="AP968" s="4"/>
      <c r="AQ968" s="4"/>
      <c r="AR968" s="4"/>
      <c r="AS968" s="4"/>
      <c r="AT968" s="4"/>
      <c r="AU968" s="4"/>
      <c r="AV968" s="4"/>
      <c r="AW968" s="4"/>
      <c r="AX968" s="4"/>
      <c r="AY968" s="4"/>
      <c r="AZ968" s="4"/>
      <c r="BA968" s="4"/>
      <c r="BB968" s="4"/>
      <c r="BC968" s="5"/>
      <c r="BD968" s="4"/>
      <c r="BE968" s="4"/>
      <c r="BF968" s="4"/>
      <c r="BG968" s="4"/>
      <c r="BH968" s="4"/>
      <c r="BI968" s="4"/>
      <c r="BJ968" s="4"/>
      <c r="BK968" s="4"/>
      <c r="BL968" s="4"/>
      <c r="BM968" s="4"/>
      <c r="BN968" s="4"/>
      <c r="BO968" s="4"/>
      <c r="BP968" s="4"/>
      <c r="BQ968" s="4"/>
      <c r="BR968" s="4"/>
    </row>
    <row r="969" spans="1:70">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c r="AF969" s="3"/>
      <c r="AG969" s="4"/>
      <c r="AH969" s="4"/>
      <c r="AI969" s="4"/>
      <c r="AJ969" s="4"/>
      <c r="AK969" s="4"/>
      <c r="AL969" s="4"/>
      <c r="AM969" s="4"/>
      <c r="AN969" s="4"/>
      <c r="AO969" s="4"/>
      <c r="AP969" s="4"/>
      <c r="AQ969" s="4"/>
      <c r="AR969" s="4"/>
      <c r="AS969" s="4"/>
      <c r="AT969" s="4"/>
      <c r="AU969" s="4"/>
      <c r="AV969" s="4"/>
      <c r="AW969" s="4"/>
      <c r="AX969" s="4"/>
      <c r="AY969" s="4"/>
      <c r="AZ969" s="4"/>
      <c r="BA969" s="4"/>
      <c r="BB969" s="4"/>
      <c r="BC969" s="5"/>
      <c r="BD969" s="4"/>
      <c r="BE969" s="4"/>
      <c r="BF969" s="4"/>
      <c r="BG969" s="4"/>
      <c r="BH969" s="4"/>
      <c r="BI969" s="4"/>
      <c r="BJ969" s="4"/>
      <c r="BK969" s="4"/>
      <c r="BL969" s="4"/>
      <c r="BM969" s="4"/>
      <c r="BN969" s="4"/>
      <c r="BO969" s="4"/>
      <c r="BP969" s="4"/>
      <c r="BQ969" s="4"/>
      <c r="BR969" s="4"/>
    </row>
    <row r="970" spans="1: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c r="AF970" s="3"/>
      <c r="AG970" s="4"/>
      <c r="AH970" s="4"/>
      <c r="AI970" s="4"/>
      <c r="AJ970" s="4"/>
      <c r="AK970" s="4"/>
      <c r="AL970" s="4"/>
      <c r="AM970" s="4"/>
      <c r="AN970" s="4"/>
      <c r="AO970" s="4"/>
      <c r="AP970" s="4"/>
      <c r="AQ970" s="4"/>
      <c r="AR970" s="4"/>
      <c r="AS970" s="4"/>
      <c r="AT970" s="4"/>
      <c r="AU970" s="4"/>
      <c r="AV970" s="4"/>
      <c r="AW970" s="4"/>
      <c r="AX970" s="4"/>
      <c r="AY970" s="4"/>
      <c r="AZ970" s="4"/>
      <c r="BA970" s="4"/>
      <c r="BB970" s="4"/>
      <c r="BC970" s="5"/>
      <c r="BD970" s="4"/>
      <c r="BE970" s="4"/>
      <c r="BF970" s="4"/>
      <c r="BG970" s="4"/>
      <c r="BH970" s="4"/>
      <c r="BI970" s="4"/>
      <c r="BJ970" s="4"/>
      <c r="BK970" s="4"/>
      <c r="BL970" s="4"/>
      <c r="BM970" s="4"/>
      <c r="BN970" s="4"/>
      <c r="BO970" s="4"/>
      <c r="BP970" s="4"/>
      <c r="BQ970" s="4"/>
      <c r="BR970" s="4"/>
    </row>
  </sheetData>
  <mergeCells count="41">
    <mergeCell ref="AH52:AO52"/>
    <mergeCell ref="E55:G55"/>
    <mergeCell ref="B78:D78"/>
    <mergeCell ref="B87:D87"/>
    <mergeCell ref="W9:W13"/>
    <mergeCell ref="D43:D44"/>
    <mergeCell ref="E43:E44"/>
    <mergeCell ref="F43:F44"/>
    <mergeCell ref="G43:H43"/>
    <mergeCell ref="I43:J43"/>
    <mergeCell ref="G44:H44"/>
    <mergeCell ref="I44:J44"/>
    <mergeCell ref="D52:T52"/>
    <mergeCell ref="V52:AF52"/>
    <mergeCell ref="BB4:BB5"/>
    <mergeCell ref="BC4:BC5"/>
    <mergeCell ref="BD4:BD5"/>
    <mergeCell ref="BE4:BF4"/>
    <mergeCell ref="BG4:BH4"/>
    <mergeCell ref="AY4:AZ4"/>
    <mergeCell ref="S4:S5"/>
    <mergeCell ref="U4:AE4"/>
    <mergeCell ref="AL4:AL5"/>
    <mergeCell ref="AM4:AM5"/>
    <mergeCell ref="AN4:AN5"/>
    <mergeCell ref="AO4:AP4"/>
    <mergeCell ref="AQ4:AR4"/>
    <mergeCell ref="AT4:AT5"/>
    <mergeCell ref="AU4:AU5"/>
    <mergeCell ref="AV4:AV5"/>
    <mergeCell ref="AW4:AX4"/>
    <mergeCell ref="D1:Z1"/>
    <mergeCell ref="G4:H4"/>
    <mergeCell ref="I4:J4"/>
    <mergeCell ref="K4:K5"/>
    <mergeCell ref="L4:L5"/>
    <mergeCell ref="M4:M5"/>
    <mergeCell ref="N4:N5"/>
    <mergeCell ref="O4:O5"/>
    <mergeCell ref="P4:P5"/>
    <mergeCell ref="Q4:Q5"/>
  </mergeCells>
  <conditionalFormatting sqref="B18:N18">
    <cfRule type="notContainsBlanks" dxfId="1" priority="1">
      <formula>LEN(TRIM(B18))&gt;0</formula>
    </cfRule>
  </conditionalFormatting>
  <hyperlinks>
    <hyperlink ref="M6" r:id="rId1" xr:uid="{8BEEC4F8-8624-4877-9809-F2F634203D5D}"/>
    <hyperlink ref="L7" r:id="rId2" xr:uid="{CDC5DD08-7184-45F3-9497-764F79CFD804}"/>
    <hyperlink ref="M7" r:id="rId3" xr:uid="{D343C2BE-58A0-4357-89AC-BDDAAED86F85}"/>
    <hyperlink ref="L8" r:id="rId4" xr:uid="{CFB1EC2C-B095-4421-BAE6-52AABF968C95}"/>
    <hyperlink ref="M8" r:id="rId5" xr:uid="{06DDF8BD-58B0-470D-AEA2-B5E6CCC5FED8}"/>
    <hyperlink ref="L9" r:id="rId6" xr:uid="{8B128B9F-F700-449D-8691-8B3BF29335A7}"/>
    <hyperlink ref="M9" r:id="rId7" xr:uid="{A0CD8128-9C78-494F-B305-E0A2D4FC9F8E}"/>
    <hyperlink ref="L10" r:id="rId8" xr:uid="{97192E6A-950C-4AFF-8E49-A7E0D67030AB}"/>
    <hyperlink ref="M10" r:id="rId9" xr:uid="{83A63501-3999-42A2-B1EA-DD697D5CDD6D}"/>
    <hyperlink ref="L11" r:id="rId10" xr:uid="{19981237-C78C-4509-8F04-74C9FC2F2087}"/>
    <hyperlink ref="M11" r:id="rId11" xr:uid="{EE8CC7DF-AD0F-4C85-8753-75BE58E8B7CD}"/>
    <hyperlink ref="L12" r:id="rId12" xr:uid="{1916232F-7E71-49BD-99A6-11019CAD774B}"/>
    <hyperlink ref="M12" r:id="rId13" xr:uid="{E37A5750-6224-494C-ACC6-0BC6F99D2457}"/>
    <hyperlink ref="L13" r:id="rId14" xr:uid="{F92E463D-DDAD-4180-93A5-6BB036B5BE35}"/>
    <hyperlink ref="M13" r:id="rId15" xr:uid="{F4E80304-5C39-4BA4-8534-94865EDFDBE4}"/>
    <hyperlink ref="L14" r:id="rId16" xr:uid="{826314AD-0C09-4A7C-8764-BF2DDED531D7}"/>
    <hyperlink ref="M14" r:id="rId17" xr:uid="{371103F9-8234-4715-B740-C324D89EDEE2}"/>
    <hyperlink ref="L15" r:id="rId18" xr:uid="{FFDF9FD9-FA05-4145-859E-BCBBA1A939BF}"/>
    <hyperlink ref="M15" r:id="rId19" xr:uid="{52CEA6EA-BD04-4FD3-919C-D4E9B8B213DA}"/>
    <hyperlink ref="L16" r:id="rId20" xr:uid="{DED897B8-BF3E-437E-BEA0-AE5991E8D7B7}"/>
    <hyperlink ref="M16" r:id="rId21" xr:uid="{EDA9DFBD-6FD3-4EEE-AD89-667AADF1E4AA}"/>
    <hyperlink ref="L17" r:id="rId22" xr:uid="{A2C5BB5D-B9C6-4364-9AEA-B18F1C6BB349}"/>
    <hyperlink ref="M17" r:id="rId23" xr:uid="{2F3E1CC8-3350-416A-822B-1F61E0D0FADB}"/>
    <hyperlink ref="L18" r:id="rId24" xr:uid="{5A26AD1E-8943-49AF-BD77-5D22E2B7EA0D}"/>
    <hyperlink ref="M18" r:id="rId25" xr:uid="{E514EB34-AE36-414C-8CA8-5B4F3D8CF6FD}"/>
    <hyperlink ref="L19" r:id="rId26" xr:uid="{5A57A3E6-1AA2-4A54-A614-361A6ACAB3A7}"/>
    <hyperlink ref="M19" r:id="rId27" xr:uid="{B34B5325-79CE-4286-9CDB-F62CEC8D6850}"/>
    <hyperlink ref="L20" r:id="rId28" xr:uid="{FC8BA382-F10F-4269-B963-64C5E5E22746}"/>
    <hyperlink ref="M20" r:id="rId29" xr:uid="{4ED3BB45-F2B9-4E74-B64D-1C1B14A1BCE6}"/>
    <hyperlink ref="L21" r:id="rId30" xr:uid="{E34A6E66-1444-4238-BA1C-C477494CA3A7}"/>
    <hyperlink ref="M21" r:id="rId31" xr:uid="{3DFEFD6E-7CA7-4A78-8BB5-5A6FDD8CEDAF}"/>
    <hyperlink ref="L22" r:id="rId32" xr:uid="{B198D8EA-082C-4E57-B750-F9ADB4B5CD53}"/>
    <hyperlink ref="M22" r:id="rId33" xr:uid="{11C53C3B-3F17-473D-B8FF-09ABD3CC4B08}"/>
    <hyperlink ref="L23" r:id="rId34" xr:uid="{959E7B07-8A7F-43D6-B8B5-9038F7DEE8DA}"/>
    <hyperlink ref="M23" r:id="rId35" xr:uid="{561A77B6-0CF8-4C34-9325-D18906DAA4B5}"/>
    <hyperlink ref="L24" r:id="rId36" xr:uid="{B5945886-1A03-4823-B7F5-28FF417F101B}"/>
    <hyperlink ref="M24" r:id="rId37" xr:uid="{3470948A-F106-4937-A01E-6C2C349BF76A}"/>
    <hyperlink ref="L25" r:id="rId38" xr:uid="{935DDD44-9A17-4D98-AAB4-98F22FCC428E}"/>
    <hyperlink ref="M25" r:id="rId39" xr:uid="{BAD19532-4BC9-4834-9C61-A0C22B8A4FD6}"/>
    <hyperlink ref="L26" r:id="rId40" xr:uid="{FCF726AE-9AB9-4946-B046-0E9600C0E42E}"/>
    <hyperlink ref="M26" r:id="rId41" xr:uid="{F771FC10-98CA-4B0C-B78B-FC1FB287D1F3}"/>
    <hyperlink ref="L27" r:id="rId42" xr:uid="{52593494-D87E-4C88-BBCE-616C2888970D}"/>
    <hyperlink ref="M27" r:id="rId43" xr:uid="{71777907-7E54-49C7-8850-4C7A01520C47}"/>
    <hyperlink ref="L28" r:id="rId44" xr:uid="{FC8D98AA-130D-4CC5-A969-C0980F049E78}"/>
    <hyperlink ref="M28" r:id="rId45" xr:uid="{B53BC348-906C-4EFE-8970-34B5104D4C36}"/>
    <hyperlink ref="L29" r:id="rId46" xr:uid="{D120A800-9AB3-4A43-940A-A649E5C72D2D}"/>
    <hyperlink ref="M29" r:id="rId47" xr:uid="{51CD6095-1D07-45EA-8365-94D9B91C0516}"/>
    <hyperlink ref="L30" r:id="rId48" xr:uid="{F59D6931-6709-4FC4-A074-F123F245BDA3}"/>
    <hyperlink ref="M30" r:id="rId49" xr:uid="{D3EA73F7-1EBA-46E6-B74B-0FD22A0C2923}"/>
    <hyperlink ref="L31" r:id="rId50" xr:uid="{EC893316-AC88-4E00-BEF9-520383AA353A}"/>
    <hyperlink ref="M31" r:id="rId51" xr:uid="{4FC17E0A-7CC7-4319-BC6B-A6432C4425C0}"/>
    <hyperlink ref="L32" r:id="rId52" xr:uid="{ADCCAB6B-67EA-4A30-BA2E-23DE1D10EA72}"/>
    <hyperlink ref="M32" r:id="rId53" xr:uid="{8F47BAEC-F319-4A2A-BA03-492FA36E0D5F}"/>
    <hyperlink ref="L33" r:id="rId54" xr:uid="{7A054A3E-B4BB-4B4C-BB8D-D5AE171C9CB6}"/>
    <hyperlink ref="M33" r:id="rId55" xr:uid="{97F7FF40-5435-4F59-808F-EA1CF9DC73F5}"/>
    <hyperlink ref="L34" r:id="rId56" xr:uid="{256AF302-DDB4-4B64-BD20-B88D79C08B8B}"/>
    <hyperlink ref="M34" r:id="rId57" xr:uid="{3B8D3388-FD69-4625-8146-384AB28F6A23}"/>
    <hyperlink ref="L35" r:id="rId58" xr:uid="{184B13A8-EFA9-4F51-A31D-DABB021687BA}"/>
    <hyperlink ref="M35" r:id="rId59" xr:uid="{EFCB7767-EC74-4F01-B656-3C2122A7C90E}"/>
    <hyperlink ref="L36" r:id="rId60" xr:uid="{C71047FB-C5FC-441E-A162-9443A45AFA6D}"/>
    <hyperlink ref="M36" r:id="rId61" xr:uid="{17281F7A-0FF7-45BE-B1DC-A57844779DC9}"/>
    <hyperlink ref="L37" r:id="rId62" xr:uid="{3B84AA37-7142-458F-B955-A844E554E0A4}"/>
    <hyperlink ref="L38" r:id="rId63" xr:uid="{A530934B-1732-4346-B082-EBD7AC00FD71}"/>
    <hyperlink ref="M38" r:id="rId64" xr:uid="{917017A5-6C9E-4DC4-B538-3117A82D32DF}"/>
    <hyperlink ref="L41" r:id="rId65" xr:uid="{BA566402-7035-4F41-A64C-12E4FD92F636}"/>
    <hyperlink ref="M41" r:id="rId66" xr:uid="{D5B8106B-A997-4A40-A3AC-69859FE69936}"/>
    <hyperlink ref="L42" r:id="rId67" display="https://bankbnitbk.sharepoint.com/sites/TEST212/Shared%20Documents/Forms/AllItems.aspx?id=%2Fsites%2FTEST212%2FShared%20Documents%2FGeneral%2FScripting%20Report%2FDigisales%20New%202026&amp;viewid=5f45ee7e%2D4c73%2D41ad%2Dab32%2Dcf02db1420df&amp;csf=1&amp;CID=8c8ced04%2D801f%2D433a%2Da151%2Da1ae2c72e4a6&amp;FolderCTID=0x01200013C42440C0BE0446A84C2940AA0E2843" xr:uid="{C2A1D3A1-487D-49C9-85D3-3CE316470299}"/>
    <hyperlink ref="N42" r:id="rId68" display="https://bankbnitbk.sharepoint.com/:x:/r/sites/COETeam/_layouts/15/doc2.aspx?sourcedoc=%7Bd174dcaa-5001-4c31-acf0-3b3d63f86bcf%7D&amp;action=edit&amp;wdinitialsession=3f27e13e-2ca5-3928-dbd5-a5c05144c407&amp;wdrldsc=3&amp;wdrldc=1&amp;wdrldr=RefreshingExpiredAccessToken&amp;wdenableroaming=1&amp;wdlcid=en-US&amp;wdorigin=Other&amp;wdredirectionreason=Force_SingleStepBoot" xr:uid="{78CA7B7D-C4B5-49B5-84E2-E54701F809E5}"/>
  </hyperlinks>
  <pageMargins left="0" right="0" top="0" bottom="0" header="0" footer="0"/>
  <drawing r:id="rId69"/>
  <tableParts count="1">
    <tablePart r:id="rId70"/>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filterMode="1">
    <outlinePr summaryBelow="0" summaryRight="0"/>
  </sheetPr>
  <dimension ref="A1:T241"/>
  <sheetViews>
    <sheetView topLeftCell="A16" workbookViewId="0">
      <selection activeCell="D196" sqref="D196"/>
    </sheetView>
  </sheetViews>
  <sheetFormatPr defaultColWidth="12.5703125" defaultRowHeight="15.75" customHeight="1"/>
  <cols>
    <col min="4" max="4" width="37.140625" customWidth="1"/>
  </cols>
  <sheetData>
    <row r="1" spans="1:20">
      <c r="A1" s="675" t="s">
        <v>598</v>
      </c>
      <c r="B1" s="769"/>
      <c r="C1" s="769"/>
      <c r="D1" s="769"/>
      <c r="E1" s="769"/>
      <c r="F1" s="769"/>
      <c r="G1" s="769"/>
      <c r="H1" s="769"/>
      <c r="I1" s="769"/>
      <c r="J1" s="769"/>
    </row>
    <row r="2" spans="1:20">
      <c r="A2" s="675" t="s">
        <v>599</v>
      </c>
      <c r="B2" s="769"/>
      <c r="C2" s="769"/>
      <c r="D2" s="769"/>
      <c r="E2" s="769"/>
      <c r="F2" s="769"/>
      <c r="G2" s="769"/>
      <c r="H2" s="769"/>
      <c r="I2" s="769"/>
      <c r="J2" s="769"/>
    </row>
    <row r="4" spans="1:20">
      <c r="A4" s="143" t="s">
        <v>570</v>
      </c>
      <c r="B4" s="143" t="s">
        <v>1341</v>
      </c>
      <c r="C4" s="143" t="s">
        <v>1342</v>
      </c>
      <c r="D4" s="143" t="s">
        <v>3</v>
      </c>
      <c r="E4" s="143" t="s">
        <v>1343</v>
      </c>
      <c r="F4" s="143" t="s">
        <v>607</v>
      </c>
      <c r="G4" s="143" t="s">
        <v>608</v>
      </c>
      <c r="H4" s="143" t="s">
        <v>609</v>
      </c>
      <c r="I4" s="143" t="s">
        <v>1344</v>
      </c>
      <c r="J4" s="143" t="s">
        <v>611</v>
      </c>
      <c r="K4" s="143" t="s">
        <v>612</v>
      </c>
      <c r="L4" s="143" t="s">
        <v>1345</v>
      </c>
      <c r="M4" s="143" t="s">
        <v>1346</v>
      </c>
      <c r="N4" s="143" t="s">
        <v>1347</v>
      </c>
      <c r="O4" s="143" t="s">
        <v>1348</v>
      </c>
      <c r="P4" s="143" t="s">
        <v>1349</v>
      </c>
      <c r="Q4" s="143" t="s">
        <v>1350</v>
      </c>
      <c r="R4" s="143" t="s">
        <v>1351</v>
      </c>
      <c r="S4" s="143" t="s">
        <v>1352</v>
      </c>
      <c r="T4" s="143" t="s">
        <v>1353</v>
      </c>
    </row>
    <row r="5" spans="1:20" hidden="1">
      <c r="A5" s="144">
        <v>1</v>
      </c>
      <c r="B5" s="145" t="s">
        <v>1354</v>
      </c>
      <c r="C5" s="145" t="s">
        <v>613</v>
      </c>
      <c r="D5" s="145" t="s">
        <v>614</v>
      </c>
      <c r="E5" s="145" t="s">
        <v>621</v>
      </c>
      <c r="F5" s="145"/>
      <c r="G5" s="145"/>
      <c r="H5" s="144">
        <v>1</v>
      </c>
      <c r="I5" s="144">
        <v>1</v>
      </c>
      <c r="J5" s="145"/>
      <c r="K5" s="144">
        <v>2</v>
      </c>
      <c r="L5" s="145"/>
      <c r="M5" s="145"/>
      <c r="N5" s="145" t="s">
        <v>1355</v>
      </c>
      <c r="O5" s="145"/>
      <c r="P5" s="145"/>
      <c r="Q5" s="145"/>
      <c r="R5" s="145"/>
      <c r="S5" s="145"/>
      <c r="T5" s="145"/>
    </row>
    <row r="6" spans="1:20" hidden="1">
      <c r="A6" s="70">
        <v>2</v>
      </c>
      <c r="B6" s="69" t="s">
        <v>1356</v>
      </c>
      <c r="C6" s="69" t="s">
        <v>623</v>
      </c>
      <c r="D6" s="69" t="s">
        <v>624</v>
      </c>
      <c r="E6" s="69" t="s">
        <v>631</v>
      </c>
      <c r="F6" s="69"/>
      <c r="G6" s="70">
        <v>2</v>
      </c>
      <c r="H6" s="69"/>
      <c r="I6" s="70">
        <v>1</v>
      </c>
      <c r="J6" s="69"/>
      <c r="K6" s="70">
        <v>3</v>
      </c>
      <c r="L6" s="69"/>
      <c r="M6" s="69"/>
      <c r="N6" s="69"/>
      <c r="O6" s="69"/>
      <c r="P6" s="69"/>
      <c r="Q6" s="69"/>
      <c r="R6" s="69"/>
      <c r="S6" s="69"/>
      <c r="T6" s="69"/>
    </row>
    <row r="7" spans="1:20">
      <c r="A7" s="144">
        <v>4</v>
      </c>
      <c r="B7" s="145" t="s">
        <v>1357</v>
      </c>
      <c r="C7" s="145" t="s">
        <v>342</v>
      </c>
      <c r="D7" s="145" t="s">
        <v>591</v>
      </c>
      <c r="E7" s="145" t="s">
        <v>1358</v>
      </c>
      <c r="F7" s="144">
        <v>1</v>
      </c>
      <c r="G7" s="145"/>
      <c r="H7" s="144">
        <v>1</v>
      </c>
      <c r="I7" s="144">
        <v>1</v>
      </c>
      <c r="J7" s="144">
        <v>1</v>
      </c>
      <c r="K7" s="144">
        <v>4</v>
      </c>
      <c r="L7" s="145"/>
      <c r="M7" s="145"/>
      <c r="N7" s="145"/>
      <c r="O7" s="145"/>
      <c r="P7" s="145"/>
      <c r="Q7" s="145" t="s">
        <v>1359</v>
      </c>
      <c r="R7" s="145"/>
      <c r="S7" s="145" t="s">
        <v>1359</v>
      </c>
      <c r="T7" s="145"/>
    </row>
    <row r="8" spans="1:20" hidden="1">
      <c r="A8" s="70">
        <v>7</v>
      </c>
      <c r="B8" s="69" t="s">
        <v>1360</v>
      </c>
      <c r="C8" s="69" t="s">
        <v>632</v>
      </c>
      <c r="D8" s="69" t="s">
        <v>633</v>
      </c>
      <c r="E8" s="69" t="s">
        <v>639</v>
      </c>
      <c r="F8" s="69"/>
      <c r="G8" s="69"/>
      <c r="H8" s="69"/>
      <c r="I8" s="70">
        <v>1</v>
      </c>
      <c r="J8" s="69"/>
      <c r="K8" s="70">
        <v>1</v>
      </c>
      <c r="L8" s="69"/>
      <c r="M8" s="69"/>
      <c r="N8" s="69"/>
      <c r="O8" s="69"/>
      <c r="P8" s="69"/>
      <c r="Q8" s="69"/>
      <c r="R8" s="69"/>
      <c r="S8" s="69"/>
      <c r="T8" s="69"/>
    </row>
    <row r="9" spans="1:20" hidden="1">
      <c r="A9" s="144">
        <v>8</v>
      </c>
      <c r="B9" s="145" t="s">
        <v>1361</v>
      </c>
      <c r="C9" s="145" t="s">
        <v>640</v>
      </c>
      <c r="D9" s="145" t="s">
        <v>641</v>
      </c>
      <c r="E9" s="145" t="s">
        <v>631</v>
      </c>
      <c r="F9" s="145"/>
      <c r="G9" s="144">
        <v>2</v>
      </c>
      <c r="H9" s="145"/>
      <c r="I9" s="144">
        <v>1</v>
      </c>
      <c r="J9" s="145"/>
      <c r="K9" s="144">
        <v>3</v>
      </c>
      <c r="L9" s="145"/>
      <c r="M9" s="145"/>
      <c r="N9" s="145" t="s">
        <v>1362</v>
      </c>
      <c r="O9" s="145"/>
      <c r="P9" s="145"/>
      <c r="Q9" s="145" t="s">
        <v>1363</v>
      </c>
      <c r="R9" s="145"/>
      <c r="S9" s="145"/>
      <c r="T9" s="145"/>
    </row>
    <row r="10" spans="1:20" hidden="1">
      <c r="A10" s="70">
        <v>9</v>
      </c>
      <c r="B10" s="69" t="s">
        <v>1364</v>
      </c>
      <c r="C10" s="69" t="s">
        <v>648</v>
      </c>
      <c r="D10" s="69" t="s">
        <v>649</v>
      </c>
      <c r="E10" s="69" t="s">
        <v>621</v>
      </c>
      <c r="F10" s="69"/>
      <c r="G10" s="69"/>
      <c r="H10" s="70">
        <v>1</v>
      </c>
      <c r="I10" s="70">
        <v>1</v>
      </c>
      <c r="J10" s="69"/>
      <c r="K10" s="70">
        <v>2</v>
      </c>
      <c r="L10" s="69"/>
      <c r="M10" s="69"/>
      <c r="N10" s="69"/>
      <c r="O10" s="69"/>
      <c r="P10" s="69"/>
      <c r="Q10" s="69"/>
      <c r="R10" s="69"/>
      <c r="S10" s="69"/>
      <c r="T10" s="69"/>
    </row>
    <row r="11" spans="1:20" hidden="1">
      <c r="A11" s="144">
        <v>10</v>
      </c>
      <c r="B11" s="145" t="s">
        <v>1365</v>
      </c>
      <c r="C11" s="145" t="s">
        <v>1366</v>
      </c>
      <c r="D11" s="145" t="s">
        <v>1367</v>
      </c>
      <c r="E11" s="145" t="s">
        <v>639</v>
      </c>
      <c r="F11" s="145"/>
      <c r="G11" s="145"/>
      <c r="H11" s="145"/>
      <c r="I11" s="144">
        <v>1</v>
      </c>
      <c r="J11" s="145"/>
      <c r="K11" s="144">
        <v>1</v>
      </c>
      <c r="L11" s="145"/>
      <c r="M11" s="145"/>
      <c r="N11" s="145"/>
      <c r="O11" s="145"/>
      <c r="P11" s="145"/>
      <c r="Q11" s="145"/>
      <c r="R11" s="145"/>
      <c r="S11" s="145"/>
      <c r="T11" s="145"/>
    </row>
    <row r="12" spans="1:20" hidden="1">
      <c r="A12" s="70">
        <v>11</v>
      </c>
      <c r="B12" s="69" t="s">
        <v>1368</v>
      </c>
      <c r="C12" s="69" t="s">
        <v>654</v>
      </c>
      <c r="D12" s="69" t="s">
        <v>655</v>
      </c>
      <c r="E12" s="69" t="s">
        <v>621</v>
      </c>
      <c r="F12" s="69"/>
      <c r="G12" s="69"/>
      <c r="H12" s="70">
        <v>1</v>
      </c>
      <c r="I12" s="69"/>
      <c r="J12" s="70">
        <v>1</v>
      </c>
      <c r="K12" s="70">
        <v>2</v>
      </c>
      <c r="L12" s="69"/>
      <c r="M12" s="69"/>
      <c r="N12" s="69"/>
      <c r="O12" s="69"/>
      <c r="P12" s="69"/>
      <c r="Q12" s="69" t="s">
        <v>1363</v>
      </c>
      <c r="R12" s="69"/>
      <c r="S12" s="69"/>
      <c r="T12" s="69"/>
    </row>
    <row r="13" spans="1:20" hidden="1">
      <c r="A13" s="144">
        <v>12</v>
      </c>
      <c r="B13" s="145" t="s">
        <v>1369</v>
      </c>
      <c r="C13" s="145" t="s">
        <v>660</v>
      </c>
      <c r="D13" s="145" t="s">
        <v>661</v>
      </c>
      <c r="E13" s="145" t="s">
        <v>639</v>
      </c>
      <c r="F13" s="145"/>
      <c r="G13" s="145"/>
      <c r="H13" s="145"/>
      <c r="I13" s="144">
        <v>1</v>
      </c>
      <c r="J13" s="145"/>
      <c r="K13" s="144">
        <v>1</v>
      </c>
      <c r="L13" s="145"/>
      <c r="M13" s="145"/>
      <c r="N13" s="145"/>
      <c r="O13" s="145"/>
      <c r="P13" s="145"/>
      <c r="Q13" s="145"/>
      <c r="R13" s="145"/>
      <c r="S13" s="145"/>
      <c r="T13" s="145"/>
    </row>
    <row r="14" spans="1:20" hidden="1">
      <c r="A14" s="70">
        <v>13</v>
      </c>
      <c r="B14" s="69" t="s">
        <v>1370</v>
      </c>
      <c r="C14" s="69" t="s">
        <v>665</v>
      </c>
      <c r="D14" s="69" t="s">
        <v>666</v>
      </c>
      <c r="E14" s="69" t="s">
        <v>621</v>
      </c>
      <c r="F14" s="69"/>
      <c r="G14" s="69"/>
      <c r="H14" s="70">
        <v>1</v>
      </c>
      <c r="I14" s="70">
        <v>1</v>
      </c>
      <c r="J14" s="69"/>
      <c r="K14" s="70">
        <v>2</v>
      </c>
      <c r="L14" s="69"/>
      <c r="M14" s="69"/>
      <c r="N14" s="69"/>
      <c r="O14" s="69"/>
      <c r="P14" s="69"/>
      <c r="Q14" s="69"/>
      <c r="R14" s="69"/>
      <c r="S14" s="69"/>
      <c r="T14" s="69"/>
    </row>
    <row r="15" spans="1:20">
      <c r="A15" s="144">
        <v>14</v>
      </c>
      <c r="B15" s="145" t="s">
        <v>1371</v>
      </c>
      <c r="C15" s="145" t="s">
        <v>1372</v>
      </c>
      <c r="D15" s="145" t="s">
        <v>1373</v>
      </c>
      <c r="E15" s="145" t="s">
        <v>1358</v>
      </c>
      <c r="F15" s="144">
        <v>1</v>
      </c>
      <c r="G15" s="144">
        <v>2</v>
      </c>
      <c r="H15" s="144">
        <v>1</v>
      </c>
      <c r="I15" s="144">
        <v>1</v>
      </c>
      <c r="J15" s="145"/>
      <c r="K15" s="144">
        <v>5</v>
      </c>
      <c r="L15" s="145"/>
      <c r="M15" s="145"/>
      <c r="N15" s="145"/>
      <c r="O15" s="145"/>
      <c r="P15" s="145"/>
      <c r="Q15" s="145" t="s">
        <v>1359</v>
      </c>
      <c r="R15" s="145"/>
      <c r="S15" s="145" t="s">
        <v>1359</v>
      </c>
      <c r="T15" s="145"/>
    </row>
    <row r="16" spans="1:20">
      <c r="A16" s="70">
        <v>15</v>
      </c>
      <c r="B16" s="69" t="s">
        <v>1374</v>
      </c>
      <c r="C16" s="69" t="s">
        <v>1375</v>
      </c>
      <c r="D16" s="69" t="s">
        <v>1376</v>
      </c>
      <c r="E16" s="69" t="s">
        <v>1358</v>
      </c>
      <c r="F16" s="70">
        <v>1</v>
      </c>
      <c r="G16" s="69"/>
      <c r="H16" s="70">
        <v>1</v>
      </c>
      <c r="I16" s="70">
        <v>1</v>
      </c>
      <c r="J16" s="70">
        <v>1</v>
      </c>
      <c r="K16" s="70">
        <v>4</v>
      </c>
      <c r="L16" s="69"/>
      <c r="M16" s="69"/>
      <c r="N16" s="69"/>
      <c r="O16" s="69"/>
      <c r="P16" s="69"/>
      <c r="Q16" s="69" t="s">
        <v>1363</v>
      </c>
      <c r="R16" s="69"/>
      <c r="S16" s="69" t="s">
        <v>1359</v>
      </c>
      <c r="T16" s="69"/>
    </row>
    <row r="17" spans="1:20" hidden="1">
      <c r="A17" s="144">
        <v>16</v>
      </c>
      <c r="B17" s="145" t="s">
        <v>1377</v>
      </c>
      <c r="C17" s="145" t="s">
        <v>671</v>
      </c>
      <c r="D17" s="145" t="s">
        <v>1378</v>
      </c>
      <c r="E17" s="145" t="s">
        <v>639</v>
      </c>
      <c r="F17" s="145"/>
      <c r="G17" s="145"/>
      <c r="H17" s="145"/>
      <c r="I17" s="144">
        <v>1</v>
      </c>
      <c r="J17" s="145"/>
      <c r="K17" s="144">
        <v>1</v>
      </c>
      <c r="L17" s="145"/>
      <c r="M17" s="145"/>
      <c r="N17" s="145"/>
      <c r="O17" s="145"/>
      <c r="P17" s="145"/>
      <c r="Q17" s="145"/>
      <c r="R17" s="145"/>
      <c r="S17" s="145"/>
      <c r="T17" s="145"/>
    </row>
    <row r="18" spans="1:20">
      <c r="A18" s="70">
        <v>17</v>
      </c>
      <c r="B18" s="69" t="s">
        <v>1379</v>
      </c>
      <c r="C18" s="69" t="s">
        <v>1380</v>
      </c>
      <c r="D18" s="69" t="s">
        <v>1381</v>
      </c>
      <c r="E18" s="69" t="s">
        <v>1358</v>
      </c>
      <c r="F18" s="70">
        <v>1</v>
      </c>
      <c r="G18" s="70">
        <v>2</v>
      </c>
      <c r="H18" s="70">
        <v>1</v>
      </c>
      <c r="I18" s="69"/>
      <c r="J18" s="70">
        <v>1</v>
      </c>
      <c r="K18" s="70">
        <v>5</v>
      </c>
      <c r="L18" s="69"/>
      <c r="M18" s="69"/>
      <c r="N18" s="69"/>
      <c r="O18" s="69"/>
      <c r="P18" s="69"/>
      <c r="Q18" s="69" t="s">
        <v>1359</v>
      </c>
      <c r="R18" s="69"/>
      <c r="S18" s="69" t="s">
        <v>1359</v>
      </c>
      <c r="T18" s="69"/>
    </row>
    <row r="19" spans="1:20" hidden="1">
      <c r="A19" s="144">
        <v>18</v>
      </c>
      <c r="B19" s="145" t="s">
        <v>1382</v>
      </c>
      <c r="C19" s="145" t="s">
        <v>676</v>
      </c>
      <c r="D19" s="145" t="s">
        <v>677</v>
      </c>
      <c r="E19" s="145" t="s">
        <v>639</v>
      </c>
      <c r="F19" s="145"/>
      <c r="G19" s="145"/>
      <c r="H19" s="145"/>
      <c r="I19" s="144">
        <v>1</v>
      </c>
      <c r="J19" s="145"/>
      <c r="K19" s="144">
        <v>1</v>
      </c>
      <c r="L19" s="145"/>
      <c r="M19" s="145"/>
      <c r="N19" s="145"/>
      <c r="O19" s="145"/>
      <c r="P19" s="145"/>
      <c r="Q19" s="145"/>
      <c r="R19" s="145"/>
      <c r="S19" s="145"/>
      <c r="T19" s="145"/>
    </row>
    <row r="20" spans="1:20" hidden="1">
      <c r="A20" s="70">
        <v>19</v>
      </c>
      <c r="B20" s="69" t="s">
        <v>1383</v>
      </c>
      <c r="C20" s="69" t="s">
        <v>680</v>
      </c>
      <c r="D20" s="69" t="s">
        <v>681</v>
      </c>
      <c r="E20" s="69" t="s">
        <v>631</v>
      </c>
      <c r="F20" s="69"/>
      <c r="G20" s="70">
        <v>2</v>
      </c>
      <c r="H20" s="69"/>
      <c r="I20" s="70">
        <v>1</v>
      </c>
      <c r="J20" s="69"/>
      <c r="K20" s="70">
        <v>3</v>
      </c>
      <c r="L20" s="69"/>
      <c r="M20" s="69"/>
      <c r="N20" s="69"/>
      <c r="O20" s="69"/>
      <c r="P20" s="69"/>
      <c r="Q20" s="69"/>
      <c r="R20" s="69"/>
      <c r="S20" s="69"/>
      <c r="T20" s="69"/>
    </row>
    <row r="21" spans="1:20">
      <c r="A21" s="144">
        <v>21</v>
      </c>
      <c r="B21" s="145" t="s">
        <v>1384</v>
      </c>
      <c r="C21" s="145" t="s">
        <v>1385</v>
      </c>
      <c r="D21" s="145" t="s">
        <v>1386</v>
      </c>
      <c r="E21" s="145" t="s">
        <v>1358</v>
      </c>
      <c r="F21" s="144">
        <v>1</v>
      </c>
      <c r="G21" s="144">
        <v>2</v>
      </c>
      <c r="H21" s="144">
        <v>1</v>
      </c>
      <c r="I21" s="144">
        <v>1</v>
      </c>
      <c r="J21" s="144">
        <v>1</v>
      </c>
      <c r="K21" s="144">
        <v>6</v>
      </c>
      <c r="L21" s="145"/>
      <c r="M21" s="145"/>
      <c r="N21" s="145"/>
      <c r="O21" s="145"/>
      <c r="P21" s="145"/>
      <c r="Q21" s="145" t="s">
        <v>1359</v>
      </c>
      <c r="R21" s="145"/>
      <c r="S21" s="145" t="s">
        <v>1359</v>
      </c>
      <c r="T21" s="145"/>
    </row>
    <row r="22" spans="1:20" hidden="1">
      <c r="A22" s="70">
        <v>22</v>
      </c>
      <c r="B22" s="69" t="s">
        <v>1387</v>
      </c>
      <c r="C22" s="69" t="s">
        <v>685</v>
      </c>
      <c r="D22" s="69" t="s">
        <v>1388</v>
      </c>
      <c r="E22" s="69" t="s">
        <v>621</v>
      </c>
      <c r="F22" s="69"/>
      <c r="G22" s="69"/>
      <c r="H22" s="70">
        <v>1</v>
      </c>
      <c r="I22" s="70">
        <v>1</v>
      </c>
      <c r="J22" s="69"/>
      <c r="K22" s="70">
        <v>2</v>
      </c>
      <c r="L22" s="69"/>
      <c r="M22" s="69"/>
      <c r="N22" s="69"/>
      <c r="O22" s="69"/>
      <c r="P22" s="69"/>
      <c r="Q22" s="69"/>
      <c r="R22" s="69"/>
      <c r="S22" s="69"/>
      <c r="T22" s="69"/>
    </row>
    <row r="23" spans="1:20">
      <c r="A23" s="144">
        <v>23</v>
      </c>
      <c r="B23" s="145" t="s">
        <v>1389</v>
      </c>
      <c r="C23" s="145" t="s">
        <v>1390</v>
      </c>
      <c r="D23" s="145" t="s">
        <v>1391</v>
      </c>
      <c r="E23" s="145" t="s">
        <v>1358</v>
      </c>
      <c r="F23" s="144">
        <v>1</v>
      </c>
      <c r="G23" s="144">
        <v>2</v>
      </c>
      <c r="H23" s="144">
        <v>1</v>
      </c>
      <c r="I23" s="144">
        <v>1</v>
      </c>
      <c r="J23" s="144">
        <v>1</v>
      </c>
      <c r="K23" s="144">
        <v>6</v>
      </c>
      <c r="L23" s="145"/>
      <c r="M23" s="145"/>
      <c r="N23" s="145"/>
      <c r="O23" s="145"/>
      <c r="P23" s="145"/>
      <c r="Q23" s="145" t="s">
        <v>1359</v>
      </c>
      <c r="R23" s="145"/>
      <c r="S23" s="145" t="s">
        <v>1359</v>
      </c>
      <c r="T23" s="145"/>
    </row>
    <row r="24" spans="1:20" hidden="1">
      <c r="A24" s="70">
        <v>24</v>
      </c>
      <c r="B24" s="69" t="s">
        <v>1392</v>
      </c>
      <c r="C24" s="69" t="s">
        <v>690</v>
      </c>
      <c r="D24" s="69" t="s">
        <v>691</v>
      </c>
      <c r="E24" s="69" t="s">
        <v>631</v>
      </c>
      <c r="F24" s="70">
        <v>1</v>
      </c>
      <c r="G24" s="69"/>
      <c r="H24" s="70">
        <v>1</v>
      </c>
      <c r="I24" s="70">
        <v>1</v>
      </c>
      <c r="J24" s="69"/>
      <c r="K24" s="70">
        <v>3</v>
      </c>
      <c r="L24" s="69"/>
      <c r="M24" s="69"/>
      <c r="N24" s="69"/>
      <c r="O24" s="69" t="s">
        <v>1393</v>
      </c>
      <c r="P24" s="69"/>
      <c r="Q24" s="69"/>
      <c r="R24" s="69"/>
      <c r="S24" s="69"/>
      <c r="T24" s="69"/>
    </row>
    <row r="25" spans="1:20">
      <c r="A25" s="144">
        <v>25</v>
      </c>
      <c r="B25" s="145" t="s">
        <v>1394</v>
      </c>
      <c r="C25" s="145" t="s">
        <v>1395</v>
      </c>
      <c r="D25" s="145" t="s">
        <v>1396</v>
      </c>
      <c r="E25" s="145" t="s">
        <v>1358</v>
      </c>
      <c r="F25" s="144">
        <v>1</v>
      </c>
      <c r="G25" s="144">
        <v>2</v>
      </c>
      <c r="H25" s="144">
        <v>1</v>
      </c>
      <c r="I25" s="144">
        <v>1</v>
      </c>
      <c r="J25" s="144">
        <v>1</v>
      </c>
      <c r="K25" s="144">
        <v>6</v>
      </c>
      <c r="L25" s="145"/>
      <c r="M25" s="145"/>
      <c r="N25" s="145"/>
      <c r="O25" s="145" t="s">
        <v>1397</v>
      </c>
      <c r="P25" s="145"/>
      <c r="Q25" s="145" t="s">
        <v>1359</v>
      </c>
      <c r="R25" s="145"/>
      <c r="S25" s="145" t="s">
        <v>1359</v>
      </c>
      <c r="T25" s="145"/>
    </row>
    <row r="26" spans="1:20" hidden="1">
      <c r="A26" s="70">
        <v>27</v>
      </c>
      <c r="B26" s="69" t="s">
        <v>1398</v>
      </c>
      <c r="C26" s="69" t="s">
        <v>695</v>
      </c>
      <c r="D26" s="69" t="s">
        <v>696</v>
      </c>
      <c r="E26" s="69" t="s">
        <v>631</v>
      </c>
      <c r="F26" s="69"/>
      <c r="G26" s="70">
        <v>2</v>
      </c>
      <c r="H26" s="69"/>
      <c r="I26" s="70">
        <v>1</v>
      </c>
      <c r="J26" s="69"/>
      <c r="K26" s="70">
        <v>3</v>
      </c>
      <c r="L26" s="69"/>
      <c r="M26" s="69"/>
      <c r="N26" s="69"/>
      <c r="O26" s="69"/>
      <c r="P26" s="69"/>
      <c r="Q26" s="69"/>
      <c r="R26" s="69"/>
      <c r="S26" s="69"/>
      <c r="T26" s="69"/>
    </row>
    <row r="27" spans="1:20">
      <c r="A27" s="144">
        <v>28</v>
      </c>
      <c r="B27" s="145" t="s">
        <v>1399</v>
      </c>
      <c r="C27" s="145" t="s">
        <v>1400</v>
      </c>
      <c r="D27" s="145" t="s">
        <v>1401</v>
      </c>
      <c r="E27" s="145" t="s">
        <v>1358</v>
      </c>
      <c r="F27" s="145"/>
      <c r="G27" s="144">
        <v>2</v>
      </c>
      <c r="H27" s="144">
        <v>1</v>
      </c>
      <c r="I27" s="144">
        <v>1</v>
      </c>
      <c r="J27" s="145"/>
      <c r="K27" s="144">
        <v>4</v>
      </c>
      <c r="L27" s="145"/>
      <c r="M27" s="145"/>
      <c r="N27" s="145"/>
      <c r="O27" s="145" t="s">
        <v>1402</v>
      </c>
      <c r="P27" s="145"/>
      <c r="Q27" s="145" t="s">
        <v>1363</v>
      </c>
      <c r="R27" s="145"/>
      <c r="S27" s="145"/>
      <c r="T27" s="145"/>
    </row>
    <row r="28" spans="1:20" hidden="1">
      <c r="A28" s="70">
        <v>29</v>
      </c>
      <c r="B28" s="69" t="s">
        <v>1403</v>
      </c>
      <c r="C28" s="69" t="s">
        <v>698</v>
      </c>
      <c r="D28" s="69" t="s">
        <v>699</v>
      </c>
      <c r="E28" s="69" t="s">
        <v>631</v>
      </c>
      <c r="F28" s="69"/>
      <c r="G28" s="69"/>
      <c r="H28" s="70">
        <v>1</v>
      </c>
      <c r="I28" s="70">
        <v>1</v>
      </c>
      <c r="J28" s="70">
        <v>1</v>
      </c>
      <c r="K28" s="70">
        <v>3</v>
      </c>
      <c r="L28" s="69"/>
      <c r="M28" s="69"/>
      <c r="N28" s="69" t="s">
        <v>1362</v>
      </c>
      <c r="O28" s="69"/>
      <c r="P28" s="69"/>
      <c r="Q28" s="69" t="s">
        <v>1363</v>
      </c>
      <c r="R28" s="69"/>
      <c r="S28" s="69"/>
      <c r="T28" s="69"/>
    </row>
    <row r="29" spans="1:20" hidden="1">
      <c r="A29" s="144">
        <v>30</v>
      </c>
      <c r="B29" s="145" t="s">
        <v>1404</v>
      </c>
      <c r="C29" s="145" t="s">
        <v>705</v>
      </c>
      <c r="D29" s="145" t="s">
        <v>706</v>
      </c>
      <c r="E29" s="145" t="s">
        <v>639</v>
      </c>
      <c r="F29" s="145"/>
      <c r="G29" s="145"/>
      <c r="H29" s="145"/>
      <c r="I29" s="144">
        <v>1</v>
      </c>
      <c r="J29" s="145"/>
      <c r="K29" s="144">
        <v>1</v>
      </c>
      <c r="L29" s="145"/>
      <c r="M29" s="145"/>
      <c r="N29" s="145"/>
      <c r="O29" s="145"/>
      <c r="P29" s="145"/>
      <c r="Q29" s="145"/>
      <c r="R29" s="145"/>
      <c r="S29" s="145"/>
      <c r="T29" s="145"/>
    </row>
    <row r="30" spans="1:20" hidden="1">
      <c r="A30" s="70">
        <v>31</v>
      </c>
      <c r="B30" s="69" t="s">
        <v>1405</v>
      </c>
      <c r="C30" s="69" t="s">
        <v>709</v>
      </c>
      <c r="D30" s="69" t="s">
        <v>710</v>
      </c>
      <c r="E30" s="69" t="s">
        <v>639</v>
      </c>
      <c r="F30" s="69"/>
      <c r="G30" s="69"/>
      <c r="H30" s="69"/>
      <c r="I30" s="70">
        <v>1</v>
      </c>
      <c r="J30" s="69"/>
      <c r="K30" s="70">
        <v>1</v>
      </c>
      <c r="L30" s="69"/>
      <c r="M30" s="69"/>
      <c r="N30" s="69"/>
      <c r="O30" s="69"/>
      <c r="P30" s="69"/>
      <c r="Q30" s="69"/>
      <c r="R30" s="69"/>
      <c r="S30" s="69"/>
      <c r="T30" s="69"/>
    </row>
    <row r="31" spans="1:20">
      <c r="A31" s="144">
        <v>32</v>
      </c>
      <c r="B31" s="145" t="s">
        <v>1406</v>
      </c>
      <c r="C31" s="146" t="s">
        <v>70</v>
      </c>
      <c r="D31" s="145" t="s">
        <v>1407</v>
      </c>
      <c r="E31" s="145" t="s">
        <v>1358</v>
      </c>
      <c r="F31" s="144">
        <v>1</v>
      </c>
      <c r="G31" s="145"/>
      <c r="H31" s="144">
        <v>1</v>
      </c>
      <c r="I31" s="144">
        <v>1</v>
      </c>
      <c r="J31" s="144">
        <v>1</v>
      </c>
      <c r="K31" s="144">
        <v>4</v>
      </c>
      <c r="L31" s="145"/>
      <c r="M31" s="145"/>
      <c r="N31" s="145"/>
      <c r="O31" s="145"/>
      <c r="P31" s="145"/>
      <c r="Q31" s="145" t="s">
        <v>1359</v>
      </c>
      <c r="R31" s="145"/>
      <c r="S31" s="145" t="s">
        <v>1359</v>
      </c>
      <c r="T31" s="145"/>
    </row>
    <row r="32" spans="1:20" hidden="1">
      <c r="A32" s="70">
        <v>34</v>
      </c>
      <c r="B32" s="69" t="s">
        <v>1408</v>
      </c>
      <c r="C32" s="69" t="s">
        <v>718</v>
      </c>
      <c r="D32" s="69" t="s">
        <v>719</v>
      </c>
      <c r="E32" s="69" t="s">
        <v>639</v>
      </c>
      <c r="F32" s="69"/>
      <c r="G32" s="69"/>
      <c r="H32" s="69"/>
      <c r="I32" s="69"/>
      <c r="J32" s="70">
        <v>1</v>
      </c>
      <c r="K32" s="70">
        <v>1</v>
      </c>
      <c r="L32" s="69"/>
      <c r="M32" s="69"/>
      <c r="N32" s="69"/>
      <c r="O32" s="69"/>
      <c r="P32" s="69"/>
      <c r="Q32" s="69"/>
      <c r="R32" s="69"/>
      <c r="S32" s="69"/>
      <c r="T32" s="69"/>
    </row>
    <row r="33" spans="1:20" hidden="1">
      <c r="A33" s="144">
        <v>35</v>
      </c>
      <c r="B33" s="145" t="s">
        <v>1409</v>
      </c>
      <c r="C33" s="145" t="s">
        <v>725</v>
      </c>
      <c r="D33" s="145" t="s">
        <v>726</v>
      </c>
      <c r="E33" s="145" t="s">
        <v>621</v>
      </c>
      <c r="F33" s="145"/>
      <c r="G33" s="145"/>
      <c r="H33" s="145"/>
      <c r="I33" s="144">
        <v>1</v>
      </c>
      <c r="J33" s="144">
        <v>1</v>
      </c>
      <c r="K33" s="144">
        <v>2</v>
      </c>
      <c r="L33" s="145"/>
      <c r="M33" s="145"/>
      <c r="N33" s="145" t="s">
        <v>1410</v>
      </c>
      <c r="O33" s="145"/>
      <c r="P33" s="145"/>
      <c r="Q33" s="145" t="s">
        <v>1363</v>
      </c>
      <c r="R33" s="145"/>
      <c r="S33" s="145"/>
      <c r="T33" s="145"/>
    </row>
    <row r="34" spans="1:20" hidden="1">
      <c r="A34" s="70">
        <v>36</v>
      </c>
      <c r="B34" s="69" t="s">
        <v>1411</v>
      </c>
      <c r="C34" s="69" t="s">
        <v>729</v>
      </c>
      <c r="D34" s="69" t="s">
        <v>730</v>
      </c>
      <c r="E34" s="69" t="s">
        <v>639</v>
      </c>
      <c r="F34" s="69"/>
      <c r="G34" s="69"/>
      <c r="H34" s="69"/>
      <c r="I34" s="70">
        <v>1</v>
      </c>
      <c r="J34" s="69"/>
      <c r="K34" s="70">
        <v>1</v>
      </c>
      <c r="L34" s="69"/>
      <c r="M34" s="69"/>
      <c r="N34" s="69"/>
      <c r="O34" s="69"/>
      <c r="P34" s="69"/>
      <c r="Q34" s="69"/>
      <c r="R34" s="69"/>
      <c r="S34" s="69"/>
      <c r="T34" s="69"/>
    </row>
    <row r="35" spans="1:20" hidden="1">
      <c r="A35" s="144">
        <v>38</v>
      </c>
      <c r="B35" s="145" t="s">
        <v>1412</v>
      </c>
      <c r="C35" s="145" t="s">
        <v>332</v>
      </c>
      <c r="D35" s="145" t="s">
        <v>733</v>
      </c>
      <c r="E35" s="145" t="s">
        <v>621</v>
      </c>
      <c r="F35" s="145"/>
      <c r="G35" s="145"/>
      <c r="H35" s="144">
        <v>1</v>
      </c>
      <c r="I35" s="144">
        <v>1</v>
      </c>
      <c r="J35" s="145"/>
      <c r="K35" s="144">
        <v>2</v>
      </c>
      <c r="L35" s="145"/>
      <c r="M35" s="145"/>
      <c r="N35" s="145"/>
      <c r="O35" s="145"/>
      <c r="P35" s="145"/>
      <c r="Q35" s="145"/>
      <c r="R35" s="145"/>
      <c r="S35" s="145"/>
      <c r="T35" s="145"/>
    </row>
    <row r="36" spans="1:20" hidden="1">
      <c r="A36" s="70">
        <v>39</v>
      </c>
      <c r="B36" s="69" t="s">
        <v>1413</v>
      </c>
      <c r="C36" s="69" t="s">
        <v>737</v>
      </c>
      <c r="D36" s="69" t="s">
        <v>738</v>
      </c>
      <c r="E36" s="69" t="s">
        <v>639</v>
      </c>
      <c r="F36" s="69"/>
      <c r="G36" s="69"/>
      <c r="H36" s="69"/>
      <c r="I36" s="70">
        <v>1</v>
      </c>
      <c r="J36" s="69"/>
      <c r="K36" s="70">
        <v>1</v>
      </c>
      <c r="L36" s="69"/>
      <c r="M36" s="69"/>
      <c r="N36" s="69"/>
      <c r="O36" s="69"/>
      <c r="P36" s="69"/>
      <c r="Q36" s="69"/>
      <c r="R36" s="69"/>
      <c r="S36" s="69"/>
      <c r="T36" s="69"/>
    </row>
    <row r="37" spans="1:20" hidden="1">
      <c r="A37" s="144">
        <v>40</v>
      </c>
      <c r="B37" s="145" t="s">
        <v>1414</v>
      </c>
      <c r="C37" s="145" t="s">
        <v>743</v>
      </c>
      <c r="D37" s="145" t="s">
        <v>744</v>
      </c>
      <c r="E37" s="145" t="s">
        <v>621</v>
      </c>
      <c r="F37" s="145"/>
      <c r="G37" s="145"/>
      <c r="H37" s="145"/>
      <c r="I37" s="144">
        <v>1</v>
      </c>
      <c r="J37" s="144">
        <v>1</v>
      </c>
      <c r="K37" s="144">
        <v>2</v>
      </c>
      <c r="L37" s="145"/>
      <c r="M37" s="145"/>
      <c r="N37" s="145" t="s">
        <v>1355</v>
      </c>
      <c r="O37" s="145"/>
      <c r="P37" s="145"/>
      <c r="Q37" s="145"/>
      <c r="R37" s="145"/>
      <c r="S37" s="145"/>
      <c r="T37" s="145"/>
    </row>
    <row r="38" spans="1:20" hidden="1">
      <c r="A38" s="70">
        <v>41</v>
      </c>
      <c r="B38" s="69" t="s">
        <v>1415</v>
      </c>
      <c r="C38" s="69" t="s">
        <v>748</v>
      </c>
      <c r="D38" s="69" t="s">
        <v>749</v>
      </c>
      <c r="E38" s="69" t="s">
        <v>621</v>
      </c>
      <c r="F38" s="69"/>
      <c r="G38" s="69"/>
      <c r="H38" s="69"/>
      <c r="I38" s="70">
        <v>1</v>
      </c>
      <c r="J38" s="70">
        <v>1</v>
      </c>
      <c r="K38" s="70">
        <v>2</v>
      </c>
      <c r="L38" s="69"/>
      <c r="M38" s="69"/>
      <c r="N38" s="69" t="s">
        <v>1355</v>
      </c>
      <c r="O38" s="69"/>
      <c r="P38" s="69"/>
      <c r="Q38" s="69"/>
      <c r="R38" s="69"/>
      <c r="S38" s="69"/>
      <c r="T38" s="69"/>
    </row>
    <row r="39" spans="1:20" hidden="1">
      <c r="A39" s="144">
        <v>42</v>
      </c>
      <c r="B39" s="145" t="s">
        <v>1416</v>
      </c>
      <c r="C39" s="145" t="s">
        <v>754</v>
      </c>
      <c r="D39" s="145" t="s">
        <v>755</v>
      </c>
      <c r="E39" s="145" t="s">
        <v>639</v>
      </c>
      <c r="F39" s="145"/>
      <c r="G39" s="145"/>
      <c r="H39" s="145"/>
      <c r="I39" s="144">
        <v>1</v>
      </c>
      <c r="J39" s="145"/>
      <c r="K39" s="144">
        <v>1</v>
      </c>
      <c r="L39" s="145"/>
      <c r="M39" s="145"/>
      <c r="N39" s="145"/>
      <c r="O39" s="145"/>
      <c r="P39" s="145"/>
      <c r="Q39" s="145"/>
      <c r="R39" s="145"/>
      <c r="S39" s="145"/>
      <c r="T39" s="145"/>
    </row>
    <row r="40" spans="1:20" hidden="1">
      <c r="A40" s="70">
        <v>43</v>
      </c>
      <c r="B40" s="69" t="s">
        <v>1417</v>
      </c>
      <c r="C40" s="69" t="s">
        <v>1418</v>
      </c>
      <c r="D40" s="69" t="s">
        <v>1419</v>
      </c>
      <c r="E40" s="69" t="s">
        <v>631</v>
      </c>
      <c r="F40" s="69"/>
      <c r="G40" s="70">
        <v>2</v>
      </c>
      <c r="H40" s="69"/>
      <c r="I40" s="70">
        <v>1</v>
      </c>
      <c r="J40" s="69"/>
      <c r="K40" s="70">
        <v>3</v>
      </c>
      <c r="L40" s="69"/>
      <c r="M40" s="69"/>
      <c r="N40" s="69"/>
      <c r="O40" s="69"/>
      <c r="P40" s="69"/>
      <c r="Q40" s="69" t="s">
        <v>1420</v>
      </c>
      <c r="R40" s="69"/>
      <c r="S40" s="69" t="s">
        <v>1420</v>
      </c>
      <c r="T40" s="69"/>
    </row>
    <row r="41" spans="1:20" hidden="1">
      <c r="A41" s="144">
        <v>44</v>
      </c>
      <c r="B41" s="145" t="s">
        <v>1421</v>
      </c>
      <c r="C41" s="145" t="s">
        <v>757</v>
      </c>
      <c r="D41" s="145" t="s">
        <v>758</v>
      </c>
      <c r="E41" s="145" t="s">
        <v>621</v>
      </c>
      <c r="F41" s="145"/>
      <c r="G41" s="145"/>
      <c r="H41" s="144">
        <v>1</v>
      </c>
      <c r="I41" s="144">
        <v>1</v>
      </c>
      <c r="J41" s="145"/>
      <c r="K41" s="144">
        <v>2</v>
      </c>
      <c r="L41" s="145"/>
      <c r="M41" s="145"/>
      <c r="N41" s="145"/>
      <c r="O41" s="145"/>
      <c r="P41" s="145"/>
      <c r="Q41" s="145"/>
      <c r="R41" s="145"/>
      <c r="S41" s="145"/>
      <c r="T41" s="145"/>
    </row>
    <row r="42" spans="1:20">
      <c r="A42" s="70">
        <v>45</v>
      </c>
      <c r="B42" s="69" t="s">
        <v>1422</v>
      </c>
      <c r="C42" s="69" t="s">
        <v>1423</v>
      </c>
      <c r="D42" s="69" t="s">
        <v>1424</v>
      </c>
      <c r="E42" s="69" t="s">
        <v>1358</v>
      </c>
      <c r="F42" s="70">
        <v>1</v>
      </c>
      <c r="G42" s="70">
        <v>2</v>
      </c>
      <c r="H42" s="70">
        <v>1</v>
      </c>
      <c r="I42" s="70">
        <v>1</v>
      </c>
      <c r="J42" s="69"/>
      <c r="K42" s="70">
        <v>5</v>
      </c>
      <c r="L42" s="69"/>
      <c r="M42" s="69"/>
      <c r="N42" s="69"/>
      <c r="O42" s="69"/>
      <c r="P42" s="69"/>
      <c r="Q42" s="69" t="s">
        <v>1359</v>
      </c>
      <c r="R42" s="69"/>
      <c r="S42" s="69" t="s">
        <v>1359</v>
      </c>
      <c r="T42" s="69"/>
    </row>
    <row r="43" spans="1:20" hidden="1">
      <c r="A43" s="144">
        <v>46</v>
      </c>
      <c r="B43" s="145" t="s">
        <v>1425</v>
      </c>
      <c r="C43" s="145" t="s">
        <v>760</v>
      </c>
      <c r="D43" s="145" t="s">
        <v>761</v>
      </c>
      <c r="E43" s="145" t="s">
        <v>621</v>
      </c>
      <c r="F43" s="145"/>
      <c r="G43" s="145"/>
      <c r="H43" s="144">
        <v>1</v>
      </c>
      <c r="I43" s="144">
        <v>1</v>
      </c>
      <c r="J43" s="145"/>
      <c r="K43" s="144">
        <v>2</v>
      </c>
      <c r="L43" s="145"/>
      <c r="M43" s="145"/>
      <c r="N43" s="145"/>
      <c r="O43" s="145"/>
      <c r="P43" s="145"/>
      <c r="Q43" s="145"/>
      <c r="R43" s="145"/>
      <c r="S43" s="145"/>
      <c r="T43" s="145"/>
    </row>
    <row r="44" spans="1:20" hidden="1">
      <c r="A44" s="70">
        <v>47</v>
      </c>
      <c r="B44" s="69" t="s">
        <v>1426</v>
      </c>
      <c r="C44" s="69" t="s">
        <v>763</v>
      </c>
      <c r="D44" s="69" t="s">
        <v>764</v>
      </c>
      <c r="E44" s="69" t="s">
        <v>631</v>
      </c>
      <c r="F44" s="69"/>
      <c r="G44" s="70">
        <v>2</v>
      </c>
      <c r="H44" s="69"/>
      <c r="I44" s="70">
        <v>1</v>
      </c>
      <c r="J44" s="69"/>
      <c r="K44" s="70">
        <v>3</v>
      </c>
      <c r="L44" s="69"/>
      <c r="M44" s="69"/>
      <c r="N44" s="69"/>
      <c r="O44" s="69"/>
      <c r="P44" s="69"/>
      <c r="Q44" s="69"/>
      <c r="R44" s="69"/>
      <c r="S44" s="69"/>
      <c r="T44" s="69"/>
    </row>
    <row r="45" spans="1:20" hidden="1">
      <c r="A45" s="144">
        <v>48</v>
      </c>
      <c r="B45" s="145" t="s">
        <v>1427</v>
      </c>
      <c r="C45" s="145" t="s">
        <v>766</v>
      </c>
      <c r="D45" s="145" t="s">
        <v>767</v>
      </c>
      <c r="E45" s="145" t="s">
        <v>621</v>
      </c>
      <c r="F45" s="145"/>
      <c r="G45" s="145"/>
      <c r="H45" s="144">
        <v>1</v>
      </c>
      <c r="I45" s="144">
        <v>1</v>
      </c>
      <c r="J45" s="145"/>
      <c r="K45" s="144">
        <v>2</v>
      </c>
      <c r="L45" s="145"/>
      <c r="M45" s="145"/>
      <c r="N45" s="145"/>
      <c r="O45" s="145"/>
      <c r="P45" s="145"/>
      <c r="Q45" s="145"/>
      <c r="R45" s="145"/>
      <c r="S45" s="145"/>
      <c r="T45" s="145"/>
    </row>
    <row r="46" spans="1:20" hidden="1">
      <c r="A46" s="70">
        <v>49</v>
      </c>
      <c r="B46" s="69" t="s">
        <v>1428</v>
      </c>
      <c r="C46" s="69" t="s">
        <v>769</v>
      </c>
      <c r="D46" s="69" t="s">
        <v>770</v>
      </c>
      <c r="E46" s="69" t="s">
        <v>621</v>
      </c>
      <c r="F46" s="69"/>
      <c r="G46" s="69"/>
      <c r="H46" s="70">
        <v>1</v>
      </c>
      <c r="I46" s="70">
        <v>1</v>
      </c>
      <c r="J46" s="69"/>
      <c r="K46" s="70">
        <v>2</v>
      </c>
      <c r="L46" s="69"/>
      <c r="M46" s="69"/>
      <c r="N46" s="69"/>
      <c r="O46" s="69"/>
      <c r="P46" s="69"/>
      <c r="Q46" s="69"/>
      <c r="R46" s="69"/>
      <c r="S46" s="69"/>
      <c r="T46" s="69"/>
    </row>
    <row r="47" spans="1:20" hidden="1">
      <c r="A47" s="144">
        <v>50</v>
      </c>
      <c r="B47" s="145" t="s">
        <v>1429</v>
      </c>
      <c r="C47" s="145" t="s">
        <v>774</v>
      </c>
      <c r="D47" s="145" t="s">
        <v>775</v>
      </c>
      <c r="E47" s="145" t="s">
        <v>639</v>
      </c>
      <c r="F47" s="145"/>
      <c r="G47" s="145"/>
      <c r="H47" s="145"/>
      <c r="I47" s="144">
        <v>1</v>
      </c>
      <c r="J47" s="145"/>
      <c r="K47" s="144">
        <v>1</v>
      </c>
      <c r="L47" s="145"/>
      <c r="M47" s="145"/>
      <c r="N47" s="145" t="s">
        <v>1355</v>
      </c>
      <c r="O47" s="145"/>
      <c r="P47" s="145"/>
      <c r="Q47" s="145"/>
      <c r="R47" s="145"/>
      <c r="S47" s="145"/>
      <c r="T47" s="145"/>
    </row>
    <row r="48" spans="1:20" hidden="1">
      <c r="A48" s="70">
        <v>51</v>
      </c>
      <c r="B48" s="69" t="s">
        <v>1430</v>
      </c>
      <c r="C48" s="69" t="s">
        <v>779</v>
      </c>
      <c r="D48" s="69" t="s">
        <v>780</v>
      </c>
      <c r="E48" s="69" t="s">
        <v>621</v>
      </c>
      <c r="F48" s="69"/>
      <c r="G48" s="69"/>
      <c r="H48" s="70">
        <v>1</v>
      </c>
      <c r="I48" s="70">
        <v>1</v>
      </c>
      <c r="J48" s="69"/>
      <c r="K48" s="70">
        <v>2</v>
      </c>
      <c r="L48" s="69"/>
      <c r="M48" s="69"/>
      <c r="N48" s="69" t="s">
        <v>1355</v>
      </c>
      <c r="O48" s="69"/>
      <c r="P48" s="69"/>
      <c r="Q48" s="69"/>
      <c r="R48" s="69"/>
      <c r="S48" s="69"/>
      <c r="T48" s="69"/>
    </row>
    <row r="49" spans="1:20" hidden="1">
      <c r="A49" s="144">
        <v>52</v>
      </c>
      <c r="B49" s="145" t="s">
        <v>1431</v>
      </c>
      <c r="C49" s="145" t="s">
        <v>784</v>
      </c>
      <c r="D49" s="145" t="s">
        <v>785</v>
      </c>
      <c r="E49" s="145" t="s">
        <v>639</v>
      </c>
      <c r="F49" s="145"/>
      <c r="G49" s="145"/>
      <c r="H49" s="145"/>
      <c r="I49" s="144">
        <v>1</v>
      </c>
      <c r="J49" s="145"/>
      <c r="K49" s="144">
        <v>1</v>
      </c>
      <c r="L49" s="145"/>
      <c r="M49" s="145"/>
      <c r="N49" s="145"/>
      <c r="O49" s="145"/>
      <c r="P49" s="145"/>
      <c r="Q49" s="145"/>
      <c r="R49" s="145"/>
      <c r="S49" s="145"/>
      <c r="T49" s="145"/>
    </row>
    <row r="50" spans="1:20" hidden="1">
      <c r="A50" s="70">
        <v>53</v>
      </c>
      <c r="B50" s="69" t="s">
        <v>1432</v>
      </c>
      <c r="C50" s="69" t="s">
        <v>790</v>
      </c>
      <c r="D50" s="69" t="s">
        <v>791</v>
      </c>
      <c r="E50" s="69" t="s">
        <v>621</v>
      </c>
      <c r="F50" s="69"/>
      <c r="G50" s="69"/>
      <c r="H50" s="70">
        <v>0</v>
      </c>
      <c r="I50" s="70">
        <v>1</v>
      </c>
      <c r="J50" s="70">
        <v>1</v>
      </c>
      <c r="K50" s="70">
        <v>2</v>
      </c>
      <c r="L50" s="69"/>
      <c r="M50" s="69"/>
      <c r="N50" s="69"/>
      <c r="O50" s="69"/>
      <c r="P50" s="69"/>
      <c r="Q50" s="69" t="s">
        <v>1363</v>
      </c>
      <c r="R50" s="69"/>
      <c r="S50" s="69"/>
      <c r="T50" s="69"/>
    </row>
    <row r="51" spans="1:20" hidden="1">
      <c r="A51" s="144">
        <v>54</v>
      </c>
      <c r="B51" s="145" t="s">
        <v>1433</v>
      </c>
      <c r="C51" s="145" t="s">
        <v>794</v>
      </c>
      <c r="D51" s="145" t="s">
        <v>795</v>
      </c>
      <c r="E51" s="145" t="s">
        <v>631</v>
      </c>
      <c r="F51" s="145"/>
      <c r="G51" s="144">
        <v>2</v>
      </c>
      <c r="H51" s="145"/>
      <c r="I51" s="144">
        <v>1</v>
      </c>
      <c r="J51" s="145"/>
      <c r="K51" s="144">
        <v>3</v>
      </c>
      <c r="L51" s="145"/>
      <c r="M51" s="145"/>
      <c r="N51" s="145"/>
      <c r="O51" s="145"/>
      <c r="P51" s="145"/>
      <c r="Q51" s="145"/>
      <c r="R51" s="145"/>
      <c r="S51" s="145"/>
      <c r="T51" s="145"/>
    </row>
    <row r="52" spans="1:20" hidden="1">
      <c r="A52" s="70">
        <v>55</v>
      </c>
      <c r="B52" s="69" t="s">
        <v>1434</v>
      </c>
      <c r="C52" s="69" t="s">
        <v>799</v>
      </c>
      <c r="D52" s="69" t="s">
        <v>800</v>
      </c>
      <c r="E52" s="69" t="s">
        <v>621</v>
      </c>
      <c r="F52" s="69"/>
      <c r="G52" s="69"/>
      <c r="H52" s="70">
        <v>1</v>
      </c>
      <c r="I52" s="70">
        <v>1</v>
      </c>
      <c r="J52" s="69"/>
      <c r="K52" s="70">
        <v>2</v>
      </c>
      <c r="L52" s="69"/>
      <c r="M52" s="69"/>
      <c r="N52" s="69" t="s">
        <v>1355</v>
      </c>
      <c r="O52" s="69"/>
      <c r="P52" s="69"/>
      <c r="Q52" s="69"/>
      <c r="R52" s="69"/>
      <c r="S52" s="69"/>
      <c r="T52" s="69"/>
    </row>
    <row r="53" spans="1:20" hidden="1">
      <c r="A53" s="144">
        <v>56</v>
      </c>
      <c r="B53" s="145" t="s">
        <v>1435</v>
      </c>
      <c r="C53" s="145" t="s">
        <v>802</v>
      </c>
      <c r="D53" s="145" t="s">
        <v>803</v>
      </c>
      <c r="E53" s="145" t="s">
        <v>639</v>
      </c>
      <c r="F53" s="145"/>
      <c r="G53" s="145"/>
      <c r="H53" s="145"/>
      <c r="I53" s="144">
        <v>1</v>
      </c>
      <c r="J53" s="145"/>
      <c r="K53" s="144">
        <v>1</v>
      </c>
      <c r="L53" s="145"/>
      <c r="M53" s="145"/>
      <c r="N53" s="145"/>
      <c r="O53" s="145"/>
      <c r="P53" s="145"/>
      <c r="Q53" s="145"/>
      <c r="R53" s="145"/>
      <c r="S53" s="145"/>
      <c r="T53" s="145"/>
    </row>
    <row r="54" spans="1:20" hidden="1">
      <c r="A54" s="70">
        <v>57</v>
      </c>
      <c r="B54" s="69" t="s">
        <v>1436</v>
      </c>
      <c r="C54" s="69" t="s">
        <v>808</v>
      </c>
      <c r="D54" s="69" t="s">
        <v>809</v>
      </c>
      <c r="E54" s="69" t="s">
        <v>639</v>
      </c>
      <c r="F54" s="69"/>
      <c r="G54" s="69"/>
      <c r="H54" s="69"/>
      <c r="I54" s="70">
        <v>1</v>
      </c>
      <c r="J54" s="69"/>
      <c r="K54" s="70">
        <v>1</v>
      </c>
      <c r="L54" s="69"/>
      <c r="M54" s="69"/>
      <c r="N54" s="69"/>
      <c r="O54" s="69"/>
      <c r="P54" s="69"/>
      <c r="Q54" s="69"/>
      <c r="R54" s="69"/>
      <c r="S54" s="69"/>
      <c r="T54" s="69"/>
    </row>
    <row r="55" spans="1:20" hidden="1">
      <c r="A55" s="144">
        <v>58</v>
      </c>
      <c r="B55" s="145" t="s">
        <v>1437</v>
      </c>
      <c r="C55" s="145" t="s">
        <v>813</v>
      </c>
      <c r="D55" s="145" t="s">
        <v>814</v>
      </c>
      <c r="E55" s="145" t="s">
        <v>639</v>
      </c>
      <c r="F55" s="145"/>
      <c r="G55" s="145"/>
      <c r="H55" s="145"/>
      <c r="I55" s="144">
        <v>1</v>
      </c>
      <c r="J55" s="145"/>
      <c r="K55" s="144">
        <v>1</v>
      </c>
      <c r="L55" s="145"/>
      <c r="M55" s="145"/>
      <c r="N55" s="145"/>
      <c r="O55" s="145"/>
      <c r="P55" s="145"/>
      <c r="Q55" s="145"/>
      <c r="R55" s="145"/>
      <c r="S55" s="145"/>
      <c r="T55" s="145"/>
    </row>
    <row r="56" spans="1:20" hidden="1">
      <c r="A56" s="70">
        <v>59</v>
      </c>
      <c r="B56" s="69" t="s">
        <v>1438</v>
      </c>
      <c r="C56" s="69" t="s">
        <v>816</v>
      </c>
      <c r="D56" s="69" t="s">
        <v>817</v>
      </c>
      <c r="E56" s="69" t="s">
        <v>639</v>
      </c>
      <c r="F56" s="69"/>
      <c r="G56" s="69"/>
      <c r="H56" s="69"/>
      <c r="I56" s="70">
        <v>1</v>
      </c>
      <c r="J56" s="69"/>
      <c r="K56" s="70">
        <v>1</v>
      </c>
      <c r="L56" s="69"/>
      <c r="M56" s="69"/>
      <c r="N56" s="69"/>
      <c r="O56" s="69"/>
      <c r="P56" s="69"/>
      <c r="Q56" s="69"/>
      <c r="R56" s="69"/>
      <c r="S56" s="69"/>
      <c r="T56" s="69"/>
    </row>
    <row r="57" spans="1:20">
      <c r="A57" s="144">
        <v>60</v>
      </c>
      <c r="B57" s="145" t="s">
        <v>1439</v>
      </c>
      <c r="C57" s="145" t="s">
        <v>1440</v>
      </c>
      <c r="D57" s="145" t="s">
        <v>1441</v>
      </c>
      <c r="E57" s="145" t="s">
        <v>1358</v>
      </c>
      <c r="F57" s="145"/>
      <c r="G57" s="144">
        <v>2</v>
      </c>
      <c r="H57" s="144">
        <v>1</v>
      </c>
      <c r="I57" s="144">
        <v>1</v>
      </c>
      <c r="J57" s="145"/>
      <c r="K57" s="144">
        <v>4</v>
      </c>
      <c r="L57" s="145"/>
      <c r="M57" s="145"/>
      <c r="N57" s="145"/>
      <c r="O57" s="145"/>
      <c r="P57" s="145"/>
      <c r="Q57" s="145"/>
      <c r="R57" s="145"/>
      <c r="S57" s="145"/>
      <c r="T57" s="145"/>
    </row>
    <row r="58" spans="1:20" hidden="1">
      <c r="A58" s="70">
        <v>61</v>
      </c>
      <c r="B58" s="69" t="s">
        <v>1442</v>
      </c>
      <c r="C58" s="69" t="s">
        <v>820</v>
      </c>
      <c r="D58" s="69" t="s">
        <v>821</v>
      </c>
      <c r="E58" s="69" t="s">
        <v>639</v>
      </c>
      <c r="F58" s="69"/>
      <c r="G58" s="69"/>
      <c r="H58" s="69"/>
      <c r="I58" s="70">
        <v>1</v>
      </c>
      <c r="J58" s="69"/>
      <c r="K58" s="70">
        <v>1</v>
      </c>
      <c r="L58" s="69"/>
      <c r="M58" s="69"/>
      <c r="N58" s="69"/>
      <c r="O58" s="69"/>
      <c r="P58" s="69"/>
      <c r="Q58" s="69"/>
      <c r="R58" s="69"/>
      <c r="S58" s="69"/>
      <c r="T58" s="69"/>
    </row>
    <row r="59" spans="1:20" hidden="1">
      <c r="A59" s="144">
        <v>62</v>
      </c>
      <c r="B59" s="145" t="s">
        <v>1443</v>
      </c>
      <c r="C59" s="145" t="s">
        <v>824</v>
      </c>
      <c r="D59" s="145" t="s">
        <v>825</v>
      </c>
      <c r="E59" s="145" t="s">
        <v>621</v>
      </c>
      <c r="F59" s="145"/>
      <c r="G59" s="145"/>
      <c r="H59" s="144">
        <v>0</v>
      </c>
      <c r="I59" s="144">
        <v>1</v>
      </c>
      <c r="J59" s="144">
        <v>1</v>
      </c>
      <c r="K59" s="144">
        <v>2</v>
      </c>
      <c r="L59" s="145"/>
      <c r="M59" s="145"/>
      <c r="N59" s="145"/>
      <c r="O59" s="145"/>
      <c r="P59" s="145"/>
      <c r="Q59" s="145"/>
      <c r="R59" s="145"/>
      <c r="S59" s="145"/>
      <c r="T59" s="145"/>
    </row>
    <row r="60" spans="1:20" hidden="1">
      <c r="A60" s="70">
        <v>63</v>
      </c>
      <c r="B60" s="69" t="s">
        <v>1444</v>
      </c>
      <c r="C60" s="69" t="s">
        <v>828</v>
      </c>
      <c r="D60" s="69" t="s">
        <v>829</v>
      </c>
      <c r="E60" s="69" t="s">
        <v>639</v>
      </c>
      <c r="F60" s="69"/>
      <c r="G60" s="69"/>
      <c r="H60" s="69"/>
      <c r="I60" s="69"/>
      <c r="J60" s="70">
        <v>1</v>
      </c>
      <c r="K60" s="70">
        <v>1</v>
      </c>
      <c r="L60" s="69"/>
      <c r="M60" s="69"/>
      <c r="N60" s="69"/>
      <c r="O60" s="69"/>
      <c r="P60" s="69"/>
      <c r="Q60" s="69"/>
      <c r="R60" s="69"/>
      <c r="S60" s="69"/>
      <c r="T60" s="69"/>
    </row>
    <row r="61" spans="1:20" hidden="1">
      <c r="A61" s="144">
        <v>64</v>
      </c>
      <c r="B61" s="145" t="s">
        <v>1445</v>
      </c>
      <c r="C61" s="145" t="s">
        <v>832</v>
      </c>
      <c r="D61" s="145" t="s">
        <v>833</v>
      </c>
      <c r="E61" s="145" t="s">
        <v>631</v>
      </c>
      <c r="F61" s="144">
        <v>1</v>
      </c>
      <c r="G61" s="145"/>
      <c r="H61" s="144">
        <v>1</v>
      </c>
      <c r="I61" s="144">
        <v>1</v>
      </c>
      <c r="J61" s="145"/>
      <c r="K61" s="144">
        <v>3</v>
      </c>
      <c r="L61" s="145"/>
      <c r="M61" s="145"/>
      <c r="N61" s="145" t="s">
        <v>1362</v>
      </c>
      <c r="O61" s="145"/>
      <c r="P61" s="145"/>
      <c r="Q61" s="145" t="s">
        <v>1363</v>
      </c>
      <c r="R61" s="145"/>
      <c r="S61" s="145"/>
      <c r="T61" s="145"/>
    </row>
    <row r="62" spans="1:20" hidden="1">
      <c r="A62" s="70">
        <v>65</v>
      </c>
      <c r="B62" s="69" t="s">
        <v>1446</v>
      </c>
      <c r="C62" s="69" t="s">
        <v>837</v>
      </c>
      <c r="D62" s="69" t="s">
        <v>838</v>
      </c>
      <c r="E62" s="69" t="s">
        <v>631</v>
      </c>
      <c r="F62" s="69"/>
      <c r="G62" s="69"/>
      <c r="H62" s="70">
        <v>1</v>
      </c>
      <c r="I62" s="70">
        <v>1</v>
      </c>
      <c r="J62" s="70">
        <v>1</v>
      </c>
      <c r="K62" s="70">
        <v>3</v>
      </c>
      <c r="L62" s="69"/>
      <c r="M62" s="69"/>
      <c r="N62" s="69" t="s">
        <v>1362</v>
      </c>
      <c r="O62" s="69"/>
      <c r="P62" s="69"/>
      <c r="Q62" s="69" t="s">
        <v>1420</v>
      </c>
      <c r="R62" s="69"/>
      <c r="S62" s="69" t="s">
        <v>1420</v>
      </c>
      <c r="T62" s="69"/>
    </row>
    <row r="63" spans="1:20" hidden="1">
      <c r="A63" s="144">
        <v>66</v>
      </c>
      <c r="B63" s="145" t="s">
        <v>1447</v>
      </c>
      <c r="C63" s="145" t="s">
        <v>264</v>
      </c>
      <c r="D63" s="145" t="s">
        <v>584</v>
      </c>
      <c r="E63" s="145" t="s">
        <v>631</v>
      </c>
      <c r="F63" s="145"/>
      <c r="G63" s="145"/>
      <c r="H63" s="144">
        <v>1</v>
      </c>
      <c r="I63" s="144">
        <v>1</v>
      </c>
      <c r="J63" s="144">
        <v>1</v>
      </c>
      <c r="K63" s="144">
        <v>3</v>
      </c>
      <c r="L63" s="145"/>
      <c r="M63" s="145"/>
      <c r="N63" s="145" t="s">
        <v>1362</v>
      </c>
      <c r="O63" s="145"/>
      <c r="P63" s="145"/>
      <c r="Q63" s="145" t="s">
        <v>1363</v>
      </c>
      <c r="R63" s="145"/>
      <c r="S63" s="145"/>
      <c r="T63" s="145"/>
    </row>
    <row r="64" spans="1:20" hidden="1">
      <c r="A64" s="70">
        <v>67</v>
      </c>
      <c r="B64" s="69" t="s">
        <v>1448</v>
      </c>
      <c r="C64" s="69" t="s">
        <v>843</v>
      </c>
      <c r="D64" s="69" t="s">
        <v>844</v>
      </c>
      <c r="E64" s="69" t="s">
        <v>621</v>
      </c>
      <c r="F64" s="69"/>
      <c r="G64" s="69"/>
      <c r="H64" s="69"/>
      <c r="I64" s="70">
        <v>1</v>
      </c>
      <c r="J64" s="70">
        <v>1</v>
      </c>
      <c r="K64" s="70">
        <v>2</v>
      </c>
      <c r="L64" s="69"/>
      <c r="M64" s="69"/>
      <c r="N64" s="69"/>
      <c r="O64" s="69"/>
      <c r="P64" s="69"/>
      <c r="Q64" s="69"/>
      <c r="R64" s="69"/>
      <c r="S64" s="69"/>
      <c r="T64" s="69"/>
    </row>
    <row r="65" spans="1:20" hidden="1">
      <c r="A65" s="144">
        <v>68</v>
      </c>
      <c r="B65" s="145" t="s">
        <v>1449</v>
      </c>
      <c r="C65" s="145" t="s">
        <v>847</v>
      </c>
      <c r="D65" s="145" t="s">
        <v>848</v>
      </c>
      <c r="E65" s="145" t="s">
        <v>621</v>
      </c>
      <c r="F65" s="144">
        <v>1</v>
      </c>
      <c r="G65" s="145"/>
      <c r="H65" s="144">
        <v>1</v>
      </c>
      <c r="I65" s="145"/>
      <c r="J65" s="145"/>
      <c r="K65" s="144">
        <v>2</v>
      </c>
      <c r="L65" s="145"/>
      <c r="M65" s="145"/>
      <c r="N65" s="145" t="s">
        <v>1450</v>
      </c>
      <c r="O65" s="145"/>
      <c r="P65" s="145"/>
      <c r="Q65" s="145"/>
      <c r="R65" s="145"/>
      <c r="S65" s="145"/>
      <c r="T65" s="145"/>
    </row>
    <row r="66" spans="1:20" hidden="1">
      <c r="A66" s="70">
        <v>69</v>
      </c>
      <c r="B66" s="69" t="s">
        <v>1451</v>
      </c>
      <c r="C66" s="69" t="s">
        <v>851</v>
      </c>
      <c r="D66" s="69" t="s">
        <v>852</v>
      </c>
      <c r="E66" s="69" t="s">
        <v>631</v>
      </c>
      <c r="F66" s="69"/>
      <c r="G66" s="69"/>
      <c r="H66" s="70">
        <v>1</v>
      </c>
      <c r="I66" s="70">
        <v>1</v>
      </c>
      <c r="J66" s="70">
        <v>1</v>
      </c>
      <c r="K66" s="70">
        <v>3</v>
      </c>
      <c r="L66" s="69"/>
      <c r="M66" s="69"/>
      <c r="N66" s="69" t="s">
        <v>1362</v>
      </c>
      <c r="O66" s="69"/>
      <c r="P66" s="69"/>
      <c r="Q66" s="69" t="s">
        <v>1363</v>
      </c>
      <c r="R66" s="69"/>
      <c r="S66" s="69"/>
      <c r="T66" s="69"/>
    </row>
    <row r="67" spans="1:20" hidden="1">
      <c r="A67" s="144">
        <v>70</v>
      </c>
      <c r="B67" s="145" t="s">
        <v>1452</v>
      </c>
      <c r="C67" s="145" t="s">
        <v>856</v>
      </c>
      <c r="D67" s="145" t="s">
        <v>1453</v>
      </c>
      <c r="E67" s="145" t="s">
        <v>639</v>
      </c>
      <c r="F67" s="145"/>
      <c r="G67" s="145"/>
      <c r="H67" s="145"/>
      <c r="I67" s="144">
        <v>1</v>
      </c>
      <c r="J67" s="145"/>
      <c r="K67" s="144">
        <v>1</v>
      </c>
      <c r="L67" s="145"/>
      <c r="M67" s="145"/>
      <c r="N67" s="145"/>
      <c r="O67" s="145"/>
      <c r="P67" s="145"/>
      <c r="Q67" s="145"/>
      <c r="R67" s="145"/>
      <c r="S67" s="145"/>
      <c r="T67" s="145"/>
    </row>
    <row r="68" spans="1:20" hidden="1">
      <c r="A68" s="70">
        <v>71</v>
      </c>
      <c r="B68" s="69" t="s">
        <v>1454</v>
      </c>
      <c r="C68" s="69" t="s">
        <v>860</v>
      </c>
      <c r="D68" s="69" t="s">
        <v>861</v>
      </c>
      <c r="E68" s="69" t="s">
        <v>621</v>
      </c>
      <c r="F68" s="70">
        <v>1</v>
      </c>
      <c r="G68" s="69"/>
      <c r="H68" s="69"/>
      <c r="I68" s="70">
        <v>1</v>
      </c>
      <c r="J68" s="69"/>
      <c r="K68" s="70">
        <v>2</v>
      </c>
      <c r="L68" s="69"/>
      <c r="M68" s="69"/>
      <c r="N68" s="69" t="s">
        <v>1355</v>
      </c>
      <c r="O68" s="69"/>
      <c r="P68" s="69"/>
      <c r="Q68" s="69"/>
      <c r="R68" s="69"/>
      <c r="S68" s="69"/>
      <c r="T68" s="69"/>
    </row>
    <row r="69" spans="1:20" hidden="1">
      <c r="A69" s="144">
        <v>72</v>
      </c>
      <c r="B69" s="145" t="s">
        <v>1455</v>
      </c>
      <c r="C69" s="145" t="s">
        <v>864</v>
      </c>
      <c r="D69" s="145" t="s">
        <v>865</v>
      </c>
      <c r="E69" s="145" t="s">
        <v>621</v>
      </c>
      <c r="F69" s="145"/>
      <c r="G69" s="145"/>
      <c r="H69" s="144">
        <v>1</v>
      </c>
      <c r="I69" s="144">
        <v>1</v>
      </c>
      <c r="J69" s="145"/>
      <c r="K69" s="144">
        <v>2</v>
      </c>
      <c r="L69" s="145"/>
      <c r="M69" s="145"/>
      <c r="N69" s="145" t="s">
        <v>1355</v>
      </c>
      <c r="O69" s="145"/>
      <c r="P69" s="145"/>
      <c r="Q69" s="145"/>
      <c r="R69" s="145"/>
      <c r="S69" s="145"/>
      <c r="T69" s="145"/>
    </row>
    <row r="70" spans="1:20" hidden="1">
      <c r="A70" s="70">
        <v>73</v>
      </c>
      <c r="B70" s="69" t="s">
        <v>1456</v>
      </c>
      <c r="C70" s="69" t="s">
        <v>867</v>
      </c>
      <c r="D70" s="69" t="s">
        <v>868</v>
      </c>
      <c r="E70" s="69" t="s">
        <v>621</v>
      </c>
      <c r="F70" s="69"/>
      <c r="G70" s="69"/>
      <c r="H70" s="70">
        <v>1</v>
      </c>
      <c r="I70" s="70">
        <v>1</v>
      </c>
      <c r="J70" s="69"/>
      <c r="K70" s="70">
        <v>2</v>
      </c>
      <c r="L70" s="69"/>
      <c r="M70" s="69"/>
      <c r="N70" s="69"/>
      <c r="O70" s="69"/>
      <c r="P70" s="69"/>
      <c r="Q70" s="69"/>
      <c r="R70" s="69"/>
      <c r="S70" s="69"/>
      <c r="T70" s="69"/>
    </row>
    <row r="71" spans="1:20" hidden="1">
      <c r="A71" s="144">
        <v>74</v>
      </c>
      <c r="B71" s="145" t="s">
        <v>1457</v>
      </c>
      <c r="C71" s="145" t="s">
        <v>872</v>
      </c>
      <c r="D71" s="145" t="s">
        <v>873</v>
      </c>
      <c r="E71" s="145" t="s">
        <v>631</v>
      </c>
      <c r="F71" s="145"/>
      <c r="G71" s="145"/>
      <c r="H71" s="144">
        <v>1</v>
      </c>
      <c r="I71" s="144">
        <v>1</v>
      </c>
      <c r="J71" s="144">
        <v>1</v>
      </c>
      <c r="K71" s="144">
        <v>3</v>
      </c>
      <c r="L71" s="145"/>
      <c r="M71" s="145"/>
      <c r="N71" s="145" t="s">
        <v>1362</v>
      </c>
      <c r="O71" s="145"/>
      <c r="P71" s="145"/>
      <c r="Q71" s="145" t="s">
        <v>1363</v>
      </c>
      <c r="R71" s="145"/>
      <c r="S71" s="145"/>
      <c r="T71" s="145"/>
    </row>
    <row r="72" spans="1:20" hidden="1">
      <c r="A72" s="70">
        <v>75</v>
      </c>
      <c r="B72" s="69" t="s">
        <v>1458</v>
      </c>
      <c r="C72" s="69" t="s">
        <v>876</v>
      </c>
      <c r="D72" s="69" t="s">
        <v>877</v>
      </c>
      <c r="E72" s="69" t="s">
        <v>639</v>
      </c>
      <c r="F72" s="69"/>
      <c r="G72" s="69"/>
      <c r="H72" s="69"/>
      <c r="I72" s="70">
        <v>1</v>
      </c>
      <c r="J72" s="69"/>
      <c r="K72" s="70">
        <v>1</v>
      </c>
      <c r="L72" s="69"/>
      <c r="M72" s="69"/>
      <c r="N72" s="69"/>
      <c r="O72" s="69"/>
      <c r="P72" s="69"/>
      <c r="Q72" s="69"/>
      <c r="R72" s="69"/>
      <c r="S72" s="69"/>
      <c r="T72" s="69"/>
    </row>
    <row r="73" spans="1:20" hidden="1">
      <c r="A73" s="144">
        <v>76</v>
      </c>
      <c r="B73" s="145" t="s">
        <v>1459</v>
      </c>
      <c r="C73" s="145" t="s">
        <v>301</v>
      </c>
      <c r="D73" s="145" t="s">
        <v>1460</v>
      </c>
      <c r="E73" s="145" t="s">
        <v>621</v>
      </c>
      <c r="F73" s="145"/>
      <c r="G73" s="145"/>
      <c r="H73" s="145"/>
      <c r="I73" s="144">
        <v>1</v>
      </c>
      <c r="J73" s="144">
        <v>1</v>
      </c>
      <c r="K73" s="144">
        <v>2</v>
      </c>
      <c r="L73" s="145"/>
      <c r="M73" s="145"/>
      <c r="N73" s="145"/>
      <c r="O73" s="145"/>
      <c r="P73" s="145"/>
      <c r="Q73" s="145"/>
      <c r="R73" s="145"/>
      <c r="S73" s="145"/>
      <c r="T73" s="145"/>
    </row>
    <row r="74" spans="1:20" hidden="1">
      <c r="A74" s="70">
        <v>77</v>
      </c>
      <c r="B74" s="69" t="s">
        <v>1461</v>
      </c>
      <c r="C74" s="69" t="s">
        <v>881</v>
      </c>
      <c r="D74" s="69" t="s">
        <v>882</v>
      </c>
      <c r="E74" s="69" t="s">
        <v>621</v>
      </c>
      <c r="F74" s="69"/>
      <c r="G74" s="69"/>
      <c r="H74" s="69"/>
      <c r="I74" s="70">
        <v>1</v>
      </c>
      <c r="J74" s="70">
        <v>1</v>
      </c>
      <c r="K74" s="70">
        <v>2</v>
      </c>
      <c r="L74" s="69"/>
      <c r="M74" s="69"/>
      <c r="N74" s="69"/>
      <c r="O74" s="69"/>
      <c r="P74" s="69"/>
      <c r="Q74" s="69"/>
      <c r="R74" s="69"/>
      <c r="S74" s="69"/>
      <c r="T74" s="69"/>
    </row>
    <row r="75" spans="1:20" hidden="1">
      <c r="A75" s="144">
        <v>78</v>
      </c>
      <c r="B75" s="145" t="s">
        <v>1462</v>
      </c>
      <c r="C75" s="145" t="s">
        <v>885</v>
      </c>
      <c r="D75" s="145" t="s">
        <v>886</v>
      </c>
      <c r="E75" s="145" t="s">
        <v>621</v>
      </c>
      <c r="F75" s="145"/>
      <c r="G75" s="145"/>
      <c r="H75" s="144">
        <v>1</v>
      </c>
      <c r="I75" s="144">
        <v>1</v>
      </c>
      <c r="J75" s="145"/>
      <c r="K75" s="144">
        <v>2</v>
      </c>
      <c r="L75" s="145"/>
      <c r="M75" s="145"/>
      <c r="N75" s="145"/>
      <c r="O75" s="145" t="s">
        <v>1463</v>
      </c>
      <c r="P75" s="145"/>
      <c r="Q75" s="145"/>
      <c r="R75" s="145"/>
      <c r="S75" s="145"/>
      <c r="T75" s="145"/>
    </row>
    <row r="76" spans="1:20" hidden="1">
      <c r="A76" s="70">
        <v>79</v>
      </c>
      <c r="B76" s="69" t="s">
        <v>1464</v>
      </c>
      <c r="C76" s="69" t="s">
        <v>889</v>
      </c>
      <c r="D76" s="69" t="s">
        <v>1465</v>
      </c>
      <c r="E76" s="69" t="s">
        <v>621</v>
      </c>
      <c r="F76" s="69"/>
      <c r="G76" s="69"/>
      <c r="H76" s="70">
        <v>1</v>
      </c>
      <c r="I76" s="69"/>
      <c r="J76" s="70">
        <v>1</v>
      </c>
      <c r="K76" s="70">
        <v>2</v>
      </c>
      <c r="L76" s="69"/>
      <c r="M76" s="69"/>
      <c r="N76" s="69" t="s">
        <v>1362</v>
      </c>
      <c r="O76" s="69"/>
      <c r="P76" s="69"/>
      <c r="Q76" s="69"/>
      <c r="R76" s="69"/>
      <c r="S76" s="69"/>
      <c r="T76" s="69"/>
    </row>
    <row r="77" spans="1:20" hidden="1">
      <c r="A77" s="144">
        <v>80</v>
      </c>
      <c r="B77" s="145" t="s">
        <v>1466</v>
      </c>
      <c r="C77" s="145" t="s">
        <v>895</v>
      </c>
      <c r="D77" s="145" t="s">
        <v>896</v>
      </c>
      <c r="E77" s="145" t="s">
        <v>639</v>
      </c>
      <c r="F77" s="145"/>
      <c r="G77" s="145"/>
      <c r="H77" s="145"/>
      <c r="I77" s="145"/>
      <c r="J77" s="145"/>
      <c r="K77" s="144">
        <v>0</v>
      </c>
      <c r="L77" s="145"/>
      <c r="M77" s="145"/>
      <c r="N77" s="145"/>
      <c r="O77" s="145" t="s">
        <v>1467</v>
      </c>
      <c r="P77" s="145"/>
      <c r="Q77" s="145" t="s">
        <v>1468</v>
      </c>
      <c r="R77" s="145"/>
      <c r="S77" s="145" t="s">
        <v>1359</v>
      </c>
      <c r="T77" s="145"/>
    </row>
    <row r="78" spans="1:20" hidden="1">
      <c r="A78" s="70">
        <v>81</v>
      </c>
      <c r="B78" s="69" t="s">
        <v>1469</v>
      </c>
      <c r="C78" s="69" t="s">
        <v>898</v>
      </c>
      <c r="D78" s="69" t="s">
        <v>899</v>
      </c>
      <c r="E78" s="69" t="s">
        <v>639</v>
      </c>
      <c r="F78" s="69"/>
      <c r="G78" s="69"/>
      <c r="H78" s="69"/>
      <c r="I78" s="69"/>
      <c r="J78" s="70">
        <v>1</v>
      </c>
      <c r="K78" s="70">
        <v>1</v>
      </c>
      <c r="L78" s="69"/>
      <c r="M78" s="69"/>
      <c r="N78" s="69"/>
      <c r="O78" s="69"/>
      <c r="P78" s="69"/>
      <c r="Q78" s="69" t="s">
        <v>1363</v>
      </c>
      <c r="R78" s="69"/>
      <c r="S78" s="69"/>
      <c r="T78" s="69"/>
    </row>
    <row r="79" spans="1:20" hidden="1">
      <c r="A79" s="144">
        <v>82</v>
      </c>
      <c r="B79" s="145" t="s">
        <v>1470</v>
      </c>
      <c r="C79" s="145" t="s">
        <v>901</v>
      </c>
      <c r="D79" s="145" t="s">
        <v>1471</v>
      </c>
      <c r="E79" s="145" t="s">
        <v>639</v>
      </c>
      <c r="F79" s="145"/>
      <c r="G79" s="145"/>
      <c r="H79" s="145"/>
      <c r="I79" s="145"/>
      <c r="J79" s="144">
        <v>1</v>
      </c>
      <c r="K79" s="144">
        <v>1</v>
      </c>
      <c r="L79" s="145"/>
      <c r="M79" s="145"/>
      <c r="N79" s="145"/>
      <c r="O79" s="145"/>
      <c r="P79" s="145"/>
      <c r="Q79" s="145"/>
      <c r="R79" s="145"/>
      <c r="S79" s="145"/>
      <c r="T79" s="145"/>
    </row>
    <row r="80" spans="1:20" hidden="1">
      <c r="A80" s="70">
        <v>83</v>
      </c>
      <c r="B80" s="69" t="s">
        <v>1472</v>
      </c>
      <c r="C80" s="69" t="s">
        <v>904</v>
      </c>
      <c r="D80" s="69" t="s">
        <v>1473</v>
      </c>
      <c r="E80" s="69" t="s">
        <v>639</v>
      </c>
      <c r="F80" s="69"/>
      <c r="G80" s="69"/>
      <c r="H80" s="69"/>
      <c r="I80" s="69"/>
      <c r="J80" s="70">
        <v>1</v>
      </c>
      <c r="K80" s="70">
        <v>1</v>
      </c>
      <c r="L80" s="69"/>
      <c r="M80" s="69"/>
      <c r="N80" s="69"/>
      <c r="O80" s="69"/>
      <c r="P80" s="69"/>
      <c r="Q80" s="69"/>
      <c r="R80" s="69"/>
      <c r="S80" s="69"/>
      <c r="T80" s="69"/>
    </row>
    <row r="81" spans="1:20" hidden="1">
      <c r="A81" s="144">
        <v>84</v>
      </c>
      <c r="B81" s="145" t="s">
        <v>1474</v>
      </c>
      <c r="C81" s="145" t="s">
        <v>907</v>
      </c>
      <c r="D81" s="145" t="s">
        <v>908</v>
      </c>
      <c r="E81" s="145" t="s">
        <v>639</v>
      </c>
      <c r="F81" s="145"/>
      <c r="G81" s="145"/>
      <c r="H81" s="145"/>
      <c r="I81" s="145"/>
      <c r="J81" s="144">
        <v>1</v>
      </c>
      <c r="K81" s="144">
        <v>1</v>
      </c>
      <c r="L81" s="145"/>
      <c r="M81" s="145"/>
      <c r="N81" s="145"/>
      <c r="O81" s="145"/>
      <c r="P81" s="145"/>
      <c r="Q81" s="145"/>
      <c r="R81" s="145"/>
      <c r="S81" s="145"/>
      <c r="T81" s="145"/>
    </row>
    <row r="82" spans="1:20" hidden="1">
      <c r="A82" s="70">
        <v>85</v>
      </c>
      <c r="B82" s="69" t="s">
        <v>1475</v>
      </c>
      <c r="C82" s="69" t="s">
        <v>910</v>
      </c>
      <c r="D82" s="69" t="s">
        <v>1476</v>
      </c>
      <c r="E82" s="69" t="s">
        <v>639</v>
      </c>
      <c r="F82" s="69"/>
      <c r="G82" s="69"/>
      <c r="H82" s="69"/>
      <c r="I82" s="69"/>
      <c r="J82" s="70">
        <v>1</v>
      </c>
      <c r="K82" s="70">
        <v>1</v>
      </c>
      <c r="L82" s="69"/>
      <c r="M82" s="69"/>
      <c r="N82" s="69"/>
      <c r="O82" s="69"/>
      <c r="P82" s="69"/>
      <c r="Q82" s="69"/>
      <c r="R82" s="69"/>
      <c r="S82" s="69"/>
      <c r="T82" s="69"/>
    </row>
    <row r="83" spans="1:20" hidden="1">
      <c r="A83" s="144">
        <v>87</v>
      </c>
      <c r="B83" s="145" t="s">
        <v>1477</v>
      </c>
      <c r="C83" s="145" t="s">
        <v>916</v>
      </c>
      <c r="D83" s="145" t="s">
        <v>917</v>
      </c>
      <c r="E83" s="145" t="s">
        <v>639</v>
      </c>
      <c r="F83" s="145"/>
      <c r="G83" s="145"/>
      <c r="H83" s="145"/>
      <c r="I83" s="144">
        <v>1</v>
      </c>
      <c r="J83" s="145"/>
      <c r="K83" s="144">
        <v>1</v>
      </c>
      <c r="L83" s="145"/>
      <c r="M83" s="145"/>
      <c r="N83" s="145"/>
      <c r="O83" s="145"/>
      <c r="P83" s="145"/>
      <c r="Q83" s="145"/>
      <c r="R83" s="145"/>
      <c r="S83" s="145"/>
      <c r="T83" s="145"/>
    </row>
    <row r="84" spans="1:20" hidden="1">
      <c r="A84" s="70">
        <v>88</v>
      </c>
      <c r="B84" s="69" t="s">
        <v>1478</v>
      </c>
      <c r="C84" s="69" t="s">
        <v>920</v>
      </c>
      <c r="D84" s="69" t="s">
        <v>921</v>
      </c>
      <c r="E84" s="69" t="s">
        <v>621</v>
      </c>
      <c r="F84" s="69"/>
      <c r="G84" s="69"/>
      <c r="H84" s="70">
        <v>1</v>
      </c>
      <c r="I84" s="70">
        <v>1</v>
      </c>
      <c r="J84" s="69"/>
      <c r="K84" s="70">
        <v>2</v>
      </c>
      <c r="L84" s="69"/>
      <c r="M84" s="69"/>
      <c r="N84" s="69"/>
      <c r="O84" s="69"/>
      <c r="P84" s="69"/>
      <c r="Q84" s="69"/>
      <c r="R84" s="69"/>
      <c r="S84" s="69"/>
      <c r="T84" s="69"/>
    </row>
    <row r="85" spans="1:20" hidden="1">
      <c r="A85" s="144">
        <v>89</v>
      </c>
      <c r="B85" s="145" t="s">
        <v>1479</v>
      </c>
      <c r="C85" s="145" t="s">
        <v>924</v>
      </c>
      <c r="D85" s="145" t="s">
        <v>925</v>
      </c>
      <c r="E85" s="145" t="s">
        <v>631</v>
      </c>
      <c r="F85" s="144">
        <v>1</v>
      </c>
      <c r="G85" s="145"/>
      <c r="H85" s="144">
        <v>1</v>
      </c>
      <c r="I85" s="144">
        <v>1</v>
      </c>
      <c r="J85" s="145"/>
      <c r="K85" s="144">
        <v>3</v>
      </c>
      <c r="L85" s="145"/>
      <c r="M85" s="145"/>
      <c r="N85" s="145"/>
      <c r="O85" s="145"/>
      <c r="P85" s="145"/>
      <c r="Q85" s="145"/>
      <c r="R85" s="145"/>
      <c r="S85" s="145"/>
      <c r="T85" s="145"/>
    </row>
    <row r="86" spans="1:20" hidden="1">
      <c r="A86" s="70">
        <v>90</v>
      </c>
      <c r="B86" s="69" t="s">
        <v>1480</v>
      </c>
      <c r="C86" s="69" t="s">
        <v>927</v>
      </c>
      <c r="D86" s="69" t="s">
        <v>928</v>
      </c>
      <c r="E86" s="69" t="s">
        <v>639</v>
      </c>
      <c r="F86" s="69"/>
      <c r="G86" s="69"/>
      <c r="H86" s="69"/>
      <c r="I86" s="70">
        <v>1</v>
      </c>
      <c r="J86" s="69"/>
      <c r="K86" s="70">
        <v>1</v>
      </c>
      <c r="L86" s="69"/>
      <c r="M86" s="69"/>
      <c r="N86" s="69"/>
      <c r="O86" s="69"/>
      <c r="P86" s="69"/>
      <c r="Q86" s="69"/>
      <c r="R86" s="69"/>
      <c r="S86" s="69"/>
      <c r="T86" s="69"/>
    </row>
    <row r="87" spans="1:20" hidden="1">
      <c r="A87" s="144">
        <v>91</v>
      </c>
      <c r="B87" s="145" t="s">
        <v>1481</v>
      </c>
      <c r="C87" s="145" t="s">
        <v>932</v>
      </c>
      <c r="D87" s="145" t="s">
        <v>933</v>
      </c>
      <c r="E87" s="145" t="s">
        <v>631</v>
      </c>
      <c r="F87" s="144">
        <v>1</v>
      </c>
      <c r="G87" s="145"/>
      <c r="H87" s="144">
        <v>1</v>
      </c>
      <c r="I87" s="144">
        <v>1</v>
      </c>
      <c r="J87" s="145"/>
      <c r="K87" s="144">
        <v>3</v>
      </c>
      <c r="L87" s="145"/>
      <c r="M87" s="145"/>
      <c r="N87" s="145"/>
      <c r="O87" s="145"/>
      <c r="P87" s="145"/>
      <c r="Q87" s="145"/>
      <c r="R87" s="145"/>
      <c r="S87" s="145"/>
      <c r="T87" s="145"/>
    </row>
    <row r="88" spans="1:20" hidden="1">
      <c r="A88" s="70">
        <v>92</v>
      </c>
      <c r="B88" s="69" t="s">
        <v>1482</v>
      </c>
      <c r="C88" s="69" t="s">
        <v>934</v>
      </c>
      <c r="D88" s="69" t="s">
        <v>935</v>
      </c>
      <c r="E88" s="69" t="s">
        <v>631</v>
      </c>
      <c r="F88" s="69"/>
      <c r="G88" s="70">
        <v>2</v>
      </c>
      <c r="H88" s="69"/>
      <c r="I88" s="70">
        <v>1</v>
      </c>
      <c r="J88" s="69"/>
      <c r="K88" s="70">
        <v>3</v>
      </c>
      <c r="L88" s="69"/>
      <c r="M88" s="69"/>
      <c r="N88" s="69"/>
      <c r="O88" s="69"/>
      <c r="P88" s="69"/>
      <c r="Q88" s="69"/>
      <c r="R88" s="69"/>
      <c r="S88" s="69"/>
      <c r="T88" s="69"/>
    </row>
    <row r="89" spans="1:20" hidden="1">
      <c r="A89" s="144">
        <v>93</v>
      </c>
      <c r="B89" s="145" t="s">
        <v>1483</v>
      </c>
      <c r="C89" s="145" t="s">
        <v>938</v>
      </c>
      <c r="D89" s="145" t="s">
        <v>939</v>
      </c>
      <c r="E89" s="145" t="s">
        <v>639</v>
      </c>
      <c r="F89" s="145"/>
      <c r="G89" s="145"/>
      <c r="H89" s="145"/>
      <c r="I89" s="144">
        <v>1</v>
      </c>
      <c r="J89" s="145"/>
      <c r="K89" s="144">
        <v>1</v>
      </c>
      <c r="L89" s="145"/>
      <c r="M89" s="145"/>
      <c r="N89" s="145"/>
      <c r="O89" s="145"/>
      <c r="P89" s="145"/>
      <c r="Q89" s="145"/>
      <c r="R89" s="145"/>
      <c r="S89" s="145"/>
      <c r="T89" s="145"/>
    </row>
    <row r="90" spans="1:20" hidden="1">
      <c r="A90" s="70">
        <v>94</v>
      </c>
      <c r="B90" s="69" t="s">
        <v>1484</v>
      </c>
      <c r="C90" s="69" t="s">
        <v>942</v>
      </c>
      <c r="D90" s="69" t="s">
        <v>943</v>
      </c>
      <c r="E90" s="69" t="s">
        <v>631</v>
      </c>
      <c r="F90" s="69"/>
      <c r="G90" s="69"/>
      <c r="H90" s="70">
        <v>1</v>
      </c>
      <c r="I90" s="70">
        <v>1</v>
      </c>
      <c r="J90" s="70">
        <v>1</v>
      </c>
      <c r="K90" s="70">
        <v>3</v>
      </c>
      <c r="L90" s="69"/>
      <c r="M90" s="69"/>
      <c r="N90" s="69"/>
      <c r="O90" s="69"/>
      <c r="P90" s="69"/>
      <c r="Q90" s="69" t="s">
        <v>1359</v>
      </c>
      <c r="R90" s="69"/>
      <c r="S90" s="69" t="s">
        <v>1359</v>
      </c>
      <c r="T90" s="69"/>
    </row>
    <row r="91" spans="1:20" hidden="1">
      <c r="A91" s="144">
        <v>95</v>
      </c>
      <c r="B91" s="145" t="s">
        <v>1485</v>
      </c>
      <c r="C91" s="145" t="s">
        <v>946</v>
      </c>
      <c r="D91" s="145" t="s">
        <v>947</v>
      </c>
      <c r="E91" s="145" t="s">
        <v>639</v>
      </c>
      <c r="F91" s="145"/>
      <c r="G91" s="145"/>
      <c r="H91" s="145"/>
      <c r="I91" s="144">
        <v>1</v>
      </c>
      <c r="J91" s="145"/>
      <c r="K91" s="144">
        <v>1</v>
      </c>
      <c r="L91" s="145"/>
      <c r="M91" s="145"/>
      <c r="N91" s="145"/>
      <c r="O91" s="145"/>
      <c r="P91" s="145"/>
      <c r="Q91" s="145"/>
      <c r="R91" s="145"/>
      <c r="S91" s="145"/>
      <c r="T91" s="145"/>
    </row>
    <row r="92" spans="1:20" hidden="1">
      <c r="A92" s="70">
        <v>96</v>
      </c>
      <c r="B92" s="69" t="s">
        <v>1486</v>
      </c>
      <c r="C92" s="69" t="s">
        <v>950</v>
      </c>
      <c r="D92" s="69" t="s">
        <v>951</v>
      </c>
      <c r="E92" s="69" t="s">
        <v>621</v>
      </c>
      <c r="F92" s="69"/>
      <c r="G92" s="69"/>
      <c r="H92" s="70">
        <v>1</v>
      </c>
      <c r="I92" s="70">
        <v>1</v>
      </c>
      <c r="J92" s="69"/>
      <c r="K92" s="70">
        <v>2</v>
      </c>
      <c r="L92" s="69"/>
      <c r="M92" s="69"/>
      <c r="N92" s="69"/>
      <c r="O92" s="69"/>
      <c r="P92" s="69"/>
      <c r="Q92" s="69"/>
      <c r="R92" s="69"/>
      <c r="S92" s="69"/>
      <c r="T92" s="69"/>
    </row>
    <row r="93" spans="1:20" hidden="1">
      <c r="A93" s="144">
        <v>97</v>
      </c>
      <c r="B93" s="145" t="s">
        <v>1487</v>
      </c>
      <c r="C93" s="145" t="s">
        <v>953</v>
      </c>
      <c r="D93" s="145" t="s">
        <v>954</v>
      </c>
      <c r="E93" s="145" t="s">
        <v>621</v>
      </c>
      <c r="F93" s="145"/>
      <c r="G93" s="145"/>
      <c r="H93" s="144">
        <v>1</v>
      </c>
      <c r="I93" s="144">
        <v>1</v>
      </c>
      <c r="J93" s="145"/>
      <c r="K93" s="144">
        <v>2</v>
      </c>
      <c r="L93" s="145"/>
      <c r="M93" s="145"/>
      <c r="N93" s="145"/>
      <c r="O93" s="145"/>
      <c r="P93" s="145"/>
      <c r="Q93" s="145"/>
      <c r="R93" s="145"/>
      <c r="S93" s="145"/>
      <c r="T93" s="145"/>
    </row>
    <row r="94" spans="1:20" hidden="1">
      <c r="A94" s="70">
        <v>98</v>
      </c>
      <c r="B94" s="69" t="s">
        <v>1488</v>
      </c>
      <c r="C94" s="69" t="s">
        <v>956</v>
      </c>
      <c r="D94" s="69" t="s">
        <v>957</v>
      </c>
      <c r="E94" s="69" t="s">
        <v>621</v>
      </c>
      <c r="F94" s="69"/>
      <c r="G94" s="69"/>
      <c r="H94" s="69"/>
      <c r="I94" s="70">
        <v>1</v>
      </c>
      <c r="J94" s="70">
        <v>1</v>
      </c>
      <c r="K94" s="70">
        <v>2</v>
      </c>
      <c r="L94" s="69"/>
      <c r="M94" s="69"/>
      <c r="N94" s="69"/>
      <c r="O94" s="69"/>
      <c r="P94" s="69"/>
      <c r="Q94" s="69"/>
      <c r="R94" s="69"/>
      <c r="S94" s="69"/>
      <c r="T94" s="69"/>
    </row>
    <row r="95" spans="1:20" hidden="1">
      <c r="A95" s="144">
        <v>99</v>
      </c>
      <c r="B95" s="145" t="s">
        <v>1489</v>
      </c>
      <c r="C95" s="145" t="s">
        <v>961</v>
      </c>
      <c r="D95" s="145" t="s">
        <v>1490</v>
      </c>
      <c r="E95" s="145" t="s">
        <v>631</v>
      </c>
      <c r="F95" s="144">
        <v>1</v>
      </c>
      <c r="G95" s="145"/>
      <c r="H95" s="144">
        <v>1</v>
      </c>
      <c r="I95" s="145"/>
      <c r="J95" s="144">
        <v>1</v>
      </c>
      <c r="K95" s="144">
        <v>3</v>
      </c>
      <c r="L95" s="145"/>
      <c r="M95" s="145"/>
      <c r="N95" s="145"/>
      <c r="O95" s="145"/>
      <c r="P95" s="145"/>
      <c r="Q95" s="145"/>
      <c r="R95" s="145"/>
      <c r="S95" s="145"/>
      <c r="T95" s="145"/>
    </row>
    <row r="96" spans="1:20" hidden="1">
      <c r="A96" s="70">
        <v>100</v>
      </c>
      <c r="B96" s="69" t="s">
        <v>1491</v>
      </c>
      <c r="C96" s="69" t="s">
        <v>965</v>
      </c>
      <c r="D96" s="69" t="s">
        <v>966</v>
      </c>
      <c r="E96" s="69" t="s">
        <v>639</v>
      </c>
      <c r="F96" s="69"/>
      <c r="G96" s="69"/>
      <c r="H96" s="69"/>
      <c r="I96" s="70">
        <v>1</v>
      </c>
      <c r="J96" s="69"/>
      <c r="K96" s="70">
        <v>1</v>
      </c>
      <c r="L96" s="69"/>
      <c r="M96" s="69"/>
      <c r="N96" s="69"/>
      <c r="O96" s="69"/>
      <c r="P96" s="69"/>
      <c r="Q96" s="69"/>
      <c r="R96" s="69"/>
      <c r="S96" s="69"/>
      <c r="T96" s="69"/>
    </row>
    <row r="97" spans="1:20" hidden="1">
      <c r="A97" s="144">
        <v>101</v>
      </c>
      <c r="B97" s="145" t="s">
        <v>1492</v>
      </c>
      <c r="C97" s="145" t="s">
        <v>968</v>
      </c>
      <c r="D97" s="145" t="s">
        <v>969</v>
      </c>
      <c r="E97" s="145" t="s">
        <v>639</v>
      </c>
      <c r="F97" s="145"/>
      <c r="G97" s="145"/>
      <c r="H97" s="145"/>
      <c r="I97" s="144">
        <v>1</v>
      </c>
      <c r="J97" s="145"/>
      <c r="K97" s="144">
        <v>1</v>
      </c>
      <c r="L97" s="145"/>
      <c r="M97" s="145"/>
      <c r="N97" s="145"/>
      <c r="O97" s="145"/>
      <c r="P97" s="145"/>
      <c r="Q97" s="145"/>
      <c r="R97" s="145"/>
      <c r="S97" s="145"/>
      <c r="T97" s="145"/>
    </row>
    <row r="98" spans="1:20" hidden="1">
      <c r="A98" s="70">
        <v>102</v>
      </c>
      <c r="B98" s="69" t="s">
        <v>1493</v>
      </c>
      <c r="C98" s="69" t="s">
        <v>971</v>
      </c>
      <c r="D98" s="69" t="s">
        <v>1494</v>
      </c>
      <c r="E98" s="69" t="s">
        <v>639</v>
      </c>
      <c r="F98" s="69"/>
      <c r="G98" s="69"/>
      <c r="H98" s="69"/>
      <c r="I98" s="70">
        <v>1</v>
      </c>
      <c r="J98" s="69"/>
      <c r="K98" s="70">
        <v>1</v>
      </c>
      <c r="L98" s="69"/>
      <c r="M98" s="69"/>
      <c r="N98" s="69"/>
      <c r="O98" s="69"/>
      <c r="P98" s="69"/>
      <c r="Q98" s="69"/>
      <c r="R98" s="69"/>
      <c r="S98" s="69"/>
      <c r="T98" s="69"/>
    </row>
    <row r="99" spans="1:20" hidden="1">
      <c r="A99" s="144">
        <v>103</v>
      </c>
      <c r="B99" s="145" t="s">
        <v>1495</v>
      </c>
      <c r="C99" s="145" t="s">
        <v>1496</v>
      </c>
      <c r="D99" s="145" t="s">
        <v>1497</v>
      </c>
      <c r="E99" s="145" t="s">
        <v>639</v>
      </c>
      <c r="F99" s="145"/>
      <c r="G99" s="145"/>
      <c r="H99" s="145"/>
      <c r="I99" s="144">
        <v>1</v>
      </c>
      <c r="J99" s="145"/>
      <c r="K99" s="144">
        <v>1</v>
      </c>
      <c r="L99" s="145"/>
      <c r="M99" s="145"/>
      <c r="N99" s="145"/>
      <c r="O99" s="145"/>
      <c r="P99" s="145"/>
      <c r="Q99" s="145"/>
      <c r="R99" s="145"/>
      <c r="S99" s="145"/>
      <c r="T99" s="145"/>
    </row>
    <row r="100" spans="1:20" hidden="1">
      <c r="A100" s="70">
        <v>104</v>
      </c>
      <c r="B100" s="69" t="s">
        <v>1498</v>
      </c>
      <c r="C100" s="69" t="s">
        <v>975</v>
      </c>
      <c r="D100" s="69" t="s">
        <v>976</v>
      </c>
      <c r="E100" s="69" t="s">
        <v>639</v>
      </c>
      <c r="F100" s="69"/>
      <c r="G100" s="69"/>
      <c r="H100" s="69"/>
      <c r="I100" s="70">
        <v>1</v>
      </c>
      <c r="J100" s="69"/>
      <c r="K100" s="70">
        <v>1</v>
      </c>
      <c r="L100" s="69"/>
      <c r="M100" s="69"/>
      <c r="N100" s="69" t="s">
        <v>1355</v>
      </c>
      <c r="O100" s="69"/>
      <c r="P100" s="69"/>
      <c r="Q100" s="69"/>
      <c r="R100" s="69"/>
      <c r="S100" s="69"/>
      <c r="T100" s="69"/>
    </row>
    <row r="101" spans="1:20" hidden="1">
      <c r="A101" s="144">
        <v>105</v>
      </c>
      <c r="B101" s="145" t="s">
        <v>1499</v>
      </c>
      <c r="C101" s="145" t="s">
        <v>978</v>
      </c>
      <c r="D101" s="145" t="s">
        <v>979</v>
      </c>
      <c r="E101" s="145" t="s">
        <v>631</v>
      </c>
      <c r="F101" s="145"/>
      <c r="G101" s="144">
        <v>2</v>
      </c>
      <c r="H101" s="145"/>
      <c r="I101" s="144">
        <v>1</v>
      </c>
      <c r="J101" s="145"/>
      <c r="K101" s="144">
        <v>3</v>
      </c>
      <c r="L101" s="145"/>
      <c r="M101" s="145"/>
      <c r="N101" s="145"/>
      <c r="O101" s="145"/>
      <c r="P101" s="145"/>
      <c r="Q101" s="145" t="s">
        <v>1468</v>
      </c>
      <c r="R101" s="145"/>
      <c r="S101" s="145" t="s">
        <v>1359</v>
      </c>
      <c r="T101" s="145"/>
    </row>
    <row r="102" spans="1:20" hidden="1">
      <c r="A102" s="70">
        <v>106</v>
      </c>
      <c r="B102" s="69" t="s">
        <v>1500</v>
      </c>
      <c r="C102" s="69" t="s">
        <v>982</v>
      </c>
      <c r="D102" s="69" t="s">
        <v>983</v>
      </c>
      <c r="E102" s="69" t="s">
        <v>631</v>
      </c>
      <c r="F102" s="70">
        <v>1</v>
      </c>
      <c r="G102" s="69"/>
      <c r="H102" s="70">
        <v>1</v>
      </c>
      <c r="I102" s="70">
        <v>1</v>
      </c>
      <c r="J102" s="69"/>
      <c r="K102" s="70">
        <v>3</v>
      </c>
      <c r="L102" s="69"/>
      <c r="M102" s="69"/>
      <c r="N102" s="69" t="s">
        <v>1362</v>
      </c>
      <c r="O102" s="69"/>
      <c r="P102" s="69"/>
      <c r="Q102" s="69"/>
      <c r="R102" s="69"/>
      <c r="S102" s="69"/>
      <c r="T102" s="69"/>
    </row>
    <row r="103" spans="1:20">
      <c r="A103" s="144">
        <v>107</v>
      </c>
      <c r="B103" s="145" t="s">
        <v>1501</v>
      </c>
      <c r="C103" s="145" t="s">
        <v>385</v>
      </c>
      <c r="D103" s="145" t="s">
        <v>1502</v>
      </c>
      <c r="E103" s="145" t="s">
        <v>1358</v>
      </c>
      <c r="F103" s="144">
        <v>1</v>
      </c>
      <c r="G103" s="145"/>
      <c r="H103" s="144">
        <v>1</v>
      </c>
      <c r="I103" s="144">
        <v>1</v>
      </c>
      <c r="J103" s="144">
        <v>1</v>
      </c>
      <c r="K103" s="144">
        <v>4</v>
      </c>
      <c r="L103" s="145"/>
      <c r="M103" s="145"/>
      <c r="N103" s="145"/>
      <c r="O103" s="145"/>
      <c r="P103" s="145"/>
      <c r="Q103" s="145" t="s">
        <v>1468</v>
      </c>
      <c r="R103" s="145"/>
      <c r="S103" s="145" t="s">
        <v>1468</v>
      </c>
      <c r="T103" s="145"/>
    </row>
    <row r="104" spans="1:20">
      <c r="A104" s="70">
        <v>108</v>
      </c>
      <c r="B104" s="69" t="s">
        <v>1503</v>
      </c>
      <c r="C104" s="69" t="s">
        <v>1504</v>
      </c>
      <c r="D104" s="69" t="s">
        <v>1505</v>
      </c>
      <c r="E104" s="69" t="s">
        <v>1358</v>
      </c>
      <c r="F104" s="70">
        <v>1</v>
      </c>
      <c r="G104" s="70">
        <v>2</v>
      </c>
      <c r="H104" s="70">
        <v>1</v>
      </c>
      <c r="I104" s="70">
        <v>1</v>
      </c>
      <c r="J104" s="70">
        <v>1</v>
      </c>
      <c r="K104" s="70">
        <v>6</v>
      </c>
      <c r="L104" s="69"/>
      <c r="M104" s="69"/>
      <c r="N104" s="69"/>
      <c r="O104" s="69"/>
      <c r="P104" s="69"/>
      <c r="Q104" s="69" t="s">
        <v>1359</v>
      </c>
      <c r="R104" s="69"/>
      <c r="S104" s="69" t="s">
        <v>1359</v>
      </c>
      <c r="T104" s="69"/>
    </row>
    <row r="105" spans="1:20" hidden="1">
      <c r="A105" s="144">
        <v>109</v>
      </c>
      <c r="B105" s="145" t="s">
        <v>1506</v>
      </c>
      <c r="C105" s="145" t="s">
        <v>987</v>
      </c>
      <c r="D105" s="145" t="s">
        <v>988</v>
      </c>
      <c r="E105" s="145" t="s">
        <v>639</v>
      </c>
      <c r="F105" s="145"/>
      <c r="G105" s="145"/>
      <c r="H105" s="145"/>
      <c r="I105" s="145"/>
      <c r="J105" s="144">
        <v>1</v>
      </c>
      <c r="K105" s="144">
        <v>1</v>
      </c>
      <c r="L105" s="145"/>
      <c r="M105" s="145"/>
      <c r="N105" s="145" t="s">
        <v>1355</v>
      </c>
      <c r="O105" s="145"/>
      <c r="P105" s="145"/>
      <c r="Q105" s="145"/>
      <c r="R105" s="145"/>
      <c r="S105" s="145"/>
      <c r="T105" s="145"/>
    </row>
    <row r="106" spans="1:20">
      <c r="A106" s="70">
        <v>110</v>
      </c>
      <c r="B106" s="69" t="s">
        <v>1507</v>
      </c>
      <c r="C106" s="69" t="s">
        <v>1508</v>
      </c>
      <c r="D106" s="69" t="s">
        <v>1509</v>
      </c>
      <c r="E106" s="69" t="s">
        <v>1358</v>
      </c>
      <c r="F106" s="70">
        <v>1</v>
      </c>
      <c r="G106" s="70">
        <v>2</v>
      </c>
      <c r="H106" s="70">
        <v>1</v>
      </c>
      <c r="I106" s="70">
        <v>1</v>
      </c>
      <c r="J106" s="70">
        <v>1</v>
      </c>
      <c r="K106" s="70">
        <v>6</v>
      </c>
      <c r="L106" s="69"/>
      <c r="M106" s="69"/>
      <c r="N106" s="69"/>
      <c r="O106" s="69"/>
      <c r="P106" s="69"/>
      <c r="Q106" s="69" t="s">
        <v>1359</v>
      </c>
      <c r="R106" s="69"/>
      <c r="S106" s="69" t="s">
        <v>1359</v>
      </c>
      <c r="T106" s="69"/>
    </row>
    <row r="107" spans="1:20">
      <c r="A107" s="144">
        <v>111</v>
      </c>
      <c r="B107" s="145" t="s">
        <v>1510</v>
      </c>
      <c r="C107" s="145" t="s">
        <v>1511</v>
      </c>
      <c r="D107" s="145" t="s">
        <v>1512</v>
      </c>
      <c r="E107" s="145" t="s">
        <v>1358</v>
      </c>
      <c r="F107" s="145"/>
      <c r="G107" s="144">
        <v>2</v>
      </c>
      <c r="H107" s="144">
        <v>1</v>
      </c>
      <c r="I107" s="145"/>
      <c r="J107" s="144">
        <v>1</v>
      </c>
      <c r="K107" s="144">
        <v>4</v>
      </c>
      <c r="L107" s="145"/>
      <c r="M107" s="145"/>
      <c r="N107" s="145"/>
      <c r="O107" s="145"/>
      <c r="P107" s="145"/>
      <c r="Q107" s="145"/>
      <c r="R107" s="145"/>
      <c r="S107" s="145"/>
      <c r="T107" s="145"/>
    </row>
    <row r="108" spans="1:20" hidden="1">
      <c r="A108" s="70">
        <v>118</v>
      </c>
      <c r="B108" s="69" t="s">
        <v>1513</v>
      </c>
      <c r="C108" s="69" t="s">
        <v>990</v>
      </c>
      <c r="D108" s="69" t="s">
        <v>991</v>
      </c>
      <c r="E108" s="69" t="s">
        <v>631</v>
      </c>
      <c r="F108" s="70">
        <v>1</v>
      </c>
      <c r="G108" s="69"/>
      <c r="H108" s="70">
        <v>1</v>
      </c>
      <c r="I108" s="70">
        <v>1</v>
      </c>
      <c r="J108" s="69"/>
      <c r="K108" s="70">
        <v>3</v>
      </c>
      <c r="L108" s="69"/>
      <c r="M108" s="69"/>
      <c r="N108" s="69" t="s">
        <v>1410</v>
      </c>
      <c r="O108" s="69"/>
      <c r="P108" s="69"/>
      <c r="Q108" s="69" t="s">
        <v>1359</v>
      </c>
      <c r="R108" s="69"/>
      <c r="S108" s="69"/>
      <c r="T108" s="69"/>
    </row>
    <row r="109" spans="1:20" hidden="1">
      <c r="A109" s="144">
        <v>125</v>
      </c>
      <c r="B109" s="145" t="s">
        <v>1514</v>
      </c>
      <c r="C109" s="145" t="s">
        <v>1003</v>
      </c>
      <c r="D109" s="145" t="s">
        <v>1004</v>
      </c>
      <c r="E109" s="145" t="s">
        <v>631</v>
      </c>
      <c r="F109" s="144">
        <v>1</v>
      </c>
      <c r="G109" s="145"/>
      <c r="H109" s="144">
        <v>1</v>
      </c>
      <c r="I109" s="144">
        <v>1</v>
      </c>
      <c r="J109" s="145"/>
      <c r="K109" s="144">
        <v>3</v>
      </c>
      <c r="L109" s="145"/>
      <c r="M109" s="145"/>
      <c r="N109" s="145"/>
      <c r="O109" s="145"/>
      <c r="P109" s="145"/>
      <c r="Q109" s="145"/>
      <c r="R109" s="145"/>
      <c r="S109" s="145"/>
      <c r="T109" s="145"/>
    </row>
    <row r="110" spans="1:20" hidden="1">
      <c r="A110" s="70">
        <v>126</v>
      </c>
      <c r="B110" s="69" t="s">
        <v>1515</v>
      </c>
      <c r="C110" s="69" t="s">
        <v>1008</v>
      </c>
      <c r="D110" s="69" t="s">
        <v>1009</v>
      </c>
      <c r="E110" s="69" t="s">
        <v>631</v>
      </c>
      <c r="F110" s="70">
        <v>1</v>
      </c>
      <c r="G110" s="69"/>
      <c r="H110" s="69"/>
      <c r="I110" s="70">
        <v>1</v>
      </c>
      <c r="J110" s="70">
        <v>1</v>
      </c>
      <c r="K110" s="70">
        <v>3</v>
      </c>
      <c r="L110" s="69"/>
      <c r="M110" s="69"/>
      <c r="N110" s="69" t="s">
        <v>1362</v>
      </c>
      <c r="O110" s="69"/>
      <c r="P110" s="69"/>
      <c r="Q110" s="69"/>
      <c r="R110" s="69"/>
      <c r="S110" s="69"/>
      <c r="T110" s="69"/>
    </row>
    <row r="111" spans="1:20" hidden="1">
      <c r="A111" s="144">
        <v>127</v>
      </c>
      <c r="B111" s="145" t="s">
        <v>1516</v>
      </c>
      <c r="C111" s="145" t="s">
        <v>123</v>
      </c>
      <c r="D111" s="145" t="s">
        <v>1517</v>
      </c>
      <c r="E111" s="145" t="s">
        <v>631</v>
      </c>
      <c r="F111" s="144">
        <v>1</v>
      </c>
      <c r="G111" s="145"/>
      <c r="H111" s="144">
        <v>1</v>
      </c>
      <c r="I111" s="145"/>
      <c r="J111" s="144">
        <v>1</v>
      </c>
      <c r="K111" s="144">
        <v>3</v>
      </c>
      <c r="L111" s="145"/>
      <c r="M111" s="145"/>
      <c r="N111" s="145" t="s">
        <v>1362</v>
      </c>
      <c r="O111" s="145"/>
      <c r="P111" s="145"/>
      <c r="Q111" s="145"/>
      <c r="R111" s="145"/>
      <c r="S111" s="145"/>
      <c r="T111" s="145"/>
    </row>
    <row r="112" spans="1:20">
      <c r="A112" s="70">
        <v>128</v>
      </c>
      <c r="B112" s="69" t="s">
        <v>1518</v>
      </c>
      <c r="C112" s="69" t="s">
        <v>22</v>
      </c>
      <c r="D112" s="69" t="s">
        <v>1519</v>
      </c>
      <c r="E112" s="69" t="s">
        <v>1358</v>
      </c>
      <c r="F112" s="70">
        <v>1</v>
      </c>
      <c r="G112" s="70">
        <v>2</v>
      </c>
      <c r="H112" s="70">
        <v>1</v>
      </c>
      <c r="I112" s="70">
        <v>1</v>
      </c>
      <c r="J112" s="70">
        <v>1</v>
      </c>
      <c r="K112" s="70">
        <v>6</v>
      </c>
      <c r="L112" s="69"/>
      <c r="M112" s="69"/>
      <c r="N112" s="69"/>
      <c r="O112" s="69"/>
      <c r="P112" s="69"/>
      <c r="Q112" s="69" t="s">
        <v>1359</v>
      </c>
      <c r="R112" s="69"/>
      <c r="S112" s="69" t="s">
        <v>1359</v>
      </c>
      <c r="T112" s="69"/>
    </row>
    <row r="113" spans="1:20" hidden="1">
      <c r="A113" s="144">
        <v>129</v>
      </c>
      <c r="B113" s="145" t="s">
        <v>1520</v>
      </c>
      <c r="C113" s="145" t="s">
        <v>1014</v>
      </c>
      <c r="D113" s="145" t="s">
        <v>1015</v>
      </c>
      <c r="E113" s="145" t="s">
        <v>621</v>
      </c>
      <c r="F113" s="144">
        <v>1</v>
      </c>
      <c r="G113" s="145"/>
      <c r="H113" s="145"/>
      <c r="I113" s="144">
        <v>1</v>
      </c>
      <c r="J113" s="145"/>
      <c r="K113" s="144">
        <v>2</v>
      </c>
      <c r="L113" s="145"/>
      <c r="M113" s="145"/>
      <c r="N113" s="145"/>
      <c r="O113" s="145"/>
      <c r="P113" s="145"/>
      <c r="Q113" s="145"/>
      <c r="R113" s="145"/>
      <c r="S113" s="145"/>
      <c r="T113" s="145"/>
    </row>
    <row r="114" spans="1:20" hidden="1">
      <c r="A114" s="70">
        <v>130</v>
      </c>
      <c r="B114" s="69" t="s">
        <v>1521</v>
      </c>
      <c r="C114" s="69" t="s">
        <v>1018</v>
      </c>
      <c r="D114" s="69" t="s">
        <v>1019</v>
      </c>
      <c r="E114" s="69" t="s">
        <v>631</v>
      </c>
      <c r="F114" s="69"/>
      <c r="G114" s="70">
        <v>2</v>
      </c>
      <c r="H114" s="69"/>
      <c r="I114" s="70">
        <v>1</v>
      </c>
      <c r="J114" s="69"/>
      <c r="K114" s="70">
        <v>3</v>
      </c>
      <c r="L114" s="69"/>
      <c r="M114" s="69"/>
      <c r="N114" s="69"/>
      <c r="O114" s="69"/>
      <c r="P114" s="69"/>
      <c r="Q114" s="69"/>
      <c r="R114" s="69"/>
      <c r="S114" s="69"/>
      <c r="T114" s="69"/>
    </row>
    <row r="115" spans="1:20" hidden="1">
      <c r="A115" s="144">
        <v>131</v>
      </c>
      <c r="B115" s="145" t="s">
        <v>1522</v>
      </c>
      <c r="C115" s="145" t="s">
        <v>1021</v>
      </c>
      <c r="D115" s="145" t="s">
        <v>1022</v>
      </c>
      <c r="E115" s="145" t="s">
        <v>621</v>
      </c>
      <c r="F115" s="145"/>
      <c r="G115" s="145"/>
      <c r="H115" s="144">
        <v>1</v>
      </c>
      <c r="I115" s="144">
        <v>1</v>
      </c>
      <c r="J115" s="145"/>
      <c r="K115" s="144">
        <v>2</v>
      </c>
      <c r="L115" s="145"/>
      <c r="M115" s="145"/>
      <c r="N115" s="145" t="s">
        <v>1355</v>
      </c>
      <c r="O115" s="145"/>
      <c r="P115" s="145"/>
      <c r="Q115" s="145"/>
      <c r="R115" s="145"/>
      <c r="S115" s="145"/>
      <c r="T115" s="145"/>
    </row>
    <row r="116" spans="1:20" hidden="1">
      <c r="A116" s="70">
        <v>132</v>
      </c>
      <c r="B116" s="69" t="s">
        <v>1523</v>
      </c>
      <c r="C116" s="69" t="s">
        <v>1024</v>
      </c>
      <c r="D116" s="69" t="s">
        <v>1025</v>
      </c>
      <c r="E116" s="69" t="s">
        <v>639</v>
      </c>
      <c r="F116" s="69"/>
      <c r="G116" s="69"/>
      <c r="H116" s="69"/>
      <c r="I116" s="70">
        <v>1</v>
      </c>
      <c r="J116" s="69"/>
      <c r="K116" s="70">
        <v>1</v>
      </c>
      <c r="L116" s="69"/>
      <c r="M116" s="69"/>
      <c r="N116" s="69"/>
      <c r="O116" s="69"/>
      <c r="P116" s="69"/>
      <c r="Q116" s="69"/>
      <c r="R116" s="69"/>
      <c r="S116" s="69"/>
      <c r="T116" s="69"/>
    </row>
    <row r="117" spans="1:20" hidden="1">
      <c r="A117" s="144">
        <v>139</v>
      </c>
      <c r="B117" s="145" t="s">
        <v>1524</v>
      </c>
      <c r="C117" s="145" t="s">
        <v>1027</v>
      </c>
      <c r="D117" s="145" t="s">
        <v>1028</v>
      </c>
      <c r="E117" s="145" t="s">
        <v>621</v>
      </c>
      <c r="F117" s="145"/>
      <c r="G117" s="145"/>
      <c r="H117" s="145"/>
      <c r="I117" s="144">
        <v>1</v>
      </c>
      <c r="J117" s="144">
        <v>1</v>
      </c>
      <c r="K117" s="144">
        <v>2</v>
      </c>
      <c r="L117" s="145"/>
      <c r="M117" s="145"/>
      <c r="N117" s="145"/>
      <c r="O117" s="145"/>
      <c r="P117" s="145"/>
      <c r="Q117" s="145" t="s">
        <v>1359</v>
      </c>
      <c r="R117" s="145"/>
      <c r="S117" s="145" t="s">
        <v>1359</v>
      </c>
      <c r="T117" s="145"/>
    </row>
    <row r="118" spans="1:20" hidden="1">
      <c r="A118" s="70">
        <v>140</v>
      </c>
      <c r="B118" s="69" t="s">
        <v>1525</v>
      </c>
      <c r="C118" s="69" t="s">
        <v>1031</v>
      </c>
      <c r="D118" s="69" t="s">
        <v>1032</v>
      </c>
      <c r="E118" s="69" t="s">
        <v>621</v>
      </c>
      <c r="F118" s="69"/>
      <c r="G118" s="69"/>
      <c r="H118" s="70">
        <v>1</v>
      </c>
      <c r="I118" s="70">
        <v>1</v>
      </c>
      <c r="J118" s="69"/>
      <c r="K118" s="70">
        <v>2</v>
      </c>
      <c r="L118" s="69"/>
      <c r="M118" s="69"/>
      <c r="N118" s="69"/>
      <c r="O118" s="69" t="s">
        <v>1526</v>
      </c>
      <c r="P118" s="69"/>
      <c r="Q118" s="69"/>
      <c r="R118" s="69"/>
      <c r="S118" s="69"/>
      <c r="T118" s="69"/>
    </row>
    <row r="119" spans="1:20" hidden="1">
      <c r="A119" s="144">
        <v>141</v>
      </c>
      <c r="B119" s="145" t="s">
        <v>1527</v>
      </c>
      <c r="C119" s="145" t="s">
        <v>1035</v>
      </c>
      <c r="D119" s="145" t="s">
        <v>1036</v>
      </c>
      <c r="E119" s="145" t="s">
        <v>639</v>
      </c>
      <c r="F119" s="145"/>
      <c r="G119" s="145"/>
      <c r="H119" s="145"/>
      <c r="I119" s="144">
        <v>1</v>
      </c>
      <c r="J119" s="145"/>
      <c r="K119" s="144">
        <v>1</v>
      </c>
      <c r="L119" s="145"/>
      <c r="M119" s="145"/>
      <c r="N119" s="145"/>
      <c r="O119" s="145"/>
      <c r="P119" s="145"/>
      <c r="Q119" s="145"/>
      <c r="R119" s="145"/>
      <c r="S119" s="145"/>
      <c r="T119" s="145"/>
    </row>
    <row r="120" spans="1:20" hidden="1">
      <c r="A120" s="70">
        <v>142</v>
      </c>
      <c r="B120" s="69" t="s">
        <v>1528</v>
      </c>
      <c r="C120" s="69" t="s">
        <v>1038</v>
      </c>
      <c r="D120" s="69" t="s">
        <v>1039</v>
      </c>
      <c r="E120" s="69" t="s">
        <v>631</v>
      </c>
      <c r="F120" s="70">
        <v>1</v>
      </c>
      <c r="G120" s="69"/>
      <c r="H120" s="70">
        <v>1</v>
      </c>
      <c r="I120" s="69"/>
      <c r="J120" s="70">
        <v>1</v>
      </c>
      <c r="K120" s="70">
        <v>3</v>
      </c>
      <c r="L120" s="69"/>
      <c r="M120" s="69"/>
      <c r="N120" s="69"/>
      <c r="O120" s="69"/>
      <c r="P120" s="69"/>
      <c r="Q120" s="69"/>
      <c r="R120" s="69"/>
      <c r="S120" s="69"/>
      <c r="T120" s="69"/>
    </row>
    <row r="121" spans="1:20" hidden="1">
      <c r="A121" s="144">
        <v>143</v>
      </c>
      <c r="B121" s="145" t="s">
        <v>1529</v>
      </c>
      <c r="C121" s="145" t="s">
        <v>1530</v>
      </c>
      <c r="D121" s="145" t="s">
        <v>1531</v>
      </c>
      <c r="E121" s="145" t="s">
        <v>631</v>
      </c>
      <c r="F121" s="145"/>
      <c r="G121" s="144">
        <v>2</v>
      </c>
      <c r="H121" s="145"/>
      <c r="I121" s="144">
        <v>1</v>
      </c>
      <c r="J121" s="145"/>
      <c r="K121" s="144">
        <v>3</v>
      </c>
      <c r="L121" s="145"/>
      <c r="M121" s="145"/>
      <c r="N121" s="145"/>
      <c r="O121" s="145"/>
      <c r="P121" s="145"/>
      <c r="Q121" s="145"/>
      <c r="R121" s="145"/>
      <c r="S121" s="145"/>
      <c r="T121" s="145"/>
    </row>
    <row r="122" spans="1:20" hidden="1">
      <c r="A122" s="70">
        <v>144</v>
      </c>
      <c r="B122" s="69" t="s">
        <v>1532</v>
      </c>
      <c r="C122" s="69" t="s">
        <v>1041</v>
      </c>
      <c r="D122" s="69" t="s">
        <v>1042</v>
      </c>
      <c r="E122" s="69" t="s">
        <v>639</v>
      </c>
      <c r="F122" s="69"/>
      <c r="G122" s="69"/>
      <c r="H122" s="69"/>
      <c r="I122" s="70">
        <v>1</v>
      </c>
      <c r="J122" s="69"/>
      <c r="K122" s="70">
        <v>1</v>
      </c>
      <c r="L122" s="69"/>
      <c r="M122" s="69"/>
      <c r="N122" s="69"/>
      <c r="O122" s="69"/>
      <c r="P122" s="69"/>
      <c r="Q122" s="69"/>
      <c r="R122" s="69"/>
      <c r="S122" s="69"/>
      <c r="T122" s="69"/>
    </row>
    <row r="123" spans="1:20">
      <c r="A123" s="144">
        <v>147</v>
      </c>
      <c r="B123" s="145" t="s">
        <v>1533</v>
      </c>
      <c r="C123" s="145" t="s">
        <v>192</v>
      </c>
      <c r="D123" s="145" t="s">
        <v>1534</v>
      </c>
      <c r="E123" s="145" t="s">
        <v>1358</v>
      </c>
      <c r="F123" s="144">
        <v>1</v>
      </c>
      <c r="G123" s="145"/>
      <c r="H123" s="144">
        <v>1</v>
      </c>
      <c r="I123" s="144">
        <v>1</v>
      </c>
      <c r="J123" s="144">
        <v>1</v>
      </c>
      <c r="K123" s="144">
        <v>4</v>
      </c>
      <c r="L123" s="145"/>
      <c r="M123" s="145"/>
      <c r="N123" s="145"/>
      <c r="O123" s="145"/>
      <c r="P123" s="145"/>
      <c r="Q123" s="145" t="s">
        <v>1359</v>
      </c>
      <c r="R123" s="145"/>
      <c r="S123" s="145" t="s">
        <v>1359</v>
      </c>
      <c r="T123" s="145"/>
    </row>
    <row r="124" spans="1:20" hidden="1">
      <c r="A124" s="70">
        <v>148</v>
      </c>
      <c r="B124" s="69" t="s">
        <v>1535</v>
      </c>
      <c r="C124" s="69" t="s">
        <v>1044</v>
      </c>
      <c r="D124" s="69" t="s">
        <v>1045</v>
      </c>
      <c r="E124" s="69" t="s">
        <v>621</v>
      </c>
      <c r="F124" s="69"/>
      <c r="G124" s="69"/>
      <c r="H124" s="70">
        <v>1</v>
      </c>
      <c r="I124" s="70">
        <v>1</v>
      </c>
      <c r="J124" s="69"/>
      <c r="K124" s="70">
        <v>2</v>
      </c>
      <c r="L124" s="69"/>
      <c r="M124" s="69"/>
      <c r="N124" s="69"/>
      <c r="O124" s="69"/>
      <c r="P124" s="69"/>
      <c r="Q124" s="69"/>
      <c r="R124" s="69"/>
      <c r="S124" s="69"/>
      <c r="T124" s="69"/>
    </row>
    <row r="125" spans="1:20">
      <c r="A125" s="144">
        <v>149</v>
      </c>
      <c r="B125" s="145" t="s">
        <v>1536</v>
      </c>
      <c r="C125" s="145" t="s">
        <v>1537</v>
      </c>
      <c r="D125" s="145" t="s">
        <v>1538</v>
      </c>
      <c r="E125" s="145" t="s">
        <v>1358</v>
      </c>
      <c r="F125" s="144">
        <v>1</v>
      </c>
      <c r="G125" s="144">
        <v>2</v>
      </c>
      <c r="H125" s="144">
        <v>1</v>
      </c>
      <c r="I125" s="144">
        <v>1</v>
      </c>
      <c r="J125" s="144">
        <v>1</v>
      </c>
      <c r="K125" s="144">
        <v>6</v>
      </c>
      <c r="L125" s="145"/>
      <c r="M125" s="145"/>
      <c r="N125" s="145" t="s">
        <v>1355</v>
      </c>
      <c r="O125" s="145"/>
      <c r="P125" s="145"/>
      <c r="Q125" s="145"/>
      <c r="R125" s="145"/>
      <c r="S125" s="145"/>
      <c r="T125" s="145"/>
    </row>
    <row r="126" spans="1:20" hidden="1">
      <c r="A126" s="70">
        <v>151</v>
      </c>
      <c r="B126" s="69" t="s">
        <v>1539</v>
      </c>
      <c r="C126" s="69" t="s">
        <v>1048</v>
      </c>
      <c r="D126" s="69" t="s">
        <v>1049</v>
      </c>
      <c r="E126" s="69" t="s">
        <v>631</v>
      </c>
      <c r="F126" s="69"/>
      <c r="G126" s="70">
        <v>2</v>
      </c>
      <c r="H126" s="69"/>
      <c r="I126" s="70">
        <v>1</v>
      </c>
      <c r="J126" s="69"/>
      <c r="K126" s="70">
        <v>3</v>
      </c>
      <c r="L126" s="69"/>
      <c r="M126" s="69"/>
      <c r="N126" s="69"/>
      <c r="O126" s="69"/>
      <c r="P126" s="69"/>
      <c r="Q126" s="69"/>
      <c r="R126" s="69"/>
      <c r="S126" s="69"/>
      <c r="T126" s="69"/>
    </row>
    <row r="127" spans="1:20" hidden="1">
      <c r="A127" s="144">
        <v>152</v>
      </c>
      <c r="B127" s="145" t="s">
        <v>1540</v>
      </c>
      <c r="C127" s="145" t="s">
        <v>1051</v>
      </c>
      <c r="D127" s="145" t="s">
        <v>1052</v>
      </c>
      <c r="E127" s="145" t="s">
        <v>621</v>
      </c>
      <c r="F127" s="145"/>
      <c r="G127" s="145"/>
      <c r="H127" s="144">
        <v>1</v>
      </c>
      <c r="I127" s="145"/>
      <c r="J127" s="144">
        <v>1</v>
      </c>
      <c r="K127" s="144">
        <v>2</v>
      </c>
      <c r="L127" s="145"/>
      <c r="M127" s="145"/>
      <c r="N127" s="145"/>
      <c r="O127" s="145"/>
      <c r="P127" s="145"/>
      <c r="Q127" s="145"/>
      <c r="R127" s="145"/>
      <c r="S127" s="145"/>
      <c r="T127" s="145"/>
    </row>
    <row r="128" spans="1:20" hidden="1">
      <c r="A128" s="70">
        <v>153</v>
      </c>
      <c r="B128" s="69" t="s">
        <v>1541</v>
      </c>
      <c r="C128" s="69" t="s">
        <v>1054</v>
      </c>
      <c r="D128" s="69" t="s">
        <v>1055</v>
      </c>
      <c r="E128" s="69" t="s">
        <v>631</v>
      </c>
      <c r="F128" s="69"/>
      <c r="G128" s="70">
        <v>2</v>
      </c>
      <c r="H128" s="69"/>
      <c r="I128" s="70">
        <v>1</v>
      </c>
      <c r="J128" s="69"/>
      <c r="K128" s="70">
        <v>3</v>
      </c>
      <c r="L128" s="69"/>
      <c r="M128" s="69"/>
      <c r="N128" s="69"/>
      <c r="O128" s="69"/>
      <c r="P128" s="69"/>
      <c r="Q128" s="69"/>
      <c r="R128" s="69"/>
      <c r="S128" s="69"/>
      <c r="T128" s="69"/>
    </row>
    <row r="129" spans="1:20" hidden="1">
      <c r="A129" s="144">
        <v>154</v>
      </c>
      <c r="B129" s="145" t="s">
        <v>1542</v>
      </c>
      <c r="C129" s="145" t="s">
        <v>1057</v>
      </c>
      <c r="D129" s="145" t="s">
        <v>1058</v>
      </c>
      <c r="E129" s="145" t="s">
        <v>621</v>
      </c>
      <c r="F129" s="145"/>
      <c r="G129" s="145"/>
      <c r="H129" s="144">
        <v>1</v>
      </c>
      <c r="I129" s="145"/>
      <c r="J129" s="144">
        <v>1</v>
      </c>
      <c r="K129" s="144">
        <v>2</v>
      </c>
      <c r="L129" s="145"/>
      <c r="M129" s="145"/>
      <c r="N129" s="145"/>
      <c r="O129" s="145"/>
      <c r="P129" s="145"/>
      <c r="Q129" s="145"/>
      <c r="R129" s="145"/>
      <c r="S129" s="145"/>
      <c r="T129" s="145"/>
    </row>
    <row r="130" spans="1:20" hidden="1">
      <c r="A130" s="70">
        <v>155</v>
      </c>
      <c r="B130" s="69" t="s">
        <v>1543</v>
      </c>
      <c r="C130" s="69" t="s">
        <v>1061</v>
      </c>
      <c r="D130" s="69" t="s">
        <v>1062</v>
      </c>
      <c r="E130" s="69" t="s">
        <v>639</v>
      </c>
      <c r="F130" s="69"/>
      <c r="G130" s="69"/>
      <c r="H130" s="69"/>
      <c r="I130" s="69"/>
      <c r="J130" s="70">
        <v>1</v>
      </c>
      <c r="K130" s="70">
        <v>1</v>
      </c>
      <c r="L130" s="69"/>
      <c r="M130" s="69"/>
      <c r="N130" s="69"/>
      <c r="O130" s="69"/>
      <c r="P130" s="69"/>
      <c r="Q130" s="69"/>
      <c r="R130" s="69"/>
      <c r="S130" s="69"/>
      <c r="T130" s="69"/>
    </row>
    <row r="131" spans="1:20" hidden="1">
      <c r="A131" s="144">
        <v>156</v>
      </c>
      <c r="B131" s="145" t="s">
        <v>1544</v>
      </c>
      <c r="C131" s="145" t="s">
        <v>1064</v>
      </c>
      <c r="D131" s="145" t="s">
        <v>1065</v>
      </c>
      <c r="E131" s="145" t="s">
        <v>631</v>
      </c>
      <c r="F131" s="145"/>
      <c r="G131" s="144">
        <v>2</v>
      </c>
      <c r="H131" s="145"/>
      <c r="I131" s="144">
        <v>1</v>
      </c>
      <c r="J131" s="145"/>
      <c r="K131" s="144">
        <v>3</v>
      </c>
      <c r="L131" s="145"/>
      <c r="M131" s="145"/>
      <c r="N131" s="145"/>
      <c r="O131" s="145"/>
      <c r="P131" s="145"/>
      <c r="Q131" s="145"/>
      <c r="R131" s="145"/>
      <c r="S131" s="145"/>
      <c r="T131" s="145"/>
    </row>
    <row r="132" spans="1:20" hidden="1">
      <c r="A132" s="70">
        <v>157</v>
      </c>
      <c r="B132" s="69" t="s">
        <v>1545</v>
      </c>
      <c r="C132" s="69" t="s">
        <v>1067</v>
      </c>
      <c r="D132" s="69" t="s">
        <v>1068</v>
      </c>
      <c r="E132" s="69" t="s">
        <v>631</v>
      </c>
      <c r="F132" s="69"/>
      <c r="G132" s="70">
        <v>2</v>
      </c>
      <c r="H132" s="69"/>
      <c r="I132" s="70">
        <v>1</v>
      </c>
      <c r="J132" s="69"/>
      <c r="K132" s="70">
        <v>3</v>
      </c>
      <c r="L132" s="69"/>
      <c r="M132" s="69"/>
      <c r="N132" s="69"/>
      <c r="O132" s="69"/>
      <c r="P132" s="69"/>
      <c r="Q132" s="69"/>
      <c r="R132" s="69"/>
      <c r="S132" s="69"/>
      <c r="T132" s="69"/>
    </row>
    <row r="133" spans="1:20">
      <c r="A133" s="144">
        <v>158</v>
      </c>
      <c r="B133" s="145" t="s">
        <v>1546</v>
      </c>
      <c r="C133" s="145" t="s">
        <v>1547</v>
      </c>
      <c r="D133" s="145" t="s">
        <v>1548</v>
      </c>
      <c r="E133" s="145" t="s">
        <v>1358</v>
      </c>
      <c r="F133" s="144">
        <v>1</v>
      </c>
      <c r="G133" s="145"/>
      <c r="H133" s="144">
        <v>1</v>
      </c>
      <c r="I133" s="144">
        <v>1</v>
      </c>
      <c r="J133" s="144">
        <v>1</v>
      </c>
      <c r="K133" s="144">
        <v>4</v>
      </c>
      <c r="L133" s="145"/>
      <c r="M133" s="145"/>
      <c r="N133" s="145"/>
      <c r="O133" s="145"/>
      <c r="P133" s="145"/>
      <c r="Q133" s="145" t="s">
        <v>1359</v>
      </c>
      <c r="R133" s="145"/>
      <c r="S133" s="145" t="s">
        <v>1359</v>
      </c>
      <c r="T133" s="145"/>
    </row>
    <row r="134" spans="1:20" hidden="1">
      <c r="A134" s="70">
        <v>159</v>
      </c>
      <c r="B134" s="69" t="s">
        <v>1549</v>
      </c>
      <c r="C134" s="69" t="s">
        <v>1070</v>
      </c>
      <c r="D134" s="69" t="s">
        <v>1550</v>
      </c>
      <c r="E134" s="69" t="s">
        <v>639</v>
      </c>
      <c r="F134" s="69"/>
      <c r="G134" s="69"/>
      <c r="H134" s="69"/>
      <c r="I134" s="70">
        <v>1</v>
      </c>
      <c r="J134" s="69"/>
      <c r="K134" s="70">
        <v>1</v>
      </c>
      <c r="L134" s="69"/>
      <c r="M134" s="69"/>
      <c r="N134" s="69"/>
      <c r="O134" s="69"/>
      <c r="P134" s="69"/>
      <c r="Q134" s="69"/>
      <c r="R134" s="69"/>
      <c r="S134" s="69"/>
      <c r="T134" s="69"/>
    </row>
    <row r="135" spans="1:20">
      <c r="A135" s="144">
        <v>160</v>
      </c>
      <c r="B135" s="145" t="s">
        <v>1551</v>
      </c>
      <c r="C135" s="145" t="s">
        <v>177</v>
      </c>
      <c r="D135" s="145" t="s">
        <v>136</v>
      </c>
      <c r="E135" s="145" t="s">
        <v>1358</v>
      </c>
      <c r="F135" s="144">
        <v>1</v>
      </c>
      <c r="G135" s="145"/>
      <c r="H135" s="144">
        <v>1</v>
      </c>
      <c r="I135" s="144">
        <v>1</v>
      </c>
      <c r="J135" s="144">
        <v>1</v>
      </c>
      <c r="K135" s="144">
        <v>4</v>
      </c>
      <c r="L135" s="145"/>
      <c r="M135" s="145"/>
      <c r="N135" s="145"/>
      <c r="O135" s="145"/>
      <c r="P135" s="145"/>
      <c r="Q135" s="145" t="s">
        <v>1359</v>
      </c>
      <c r="R135" s="145"/>
      <c r="S135" s="145" t="s">
        <v>1359</v>
      </c>
      <c r="T135" s="145"/>
    </row>
    <row r="136" spans="1:20" hidden="1">
      <c r="A136" s="70">
        <v>161</v>
      </c>
      <c r="B136" s="69" t="s">
        <v>1552</v>
      </c>
      <c r="C136" s="69" t="s">
        <v>1073</v>
      </c>
      <c r="D136" s="69" t="s">
        <v>1074</v>
      </c>
      <c r="E136" s="69" t="s">
        <v>621</v>
      </c>
      <c r="F136" s="69"/>
      <c r="G136" s="69"/>
      <c r="H136" s="69"/>
      <c r="I136" s="70">
        <v>1</v>
      </c>
      <c r="J136" s="70">
        <v>1</v>
      </c>
      <c r="K136" s="70">
        <v>2</v>
      </c>
      <c r="L136" s="69"/>
      <c r="M136" s="69"/>
      <c r="N136" s="69"/>
      <c r="O136" s="69"/>
      <c r="P136" s="69"/>
      <c r="Q136" s="69"/>
      <c r="R136" s="69"/>
      <c r="S136" s="69"/>
      <c r="T136" s="69"/>
    </row>
    <row r="137" spans="1:20" hidden="1">
      <c r="A137" s="144">
        <v>163</v>
      </c>
      <c r="B137" s="145" t="s">
        <v>1553</v>
      </c>
      <c r="C137" s="145" t="s">
        <v>1080</v>
      </c>
      <c r="D137" s="145" t="s">
        <v>1081</v>
      </c>
      <c r="E137" s="145" t="s">
        <v>639</v>
      </c>
      <c r="F137" s="145"/>
      <c r="G137" s="145"/>
      <c r="H137" s="145"/>
      <c r="I137" s="144">
        <v>1</v>
      </c>
      <c r="J137" s="145"/>
      <c r="K137" s="144">
        <v>1</v>
      </c>
      <c r="L137" s="145"/>
      <c r="M137" s="145"/>
      <c r="N137" s="145"/>
      <c r="O137" s="145"/>
      <c r="P137" s="145"/>
      <c r="Q137" s="145"/>
      <c r="R137" s="145"/>
      <c r="S137" s="145"/>
      <c r="T137" s="145"/>
    </row>
    <row r="138" spans="1:20" hidden="1">
      <c r="A138" s="70">
        <v>164</v>
      </c>
      <c r="B138" s="69" t="s">
        <v>1554</v>
      </c>
      <c r="C138" s="69" t="s">
        <v>1083</v>
      </c>
      <c r="D138" s="69" t="s">
        <v>1084</v>
      </c>
      <c r="E138" s="69" t="s">
        <v>639</v>
      </c>
      <c r="F138" s="69"/>
      <c r="G138" s="69"/>
      <c r="H138" s="69"/>
      <c r="I138" s="70">
        <v>1</v>
      </c>
      <c r="J138" s="69"/>
      <c r="K138" s="70">
        <v>1</v>
      </c>
      <c r="L138" s="69"/>
      <c r="M138" s="69"/>
      <c r="N138" s="69"/>
      <c r="O138" s="69"/>
      <c r="P138" s="69"/>
      <c r="Q138" s="69"/>
      <c r="R138" s="69"/>
      <c r="S138" s="69"/>
      <c r="T138" s="69"/>
    </row>
    <row r="139" spans="1:20" hidden="1">
      <c r="A139" s="144">
        <v>165</v>
      </c>
      <c r="B139" s="145" t="s">
        <v>1555</v>
      </c>
      <c r="C139" s="145" t="s">
        <v>1086</v>
      </c>
      <c r="D139" s="145" t="s">
        <v>1087</v>
      </c>
      <c r="E139" s="145" t="s">
        <v>639</v>
      </c>
      <c r="F139" s="145"/>
      <c r="G139" s="145"/>
      <c r="H139" s="145"/>
      <c r="I139" s="145"/>
      <c r="J139" s="144">
        <v>1</v>
      </c>
      <c r="K139" s="144">
        <v>1</v>
      </c>
      <c r="L139" s="145"/>
      <c r="M139" s="145"/>
      <c r="N139" s="145"/>
      <c r="O139" s="145"/>
      <c r="P139" s="145"/>
      <c r="Q139" s="145"/>
      <c r="R139" s="145"/>
      <c r="S139" s="145"/>
      <c r="T139" s="145"/>
    </row>
    <row r="140" spans="1:20" hidden="1">
      <c r="A140" s="70">
        <v>166</v>
      </c>
      <c r="B140" s="69" t="s">
        <v>1556</v>
      </c>
      <c r="C140" s="69" t="s">
        <v>220</v>
      </c>
      <c r="D140" s="69" t="s">
        <v>1089</v>
      </c>
      <c r="E140" s="69" t="s">
        <v>621</v>
      </c>
      <c r="F140" s="69"/>
      <c r="G140" s="69"/>
      <c r="H140" s="69"/>
      <c r="I140" s="70">
        <v>1</v>
      </c>
      <c r="J140" s="70">
        <v>1</v>
      </c>
      <c r="K140" s="70">
        <v>2</v>
      </c>
      <c r="L140" s="69"/>
      <c r="M140" s="69"/>
      <c r="N140" s="69"/>
      <c r="O140" s="69"/>
      <c r="P140" s="69"/>
      <c r="Q140" s="69"/>
      <c r="R140" s="69"/>
      <c r="S140" s="69"/>
      <c r="T140" s="69"/>
    </row>
    <row r="141" spans="1:20" hidden="1">
      <c r="A141" s="144">
        <v>167</v>
      </c>
      <c r="B141" s="145" t="s">
        <v>1557</v>
      </c>
      <c r="C141" s="145" t="s">
        <v>249</v>
      </c>
      <c r="D141" s="145" t="s">
        <v>1091</v>
      </c>
      <c r="E141" s="145" t="s">
        <v>621</v>
      </c>
      <c r="F141" s="145"/>
      <c r="G141" s="145"/>
      <c r="H141" s="144">
        <v>1</v>
      </c>
      <c r="I141" s="144">
        <v>1</v>
      </c>
      <c r="J141" s="145"/>
      <c r="K141" s="144">
        <v>2</v>
      </c>
      <c r="L141" s="145"/>
      <c r="M141" s="145"/>
      <c r="N141" s="145"/>
      <c r="O141" s="145"/>
      <c r="P141" s="145"/>
      <c r="Q141" s="145"/>
      <c r="R141" s="145"/>
      <c r="S141" s="145"/>
      <c r="T141" s="145"/>
    </row>
    <row r="142" spans="1:20" hidden="1">
      <c r="A142" s="70">
        <v>168</v>
      </c>
      <c r="B142" s="69" t="s">
        <v>1558</v>
      </c>
      <c r="C142" s="69" t="s">
        <v>89</v>
      </c>
      <c r="D142" s="69" t="s">
        <v>1559</v>
      </c>
      <c r="E142" s="69" t="s">
        <v>631</v>
      </c>
      <c r="F142" s="70">
        <v>1</v>
      </c>
      <c r="G142" s="69"/>
      <c r="H142" s="70">
        <v>1</v>
      </c>
      <c r="I142" s="69"/>
      <c r="J142" s="70">
        <v>1</v>
      </c>
      <c r="K142" s="70">
        <v>3</v>
      </c>
      <c r="L142" s="69"/>
      <c r="M142" s="69"/>
      <c r="N142" s="69" t="s">
        <v>1362</v>
      </c>
      <c r="O142" s="69"/>
      <c r="P142" s="69"/>
      <c r="Q142" s="69"/>
      <c r="R142" s="69"/>
      <c r="S142" s="69"/>
      <c r="T142" s="69"/>
    </row>
    <row r="143" spans="1:20">
      <c r="A143" s="144">
        <v>170</v>
      </c>
      <c r="B143" s="145" t="s">
        <v>1560</v>
      </c>
      <c r="C143" s="145" t="s">
        <v>1561</v>
      </c>
      <c r="D143" s="145" t="s">
        <v>1562</v>
      </c>
      <c r="E143" s="145" t="s">
        <v>1358</v>
      </c>
      <c r="F143" s="144">
        <v>1</v>
      </c>
      <c r="G143" s="145"/>
      <c r="H143" s="144">
        <v>1</v>
      </c>
      <c r="I143" s="144">
        <v>1</v>
      </c>
      <c r="J143" s="144">
        <v>1</v>
      </c>
      <c r="K143" s="144">
        <v>4</v>
      </c>
      <c r="L143" s="145"/>
      <c r="M143" s="145"/>
      <c r="N143" s="145"/>
      <c r="O143" s="145"/>
      <c r="P143" s="145"/>
      <c r="Q143" s="145" t="s">
        <v>1359</v>
      </c>
      <c r="R143" s="145"/>
      <c r="S143" s="145" t="s">
        <v>1359</v>
      </c>
      <c r="T143" s="145"/>
    </row>
    <row r="144" spans="1:20" hidden="1">
      <c r="A144" s="70">
        <v>171</v>
      </c>
      <c r="B144" s="69" t="s">
        <v>1563</v>
      </c>
      <c r="C144" s="69" t="s">
        <v>1096</v>
      </c>
      <c r="D144" s="69" t="s">
        <v>1097</v>
      </c>
      <c r="E144" s="69" t="s">
        <v>631</v>
      </c>
      <c r="F144" s="69"/>
      <c r="G144" s="70">
        <v>2</v>
      </c>
      <c r="H144" s="69"/>
      <c r="I144" s="70">
        <v>1</v>
      </c>
      <c r="J144" s="69"/>
      <c r="K144" s="70">
        <v>3</v>
      </c>
      <c r="L144" s="69"/>
      <c r="M144" s="69"/>
      <c r="N144" s="69"/>
      <c r="O144" s="69"/>
      <c r="P144" s="69"/>
      <c r="Q144" s="69"/>
      <c r="R144" s="69"/>
      <c r="S144" s="69"/>
      <c r="T144" s="69"/>
    </row>
    <row r="145" spans="1:20" hidden="1">
      <c r="A145" s="144">
        <v>172</v>
      </c>
      <c r="B145" s="145" t="s">
        <v>1564</v>
      </c>
      <c r="C145" s="145" t="s">
        <v>1100</v>
      </c>
      <c r="D145" s="145" t="s">
        <v>1101</v>
      </c>
      <c r="E145" s="145" t="s">
        <v>621</v>
      </c>
      <c r="F145" s="145"/>
      <c r="G145" s="145"/>
      <c r="H145" s="144">
        <v>1</v>
      </c>
      <c r="I145" s="144">
        <v>1</v>
      </c>
      <c r="J145" s="145"/>
      <c r="K145" s="144">
        <v>2</v>
      </c>
      <c r="L145" s="145"/>
      <c r="M145" s="145"/>
      <c r="N145" s="145"/>
      <c r="O145" s="145"/>
      <c r="P145" s="145"/>
      <c r="Q145" s="145"/>
      <c r="R145" s="145"/>
      <c r="S145" s="145"/>
      <c r="T145" s="145"/>
    </row>
    <row r="146" spans="1:20" hidden="1">
      <c r="A146" s="70">
        <v>173</v>
      </c>
      <c r="B146" s="69" t="s">
        <v>1565</v>
      </c>
      <c r="C146" s="69" t="s">
        <v>349</v>
      </c>
      <c r="D146" s="69" t="s">
        <v>1566</v>
      </c>
      <c r="E146" s="69" t="s">
        <v>621</v>
      </c>
      <c r="F146" s="69"/>
      <c r="G146" s="69"/>
      <c r="H146" s="69"/>
      <c r="I146" s="70">
        <v>1</v>
      </c>
      <c r="J146" s="70">
        <v>1</v>
      </c>
      <c r="K146" s="70">
        <v>2</v>
      </c>
      <c r="L146" s="69"/>
      <c r="M146" s="69"/>
      <c r="N146" s="69"/>
      <c r="O146" s="69"/>
      <c r="P146" s="69"/>
      <c r="Q146" s="69"/>
      <c r="R146" s="69"/>
      <c r="S146" s="69"/>
      <c r="T146" s="69"/>
    </row>
    <row r="147" spans="1:20" hidden="1">
      <c r="A147" s="144">
        <v>174</v>
      </c>
      <c r="B147" s="145" t="s">
        <v>1567</v>
      </c>
      <c r="C147" s="145" t="s">
        <v>1105</v>
      </c>
      <c r="D147" s="145" t="s">
        <v>1106</v>
      </c>
      <c r="E147" s="145" t="s">
        <v>621</v>
      </c>
      <c r="F147" s="145"/>
      <c r="G147" s="145"/>
      <c r="H147" s="144">
        <v>1</v>
      </c>
      <c r="I147" s="144">
        <v>1</v>
      </c>
      <c r="J147" s="145"/>
      <c r="K147" s="144">
        <v>2</v>
      </c>
      <c r="L147" s="145"/>
      <c r="M147" s="145"/>
      <c r="N147" s="145"/>
      <c r="O147" s="145"/>
      <c r="P147" s="145"/>
      <c r="Q147" s="145"/>
      <c r="R147" s="145"/>
      <c r="S147" s="145"/>
      <c r="T147" s="145"/>
    </row>
    <row r="148" spans="1:20" hidden="1">
      <c r="A148" s="70">
        <v>175</v>
      </c>
      <c r="B148" s="69" t="s">
        <v>1568</v>
      </c>
      <c r="C148" s="69" t="s">
        <v>1109</v>
      </c>
      <c r="D148" s="69" t="s">
        <v>1110</v>
      </c>
      <c r="E148" s="69" t="s">
        <v>639</v>
      </c>
      <c r="F148" s="69"/>
      <c r="G148" s="69"/>
      <c r="H148" s="69"/>
      <c r="I148" s="70">
        <v>1</v>
      </c>
      <c r="J148" s="69"/>
      <c r="K148" s="70">
        <v>1</v>
      </c>
      <c r="L148" s="69"/>
      <c r="M148" s="69"/>
      <c r="N148" s="69"/>
      <c r="O148" s="69"/>
      <c r="P148" s="69"/>
      <c r="Q148" s="69"/>
      <c r="R148" s="69"/>
      <c r="S148" s="69"/>
      <c r="T148" s="69"/>
    </row>
    <row r="149" spans="1:20" hidden="1">
      <c r="A149" s="144">
        <v>176</v>
      </c>
      <c r="B149" s="145" t="s">
        <v>1569</v>
      </c>
      <c r="C149" s="145" t="s">
        <v>1113</v>
      </c>
      <c r="D149" s="145" t="s">
        <v>1114</v>
      </c>
      <c r="E149" s="145" t="s">
        <v>631</v>
      </c>
      <c r="F149" s="145"/>
      <c r="G149" s="144">
        <v>2</v>
      </c>
      <c r="H149" s="145"/>
      <c r="I149" s="144">
        <v>1</v>
      </c>
      <c r="J149" s="145"/>
      <c r="K149" s="144">
        <v>3</v>
      </c>
      <c r="L149" s="145"/>
      <c r="M149" s="145"/>
      <c r="N149" s="145"/>
      <c r="O149" s="145"/>
      <c r="P149" s="145"/>
      <c r="Q149" s="145" t="s">
        <v>1359</v>
      </c>
      <c r="R149" s="145"/>
      <c r="S149" s="145" t="s">
        <v>1359</v>
      </c>
      <c r="T149" s="145"/>
    </row>
    <row r="150" spans="1:20" hidden="1">
      <c r="A150" s="70">
        <v>177</v>
      </c>
      <c r="B150" s="69" t="s">
        <v>1570</v>
      </c>
      <c r="C150" s="69" t="s">
        <v>1117</v>
      </c>
      <c r="D150" s="69" t="s">
        <v>1118</v>
      </c>
      <c r="E150" s="69" t="s">
        <v>639</v>
      </c>
      <c r="F150" s="69"/>
      <c r="G150" s="69"/>
      <c r="H150" s="69"/>
      <c r="I150" s="70">
        <v>1</v>
      </c>
      <c r="J150" s="69"/>
      <c r="K150" s="70">
        <v>1</v>
      </c>
      <c r="L150" s="69"/>
      <c r="M150" s="69"/>
      <c r="N150" s="69"/>
      <c r="O150" s="69"/>
      <c r="P150" s="69"/>
      <c r="Q150" s="69"/>
      <c r="R150" s="69"/>
      <c r="S150" s="69"/>
      <c r="T150" s="69"/>
    </row>
    <row r="151" spans="1:20" hidden="1">
      <c r="A151" s="144">
        <v>178</v>
      </c>
      <c r="B151" s="145" t="s">
        <v>1571</v>
      </c>
      <c r="C151" s="145" t="s">
        <v>1120</v>
      </c>
      <c r="D151" s="145" t="s">
        <v>1121</v>
      </c>
      <c r="E151" s="145" t="s">
        <v>639</v>
      </c>
      <c r="F151" s="145"/>
      <c r="G151" s="145"/>
      <c r="H151" s="145"/>
      <c r="I151" s="144">
        <v>1</v>
      </c>
      <c r="J151" s="145"/>
      <c r="K151" s="144">
        <v>1</v>
      </c>
      <c r="L151" s="145"/>
      <c r="M151" s="145"/>
      <c r="N151" s="145"/>
      <c r="O151" s="145"/>
      <c r="P151" s="145"/>
      <c r="Q151" s="145"/>
      <c r="R151" s="145"/>
      <c r="S151" s="145"/>
      <c r="T151" s="145"/>
    </row>
    <row r="152" spans="1:20">
      <c r="A152" s="70">
        <v>179</v>
      </c>
      <c r="B152" s="69" t="s">
        <v>1572</v>
      </c>
      <c r="C152" s="69" t="s">
        <v>1573</v>
      </c>
      <c r="D152" s="69" t="s">
        <v>1574</v>
      </c>
      <c r="E152" s="69" t="s">
        <v>1358</v>
      </c>
      <c r="F152" s="70">
        <v>1</v>
      </c>
      <c r="G152" s="69"/>
      <c r="H152" s="70">
        <v>1</v>
      </c>
      <c r="I152" s="70">
        <v>1</v>
      </c>
      <c r="J152" s="70">
        <v>1</v>
      </c>
      <c r="K152" s="70">
        <v>4</v>
      </c>
      <c r="L152" s="69"/>
      <c r="M152" s="69"/>
      <c r="N152" s="69"/>
      <c r="O152" s="69"/>
      <c r="P152" s="69"/>
      <c r="Q152" s="69" t="s">
        <v>1359</v>
      </c>
      <c r="R152" s="69"/>
      <c r="S152" s="69" t="s">
        <v>1359</v>
      </c>
      <c r="T152" s="69"/>
    </row>
    <row r="153" spans="1:20" hidden="1">
      <c r="A153" s="144">
        <v>180</v>
      </c>
      <c r="B153" s="145" t="s">
        <v>1575</v>
      </c>
      <c r="C153" s="145" t="s">
        <v>1576</v>
      </c>
      <c r="D153" s="145" t="s">
        <v>1577</v>
      </c>
      <c r="E153" s="145" t="s">
        <v>621</v>
      </c>
      <c r="F153" s="145"/>
      <c r="G153" s="145"/>
      <c r="H153" s="144">
        <v>1</v>
      </c>
      <c r="I153" s="145"/>
      <c r="J153" s="144">
        <v>1</v>
      </c>
      <c r="K153" s="144">
        <v>2</v>
      </c>
      <c r="L153" s="145"/>
      <c r="M153" s="145"/>
      <c r="N153" s="145"/>
      <c r="O153" s="145"/>
      <c r="P153" s="145"/>
      <c r="Q153" s="145"/>
      <c r="R153" s="145"/>
      <c r="S153" s="145"/>
      <c r="T153" s="145"/>
    </row>
    <row r="154" spans="1:20" hidden="1">
      <c r="A154" s="70">
        <v>181</v>
      </c>
      <c r="B154" s="69" t="s">
        <v>1578</v>
      </c>
      <c r="C154" s="69" t="s">
        <v>1124</v>
      </c>
      <c r="D154" s="69" t="s">
        <v>1125</v>
      </c>
      <c r="E154" s="69" t="s">
        <v>639</v>
      </c>
      <c r="F154" s="69"/>
      <c r="G154" s="69"/>
      <c r="H154" s="69"/>
      <c r="I154" s="70">
        <v>1</v>
      </c>
      <c r="J154" s="69"/>
      <c r="K154" s="70">
        <v>1</v>
      </c>
      <c r="L154" s="69"/>
      <c r="M154" s="69"/>
      <c r="N154" s="69"/>
      <c r="O154" s="69"/>
      <c r="P154" s="69"/>
      <c r="Q154" s="69"/>
      <c r="R154" s="69"/>
      <c r="S154" s="69"/>
      <c r="T154" s="69"/>
    </row>
    <row r="155" spans="1:20" hidden="1">
      <c r="A155" s="144">
        <v>182</v>
      </c>
      <c r="B155" s="145" t="s">
        <v>1579</v>
      </c>
      <c r="C155" s="145" t="s">
        <v>1127</v>
      </c>
      <c r="D155" s="145" t="s">
        <v>1128</v>
      </c>
      <c r="E155" s="145" t="s">
        <v>639</v>
      </c>
      <c r="F155" s="145"/>
      <c r="G155" s="145"/>
      <c r="H155" s="145"/>
      <c r="I155" s="144">
        <v>1</v>
      </c>
      <c r="J155" s="145"/>
      <c r="K155" s="144">
        <v>1</v>
      </c>
      <c r="L155" s="145"/>
      <c r="M155" s="145"/>
      <c r="N155" s="145"/>
      <c r="O155" s="145"/>
      <c r="P155" s="145"/>
      <c r="Q155" s="145"/>
      <c r="R155" s="145"/>
      <c r="S155" s="145"/>
      <c r="T155" s="145"/>
    </row>
    <row r="156" spans="1:20" hidden="1">
      <c r="A156" s="70">
        <v>183</v>
      </c>
      <c r="B156" s="69" t="s">
        <v>1580</v>
      </c>
      <c r="C156" s="69" t="s">
        <v>1130</v>
      </c>
      <c r="D156" s="69" t="s">
        <v>1131</v>
      </c>
      <c r="E156" s="69" t="s">
        <v>621</v>
      </c>
      <c r="F156" s="69"/>
      <c r="G156" s="69"/>
      <c r="H156" s="70">
        <v>1</v>
      </c>
      <c r="I156" s="70">
        <v>1</v>
      </c>
      <c r="J156" s="69"/>
      <c r="K156" s="70">
        <v>2</v>
      </c>
      <c r="L156" s="69"/>
      <c r="M156" s="69"/>
      <c r="N156" s="69"/>
      <c r="O156" s="69"/>
      <c r="P156" s="69"/>
      <c r="Q156" s="69"/>
      <c r="R156" s="69"/>
      <c r="S156" s="69"/>
      <c r="T156" s="69"/>
    </row>
    <row r="157" spans="1:20" hidden="1">
      <c r="A157" s="144">
        <v>184</v>
      </c>
      <c r="B157" s="145" t="s">
        <v>1581</v>
      </c>
      <c r="C157" s="145" t="s">
        <v>1133</v>
      </c>
      <c r="D157" s="145" t="s">
        <v>1134</v>
      </c>
      <c r="E157" s="145" t="s">
        <v>639</v>
      </c>
      <c r="F157" s="145"/>
      <c r="G157" s="145"/>
      <c r="H157" s="145"/>
      <c r="I157" s="144">
        <v>1</v>
      </c>
      <c r="J157" s="145"/>
      <c r="K157" s="144">
        <v>1</v>
      </c>
      <c r="L157" s="145"/>
      <c r="M157" s="145"/>
      <c r="N157" s="145"/>
      <c r="O157" s="145"/>
      <c r="P157" s="145"/>
      <c r="Q157" s="145"/>
      <c r="R157" s="145"/>
      <c r="S157" s="145"/>
      <c r="T157" s="145"/>
    </row>
    <row r="158" spans="1:20" hidden="1">
      <c r="A158" s="70">
        <v>185</v>
      </c>
      <c r="B158" s="69" t="s">
        <v>1582</v>
      </c>
      <c r="C158" s="69" t="s">
        <v>1136</v>
      </c>
      <c r="D158" s="69" t="s">
        <v>1137</v>
      </c>
      <c r="E158" s="69" t="s">
        <v>631</v>
      </c>
      <c r="F158" s="69"/>
      <c r="G158" s="69"/>
      <c r="H158" s="70">
        <v>1</v>
      </c>
      <c r="I158" s="70">
        <v>1</v>
      </c>
      <c r="J158" s="70">
        <v>1</v>
      </c>
      <c r="K158" s="70">
        <v>3</v>
      </c>
      <c r="L158" s="69"/>
      <c r="M158" s="69"/>
      <c r="N158" s="69" t="s">
        <v>1362</v>
      </c>
      <c r="O158" s="69"/>
      <c r="P158" s="69"/>
      <c r="Q158" s="69"/>
      <c r="R158" s="69"/>
      <c r="S158" s="69"/>
      <c r="T158" s="69"/>
    </row>
    <row r="159" spans="1:20" hidden="1">
      <c r="A159" s="144">
        <v>186</v>
      </c>
      <c r="B159" s="145" t="s">
        <v>1583</v>
      </c>
      <c r="C159" s="145" t="s">
        <v>1141</v>
      </c>
      <c r="D159" s="145" t="s">
        <v>1142</v>
      </c>
      <c r="E159" s="145" t="s">
        <v>621</v>
      </c>
      <c r="F159" s="145"/>
      <c r="G159" s="145"/>
      <c r="H159" s="145"/>
      <c r="I159" s="144">
        <v>1</v>
      </c>
      <c r="J159" s="144">
        <v>1</v>
      </c>
      <c r="K159" s="144">
        <v>2</v>
      </c>
      <c r="L159" s="145"/>
      <c r="M159" s="145"/>
      <c r="N159" s="145"/>
      <c r="O159" s="145"/>
      <c r="P159" s="145"/>
      <c r="Q159" s="145"/>
      <c r="R159" s="145"/>
      <c r="S159" s="145"/>
      <c r="T159" s="145"/>
    </row>
    <row r="160" spans="1:20" hidden="1">
      <c r="A160" s="70">
        <v>187</v>
      </c>
      <c r="B160" s="69" t="s">
        <v>1584</v>
      </c>
      <c r="C160" s="69" t="s">
        <v>1144</v>
      </c>
      <c r="D160" s="69" t="s">
        <v>1145</v>
      </c>
      <c r="E160" s="69" t="s">
        <v>639</v>
      </c>
      <c r="F160" s="69"/>
      <c r="G160" s="69"/>
      <c r="H160" s="69"/>
      <c r="I160" s="70">
        <v>1</v>
      </c>
      <c r="J160" s="69"/>
      <c r="K160" s="70">
        <v>1</v>
      </c>
      <c r="L160" s="69"/>
      <c r="M160" s="69"/>
      <c r="N160" s="69"/>
      <c r="O160" s="69"/>
      <c r="P160" s="69"/>
      <c r="Q160" s="69"/>
      <c r="R160" s="69"/>
      <c r="S160" s="69"/>
      <c r="T160" s="69"/>
    </row>
    <row r="161" spans="1:20" hidden="1">
      <c r="A161" s="144">
        <v>188</v>
      </c>
      <c r="B161" s="145" t="s">
        <v>1585</v>
      </c>
      <c r="C161" s="145" t="s">
        <v>1148</v>
      </c>
      <c r="D161" s="145" t="s">
        <v>1149</v>
      </c>
      <c r="E161" s="145" t="s">
        <v>639</v>
      </c>
      <c r="F161" s="145"/>
      <c r="G161" s="145"/>
      <c r="H161" s="145"/>
      <c r="I161" s="144">
        <v>1</v>
      </c>
      <c r="J161" s="145"/>
      <c r="K161" s="144">
        <v>1</v>
      </c>
      <c r="L161" s="145"/>
      <c r="M161" s="145"/>
      <c r="N161" s="145"/>
      <c r="O161" s="145"/>
      <c r="P161" s="145"/>
      <c r="Q161" s="145"/>
      <c r="R161" s="145"/>
      <c r="S161" s="145"/>
      <c r="T161" s="145"/>
    </row>
    <row r="162" spans="1:20" hidden="1">
      <c r="A162" s="70">
        <v>189</v>
      </c>
      <c r="B162" s="69" t="s">
        <v>1586</v>
      </c>
      <c r="C162" s="69" t="s">
        <v>1587</v>
      </c>
      <c r="D162" s="69" t="s">
        <v>1588</v>
      </c>
      <c r="E162" s="69" t="s">
        <v>639</v>
      </c>
      <c r="F162" s="69"/>
      <c r="G162" s="69"/>
      <c r="H162" s="69"/>
      <c r="I162" s="70">
        <v>1</v>
      </c>
      <c r="J162" s="69"/>
      <c r="K162" s="70">
        <v>1</v>
      </c>
      <c r="L162" s="69"/>
      <c r="M162" s="69"/>
      <c r="N162" s="69"/>
      <c r="O162" s="69"/>
      <c r="P162" s="69"/>
      <c r="Q162" s="69"/>
      <c r="R162" s="69"/>
      <c r="S162" s="69"/>
      <c r="T162" s="69"/>
    </row>
    <row r="163" spans="1:20" hidden="1">
      <c r="A163" s="144">
        <v>190</v>
      </c>
      <c r="B163" s="145" t="s">
        <v>1589</v>
      </c>
      <c r="C163" s="145" t="s">
        <v>1151</v>
      </c>
      <c r="D163" s="145" t="s">
        <v>1152</v>
      </c>
      <c r="E163" s="145" t="s">
        <v>639</v>
      </c>
      <c r="F163" s="145"/>
      <c r="G163" s="145"/>
      <c r="H163" s="145"/>
      <c r="I163" s="145"/>
      <c r="J163" s="144">
        <v>1</v>
      </c>
      <c r="K163" s="144">
        <v>1</v>
      </c>
      <c r="L163" s="145"/>
      <c r="M163" s="145"/>
      <c r="N163" s="145"/>
      <c r="O163" s="145"/>
      <c r="P163" s="145"/>
      <c r="Q163" s="145"/>
      <c r="R163" s="145"/>
      <c r="S163" s="145"/>
      <c r="T163" s="145"/>
    </row>
    <row r="164" spans="1:20" hidden="1">
      <c r="A164" s="70">
        <v>191</v>
      </c>
      <c r="B164" s="69" t="s">
        <v>1590</v>
      </c>
      <c r="C164" s="69" t="s">
        <v>1591</v>
      </c>
      <c r="D164" s="69" t="s">
        <v>1592</v>
      </c>
      <c r="E164" s="69" t="s">
        <v>639</v>
      </c>
      <c r="F164" s="69"/>
      <c r="G164" s="69"/>
      <c r="H164" s="69"/>
      <c r="I164" s="70">
        <v>1</v>
      </c>
      <c r="J164" s="69"/>
      <c r="K164" s="70">
        <v>1</v>
      </c>
      <c r="L164" s="69"/>
      <c r="M164" s="69"/>
      <c r="N164" s="69"/>
      <c r="O164" s="69"/>
      <c r="P164" s="69"/>
      <c r="Q164" s="69"/>
      <c r="R164" s="69"/>
      <c r="S164" s="69"/>
      <c r="T164" s="69"/>
    </row>
    <row r="165" spans="1:20" hidden="1">
      <c r="A165" s="144">
        <v>192</v>
      </c>
      <c r="B165" s="145" t="s">
        <v>1593</v>
      </c>
      <c r="C165" s="145" t="s">
        <v>1155</v>
      </c>
      <c r="D165" s="145" t="s">
        <v>1156</v>
      </c>
      <c r="E165" s="145" t="s">
        <v>621</v>
      </c>
      <c r="F165" s="145"/>
      <c r="G165" s="145"/>
      <c r="H165" s="144">
        <v>1</v>
      </c>
      <c r="I165" s="144">
        <v>1</v>
      </c>
      <c r="J165" s="145"/>
      <c r="K165" s="144">
        <v>2</v>
      </c>
      <c r="L165" s="145"/>
      <c r="M165" s="145"/>
      <c r="N165" s="145"/>
      <c r="O165" s="145"/>
      <c r="P165" s="145"/>
      <c r="Q165" s="145"/>
      <c r="R165" s="145"/>
      <c r="S165" s="145"/>
      <c r="T165" s="145"/>
    </row>
    <row r="166" spans="1:20" hidden="1">
      <c r="A166" s="70">
        <v>193</v>
      </c>
      <c r="B166" s="69" t="s">
        <v>1594</v>
      </c>
      <c r="C166" s="69" t="s">
        <v>1158</v>
      </c>
      <c r="D166" s="69" t="s">
        <v>1159</v>
      </c>
      <c r="E166" s="69" t="s">
        <v>631</v>
      </c>
      <c r="F166" s="69"/>
      <c r="G166" s="70">
        <v>2</v>
      </c>
      <c r="H166" s="69"/>
      <c r="I166" s="70">
        <v>1</v>
      </c>
      <c r="J166" s="69"/>
      <c r="K166" s="70">
        <v>3</v>
      </c>
      <c r="L166" s="69"/>
      <c r="M166" s="69"/>
      <c r="N166" s="69"/>
      <c r="O166" s="69"/>
      <c r="P166" s="69"/>
      <c r="Q166" s="69"/>
      <c r="R166" s="69"/>
      <c r="S166" s="69"/>
      <c r="T166" s="69"/>
    </row>
    <row r="167" spans="1:20" hidden="1">
      <c r="A167" s="144">
        <v>194</v>
      </c>
      <c r="B167" s="145" t="s">
        <v>1595</v>
      </c>
      <c r="C167" s="145" t="s">
        <v>1161</v>
      </c>
      <c r="D167" s="145" t="s">
        <v>1162</v>
      </c>
      <c r="E167" s="145" t="s">
        <v>621</v>
      </c>
      <c r="F167" s="145"/>
      <c r="G167" s="145"/>
      <c r="H167" s="145"/>
      <c r="I167" s="144">
        <v>1</v>
      </c>
      <c r="J167" s="144">
        <v>1</v>
      </c>
      <c r="K167" s="144">
        <v>2</v>
      </c>
      <c r="L167" s="145"/>
      <c r="M167" s="145"/>
      <c r="N167" s="145"/>
      <c r="O167" s="145"/>
      <c r="P167" s="145"/>
      <c r="Q167" s="145"/>
      <c r="R167" s="145"/>
      <c r="S167" s="145"/>
      <c r="T167" s="145"/>
    </row>
    <row r="168" spans="1:20" hidden="1">
      <c r="A168" s="70">
        <v>195</v>
      </c>
      <c r="B168" s="69" t="s">
        <v>1596</v>
      </c>
      <c r="C168" s="69" t="s">
        <v>1164</v>
      </c>
      <c r="D168" s="69" t="s">
        <v>1165</v>
      </c>
      <c r="E168" s="69" t="s">
        <v>621</v>
      </c>
      <c r="F168" s="69"/>
      <c r="G168" s="69"/>
      <c r="H168" s="70">
        <v>1</v>
      </c>
      <c r="I168" s="70">
        <v>1</v>
      </c>
      <c r="J168" s="69"/>
      <c r="K168" s="70">
        <v>2</v>
      </c>
      <c r="L168" s="69"/>
      <c r="M168" s="69"/>
      <c r="N168" s="69"/>
      <c r="O168" s="69"/>
      <c r="P168" s="69"/>
      <c r="Q168" s="69"/>
      <c r="R168" s="69"/>
      <c r="S168" s="69"/>
      <c r="T168" s="69"/>
    </row>
    <row r="169" spans="1:20" hidden="1">
      <c r="A169" s="144">
        <v>196</v>
      </c>
      <c r="B169" s="145" t="s">
        <v>1597</v>
      </c>
      <c r="C169" s="145" t="s">
        <v>1167</v>
      </c>
      <c r="D169" s="145" t="s">
        <v>1168</v>
      </c>
      <c r="E169" s="145" t="s">
        <v>639</v>
      </c>
      <c r="F169" s="145"/>
      <c r="G169" s="145"/>
      <c r="H169" s="145"/>
      <c r="I169" s="144">
        <v>1</v>
      </c>
      <c r="J169" s="145"/>
      <c r="K169" s="144">
        <v>1</v>
      </c>
      <c r="L169" s="145"/>
      <c r="M169" s="145"/>
      <c r="N169" s="145"/>
      <c r="O169" s="145"/>
      <c r="P169" s="145"/>
      <c r="Q169" s="145"/>
      <c r="R169" s="145"/>
      <c r="S169" s="145"/>
      <c r="T169" s="145"/>
    </row>
    <row r="170" spans="1:20" hidden="1">
      <c r="A170" s="70">
        <v>197</v>
      </c>
      <c r="B170" s="69" t="s">
        <v>1598</v>
      </c>
      <c r="C170" s="69" t="s">
        <v>1171</v>
      </c>
      <c r="D170" s="69" t="s">
        <v>1172</v>
      </c>
      <c r="E170" s="69" t="s">
        <v>631</v>
      </c>
      <c r="F170" s="69"/>
      <c r="G170" s="70">
        <v>2</v>
      </c>
      <c r="H170" s="69"/>
      <c r="I170" s="70">
        <v>1</v>
      </c>
      <c r="J170" s="69"/>
      <c r="K170" s="70">
        <v>3</v>
      </c>
      <c r="L170" s="69"/>
      <c r="M170" s="69"/>
      <c r="N170" s="69"/>
      <c r="O170" s="69"/>
      <c r="P170" s="69"/>
      <c r="Q170" s="69"/>
      <c r="R170" s="69"/>
      <c r="S170" s="69"/>
      <c r="T170" s="69"/>
    </row>
    <row r="171" spans="1:20" hidden="1">
      <c r="A171" s="144">
        <v>198</v>
      </c>
      <c r="B171" s="145" t="s">
        <v>1599</v>
      </c>
      <c r="C171" s="145" t="s">
        <v>1175</v>
      </c>
      <c r="D171" s="145" t="s">
        <v>1176</v>
      </c>
      <c r="E171" s="145" t="s">
        <v>621</v>
      </c>
      <c r="F171" s="145"/>
      <c r="G171" s="145"/>
      <c r="H171" s="145"/>
      <c r="I171" s="144">
        <v>1</v>
      </c>
      <c r="J171" s="144">
        <v>1</v>
      </c>
      <c r="K171" s="144">
        <v>2</v>
      </c>
      <c r="L171" s="145"/>
      <c r="M171" s="145"/>
      <c r="N171" s="145"/>
      <c r="O171" s="145"/>
      <c r="P171" s="145"/>
      <c r="Q171" s="145"/>
      <c r="R171" s="145"/>
      <c r="S171" s="145"/>
      <c r="T171" s="145"/>
    </row>
    <row r="172" spans="1:20" hidden="1">
      <c r="A172" s="70">
        <v>199</v>
      </c>
      <c r="B172" s="69" t="s">
        <v>1600</v>
      </c>
      <c r="C172" s="69" t="s">
        <v>1601</v>
      </c>
      <c r="D172" s="69" t="s">
        <v>1602</v>
      </c>
      <c r="E172" s="69" t="s">
        <v>621</v>
      </c>
      <c r="F172" s="69"/>
      <c r="G172" s="69"/>
      <c r="H172" s="69"/>
      <c r="I172" s="70">
        <v>1</v>
      </c>
      <c r="J172" s="70">
        <v>1</v>
      </c>
      <c r="K172" s="70">
        <v>2</v>
      </c>
      <c r="L172" s="69"/>
      <c r="M172" s="69"/>
      <c r="N172" s="69"/>
      <c r="O172" s="69"/>
      <c r="P172" s="69"/>
      <c r="Q172" s="69"/>
      <c r="R172" s="69"/>
      <c r="S172" s="69"/>
      <c r="T172" s="69"/>
    </row>
    <row r="173" spans="1:20" hidden="1">
      <c r="A173" s="144">
        <v>200</v>
      </c>
      <c r="B173" s="145" t="s">
        <v>1603</v>
      </c>
      <c r="C173" s="145" t="s">
        <v>1604</v>
      </c>
      <c r="D173" s="145" t="s">
        <v>1605</v>
      </c>
      <c r="E173" s="145" t="s">
        <v>621</v>
      </c>
      <c r="F173" s="145"/>
      <c r="G173" s="145"/>
      <c r="H173" s="145"/>
      <c r="I173" s="144">
        <v>1</v>
      </c>
      <c r="J173" s="144">
        <v>1</v>
      </c>
      <c r="K173" s="144">
        <v>2</v>
      </c>
      <c r="L173" s="145"/>
      <c r="M173" s="145"/>
      <c r="N173" s="145"/>
      <c r="O173" s="145"/>
      <c r="P173" s="145"/>
      <c r="Q173" s="145"/>
      <c r="R173" s="145"/>
      <c r="S173" s="145"/>
      <c r="T173" s="145"/>
    </row>
    <row r="174" spans="1:20" hidden="1">
      <c r="A174" s="70">
        <v>201</v>
      </c>
      <c r="B174" s="69" t="s">
        <v>1606</v>
      </c>
      <c r="C174" s="69" t="s">
        <v>1178</v>
      </c>
      <c r="D174" s="69" t="s">
        <v>1179</v>
      </c>
      <c r="E174" s="69" t="s">
        <v>631</v>
      </c>
      <c r="F174" s="70">
        <v>1</v>
      </c>
      <c r="G174" s="69"/>
      <c r="H174" s="70">
        <v>1</v>
      </c>
      <c r="I174" s="70">
        <v>1</v>
      </c>
      <c r="J174" s="69"/>
      <c r="K174" s="70">
        <v>3</v>
      </c>
      <c r="L174" s="69"/>
      <c r="M174" s="69"/>
      <c r="N174" s="69" t="s">
        <v>1362</v>
      </c>
      <c r="O174" s="69"/>
      <c r="P174" s="69"/>
      <c r="Q174" s="69"/>
      <c r="R174" s="69"/>
      <c r="S174" s="69"/>
      <c r="T174" s="69"/>
    </row>
    <row r="175" spans="1:20" hidden="1">
      <c r="A175" s="144">
        <v>202</v>
      </c>
      <c r="B175" s="145" t="s">
        <v>1607</v>
      </c>
      <c r="C175" s="145" t="s">
        <v>1182</v>
      </c>
      <c r="D175" s="145" t="s">
        <v>1183</v>
      </c>
      <c r="E175" s="145" t="s">
        <v>639</v>
      </c>
      <c r="F175" s="145"/>
      <c r="G175" s="145"/>
      <c r="H175" s="145"/>
      <c r="I175" s="144">
        <v>1</v>
      </c>
      <c r="J175" s="145"/>
      <c r="K175" s="144">
        <v>1</v>
      </c>
      <c r="L175" s="145"/>
      <c r="M175" s="145"/>
      <c r="N175" s="145"/>
      <c r="O175" s="145"/>
      <c r="P175" s="145"/>
      <c r="Q175" s="145"/>
      <c r="R175" s="145"/>
      <c r="S175" s="145"/>
      <c r="T175" s="145"/>
    </row>
    <row r="176" spans="1:20" hidden="1">
      <c r="A176" s="70">
        <v>203</v>
      </c>
      <c r="B176" s="69" t="s">
        <v>1608</v>
      </c>
      <c r="C176" s="69" t="s">
        <v>1185</v>
      </c>
      <c r="D176" s="69" t="s">
        <v>1186</v>
      </c>
      <c r="E176" s="69" t="s">
        <v>621</v>
      </c>
      <c r="F176" s="69"/>
      <c r="G176" s="69"/>
      <c r="H176" s="70">
        <v>1</v>
      </c>
      <c r="I176" s="70">
        <v>1</v>
      </c>
      <c r="J176" s="69"/>
      <c r="K176" s="70">
        <v>2</v>
      </c>
      <c r="L176" s="69"/>
      <c r="M176" s="69"/>
      <c r="N176" s="69"/>
      <c r="O176" s="69"/>
      <c r="P176" s="69"/>
      <c r="Q176" s="69"/>
      <c r="R176" s="69"/>
      <c r="S176" s="69"/>
      <c r="T176" s="69"/>
    </row>
    <row r="177" spans="1:20" hidden="1">
      <c r="A177" s="144">
        <v>204</v>
      </c>
      <c r="B177" s="145" t="s">
        <v>1609</v>
      </c>
      <c r="C177" s="145" t="s">
        <v>1188</v>
      </c>
      <c r="D177" s="145" t="s">
        <v>592</v>
      </c>
      <c r="E177" s="145" t="s">
        <v>621</v>
      </c>
      <c r="F177" s="145"/>
      <c r="G177" s="145"/>
      <c r="H177" s="144">
        <v>1</v>
      </c>
      <c r="I177" s="144">
        <v>1</v>
      </c>
      <c r="J177" s="145"/>
      <c r="K177" s="144">
        <v>2</v>
      </c>
      <c r="L177" s="145"/>
      <c r="M177" s="145"/>
      <c r="N177" s="145"/>
      <c r="O177" s="145"/>
      <c r="P177" s="145"/>
      <c r="Q177" s="145"/>
      <c r="R177" s="145"/>
      <c r="S177" s="145"/>
      <c r="T177" s="145"/>
    </row>
    <row r="178" spans="1:20" hidden="1">
      <c r="A178" s="70">
        <v>205</v>
      </c>
      <c r="B178" s="69" t="s">
        <v>1610</v>
      </c>
      <c r="C178" s="69" t="s">
        <v>1190</v>
      </c>
      <c r="D178" s="69" t="s">
        <v>1191</v>
      </c>
      <c r="E178" s="69" t="s">
        <v>631</v>
      </c>
      <c r="F178" s="69"/>
      <c r="G178" s="70">
        <v>2</v>
      </c>
      <c r="H178" s="69"/>
      <c r="I178" s="70">
        <v>1</v>
      </c>
      <c r="J178" s="69"/>
      <c r="K178" s="70">
        <v>3</v>
      </c>
      <c r="L178" s="69"/>
      <c r="M178" s="69"/>
      <c r="N178" s="69" t="s">
        <v>1362</v>
      </c>
      <c r="O178" s="69"/>
      <c r="P178" s="69"/>
      <c r="Q178" s="69"/>
      <c r="R178" s="69"/>
      <c r="S178" s="69"/>
      <c r="T178" s="69"/>
    </row>
    <row r="179" spans="1:20" hidden="1">
      <c r="A179" s="144">
        <v>206</v>
      </c>
      <c r="B179" s="145" t="s">
        <v>1611</v>
      </c>
      <c r="C179" s="145" t="s">
        <v>1193</v>
      </c>
      <c r="D179" s="145" t="s">
        <v>1194</v>
      </c>
      <c r="E179" s="145" t="s">
        <v>621</v>
      </c>
      <c r="F179" s="145"/>
      <c r="G179" s="145"/>
      <c r="H179" s="145"/>
      <c r="I179" s="144">
        <v>1</v>
      </c>
      <c r="J179" s="144">
        <v>1</v>
      </c>
      <c r="K179" s="144">
        <v>2</v>
      </c>
      <c r="L179" s="145"/>
      <c r="M179" s="145"/>
      <c r="N179" s="145"/>
      <c r="O179" s="145"/>
      <c r="P179" s="145"/>
      <c r="Q179" s="145"/>
      <c r="R179" s="145"/>
      <c r="S179" s="145"/>
      <c r="T179" s="145"/>
    </row>
    <row r="180" spans="1:20" hidden="1">
      <c r="A180" s="70">
        <v>207</v>
      </c>
      <c r="B180" s="69" t="s">
        <v>1612</v>
      </c>
      <c r="C180" s="69" t="s">
        <v>1197</v>
      </c>
      <c r="D180" s="69" t="s">
        <v>1198</v>
      </c>
      <c r="E180" s="69" t="s">
        <v>631</v>
      </c>
      <c r="F180" s="69"/>
      <c r="G180" s="70">
        <v>2</v>
      </c>
      <c r="H180" s="69"/>
      <c r="I180" s="70">
        <v>1</v>
      </c>
      <c r="J180" s="69"/>
      <c r="K180" s="70">
        <v>3</v>
      </c>
      <c r="L180" s="69"/>
      <c r="M180" s="69"/>
      <c r="N180" s="69"/>
      <c r="O180" s="69"/>
      <c r="P180" s="69"/>
      <c r="Q180" s="69"/>
      <c r="R180" s="69"/>
      <c r="S180" s="69"/>
      <c r="T180" s="69"/>
    </row>
    <row r="181" spans="1:20" hidden="1">
      <c r="A181" s="144">
        <v>208</v>
      </c>
      <c r="B181" s="145" t="s">
        <v>1613</v>
      </c>
      <c r="C181" s="145" t="s">
        <v>1201</v>
      </c>
      <c r="D181" s="145" t="s">
        <v>1202</v>
      </c>
      <c r="E181" s="145" t="s">
        <v>621</v>
      </c>
      <c r="F181" s="145"/>
      <c r="G181" s="145"/>
      <c r="H181" s="144">
        <v>1</v>
      </c>
      <c r="I181" s="144">
        <v>1</v>
      </c>
      <c r="J181" s="145"/>
      <c r="K181" s="144">
        <v>2</v>
      </c>
      <c r="L181" s="145"/>
      <c r="M181" s="145"/>
      <c r="N181" s="145"/>
      <c r="O181" s="145"/>
      <c r="P181" s="145"/>
      <c r="Q181" s="145"/>
      <c r="R181" s="145"/>
      <c r="S181" s="145"/>
      <c r="T181" s="145"/>
    </row>
    <row r="182" spans="1:20">
      <c r="A182" s="70">
        <v>209</v>
      </c>
      <c r="B182" s="69" t="s">
        <v>1614</v>
      </c>
      <c r="C182" s="69" t="s">
        <v>1615</v>
      </c>
      <c r="D182" s="69" t="s">
        <v>1616</v>
      </c>
      <c r="E182" s="69" t="s">
        <v>1358</v>
      </c>
      <c r="F182" s="69"/>
      <c r="G182" s="70">
        <v>2</v>
      </c>
      <c r="H182" s="69"/>
      <c r="I182" s="70">
        <v>1</v>
      </c>
      <c r="J182" s="70">
        <v>1</v>
      </c>
      <c r="K182" s="70">
        <v>4</v>
      </c>
      <c r="L182" s="69"/>
      <c r="M182" s="69"/>
      <c r="N182" s="69" t="s">
        <v>1410</v>
      </c>
      <c r="O182" s="69"/>
      <c r="P182" s="69"/>
      <c r="Q182" s="69" t="s">
        <v>1363</v>
      </c>
      <c r="R182" s="69"/>
      <c r="S182" s="69"/>
      <c r="T182" s="69"/>
    </row>
    <row r="183" spans="1:20" hidden="1">
      <c r="A183" s="144">
        <v>210</v>
      </c>
      <c r="B183" s="145" t="s">
        <v>1617</v>
      </c>
      <c r="C183" s="145" t="s">
        <v>1205</v>
      </c>
      <c r="D183" s="145" t="s">
        <v>1618</v>
      </c>
      <c r="E183" s="145" t="s">
        <v>621</v>
      </c>
      <c r="F183" s="145"/>
      <c r="G183" s="145"/>
      <c r="H183" s="144">
        <v>1</v>
      </c>
      <c r="I183" s="144">
        <v>1</v>
      </c>
      <c r="J183" s="145"/>
      <c r="K183" s="144">
        <v>2</v>
      </c>
      <c r="L183" s="145"/>
      <c r="M183" s="145"/>
      <c r="N183" s="145"/>
      <c r="O183" s="145"/>
      <c r="P183" s="145"/>
      <c r="Q183" s="145"/>
      <c r="R183" s="145"/>
      <c r="S183" s="145"/>
      <c r="T183" s="145"/>
    </row>
    <row r="184" spans="1:20">
      <c r="A184" s="70">
        <v>211</v>
      </c>
      <c r="B184" s="69" t="s">
        <v>1619</v>
      </c>
      <c r="C184" s="69" t="s">
        <v>1620</v>
      </c>
      <c r="D184" s="69" t="s">
        <v>1621</v>
      </c>
      <c r="E184" s="69" t="s">
        <v>1358</v>
      </c>
      <c r="F184" s="70">
        <v>1</v>
      </c>
      <c r="G184" s="70">
        <v>2</v>
      </c>
      <c r="H184" s="69"/>
      <c r="I184" s="70">
        <v>1</v>
      </c>
      <c r="J184" s="69"/>
      <c r="K184" s="70">
        <v>4</v>
      </c>
      <c r="L184" s="69"/>
      <c r="M184" s="69"/>
      <c r="N184" s="69"/>
      <c r="O184" s="69"/>
      <c r="P184" s="69"/>
      <c r="Q184" s="69"/>
      <c r="R184" s="69"/>
      <c r="S184" s="69"/>
      <c r="T184" s="69"/>
    </row>
    <row r="185" spans="1:20" hidden="1">
      <c r="A185" s="144">
        <v>212</v>
      </c>
      <c r="B185" s="145" t="s">
        <v>1622</v>
      </c>
      <c r="C185" s="145" t="s">
        <v>1208</v>
      </c>
      <c r="D185" s="145" t="s">
        <v>1209</v>
      </c>
      <c r="E185" s="145" t="s">
        <v>621</v>
      </c>
      <c r="F185" s="145"/>
      <c r="G185" s="145"/>
      <c r="H185" s="144">
        <v>1</v>
      </c>
      <c r="I185" s="144">
        <v>1</v>
      </c>
      <c r="J185" s="145"/>
      <c r="K185" s="144">
        <v>2</v>
      </c>
      <c r="L185" s="145"/>
      <c r="M185" s="145"/>
      <c r="N185" s="145"/>
      <c r="O185" s="145"/>
      <c r="P185" s="145"/>
      <c r="Q185" s="145"/>
      <c r="R185" s="145"/>
      <c r="S185" s="145"/>
      <c r="T185" s="145"/>
    </row>
    <row r="186" spans="1:20" hidden="1">
      <c r="A186" s="70">
        <v>213</v>
      </c>
      <c r="B186" s="69" t="s">
        <v>1623</v>
      </c>
      <c r="C186" s="69" t="s">
        <v>1212</v>
      </c>
      <c r="D186" s="69" t="s">
        <v>1213</v>
      </c>
      <c r="E186" s="69" t="s">
        <v>631</v>
      </c>
      <c r="F186" s="69"/>
      <c r="G186" s="70">
        <v>2</v>
      </c>
      <c r="H186" s="69"/>
      <c r="I186" s="70">
        <v>1</v>
      </c>
      <c r="J186" s="69"/>
      <c r="K186" s="70">
        <v>3</v>
      </c>
      <c r="L186" s="69"/>
      <c r="M186" s="69"/>
      <c r="N186" s="69"/>
      <c r="O186" s="69"/>
      <c r="P186" s="69"/>
      <c r="Q186" s="69"/>
      <c r="R186" s="69"/>
      <c r="S186" s="69"/>
      <c r="T186" s="69"/>
    </row>
    <row r="187" spans="1:20" hidden="1">
      <c r="A187" s="144">
        <v>214</v>
      </c>
      <c r="B187" s="145" t="s">
        <v>1624</v>
      </c>
      <c r="C187" s="145" t="s">
        <v>1215</v>
      </c>
      <c r="D187" s="145" t="s">
        <v>1216</v>
      </c>
      <c r="E187" s="145" t="s">
        <v>621</v>
      </c>
      <c r="F187" s="145"/>
      <c r="G187" s="145"/>
      <c r="H187" s="144">
        <v>1</v>
      </c>
      <c r="I187" s="144">
        <v>1</v>
      </c>
      <c r="J187" s="145"/>
      <c r="K187" s="144">
        <v>2</v>
      </c>
      <c r="L187" s="145"/>
      <c r="M187" s="145"/>
      <c r="N187" s="145"/>
      <c r="O187" s="145"/>
      <c r="P187" s="145"/>
      <c r="Q187" s="145"/>
      <c r="R187" s="145"/>
      <c r="S187" s="145"/>
      <c r="T187" s="145"/>
    </row>
    <row r="188" spans="1:20" hidden="1">
      <c r="A188" s="70">
        <v>215</v>
      </c>
      <c r="B188" s="69" t="s">
        <v>1625</v>
      </c>
      <c r="C188" s="69" t="s">
        <v>1219</v>
      </c>
      <c r="D188" s="69" t="s">
        <v>1626</v>
      </c>
      <c r="E188" s="69" t="s">
        <v>631</v>
      </c>
      <c r="F188" s="69"/>
      <c r="G188" s="69"/>
      <c r="H188" s="70">
        <v>1</v>
      </c>
      <c r="I188" s="70">
        <v>1</v>
      </c>
      <c r="J188" s="70">
        <v>1</v>
      </c>
      <c r="K188" s="70">
        <v>3</v>
      </c>
      <c r="L188" s="69"/>
      <c r="M188" s="69"/>
      <c r="N188" s="69" t="s">
        <v>1410</v>
      </c>
      <c r="O188" s="69"/>
      <c r="P188" s="69"/>
      <c r="Q188" s="69" t="s">
        <v>1359</v>
      </c>
      <c r="R188" s="69"/>
      <c r="S188" s="69"/>
      <c r="T188" s="69"/>
    </row>
    <row r="189" spans="1:20" hidden="1">
      <c r="A189" s="144">
        <v>217</v>
      </c>
      <c r="B189" s="145" t="s">
        <v>1627</v>
      </c>
      <c r="C189" s="145" t="s">
        <v>1222</v>
      </c>
      <c r="D189" s="145" t="s">
        <v>1223</v>
      </c>
      <c r="E189" s="145" t="s">
        <v>631</v>
      </c>
      <c r="F189" s="144">
        <v>1</v>
      </c>
      <c r="G189" s="145"/>
      <c r="H189" s="144">
        <v>1</v>
      </c>
      <c r="I189" s="145"/>
      <c r="J189" s="144">
        <v>1</v>
      </c>
      <c r="K189" s="144">
        <v>3</v>
      </c>
      <c r="L189" s="145"/>
      <c r="M189" s="145"/>
      <c r="N189" s="145" t="s">
        <v>1362</v>
      </c>
      <c r="O189" s="145"/>
      <c r="P189" s="145"/>
      <c r="Q189" s="145"/>
      <c r="R189" s="145"/>
      <c r="S189" s="145"/>
      <c r="T189" s="145"/>
    </row>
    <row r="190" spans="1:20">
      <c r="A190" s="70">
        <v>219</v>
      </c>
      <c r="B190" s="69" t="s">
        <v>1628</v>
      </c>
      <c r="C190" s="69" t="s">
        <v>1629</v>
      </c>
      <c r="D190" s="69" t="s">
        <v>1630</v>
      </c>
      <c r="E190" s="69" t="s">
        <v>1358</v>
      </c>
      <c r="F190" s="70">
        <v>1</v>
      </c>
      <c r="G190" s="70">
        <v>2</v>
      </c>
      <c r="H190" s="70">
        <v>1</v>
      </c>
      <c r="I190" s="70">
        <v>1</v>
      </c>
      <c r="J190" s="69"/>
      <c r="K190" s="70">
        <v>5</v>
      </c>
      <c r="L190" s="69"/>
      <c r="M190" s="69"/>
      <c r="N190" s="69" t="s">
        <v>1390</v>
      </c>
      <c r="O190" s="69"/>
      <c r="P190" s="69"/>
      <c r="Q190" s="69" t="s">
        <v>1359</v>
      </c>
      <c r="R190" s="69"/>
      <c r="S190" s="69" t="s">
        <v>1359</v>
      </c>
      <c r="T190" s="69"/>
    </row>
    <row r="191" spans="1:20" hidden="1">
      <c r="A191" s="144">
        <v>220</v>
      </c>
      <c r="B191" s="145" t="s">
        <v>1631</v>
      </c>
      <c r="C191" s="145" t="s">
        <v>1228</v>
      </c>
      <c r="D191" s="145" t="s">
        <v>1229</v>
      </c>
      <c r="E191" s="145" t="s">
        <v>639</v>
      </c>
      <c r="F191" s="145"/>
      <c r="G191" s="145"/>
      <c r="H191" s="145"/>
      <c r="I191" s="144">
        <v>1</v>
      </c>
      <c r="J191" s="145"/>
      <c r="K191" s="144">
        <v>1</v>
      </c>
      <c r="L191" s="145"/>
      <c r="M191" s="145"/>
      <c r="N191" s="145"/>
      <c r="O191" s="145"/>
      <c r="P191" s="145"/>
      <c r="Q191" s="145"/>
      <c r="R191" s="145"/>
      <c r="S191" s="145"/>
      <c r="T191" s="145"/>
    </row>
    <row r="192" spans="1:20" hidden="1">
      <c r="A192" s="70">
        <v>221</v>
      </c>
      <c r="B192" s="69" t="s">
        <v>1632</v>
      </c>
      <c r="C192" s="69" t="s">
        <v>163</v>
      </c>
      <c r="D192" s="69" t="s">
        <v>1233</v>
      </c>
      <c r="E192" s="69" t="s">
        <v>631</v>
      </c>
      <c r="F192" s="70">
        <v>1</v>
      </c>
      <c r="G192" s="69"/>
      <c r="H192" s="70">
        <v>1</v>
      </c>
      <c r="I192" s="69"/>
      <c r="J192" s="70">
        <v>1</v>
      </c>
      <c r="K192" s="70">
        <v>3</v>
      </c>
      <c r="L192" s="69"/>
      <c r="M192" s="69"/>
      <c r="N192" s="69" t="s">
        <v>1410</v>
      </c>
      <c r="O192" s="69"/>
      <c r="P192" s="69"/>
      <c r="Q192" s="69" t="s">
        <v>1359</v>
      </c>
      <c r="R192" s="69"/>
      <c r="S192" s="69"/>
      <c r="T192" s="69"/>
    </row>
    <row r="193" spans="1:20" hidden="1">
      <c r="A193" s="144">
        <v>222</v>
      </c>
      <c r="B193" s="145" t="s">
        <v>1633</v>
      </c>
      <c r="C193" s="145" t="s">
        <v>1235</v>
      </c>
      <c r="D193" s="145" t="s">
        <v>1634</v>
      </c>
      <c r="E193" s="145" t="s">
        <v>631</v>
      </c>
      <c r="F193" s="144">
        <v>1</v>
      </c>
      <c r="G193" s="145"/>
      <c r="H193" s="144">
        <v>1</v>
      </c>
      <c r="I193" s="145"/>
      <c r="J193" s="144">
        <v>1</v>
      </c>
      <c r="K193" s="144">
        <v>3</v>
      </c>
      <c r="L193" s="145"/>
      <c r="M193" s="145"/>
      <c r="N193" s="145"/>
      <c r="O193" s="145"/>
      <c r="P193" s="145"/>
      <c r="Q193" s="145" t="s">
        <v>1359</v>
      </c>
      <c r="R193" s="145"/>
      <c r="S193" s="145" t="s">
        <v>1359</v>
      </c>
      <c r="T193" s="145"/>
    </row>
    <row r="194" spans="1:20">
      <c r="A194" s="70">
        <v>224</v>
      </c>
      <c r="B194" s="69" t="s">
        <v>1635</v>
      </c>
      <c r="C194" s="69" t="s">
        <v>1636</v>
      </c>
      <c r="D194" s="69" t="s">
        <v>1637</v>
      </c>
      <c r="E194" s="69" t="s">
        <v>1358</v>
      </c>
      <c r="F194" s="70">
        <v>1</v>
      </c>
      <c r="G194" s="69"/>
      <c r="H194" s="70">
        <v>1</v>
      </c>
      <c r="I194" s="70">
        <v>1</v>
      </c>
      <c r="J194" s="70">
        <v>1</v>
      </c>
      <c r="K194" s="70">
        <v>4</v>
      </c>
      <c r="L194" s="69"/>
      <c r="M194" s="69"/>
      <c r="N194" s="69"/>
      <c r="O194" s="69"/>
      <c r="P194" s="69"/>
      <c r="Q194" s="69" t="s">
        <v>1359</v>
      </c>
      <c r="R194" s="69"/>
      <c r="S194" s="69" t="s">
        <v>1359</v>
      </c>
      <c r="T194" s="69"/>
    </row>
    <row r="195" spans="1:20" hidden="1">
      <c r="A195" s="144">
        <v>225</v>
      </c>
      <c r="B195" s="145" t="s">
        <v>1638</v>
      </c>
      <c r="C195" s="145" t="s">
        <v>1639</v>
      </c>
      <c r="D195" s="145" t="s">
        <v>1640</v>
      </c>
      <c r="E195" s="145" t="s">
        <v>621</v>
      </c>
      <c r="F195" s="145"/>
      <c r="G195" s="145"/>
      <c r="H195" s="145"/>
      <c r="I195" s="144">
        <v>1</v>
      </c>
      <c r="J195" s="144">
        <v>1</v>
      </c>
      <c r="K195" s="144">
        <v>2</v>
      </c>
      <c r="L195" s="145"/>
      <c r="M195" s="145"/>
      <c r="N195" s="145"/>
      <c r="O195" s="145"/>
      <c r="P195" s="145"/>
      <c r="Q195" s="145"/>
      <c r="R195" s="145"/>
      <c r="S195" s="145"/>
      <c r="T195" s="145"/>
    </row>
    <row r="196" spans="1:20">
      <c r="A196" s="70">
        <v>226</v>
      </c>
      <c r="B196" s="69" t="s">
        <v>1641</v>
      </c>
      <c r="C196" s="69" t="s">
        <v>1642</v>
      </c>
      <c r="D196" s="69" t="s">
        <v>1643</v>
      </c>
      <c r="E196" s="69" t="s">
        <v>1358</v>
      </c>
      <c r="F196" s="70">
        <v>1</v>
      </c>
      <c r="G196" s="70">
        <v>2</v>
      </c>
      <c r="H196" s="69"/>
      <c r="I196" s="70">
        <v>1</v>
      </c>
      <c r="J196" s="69"/>
      <c r="K196" s="70">
        <v>4</v>
      </c>
      <c r="L196" s="69"/>
      <c r="M196" s="69"/>
      <c r="N196" s="69"/>
      <c r="O196" s="69"/>
      <c r="P196" s="69"/>
      <c r="Q196" s="69"/>
      <c r="R196" s="69"/>
      <c r="S196" s="69"/>
      <c r="T196" s="69"/>
    </row>
    <row r="197" spans="1:20" hidden="1">
      <c r="A197" s="144">
        <v>227</v>
      </c>
      <c r="B197" s="145" t="s">
        <v>1644</v>
      </c>
      <c r="C197" s="145" t="s">
        <v>1241</v>
      </c>
      <c r="D197" s="145" t="s">
        <v>1242</v>
      </c>
      <c r="E197" s="145" t="s">
        <v>639</v>
      </c>
      <c r="F197" s="145"/>
      <c r="G197" s="145"/>
      <c r="H197" s="145"/>
      <c r="I197" s="145"/>
      <c r="J197" s="144">
        <v>1</v>
      </c>
      <c r="K197" s="144">
        <v>1</v>
      </c>
      <c r="L197" s="145"/>
      <c r="M197" s="145"/>
      <c r="N197" s="145" t="s">
        <v>1355</v>
      </c>
      <c r="O197" s="145"/>
      <c r="P197" s="145"/>
      <c r="Q197" s="145"/>
      <c r="R197" s="145"/>
      <c r="S197" s="145"/>
      <c r="T197" s="145"/>
    </row>
    <row r="198" spans="1:20">
      <c r="A198" s="70">
        <v>232</v>
      </c>
      <c r="B198" s="69" t="s">
        <v>1645</v>
      </c>
      <c r="C198" s="69" t="s">
        <v>1646</v>
      </c>
      <c r="D198" s="69" t="s">
        <v>1647</v>
      </c>
      <c r="E198" s="69" t="s">
        <v>1358</v>
      </c>
      <c r="F198" s="70">
        <v>1</v>
      </c>
      <c r="G198" s="70">
        <v>2</v>
      </c>
      <c r="H198" s="70">
        <v>1</v>
      </c>
      <c r="I198" s="70">
        <v>1</v>
      </c>
      <c r="J198" s="70">
        <v>1</v>
      </c>
      <c r="K198" s="70">
        <v>6</v>
      </c>
      <c r="L198" s="69"/>
      <c r="M198" s="69"/>
      <c r="N198" s="69"/>
      <c r="O198" s="69"/>
      <c r="P198" s="69"/>
      <c r="Q198" s="69" t="s">
        <v>1359</v>
      </c>
      <c r="R198" s="69"/>
      <c r="S198" s="69" t="s">
        <v>1359</v>
      </c>
      <c r="T198" s="69"/>
    </row>
    <row r="199" spans="1:20" hidden="1">
      <c r="A199" s="144">
        <v>234</v>
      </c>
      <c r="B199" s="145" t="s">
        <v>1648</v>
      </c>
      <c r="C199" s="145" t="s">
        <v>1244</v>
      </c>
      <c r="D199" s="145" t="s">
        <v>1245</v>
      </c>
      <c r="E199" s="145" t="s">
        <v>621</v>
      </c>
      <c r="F199" s="145"/>
      <c r="G199" s="145"/>
      <c r="H199" s="144">
        <v>1</v>
      </c>
      <c r="I199" s="145"/>
      <c r="J199" s="144">
        <v>1</v>
      </c>
      <c r="K199" s="144">
        <v>2</v>
      </c>
      <c r="L199" s="145"/>
      <c r="M199" s="145"/>
      <c r="N199" s="145" t="s">
        <v>1355</v>
      </c>
      <c r="O199" s="145"/>
      <c r="P199" s="145"/>
      <c r="Q199" s="145"/>
      <c r="R199" s="145"/>
      <c r="S199" s="145"/>
      <c r="T199" s="145"/>
    </row>
    <row r="200" spans="1:20" hidden="1">
      <c r="A200" s="70">
        <v>235</v>
      </c>
      <c r="B200" s="69" t="s">
        <v>1649</v>
      </c>
      <c r="C200" s="69" t="s">
        <v>1247</v>
      </c>
      <c r="D200" s="69" t="s">
        <v>1248</v>
      </c>
      <c r="E200" s="69" t="s">
        <v>639</v>
      </c>
      <c r="F200" s="69"/>
      <c r="G200" s="69"/>
      <c r="H200" s="69"/>
      <c r="I200" s="69"/>
      <c r="J200" s="70">
        <v>1</v>
      </c>
      <c r="K200" s="70">
        <v>1</v>
      </c>
      <c r="L200" s="69"/>
      <c r="M200" s="69"/>
      <c r="N200" s="69"/>
      <c r="O200" s="69"/>
      <c r="P200" s="69"/>
      <c r="Q200" s="69"/>
      <c r="R200" s="69"/>
      <c r="S200" s="69"/>
      <c r="T200" s="69"/>
    </row>
    <row r="201" spans="1:20">
      <c r="A201" s="144">
        <v>236</v>
      </c>
      <c r="B201" s="145" t="s">
        <v>1650</v>
      </c>
      <c r="C201" s="145" t="s">
        <v>100</v>
      </c>
      <c r="D201" s="145" t="s">
        <v>1651</v>
      </c>
      <c r="E201" s="145" t="s">
        <v>1358</v>
      </c>
      <c r="F201" s="144">
        <v>1</v>
      </c>
      <c r="G201" s="145"/>
      <c r="H201" s="144">
        <v>1</v>
      </c>
      <c r="I201" s="144">
        <v>1</v>
      </c>
      <c r="J201" s="144">
        <v>1</v>
      </c>
      <c r="K201" s="144">
        <v>4</v>
      </c>
      <c r="L201" s="145"/>
      <c r="M201" s="145"/>
      <c r="N201" s="145"/>
      <c r="O201" s="145"/>
      <c r="P201" s="145"/>
      <c r="Q201" s="145" t="s">
        <v>1359</v>
      </c>
      <c r="R201" s="145"/>
      <c r="S201" s="145" t="s">
        <v>1359</v>
      </c>
      <c r="T201" s="145"/>
    </row>
    <row r="202" spans="1:20" hidden="1">
      <c r="A202" s="70">
        <v>237</v>
      </c>
      <c r="B202" s="69" t="s">
        <v>1652</v>
      </c>
      <c r="C202" s="69" t="s">
        <v>1250</v>
      </c>
      <c r="D202" s="69" t="s">
        <v>1251</v>
      </c>
      <c r="E202" s="69" t="s">
        <v>631</v>
      </c>
      <c r="F202" s="70">
        <v>1</v>
      </c>
      <c r="G202" s="69"/>
      <c r="H202" s="70">
        <v>1</v>
      </c>
      <c r="I202" s="69"/>
      <c r="J202" s="70">
        <v>1</v>
      </c>
      <c r="K202" s="70">
        <v>3</v>
      </c>
      <c r="L202" s="69"/>
      <c r="M202" s="69"/>
      <c r="N202" s="69"/>
      <c r="O202" s="69"/>
      <c r="P202" s="69"/>
      <c r="Q202" s="69" t="s">
        <v>1468</v>
      </c>
      <c r="R202" s="69"/>
      <c r="S202" s="69" t="s">
        <v>1359</v>
      </c>
      <c r="T202" s="69"/>
    </row>
    <row r="203" spans="1:20">
      <c r="A203" s="144">
        <v>240</v>
      </c>
      <c r="B203" s="145" t="s">
        <v>1653</v>
      </c>
      <c r="C203" s="145" t="s">
        <v>1654</v>
      </c>
      <c r="D203" s="145" t="s">
        <v>1655</v>
      </c>
      <c r="E203" s="145" t="s">
        <v>1358</v>
      </c>
      <c r="F203" s="144">
        <v>1</v>
      </c>
      <c r="G203" s="145"/>
      <c r="H203" s="144">
        <v>1</v>
      </c>
      <c r="I203" s="144">
        <v>1</v>
      </c>
      <c r="J203" s="144">
        <v>1</v>
      </c>
      <c r="K203" s="144">
        <v>4</v>
      </c>
      <c r="L203" s="145"/>
      <c r="M203" s="145"/>
      <c r="N203" s="145" t="s">
        <v>1355</v>
      </c>
      <c r="O203" s="145" t="s">
        <v>1656</v>
      </c>
      <c r="P203" s="145"/>
      <c r="Q203" s="145"/>
      <c r="R203" s="145"/>
      <c r="S203" s="145"/>
      <c r="T203" s="145"/>
    </row>
    <row r="204" spans="1:20" hidden="1">
      <c r="A204" s="70">
        <v>241</v>
      </c>
      <c r="B204" s="69" t="s">
        <v>1657</v>
      </c>
      <c r="C204" s="69" t="s">
        <v>1253</v>
      </c>
      <c r="D204" s="69" t="s">
        <v>1254</v>
      </c>
      <c r="E204" s="69" t="s">
        <v>621</v>
      </c>
      <c r="F204" s="69"/>
      <c r="G204" s="69"/>
      <c r="H204" s="69"/>
      <c r="I204" s="70">
        <v>1</v>
      </c>
      <c r="J204" s="70">
        <v>1</v>
      </c>
      <c r="K204" s="70">
        <v>2</v>
      </c>
      <c r="L204" s="69"/>
      <c r="M204" s="69"/>
      <c r="N204" s="69"/>
      <c r="O204" s="69"/>
      <c r="P204" s="69"/>
      <c r="Q204" s="69"/>
      <c r="R204" s="69"/>
      <c r="S204" s="69"/>
      <c r="T204" s="69"/>
    </row>
    <row r="205" spans="1:20" hidden="1">
      <c r="A205" s="144">
        <v>242</v>
      </c>
      <c r="B205" s="145" t="s">
        <v>1658</v>
      </c>
      <c r="C205" s="145" t="s">
        <v>1256</v>
      </c>
      <c r="D205" s="145" t="s">
        <v>1257</v>
      </c>
      <c r="E205" s="145" t="s">
        <v>631</v>
      </c>
      <c r="F205" s="144">
        <v>1</v>
      </c>
      <c r="G205" s="145"/>
      <c r="H205" s="144">
        <v>1</v>
      </c>
      <c r="I205" s="144">
        <v>1</v>
      </c>
      <c r="J205" s="145"/>
      <c r="K205" s="144">
        <v>3</v>
      </c>
      <c r="L205" s="145"/>
      <c r="M205" s="145"/>
      <c r="N205" s="145" t="s">
        <v>1410</v>
      </c>
      <c r="O205" s="145"/>
      <c r="P205" s="145"/>
      <c r="Q205" s="145" t="s">
        <v>1363</v>
      </c>
      <c r="R205" s="145"/>
      <c r="S205" s="145"/>
      <c r="T205" s="145"/>
    </row>
    <row r="206" spans="1:20" hidden="1">
      <c r="A206" s="70">
        <v>243</v>
      </c>
      <c r="B206" s="69" t="s">
        <v>1659</v>
      </c>
      <c r="C206" s="69" t="s">
        <v>1259</v>
      </c>
      <c r="D206" s="69" t="s">
        <v>1260</v>
      </c>
      <c r="E206" s="69" t="s">
        <v>631</v>
      </c>
      <c r="F206" s="69"/>
      <c r="G206" s="70">
        <v>2</v>
      </c>
      <c r="H206" s="69"/>
      <c r="I206" s="70">
        <v>1</v>
      </c>
      <c r="J206" s="69"/>
      <c r="K206" s="70">
        <v>3</v>
      </c>
      <c r="L206" s="69"/>
      <c r="M206" s="69"/>
      <c r="N206" s="69"/>
      <c r="O206" s="69"/>
      <c r="P206" s="69"/>
      <c r="Q206" s="69"/>
      <c r="R206" s="69"/>
      <c r="S206" s="69"/>
      <c r="T206" s="69"/>
    </row>
    <row r="207" spans="1:20" hidden="1">
      <c r="A207" s="144">
        <v>244</v>
      </c>
      <c r="B207" s="145" t="s">
        <v>1660</v>
      </c>
      <c r="C207" s="145" t="s">
        <v>1262</v>
      </c>
      <c r="D207" s="145" t="s">
        <v>1263</v>
      </c>
      <c r="E207" s="145" t="s">
        <v>639</v>
      </c>
      <c r="F207" s="145"/>
      <c r="G207" s="145"/>
      <c r="H207" s="145"/>
      <c r="I207" s="144">
        <v>1</v>
      </c>
      <c r="J207" s="145"/>
      <c r="K207" s="144">
        <v>1</v>
      </c>
      <c r="L207" s="145"/>
      <c r="M207" s="145"/>
      <c r="N207" s="145"/>
      <c r="O207" s="145"/>
      <c r="P207" s="145"/>
      <c r="Q207" s="145"/>
      <c r="R207" s="145"/>
      <c r="S207" s="145"/>
      <c r="T207" s="145"/>
    </row>
    <row r="208" spans="1:20" hidden="1">
      <c r="A208" s="70">
        <v>245</v>
      </c>
      <c r="B208" s="69" t="s">
        <v>1661</v>
      </c>
      <c r="C208" s="69" t="s">
        <v>1265</v>
      </c>
      <c r="D208" s="69" t="s">
        <v>1266</v>
      </c>
      <c r="E208" s="69" t="s">
        <v>621</v>
      </c>
      <c r="F208" s="69"/>
      <c r="G208" s="69"/>
      <c r="H208" s="69"/>
      <c r="I208" s="70">
        <v>1</v>
      </c>
      <c r="J208" s="70">
        <v>1</v>
      </c>
      <c r="K208" s="70">
        <v>2</v>
      </c>
      <c r="L208" s="69"/>
      <c r="M208" s="69"/>
      <c r="N208" s="69"/>
      <c r="O208" s="69"/>
      <c r="P208" s="69"/>
      <c r="Q208" s="69"/>
      <c r="R208" s="69"/>
      <c r="S208" s="69"/>
      <c r="T208" s="69"/>
    </row>
    <row r="209" spans="1:20" hidden="1">
      <c r="A209" s="144">
        <v>246</v>
      </c>
      <c r="B209" s="145" t="s">
        <v>1662</v>
      </c>
      <c r="C209" s="145" t="s">
        <v>237</v>
      </c>
      <c r="D209" s="145" t="s">
        <v>1268</v>
      </c>
      <c r="E209" s="145" t="s">
        <v>621</v>
      </c>
      <c r="F209" s="145"/>
      <c r="G209" s="145"/>
      <c r="H209" s="144">
        <v>1</v>
      </c>
      <c r="I209" s="144">
        <v>1</v>
      </c>
      <c r="J209" s="145"/>
      <c r="K209" s="144">
        <v>2</v>
      </c>
      <c r="L209" s="145"/>
      <c r="M209" s="145"/>
      <c r="N209" s="145" t="s">
        <v>1355</v>
      </c>
      <c r="O209" s="145"/>
      <c r="P209" s="145"/>
      <c r="Q209" s="145"/>
      <c r="R209" s="145"/>
      <c r="S209" s="145"/>
      <c r="T209" s="145"/>
    </row>
    <row r="210" spans="1:20" hidden="1">
      <c r="A210" s="70">
        <v>247</v>
      </c>
      <c r="B210" s="69" t="s">
        <v>1663</v>
      </c>
      <c r="C210" s="69" t="s">
        <v>1270</v>
      </c>
      <c r="D210" s="69" t="s">
        <v>1271</v>
      </c>
      <c r="E210" s="69" t="s">
        <v>621</v>
      </c>
      <c r="F210" s="70">
        <v>1</v>
      </c>
      <c r="G210" s="69"/>
      <c r="H210" s="70">
        <v>1</v>
      </c>
      <c r="I210" s="69"/>
      <c r="J210" s="69"/>
      <c r="K210" s="70">
        <v>2</v>
      </c>
      <c r="L210" s="69"/>
      <c r="M210" s="69"/>
      <c r="N210" s="69"/>
      <c r="O210" s="69"/>
      <c r="P210" s="69"/>
      <c r="Q210" s="69"/>
      <c r="R210" s="69"/>
      <c r="S210" s="69"/>
      <c r="T210" s="69"/>
    </row>
    <row r="211" spans="1:20" hidden="1">
      <c r="A211" s="144">
        <v>248</v>
      </c>
      <c r="B211" s="145" t="s">
        <v>1664</v>
      </c>
      <c r="C211" s="145" t="s">
        <v>1665</v>
      </c>
      <c r="D211" s="145" t="s">
        <v>1666</v>
      </c>
      <c r="E211" s="145" t="s">
        <v>639</v>
      </c>
      <c r="F211" s="145"/>
      <c r="G211" s="145"/>
      <c r="H211" s="145"/>
      <c r="I211" s="144">
        <v>1</v>
      </c>
      <c r="J211" s="145"/>
      <c r="K211" s="144">
        <v>1</v>
      </c>
      <c r="L211" s="145"/>
      <c r="M211" s="145"/>
      <c r="N211" s="145"/>
      <c r="O211" s="145"/>
      <c r="P211" s="145"/>
      <c r="Q211" s="145"/>
      <c r="R211" s="145"/>
      <c r="S211" s="145"/>
      <c r="T211" s="145"/>
    </row>
    <row r="212" spans="1:20">
      <c r="A212" s="70">
        <v>249</v>
      </c>
      <c r="B212" s="69" t="s">
        <v>1667</v>
      </c>
      <c r="C212" s="69" t="s">
        <v>1668</v>
      </c>
      <c r="D212" s="69" t="s">
        <v>1669</v>
      </c>
      <c r="E212" s="69" t="s">
        <v>1358</v>
      </c>
      <c r="F212" s="70">
        <v>1</v>
      </c>
      <c r="G212" s="69"/>
      <c r="H212" s="70">
        <v>1</v>
      </c>
      <c r="I212" s="70">
        <v>1</v>
      </c>
      <c r="J212" s="70">
        <v>1</v>
      </c>
      <c r="K212" s="70">
        <v>4</v>
      </c>
      <c r="L212" s="69"/>
      <c r="M212" s="69"/>
      <c r="N212" s="69"/>
      <c r="O212" s="69"/>
      <c r="P212" s="69"/>
      <c r="Q212" s="69" t="s">
        <v>1468</v>
      </c>
      <c r="R212" s="69"/>
      <c r="S212" s="69" t="s">
        <v>1670</v>
      </c>
      <c r="T212" s="69"/>
    </row>
    <row r="213" spans="1:20" hidden="1">
      <c r="A213" s="144">
        <v>250</v>
      </c>
      <c r="B213" s="145" t="s">
        <v>1671</v>
      </c>
      <c r="C213" s="145" t="s">
        <v>325</v>
      </c>
      <c r="D213" s="145" t="s">
        <v>326</v>
      </c>
      <c r="E213" s="145" t="s">
        <v>631</v>
      </c>
      <c r="F213" s="145"/>
      <c r="G213" s="145"/>
      <c r="H213" s="144">
        <v>1</v>
      </c>
      <c r="I213" s="144">
        <v>1</v>
      </c>
      <c r="J213" s="144">
        <v>1</v>
      </c>
      <c r="K213" s="144">
        <v>3</v>
      </c>
      <c r="L213" s="145"/>
      <c r="M213" s="145"/>
      <c r="N213" s="145" t="s">
        <v>1410</v>
      </c>
      <c r="O213" s="145"/>
      <c r="P213" s="145"/>
      <c r="Q213" s="145" t="s">
        <v>1363</v>
      </c>
      <c r="R213" s="145"/>
      <c r="S213" s="145"/>
      <c r="T213" s="145"/>
    </row>
    <row r="214" spans="1:20" hidden="1">
      <c r="A214" s="70">
        <v>252</v>
      </c>
      <c r="B214" s="69" t="s">
        <v>1672</v>
      </c>
      <c r="C214" s="69" t="s">
        <v>1673</v>
      </c>
      <c r="D214" s="69" t="s">
        <v>1674</v>
      </c>
      <c r="E214" s="69" t="s">
        <v>639</v>
      </c>
      <c r="F214" s="69"/>
      <c r="G214" s="69"/>
      <c r="H214" s="69"/>
      <c r="I214" s="70">
        <v>1</v>
      </c>
      <c r="J214" s="69"/>
      <c r="K214" s="70">
        <v>1</v>
      </c>
      <c r="L214" s="69"/>
      <c r="M214" s="69"/>
      <c r="N214" s="69"/>
      <c r="O214" s="69"/>
      <c r="P214" s="69"/>
      <c r="Q214" s="69"/>
      <c r="R214" s="69"/>
      <c r="S214" s="69"/>
      <c r="T214" s="69"/>
    </row>
    <row r="215" spans="1:20">
      <c r="A215" s="144">
        <v>255</v>
      </c>
      <c r="B215" s="145" t="s">
        <v>1675</v>
      </c>
      <c r="C215" s="145" t="s">
        <v>1676</v>
      </c>
      <c r="D215" s="145" t="s">
        <v>1677</v>
      </c>
      <c r="E215" s="145" t="s">
        <v>1358</v>
      </c>
      <c r="F215" s="144">
        <v>1</v>
      </c>
      <c r="G215" s="145"/>
      <c r="H215" s="144">
        <v>1</v>
      </c>
      <c r="I215" s="144">
        <v>1</v>
      </c>
      <c r="J215" s="144">
        <v>1</v>
      </c>
      <c r="K215" s="144">
        <v>4</v>
      </c>
      <c r="L215" s="145"/>
      <c r="M215" s="145"/>
      <c r="N215" s="145"/>
      <c r="O215" s="145"/>
      <c r="P215" s="145"/>
      <c r="Q215" s="145" t="s">
        <v>1359</v>
      </c>
      <c r="R215" s="145"/>
      <c r="S215" s="145" t="s">
        <v>1359</v>
      </c>
      <c r="T215" s="145"/>
    </row>
    <row r="216" spans="1:20" hidden="1">
      <c r="A216" s="70">
        <v>241</v>
      </c>
      <c r="B216" s="69" t="s">
        <v>1678</v>
      </c>
      <c r="C216" s="69" t="s">
        <v>1301</v>
      </c>
      <c r="D216" s="69" t="s">
        <v>1302</v>
      </c>
      <c r="E216" s="69" t="s">
        <v>631</v>
      </c>
      <c r="F216" s="70">
        <v>1</v>
      </c>
      <c r="G216" s="69"/>
      <c r="H216" s="70">
        <v>1</v>
      </c>
      <c r="I216" s="70">
        <v>1</v>
      </c>
      <c r="J216" s="69"/>
      <c r="K216" s="70">
        <v>3</v>
      </c>
      <c r="L216" s="69"/>
      <c r="M216" s="69"/>
      <c r="N216" s="69"/>
      <c r="O216" s="69"/>
      <c r="P216" s="69"/>
      <c r="Q216" s="69"/>
      <c r="R216" s="69"/>
      <c r="S216" s="69"/>
      <c r="T216" s="69"/>
    </row>
    <row r="217" spans="1:20">
      <c r="A217" s="144">
        <v>242</v>
      </c>
      <c r="B217" s="145" t="s">
        <v>1679</v>
      </c>
      <c r="C217" s="145" t="s">
        <v>146</v>
      </c>
      <c r="D217" s="145" t="s">
        <v>1680</v>
      </c>
      <c r="E217" s="145" t="s">
        <v>1358</v>
      </c>
      <c r="F217" s="144">
        <v>1</v>
      </c>
      <c r="G217" s="145"/>
      <c r="H217" s="144">
        <v>1</v>
      </c>
      <c r="I217" s="144">
        <v>1</v>
      </c>
      <c r="J217" s="144">
        <v>1</v>
      </c>
      <c r="K217" s="144">
        <v>4</v>
      </c>
      <c r="L217" s="145"/>
      <c r="M217" s="145"/>
      <c r="N217" s="145"/>
      <c r="O217" s="145"/>
      <c r="P217" s="145"/>
      <c r="Q217" s="145"/>
      <c r="R217" s="145"/>
      <c r="S217" s="145"/>
      <c r="T217" s="145"/>
    </row>
    <row r="218" spans="1:20">
      <c r="A218" s="70">
        <v>243</v>
      </c>
      <c r="B218" s="69" t="s">
        <v>1681</v>
      </c>
      <c r="C218" s="69" t="s">
        <v>1682</v>
      </c>
      <c r="D218" s="69" t="s">
        <v>1683</v>
      </c>
      <c r="E218" s="69" t="s">
        <v>1358</v>
      </c>
      <c r="F218" s="70">
        <v>1</v>
      </c>
      <c r="G218" s="69"/>
      <c r="H218" s="70">
        <v>1</v>
      </c>
      <c r="I218" s="70">
        <v>1</v>
      </c>
      <c r="J218" s="70">
        <v>1</v>
      </c>
      <c r="K218" s="70">
        <v>4</v>
      </c>
      <c r="L218" s="69"/>
      <c r="M218" s="69"/>
      <c r="N218" s="69"/>
      <c r="O218" s="69"/>
      <c r="P218" s="69"/>
      <c r="Q218" s="69"/>
      <c r="R218" s="69"/>
      <c r="S218" s="69"/>
      <c r="T218" s="69"/>
    </row>
    <row r="219" spans="1:20" hidden="1">
      <c r="A219" s="144">
        <v>244</v>
      </c>
      <c r="B219" s="145" t="s">
        <v>1678</v>
      </c>
      <c r="C219" s="145" t="s">
        <v>1684</v>
      </c>
      <c r="D219" s="145" t="s">
        <v>1685</v>
      </c>
      <c r="E219" s="145" t="s">
        <v>639</v>
      </c>
      <c r="F219" s="145"/>
      <c r="G219" s="145"/>
      <c r="H219" s="145"/>
      <c r="I219" s="144">
        <v>1</v>
      </c>
      <c r="J219" s="145"/>
      <c r="K219" s="144">
        <v>1</v>
      </c>
      <c r="L219" s="145"/>
      <c r="M219" s="145"/>
      <c r="N219" s="145"/>
      <c r="O219" s="145"/>
      <c r="P219" s="145"/>
      <c r="Q219" s="145"/>
      <c r="R219" s="145"/>
      <c r="S219" s="145"/>
      <c r="T219" s="145"/>
    </row>
    <row r="220" spans="1:20">
      <c r="A220" s="70">
        <v>245</v>
      </c>
      <c r="B220" s="69" t="s">
        <v>1686</v>
      </c>
      <c r="C220" s="69" t="s">
        <v>1687</v>
      </c>
      <c r="D220" s="69" t="s">
        <v>1688</v>
      </c>
      <c r="E220" s="69" t="s">
        <v>1358</v>
      </c>
      <c r="F220" s="70">
        <v>1</v>
      </c>
      <c r="G220" s="69"/>
      <c r="H220" s="70">
        <v>1</v>
      </c>
      <c r="I220" s="70">
        <v>1</v>
      </c>
      <c r="J220" s="70">
        <v>1</v>
      </c>
      <c r="K220" s="70">
        <v>4</v>
      </c>
      <c r="L220" s="69"/>
      <c r="M220" s="69"/>
      <c r="N220" s="69"/>
      <c r="O220" s="69"/>
      <c r="P220" s="69"/>
      <c r="Q220" s="69"/>
      <c r="R220" s="69"/>
      <c r="S220" s="69"/>
      <c r="T220" s="69"/>
    </row>
    <row r="221" spans="1:20">
      <c r="A221" s="144">
        <v>246</v>
      </c>
      <c r="B221" s="145" t="s">
        <v>1678</v>
      </c>
      <c r="C221" s="145" t="s">
        <v>1689</v>
      </c>
      <c r="D221" s="145" t="s">
        <v>1690</v>
      </c>
      <c r="E221" s="145" t="s">
        <v>1358</v>
      </c>
      <c r="F221" s="144">
        <v>1</v>
      </c>
      <c r="G221" s="144">
        <v>2</v>
      </c>
      <c r="H221" s="144">
        <v>1</v>
      </c>
      <c r="I221" s="144">
        <v>1</v>
      </c>
      <c r="J221" s="145"/>
      <c r="K221" s="144">
        <v>5</v>
      </c>
      <c r="L221" s="145"/>
      <c r="M221" s="145"/>
      <c r="N221" s="145"/>
      <c r="O221" s="145"/>
      <c r="P221" s="145"/>
      <c r="Q221" s="145"/>
      <c r="R221" s="145"/>
      <c r="S221" s="145"/>
      <c r="T221" s="145"/>
    </row>
    <row r="222" spans="1:20">
      <c r="A222" s="70">
        <v>247</v>
      </c>
      <c r="B222" s="69" t="s">
        <v>1691</v>
      </c>
      <c r="C222" s="69" t="s">
        <v>1692</v>
      </c>
      <c r="D222" s="147" t="s">
        <v>1693</v>
      </c>
      <c r="E222" s="69" t="s">
        <v>1358</v>
      </c>
      <c r="F222" s="70">
        <v>1</v>
      </c>
      <c r="G222" s="69"/>
      <c r="H222" s="70">
        <v>1</v>
      </c>
      <c r="I222" s="70">
        <v>1</v>
      </c>
      <c r="J222" s="70">
        <v>1</v>
      </c>
      <c r="K222" s="70">
        <v>4</v>
      </c>
      <c r="L222" s="69"/>
      <c r="M222" s="69"/>
      <c r="N222" s="69"/>
      <c r="O222" s="69"/>
      <c r="P222" s="69"/>
      <c r="Q222" s="69"/>
      <c r="R222" s="69"/>
      <c r="S222" s="69"/>
      <c r="T222" s="69"/>
    </row>
    <row r="223" spans="1:20" hidden="1">
      <c r="A223" s="144">
        <v>248</v>
      </c>
      <c r="B223" s="145" t="s">
        <v>1694</v>
      </c>
      <c r="C223" s="145" t="s">
        <v>320</v>
      </c>
      <c r="D223" s="148" t="s">
        <v>321</v>
      </c>
      <c r="E223" s="145" t="s">
        <v>631</v>
      </c>
      <c r="F223" s="144">
        <v>1</v>
      </c>
      <c r="G223" s="145"/>
      <c r="H223" s="144">
        <v>1</v>
      </c>
      <c r="I223" s="144">
        <v>1</v>
      </c>
      <c r="J223" s="145"/>
      <c r="K223" s="144">
        <v>3</v>
      </c>
      <c r="L223" s="145"/>
      <c r="M223" s="145"/>
      <c r="N223" s="145"/>
      <c r="O223" s="145"/>
      <c r="P223" s="145"/>
      <c r="Q223" s="145"/>
      <c r="R223" s="145"/>
      <c r="S223" s="145"/>
      <c r="T223" s="145"/>
    </row>
    <row r="224" spans="1:20">
      <c r="A224" s="70">
        <v>249</v>
      </c>
      <c r="B224" s="69" t="s">
        <v>1695</v>
      </c>
      <c r="C224" s="69" t="s">
        <v>288</v>
      </c>
      <c r="D224" s="69" t="s">
        <v>1696</v>
      </c>
      <c r="E224" s="69" t="s">
        <v>1358</v>
      </c>
      <c r="F224" s="70">
        <v>1</v>
      </c>
      <c r="G224" s="69"/>
      <c r="H224" s="70">
        <v>1</v>
      </c>
      <c r="I224" s="70">
        <v>1</v>
      </c>
      <c r="J224" s="70">
        <v>1</v>
      </c>
      <c r="K224" s="70">
        <v>4</v>
      </c>
      <c r="L224" s="69"/>
      <c r="M224" s="69"/>
      <c r="N224" s="69"/>
      <c r="O224" s="69"/>
      <c r="P224" s="69"/>
      <c r="Q224" s="69"/>
      <c r="R224" s="69"/>
      <c r="S224" s="69"/>
      <c r="T224" s="69"/>
    </row>
    <row r="225" spans="1:20" hidden="1">
      <c r="A225" s="144">
        <v>250</v>
      </c>
      <c r="B225" s="145" t="s">
        <v>1697</v>
      </c>
      <c r="C225" s="145" t="s">
        <v>1698</v>
      </c>
      <c r="D225" s="145" t="s">
        <v>1699</v>
      </c>
      <c r="E225" s="145" t="s">
        <v>631</v>
      </c>
      <c r="F225" s="145"/>
      <c r="G225" s="144">
        <v>2</v>
      </c>
      <c r="H225" s="145"/>
      <c r="I225" s="144">
        <v>1</v>
      </c>
      <c r="J225" s="145"/>
      <c r="K225" s="144">
        <v>3</v>
      </c>
      <c r="L225" s="145"/>
      <c r="M225" s="145"/>
      <c r="N225" s="145"/>
      <c r="O225" s="145"/>
      <c r="P225" s="145"/>
      <c r="Q225" s="145"/>
      <c r="R225" s="145"/>
      <c r="S225" s="145"/>
      <c r="T225" s="145"/>
    </row>
    <row r="226" spans="1:20" hidden="1">
      <c r="A226" s="70">
        <v>251</v>
      </c>
      <c r="B226" s="69" t="s">
        <v>1700</v>
      </c>
      <c r="C226" s="69" t="s">
        <v>1290</v>
      </c>
      <c r="D226" s="69" t="s">
        <v>1291</v>
      </c>
      <c r="E226" s="69" t="s">
        <v>621</v>
      </c>
      <c r="F226" s="69"/>
      <c r="G226" s="69"/>
      <c r="H226" s="70">
        <v>1</v>
      </c>
      <c r="I226" s="70">
        <v>1</v>
      </c>
      <c r="J226" s="69"/>
      <c r="K226" s="70">
        <v>2</v>
      </c>
      <c r="L226" s="69"/>
      <c r="M226" s="69"/>
      <c r="N226" s="69"/>
      <c r="O226" s="69"/>
      <c r="P226" s="69"/>
      <c r="Q226" s="69"/>
      <c r="R226" s="69"/>
      <c r="S226" s="69"/>
      <c r="T226" s="69"/>
    </row>
    <row r="227" spans="1:20" hidden="1">
      <c r="A227" s="144">
        <v>252</v>
      </c>
      <c r="B227" s="145" t="s">
        <v>1701</v>
      </c>
      <c r="C227" s="145" t="s">
        <v>1287</v>
      </c>
      <c r="D227" s="145" t="s">
        <v>1288</v>
      </c>
      <c r="E227" s="145" t="s">
        <v>631</v>
      </c>
      <c r="F227" s="145"/>
      <c r="G227" s="145"/>
      <c r="H227" s="144">
        <v>1</v>
      </c>
      <c r="I227" s="144">
        <v>1</v>
      </c>
      <c r="J227" s="144">
        <v>1</v>
      </c>
      <c r="K227" s="144">
        <v>3</v>
      </c>
      <c r="L227" s="145"/>
      <c r="M227" s="145"/>
      <c r="N227" s="145"/>
      <c r="O227" s="145"/>
      <c r="P227" s="145"/>
      <c r="Q227" s="145"/>
      <c r="R227" s="145"/>
      <c r="S227" s="145"/>
      <c r="T227" s="145"/>
    </row>
    <row r="228" spans="1:20" hidden="1">
      <c r="A228" s="70">
        <v>253</v>
      </c>
      <c r="B228" s="69" t="s">
        <v>1702</v>
      </c>
      <c r="C228" s="69" t="s">
        <v>1276</v>
      </c>
      <c r="D228" s="69" t="s">
        <v>1277</v>
      </c>
      <c r="E228" s="69" t="s">
        <v>631</v>
      </c>
      <c r="F228" s="70">
        <v>1</v>
      </c>
      <c r="G228" s="69"/>
      <c r="H228" s="70">
        <v>1</v>
      </c>
      <c r="I228" s="70">
        <v>1</v>
      </c>
      <c r="J228" s="69"/>
      <c r="K228" s="70">
        <v>3</v>
      </c>
      <c r="L228" s="69"/>
      <c r="M228" s="69"/>
      <c r="N228" s="69"/>
      <c r="O228" s="69"/>
      <c r="P228" s="69"/>
      <c r="Q228" s="69"/>
      <c r="R228" s="69"/>
      <c r="S228" s="69"/>
      <c r="T228" s="69"/>
    </row>
    <row r="229" spans="1:20">
      <c r="A229" s="144">
        <v>254</v>
      </c>
      <c r="B229" s="145" t="s">
        <v>1703</v>
      </c>
      <c r="C229" s="145" t="s">
        <v>1704</v>
      </c>
      <c r="D229" s="145" t="s">
        <v>1705</v>
      </c>
      <c r="E229" s="145" t="s">
        <v>1358</v>
      </c>
      <c r="F229" s="144">
        <v>1</v>
      </c>
      <c r="G229" s="144">
        <v>2</v>
      </c>
      <c r="H229" s="144">
        <v>1</v>
      </c>
      <c r="I229" s="144">
        <v>1</v>
      </c>
      <c r="J229" s="145"/>
      <c r="K229" s="144">
        <v>5</v>
      </c>
      <c r="L229" s="145"/>
      <c r="M229" s="145"/>
      <c r="N229" s="145"/>
      <c r="O229" s="145"/>
      <c r="P229" s="145"/>
      <c r="Q229" s="145"/>
      <c r="R229" s="145"/>
      <c r="S229" s="145"/>
      <c r="T229" s="145"/>
    </row>
    <row r="230" spans="1:20" hidden="1">
      <c r="A230" s="70">
        <v>255</v>
      </c>
      <c r="B230" s="69"/>
      <c r="C230" s="149" t="s">
        <v>1297</v>
      </c>
      <c r="D230" s="69" t="s">
        <v>1298</v>
      </c>
      <c r="E230" s="69" t="s">
        <v>639</v>
      </c>
      <c r="F230" s="69"/>
      <c r="G230" s="69"/>
      <c r="H230" s="69"/>
      <c r="I230" s="70">
        <v>1</v>
      </c>
      <c r="J230" s="69"/>
      <c r="K230" s="70">
        <v>1</v>
      </c>
      <c r="L230" s="69"/>
      <c r="M230" s="69"/>
      <c r="N230" s="69"/>
      <c r="O230" s="69"/>
      <c r="P230" s="69"/>
      <c r="Q230" s="69"/>
      <c r="R230" s="69"/>
      <c r="S230" s="69"/>
      <c r="T230" s="69"/>
    </row>
    <row r="231" spans="1:20" hidden="1">
      <c r="A231" s="144">
        <v>256</v>
      </c>
      <c r="B231" s="145"/>
      <c r="C231" s="145" t="s">
        <v>1279</v>
      </c>
      <c r="D231" s="145" t="s">
        <v>1280</v>
      </c>
      <c r="E231" s="145" t="s">
        <v>621</v>
      </c>
      <c r="F231" s="145"/>
      <c r="G231" s="145"/>
      <c r="H231" s="144">
        <v>1</v>
      </c>
      <c r="I231" s="144">
        <v>1</v>
      </c>
      <c r="J231" s="145"/>
      <c r="K231" s="144">
        <v>2</v>
      </c>
      <c r="L231" s="145"/>
      <c r="M231" s="145"/>
      <c r="N231" s="145"/>
      <c r="O231" s="145"/>
      <c r="P231" s="145"/>
      <c r="Q231" s="145"/>
      <c r="R231" s="145"/>
      <c r="S231" s="145"/>
      <c r="T231" s="145"/>
    </row>
    <row r="232" spans="1:20" hidden="1">
      <c r="A232" s="70">
        <v>257</v>
      </c>
      <c r="B232" s="69"/>
      <c r="C232" s="69" t="s">
        <v>1282</v>
      </c>
      <c r="D232" s="69" t="s">
        <v>1283</v>
      </c>
      <c r="E232" s="69" t="s">
        <v>639</v>
      </c>
      <c r="F232" s="69"/>
      <c r="G232" s="69"/>
      <c r="H232" s="69"/>
      <c r="I232" s="70">
        <v>1</v>
      </c>
      <c r="J232" s="69"/>
      <c r="K232" s="69"/>
      <c r="L232" s="69"/>
      <c r="M232" s="69"/>
      <c r="N232" s="69"/>
      <c r="O232" s="69"/>
      <c r="P232" s="69"/>
      <c r="Q232" s="69"/>
      <c r="R232" s="69"/>
      <c r="S232" s="69"/>
      <c r="T232" s="69"/>
    </row>
    <row r="233" spans="1:20" hidden="1">
      <c r="A233" s="144">
        <v>258</v>
      </c>
      <c r="B233" s="145"/>
      <c r="C233" s="145" t="s">
        <v>308</v>
      </c>
      <c r="D233" s="145" t="s">
        <v>1285</v>
      </c>
      <c r="E233" s="145" t="s">
        <v>631</v>
      </c>
      <c r="F233" s="144">
        <v>1</v>
      </c>
      <c r="G233" s="145"/>
      <c r="H233" s="144">
        <v>1</v>
      </c>
      <c r="I233" s="144">
        <v>1</v>
      </c>
      <c r="J233" s="145"/>
      <c r="K233" s="144">
        <v>3</v>
      </c>
      <c r="L233" s="145"/>
      <c r="M233" s="145"/>
      <c r="N233" s="145"/>
      <c r="O233" s="145"/>
      <c r="P233" s="145"/>
      <c r="Q233" s="145"/>
      <c r="R233" s="145"/>
      <c r="S233" s="145"/>
      <c r="T233" s="145"/>
    </row>
    <row r="234" spans="1:20" hidden="1">
      <c r="A234" s="70">
        <v>259</v>
      </c>
      <c r="B234" s="69"/>
      <c r="C234" s="69" t="s">
        <v>1698</v>
      </c>
      <c r="D234" s="69" t="s">
        <v>1706</v>
      </c>
      <c r="E234" s="69" t="s">
        <v>631</v>
      </c>
      <c r="F234" s="69"/>
      <c r="G234" s="70">
        <v>2</v>
      </c>
      <c r="H234" s="69"/>
      <c r="I234" s="70">
        <v>1</v>
      </c>
      <c r="J234" s="69"/>
      <c r="K234" s="70">
        <v>3</v>
      </c>
      <c r="L234" s="69"/>
      <c r="M234" s="69"/>
      <c r="N234" s="69"/>
      <c r="O234" s="69"/>
      <c r="P234" s="69"/>
      <c r="Q234" s="69"/>
      <c r="R234" s="69"/>
      <c r="S234" s="69"/>
      <c r="T234" s="69"/>
    </row>
    <row r="235" spans="1:20" hidden="1">
      <c r="A235" s="144">
        <v>260</v>
      </c>
      <c r="B235" s="145"/>
      <c r="C235" s="145" t="s">
        <v>1684</v>
      </c>
      <c r="D235" s="145" t="s">
        <v>1685</v>
      </c>
      <c r="E235" s="145" t="s">
        <v>639</v>
      </c>
      <c r="F235" s="145"/>
      <c r="G235" s="145"/>
      <c r="H235" s="145"/>
      <c r="I235" s="144">
        <v>1</v>
      </c>
      <c r="J235" s="145"/>
      <c r="K235" s="144">
        <v>1</v>
      </c>
      <c r="L235" s="145"/>
      <c r="M235" s="145"/>
      <c r="N235" s="145"/>
      <c r="O235" s="145"/>
      <c r="P235" s="145"/>
      <c r="Q235" s="145"/>
      <c r="R235" s="145"/>
      <c r="S235" s="145"/>
      <c r="T235" s="145"/>
    </row>
    <row r="236" spans="1:20" hidden="1">
      <c r="A236" s="69"/>
      <c r="B236" s="69"/>
      <c r="C236" s="69" t="s">
        <v>1293</v>
      </c>
      <c r="D236" s="69" t="s">
        <v>1294</v>
      </c>
      <c r="E236" s="69" t="s">
        <v>631</v>
      </c>
      <c r="F236" s="70">
        <v>1</v>
      </c>
      <c r="G236" s="69"/>
      <c r="H236" s="70">
        <v>1</v>
      </c>
      <c r="I236" s="69"/>
      <c r="J236" s="70">
        <v>1</v>
      </c>
      <c r="K236" s="70">
        <v>3</v>
      </c>
      <c r="L236" s="69"/>
      <c r="M236" s="69"/>
      <c r="N236" s="69"/>
      <c r="O236" s="69"/>
      <c r="P236" s="69"/>
      <c r="Q236" s="69"/>
      <c r="R236" s="69"/>
      <c r="S236" s="69"/>
      <c r="T236" s="69"/>
    </row>
    <row r="237" spans="1:20" hidden="1">
      <c r="A237" s="145"/>
      <c r="B237" s="145"/>
      <c r="C237" s="145" t="s">
        <v>1297</v>
      </c>
      <c r="D237" s="145" t="s">
        <v>1298</v>
      </c>
      <c r="E237" s="145" t="s">
        <v>639</v>
      </c>
      <c r="F237" s="145"/>
      <c r="G237" s="145"/>
      <c r="H237" s="145"/>
      <c r="I237" s="144">
        <v>1</v>
      </c>
      <c r="J237" s="145"/>
      <c r="K237" s="144">
        <v>1</v>
      </c>
      <c r="L237" s="145"/>
      <c r="M237" s="145"/>
      <c r="N237" s="145"/>
      <c r="O237" s="145"/>
      <c r="P237" s="145"/>
      <c r="Q237" s="145"/>
      <c r="R237" s="145"/>
      <c r="S237" s="145"/>
      <c r="T237" s="145"/>
    </row>
    <row r="238" spans="1:20" hidden="1">
      <c r="A238" s="69"/>
      <c r="B238" s="69"/>
      <c r="C238" s="69" t="s">
        <v>1324</v>
      </c>
      <c r="D238" s="69" t="s">
        <v>1325</v>
      </c>
      <c r="E238" s="69" t="s">
        <v>639</v>
      </c>
      <c r="F238" s="69"/>
      <c r="G238" s="69"/>
      <c r="H238" s="69"/>
      <c r="I238" s="69"/>
      <c r="J238" s="70">
        <v>1</v>
      </c>
      <c r="K238" s="70">
        <v>1</v>
      </c>
      <c r="L238" s="69"/>
      <c r="M238" s="69"/>
      <c r="N238" s="69"/>
      <c r="O238" s="69"/>
      <c r="P238" s="69"/>
      <c r="Q238" s="69"/>
      <c r="R238" s="69"/>
      <c r="S238" s="69"/>
      <c r="T238" s="69"/>
    </row>
    <row r="239" spans="1:20" hidden="1">
      <c r="A239" s="145"/>
      <c r="B239" s="145"/>
      <c r="C239" s="145" t="s">
        <v>1327</v>
      </c>
      <c r="D239" s="145" t="s">
        <v>1328</v>
      </c>
      <c r="E239" s="145" t="s">
        <v>621</v>
      </c>
      <c r="F239" s="145"/>
      <c r="G239" s="145"/>
      <c r="H239" s="144">
        <v>1</v>
      </c>
      <c r="I239" s="144">
        <v>1</v>
      </c>
      <c r="J239" s="145"/>
      <c r="K239" s="144">
        <v>2</v>
      </c>
      <c r="L239" s="145"/>
      <c r="M239" s="145"/>
      <c r="N239" s="145"/>
      <c r="O239" s="145"/>
      <c r="P239" s="145"/>
      <c r="Q239" s="145"/>
      <c r="R239" s="145"/>
      <c r="S239" s="145"/>
      <c r="T239" s="145"/>
    </row>
    <row r="240" spans="1:20" hidden="1">
      <c r="A240" s="69"/>
      <c r="B240" s="69"/>
      <c r="C240" s="97" t="s">
        <v>257</v>
      </c>
      <c r="D240" s="69" t="s">
        <v>203</v>
      </c>
      <c r="E240" s="69" t="s">
        <v>621</v>
      </c>
      <c r="F240" s="70">
        <v>1</v>
      </c>
      <c r="G240" s="69"/>
      <c r="H240" s="69"/>
      <c r="I240" s="70">
        <v>1</v>
      </c>
      <c r="J240" s="69"/>
      <c r="K240" s="70">
        <v>2</v>
      </c>
      <c r="L240" s="69"/>
      <c r="M240" s="69"/>
      <c r="N240" s="69"/>
      <c r="O240" s="69"/>
      <c r="P240" s="69"/>
      <c r="Q240" s="69"/>
      <c r="R240" s="69"/>
      <c r="S240" s="69"/>
      <c r="T240" s="69"/>
    </row>
    <row r="241" spans="1:20" hidden="1">
      <c r="A241" s="145"/>
      <c r="B241" s="145"/>
      <c r="C241" s="145" t="s">
        <v>1076</v>
      </c>
      <c r="D241" s="145" t="s">
        <v>1077</v>
      </c>
      <c r="E241" s="145" t="s">
        <v>621</v>
      </c>
      <c r="F241" s="145"/>
      <c r="G241" s="145"/>
      <c r="H241" s="145"/>
      <c r="I241" s="144">
        <v>1</v>
      </c>
      <c r="J241" s="144">
        <v>1</v>
      </c>
      <c r="K241" s="144">
        <v>2</v>
      </c>
      <c r="L241" s="145"/>
      <c r="M241" s="145"/>
      <c r="N241" s="145"/>
      <c r="O241" s="145"/>
      <c r="P241" s="145"/>
      <c r="Q241" s="145"/>
      <c r="R241" s="145"/>
      <c r="S241" s="145"/>
      <c r="T241" s="145"/>
    </row>
  </sheetData>
  <autoFilter ref="A4:T241" xr:uid="{00000000-0009-0000-0000-000008000000}">
    <filterColumn colId="4">
      <filters>
        <filter val="1-Very Critical"/>
      </filters>
    </filterColumn>
  </autoFilter>
  <mergeCells count="2">
    <mergeCell ref="A1:J1"/>
    <mergeCell ref="A2:J2"/>
  </mergeCells>
  <pageMargins left="0" right="0" top="0" bottom="0" header="0" footer="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3C78D8"/>
    <outlinePr summaryBelow="0" summaryRight="0"/>
  </sheetPr>
  <dimension ref="A1:Z2284"/>
  <sheetViews>
    <sheetView workbookViewId="0">
      <pane ySplit="2" topLeftCell="A3" activePane="bottomLeft" state="frozen"/>
      <selection pane="bottomLeft" activeCell="B4" sqref="B4"/>
    </sheetView>
  </sheetViews>
  <sheetFormatPr defaultColWidth="12.5703125" defaultRowHeight="15.75" customHeight="1"/>
  <cols>
    <col min="1" max="1" width="12.42578125" customWidth="1"/>
    <col min="2" max="2" width="14.42578125" customWidth="1"/>
    <col min="3" max="3" width="16.42578125" customWidth="1"/>
    <col min="4" max="4" width="22.42578125" customWidth="1"/>
    <col min="5" max="5" width="8.42578125" customWidth="1"/>
    <col min="6" max="6" width="22.42578125" customWidth="1"/>
    <col min="7" max="7" width="24.42578125" customWidth="1"/>
    <col min="8" max="8" width="22.42578125" customWidth="1"/>
    <col min="9" max="9" width="14.5703125" customWidth="1"/>
    <col min="10" max="10" width="17.85546875" customWidth="1"/>
    <col min="13" max="13" width="17.140625" customWidth="1"/>
    <col min="14" max="14" width="33.7109375" customWidth="1"/>
    <col min="15" max="15" width="16.5703125" customWidth="1"/>
    <col min="19" max="19" width="14.140625" customWidth="1"/>
  </cols>
  <sheetData>
    <row r="1" spans="1:26">
      <c r="A1" s="688" t="s">
        <v>1707</v>
      </c>
      <c r="B1" s="688" t="s">
        <v>1708</v>
      </c>
      <c r="C1" s="688" t="s">
        <v>1709</v>
      </c>
      <c r="D1" s="688" t="s">
        <v>1710</v>
      </c>
      <c r="E1" s="688" t="s">
        <v>1711</v>
      </c>
      <c r="F1" s="688" t="s">
        <v>1712</v>
      </c>
      <c r="G1" s="688" t="s">
        <v>1713</v>
      </c>
      <c r="H1" s="688" t="s">
        <v>1714</v>
      </c>
      <c r="I1" s="150" t="s">
        <v>1715</v>
      </c>
      <c r="J1" s="151"/>
      <c r="K1" s="151"/>
      <c r="L1" s="688" t="s">
        <v>1716</v>
      </c>
      <c r="M1" s="688" t="s">
        <v>1717</v>
      </c>
      <c r="N1" s="688" t="s">
        <v>1718</v>
      </c>
      <c r="O1" s="688" t="s">
        <v>1719</v>
      </c>
      <c r="P1" s="688" t="s">
        <v>1720</v>
      </c>
      <c r="Q1" s="689" t="s">
        <v>1721</v>
      </c>
      <c r="R1" s="689" t="s">
        <v>1722</v>
      </c>
      <c r="S1" s="690" t="s">
        <v>1723</v>
      </c>
      <c r="T1" s="691" t="s">
        <v>1724</v>
      </c>
      <c r="U1" s="153"/>
      <c r="V1" s="153"/>
      <c r="W1" s="153"/>
      <c r="X1" s="153"/>
      <c r="Y1" s="153"/>
      <c r="Z1" s="153"/>
    </row>
    <row r="2" spans="1:26">
      <c r="A2" s="773"/>
      <c r="B2" s="773"/>
      <c r="C2" s="773"/>
      <c r="D2" s="773"/>
      <c r="E2" s="773"/>
      <c r="F2" s="773"/>
      <c r="G2" s="773"/>
      <c r="H2" s="773"/>
      <c r="I2" s="152" t="s">
        <v>1725</v>
      </c>
      <c r="J2" s="154" t="s">
        <v>1726</v>
      </c>
      <c r="K2" s="154" t="s">
        <v>1727</v>
      </c>
      <c r="L2" s="773"/>
      <c r="M2" s="773"/>
      <c r="N2" s="773"/>
      <c r="O2" s="773"/>
      <c r="P2" s="773"/>
      <c r="Q2" s="773"/>
      <c r="R2" s="773"/>
      <c r="S2" s="773"/>
      <c r="T2" s="773"/>
    </row>
    <row r="3" spans="1:26">
      <c r="A3" s="687" t="s">
        <v>1728</v>
      </c>
      <c r="B3" s="155" t="s">
        <v>1729</v>
      </c>
      <c r="C3" s="155" t="s">
        <v>1730</v>
      </c>
      <c r="D3" s="155" t="s">
        <v>1731</v>
      </c>
      <c r="E3" s="155" t="s">
        <v>1732</v>
      </c>
      <c r="F3" s="155" t="s">
        <v>1733</v>
      </c>
      <c r="G3" s="155" t="s">
        <v>1734</v>
      </c>
      <c r="H3" s="155" t="s">
        <v>1735</v>
      </c>
      <c r="I3" s="18" t="s">
        <v>1736</v>
      </c>
      <c r="J3" s="317" t="s">
        <v>1737</v>
      </c>
      <c r="K3" s="317" t="s">
        <v>1737</v>
      </c>
      <c r="L3" s="168"/>
      <c r="M3" s="156">
        <v>44848</v>
      </c>
      <c r="N3" s="22" t="s">
        <v>1738</v>
      </c>
      <c r="O3" s="157">
        <v>44959</v>
      </c>
      <c r="P3" s="22" t="s">
        <v>1739</v>
      </c>
      <c r="Q3" s="22"/>
      <c r="R3" s="22"/>
      <c r="S3" s="157">
        <v>44959</v>
      </c>
      <c r="T3" s="23" t="s">
        <v>1740</v>
      </c>
      <c r="V3" s="153"/>
      <c r="W3" s="153"/>
      <c r="X3" s="153"/>
      <c r="Y3" s="153"/>
      <c r="Z3" s="153"/>
    </row>
    <row r="4" spans="1:26">
      <c r="A4" s="773"/>
      <c r="B4" s="158" t="s">
        <v>1741</v>
      </c>
      <c r="C4" s="158" t="s">
        <v>1730</v>
      </c>
      <c r="D4" s="158" t="s">
        <v>1742</v>
      </c>
      <c r="E4" s="158" t="s">
        <v>1743</v>
      </c>
      <c r="F4" s="158" t="s">
        <v>1744</v>
      </c>
      <c r="G4" s="155" t="s">
        <v>1734</v>
      </c>
      <c r="H4" s="158" t="s">
        <v>1745</v>
      </c>
      <c r="I4" s="18" t="s">
        <v>1736</v>
      </c>
      <c r="J4" s="317" t="s">
        <v>1737</v>
      </c>
      <c r="K4" s="317" t="s">
        <v>1737</v>
      </c>
      <c r="L4" s="168"/>
      <c r="M4" s="156">
        <v>44848</v>
      </c>
      <c r="N4" s="168" t="s">
        <v>1746</v>
      </c>
      <c r="O4" s="157">
        <v>44959</v>
      </c>
      <c r="P4" s="168" t="s">
        <v>1747</v>
      </c>
      <c r="Q4" s="168"/>
      <c r="R4" s="168"/>
      <c r="S4" s="157">
        <v>44959</v>
      </c>
      <c r="T4" s="23" t="s">
        <v>1740</v>
      </c>
      <c r="U4" s="153"/>
      <c r="V4" s="153"/>
      <c r="W4" s="153"/>
      <c r="X4" s="153"/>
      <c r="Y4" s="153"/>
      <c r="Z4" s="153"/>
    </row>
    <row r="5" spans="1:26">
      <c r="A5" s="159" t="s">
        <v>1748</v>
      </c>
      <c r="B5" s="158" t="s">
        <v>1749</v>
      </c>
      <c r="C5" s="158" t="s">
        <v>1750</v>
      </c>
      <c r="D5" s="158" t="s">
        <v>1751</v>
      </c>
      <c r="E5" s="160" t="s">
        <v>1732</v>
      </c>
      <c r="F5" s="158" t="s">
        <v>1733</v>
      </c>
      <c r="G5" s="158" t="s">
        <v>1752</v>
      </c>
      <c r="H5" s="158" t="s">
        <v>1753</v>
      </c>
      <c r="I5" s="18" t="s">
        <v>1736</v>
      </c>
      <c r="J5" s="317" t="s">
        <v>1737</v>
      </c>
      <c r="K5" s="317" t="s">
        <v>1737</v>
      </c>
      <c r="L5" s="168"/>
      <c r="M5" s="156">
        <v>44851</v>
      </c>
      <c r="N5" s="168" t="s">
        <v>1754</v>
      </c>
      <c r="O5" s="157">
        <v>44959</v>
      </c>
      <c r="P5" s="168" t="s">
        <v>1755</v>
      </c>
      <c r="Q5" s="168"/>
      <c r="R5" s="168"/>
      <c r="S5" s="157">
        <v>44959</v>
      </c>
      <c r="T5" s="23" t="s">
        <v>1740</v>
      </c>
      <c r="V5" s="153"/>
      <c r="W5" s="153"/>
      <c r="X5" s="153"/>
      <c r="Y5" s="153"/>
      <c r="Z5" s="153"/>
    </row>
    <row r="6" spans="1:26">
      <c r="A6" s="685" t="s">
        <v>1756</v>
      </c>
      <c r="B6" s="158" t="s">
        <v>1757</v>
      </c>
      <c r="C6" s="158" t="s">
        <v>1758</v>
      </c>
      <c r="D6" s="158" t="s">
        <v>1759</v>
      </c>
      <c r="E6" s="158" t="s">
        <v>1732</v>
      </c>
      <c r="F6" s="158" t="s">
        <v>1760</v>
      </c>
      <c r="G6" s="158" t="s">
        <v>1761</v>
      </c>
      <c r="H6" s="158" t="s">
        <v>1762</v>
      </c>
      <c r="I6" s="18" t="s">
        <v>1736</v>
      </c>
      <c r="J6" s="317" t="s">
        <v>1737</v>
      </c>
      <c r="K6" s="317" t="s">
        <v>1737</v>
      </c>
      <c r="L6" s="168"/>
      <c r="M6" s="156">
        <v>44851</v>
      </c>
      <c r="N6" s="168" t="s">
        <v>1763</v>
      </c>
      <c r="O6" s="168"/>
      <c r="P6" s="168"/>
      <c r="Q6" s="168"/>
      <c r="R6" s="168"/>
      <c r="S6" s="156">
        <v>44851</v>
      </c>
      <c r="T6" s="23" t="s">
        <v>1740</v>
      </c>
      <c r="U6" s="153"/>
      <c r="V6" s="153"/>
      <c r="W6" s="153"/>
      <c r="X6" s="153"/>
      <c r="Y6" s="153"/>
      <c r="Z6" s="153"/>
    </row>
    <row r="7" spans="1:26">
      <c r="A7" s="774"/>
      <c r="B7" s="158" t="s">
        <v>1764</v>
      </c>
      <c r="C7" s="158" t="s">
        <v>1758</v>
      </c>
      <c r="D7" s="158" t="s">
        <v>1765</v>
      </c>
      <c r="E7" s="158" t="s">
        <v>1743</v>
      </c>
      <c r="F7" s="158" t="s">
        <v>1760</v>
      </c>
      <c r="G7" s="158" t="s">
        <v>1766</v>
      </c>
      <c r="H7" s="158" t="s">
        <v>1767</v>
      </c>
      <c r="I7" s="18" t="s">
        <v>1736</v>
      </c>
      <c r="J7" s="317" t="s">
        <v>1737</v>
      </c>
      <c r="K7" s="317" t="s">
        <v>1737</v>
      </c>
      <c r="L7" s="168"/>
      <c r="M7" s="156">
        <v>44851</v>
      </c>
      <c r="N7" s="168" t="s">
        <v>1768</v>
      </c>
      <c r="O7" s="157">
        <v>44959</v>
      </c>
      <c r="P7" s="168" t="s">
        <v>1769</v>
      </c>
      <c r="Q7" s="168"/>
      <c r="R7" s="168"/>
      <c r="S7" s="22" t="s">
        <v>1770</v>
      </c>
      <c r="T7" s="23" t="s">
        <v>1740</v>
      </c>
      <c r="U7" s="153"/>
      <c r="V7" s="153"/>
      <c r="W7" s="153"/>
      <c r="X7" s="153"/>
      <c r="Y7" s="153"/>
      <c r="Z7" s="153"/>
    </row>
    <row r="8" spans="1:26">
      <c r="A8" s="773"/>
      <c r="B8" s="158" t="s">
        <v>1771</v>
      </c>
      <c r="C8" s="158" t="s">
        <v>1758</v>
      </c>
      <c r="D8" s="158" t="s">
        <v>1742</v>
      </c>
      <c r="E8" s="158" t="s">
        <v>1743</v>
      </c>
      <c r="F8" s="158" t="s">
        <v>1744</v>
      </c>
      <c r="G8" s="158" t="s">
        <v>1761</v>
      </c>
      <c r="H8" s="158" t="s">
        <v>1772</v>
      </c>
      <c r="I8" s="18" t="s">
        <v>1736</v>
      </c>
      <c r="J8" s="317" t="s">
        <v>1737</v>
      </c>
      <c r="K8" s="317" t="s">
        <v>1737</v>
      </c>
      <c r="L8" s="168"/>
      <c r="M8" s="156">
        <v>44851</v>
      </c>
      <c r="N8" s="168" t="s">
        <v>1773</v>
      </c>
      <c r="O8" s="157">
        <v>44963</v>
      </c>
      <c r="P8" s="168" t="s">
        <v>1774</v>
      </c>
      <c r="Q8" s="168"/>
      <c r="R8" s="168"/>
      <c r="S8" s="157">
        <v>44963</v>
      </c>
      <c r="T8" s="23" t="s">
        <v>1740</v>
      </c>
      <c r="U8" s="153"/>
      <c r="V8" s="153"/>
      <c r="W8" s="153"/>
      <c r="X8" s="153"/>
      <c r="Y8" s="153"/>
      <c r="Z8" s="153"/>
    </row>
    <row r="9" spans="1:26">
      <c r="A9" s="685" t="s">
        <v>1775</v>
      </c>
      <c r="B9" s="158" t="s">
        <v>1776</v>
      </c>
      <c r="C9" s="158" t="s">
        <v>1777</v>
      </c>
      <c r="D9" s="158" t="s">
        <v>1778</v>
      </c>
      <c r="E9" s="158" t="s">
        <v>1732</v>
      </c>
      <c r="F9" s="158" t="s">
        <v>1779</v>
      </c>
      <c r="G9" s="158" t="s">
        <v>1780</v>
      </c>
      <c r="H9" s="158" t="s">
        <v>1781</v>
      </c>
      <c r="I9" s="18" t="s">
        <v>1736</v>
      </c>
      <c r="J9" s="317" t="s">
        <v>1737</v>
      </c>
      <c r="K9" s="317" t="s">
        <v>1737</v>
      </c>
      <c r="L9" s="168"/>
      <c r="M9" s="512">
        <v>44851</v>
      </c>
      <c r="N9" s="168" t="s">
        <v>1782</v>
      </c>
      <c r="O9" s="157">
        <v>44963</v>
      </c>
      <c r="P9" s="168" t="s">
        <v>1783</v>
      </c>
      <c r="Q9" s="168"/>
      <c r="R9" s="168"/>
      <c r="S9" s="157">
        <v>44963</v>
      </c>
      <c r="T9" s="23" t="s">
        <v>1740</v>
      </c>
      <c r="U9" s="153"/>
      <c r="V9" s="153"/>
      <c r="W9" s="153"/>
      <c r="X9" s="153"/>
      <c r="Y9" s="153"/>
      <c r="Z9" s="153"/>
    </row>
    <row r="10" spans="1:26">
      <c r="A10" s="773"/>
      <c r="B10" s="158" t="s">
        <v>1784</v>
      </c>
      <c r="C10" s="158" t="s">
        <v>1777</v>
      </c>
      <c r="D10" s="158" t="s">
        <v>1742</v>
      </c>
      <c r="E10" s="158" t="s">
        <v>1743</v>
      </c>
      <c r="F10" s="158" t="s">
        <v>1744</v>
      </c>
      <c r="G10" s="158" t="s">
        <v>1780</v>
      </c>
      <c r="H10" s="158" t="s">
        <v>1772</v>
      </c>
      <c r="I10" s="18" t="s">
        <v>1736</v>
      </c>
      <c r="J10" s="317" t="s">
        <v>1737</v>
      </c>
      <c r="K10" s="317" t="s">
        <v>1737</v>
      </c>
      <c r="L10" s="168"/>
      <c r="M10" s="512">
        <v>44851</v>
      </c>
      <c r="N10" s="168" t="s">
        <v>1785</v>
      </c>
      <c r="O10" s="157">
        <v>44963</v>
      </c>
      <c r="P10" s="168" t="s">
        <v>1783</v>
      </c>
      <c r="Q10" s="168"/>
      <c r="R10" s="168"/>
      <c r="S10" s="157">
        <v>44963</v>
      </c>
      <c r="T10" s="23" t="s">
        <v>1740</v>
      </c>
      <c r="U10" s="153"/>
      <c r="V10" s="153"/>
      <c r="W10" s="153"/>
      <c r="X10" s="153"/>
      <c r="Y10" s="153"/>
      <c r="Z10" s="153"/>
    </row>
    <row r="11" spans="1:26">
      <c r="A11" s="159" t="s">
        <v>1786</v>
      </c>
      <c r="B11" s="158" t="s">
        <v>1787</v>
      </c>
      <c r="C11" s="158" t="s">
        <v>1788</v>
      </c>
      <c r="D11" s="158" t="s">
        <v>1789</v>
      </c>
      <c r="E11" s="158" t="s">
        <v>1732</v>
      </c>
      <c r="F11" s="158" t="s">
        <v>1779</v>
      </c>
      <c r="G11" s="158" t="s">
        <v>1790</v>
      </c>
      <c r="H11" s="158" t="s">
        <v>1791</v>
      </c>
      <c r="I11" s="161" t="s">
        <v>1736</v>
      </c>
      <c r="J11" s="317" t="s">
        <v>1737</v>
      </c>
      <c r="K11" s="317" t="s">
        <v>1737</v>
      </c>
      <c r="L11" s="168"/>
      <c r="M11" s="512">
        <v>44852</v>
      </c>
      <c r="N11" s="168" t="s">
        <v>1792</v>
      </c>
      <c r="O11" s="157">
        <v>44963</v>
      </c>
      <c r="P11" s="168" t="s">
        <v>1793</v>
      </c>
      <c r="Q11" s="168"/>
      <c r="R11" s="168"/>
      <c r="S11" s="157">
        <v>44963</v>
      </c>
      <c r="T11" s="23" t="s">
        <v>1740</v>
      </c>
      <c r="U11" s="153"/>
      <c r="V11" s="153"/>
      <c r="W11" s="153"/>
      <c r="X11" s="153"/>
      <c r="Y11" s="153"/>
      <c r="Z11" s="153"/>
    </row>
    <row r="12" spans="1:26">
      <c r="A12" s="683" t="s">
        <v>1794</v>
      </c>
      <c r="B12" s="158" t="s">
        <v>1795</v>
      </c>
      <c r="C12" s="158" t="s">
        <v>1788</v>
      </c>
      <c r="D12" s="158" t="s">
        <v>1796</v>
      </c>
      <c r="E12" s="158" t="s">
        <v>1732</v>
      </c>
      <c r="F12" s="158" t="s">
        <v>1779</v>
      </c>
      <c r="G12" s="158" t="s">
        <v>1797</v>
      </c>
      <c r="H12" s="158" t="s">
        <v>1798</v>
      </c>
      <c r="I12" s="162" t="s">
        <v>1736</v>
      </c>
      <c r="J12" s="317" t="s">
        <v>1737</v>
      </c>
      <c r="K12" s="317" t="s">
        <v>1737</v>
      </c>
      <c r="L12" s="168"/>
      <c r="M12" s="163">
        <v>44964</v>
      </c>
      <c r="N12" s="168" t="s">
        <v>1799</v>
      </c>
      <c r="O12" s="168"/>
      <c r="P12" s="168"/>
      <c r="Q12" s="168"/>
      <c r="R12" s="168"/>
      <c r="S12" s="163">
        <v>44964</v>
      </c>
      <c r="T12" s="23" t="s">
        <v>1740</v>
      </c>
      <c r="U12" s="153"/>
      <c r="V12" s="153"/>
      <c r="W12" s="153"/>
      <c r="X12" s="153"/>
      <c r="Y12" s="153"/>
      <c r="Z12" s="153"/>
    </row>
    <row r="13" spans="1:26">
      <c r="A13" s="774"/>
      <c r="B13" s="158" t="s">
        <v>1800</v>
      </c>
      <c r="C13" s="158" t="s">
        <v>1788</v>
      </c>
      <c r="D13" s="158" t="s">
        <v>1801</v>
      </c>
      <c r="E13" s="158" t="s">
        <v>1732</v>
      </c>
      <c r="F13" s="158" t="s">
        <v>1779</v>
      </c>
      <c r="G13" s="158" t="s">
        <v>1802</v>
      </c>
      <c r="H13" s="158" t="s">
        <v>1803</v>
      </c>
      <c r="I13" s="161" t="s">
        <v>1736</v>
      </c>
      <c r="J13" s="317" t="s">
        <v>1737</v>
      </c>
      <c r="K13" s="317" t="s">
        <v>1737</v>
      </c>
      <c r="L13" s="168"/>
      <c r="M13" s="163">
        <v>44964</v>
      </c>
      <c r="N13" s="168" t="s">
        <v>1799</v>
      </c>
      <c r="O13" s="168"/>
      <c r="P13" s="168"/>
      <c r="Q13" s="168"/>
      <c r="R13" s="168"/>
      <c r="S13" s="163">
        <v>44964</v>
      </c>
      <c r="T13" s="23" t="s">
        <v>1740</v>
      </c>
      <c r="U13" s="153"/>
      <c r="V13" s="153"/>
      <c r="W13" s="153"/>
      <c r="X13" s="153"/>
      <c r="Y13" s="153"/>
      <c r="Z13" s="153"/>
    </row>
    <row r="14" spans="1:26">
      <c r="A14" s="774"/>
      <c r="B14" s="158" t="s">
        <v>1804</v>
      </c>
      <c r="C14" s="158" t="s">
        <v>1788</v>
      </c>
      <c r="D14" s="158" t="s">
        <v>1805</v>
      </c>
      <c r="E14" s="158" t="s">
        <v>1732</v>
      </c>
      <c r="F14" s="158" t="s">
        <v>1779</v>
      </c>
      <c r="G14" s="158" t="s">
        <v>1806</v>
      </c>
      <c r="H14" s="158" t="s">
        <v>1807</v>
      </c>
      <c r="I14" s="162" t="s">
        <v>1736</v>
      </c>
      <c r="J14" s="317" t="s">
        <v>1737</v>
      </c>
      <c r="K14" s="317" t="s">
        <v>1737</v>
      </c>
      <c r="L14" s="168"/>
      <c r="M14" s="163">
        <v>44964</v>
      </c>
      <c r="N14" s="168" t="s">
        <v>1808</v>
      </c>
      <c r="O14" s="168"/>
      <c r="P14" s="168"/>
      <c r="Q14" s="168"/>
      <c r="R14" s="168"/>
      <c r="S14" s="163">
        <v>44964</v>
      </c>
      <c r="T14" s="23" t="s">
        <v>1740</v>
      </c>
      <c r="U14" s="153"/>
      <c r="V14" s="153"/>
      <c r="W14" s="153"/>
      <c r="X14" s="153"/>
      <c r="Y14" s="153"/>
      <c r="Z14" s="153"/>
    </row>
    <row r="15" spans="1:26">
      <c r="A15" s="774"/>
      <c r="B15" s="158" t="s">
        <v>1809</v>
      </c>
      <c r="C15" s="158" t="s">
        <v>1788</v>
      </c>
      <c r="D15" s="158" t="s">
        <v>1810</v>
      </c>
      <c r="E15" s="158" t="s">
        <v>1732</v>
      </c>
      <c r="F15" s="158" t="s">
        <v>1779</v>
      </c>
      <c r="G15" s="158" t="s">
        <v>1811</v>
      </c>
      <c r="H15" s="158" t="s">
        <v>1812</v>
      </c>
      <c r="I15" s="161" t="s">
        <v>1736</v>
      </c>
      <c r="J15" s="317" t="s">
        <v>1737</v>
      </c>
      <c r="K15" s="317" t="s">
        <v>1737</v>
      </c>
      <c r="L15" s="168"/>
      <c r="M15" s="163">
        <v>44964</v>
      </c>
      <c r="N15" s="168" t="s">
        <v>1808</v>
      </c>
      <c r="O15" s="168"/>
      <c r="P15" s="168"/>
      <c r="Q15" s="168"/>
      <c r="R15" s="168"/>
      <c r="S15" s="163">
        <v>44964</v>
      </c>
      <c r="T15" s="23" t="s">
        <v>1740</v>
      </c>
      <c r="U15" s="153"/>
      <c r="V15" s="153"/>
      <c r="W15" s="153"/>
      <c r="X15" s="153"/>
      <c r="Y15" s="153"/>
      <c r="Z15" s="153"/>
    </row>
    <row r="16" spans="1:26">
      <c r="A16" s="774"/>
      <c r="B16" s="158" t="s">
        <v>1813</v>
      </c>
      <c r="C16" s="158" t="s">
        <v>1788</v>
      </c>
      <c r="D16" s="158" t="s">
        <v>1814</v>
      </c>
      <c r="E16" s="160" t="s">
        <v>1732</v>
      </c>
      <c r="F16" s="158" t="s">
        <v>1779</v>
      </c>
      <c r="G16" s="158" t="s">
        <v>1815</v>
      </c>
      <c r="H16" s="158" t="s">
        <v>1816</v>
      </c>
      <c r="I16" s="162" t="s">
        <v>1736</v>
      </c>
      <c r="J16" s="317" t="s">
        <v>1737</v>
      </c>
      <c r="K16" s="317" t="s">
        <v>1737</v>
      </c>
      <c r="L16" s="168"/>
      <c r="M16" s="163">
        <v>44964</v>
      </c>
      <c r="N16" s="168" t="s">
        <v>1817</v>
      </c>
      <c r="O16" s="168"/>
      <c r="P16" s="168"/>
      <c r="Q16" s="168"/>
      <c r="R16" s="168"/>
      <c r="S16" s="163">
        <v>44964</v>
      </c>
      <c r="T16" s="23" t="s">
        <v>1740</v>
      </c>
      <c r="U16" s="153"/>
      <c r="V16" s="153"/>
      <c r="W16" s="153"/>
      <c r="X16" s="153"/>
      <c r="Y16" s="153"/>
      <c r="Z16" s="153"/>
    </row>
    <row r="17" spans="1:26">
      <c r="A17" s="773"/>
      <c r="B17" s="158" t="s">
        <v>1818</v>
      </c>
      <c r="C17" s="158" t="s">
        <v>1788</v>
      </c>
      <c r="D17" s="158" t="s">
        <v>1819</v>
      </c>
      <c r="E17" s="158" t="s">
        <v>1732</v>
      </c>
      <c r="F17" s="158" t="s">
        <v>1779</v>
      </c>
      <c r="G17" s="158" t="s">
        <v>1820</v>
      </c>
      <c r="H17" s="158" t="s">
        <v>1821</v>
      </c>
      <c r="I17" s="162" t="s">
        <v>1736</v>
      </c>
      <c r="J17" s="317" t="s">
        <v>1737</v>
      </c>
      <c r="K17" s="317" t="s">
        <v>1737</v>
      </c>
      <c r="L17" s="168"/>
      <c r="M17" s="163">
        <v>44964</v>
      </c>
      <c r="N17" s="168" t="s">
        <v>1822</v>
      </c>
      <c r="O17" s="168"/>
      <c r="P17" s="168"/>
      <c r="Q17" s="168"/>
      <c r="R17" s="168"/>
      <c r="S17" s="163">
        <v>44964</v>
      </c>
      <c r="T17" s="23" t="s">
        <v>1740</v>
      </c>
      <c r="U17" s="153"/>
      <c r="V17" s="153"/>
      <c r="W17" s="153"/>
      <c r="X17" s="153"/>
      <c r="Y17" s="153"/>
      <c r="Z17" s="153"/>
    </row>
    <row r="18" spans="1:26">
      <c r="A18" s="683" t="s">
        <v>1823</v>
      </c>
      <c r="B18" s="158" t="s">
        <v>1824</v>
      </c>
      <c r="C18" s="158" t="s">
        <v>1825</v>
      </c>
      <c r="D18" s="158" t="s">
        <v>1826</v>
      </c>
      <c r="E18" s="158" t="s">
        <v>1732</v>
      </c>
      <c r="F18" s="158" t="s">
        <v>1779</v>
      </c>
      <c r="G18" s="158" t="s">
        <v>1827</v>
      </c>
      <c r="H18" s="158" t="s">
        <v>1828</v>
      </c>
      <c r="I18" s="162" t="s">
        <v>1736</v>
      </c>
      <c r="J18" s="317" t="s">
        <v>1737</v>
      </c>
      <c r="K18" s="317" t="s">
        <v>1737</v>
      </c>
      <c r="L18" s="106"/>
      <c r="M18" s="163">
        <v>44964</v>
      </c>
      <c r="N18" s="168" t="s">
        <v>1829</v>
      </c>
      <c r="O18" s="106"/>
      <c r="P18" s="25"/>
      <c r="Q18" s="25"/>
      <c r="R18" s="25"/>
      <c r="S18" s="163">
        <v>44964</v>
      </c>
      <c r="T18" s="23" t="s">
        <v>1740</v>
      </c>
      <c r="U18" s="153"/>
      <c r="V18" s="153"/>
      <c r="W18" s="153"/>
      <c r="X18" s="153"/>
      <c r="Y18" s="153"/>
      <c r="Z18" s="153"/>
    </row>
    <row r="19" spans="1:26">
      <c r="A19" s="774"/>
      <c r="B19" s="158" t="s">
        <v>1830</v>
      </c>
      <c r="C19" s="158" t="s">
        <v>1825</v>
      </c>
      <c r="D19" s="158" t="s">
        <v>1831</v>
      </c>
      <c r="E19" s="158" t="s">
        <v>1732</v>
      </c>
      <c r="F19" s="158" t="s">
        <v>1779</v>
      </c>
      <c r="G19" s="158" t="s">
        <v>1832</v>
      </c>
      <c r="H19" s="158" t="s">
        <v>1833</v>
      </c>
      <c r="I19" s="162" t="s">
        <v>1736</v>
      </c>
      <c r="J19" s="317" t="s">
        <v>1737</v>
      </c>
      <c r="K19" s="317" t="s">
        <v>1737</v>
      </c>
      <c r="L19" s="106"/>
      <c r="M19" s="163">
        <v>44964</v>
      </c>
      <c r="N19" s="168" t="s">
        <v>1829</v>
      </c>
      <c r="O19" s="106"/>
      <c r="P19" s="25"/>
      <c r="Q19" s="25"/>
      <c r="R19" s="25"/>
      <c r="S19" s="163">
        <v>44964</v>
      </c>
      <c r="T19" s="23" t="s">
        <v>1740</v>
      </c>
      <c r="U19" s="153"/>
      <c r="V19" s="153"/>
      <c r="W19" s="153"/>
      <c r="X19" s="153"/>
      <c r="Y19" s="153"/>
      <c r="Z19" s="153"/>
    </row>
    <row r="20" spans="1:26">
      <c r="A20" s="773"/>
      <c r="B20" s="158" t="s">
        <v>1834</v>
      </c>
      <c r="C20" s="158" t="s">
        <v>1825</v>
      </c>
      <c r="D20" s="158" t="s">
        <v>1835</v>
      </c>
      <c r="E20" s="158" t="s">
        <v>1732</v>
      </c>
      <c r="F20" s="158" t="s">
        <v>1779</v>
      </c>
      <c r="G20" s="25" t="s">
        <v>1836</v>
      </c>
      <c r="H20" s="155" t="s">
        <v>1837</v>
      </c>
      <c r="I20" s="162" t="s">
        <v>1736</v>
      </c>
      <c r="J20" s="317" t="s">
        <v>1737</v>
      </c>
      <c r="K20" s="317" t="s">
        <v>1737</v>
      </c>
      <c r="L20" s="106"/>
      <c r="M20" s="163">
        <v>44964</v>
      </c>
      <c r="N20" s="168" t="s">
        <v>1829</v>
      </c>
      <c r="O20" s="106"/>
      <c r="P20" s="25"/>
      <c r="Q20" s="25"/>
      <c r="R20" s="25"/>
      <c r="S20" s="163">
        <v>44964</v>
      </c>
      <c r="T20" s="23" t="s">
        <v>1740</v>
      </c>
      <c r="U20" s="153"/>
      <c r="V20" s="153"/>
      <c r="W20" s="153"/>
      <c r="X20" s="153"/>
      <c r="Y20" s="153"/>
      <c r="Z20" s="153"/>
    </row>
    <row r="21" spans="1:26">
      <c r="A21" s="25" t="s">
        <v>1838</v>
      </c>
      <c r="B21" s="155" t="s">
        <v>1839</v>
      </c>
      <c r="C21" s="155" t="s">
        <v>1840</v>
      </c>
      <c r="D21" s="155" t="s">
        <v>1841</v>
      </c>
      <c r="E21" s="155" t="s">
        <v>1732</v>
      </c>
      <c r="F21" s="155" t="s">
        <v>1779</v>
      </c>
      <c r="G21" s="155" t="s">
        <v>1842</v>
      </c>
      <c r="H21" s="155" t="s">
        <v>1843</v>
      </c>
      <c r="I21" s="161" t="s">
        <v>1736</v>
      </c>
      <c r="J21" s="317" t="s">
        <v>1737</v>
      </c>
      <c r="K21" s="317" t="s">
        <v>1737</v>
      </c>
      <c r="L21" s="106"/>
      <c r="M21" s="163">
        <v>44965</v>
      </c>
      <c r="N21" s="164" t="s">
        <v>1844</v>
      </c>
      <c r="O21" s="106"/>
      <c r="P21" s="25"/>
      <c r="Q21" s="25"/>
      <c r="R21" s="25"/>
      <c r="S21" s="163">
        <v>44965</v>
      </c>
      <c r="T21" s="23" t="s">
        <v>1740</v>
      </c>
      <c r="U21" s="153"/>
      <c r="V21" s="153"/>
      <c r="W21" s="153"/>
      <c r="X21" s="153"/>
      <c r="Y21" s="153"/>
      <c r="Z21" s="153"/>
    </row>
    <row r="22" spans="1:26">
      <c r="A22" s="686" t="s">
        <v>1845</v>
      </c>
      <c r="B22" s="25" t="s">
        <v>1846</v>
      </c>
      <c r="C22" s="25" t="s">
        <v>1847</v>
      </c>
      <c r="D22" s="165" t="s">
        <v>1848</v>
      </c>
      <c r="E22" s="165" t="s">
        <v>1732</v>
      </c>
      <c r="F22" s="155" t="s">
        <v>1849</v>
      </c>
      <c r="G22" s="165" t="s">
        <v>1850</v>
      </c>
      <c r="H22" s="165" t="s">
        <v>1851</v>
      </c>
      <c r="I22" s="99" t="s">
        <v>1736</v>
      </c>
      <c r="J22" s="317" t="s">
        <v>1737</v>
      </c>
      <c r="K22" s="317" t="s">
        <v>1737</v>
      </c>
      <c r="L22" s="106"/>
      <c r="M22" s="163">
        <v>44965</v>
      </c>
      <c r="N22" s="164" t="s">
        <v>1852</v>
      </c>
      <c r="O22" s="106"/>
      <c r="P22" s="25"/>
      <c r="Q22" s="25"/>
      <c r="R22" s="25"/>
      <c r="S22" s="163">
        <v>44965</v>
      </c>
      <c r="T22" s="23" t="s">
        <v>1740</v>
      </c>
      <c r="U22" s="153"/>
      <c r="V22" s="153"/>
      <c r="W22" s="153"/>
      <c r="X22" s="153"/>
      <c r="Y22" s="153"/>
      <c r="Z22" s="153"/>
    </row>
    <row r="23" spans="1:26">
      <c r="A23" s="774"/>
      <c r="B23" s="159" t="s">
        <v>1853</v>
      </c>
      <c r="C23" s="159" t="s">
        <v>1847</v>
      </c>
      <c r="D23" s="166" t="s">
        <v>1854</v>
      </c>
      <c r="E23" s="166" t="s">
        <v>1732</v>
      </c>
      <c r="F23" s="158" t="s">
        <v>1849</v>
      </c>
      <c r="G23" s="166" t="s">
        <v>1855</v>
      </c>
      <c r="H23" s="166" t="s">
        <v>1856</v>
      </c>
      <c r="I23" s="99" t="s">
        <v>1736</v>
      </c>
      <c r="J23" s="317" t="s">
        <v>1737</v>
      </c>
      <c r="K23" s="317" t="s">
        <v>1737</v>
      </c>
      <c r="L23" s="106"/>
      <c r="M23" s="163">
        <v>44965</v>
      </c>
      <c r="N23" s="164" t="s">
        <v>1852</v>
      </c>
      <c r="O23" s="106"/>
      <c r="P23" s="25"/>
      <c r="Q23" s="25"/>
      <c r="R23" s="25"/>
      <c r="S23" s="163">
        <v>44965</v>
      </c>
      <c r="T23" s="23" t="s">
        <v>1740</v>
      </c>
      <c r="U23" s="153"/>
      <c r="V23" s="153"/>
      <c r="W23" s="153"/>
      <c r="X23" s="153"/>
      <c r="Y23" s="153"/>
      <c r="Z23" s="153"/>
    </row>
    <row r="24" spans="1:26">
      <c r="A24" s="774"/>
      <c r="B24" s="159" t="s">
        <v>1857</v>
      </c>
      <c r="C24" s="159" t="s">
        <v>1847</v>
      </c>
      <c r="D24" s="166" t="s">
        <v>1858</v>
      </c>
      <c r="E24" s="166" t="s">
        <v>1732</v>
      </c>
      <c r="F24" s="158" t="s">
        <v>1849</v>
      </c>
      <c r="G24" s="166" t="s">
        <v>1859</v>
      </c>
      <c r="H24" s="166" t="s">
        <v>1860</v>
      </c>
      <c r="I24" s="99" t="s">
        <v>1736</v>
      </c>
      <c r="J24" s="317" t="s">
        <v>1737</v>
      </c>
      <c r="K24" s="317" t="s">
        <v>1737</v>
      </c>
      <c r="L24" s="106"/>
      <c r="M24" s="163">
        <v>44965</v>
      </c>
      <c r="N24" s="164" t="s">
        <v>1852</v>
      </c>
      <c r="O24" s="106"/>
      <c r="P24" s="25"/>
      <c r="Q24" s="25"/>
      <c r="R24" s="25"/>
      <c r="S24" s="163">
        <v>44965</v>
      </c>
      <c r="T24" s="23" t="s">
        <v>1740</v>
      </c>
      <c r="U24" s="153"/>
      <c r="V24" s="153"/>
      <c r="W24" s="153"/>
      <c r="X24" s="153"/>
      <c r="Y24" s="153"/>
      <c r="Z24" s="153"/>
    </row>
    <row r="25" spans="1:26">
      <c r="A25" s="774"/>
      <c r="B25" s="159" t="s">
        <v>1861</v>
      </c>
      <c r="C25" s="159" t="s">
        <v>1847</v>
      </c>
      <c r="D25" s="166" t="s">
        <v>1862</v>
      </c>
      <c r="E25" s="166" t="s">
        <v>1732</v>
      </c>
      <c r="F25" s="158" t="s">
        <v>1849</v>
      </c>
      <c r="G25" s="166" t="s">
        <v>1863</v>
      </c>
      <c r="H25" s="166" t="s">
        <v>1864</v>
      </c>
      <c r="I25" s="99" t="s">
        <v>1736</v>
      </c>
      <c r="J25" s="317" t="s">
        <v>1737</v>
      </c>
      <c r="K25" s="317" t="s">
        <v>1737</v>
      </c>
      <c r="L25" s="167"/>
      <c r="M25" s="163">
        <v>44965</v>
      </c>
      <c r="N25" s="23" t="s">
        <v>1852</v>
      </c>
      <c r="O25" s="106"/>
      <c r="P25" s="25"/>
      <c r="Q25" s="25"/>
      <c r="R25" s="25"/>
      <c r="S25" s="163">
        <v>44965</v>
      </c>
      <c r="T25" s="23" t="s">
        <v>1740</v>
      </c>
      <c r="U25" s="153"/>
      <c r="V25" s="153"/>
      <c r="W25" s="153"/>
      <c r="X25" s="153"/>
      <c r="Y25" s="153"/>
      <c r="Z25" s="153"/>
    </row>
    <row r="26" spans="1:26">
      <c r="A26" s="774"/>
      <c r="B26" s="159" t="s">
        <v>1865</v>
      </c>
      <c r="C26" s="159" t="s">
        <v>1847</v>
      </c>
      <c r="D26" s="166" t="s">
        <v>1866</v>
      </c>
      <c r="E26" s="166" t="s">
        <v>1743</v>
      </c>
      <c r="F26" s="158" t="s">
        <v>1779</v>
      </c>
      <c r="G26" s="166" t="s">
        <v>1850</v>
      </c>
      <c r="H26" s="166" t="s">
        <v>1867</v>
      </c>
      <c r="I26" s="99" t="s">
        <v>1736</v>
      </c>
      <c r="J26" s="317" t="s">
        <v>1737</v>
      </c>
      <c r="K26" s="317" t="s">
        <v>1737</v>
      </c>
      <c r="L26" s="167"/>
      <c r="M26" s="163">
        <v>44966</v>
      </c>
      <c r="N26" s="23" t="s">
        <v>1868</v>
      </c>
      <c r="O26" s="106"/>
      <c r="P26" s="25"/>
      <c r="Q26" s="25"/>
      <c r="R26" s="25"/>
      <c r="S26" s="163">
        <v>44966</v>
      </c>
      <c r="T26" s="23" t="s">
        <v>1740</v>
      </c>
      <c r="U26" s="153"/>
      <c r="V26" s="153"/>
      <c r="W26" s="153"/>
      <c r="X26" s="153"/>
      <c r="Y26" s="153"/>
      <c r="Z26" s="153"/>
    </row>
    <row r="27" spans="1:26">
      <c r="A27" s="774"/>
      <c r="B27" s="159" t="s">
        <v>1869</v>
      </c>
      <c r="C27" s="159" t="s">
        <v>1847</v>
      </c>
      <c r="D27" s="166" t="s">
        <v>1870</v>
      </c>
      <c r="E27" s="166" t="s">
        <v>1743</v>
      </c>
      <c r="F27" s="158" t="s">
        <v>1779</v>
      </c>
      <c r="G27" s="166" t="s">
        <v>1871</v>
      </c>
      <c r="H27" s="166" t="s">
        <v>1867</v>
      </c>
      <c r="I27" s="99" t="s">
        <v>1736</v>
      </c>
      <c r="J27" s="317" t="s">
        <v>1737</v>
      </c>
      <c r="K27" s="317" t="s">
        <v>1737</v>
      </c>
      <c r="L27" s="167"/>
      <c r="M27" s="163">
        <v>44966</v>
      </c>
      <c r="N27" s="23" t="s">
        <v>1868</v>
      </c>
      <c r="O27" s="106"/>
      <c r="P27" s="25"/>
      <c r="Q27" s="25"/>
      <c r="R27" s="25"/>
      <c r="S27" s="163">
        <v>44966</v>
      </c>
      <c r="T27" s="23" t="s">
        <v>1740</v>
      </c>
      <c r="U27" s="153"/>
      <c r="V27" s="153"/>
      <c r="W27" s="153"/>
      <c r="X27" s="153"/>
      <c r="Y27" s="153"/>
      <c r="Z27" s="153"/>
    </row>
    <row r="28" spans="1:26">
      <c r="A28" s="774"/>
      <c r="B28" s="159" t="s">
        <v>1872</v>
      </c>
      <c r="C28" s="159" t="s">
        <v>1847</v>
      </c>
      <c r="D28" s="166" t="s">
        <v>1873</v>
      </c>
      <c r="E28" s="166" t="s">
        <v>1743</v>
      </c>
      <c r="F28" s="158" t="s">
        <v>1849</v>
      </c>
      <c r="G28" s="166" t="s">
        <v>1850</v>
      </c>
      <c r="H28" s="166" t="s">
        <v>1874</v>
      </c>
      <c r="I28" s="99" t="s">
        <v>1736</v>
      </c>
      <c r="J28" s="317" t="s">
        <v>1737</v>
      </c>
      <c r="K28" s="317" t="s">
        <v>1737</v>
      </c>
      <c r="L28" s="164"/>
      <c r="M28" s="163">
        <v>44967</v>
      </c>
      <c r="N28" s="23" t="s">
        <v>1875</v>
      </c>
      <c r="O28" s="106"/>
      <c r="P28" s="25"/>
      <c r="Q28" s="25"/>
      <c r="R28" s="25"/>
      <c r="S28" s="163">
        <v>44967</v>
      </c>
      <c r="T28" s="23" t="s">
        <v>1740</v>
      </c>
      <c r="U28" s="153"/>
      <c r="V28" s="153"/>
      <c r="W28" s="153"/>
      <c r="X28" s="153"/>
      <c r="Y28" s="153"/>
      <c r="Z28" s="153"/>
    </row>
    <row r="29" spans="1:26">
      <c r="A29" s="773"/>
      <c r="B29" s="159" t="s">
        <v>1876</v>
      </c>
      <c r="C29" s="159" t="s">
        <v>1847</v>
      </c>
      <c r="D29" s="166" t="s">
        <v>1877</v>
      </c>
      <c r="E29" s="166" t="s">
        <v>1743</v>
      </c>
      <c r="F29" s="158" t="s">
        <v>1849</v>
      </c>
      <c r="G29" s="166" t="s">
        <v>1863</v>
      </c>
      <c r="H29" s="166" t="s">
        <v>1874</v>
      </c>
      <c r="I29" s="99" t="s">
        <v>1736</v>
      </c>
      <c r="J29" s="317" t="s">
        <v>1737</v>
      </c>
      <c r="K29" s="317" t="s">
        <v>1737</v>
      </c>
      <c r="L29" s="106"/>
      <c r="M29" s="163">
        <v>44967</v>
      </c>
      <c r="N29" s="23" t="s">
        <v>1878</v>
      </c>
      <c r="O29" s="106"/>
      <c r="P29" s="25"/>
      <c r="Q29" s="25"/>
      <c r="R29" s="25"/>
      <c r="S29" s="163">
        <v>44967</v>
      </c>
      <c r="T29" s="23" t="s">
        <v>1740</v>
      </c>
      <c r="U29" s="153"/>
      <c r="V29" s="153"/>
      <c r="W29" s="153"/>
      <c r="X29" s="153"/>
      <c r="Y29" s="153"/>
      <c r="Z29" s="153"/>
    </row>
    <row r="30" spans="1:26">
      <c r="A30" s="686" t="s">
        <v>1879</v>
      </c>
      <c r="B30" s="155" t="s">
        <v>1880</v>
      </c>
      <c r="C30" s="159" t="s">
        <v>1881</v>
      </c>
      <c r="D30" s="155" t="s">
        <v>1882</v>
      </c>
      <c r="E30" s="155" t="s">
        <v>1732</v>
      </c>
      <c r="F30" s="155" t="s">
        <v>1849</v>
      </c>
      <c r="G30" s="155" t="s">
        <v>1883</v>
      </c>
      <c r="H30" s="155" t="s">
        <v>1884</v>
      </c>
      <c r="I30" s="513" t="s">
        <v>1736</v>
      </c>
      <c r="J30" s="317" t="s">
        <v>1737</v>
      </c>
      <c r="K30" s="317" t="s">
        <v>1737</v>
      </c>
      <c r="L30" s="106"/>
      <c r="M30" s="163">
        <v>44973</v>
      </c>
      <c r="N30" s="23" t="s">
        <v>1885</v>
      </c>
      <c r="O30" s="106"/>
      <c r="P30" s="25"/>
      <c r="Q30" s="25"/>
      <c r="R30" s="25"/>
      <c r="S30" s="163">
        <v>44973</v>
      </c>
      <c r="T30" s="23" t="s">
        <v>1740</v>
      </c>
      <c r="U30" s="153"/>
      <c r="V30" s="153"/>
      <c r="W30" s="153"/>
      <c r="X30" s="153"/>
      <c r="Y30" s="153"/>
      <c r="Z30" s="153"/>
    </row>
    <row r="31" spans="1:26">
      <c r="A31" s="774"/>
      <c r="B31" s="158" t="s">
        <v>1886</v>
      </c>
      <c r="C31" s="159" t="s">
        <v>1881</v>
      </c>
      <c r="D31" s="158" t="s">
        <v>1887</v>
      </c>
      <c r="E31" s="158" t="s">
        <v>1732</v>
      </c>
      <c r="F31" s="158" t="s">
        <v>1849</v>
      </c>
      <c r="G31" s="158" t="s">
        <v>1888</v>
      </c>
      <c r="H31" s="158" t="s">
        <v>1889</v>
      </c>
      <c r="I31" s="514" t="s">
        <v>1736</v>
      </c>
      <c r="J31" s="317" t="s">
        <v>1737</v>
      </c>
      <c r="K31" s="317" t="s">
        <v>1737</v>
      </c>
      <c r="L31" s="36"/>
      <c r="M31" s="163">
        <v>44973</v>
      </c>
      <c r="N31" s="110" t="s">
        <v>1890</v>
      </c>
      <c r="O31" s="36"/>
      <c r="P31" s="94"/>
      <c r="Q31" s="94"/>
      <c r="R31" s="94"/>
      <c r="S31" s="163">
        <v>44973</v>
      </c>
      <c r="T31" s="23" t="s">
        <v>1740</v>
      </c>
      <c r="U31" s="153"/>
      <c r="V31" s="153"/>
      <c r="W31" s="153"/>
      <c r="X31" s="153"/>
      <c r="Y31" s="153"/>
      <c r="Z31" s="153"/>
    </row>
    <row r="32" spans="1:26">
      <c r="A32" s="774"/>
      <c r="B32" s="158" t="s">
        <v>1891</v>
      </c>
      <c r="C32" s="159" t="s">
        <v>1881</v>
      </c>
      <c r="D32" s="158" t="s">
        <v>1892</v>
      </c>
      <c r="E32" s="158" t="s">
        <v>1732</v>
      </c>
      <c r="F32" s="158" t="s">
        <v>1849</v>
      </c>
      <c r="G32" s="158" t="s">
        <v>1893</v>
      </c>
      <c r="H32" s="158" t="s">
        <v>1894</v>
      </c>
      <c r="I32" s="514" t="s">
        <v>1736</v>
      </c>
      <c r="J32" s="317" t="s">
        <v>1737</v>
      </c>
      <c r="K32" s="317" t="s">
        <v>1737</v>
      </c>
      <c r="L32" s="36"/>
      <c r="M32" s="163">
        <v>44973</v>
      </c>
      <c r="N32" s="110" t="s">
        <v>1895</v>
      </c>
      <c r="O32" s="36"/>
      <c r="P32" s="94"/>
      <c r="Q32" s="94"/>
      <c r="R32" s="94"/>
      <c r="S32" s="163">
        <v>44973</v>
      </c>
      <c r="T32" s="23" t="s">
        <v>1740</v>
      </c>
      <c r="U32" s="153"/>
      <c r="V32" s="153"/>
      <c r="W32" s="153"/>
      <c r="X32" s="153"/>
      <c r="Y32" s="153"/>
      <c r="Z32" s="153"/>
    </row>
    <row r="33" spans="1:26">
      <c r="A33" s="774"/>
      <c r="B33" s="158" t="s">
        <v>1896</v>
      </c>
      <c r="C33" s="159" t="s">
        <v>1881</v>
      </c>
      <c r="D33" s="158" t="s">
        <v>1897</v>
      </c>
      <c r="E33" s="158" t="s">
        <v>1732</v>
      </c>
      <c r="F33" s="158" t="s">
        <v>1849</v>
      </c>
      <c r="G33" s="158" t="s">
        <v>1898</v>
      </c>
      <c r="H33" s="158" t="s">
        <v>1899</v>
      </c>
      <c r="I33" s="514" t="s">
        <v>1736</v>
      </c>
      <c r="J33" s="317" t="s">
        <v>1737</v>
      </c>
      <c r="K33" s="317" t="s">
        <v>1737</v>
      </c>
      <c r="L33" s="36"/>
      <c r="M33" s="163">
        <v>44977</v>
      </c>
      <c r="N33" s="110" t="s">
        <v>1900</v>
      </c>
      <c r="O33" s="36"/>
      <c r="P33" s="94"/>
      <c r="Q33" s="94"/>
      <c r="R33" s="94"/>
      <c r="S33" s="163">
        <v>44977</v>
      </c>
      <c r="T33" s="23" t="s">
        <v>1740</v>
      </c>
      <c r="U33" s="153"/>
      <c r="V33" s="153"/>
      <c r="W33" s="153"/>
      <c r="X33" s="153"/>
      <c r="Y33" s="153"/>
      <c r="Z33" s="153"/>
    </row>
    <row r="34" spans="1:26">
      <c r="A34" s="774"/>
      <c r="B34" s="158" t="s">
        <v>1901</v>
      </c>
      <c r="C34" s="159" t="s">
        <v>1881</v>
      </c>
      <c r="D34" s="158" t="s">
        <v>1902</v>
      </c>
      <c r="E34" s="158" t="s">
        <v>1732</v>
      </c>
      <c r="F34" s="158" t="s">
        <v>1849</v>
      </c>
      <c r="G34" s="158" t="s">
        <v>1903</v>
      </c>
      <c r="H34" s="158" t="s">
        <v>1904</v>
      </c>
      <c r="I34" s="514" t="s">
        <v>1736</v>
      </c>
      <c r="J34" s="317" t="s">
        <v>1737</v>
      </c>
      <c r="K34" s="317" t="s">
        <v>1737</v>
      </c>
      <c r="L34" s="36"/>
      <c r="M34" s="163">
        <v>44973</v>
      </c>
      <c r="N34" s="110" t="s">
        <v>1905</v>
      </c>
      <c r="O34" s="36"/>
      <c r="P34" s="94"/>
      <c r="Q34" s="94"/>
      <c r="R34" s="94"/>
      <c r="S34" s="163">
        <v>44973</v>
      </c>
      <c r="T34" s="23" t="s">
        <v>1740</v>
      </c>
      <c r="U34" s="153"/>
      <c r="V34" s="153"/>
      <c r="W34" s="153"/>
      <c r="X34" s="153"/>
      <c r="Y34" s="153"/>
      <c r="Z34" s="153"/>
    </row>
    <row r="35" spans="1:26">
      <c r="A35" s="774"/>
      <c r="B35" s="158" t="s">
        <v>1906</v>
      </c>
      <c r="C35" s="159" t="s">
        <v>1881</v>
      </c>
      <c r="D35" s="158" t="s">
        <v>1907</v>
      </c>
      <c r="E35" s="158" t="s">
        <v>1732</v>
      </c>
      <c r="F35" s="158" t="s">
        <v>1849</v>
      </c>
      <c r="G35" s="158" t="s">
        <v>1908</v>
      </c>
      <c r="H35" s="158" t="s">
        <v>1909</v>
      </c>
      <c r="I35" s="514" t="s">
        <v>1736</v>
      </c>
      <c r="J35" s="317" t="s">
        <v>1737</v>
      </c>
      <c r="K35" s="317" t="s">
        <v>1737</v>
      </c>
      <c r="L35" s="168"/>
      <c r="M35" s="163">
        <v>45026</v>
      </c>
      <c r="N35" s="110" t="s">
        <v>1910</v>
      </c>
      <c r="O35" s="36"/>
      <c r="P35" s="94"/>
      <c r="Q35" s="94"/>
      <c r="R35" s="94"/>
      <c r="S35" s="163">
        <v>45026</v>
      </c>
      <c r="T35" s="23" t="s">
        <v>1740</v>
      </c>
      <c r="U35" s="153"/>
      <c r="V35" s="153"/>
      <c r="W35" s="153"/>
      <c r="X35" s="153"/>
      <c r="Y35" s="153"/>
      <c r="Z35" s="153"/>
    </row>
    <row r="36" spans="1:26">
      <c r="A36" s="774"/>
      <c r="B36" s="158" t="s">
        <v>1911</v>
      </c>
      <c r="C36" s="159" t="s">
        <v>1881</v>
      </c>
      <c r="D36" s="158" t="s">
        <v>1912</v>
      </c>
      <c r="E36" s="158" t="s">
        <v>1732</v>
      </c>
      <c r="F36" s="158" t="s">
        <v>1849</v>
      </c>
      <c r="G36" s="158" t="s">
        <v>1913</v>
      </c>
      <c r="H36" s="158" t="s">
        <v>1914</v>
      </c>
      <c r="I36" s="514" t="s">
        <v>1736</v>
      </c>
      <c r="J36" s="317" t="s">
        <v>1737</v>
      </c>
      <c r="K36" s="317" t="s">
        <v>1737</v>
      </c>
      <c r="L36" s="169"/>
      <c r="M36" s="515">
        <v>44978</v>
      </c>
      <c r="N36" s="110" t="s">
        <v>1915</v>
      </c>
      <c r="O36" s="169"/>
      <c r="P36" s="170"/>
      <c r="Q36" s="170"/>
      <c r="R36" s="94"/>
      <c r="S36" s="515">
        <v>44978</v>
      </c>
      <c r="T36" s="110" t="s">
        <v>1916</v>
      </c>
      <c r="U36" s="153"/>
      <c r="V36" s="153"/>
      <c r="W36" s="153"/>
      <c r="X36" s="153"/>
      <c r="Y36" s="153"/>
      <c r="Z36" s="153"/>
    </row>
    <row r="37" spans="1:26">
      <c r="A37" s="774"/>
      <c r="B37" s="158" t="s">
        <v>1917</v>
      </c>
      <c r="C37" s="159" t="s">
        <v>1881</v>
      </c>
      <c r="D37" s="158" t="s">
        <v>1918</v>
      </c>
      <c r="E37" s="158" t="s">
        <v>1732</v>
      </c>
      <c r="F37" s="158" t="s">
        <v>1849</v>
      </c>
      <c r="G37" s="158" t="s">
        <v>1919</v>
      </c>
      <c r="H37" s="158" t="s">
        <v>1920</v>
      </c>
      <c r="I37" s="514" t="s">
        <v>1736</v>
      </c>
      <c r="J37" s="317" t="s">
        <v>1737</v>
      </c>
      <c r="K37" s="317" t="s">
        <v>1737</v>
      </c>
      <c r="L37" s="36"/>
      <c r="M37" s="515">
        <v>44978</v>
      </c>
      <c r="N37" s="110" t="s">
        <v>1921</v>
      </c>
      <c r="O37" s="36"/>
      <c r="P37" s="94"/>
      <c r="Q37" s="94"/>
      <c r="R37" s="94"/>
      <c r="S37" s="515">
        <v>44978</v>
      </c>
      <c r="T37" s="110" t="s">
        <v>1916</v>
      </c>
      <c r="U37" s="153"/>
      <c r="V37" s="153"/>
      <c r="W37" s="153"/>
      <c r="X37" s="153"/>
      <c r="Y37" s="153"/>
      <c r="Z37" s="153"/>
    </row>
    <row r="38" spans="1:26">
      <c r="A38" s="774"/>
      <c r="B38" s="158" t="s">
        <v>1922</v>
      </c>
      <c r="C38" s="159" t="s">
        <v>1881</v>
      </c>
      <c r="D38" s="158" t="s">
        <v>1923</v>
      </c>
      <c r="E38" s="158" t="s">
        <v>1732</v>
      </c>
      <c r="F38" s="158" t="s">
        <v>1849</v>
      </c>
      <c r="G38" s="158" t="s">
        <v>1924</v>
      </c>
      <c r="H38" s="158" t="s">
        <v>1874</v>
      </c>
      <c r="I38" s="514" t="s">
        <v>1736</v>
      </c>
      <c r="J38" s="317" t="s">
        <v>1737</v>
      </c>
      <c r="K38" s="317" t="s">
        <v>1737</v>
      </c>
      <c r="L38" s="36"/>
      <c r="M38" s="515">
        <v>44978</v>
      </c>
      <c r="N38" s="110" t="s">
        <v>1925</v>
      </c>
      <c r="O38" s="36"/>
      <c r="P38" s="94"/>
      <c r="Q38" s="94"/>
      <c r="R38" s="94"/>
      <c r="S38" s="515">
        <v>44978</v>
      </c>
      <c r="T38" s="110" t="s">
        <v>1916</v>
      </c>
      <c r="U38" s="153"/>
      <c r="V38" s="153"/>
      <c r="W38" s="153"/>
      <c r="X38" s="153"/>
      <c r="Y38" s="153"/>
      <c r="Z38" s="153"/>
    </row>
    <row r="39" spans="1:26">
      <c r="A39" s="774"/>
      <c r="B39" s="158" t="s">
        <v>1926</v>
      </c>
      <c r="C39" s="159" t="s">
        <v>1881</v>
      </c>
      <c r="D39" s="158" t="s">
        <v>1927</v>
      </c>
      <c r="E39" s="158" t="s">
        <v>1743</v>
      </c>
      <c r="F39" s="158" t="s">
        <v>1849</v>
      </c>
      <c r="G39" s="158" t="s">
        <v>1883</v>
      </c>
      <c r="H39" s="158" t="s">
        <v>1874</v>
      </c>
      <c r="I39" s="514" t="s">
        <v>1736</v>
      </c>
      <c r="J39" s="317" t="s">
        <v>1737</v>
      </c>
      <c r="K39" s="317" t="s">
        <v>1737</v>
      </c>
      <c r="L39" s="36"/>
      <c r="M39" s="515">
        <v>44971</v>
      </c>
      <c r="N39" s="23" t="s">
        <v>1928</v>
      </c>
      <c r="O39" s="36"/>
      <c r="P39" s="94"/>
      <c r="Q39" s="94"/>
      <c r="R39" s="94"/>
      <c r="S39" s="515">
        <v>44971</v>
      </c>
      <c r="T39" s="110" t="s">
        <v>1916</v>
      </c>
      <c r="U39" s="153"/>
      <c r="V39" s="153"/>
      <c r="W39" s="153"/>
      <c r="X39" s="153"/>
      <c r="Y39" s="153"/>
      <c r="Z39" s="153"/>
    </row>
    <row r="40" spans="1:26">
      <c r="A40" s="773"/>
      <c r="B40" s="158" t="s">
        <v>1929</v>
      </c>
      <c r="C40" s="159" t="s">
        <v>1881</v>
      </c>
      <c r="D40" s="158" t="s">
        <v>1930</v>
      </c>
      <c r="E40" s="158" t="s">
        <v>1743</v>
      </c>
      <c r="F40" s="158" t="s">
        <v>1779</v>
      </c>
      <c r="G40" s="158" t="s">
        <v>1931</v>
      </c>
      <c r="H40" s="158" t="s">
        <v>1867</v>
      </c>
      <c r="I40" s="514" t="s">
        <v>1736</v>
      </c>
      <c r="J40" s="317" t="s">
        <v>1737</v>
      </c>
      <c r="K40" s="317" t="s">
        <v>1737</v>
      </c>
      <c r="L40" s="36"/>
      <c r="M40" s="515">
        <v>44978</v>
      </c>
      <c r="N40" s="110" t="s">
        <v>1932</v>
      </c>
      <c r="O40" s="36"/>
      <c r="P40" s="94"/>
      <c r="Q40" s="94"/>
      <c r="R40" s="94"/>
      <c r="S40" s="515">
        <v>44978</v>
      </c>
      <c r="T40" s="110" t="s">
        <v>1916</v>
      </c>
      <c r="U40" s="153"/>
      <c r="V40" s="153"/>
      <c r="W40" s="153"/>
      <c r="X40" s="153"/>
      <c r="Y40" s="153"/>
      <c r="Z40" s="153"/>
    </row>
    <row r="41" spans="1:26">
      <c r="A41" s="655" t="s">
        <v>1933</v>
      </c>
      <c r="B41" s="155" t="s">
        <v>1934</v>
      </c>
      <c r="C41" s="165" t="s">
        <v>1935</v>
      </c>
      <c r="D41" s="165" t="s">
        <v>1936</v>
      </c>
      <c r="E41" s="155" t="s">
        <v>1732</v>
      </c>
      <c r="F41" s="155" t="s">
        <v>1849</v>
      </c>
      <c r="G41" s="155" t="s">
        <v>1937</v>
      </c>
      <c r="H41" s="155" t="s">
        <v>1938</v>
      </c>
      <c r="I41" s="513" t="s">
        <v>1736</v>
      </c>
      <c r="J41" s="317" t="s">
        <v>1737</v>
      </c>
      <c r="K41" s="317" t="s">
        <v>1737</v>
      </c>
      <c r="L41" s="36"/>
      <c r="M41" s="515">
        <v>44971</v>
      </c>
      <c r="N41" s="110" t="s">
        <v>1939</v>
      </c>
      <c r="O41" s="36"/>
      <c r="P41" s="94"/>
      <c r="Q41" s="94"/>
      <c r="R41" s="94"/>
      <c r="S41" s="515">
        <v>44971</v>
      </c>
      <c r="T41" s="110" t="s">
        <v>1916</v>
      </c>
      <c r="U41" s="153"/>
      <c r="V41" s="153"/>
      <c r="W41" s="153"/>
      <c r="X41" s="153"/>
      <c r="Y41" s="153"/>
      <c r="Z41" s="153"/>
    </row>
    <row r="42" spans="1:26">
      <c r="A42" s="774"/>
      <c r="B42" s="158" t="s">
        <v>1940</v>
      </c>
      <c r="C42" s="166" t="s">
        <v>1935</v>
      </c>
      <c r="D42" s="166" t="s">
        <v>1941</v>
      </c>
      <c r="E42" s="158" t="s">
        <v>1732</v>
      </c>
      <c r="F42" s="158" t="s">
        <v>1849</v>
      </c>
      <c r="G42" s="158" t="s">
        <v>1942</v>
      </c>
      <c r="H42" s="158" t="s">
        <v>1943</v>
      </c>
      <c r="I42" s="514" t="s">
        <v>1736</v>
      </c>
      <c r="J42" s="317" t="s">
        <v>1737</v>
      </c>
      <c r="K42" s="317" t="s">
        <v>1737</v>
      </c>
      <c r="L42" s="171"/>
      <c r="M42" s="515">
        <v>44971</v>
      </c>
      <c r="N42" s="110" t="s">
        <v>1944</v>
      </c>
      <c r="O42" s="171"/>
      <c r="P42" s="172"/>
      <c r="Q42" s="172"/>
      <c r="R42" s="94"/>
      <c r="S42" s="515">
        <v>44971</v>
      </c>
      <c r="T42" s="110" t="s">
        <v>1916</v>
      </c>
      <c r="U42" s="153"/>
      <c r="V42" s="153"/>
      <c r="W42" s="153"/>
      <c r="X42" s="153"/>
      <c r="Y42" s="153"/>
      <c r="Z42" s="153"/>
    </row>
    <row r="43" spans="1:26">
      <c r="A43" s="774"/>
      <c r="B43" s="158" t="s">
        <v>1945</v>
      </c>
      <c r="C43" s="166" t="s">
        <v>1935</v>
      </c>
      <c r="D43" s="166" t="s">
        <v>1946</v>
      </c>
      <c r="E43" s="158" t="s">
        <v>1732</v>
      </c>
      <c r="F43" s="158" t="s">
        <v>1849</v>
      </c>
      <c r="G43" s="158" t="s">
        <v>1947</v>
      </c>
      <c r="H43" s="158" t="s">
        <v>1948</v>
      </c>
      <c r="I43" s="514" t="s">
        <v>1736</v>
      </c>
      <c r="J43" s="317" t="s">
        <v>1737</v>
      </c>
      <c r="K43" s="317" t="s">
        <v>1737</v>
      </c>
      <c r="L43" s="171"/>
      <c r="M43" s="515">
        <v>44971</v>
      </c>
      <c r="N43" s="110" t="s">
        <v>1949</v>
      </c>
      <c r="O43" s="171"/>
      <c r="P43" s="172"/>
      <c r="Q43" s="172"/>
      <c r="R43" s="168"/>
      <c r="S43" s="515">
        <v>44971</v>
      </c>
      <c r="T43" s="110" t="s">
        <v>1916</v>
      </c>
      <c r="U43" s="153"/>
      <c r="V43" s="153"/>
      <c r="W43" s="153"/>
      <c r="X43" s="153"/>
      <c r="Y43" s="153"/>
      <c r="Z43" s="153"/>
    </row>
    <row r="44" spans="1:26">
      <c r="A44" s="774"/>
      <c r="B44" s="158" t="s">
        <v>1950</v>
      </c>
      <c r="C44" s="166" t="s">
        <v>1935</v>
      </c>
      <c r="D44" s="166" t="s">
        <v>1951</v>
      </c>
      <c r="E44" s="158" t="s">
        <v>1732</v>
      </c>
      <c r="F44" s="158" t="s">
        <v>1849</v>
      </c>
      <c r="G44" s="158" t="s">
        <v>1952</v>
      </c>
      <c r="H44" s="158" t="s">
        <v>1953</v>
      </c>
      <c r="I44" s="514" t="s">
        <v>1736</v>
      </c>
      <c r="J44" s="317" t="s">
        <v>1737</v>
      </c>
      <c r="K44" s="317" t="s">
        <v>1737</v>
      </c>
      <c r="L44" s="173"/>
      <c r="M44" s="515">
        <v>44971</v>
      </c>
      <c r="N44" s="110" t="s">
        <v>1954</v>
      </c>
      <c r="O44" s="171"/>
      <c r="P44" s="172"/>
      <c r="Q44" s="172"/>
      <c r="R44" s="168"/>
      <c r="S44" s="515">
        <v>44971</v>
      </c>
      <c r="T44" s="110" t="s">
        <v>1916</v>
      </c>
      <c r="U44" s="153"/>
      <c r="V44" s="153"/>
      <c r="W44" s="153"/>
      <c r="X44" s="153"/>
      <c r="Y44" s="153"/>
      <c r="Z44" s="153"/>
    </row>
    <row r="45" spans="1:26">
      <c r="A45" s="774"/>
      <c r="B45" s="158" t="s">
        <v>1955</v>
      </c>
      <c r="C45" s="166" t="s">
        <v>1935</v>
      </c>
      <c r="D45" s="166" t="s">
        <v>1956</v>
      </c>
      <c r="E45" s="516" t="s">
        <v>1732</v>
      </c>
      <c r="F45" s="158" t="s">
        <v>1849</v>
      </c>
      <c r="G45" s="158" t="s">
        <v>1957</v>
      </c>
      <c r="H45" s="158" t="s">
        <v>1958</v>
      </c>
      <c r="I45" s="514" t="s">
        <v>1736</v>
      </c>
      <c r="J45" s="317" t="s">
        <v>1737</v>
      </c>
      <c r="K45" s="317" t="s">
        <v>1737</v>
      </c>
      <c r="L45" s="171"/>
      <c r="M45" s="110"/>
      <c r="N45" s="171"/>
      <c r="O45" s="171"/>
      <c r="P45" s="172"/>
      <c r="Q45" s="172"/>
      <c r="R45" s="168"/>
      <c r="S45" s="174"/>
      <c r="T45" s="175"/>
      <c r="U45" s="153"/>
      <c r="V45" s="153"/>
      <c r="W45" s="153"/>
      <c r="X45" s="153"/>
      <c r="Y45" s="153"/>
      <c r="Z45" s="153"/>
    </row>
    <row r="46" spans="1:26">
      <c r="A46" s="774"/>
      <c r="B46" s="158" t="s">
        <v>1959</v>
      </c>
      <c r="C46" s="166" t="s">
        <v>1935</v>
      </c>
      <c r="D46" s="166" t="s">
        <v>1960</v>
      </c>
      <c r="E46" s="516" t="s">
        <v>1732</v>
      </c>
      <c r="F46" s="158" t="s">
        <v>1849</v>
      </c>
      <c r="G46" s="158" t="s">
        <v>1961</v>
      </c>
      <c r="H46" s="158" t="s">
        <v>1962</v>
      </c>
      <c r="I46" s="514" t="s">
        <v>1736</v>
      </c>
      <c r="J46" s="317" t="s">
        <v>1737</v>
      </c>
      <c r="K46" s="317" t="s">
        <v>1737</v>
      </c>
      <c r="L46" s="171"/>
      <c r="M46" s="515">
        <v>44971</v>
      </c>
      <c r="N46" s="110" t="s">
        <v>1963</v>
      </c>
      <c r="O46" s="171"/>
      <c r="P46" s="172"/>
      <c r="Q46" s="172"/>
      <c r="R46" s="168"/>
      <c r="S46" s="515">
        <v>44971</v>
      </c>
      <c r="T46" s="110" t="s">
        <v>1916</v>
      </c>
      <c r="U46" s="153"/>
      <c r="V46" s="153"/>
      <c r="W46" s="153"/>
      <c r="X46" s="153"/>
      <c r="Y46" s="153"/>
      <c r="Z46" s="153"/>
    </row>
    <row r="47" spans="1:26">
      <c r="A47" s="774"/>
      <c r="B47" s="158" t="s">
        <v>1964</v>
      </c>
      <c r="C47" s="166" t="s">
        <v>1935</v>
      </c>
      <c r="D47" s="166" t="s">
        <v>1965</v>
      </c>
      <c r="E47" s="516" t="s">
        <v>1732</v>
      </c>
      <c r="F47" s="158" t="s">
        <v>1849</v>
      </c>
      <c r="G47" s="158" t="s">
        <v>1966</v>
      </c>
      <c r="H47" s="158" t="s">
        <v>1967</v>
      </c>
      <c r="I47" s="514" t="s">
        <v>1736</v>
      </c>
      <c r="J47" s="317" t="s">
        <v>1737</v>
      </c>
      <c r="K47" s="317" t="s">
        <v>1737</v>
      </c>
      <c r="L47" s="171"/>
      <c r="M47" s="515">
        <v>44971</v>
      </c>
      <c r="N47" s="110" t="s">
        <v>1968</v>
      </c>
      <c r="O47" s="171"/>
      <c r="P47" s="172"/>
      <c r="Q47" s="172"/>
      <c r="R47" s="168"/>
      <c r="S47" s="515">
        <v>44971</v>
      </c>
      <c r="T47" s="110" t="s">
        <v>1916</v>
      </c>
      <c r="U47" s="153"/>
      <c r="V47" s="153"/>
      <c r="W47" s="153"/>
      <c r="X47" s="153"/>
      <c r="Y47" s="153"/>
      <c r="Z47" s="153"/>
    </row>
    <row r="48" spans="1:26">
      <c r="A48" s="774"/>
      <c r="B48" s="158" t="s">
        <v>1969</v>
      </c>
      <c r="C48" s="166" t="s">
        <v>1935</v>
      </c>
      <c r="D48" s="166" t="s">
        <v>1970</v>
      </c>
      <c r="E48" s="516" t="s">
        <v>1732</v>
      </c>
      <c r="F48" s="158" t="s">
        <v>1849</v>
      </c>
      <c r="G48" s="158" t="s">
        <v>1971</v>
      </c>
      <c r="H48" s="158" t="s">
        <v>1972</v>
      </c>
      <c r="I48" s="514" t="s">
        <v>1736</v>
      </c>
      <c r="J48" s="317" t="s">
        <v>1737</v>
      </c>
      <c r="K48" s="317" t="s">
        <v>1737</v>
      </c>
      <c r="L48" s="171"/>
      <c r="M48" s="515">
        <v>44971</v>
      </c>
      <c r="N48" s="110" t="s">
        <v>1968</v>
      </c>
      <c r="O48" s="171"/>
      <c r="P48" s="172"/>
      <c r="Q48" s="172"/>
      <c r="R48" s="168"/>
      <c r="S48" s="515">
        <v>44971</v>
      </c>
      <c r="T48" s="110" t="s">
        <v>1916</v>
      </c>
      <c r="U48" s="153"/>
      <c r="V48" s="153"/>
      <c r="W48" s="153"/>
      <c r="X48" s="153"/>
      <c r="Y48" s="153"/>
      <c r="Z48" s="153"/>
    </row>
    <row r="49" spans="1:26">
      <c r="A49" s="774"/>
      <c r="B49" s="158" t="s">
        <v>1973</v>
      </c>
      <c r="C49" s="166" t="s">
        <v>1935</v>
      </c>
      <c r="D49" s="166" t="s">
        <v>1974</v>
      </c>
      <c r="E49" s="158" t="s">
        <v>1732</v>
      </c>
      <c r="F49" s="158" t="s">
        <v>1849</v>
      </c>
      <c r="G49" s="158" t="s">
        <v>1975</v>
      </c>
      <c r="H49" s="158" t="s">
        <v>1976</v>
      </c>
      <c r="I49" s="514" t="s">
        <v>1736</v>
      </c>
      <c r="J49" s="317" t="s">
        <v>1737</v>
      </c>
      <c r="K49" s="317" t="s">
        <v>1737</v>
      </c>
      <c r="L49" s="171"/>
      <c r="M49" s="110"/>
      <c r="N49" s="171"/>
      <c r="O49" s="171"/>
      <c r="P49" s="176"/>
      <c r="Q49" s="176"/>
      <c r="R49" s="168"/>
      <c r="S49" s="174"/>
      <c r="T49" s="175"/>
      <c r="U49" s="153"/>
      <c r="V49" s="153"/>
      <c r="W49" s="153"/>
      <c r="X49" s="153"/>
      <c r="Y49" s="153"/>
      <c r="Z49" s="153"/>
    </row>
    <row r="50" spans="1:26">
      <c r="A50" s="774"/>
      <c r="B50" s="517" t="s">
        <v>1977</v>
      </c>
      <c r="C50" s="177" t="s">
        <v>1935</v>
      </c>
      <c r="D50" s="177" t="s">
        <v>1978</v>
      </c>
      <c r="E50" s="517" t="s">
        <v>1732</v>
      </c>
      <c r="F50" s="517" t="s">
        <v>1849</v>
      </c>
      <c r="G50" s="517" t="s">
        <v>1979</v>
      </c>
      <c r="H50" s="518"/>
      <c r="I50" s="519" t="s">
        <v>1736</v>
      </c>
      <c r="J50" s="183" t="s">
        <v>1737</v>
      </c>
      <c r="K50" s="183" t="s">
        <v>1737</v>
      </c>
      <c r="L50" s="178"/>
      <c r="M50" s="179"/>
      <c r="N50" s="180"/>
      <c r="O50" s="180"/>
      <c r="P50" s="178"/>
      <c r="Q50" s="178"/>
      <c r="R50" s="181"/>
      <c r="S50" s="182"/>
      <c r="T50" s="183"/>
      <c r="U50" s="153"/>
      <c r="V50" s="153"/>
      <c r="W50" s="153"/>
      <c r="X50" s="153"/>
      <c r="Y50" s="153"/>
      <c r="Z50" s="153"/>
    </row>
    <row r="51" spans="1:26">
      <c r="A51" s="774"/>
      <c r="B51" s="158" t="s">
        <v>1980</v>
      </c>
      <c r="C51" s="166" t="s">
        <v>1935</v>
      </c>
      <c r="D51" s="166" t="s">
        <v>1981</v>
      </c>
      <c r="E51" s="158" t="s">
        <v>1732</v>
      </c>
      <c r="F51" s="158" t="s">
        <v>1849</v>
      </c>
      <c r="G51" s="158" t="s">
        <v>1982</v>
      </c>
      <c r="H51" s="158" t="s">
        <v>1983</v>
      </c>
      <c r="I51" s="514" t="s">
        <v>1736</v>
      </c>
      <c r="J51" s="317" t="s">
        <v>1737</v>
      </c>
      <c r="K51" s="317" t="s">
        <v>1737</v>
      </c>
      <c r="L51" s="171"/>
      <c r="M51" s="515">
        <v>44979</v>
      </c>
      <c r="N51" s="110" t="s">
        <v>1984</v>
      </c>
      <c r="O51" s="171"/>
      <c r="P51" s="176"/>
      <c r="Q51" s="176"/>
      <c r="R51" s="168"/>
      <c r="S51" s="515">
        <v>44979</v>
      </c>
      <c r="T51" s="110" t="s">
        <v>1916</v>
      </c>
      <c r="U51" s="153"/>
      <c r="V51" s="153"/>
      <c r="W51" s="153"/>
      <c r="X51" s="153"/>
      <c r="Y51" s="153"/>
      <c r="Z51" s="153"/>
    </row>
    <row r="52" spans="1:26">
      <c r="A52" s="774"/>
      <c r="B52" s="158" t="s">
        <v>1985</v>
      </c>
      <c r="C52" s="166" t="s">
        <v>1935</v>
      </c>
      <c r="D52" s="166" t="s">
        <v>1986</v>
      </c>
      <c r="E52" s="516" t="s">
        <v>1732</v>
      </c>
      <c r="F52" s="158" t="s">
        <v>1849</v>
      </c>
      <c r="G52" s="158" t="s">
        <v>1987</v>
      </c>
      <c r="H52" s="158" t="s">
        <v>1988</v>
      </c>
      <c r="I52" s="514" t="s">
        <v>1736</v>
      </c>
      <c r="J52" s="317" t="s">
        <v>1737</v>
      </c>
      <c r="K52" s="317" t="s">
        <v>1737</v>
      </c>
      <c r="L52" s="171"/>
      <c r="M52" s="515">
        <v>44979</v>
      </c>
      <c r="N52" s="110" t="s">
        <v>1989</v>
      </c>
      <c r="O52" s="171"/>
      <c r="P52" s="176"/>
      <c r="Q52" s="176"/>
      <c r="R52" s="168"/>
      <c r="S52" s="515">
        <v>44979</v>
      </c>
      <c r="T52" s="110" t="s">
        <v>1916</v>
      </c>
      <c r="U52" s="153"/>
      <c r="V52" s="153"/>
      <c r="W52" s="153"/>
      <c r="X52" s="153"/>
      <c r="Y52" s="153"/>
      <c r="Z52" s="153"/>
    </row>
    <row r="53" spans="1:26">
      <c r="A53" s="774"/>
      <c r="B53" s="158" t="s">
        <v>1990</v>
      </c>
      <c r="C53" s="166" t="s">
        <v>1935</v>
      </c>
      <c r="D53" s="166" t="s">
        <v>1991</v>
      </c>
      <c r="E53" s="516" t="s">
        <v>1732</v>
      </c>
      <c r="F53" s="158" t="s">
        <v>1849</v>
      </c>
      <c r="G53" s="158" t="s">
        <v>1992</v>
      </c>
      <c r="H53" s="158" t="s">
        <v>1993</v>
      </c>
      <c r="I53" s="514" t="s">
        <v>1736</v>
      </c>
      <c r="J53" s="317" t="s">
        <v>1737</v>
      </c>
      <c r="K53" s="317" t="s">
        <v>1737</v>
      </c>
      <c r="L53" s="184"/>
      <c r="M53" s="515">
        <v>44973</v>
      </c>
      <c r="N53" s="110" t="s">
        <v>1885</v>
      </c>
      <c r="O53" s="110"/>
      <c r="P53" s="172"/>
      <c r="Q53" s="172"/>
      <c r="R53" s="168"/>
      <c r="S53" s="515">
        <v>44973</v>
      </c>
      <c r="T53" s="110" t="s">
        <v>1916</v>
      </c>
      <c r="U53" s="153"/>
      <c r="V53" s="153"/>
      <c r="W53" s="153"/>
      <c r="X53" s="153"/>
      <c r="Y53" s="153"/>
      <c r="Z53" s="153"/>
    </row>
    <row r="54" spans="1:26">
      <c r="A54" s="774"/>
      <c r="B54" s="158" t="s">
        <v>1994</v>
      </c>
      <c r="C54" s="166" t="s">
        <v>1935</v>
      </c>
      <c r="D54" s="166" t="s">
        <v>1995</v>
      </c>
      <c r="E54" s="516" t="s">
        <v>1743</v>
      </c>
      <c r="F54" s="158" t="s">
        <v>1849</v>
      </c>
      <c r="G54" s="158" t="s">
        <v>1996</v>
      </c>
      <c r="H54" s="158" t="s">
        <v>1997</v>
      </c>
      <c r="I54" s="514" t="s">
        <v>1736</v>
      </c>
      <c r="J54" s="317" t="s">
        <v>1737</v>
      </c>
      <c r="K54" s="317" t="s">
        <v>1737</v>
      </c>
      <c r="L54" s="184"/>
      <c r="M54" s="515">
        <v>44979</v>
      </c>
      <c r="N54" s="110" t="s">
        <v>1998</v>
      </c>
      <c r="O54" s="110"/>
      <c r="P54" s="172"/>
      <c r="Q54" s="172"/>
      <c r="R54" s="168"/>
      <c r="S54" s="515">
        <v>44979</v>
      </c>
      <c r="T54" s="110" t="s">
        <v>1916</v>
      </c>
      <c r="U54" s="153"/>
      <c r="V54" s="153"/>
      <c r="W54" s="153"/>
      <c r="X54" s="153"/>
      <c r="Y54" s="153"/>
      <c r="Z54" s="153"/>
    </row>
    <row r="55" spans="1:26">
      <c r="A55" s="773"/>
      <c r="B55" s="158" t="s">
        <v>1999</v>
      </c>
      <c r="C55" s="166" t="s">
        <v>1935</v>
      </c>
      <c r="D55" s="166" t="s">
        <v>1873</v>
      </c>
      <c r="E55" s="516" t="s">
        <v>1743</v>
      </c>
      <c r="F55" s="158" t="s">
        <v>1849</v>
      </c>
      <c r="G55" s="158" t="s">
        <v>2000</v>
      </c>
      <c r="H55" s="158" t="s">
        <v>1874</v>
      </c>
      <c r="I55" s="514" t="s">
        <v>1736</v>
      </c>
      <c r="J55" s="317" t="s">
        <v>1737</v>
      </c>
      <c r="K55" s="317" t="s">
        <v>1737</v>
      </c>
      <c r="L55" s="171"/>
      <c r="M55" s="515">
        <v>44979</v>
      </c>
      <c r="N55" s="110" t="s">
        <v>1998</v>
      </c>
      <c r="O55" s="110"/>
      <c r="P55" s="172"/>
      <c r="Q55" s="172"/>
      <c r="R55" s="168"/>
      <c r="S55" s="515">
        <v>44979</v>
      </c>
      <c r="T55" s="110" t="s">
        <v>1916</v>
      </c>
      <c r="U55" s="153"/>
      <c r="V55" s="153"/>
      <c r="W55" s="153"/>
      <c r="X55" s="153"/>
      <c r="Y55" s="153"/>
      <c r="Z55" s="153"/>
    </row>
    <row r="56" spans="1:26">
      <c r="A56" s="655" t="s">
        <v>2001</v>
      </c>
      <c r="B56" s="155" t="s">
        <v>2002</v>
      </c>
      <c r="C56" s="165" t="s">
        <v>2003</v>
      </c>
      <c r="D56" s="155" t="s">
        <v>2004</v>
      </c>
      <c r="E56" s="155" t="s">
        <v>1732</v>
      </c>
      <c r="F56" s="155" t="s">
        <v>1849</v>
      </c>
      <c r="G56" s="155" t="s">
        <v>2005</v>
      </c>
      <c r="H56" s="155" t="s">
        <v>2006</v>
      </c>
      <c r="I56" s="514" t="s">
        <v>1736</v>
      </c>
      <c r="J56" s="317" t="s">
        <v>1737</v>
      </c>
      <c r="K56" s="317" t="s">
        <v>1737</v>
      </c>
      <c r="L56" s="171"/>
      <c r="M56" s="515">
        <v>44984</v>
      </c>
      <c r="N56" s="110" t="s">
        <v>2007</v>
      </c>
      <c r="O56" s="110"/>
      <c r="P56" s="172"/>
      <c r="Q56" s="172"/>
      <c r="R56" s="168"/>
      <c r="S56" s="515">
        <v>44984</v>
      </c>
      <c r="T56" s="110" t="s">
        <v>1916</v>
      </c>
      <c r="U56" s="153"/>
      <c r="V56" s="153"/>
      <c r="W56" s="153"/>
      <c r="X56" s="153"/>
      <c r="Y56" s="153"/>
      <c r="Z56" s="153"/>
    </row>
    <row r="57" spans="1:26">
      <c r="A57" s="774"/>
      <c r="B57" s="158" t="s">
        <v>2008</v>
      </c>
      <c r="C57" s="166" t="s">
        <v>2003</v>
      </c>
      <c r="D57" s="158" t="s">
        <v>2009</v>
      </c>
      <c r="E57" s="158" t="s">
        <v>1732</v>
      </c>
      <c r="F57" s="158" t="s">
        <v>1849</v>
      </c>
      <c r="G57" s="158" t="s">
        <v>2010</v>
      </c>
      <c r="H57" s="158" t="s">
        <v>2011</v>
      </c>
      <c r="I57" s="514" t="s">
        <v>1736</v>
      </c>
      <c r="J57" s="317" t="s">
        <v>1737</v>
      </c>
      <c r="K57" s="317" t="s">
        <v>1737</v>
      </c>
      <c r="L57" s="171"/>
      <c r="M57" s="515">
        <v>44984</v>
      </c>
      <c r="N57" s="110" t="s">
        <v>2012</v>
      </c>
      <c r="O57" s="110"/>
      <c r="P57" s="172"/>
      <c r="Q57" s="172"/>
      <c r="R57" s="168"/>
      <c r="S57" s="515">
        <v>44984</v>
      </c>
      <c r="T57" s="110" t="s">
        <v>1916</v>
      </c>
      <c r="U57" s="153"/>
      <c r="V57" s="153"/>
      <c r="W57" s="153"/>
      <c r="X57" s="153"/>
      <c r="Y57" s="153"/>
      <c r="Z57" s="153"/>
    </row>
    <row r="58" spans="1:26">
      <c r="A58" s="774"/>
      <c r="B58" s="158" t="s">
        <v>2013</v>
      </c>
      <c r="C58" s="166" t="s">
        <v>2003</v>
      </c>
      <c r="D58" s="158" t="s">
        <v>2014</v>
      </c>
      <c r="E58" s="158" t="s">
        <v>1732</v>
      </c>
      <c r="F58" s="158" t="s">
        <v>1849</v>
      </c>
      <c r="G58" s="158" t="s">
        <v>2015</v>
      </c>
      <c r="H58" s="158" t="s">
        <v>2016</v>
      </c>
      <c r="I58" s="514" t="s">
        <v>1736</v>
      </c>
      <c r="J58" s="317" t="s">
        <v>1737</v>
      </c>
      <c r="K58" s="317" t="s">
        <v>1737</v>
      </c>
      <c r="L58" s="168"/>
      <c r="M58" s="515">
        <v>44984</v>
      </c>
      <c r="N58" s="185" t="s">
        <v>2017</v>
      </c>
      <c r="O58" s="168"/>
      <c r="P58" s="168"/>
      <c r="Q58" s="168"/>
      <c r="R58" s="168"/>
      <c r="S58" s="515">
        <v>44984</v>
      </c>
      <c r="T58" s="110" t="s">
        <v>1916</v>
      </c>
      <c r="U58" s="153"/>
      <c r="V58" s="153"/>
      <c r="W58" s="153"/>
      <c r="X58" s="153"/>
      <c r="Y58" s="153"/>
      <c r="Z58" s="153"/>
    </row>
    <row r="59" spans="1:26">
      <c r="A59" s="774"/>
      <c r="B59" s="158" t="s">
        <v>2018</v>
      </c>
      <c r="C59" s="166" t="s">
        <v>2003</v>
      </c>
      <c r="D59" s="158" t="s">
        <v>2019</v>
      </c>
      <c r="E59" s="516" t="s">
        <v>1732</v>
      </c>
      <c r="F59" s="158" t="s">
        <v>1849</v>
      </c>
      <c r="G59" s="158" t="s">
        <v>2020</v>
      </c>
      <c r="H59" s="158" t="s">
        <v>2021</v>
      </c>
      <c r="I59" s="514" t="s">
        <v>1736</v>
      </c>
      <c r="J59" s="317" t="s">
        <v>1737</v>
      </c>
      <c r="K59" s="317" t="s">
        <v>1737</v>
      </c>
      <c r="L59" s="168"/>
      <c r="M59" s="515">
        <v>44984</v>
      </c>
      <c r="N59" s="185" t="s">
        <v>2022</v>
      </c>
      <c r="O59" s="168"/>
      <c r="P59" s="168"/>
      <c r="Q59" s="168"/>
      <c r="R59" s="168"/>
      <c r="S59" s="515">
        <v>44984</v>
      </c>
      <c r="T59" s="110" t="s">
        <v>1916</v>
      </c>
      <c r="U59" s="153"/>
      <c r="V59" s="153"/>
      <c r="W59" s="153"/>
      <c r="X59" s="153"/>
      <c r="Y59" s="153"/>
      <c r="Z59" s="153"/>
    </row>
    <row r="60" spans="1:26">
      <c r="A60" s="774"/>
      <c r="B60" s="158" t="s">
        <v>2023</v>
      </c>
      <c r="C60" s="166" t="s">
        <v>2003</v>
      </c>
      <c r="D60" s="158" t="s">
        <v>2024</v>
      </c>
      <c r="E60" s="516" t="s">
        <v>1732</v>
      </c>
      <c r="F60" s="158" t="s">
        <v>1849</v>
      </c>
      <c r="G60" s="158" t="s">
        <v>2025</v>
      </c>
      <c r="H60" s="158" t="s">
        <v>2026</v>
      </c>
      <c r="I60" s="514" t="s">
        <v>1736</v>
      </c>
      <c r="J60" s="317" t="s">
        <v>1737</v>
      </c>
      <c r="K60" s="317" t="s">
        <v>1737</v>
      </c>
      <c r="L60" s="168"/>
      <c r="M60" s="515">
        <v>45026</v>
      </c>
      <c r="N60" s="186" t="s">
        <v>2027</v>
      </c>
      <c r="O60" s="168"/>
      <c r="P60" s="168"/>
      <c r="Q60" s="168"/>
      <c r="R60" s="168"/>
      <c r="S60" s="515">
        <v>45026</v>
      </c>
      <c r="T60" s="110" t="s">
        <v>1916</v>
      </c>
      <c r="U60" s="153"/>
      <c r="V60" s="153"/>
      <c r="W60" s="153"/>
      <c r="X60" s="153"/>
      <c r="Y60" s="153"/>
      <c r="Z60" s="153"/>
    </row>
    <row r="61" spans="1:26">
      <c r="A61" s="774"/>
      <c r="B61" s="158" t="s">
        <v>2028</v>
      </c>
      <c r="C61" s="166" t="s">
        <v>2003</v>
      </c>
      <c r="D61" s="158" t="s">
        <v>2029</v>
      </c>
      <c r="E61" s="158" t="s">
        <v>1732</v>
      </c>
      <c r="F61" s="158" t="s">
        <v>1849</v>
      </c>
      <c r="G61" s="158" t="s">
        <v>2030</v>
      </c>
      <c r="H61" s="158" t="s">
        <v>2031</v>
      </c>
      <c r="I61" s="514" t="s">
        <v>1736</v>
      </c>
      <c r="J61" s="317" t="s">
        <v>1737</v>
      </c>
      <c r="K61" s="317" t="s">
        <v>1737</v>
      </c>
      <c r="L61" s="36"/>
      <c r="M61" s="515">
        <v>45026</v>
      </c>
      <c r="N61" s="110" t="s">
        <v>2032</v>
      </c>
      <c r="O61" s="36"/>
      <c r="P61" s="94"/>
      <c r="Q61" s="94"/>
      <c r="R61" s="168"/>
      <c r="S61" s="515">
        <v>45026</v>
      </c>
      <c r="T61" s="110" t="s">
        <v>1916</v>
      </c>
      <c r="U61" s="153"/>
      <c r="V61" s="153"/>
      <c r="W61" s="153"/>
      <c r="X61" s="153"/>
      <c r="Y61" s="153"/>
      <c r="Z61" s="153"/>
    </row>
    <row r="62" spans="1:26">
      <c r="A62" s="774"/>
      <c r="B62" s="158" t="s">
        <v>2033</v>
      </c>
      <c r="C62" s="166" t="s">
        <v>2003</v>
      </c>
      <c r="D62" s="158" t="s">
        <v>2034</v>
      </c>
      <c r="E62" s="158" t="s">
        <v>1743</v>
      </c>
      <c r="F62" s="158" t="s">
        <v>1779</v>
      </c>
      <c r="G62" s="158" t="s">
        <v>2035</v>
      </c>
      <c r="H62" s="158" t="s">
        <v>2036</v>
      </c>
      <c r="I62" s="514" t="s">
        <v>1736</v>
      </c>
      <c r="J62" s="317" t="s">
        <v>1737</v>
      </c>
      <c r="K62" s="317" t="s">
        <v>1737</v>
      </c>
      <c r="L62" s="36"/>
      <c r="M62" s="36"/>
      <c r="N62" s="171"/>
      <c r="O62" s="36"/>
      <c r="P62" s="94"/>
      <c r="Q62" s="94"/>
      <c r="R62" s="168"/>
      <c r="S62" s="174"/>
      <c r="T62" s="175"/>
      <c r="U62" s="153"/>
      <c r="V62" s="153"/>
      <c r="W62" s="153"/>
      <c r="X62" s="153"/>
      <c r="Y62" s="153"/>
      <c r="Z62" s="153"/>
    </row>
    <row r="63" spans="1:26">
      <c r="A63" s="773"/>
      <c r="B63" s="158" t="s">
        <v>2037</v>
      </c>
      <c r="C63" s="166" t="s">
        <v>2003</v>
      </c>
      <c r="D63" s="158" t="s">
        <v>1873</v>
      </c>
      <c r="E63" s="158" t="s">
        <v>1743</v>
      </c>
      <c r="F63" s="158" t="s">
        <v>1849</v>
      </c>
      <c r="G63" s="158" t="s">
        <v>2035</v>
      </c>
      <c r="H63" s="158" t="s">
        <v>1874</v>
      </c>
      <c r="I63" s="514" t="s">
        <v>1736</v>
      </c>
      <c r="J63" s="317" t="s">
        <v>1737</v>
      </c>
      <c r="K63" s="317" t="s">
        <v>1737</v>
      </c>
      <c r="L63" s="36"/>
      <c r="M63" s="36"/>
      <c r="N63" s="171"/>
      <c r="O63" s="36"/>
      <c r="P63" s="94"/>
      <c r="Q63" s="94"/>
      <c r="R63" s="168"/>
      <c r="S63" s="174"/>
      <c r="T63" s="175"/>
      <c r="U63" s="153"/>
      <c r="V63" s="153"/>
      <c r="W63" s="153"/>
      <c r="X63" s="153"/>
      <c r="Y63" s="153"/>
      <c r="Z63" s="153"/>
    </row>
    <row r="64" spans="1:26">
      <c r="A64" s="687" t="s">
        <v>2038</v>
      </c>
      <c r="B64" s="155" t="s">
        <v>2039</v>
      </c>
      <c r="C64" s="155" t="s">
        <v>2040</v>
      </c>
      <c r="D64" s="155" t="s">
        <v>2041</v>
      </c>
      <c r="E64" s="477" t="s">
        <v>1732</v>
      </c>
      <c r="F64" s="155" t="s">
        <v>1849</v>
      </c>
      <c r="G64" s="155" t="s">
        <v>2042</v>
      </c>
      <c r="H64" s="155" t="s">
        <v>2043</v>
      </c>
      <c r="I64" s="514" t="s">
        <v>1736</v>
      </c>
      <c r="J64" s="317" t="s">
        <v>1737</v>
      </c>
      <c r="K64" s="317" t="s">
        <v>1737</v>
      </c>
      <c r="L64" s="36"/>
      <c r="M64" s="515">
        <v>44984</v>
      </c>
      <c r="N64" s="185" t="s">
        <v>2044</v>
      </c>
      <c r="O64" s="36"/>
      <c r="P64" s="94"/>
      <c r="Q64" s="94"/>
      <c r="R64" s="168"/>
      <c r="S64" s="515">
        <v>44984</v>
      </c>
      <c r="T64" s="110" t="s">
        <v>1916</v>
      </c>
      <c r="U64" s="153"/>
      <c r="V64" s="153"/>
      <c r="W64" s="153"/>
      <c r="X64" s="153"/>
      <c r="Y64" s="153"/>
      <c r="Z64" s="153"/>
    </row>
    <row r="65" spans="1:26">
      <c r="A65" s="774"/>
      <c r="B65" s="158" t="s">
        <v>2045</v>
      </c>
      <c r="C65" s="158" t="s">
        <v>2040</v>
      </c>
      <c r="D65" s="158" t="s">
        <v>2046</v>
      </c>
      <c r="E65" s="160" t="s">
        <v>1732</v>
      </c>
      <c r="F65" s="158" t="s">
        <v>1849</v>
      </c>
      <c r="G65" s="158" t="s">
        <v>2047</v>
      </c>
      <c r="H65" s="158" t="s">
        <v>2048</v>
      </c>
      <c r="I65" s="514" t="s">
        <v>1736</v>
      </c>
      <c r="J65" s="317" t="s">
        <v>1737</v>
      </c>
      <c r="K65" s="317" t="s">
        <v>1737</v>
      </c>
      <c r="L65" s="36"/>
      <c r="M65" s="515">
        <v>45058</v>
      </c>
      <c r="N65" s="23" t="s">
        <v>2049</v>
      </c>
      <c r="O65" s="36"/>
      <c r="P65" s="94"/>
      <c r="Q65" s="94"/>
      <c r="R65" s="168"/>
      <c r="S65" s="515">
        <v>45056</v>
      </c>
      <c r="T65" s="110" t="s">
        <v>1916</v>
      </c>
      <c r="U65" s="153"/>
      <c r="V65" s="153"/>
      <c r="W65" s="153"/>
      <c r="X65" s="153"/>
      <c r="Y65" s="153"/>
      <c r="Z65" s="153"/>
    </row>
    <row r="66" spans="1:26">
      <c r="A66" s="773"/>
      <c r="B66" s="158" t="s">
        <v>2050</v>
      </c>
      <c r="C66" s="158" t="s">
        <v>2040</v>
      </c>
      <c r="D66" s="158" t="s">
        <v>1873</v>
      </c>
      <c r="E66" s="158" t="s">
        <v>1743</v>
      </c>
      <c r="F66" s="158" t="s">
        <v>1849</v>
      </c>
      <c r="G66" s="158" t="s">
        <v>2042</v>
      </c>
      <c r="H66" s="158" t="s">
        <v>1874</v>
      </c>
      <c r="I66" s="514" t="s">
        <v>1736</v>
      </c>
      <c r="J66" s="317" t="s">
        <v>1737</v>
      </c>
      <c r="K66" s="317" t="s">
        <v>1737</v>
      </c>
      <c r="L66" s="168"/>
      <c r="M66" s="515">
        <v>44984</v>
      </c>
      <c r="N66" s="185" t="s">
        <v>2044</v>
      </c>
      <c r="O66" s="168"/>
      <c r="P66" s="168"/>
      <c r="Q66" s="168"/>
      <c r="R66" s="168"/>
      <c r="S66" s="515">
        <v>44984</v>
      </c>
      <c r="T66" s="110" t="s">
        <v>1916</v>
      </c>
      <c r="U66" s="153"/>
      <c r="V66" s="153"/>
      <c r="W66" s="153"/>
      <c r="X66" s="153"/>
      <c r="Y66" s="153"/>
      <c r="Z66" s="153"/>
    </row>
    <row r="67" spans="1:26">
      <c r="A67" s="683" t="s">
        <v>2051</v>
      </c>
      <c r="B67" s="158" t="s">
        <v>2052</v>
      </c>
      <c r="C67" s="158" t="s">
        <v>2053</v>
      </c>
      <c r="D67" s="158" t="s">
        <v>2054</v>
      </c>
      <c r="E67" s="158" t="s">
        <v>1732</v>
      </c>
      <c r="F67" s="158" t="s">
        <v>1849</v>
      </c>
      <c r="G67" s="158" t="s">
        <v>2055</v>
      </c>
      <c r="H67" s="158" t="s">
        <v>2056</v>
      </c>
      <c r="I67" s="514" t="s">
        <v>1736</v>
      </c>
      <c r="J67" s="317" t="s">
        <v>1737</v>
      </c>
      <c r="K67" s="317" t="s">
        <v>1737</v>
      </c>
      <c r="L67" s="168"/>
      <c r="M67" s="515">
        <v>44985</v>
      </c>
      <c r="N67" s="185" t="s">
        <v>2057</v>
      </c>
      <c r="O67" s="168"/>
      <c r="P67" s="168"/>
      <c r="Q67" s="168"/>
      <c r="R67" s="168"/>
      <c r="S67" s="515">
        <v>44985</v>
      </c>
      <c r="T67" s="110" t="s">
        <v>1916</v>
      </c>
      <c r="U67" s="153"/>
      <c r="V67" s="153"/>
      <c r="W67" s="153"/>
      <c r="X67" s="153"/>
      <c r="Y67" s="153"/>
      <c r="Z67" s="153"/>
    </row>
    <row r="68" spans="1:26">
      <c r="A68" s="774"/>
      <c r="B68" s="158" t="s">
        <v>2058</v>
      </c>
      <c r="C68" s="158" t="s">
        <v>2053</v>
      </c>
      <c r="D68" s="158" t="s">
        <v>2059</v>
      </c>
      <c r="E68" s="158" t="s">
        <v>1732</v>
      </c>
      <c r="F68" s="158" t="s">
        <v>1849</v>
      </c>
      <c r="G68" s="158" t="s">
        <v>2060</v>
      </c>
      <c r="H68" s="158" t="s">
        <v>2061</v>
      </c>
      <c r="I68" s="514" t="s">
        <v>1736</v>
      </c>
      <c r="J68" s="317" t="s">
        <v>1737</v>
      </c>
      <c r="K68" s="317" t="s">
        <v>1737</v>
      </c>
      <c r="L68" s="168"/>
      <c r="M68" s="515">
        <v>44985</v>
      </c>
      <c r="N68" s="185" t="s">
        <v>2062</v>
      </c>
      <c r="O68" s="168"/>
      <c r="P68" s="168"/>
      <c r="Q68" s="168"/>
      <c r="R68" s="168"/>
      <c r="S68" s="515">
        <v>44985</v>
      </c>
      <c r="T68" s="110" t="s">
        <v>1916</v>
      </c>
      <c r="U68" s="153"/>
      <c r="V68" s="153"/>
      <c r="W68" s="153"/>
      <c r="X68" s="153"/>
      <c r="Y68" s="153"/>
      <c r="Z68" s="153"/>
    </row>
    <row r="69" spans="1:26">
      <c r="A69" s="774"/>
      <c r="B69" s="158" t="s">
        <v>2063</v>
      </c>
      <c r="C69" s="158" t="s">
        <v>2053</v>
      </c>
      <c r="D69" s="158" t="s">
        <v>2064</v>
      </c>
      <c r="E69" s="158" t="s">
        <v>1732</v>
      </c>
      <c r="F69" s="158" t="s">
        <v>1849</v>
      </c>
      <c r="G69" s="166" t="s">
        <v>2065</v>
      </c>
      <c r="H69" s="158" t="s">
        <v>2066</v>
      </c>
      <c r="I69" s="514" t="s">
        <v>1736</v>
      </c>
      <c r="J69" s="317" t="s">
        <v>1737</v>
      </c>
      <c r="K69" s="317" t="s">
        <v>1737</v>
      </c>
      <c r="L69" s="168"/>
      <c r="M69" s="515">
        <v>45000</v>
      </c>
      <c r="N69" s="185" t="s">
        <v>2067</v>
      </c>
      <c r="O69" s="168"/>
      <c r="P69" s="168"/>
      <c r="Q69" s="168"/>
      <c r="R69" s="168"/>
      <c r="S69" s="515">
        <v>45000</v>
      </c>
      <c r="T69" s="110" t="s">
        <v>1916</v>
      </c>
      <c r="U69" s="153"/>
      <c r="V69" s="153"/>
      <c r="W69" s="153"/>
      <c r="X69" s="153"/>
      <c r="Y69" s="153"/>
      <c r="Z69" s="153"/>
    </row>
    <row r="70" spans="1:26">
      <c r="A70" s="774"/>
      <c r="B70" s="158" t="s">
        <v>2068</v>
      </c>
      <c r="C70" s="158" t="s">
        <v>2053</v>
      </c>
      <c r="D70" s="158" t="s">
        <v>2069</v>
      </c>
      <c r="E70" s="158" t="s">
        <v>1732</v>
      </c>
      <c r="F70" s="158" t="s">
        <v>1849</v>
      </c>
      <c r="G70" s="158" t="s">
        <v>2070</v>
      </c>
      <c r="H70" s="158" t="s">
        <v>2071</v>
      </c>
      <c r="I70" s="514" t="s">
        <v>1736</v>
      </c>
      <c r="J70" s="317" t="s">
        <v>1737</v>
      </c>
      <c r="K70" s="317" t="s">
        <v>1737</v>
      </c>
      <c r="L70" s="168"/>
      <c r="M70" s="515">
        <v>44995</v>
      </c>
      <c r="N70" s="185" t="s">
        <v>2072</v>
      </c>
      <c r="O70" s="168"/>
      <c r="P70" s="168"/>
      <c r="Q70" s="168"/>
      <c r="R70" s="168"/>
      <c r="S70" s="515">
        <v>44995</v>
      </c>
      <c r="T70" s="110" t="s">
        <v>1916</v>
      </c>
      <c r="U70" s="153"/>
      <c r="V70" s="153"/>
      <c r="W70" s="153"/>
      <c r="X70" s="153"/>
      <c r="Y70" s="153"/>
      <c r="Z70" s="153"/>
    </row>
    <row r="71" spans="1:26">
      <c r="A71" s="774"/>
      <c r="B71" s="158" t="s">
        <v>2073</v>
      </c>
      <c r="C71" s="158" t="s">
        <v>2053</v>
      </c>
      <c r="D71" s="158" t="s">
        <v>2074</v>
      </c>
      <c r="E71" s="158" t="s">
        <v>1743</v>
      </c>
      <c r="F71" s="158" t="s">
        <v>1779</v>
      </c>
      <c r="G71" s="158" t="s">
        <v>2075</v>
      </c>
      <c r="H71" s="158" t="s">
        <v>2076</v>
      </c>
      <c r="I71" s="514" t="s">
        <v>1736</v>
      </c>
      <c r="J71" s="317" t="s">
        <v>1737</v>
      </c>
      <c r="K71" s="317" t="s">
        <v>1737</v>
      </c>
      <c r="L71" s="168"/>
      <c r="M71" s="515">
        <v>45019</v>
      </c>
      <c r="N71" s="185" t="s">
        <v>2077</v>
      </c>
      <c r="O71" s="168"/>
      <c r="P71" s="168"/>
      <c r="Q71" s="168"/>
      <c r="R71" s="168"/>
      <c r="S71" s="515">
        <v>45019</v>
      </c>
      <c r="T71" s="110" t="s">
        <v>1916</v>
      </c>
      <c r="U71" s="153"/>
      <c r="V71" s="153"/>
      <c r="W71" s="153"/>
      <c r="X71" s="153"/>
      <c r="Y71" s="153"/>
      <c r="Z71" s="153"/>
    </row>
    <row r="72" spans="1:26">
      <c r="A72" s="774"/>
      <c r="B72" s="158" t="s">
        <v>2078</v>
      </c>
      <c r="C72" s="158" t="s">
        <v>2053</v>
      </c>
      <c r="D72" s="158" t="s">
        <v>2079</v>
      </c>
      <c r="E72" s="158" t="s">
        <v>1743</v>
      </c>
      <c r="F72" s="158" t="s">
        <v>1779</v>
      </c>
      <c r="G72" s="158" t="s">
        <v>2080</v>
      </c>
      <c r="H72" s="158" t="s">
        <v>2076</v>
      </c>
      <c r="I72" s="514" t="s">
        <v>1736</v>
      </c>
      <c r="J72" s="317" t="s">
        <v>1737</v>
      </c>
      <c r="K72" s="317" t="s">
        <v>1737</v>
      </c>
      <c r="L72" s="168"/>
      <c r="M72" s="515">
        <v>45058</v>
      </c>
      <c r="N72" s="185" t="s">
        <v>2081</v>
      </c>
      <c r="O72" s="168"/>
      <c r="P72" s="168"/>
      <c r="Q72" s="168"/>
      <c r="R72" s="168"/>
      <c r="S72" s="515">
        <v>45056</v>
      </c>
      <c r="T72" s="110" t="s">
        <v>1916</v>
      </c>
      <c r="U72" s="153"/>
      <c r="V72" s="153"/>
      <c r="W72" s="153"/>
      <c r="X72" s="153"/>
      <c r="Y72" s="153"/>
      <c r="Z72" s="153"/>
    </row>
    <row r="73" spans="1:26">
      <c r="A73" s="774"/>
      <c r="B73" s="158" t="s">
        <v>2082</v>
      </c>
      <c r="C73" s="158" t="s">
        <v>2053</v>
      </c>
      <c r="D73" s="158" t="s">
        <v>2083</v>
      </c>
      <c r="E73" s="158" t="s">
        <v>1743</v>
      </c>
      <c r="F73" s="158" t="s">
        <v>1849</v>
      </c>
      <c r="G73" s="158" t="s">
        <v>2055</v>
      </c>
      <c r="H73" s="158" t="s">
        <v>1874</v>
      </c>
      <c r="I73" s="514" t="s">
        <v>1736</v>
      </c>
      <c r="J73" s="317" t="s">
        <v>1737</v>
      </c>
      <c r="K73" s="317" t="s">
        <v>1737</v>
      </c>
      <c r="L73" s="168"/>
      <c r="M73" s="515">
        <v>45000</v>
      </c>
      <c r="N73" s="185" t="s">
        <v>2084</v>
      </c>
      <c r="O73" s="168"/>
      <c r="P73" s="168"/>
      <c r="Q73" s="168"/>
      <c r="R73" s="168"/>
      <c r="S73" s="515">
        <v>45000</v>
      </c>
      <c r="T73" s="110" t="s">
        <v>1916</v>
      </c>
      <c r="U73" s="153"/>
      <c r="V73" s="153"/>
      <c r="W73" s="153"/>
      <c r="X73" s="153"/>
      <c r="Y73" s="153"/>
      <c r="Z73" s="153"/>
    </row>
    <row r="74" spans="1:26">
      <c r="A74" s="773"/>
      <c r="B74" s="158" t="s">
        <v>2085</v>
      </c>
      <c r="C74" s="158" t="s">
        <v>2053</v>
      </c>
      <c r="D74" s="158" t="s">
        <v>2086</v>
      </c>
      <c r="E74" s="158" t="s">
        <v>1743</v>
      </c>
      <c r="F74" s="158" t="s">
        <v>1849</v>
      </c>
      <c r="G74" s="158" t="s">
        <v>2070</v>
      </c>
      <c r="H74" s="158" t="s">
        <v>1874</v>
      </c>
      <c r="I74" s="514" t="s">
        <v>1736</v>
      </c>
      <c r="J74" s="317" t="s">
        <v>1737</v>
      </c>
      <c r="K74" s="317" t="s">
        <v>1737</v>
      </c>
      <c r="L74" s="168"/>
      <c r="M74" s="515">
        <v>45000</v>
      </c>
      <c r="N74" s="185" t="s">
        <v>2087</v>
      </c>
      <c r="O74" s="168"/>
      <c r="P74" s="168"/>
      <c r="Q74" s="168"/>
      <c r="R74" s="168"/>
      <c r="S74" s="515">
        <v>45000</v>
      </c>
      <c r="T74" s="110" t="s">
        <v>1916</v>
      </c>
      <c r="U74" s="153"/>
      <c r="V74" s="153"/>
      <c r="W74" s="153"/>
      <c r="X74" s="153"/>
      <c r="Y74" s="153"/>
      <c r="Z74" s="153"/>
    </row>
    <row r="75" spans="1:26">
      <c r="A75" s="655" t="s">
        <v>2088</v>
      </c>
      <c r="B75" s="155" t="s">
        <v>2089</v>
      </c>
      <c r="C75" s="155" t="s">
        <v>2090</v>
      </c>
      <c r="D75" s="155" t="s">
        <v>2091</v>
      </c>
      <c r="E75" s="155" t="s">
        <v>1732</v>
      </c>
      <c r="F75" s="155" t="s">
        <v>1849</v>
      </c>
      <c r="G75" s="155" t="s">
        <v>2092</v>
      </c>
      <c r="H75" s="155" t="s">
        <v>2093</v>
      </c>
      <c r="I75" s="514" t="s">
        <v>1736</v>
      </c>
      <c r="J75" s="317" t="s">
        <v>1737</v>
      </c>
      <c r="K75" s="317" t="s">
        <v>1737</v>
      </c>
      <c r="L75" s="168"/>
      <c r="M75" s="174"/>
      <c r="N75" s="174"/>
      <c r="O75" s="168"/>
      <c r="P75" s="168"/>
      <c r="Q75" s="168"/>
      <c r="R75" s="168"/>
      <c r="S75" s="174"/>
      <c r="T75" s="175"/>
      <c r="U75" s="153"/>
      <c r="V75" s="153"/>
      <c r="W75" s="153"/>
      <c r="X75" s="153"/>
      <c r="Y75" s="153"/>
      <c r="Z75" s="153"/>
    </row>
    <row r="76" spans="1:26">
      <c r="A76" s="774"/>
      <c r="B76" s="158" t="s">
        <v>2094</v>
      </c>
      <c r="C76" s="158" t="s">
        <v>2090</v>
      </c>
      <c r="D76" s="158" t="s">
        <v>2095</v>
      </c>
      <c r="E76" s="158" t="s">
        <v>1732</v>
      </c>
      <c r="F76" s="158" t="s">
        <v>1849</v>
      </c>
      <c r="G76" s="158" t="s">
        <v>2096</v>
      </c>
      <c r="H76" s="158" t="s">
        <v>2097</v>
      </c>
      <c r="I76" s="514" t="s">
        <v>1736</v>
      </c>
      <c r="J76" s="317" t="s">
        <v>1737</v>
      </c>
      <c r="K76" s="317" t="s">
        <v>1737</v>
      </c>
      <c r="L76" s="168"/>
      <c r="M76" s="174"/>
      <c r="N76" s="174"/>
      <c r="O76" s="168"/>
      <c r="P76" s="168"/>
      <c r="Q76" s="168"/>
      <c r="R76" s="168"/>
      <c r="S76" s="174"/>
      <c r="T76" s="175"/>
      <c r="U76" s="153"/>
      <c r="V76" s="153"/>
      <c r="W76" s="153"/>
      <c r="X76" s="153"/>
      <c r="Y76" s="153"/>
      <c r="Z76" s="153"/>
    </row>
    <row r="77" spans="1:26">
      <c r="A77" s="774"/>
      <c r="B77" s="158" t="s">
        <v>2098</v>
      </c>
      <c r="C77" s="158" t="s">
        <v>2090</v>
      </c>
      <c r="D77" s="158" t="s">
        <v>2099</v>
      </c>
      <c r="E77" s="158" t="s">
        <v>1732</v>
      </c>
      <c r="F77" s="158" t="s">
        <v>1849</v>
      </c>
      <c r="G77" s="158" t="s">
        <v>2100</v>
      </c>
      <c r="H77" s="158" t="s">
        <v>2101</v>
      </c>
      <c r="I77" s="514" t="s">
        <v>1736</v>
      </c>
      <c r="J77" s="317" t="s">
        <v>1737</v>
      </c>
      <c r="K77" s="317" t="s">
        <v>1737</v>
      </c>
      <c r="L77" s="168"/>
      <c r="M77" s="174"/>
      <c r="N77" s="174"/>
      <c r="O77" s="168"/>
      <c r="P77" s="168"/>
      <c r="Q77" s="168"/>
      <c r="R77" s="168"/>
      <c r="S77" s="174"/>
      <c r="T77" s="175"/>
      <c r="U77" s="153"/>
      <c r="V77" s="153"/>
      <c r="W77" s="153"/>
      <c r="X77" s="153"/>
      <c r="Y77" s="153"/>
      <c r="Z77" s="153"/>
    </row>
    <row r="78" spans="1:26">
      <c r="A78" s="774"/>
      <c r="B78" s="158" t="s">
        <v>2102</v>
      </c>
      <c r="C78" s="158" t="s">
        <v>2090</v>
      </c>
      <c r="D78" s="158" t="s">
        <v>2103</v>
      </c>
      <c r="E78" s="158" t="s">
        <v>1732</v>
      </c>
      <c r="F78" s="158" t="s">
        <v>1849</v>
      </c>
      <c r="G78" s="158" t="s">
        <v>2104</v>
      </c>
      <c r="H78" s="158" t="s">
        <v>2105</v>
      </c>
      <c r="I78" s="514" t="s">
        <v>1736</v>
      </c>
      <c r="J78" s="317" t="s">
        <v>1737</v>
      </c>
      <c r="K78" s="317" t="s">
        <v>1737</v>
      </c>
      <c r="L78" s="168"/>
      <c r="M78" s="174"/>
      <c r="N78" s="174"/>
      <c r="O78" s="168"/>
      <c r="P78" s="168"/>
      <c r="Q78" s="168"/>
      <c r="R78" s="168"/>
      <c r="S78" s="174"/>
      <c r="T78" s="175"/>
      <c r="U78" s="153"/>
      <c r="V78" s="153"/>
      <c r="W78" s="153"/>
      <c r="X78" s="153"/>
      <c r="Y78" s="153"/>
      <c r="Z78" s="153"/>
    </row>
    <row r="79" spans="1:26">
      <c r="A79" s="774"/>
      <c r="B79" s="158" t="s">
        <v>2106</v>
      </c>
      <c r="C79" s="158" t="s">
        <v>2090</v>
      </c>
      <c r="D79" s="158" t="s">
        <v>2107</v>
      </c>
      <c r="E79" s="158" t="s">
        <v>1732</v>
      </c>
      <c r="F79" s="158" t="s">
        <v>1849</v>
      </c>
      <c r="G79" s="158" t="s">
        <v>2108</v>
      </c>
      <c r="H79" s="158" t="s">
        <v>2109</v>
      </c>
      <c r="I79" s="514" t="s">
        <v>1736</v>
      </c>
      <c r="J79" s="317" t="s">
        <v>1737</v>
      </c>
      <c r="K79" s="317" t="s">
        <v>1737</v>
      </c>
      <c r="L79" s="168"/>
      <c r="M79" s="174"/>
      <c r="N79" s="174"/>
      <c r="O79" s="168"/>
      <c r="P79" s="168"/>
      <c r="Q79" s="168"/>
      <c r="R79" s="168"/>
      <c r="S79" s="174"/>
      <c r="T79" s="175"/>
      <c r="U79" s="153"/>
      <c r="V79" s="153"/>
      <c r="W79" s="153"/>
      <c r="X79" s="153"/>
      <c r="Y79" s="153"/>
      <c r="Z79" s="153"/>
    </row>
    <row r="80" spans="1:26">
      <c r="A80" s="774"/>
      <c r="B80" s="158" t="s">
        <v>2110</v>
      </c>
      <c r="C80" s="158" t="s">
        <v>2090</v>
      </c>
      <c r="D80" s="158" t="s">
        <v>2111</v>
      </c>
      <c r="E80" s="158" t="s">
        <v>1732</v>
      </c>
      <c r="F80" s="158" t="s">
        <v>1849</v>
      </c>
      <c r="G80" s="158" t="s">
        <v>2112</v>
      </c>
      <c r="H80" s="158" t="s">
        <v>2113</v>
      </c>
      <c r="I80" s="514" t="s">
        <v>1736</v>
      </c>
      <c r="J80" s="317" t="s">
        <v>1737</v>
      </c>
      <c r="K80" s="317" t="s">
        <v>1737</v>
      </c>
      <c r="L80" s="168"/>
      <c r="M80" s="174"/>
      <c r="N80" s="174"/>
      <c r="O80" s="168"/>
      <c r="P80" s="168"/>
      <c r="Q80" s="168"/>
      <c r="R80" s="168"/>
      <c r="S80" s="174"/>
      <c r="T80" s="175"/>
      <c r="U80" s="153"/>
      <c r="V80" s="153"/>
      <c r="W80" s="153"/>
      <c r="X80" s="153"/>
      <c r="Y80" s="153"/>
      <c r="Z80" s="153"/>
    </row>
    <row r="81" spans="1:26">
      <c r="A81" s="774"/>
      <c r="B81" s="158" t="s">
        <v>2114</v>
      </c>
      <c r="C81" s="158" t="s">
        <v>2090</v>
      </c>
      <c r="D81" s="158" t="s">
        <v>2115</v>
      </c>
      <c r="E81" s="158" t="s">
        <v>1732</v>
      </c>
      <c r="F81" s="158" t="s">
        <v>1849</v>
      </c>
      <c r="G81" s="158" t="s">
        <v>2116</v>
      </c>
      <c r="H81" s="158" t="s">
        <v>2117</v>
      </c>
      <c r="I81" s="514" t="s">
        <v>1736</v>
      </c>
      <c r="J81" s="317" t="s">
        <v>1737</v>
      </c>
      <c r="K81" s="317" t="s">
        <v>1737</v>
      </c>
      <c r="L81" s="168"/>
      <c r="M81" s="174"/>
      <c r="N81" s="174"/>
      <c r="O81" s="168"/>
      <c r="P81" s="168"/>
      <c r="Q81" s="168"/>
      <c r="R81" s="168"/>
      <c r="S81" s="174"/>
      <c r="T81" s="175"/>
      <c r="U81" s="153"/>
      <c r="V81" s="153"/>
      <c r="W81" s="153"/>
      <c r="X81" s="153"/>
      <c r="Y81" s="153"/>
      <c r="Z81" s="153"/>
    </row>
    <row r="82" spans="1:26">
      <c r="A82" s="774"/>
      <c r="B82" s="158" t="s">
        <v>2118</v>
      </c>
      <c r="C82" s="158" t="s">
        <v>2090</v>
      </c>
      <c r="D82" s="158" t="s">
        <v>2119</v>
      </c>
      <c r="E82" s="158" t="s">
        <v>1732</v>
      </c>
      <c r="F82" s="158" t="s">
        <v>1849</v>
      </c>
      <c r="G82" s="158" t="s">
        <v>2120</v>
      </c>
      <c r="H82" s="158" t="s">
        <v>2121</v>
      </c>
      <c r="I82" s="514" t="s">
        <v>1736</v>
      </c>
      <c r="J82" s="317" t="s">
        <v>1737</v>
      </c>
      <c r="K82" s="317" t="s">
        <v>1737</v>
      </c>
      <c r="L82" s="168"/>
      <c r="M82" s="174"/>
      <c r="N82" s="174"/>
      <c r="O82" s="168"/>
      <c r="P82" s="168"/>
      <c r="Q82" s="168"/>
      <c r="R82" s="168"/>
      <c r="S82" s="174"/>
      <c r="T82" s="175"/>
      <c r="U82" s="153"/>
      <c r="V82" s="153"/>
      <c r="W82" s="153"/>
      <c r="X82" s="153"/>
      <c r="Y82" s="153"/>
      <c r="Z82" s="153"/>
    </row>
    <row r="83" spans="1:26">
      <c r="A83" s="774"/>
      <c r="B83" s="158" t="s">
        <v>2122</v>
      </c>
      <c r="C83" s="158" t="s">
        <v>2090</v>
      </c>
      <c r="D83" s="158" t="s">
        <v>2123</v>
      </c>
      <c r="E83" s="158" t="s">
        <v>1732</v>
      </c>
      <c r="F83" s="158" t="s">
        <v>1849</v>
      </c>
      <c r="G83" s="158" t="s">
        <v>2124</v>
      </c>
      <c r="H83" s="158" t="s">
        <v>2125</v>
      </c>
      <c r="I83" s="514" t="s">
        <v>1736</v>
      </c>
      <c r="J83" s="317" t="s">
        <v>1737</v>
      </c>
      <c r="K83" s="317" t="s">
        <v>1737</v>
      </c>
      <c r="L83" s="168"/>
      <c r="M83" s="174"/>
      <c r="N83" s="174"/>
      <c r="O83" s="168"/>
      <c r="P83" s="168"/>
      <c r="Q83" s="168"/>
      <c r="R83" s="168"/>
      <c r="S83" s="174"/>
      <c r="T83" s="175"/>
      <c r="U83" s="153"/>
      <c r="V83" s="153"/>
      <c r="W83" s="153"/>
      <c r="X83" s="153"/>
      <c r="Y83" s="153"/>
      <c r="Z83" s="153"/>
    </row>
    <row r="84" spans="1:26">
      <c r="A84" s="774"/>
      <c r="B84" s="158" t="s">
        <v>2126</v>
      </c>
      <c r="C84" s="158" t="s">
        <v>2090</v>
      </c>
      <c r="D84" s="158" t="s">
        <v>2127</v>
      </c>
      <c r="E84" s="158" t="s">
        <v>1732</v>
      </c>
      <c r="F84" s="158" t="s">
        <v>1849</v>
      </c>
      <c r="G84" s="158" t="s">
        <v>2128</v>
      </c>
      <c r="H84" s="158" t="s">
        <v>2129</v>
      </c>
      <c r="I84" s="514" t="s">
        <v>1736</v>
      </c>
      <c r="J84" s="317" t="s">
        <v>1737</v>
      </c>
      <c r="K84" s="317" t="s">
        <v>1737</v>
      </c>
      <c r="L84" s="168"/>
      <c r="M84" s="174"/>
      <c r="N84" s="174"/>
      <c r="O84" s="168"/>
      <c r="P84" s="168"/>
      <c r="Q84" s="168"/>
      <c r="R84" s="168"/>
      <c r="S84" s="174"/>
      <c r="T84" s="175"/>
      <c r="U84" s="153"/>
      <c r="V84" s="153"/>
      <c r="W84" s="153"/>
      <c r="X84" s="153"/>
      <c r="Y84" s="153"/>
      <c r="Z84" s="153"/>
    </row>
    <row r="85" spans="1:26">
      <c r="A85" s="774"/>
      <c r="B85" s="158" t="s">
        <v>2130</v>
      </c>
      <c r="C85" s="158" t="s">
        <v>2090</v>
      </c>
      <c r="D85" s="158" t="s">
        <v>2131</v>
      </c>
      <c r="E85" s="158" t="s">
        <v>1732</v>
      </c>
      <c r="F85" s="158" t="s">
        <v>1849</v>
      </c>
      <c r="G85" s="158" t="s">
        <v>2132</v>
      </c>
      <c r="H85" s="158" t="s">
        <v>2133</v>
      </c>
      <c r="I85" s="514" t="s">
        <v>1736</v>
      </c>
      <c r="J85" s="317" t="s">
        <v>1737</v>
      </c>
      <c r="K85" s="317" t="s">
        <v>1737</v>
      </c>
      <c r="L85" s="168"/>
      <c r="M85" s="174"/>
      <c r="N85" s="174"/>
      <c r="O85" s="168"/>
      <c r="P85" s="168"/>
      <c r="Q85" s="168"/>
      <c r="R85" s="168"/>
      <c r="S85" s="174"/>
      <c r="T85" s="175"/>
      <c r="U85" s="153"/>
      <c r="V85" s="153"/>
      <c r="W85" s="153"/>
      <c r="X85" s="153"/>
      <c r="Y85" s="153"/>
      <c r="Z85" s="153"/>
    </row>
    <row r="86" spans="1:26">
      <c r="A86" s="774"/>
      <c r="B86" s="158" t="s">
        <v>2134</v>
      </c>
      <c r="C86" s="158" t="s">
        <v>2090</v>
      </c>
      <c r="D86" s="187" t="s">
        <v>2135</v>
      </c>
      <c r="E86" s="158" t="s">
        <v>1732</v>
      </c>
      <c r="F86" s="158" t="s">
        <v>1849</v>
      </c>
      <c r="G86" s="158" t="s">
        <v>2136</v>
      </c>
      <c r="H86" s="158" t="s">
        <v>2137</v>
      </c>
      <c r="I86" s="514" t="s">
        <v>1736</v>
      </c>
      <c r="J86" s="317" t="s">
        <v>1737</v>
      </c>
      <c r="K86" s="317" t="s">
        <v>1737</v>
      </c>
      <c r="L86" s="168"/>
      <c r="M86" s="174"/>
      <c r="N86" s="174"/>
      <c r="O86" s="168"/>
      <c r="P86" s="168"/>
      <c r="Q86" s="168"/>
      <c r="R86" s="168"/>
      <c r="S86" s="174"/>
      <c r="T86" s="175"/>
      <c r="U86" s="153"/>
      <c r="V86" s="153"/>
      <c r="W86" s="153"/>
      <c r="X86" s="153"/>
      <c r="Y86" s="153"/>
      <c r="Z86" s="153"/>
    </row>
    <row r="87" spans="1:26">
      <c r="A87" s="774"/>
      <c r="B87" s="158" t="s">
        <v>2138</v>
      </c>
      <c r="C87" s="158" t="s">
        <v>2090</v>
      </c>
      <c r="D87" s="187" t="s">
        <v>2139</v>
      </c>
      <c r="E87" s="158" t="s">
        <v>1732</v>
      </c>
      <c r="F87" s="158" t="s">
        <v>1849</v>
      </c>
      <c r="G87" s="158" t="s">
        <v>2140</v>
      </c>
      <c r="H87" s="158" t="s">
        <v>2141</v>
      </c>
      <c r="I87" s="514" t="s">
        <v>1736</v>
      </c>
      <c r="J87" s="317" t="s">
        <v>1737</v>
      </c>
      <c r="K87" s="317" t="s">
        <v>1737</v>
      </c>
      <c r="L87" s="168"/>
      <c r="M87" s="174"/>
      <c r="N87" s="174"/>
      <c r="O87" s="168"/>
      <c r="P87" s="168"/>
      <c r="Q87" s="168"/>
      <c r="R87" s="168"/>
      <c r="S87" s="174"/>
      <c r="T87" s="175"/>
      <c r="U87" s="153"/>
      <c r="V87" s="153"/>
      <c r="W87" s="153"/>
      <c r="X87" s="153"/>
      <c r="Y87" s="153"/>
      <c r="Z87" s="153"/>
    </row>
    <row r="88" spans="1:26">
      <c r="A88" s="774"/>
      <c r="B88" s="158" t="s">
        <v>2142</v>
      </c>
      <c r="C88" s="158" t="s">
        <v>2090</v>
      </c>
      <c r="D88" s="158" t="s">
        <v>2143</v>
      </c>
      <c r="E88" s="158" t="s">
        <v>1732</v>
      </c>
      <c r="F88" s="158" t="s">
        <v>1849</v>
      </c>
      <c r="G88" s="158" t="s">
        <v>2144</v>
      </c>
      <c r="H88" s="158" t="s">
        <v>2145</v>
      </c>
      <c r="I88" s="514" t="s">
        <v>1736</v>
      </c>
      <c r="J88" s="317" t="s">
        <v>1737</v>
      </c>
      <c r="K88" s="317" t="s">
        <v>1737</v>
      </c>
      <c r="L88" s="168"/>
      <c r="M88" s="174"/>
      <c r="N88" s="174"/>
      <c r="O88" s="168"/>
      <c r="P88" s="168"/>
      <c r="Q88" s="168"/>
      <c r="R88" s="168"/>
      <c r="S88" s="174"/>
      <c r="T88" s="175"/>
      <c r="U88" s="153"/>
      <c r="V88" s="153"/>
      <c r="W88" s="153"/>
      <c r="X88" s="153"/>
      <c r="Y88" s="153"/>
      <c r="Z88" s="153"/>
    </row>
    <row r="89" spans="1:26">
      <c r="A89" s="774"/>
      <c r="B89" s="158" t="s">
        <v>2146</v>
      </c>
      <c r="C89" s="158" t="s">
        <v>2090</v>
      </c>
      <c r="D89" s="158" t="s">
        <v>2147</v>
      </c>
      <c r="E89" s="158" t="s">
        <v>1732</v>
      </c>
      <c r="F89" s="158" t="s">
        <v>1849</v>
      </c>
      <c r="G89" s="158" t="s">
        <v>2148</v>
      </c>
      <c r="H89" s="158" t="s">
        <v>2149</v>
      </c>
      <c r="I89" s="514" t="s">
        <v>1736</v>
      </c>
      <c r="J89" s="317" t="s">
        <v>1737</v>
      </c>
      <c r="K89" s="317" t="s">
        <v>1737</v>
      </c>
      <c r="L89" s="168"/>
      <c r="M89" s="174"/>
      <c r="N89" s="174"/>
      <c r="O89" s="168"/>
      <c r="P89" s="168"/>
      <c r="Q89" s="168"/>
      <c r="R89" s="168"/>
      <c r="S89" s="174"/>
      <c r="T89" s="175"/>
      <c r="U89" s="153"/>
      <c r="V89" s="153"/>
      <c r="W89" s="153"/>
      <c r="X89" s="153"/>
      <c r="Y89" s="153"/>
      <c r="Z89" s="153"/>
    </row>
    <row r="90" spans="1:26">
      <c r="A90" s="774"/>
      <c r="B90" s="158" t="s">
        <v>2150</v>
      </c>
      <c r="C90" s="158" t="s">
        <v>2090</v>
      </c>
      <c r="D90" s="158" t="s">
        <v>2151</v>
      </c>
      <c r="E90" s="158" t="s">
        <v>1732</v>
      </c>
      <c r="F90" s="158" t="s">
        <v>1849</v>
      </c>
      <c r="G90" s="158" t="s">
        <v>2152</v>
      </c>
      <c r="H90" s="158" t="s">
        <v>2153</v>
      </c>
      <c r="I90" s="514" t="s">
        <v>1736</v>
      </c>
      <c r="J90" s="317" t="s">
        <v>1737</v>
      </c>
      <c r="K90" s="317" t="s">
        <v>1737</v>
      </c>
      <c r="L90" s="36"/>
      <c r="M90" s="36"/>
      <c r="N90" s="171"/>
      <c r="O90" s="36"/>
      <c r="P90" s="94"/>
      <c r="Q90" s="94"/>
      <c r="R90" s="168"/>
      <c r="S90" s="174"/>
      <c r="T90" s="175"/>
      <c r="U90" s="153"/>
      <c r="V90" s="153"/>
      <c r="W90" s="153"/>
      <c r="X90" s="153"/>
      <c r="Y90" s="153"/>
      <c r="Z90" s="153"/>
    </row>
    <row r="91" spans="1:26">
      <c r="A91" s="774"/>
      <c r="B91" s="158" t="s">
        <v>2154</v>
      </c>
      <c r="C91" s="158" t="s">
        <v>2090</v>
      </c>
      <c r="D91" s="187" t="s">
        <v>2155</v>
      </c>
      <c r="E91" s="158" t="s">
        <v>1732</v>
      </c>
      <c r="F91" s="158" t="s">
        <v>1849</v>
      </c>
      <c r="G91" s="158" t="s">
        <v>2156</v>
      </c>
      <c r="H91" s="158" t="s">
        <v>2157</v>
      </c>
      <c r="I91" s="514" t="s">
        <v>1736</v>
      </c>
      <c r="J91" s="317" t="s">
        <v>1737</v>
      </c>
      <c r="K91" s="317" t="s">
        <v>1737</v>
      </c>
      <c r="L91" s="36"/>
      <c r="M91" s="36"/>
      <c r="N91" s="171"/>
      <c r="O91" s="36"/>
      <c r="P91" s="94"/>
      <c r="Q91" s="94"/>
      <c r="R91" s="168"/>
      <c r="S91" s="174"/>
      <c r="T91" s="175"/>
      <c r="U91" s="153"/>
      <c r="V91" s="153"/>
      <c r="W91" s="153"/>
      <c r="X91" s="153"/>
      <c r="Y91" s="153"/>
      <c r="Z91" s="153"/>
    </row>
    <row r="92" spans="1:26">
      <c r="A92" s="774"/>
      <c r="B92" s="158" t="s">
        <v>2158</v>
      </c>
      <c r="C92" s="158" t="s">
        <v>2090</v>
      </c>
      <c r="D92" s="158" t="s">
        <v>2159</v>
      </c>
      <c r="E92" s="158" t="s">
        <v>1732</v>
      </c>
      <c r="F92" s="158" t="s">
        <v>1849</v>
      </c>
      <c r="G92" s="158" t="s">
        <v>2160</v>
      </c>
      <c r="H92" s="158" t="s">
        <v>2161</v>
      </c>
      <c r="I92" s="514" t="s">
        <v>1736</v>
      </c>
      <c r="J92" s="317" t="s">
        <v>1737</v>
      </c>
      <c r="K92" s="317" t="s">
        <v>1737</v>
      </c>
      <c r="L92" s="36"/>
      <c r="M92" s="36"/>
      <c r="N92" s="171"/>
      <c r="O92" s="36"/>
      <c r="P92" s="94"/>
      <c r="Q92" s="94"/>
      <c r="R92" s="168"/>
      <c r="S92" s="174"/>
      <c r="T92" s="175"/>
      <c r="U92" s="153"/>
      <c r="V92" s="153"/>
      <c r="W92" s="153"/>
      <c r="X92" s="153"/>
      <c r="Y92" s="153"/>
      <c r="Z92" s="153"/>
    </row>
    <row r="93" spans="1:26">
      <c r="A93" s="774"/>
      <c r="B93" s="158" t="s">
        <v>2162</v>
      </c>
      <c r="C93" s="158" t="s">
        <v>2090</v>
      </c>
      <c r="D93" s="187" t="s">
        <v>2163</v>
      </c>
      <c r="E93" s="158" t="s">
        <v>1732</v>
      </c>
      <c r="F93" s="158" t="s">
        <v>1849</v>
      </c>
      <c r="G93" s="158" t="s">
        <v>2164</v>
      </c>
      <c r="H93" s="158" t="s">
        <v>2165</v>
      </c>
      <c r="I93" s="514" t="s">
        <v>1736</v>
      </c>
      <c r="J93" s="317" t="s">
        <v>1737</v>
      </c>
      <c r="K93" s="317" t="s">
        <v>1737</v>
      </c>
      <c r="L93" s="36"/>
      <c r="M93" s="36"/>
      <c r="N93" s="171"/>
      <c r="O93" s="36"/>
      <c r="P93" s="94"/>
      <c r="Q93" s="94"/>
      <c r="R93" s="168"/>
      <c r="S93" s="174"/>
      <c r="T93" s="175"/>
      <c r="U93" s="153"/>
      <c r="V93" s="153"/>
      <c r="W93" s="153"/>
      <c r="X93" s="153"/>
      <c r="Y93" s="153"/>
      <c r="Z93" s="153"/>
    </row>
    <row r="94" spans="1:26">
      <c r="A94" s="774"/>
      <c r="B94" s="158" t="s">
        <v>2166</v>
      </c>
      <c r="C94" s="158" t="s">
        <v>2090</v>
      </c>
      <c r="D94" s="158" t="s">
        <v>2167</v>
      </c>
      <c r="E94" s="158" t="s">
        <v>1732</v>
      </c>
      <c r="F94" s="158" t="s">
        <v>1849</v>
      </c>
      <c r="G94" s="158" t="s">
        <v>2168</v>
      </c>
      <c r="H94" s="158" t="s">
        <v>2169</v>
      </c>
      <c r="I94" s="514" t="s">
        <v>1736</v>
      </c>
      <c r="J94" s="317" t="s">
        <v>1737</v>
      </c>
      <c r="K94" s="317" t="s">
        <v>1737</v>
      </c>
      <c r="L94" s="36"/>
      <c r="M94" s="36"/>
      <c r="N94" s="171"/>
      <c r="O94" s="36"/>
      <c r="P94" s="94"/>
      <c r="Q94" s="94"/>
      <c r="R94" s="168"/>
      <c r="S94" s="174"/>
      <c r="T94" s="175"/>
      <c r="U94" s="153"/>
      <c r="V94" s="153"/>
      <c r="W94" s="153"/>
      <c r="X94" s="153"/>
      <c r="Y94" s="153"/>
      <c r="Z94" s="153"/>
    </row>
    <row r="95" spans="1:26">
      <c r="A95" s="774"/>
      <c r="B95" s="158" t="s">
        <v>2170</v>
      </c>
      <c r="C95" s="158" t="s">
        <v>2090</v>
      </c>
      <c r="D95" s="158" t="s">
        <v>2171</v>
      </c>
      <c r="E95" s="158" t="s">
        <v>1732</v>
      </c>
      <c r="F95" s="158" t="s">
        <v>1849</v>
      </c>
      <c r="G95" s="158" t="s">
        <v>2172</v>
      </c>
      <c r="H95" s="158" t="s">
        <v>2173</v>
      </c>
      <c r="I95" s="514" t="s">
        <v>1736</v>
      </c>
      <c r="J95" s="317" t="s">
        <v>1737</v>
      </c>
      <c r="K95" s="317" t="s">
        <v>1737</v>
      </c>
      <c r="L95" s="168"/>
      <c r="M95" s="174"/>
      <c r="N95" s="174"/>
      <c r="O95" s="168"/>
      <c r="P95" s="168"/>
      <c r="Q95" s="168"/>
      <c r="R95" s="168"/>
      <c r="S95" s="174"/>
      <c r="T95" s="175"/>
      <c r="U95" s="153"/>
      <c r="V95" s="153"/>
      <c r="W95" s="153"/>
      <c r="X95" s="153"/>
      <c r="Y95" s="153"/>
      <c r="Z95" s="153"/>
    </row>
    <row r="96" spans="1:26">
      <c r="A96" s="774"/>
      <c r="B96" s="158" t="s">
        <v>2174</v>
      </c>
      <c r="C96" s="158" t="s">
        <v>2090</v>
      </c>
      <c r="D96" s="158" t="s">
        <v>2175</v>
      </c>
      <c r="E96" s="158" t="s">
        <v>1732</v>
      </c>
      <c r="F96" s="158" t="s">
        <v>1849</v>
      </c>
      <c r="G96" s="158" t="s">
        <v>2176</v>
      </c>
      <c r="H96" s="158" t="s">
        <v>2177</v>
      </c>
      <c r="I96" s="514" t="s">
        <v>1736</v>
      </c>
      <c r="J96" s="317" t="s">
        <v>1737</v>
      </c>
      <c r="K96" s="317" t="s">
        <v>1737</v>
      </c>
      <c r="L96" s="168"/>
      <c r="M96" s="174"/>
      <c r="N96" s="174"/>
      <c r="O96" s="168"/>
      <c r="P96" s="168"/>
      <c r="Q96" s="168"/>
      <c r="R96" s="168"/>
      <c r="S96" s="174"/>
      <c r="T96" s="175"/>
      <c r="U96" s="153"/>
      <c r="V96" s="153"/>
      <c r="W96" s="153"/>
      <c r="X96" s="153"/>
      <c r="Y96" s="153"/>
      <c r="Z96" s="153"/>
    </row>
    <row r="97" spans="1:26">
      <c r="A97" s="774"/>
      <c r="B97" s="158" t="s">
        <v>2178</v>
      </c>
      <c r="C97" s="158" t="s">
        <v>2090</v>
      </c>
      <c r="D97" s="158" t="s">
        <v>2179</v>
      </c>
      <c r="E97" s="158" t="s">
        <v>1732</v>
      </c>
      <c r="F97" s="158" t="s">
        <v>1849</v>
      </c>
      <c r="G97" s="158" t="s">
        <v>2180</v>
      </c>
      <c r="H97" s="158" t="s">
        <v>2181</v>
      </c>
      <c r="I97" s="513" t="s">
        <v>1736</v>
      </c>
      <c r="J97" s="317" t="s">
        <v>1737</v>
      </c>
      <c r="K97" s="317" t="s">
        <v>1737</v>
      </c>
      <c r="L97" s="477"/>
      <c r="M97" s="477"/>
      <c r="N97" s="520"/>
      <c r="O97" s="477"/>
      <c r="P97" s="155"/>
      <c r="Q97" s="155"/>
      <c r="R97" s="155"/>
      <c r="S97" s="477"/>
      <c r="T97" s="521"/>
      <c r="U97" s="153"/>
      <c r="V97" s="153"/>
      <c r="W97" s="153"/>
      <c r="X97" s="153"/>
      <c r="Y97" s="153"/>
      <c r="Z97" s="153"/>
    </row>
    <row r="98" spans="1:26">
      <c r="A98" s="774"/>
      <c r="B98" s="158" t="s">
        <v>2182</v>
      </c>
      <c r="C98" s="158" t="s">
        <v>2090</v>
      </c>
      <c r="D98" s="158" t="s">
        <v>2183</v>
      </c>
      <c r="E98" s="158" t="s">
        <v>1732</v>
      </c>
      <c r="F98" s="158" t="s">
        <v>1849</v>
      </c>
      <c r="G98" s="158" t="s">
        <v>2184</v>
      </c>
      <c r="H98" s="158" t="s">
        <v>2185</v>
      </c>
      <c r="I98" s="513" t="s">
        <v>1736</v>
      </c>
      <c r="J98" s="317" t="s">
        <v>1737</v>
      </c>
      <c r="K98" s="317" t="s">
        <v>1737</v>
      </c>
      <c r="L98" s="477"/>
      <c r="M98" s="477"/>
      <c r="N98" s="520"/>
      <c r="O98" s="477"/>
      <c r="P98" s="155"/>
      <c r="Q98" s="155"/>
      <c r="R98" s="155"/>
      <c r="S98" s="477"/>
      <c r="T98" s="521"/>
      <c r="U98" s="153"/>
      <c r="V98" s="153"/>
      <c r="W98" s="153"/>
      <c r="X98" s="153"/>
      <c r="Y98" s="153"/>
      <c r="Z98" s="153"/>
    </row>
    <row r="99" spans="1:26">
      <c r="A99" s="774"/>
      <c r="B99" s="158" t="s">
        <v>2186</v>
      </c>
      <c r="C99" s="158" t="s">
        <v>2090</v>
      </c>
      <c r="D99" s="158" t="s">
        <v>2187</v>
      </c>
      <c r="E99" s="158" t="s">
        <v>1732</v>
      </c>
      <c r="F99" s="158" t="s">
        <v>1849</v>
      </c>
      <c r="G99" s="158" t="s">
        <v>2188</v>
      </c>
      <c r="H99" s="158" t="s">
        <v>2189</v>
      </c>
      <c r="I99" s="513" t="s">
        <v>1736</v>
      </c>
      <c r="J99" s="317" t="s">
        <v>1737</v>
      </c>
      <c r="K99" s="317" t="s">
        <v>1737</v>
      </c>
      <c r="L99" s="477"/>
      <c r="M99" s="477"/>
      <c r="N99" s="520"/>
      <c r="O99" s="477"/>
      <c r="P99" s="155"/>
      <c r="Q99" s="155"/>
      <c r="R99" s="155"/>
      <c r="S99" s="477"/>
      <c r="T99" s="521"/>
      <c r="U99" s="153"/>
      <c r="V99" s="153"/>
      <c r="W99" s="153"/>
      <c r="X99" s="153"/>
      <c r="Y99" s="153"/>
      <c r="Z99" s="153"/>
    </row>
    <row r="100" spans="1:26">
      <c r="A100" s="774"/>
      <c r="B100" s="158" t="s">
        <v>2190</v>
      </c>
      <c r="C100" s="158" t="s">
        <v>2090</v>
      </c>
      <c r="D100" s="158" t="s">
        <v>2191</v>
      </c>
      <c r="E100" s="158" t="s">
        <v>1732</v>
      </c>
      <c r="F100" s="158" t="s">
        <v>1849</v>
      </c>
      <c r="G100" s="158" t="s">
        <v>2192</v>
      </c>
      <c r="H100" s="158" t="s">
        <v>2193</v>
      </c>
      <c r="I100" s="513" t="s">
        <v>1736</v>
      </c>
      <c r="J100" s="317" t="s">
        <v>1737</v>
      </c>
      <c r="K100" s="317" t="s">
        <v>1737</v>
      </c>
      <c r="L100" s="477"/>
      <c r="M100" s="477"/>
      <c r="N100" s="520"/>
      <c r="O100" s="477"/>
      <c r="P100" s="155"/>
      <c r="Q100" s="155"/>
      <c r="R100" s="155"/>
      <c r="S100" s="477"/>
      <c r="T100" s="521"/>
      <c r="U100" s="153"/>
      <c r="V100" s="153"/>
      <c r="W100" s="153"/>
      <c r="X100" s="153"/>
      <c r="Y100" s="153"/>
      <c r="Z100" s="153"/>
    </row>
    <row r="101" spans="1:26">
      <c r="A101" s="774"/>
      <c r="B101" s="158" t="s">
        <v>2194</v>
      </c>
      <c r="C101" s="158" t="s">
        <v>2090</v>
      </c>
      <c r="D101" s="158" t="s">
        <v>2195</v>
      </c>
      <c r="E101" s="158" t="s">
        <v>1732</v>
      </c>
      <c r="F101" s="158" t="s">
        <v>1849</v>
      </c>
      <c r="G101" s="158" t="s">
        <v>2196</v>
      </c>
      <c r="H101" s="158" t="s">
        <v>2197</v>
      </c>
      <c r="I101" s="513" t="s">
        <v>1736</v>
      </c>
      <c r="J101" s="317" t="s">
        <v>1737</v>
      </c>
      <c r="K101" s="317" t="s">
        <v>1737</v>
      </c>
      <c r="L101" s="477"/>
      <c r="M101" s="477"/>
      <c r="N101" s="520"/>
      <c r="O101" s="477"/>
      <c r="P101" s="155"/>
      <c r="Q101" s="155"/>
      <c r="R101" s="155"/>
      <c r="S101" s="477"/>
      <c r="T101" s="521"/>
      <c r="U101" s="153"/>
      <c r="V101" s="153"/>
      <c r="W101" s="153"/>
      <c r="X101" s="153"/>
      <c r="Y101" s="153"/>
      <c r="Z101" s="153"/>
    </row>
    <row r="102" spans="1:26">
      <c r="A102" s="774"/>
      <c r="B102" s="158" t="s">
        <v>2198</v>
      </c>
      <c r="C102" s="158" t="s">
        <v>2090</v>
      </c>
      <c r="D102" s="158" t="s">
        <v>2199</v>
      </c>
      <c r="E102" s="158" t="s">
        <v>1732</v>
      </c>
      <c r="F102" s="158" t="s">
        <v>1849</v>
      </c>
      <c r="G102" s="158" t="s">
        <v>2200</v>
      </c>
      <c r="H102" s="158" t="s">
        <v>2201</v>
      </c>
      <c r="I102" s="513" t="s">
        <v>1736</v>
      </c>
      <c r="J102" s="317" t="s">
        <v>1737</v>
      </c>
      <c r="K102" s="317" t="s">
        <v>1737</v>
      </c>
      <c r="L102" s="477"/>
      <c r="M102" s="477"/>
      <c r="N102" s="520"/>
      <c r="O102" s="477"/>
      <c r="P102" s="155"/>
      <c r="Q102" s="155"/>
      <c r="R102" s="155"/>
      <c r="S102" s="477"/>
      <c r="T102" s="521"/>
      <c r="U102" s="153"/>
      <c r="V102" s="153"/>
      <c r="W102" s="153"/>
      <c r="X102" s="153"/>
      <c r="Y102" s="153"/>
      <c r="Z102" s="153"/>
    </row>
    <row r="103" spans="1:26">
      <c r="A103" s="774"/>
      <c r="B103" s="158" t="s">
        <v>2202</v>
      </c>
      <c r="C103" s="158" t="s">
        <v>2090</v>
      </c>
      <c r="D103" s="158" t="s">
        <v>2203</v>
      </c>
      <c r="E103" s="158" t="s">
        <v>1732</v>
      </c>
      <c r="F103" s="158" t="s">
        <v>1849</v>
      </c>
      <c r="G103" s="158" t="s">
        <v>2204</v>
      </c>
      <c r="H103" s="158" t="s">
        <v>2205</v>
      </c>
      <c r="I103" s="513" t="s">
        <v>1736</v>
      </c>
      <c r="J103" s="317" t="s">
        <v>1737</v>
      </c>
      <c r="K103" s="317" t="s">
        <v>1737</v>
      </c>
      <c r="L103" s="477"/>
      <c r="M103" s="477"/>
      <c r="N103" s="520"/>
      <c r="O103" s="477"/>
      <c r="P103" s="155"/>
      <c r="Q103" s="155"/>
      <c r="R103" s="155"/>
      <c r="S103" s="477"/>
      <c r="T103" s="521"/>
      <c r="U103" s="153"/>
      <c r="V103" s="153"/>
      <c r="W103" s="153"/>
      <c r="X103" s="153"/>
      <c r="Y103" s="153"/>
      <c r="Z103" s="153"/>
    </row>
    <row r="104" spans="1:26">
      <c r="A104" s="774"/>
      <c r="B104" s="158" t="s">
        <v>2206</v>
      </c>
      <c r="C104" s="158" t="s">
        <v>2090</v>
      </c>
      <c r="D104" s="158" t="s">
        <v>2207</v>
      </c>
      <c r="E104" s="158" t="s">
        <v>1732</v>
      </c>
      <c r="F104" s="158" t="s">
        <v>1849</v>
      </c>
      <c r="G104" s="158" t="s">
        <v>2208</v>
      </c>
      <c r="H104" s="158" t="s">
        <v>2209</v>
      </c>
      <c r="I104" s="513" t="s">
        <v>1736</v>
      </c>
      <c r="J104" s="317" t="s">
        <v>1737</v>
      </c>
      <c r="K104" s="317" t="s">
        <v>1737</v>
      </c>
      <c r="L104" s="477"/>
      <c r="M104" s="477"/>
      <c r="N104" s="520"/>
      <c r="O104" s="477"/>
      <c r="P104" s="155"/>
      <c r="Q104" s="155"/>
      <c r="R104" s="155"/>
      <c r="S104" s="477"/>
      <c r="T104" s="521"/>
      <c r="U104" s="153"/>
      <c r="V104" s="153"/>
      <c r="W104" s="153"/>
      <c r="X104" s="153"/>
      <c r="Y104" s="153"/>
      <c r="Z104" s="153"/>
    </row>
    <row r="105" spans="1:26">
      <c r="A105" s="774"/>
      <c r="B105" s="158" t="s">
        <v>2210</v>
      </c>
      <c r="C105" s="158" t="s">
        <v>2090</v>
      </c>
      <c r="D105" s="158" t="s">
        <v>2211</v>
      </c>
      <c r="E105" s="158" t="s">
        <v>1732</v>
      </c>
      <c r="F105" s="158" t="s">
        <v>1849</v>
      </c>
      <c r="G105" s="158" t="s">
        <v>2212</v>
      </c>
      <c r="H105" s="158" t="s">
        <v>2213</v>
      </c>
      <c r="I105" s="513" t="s">
        <v>1736</v>
      </c>
      <c r="J105" s="317" t="s">
        <v>1737</v>
      </c>
      <c r="K105" s="317" t="s">
        <v>1737</v>
      </c>
      <c r="L105" s="477"/>
      <c r="M105" s="477"/>
      <c r="N105" s="520"/>
      <c r="O105" s="477"/>
      <c r="P105" s="155"/>
      <c r="Q105" s="155"/>
      <c r="R105" s="155"/>
      <c r="S105" s="477"/>
      <c r="T105" s="521"/>
      <c r="U105" s="153"/>
      <c r="V105" s="153"/>
      <c r="W105" s="153"/>
      <c r="X105" s="153"/>
      <c r="Y105" s="153"/>
      <c r="Z105" s="153"/>
    </row>
    <row r="106" spans="1:26">
      <c r="A106" s="774"/>
      <c r="B106" s="158" t="s">
        <v>2214</v>
      </c>
      <c r="C106" s="158" t="s">
        <v>2090</v>
      </c>
      <c r="D106" s="158" t="s">
        <v>2215</v>
      </c>
      <c r="E106" s="158" t="s">
        <v>1732</v>
      </c>
      <c r="F106" s="158" t="s">
        <v>1849</v>
      </c>
      <c r="G106" s="158" t="s">
        <v>2216</v>
      </c>
      <c r="H106" s="158" t="s">
        <v>2217</v>
      </c>
      <c r="I106" s="513" t="s">
        <v>1736</v>
      </c>
      <c r="J106" s="317" t="s">
        <v>1737</v>
      </c>
      <c r="K106" s="317" t="s">
        <v>1737</v>
      </c>
      <c r="L106" s="477"/>
      <c r="M106" s="477"/>
      <c r="N106" s="520"/>
      <c r="O106" s="477"/>
      <c r="P106" s="155"/>
      <c r="Q106" s="155"/>
      <c r="R106" s="155"/>
      <c r="S106" s="477"/>
      <c r="T106" s="521"/>
      <c r="U106" s="153"/>
      <c r="V106" s="153"/>
      <c r="W106" s="153"/>
      <c r="X106" s="153"/>
      <c r="Y106" s="153"/>
      <c r="Z106" s="153"/>
    </row>
    <row r="107" spans="1:26">
      <c r="A107" s="774"/>
      <c r="B107" s="158" t="s">
        <v>2218</v>
      </c>
      <c r="C107" s="158" t="s">
        <v>2090</v>
      </c>
      <c r="D107" s="158" t="s">
        <v>2219</v>
      </c>
      <c r="E107" s="158" t="s">
        <v>1732</v>
      </c>
      <c r="F107" s="158" t="s">
        <v>1849</v>
      </c>
      <c r="G107" s="158" t="s">
        <v>2220</v>
      </c>
      <c r="H107" s="158" t="s">
        <v>2221</v>
      </c>
      <c r="I107" s="513" t="s">
        <v>1736</v>
      </c>
      <c r="J107" s="317" t="s">
        <v>1737</v>
      </c>
      <c r="K107" s="317" t="s">
        <v>1737</v>
      </c>
      <c r="L107" s="477"/>
      <c r="M107" s="477"/>
      <c r="N107" s="520"/>
      <c r="O107" s="477"/>
      <c r="P107" s="155"/>
      <c r="Q107" s="155"/>
      <c r="R107" s="155"/>
      <c r="S107" s="477"/>
      <c r="T107" s="521"/>
      <c r="U107" s="153"/>
      <c r="V107" s="153"/>
      <c r="W107" s="153"/>
      <c r="X107" s="153"/>
      <c r="Y107" s="153"/>
      <c r="Z107" s="153"/>
    </row>
    <row r="108" spans="1:26">
      <c r="A108" s="774"/>
      <c r="B108" s="158" t="s">
        <v>2222</v>
      </c>
      <c r="C108" s="158" t="s">
        <v>2090</v>
      </c>
      <c r="D108" s="158" t="s">
        <v>2223</v>
      </c>
      <c r="E108" s="158" t="s">
        <v>1732</v>
      </c>
      <c r="F108" s="158" t="s">
        <v>1849</v>
      </c>
      <c r="G108" s="158" t="s">
        <v>2224</v>
      </c>
      <c r="H108" s="158" t="s">
        <v>2225</v>
      </c>
      <c r="I108" s="513" t="s">
        <v>1736</v>
      </c>
      <c r="J108" s="317" t="s">
        <v>1737</v>
      </c>
      <c r="K108" s="317" t="s">
        <v>1737</v>
      </c>
      <c r="L108" s="477"/>
      <c r="M108" s="477"/>
      <c r="N108" s="520"/>
      <c r="O108" s="477"/>
      <c r="P108" s="155"/>
      <c r="Q108" s="155"/>
      <c r="R108" s="155"/>
      <c r="S108" s="477"/>
      <c r="T108" s="521"/>
      <c r="U108" s="153"/>
      <c r="V108" s="153"/>
      <c r="W108" s="153"/>
      <c r="X108" s="153"/>
      <c r="Y108" s="153"/>
      <c r="Z108" s="153"/>
    </row>
    <row r="109" spans="1:26">
      <c r="A109" s="774"/>
      <c r="B109" s="158" t="s">
        <v>2226</v>
      </c>
      <c r="C109" s="158" t="s">
        <v>2090</v>
      </c>
      <c r="D109" s="158" t="s">
        <v>2227</v>
      </c>
      <c r="E109" s="158" t="s">
        <v>1732</v>
      </c>
      <c r="F109" s="158" t="s">
        <v>1849</v>
      </c>
      <c r="G109" s="158" t="s">
        <v>2228</v>
      </c>
      <c r="H109" s="158" t="s">
        <v>2229</v>
      </c>
      <c r="I109" s="513" t="s">
        <v>1736</v>
      </c>
      <c r="J109" s="317" t="s">
        <v>1737</v>
      </c>
      <c r="K109" s="317" t="s">
        <v>1737</v>
      </c>
      <c r="L109" s="477"/>
      <c r="M109" s="477"/>
      <c r="N109" s="520"/>
      <c r="O109" s="477"/>
      <c r="P109" s="155"/>
      <c r="Q109" s="155"/>
      <c r="R109" s="155"/>
      <c r="S109" s="477"/>
      <c r="T109" s="521"/>
      <c r="U109" s="153"/>
      <c r="V109" s="153"/>
      <c r="W109" s="153"/>
      <c r="X109" s="153"/>
      <c r="Y109" s="153"/>
      <c r="Z109" s="153"/>
    </row>
    <row r="110" spans="1:26">
      <c r="A110" s="774"/>
      <c r="B110" s="158" t="s">
        <v>2230</v>
      </c>
      <c r="C110" s="158" t="s">
        <v>2090</v>
      </c>
      <c r="D110" s="158" t="s">
        <v>2231</v>
      </c>
      <c r="E110" s="158" t="s">
        <v>1732</v>
      </c>
      <c r="F110" s="158" t="s">
        <v>1849</v>
      </c>
      <c r="G110" s="158" t="s">
        <v>2232</v>
      </c>
      <c r="H110" s="158" t="s">
        <v>2233</v>
      </c>
      <c r="I110" s="513" t="s">
        <v>1736</v>
      </c>
      <c r="J110" s="317" t="s">
        <v>1737</v>
      </c>
      <c r="K110" s="317" t="s">
        <v>1737</v>
      </c>
      <c r="L110" s="477"/>
      <c r="M110" s="477"/>
      <c r="N110" s="520"/>
      <c r="O110" s="477"/>
      <c r="P110" s="155"/>
      <c r="Q110" s="155"/>
      <c r="R110" s="155"/>
      <c r="S110" s="477"/>
      <c r="T110" s="521"/>
      <c r="U110" s="153"/>
      <c r="V110" s="153"/>
      <c r="W110" s="153"/>
      <c r="X110" s="153"/>
      <c r="Y110" s="153"/>
      <c r="Z110" s="153"/>
    </row>
    <row r="111" spans="1:26">
      <c r="A111" s="774"/>
      <c r="B111" s="158" t="s">
        <v>2234</v>
      </c>
      <c r="C111" s="158" t="s">
        <v>2090</v>
      </c>
      <c r="D111" s="158" t="s">
        <v>2235</v>
      </c>
      <c r="E111" s="158" t="s">
        <v>1732</v>
      </c>
      <c r="F111" s="158" t="s">
        <v>1849</v>
      </c>
      <c r="G111" s="158" t="s">
        <v>2236</v>
      </c>
      <c r="H111" s="158" t="s">
        <v>2237</v>
      </c>
      <c r="I111" s="513" t="s">
        <v>1736</v>
      </c>
      <c r="J111" s="317" t="s">
        <v>1737</v>
      </c>
      <c r="K111" s="317" t="s">
        <v>1737</v>
      </c>
      <c r="L111" s="477"/>
      <c r="M111" s="477"/>
      <c r="N111" s="520"/>
      <c r="O111" s="477"/>
      <c r="P111" s="155"/>
      <c r="Q111" s="155"/>
      <c r="R111" s="155"/>
      <c r="S111" s="477"/>
      <c r="T111" s="521"/>
      <c r="U111" s="153"/>
      <c r="V111" s="153"/>
      <c r="W111" s="153"/>
      <c r="X111" s="153"/>
      <c r="Y111" s="153"/>
      <c r="Z111" s="153"/>
    </row>
    <row r="112" spans="1:26">
      <c r="A112" s="774"/>
      <c r="B112" s="158" t="s">
        <v>2238</v>
      </c>
      <c r="C112" s="158" t="s">
        <v>2090</v>
      </c>
      <c r="D112" s="158" t="s">
        <v>2239</v>
      </c>
      <c r="E112" s="158" t="s">
        <v>1732</v>
      </c>
      <c r="F112" s="158" t="s">
        <v>1849</v>
      </c>
      <c r="G112" s="158" t="s">
        <v>2240</v>
      </c>
      <c r="H112" s="158" t="s">
        <v>2241</v>
      </c>
      <c r="I112" s="513" t="s">
        <v>1736</v>
      </c>
      <c r="J112" s="317" t="s">
        <v>1737</v>
      </c>
      <c r="K112" s="317" t="s">
        <v>1737</v>
      </c>
      <c r="L112" s="477"/>
      <c r="M112" s="477"/>
      <c r="N112" s="520"/>
      <c r="O112" s="477"/>
      <c r="P112" s="155"/>
      <c r="Q112" s="155"/>
      <c r="R112" s="155"/>
      <c r="S112" s="477"/>
      <c r="T112" s="521"/>
      <c r="U112" s="153"/>
      <c r="V112" s="153"/>
      <c r="W112" s="153"/>
      <c r="X112" s="153"/>
      <c r="Y112" s="153"/>
      <c r="Z112" s="153"/>
    </row>
    <row r="113" spans="1:26">
      <c r="A113" s="774"/>
      <c r="B113" s="158" t="s">
        <v>2242</v>
      </c>
      <c r="C113" s="158" t="s">
        <v>2090</v>
      </c>
      <c r="D113" s="158" t="s">
        <v>2243</v>
      </c>
      <c r="E113" s="158" t="s">
        <v>1732</v>
      </c>
      <c r="F113" s="158" t="s">
        <v>1849</v>
      </c>
      <c r="G113" s="158" t="s">
        <v>2244</v>
      </c>
      <c r="H113" s="158" t="s">
        <v>2245</v>
      </c>
      <c r="I113" s="513" t="s">
        <v>1736</v>
      </c>
      <c r="J113" s="317" t="s">
        <v>1737</v>
      </c>
      <c r="K113" s="317" t="s">
        <v>1737</v>
      </c>
      <c r="L113" s="477"/>
      <c r="M113" s="477"/>
      <c r="N113" s="520"/>
      <c r="O113" s="477"/>
      <c r="P113" s="155"/>
      <c r="Q113" s="155"/>
      <c r="R113" s="155"/>
      <c r="S113" s="477"/>
      <c r="T113" s="521"/>
      <c r="U113" s="153"/>
      <c r="V113" s="153"/>
      <c r="W113" s="153"/>
      <c r="X113" s="153"/>
      <c r="Y113" s="153"/>
      <c r="Z113" s="153"/>
    </row>
    <row r="114" spans="1:26">
      <c r="A114" s="774"/>
      <c r="B114" s="158" t="s">
        <v>2246</v>
      </c>
      <c r="C114" s="158" t="s">
        <v>2090</v>
      </c>
      <c r="D114" s="158" t="s">
        <v>2247</v>
      </c>
      <c r="E114" s="158" t="s">
        <v>1732</v>
      </c>
      <c r="F114" s="158" t="s">
        <v>1849</v>
      </c>
      <c r="G114" s="158" t="s">
        <v>2240</v>
      </c>
      <c r="H114" s="158" t="s">
        <v>2241</v>
      </c>
      <c r="I114" s="513" t="s">
        <v>1736</v>
      </c>
      <c r="J114" s="317" t="s">
        <v>1737</v>
      </c>
      <c r="K114" s="317" t="s">
        <v>1737</v>
      </c>
      <c r="L114" s="477"/>
      <c r="M114" s="477"/>
      <c r="N114" s="520"/>
      <c r="O114" s="477"/>
      <c r="P114" s="155"/>
      <c r="Q114" s="155"/>
      <c r="R114" s="155"/>
      <c r="S114" s="477"/>
      <c r="T114" s="521"/>
      <c r="U114" s="153"/>
      <c r="V114" s="153"/>
      <c r="W114" s="153"/>
      <c r="X114" s="153"/>
      <c r="Y114" s="153"/>
      <c r="Z114" s="153"/>
    </row>
    <row r="115" spans="1:26">
      <c r="A115" s="774"/>
      <c r="B115" s="158" t="s">
        <v>2248</v>
      </c>
      <c r="C115" s="158" t="s">
        <v>2090</v>
      </c>
      <c r="D115" s="158" t="s">
        <v>2249</v>
      </c>
      <c r="E115" s="158" t="s">
        <v>1732</v>
      </c>
      <c r="F115" s="158" t="s">
        <v>1849</v>
      </c>
      <c r="G115" s="158" t="s">
        <v>2250</v>
      </c>
      <c r="H115" s="158" t="s">
        <v>2251</v>
      </c>
      <c r="I115" s="513" t="s">
        <v>1736</v>
      </c>
      <c r="J115" s="317" t="s">
        <v>1737</v>
      </c>
      <c r="K115" s="317" t="s">
        <v>1737</v>
      </c>
      <c r="L115" s="477"/>
      <c r="M115" s="477"/>
      <c r="N115" s="520"/>
      <c r="O115" s="477"/>
      <c r="P115" s="155"/>
      <c r="Q115" s="155"/>
      <c r="R115" s="155"/>
      <c r="S115" s="477"/>
      <c r="T115" s="521"/>
      <c r="U115" s="153"/>
      <c r="V115" s="153"/>
      <c r="W115" s="153"/>
      <c r="X115" s="153"/>
      <c r="Y115" s="153"/>
      <c r="Z115" s="153"/>
    </row>
    <row r="116" spans="1:26">
      <c r="A116" s="774"/>
      <c r="B116" s="158" t="s">
        <v>2252</v>
      </c>
      <c r="C116" s="158" t="s">
        <v>2090</v>
      </c>
      <c r="D116" s="158" t="s">
        <v>2253</v>
      </c>
      <c r="E116" s="158" t="s">
        <v>1732</v>
      </c>
      <c r="F116" s="158" t="s">
        <v>1849</v>
      </c>
      <c r="G116" s="158" t="s">
        <v>2254</v>
      </c>
      <c r="H116" s="158" t="s">
        <v>2255</v>
      </c>
      <c r="I116" s="513" t="s">
        <v>1736</v>
      </c>
      <c r="J116" s="317" t="s">
        <v>1737</v>
      </c>
      <c r="K116" s="317" t="s">
        <v>1737</v>
      </c>
      <c r="L116" s="477"/>
      <c r="M116" s="477"/>
      <c r="N116" s="520"/>
      <c r="O116" s="477"/>
      <c r="P116" s="155"/>
      <c r="Q116" s="155"/>
      <c r="R116" s="155"/>
      <c r="S116" s="477"/>
      <c r="T116" s="521"/>
      <c r="U116" s="153"/>
      <c r="V116" s="153"/>
      <c r="W116" s="153"/>
      <c r="X116" s="153"/>
      <c r="Y116" s="153"/>
      <c r="Z116" s="153"/>
    </row>
    <row r="117" spans="1:26">
      <c r="A117" s="774"/>
      <c r="B117" s="158" t="s">
        <v>2256</v>
      </c>
      <c r="C117" s="158" t="s">
        <v>2090</v>
      </c>
      <c r="D117" s="187" t="s">
        <v>2257</v>
      </c>
      <c r="E117" s="158" t="s">
        <v>1732</v>
      </c>
      <c r="F117" s="158" t="s">
        <v>1849</v>
      </c>
      <c r="G117" s="158" t="s">
        <v>2258</v>
      </c>
      <c r="H117" s="158" t="s">
        <v>2259</v>
      </c>
      <c r="I117" s="513" t="s">
        <v>1736</v>
      </c>
      <c r="J117" s="317" t="s">
        <v>1737</v>
      </c>
      <c r="K117" s="317" t="s">
        <v>1737</v>
      </c>
      <c r="L117" s="477"/>
      <c r="M117" s="477"/>
      <c r="N117" s="520"/>
      <c r="O117" s="477"/>
      <c r="P117" s="155"/>
      <c r="Q117" s="155"/>
      <c r="R117" s="155"/>
      <c r="S117" s="477"/>
      <c r="T117" s="521"/>
      <c r="U117" s="153"/>
      <c r="V117" s="153"/>
      <c r="W117" s="153"/>
      <c r="X117" s="153"/>
      <c r="Y117" s="153"/>
      <c r="Z117" s="153"/>
    </row>
    <row r="118" spans="1:26">
      <c r="A118" s="774"/>
      <c r="B118" s="158" t="s">
        <v>2260</v>
      </c>
      <c r="C118" s="158" t="s">
        <v>2090</v>
      </c>
      <c r="D118" s="158" t="s">
        <v>2261</v>
      </c>
      <c r="E118" s="158" t="s">
        <v>1732</v>
      </c>
      <c r="F118" s="158" t="s">
        <v>1849</v>
      </c>
      <c r="G118" s="158" t="s">
        <v>2262</v>
      </c>
      <c r="H118" s="158" t="s">
        <v>2263</v>
      </c>
      <c r="I118" s="513" t="s">
        <v>1736</v>
      </c>
      <c r="J118" s="317" t="s">
        <v>1737</v>
      </c>
      <c r="K118" s="317" t="s">
        <v>1737</v>
      </c>
      <c r="L118" s="477"/>
      <c r="M118" s="477"/>
      <c r="N118" s="520"/>
      <c r="O118" s="477"/>
      <c r="P118" s="155"/>
      <c r="Q118" s="155"/>
      <c r="R118" s="155"/>
      <c r="S118" s="477"/>
      <c r="T118" s="521"/>
      <c r="U118" s="153"/>
      <c r="V118" s="153"/>
      <c r="W118" s="153"/>
      <c r="X118" s="153"/>
      <c r="Y118" s="153"/>
      <c r="Z118" s="153"/>
    </row>
    <row r="119" spans="1:26">
      <c r="A119" s="774"/>
      <c r="B119" s="158" t="s">
        <v>2264</v>
      </c>
      <c r="C119" s="158" t="s">
        <v>2090</v>
      </c>
      <c r="D119" s="158" t="s">
        <v>2265</v>
      </c>
      <c r="E119" s="158" t="s">
        <v>1732</v>
      </c>
      <c r="F119" s="158" t="s">
        <v>1849</v>
      </c>
      <c r="G119" s="158" t="s">
        <v>2266</v>
      </c>
      <c r="H119" s="158" t="s">
        <v>2267</v>
      </c>
      <c r="I119" s="513" t="s">
        <v>1736</v>
      </c>
      <c r="J119" s="317" t="s">
        <v>1737</v>
      </c>
      <c r="K119" s="317" t="s">
        <v>1737</v>
      </c>
      <c r="L119" s="477"/>
      <c r="M119" s="477"/>
      <c r="N119" s="520"/>
      <c r="O119" s="477"/>
      <c r="P119" s="155"/>
      <c r="Q119" s="155"/>
      <c r="R119" s="155"/>
      <c r="S119" s="477"/>
      <c r="T119" s="521"/>
      <c r="U119" s="153"/>
      <c r="V119" s="153"/>
      <c r="W119" s="153"/>
      <c r="X119" s="153"/>
      <c r="Y119" s="153"/>
      <c r="Z119" s="153"/>
    </row>
    <row r="120" spans="1:26">
      <c r="A120" s="774"/>
      <c r="B120" s="158" t="s">
        <v>2268</v>
      </c>
      <c r="C120" s="158" t="s">
        <v>2090</v>
      </c>
      <c r="D120" s="158" t="s">
        <v>2269</v>
      </c>
      <c r="E120" s="158" t="s">
        <v>1732</v>
      </c>
      <c r="F120" s="158" t="s">
        <v>1849</v>
      </c>
      <c r="G120" s="158" t="s">
        <v>2270</v>
      </c>
      <c r="H120" s="158" t="s">
        <v>2271</v>
      </c>
      <c r="I120" s="513" t="s">
        <v>1736</v>
      </c>
      <c r="J120" s="317" t="s">
        <v>1737</v>
      </c>
      <c r="K120" s="317" t="s">
        <v>1737</v>
      </c>
      <c r="L120" s="477"/>
      <c r="M120" s="477"/>
      <c r="N120" s="520"/>
      <c r="O120" s="477"/>
      <c r="P120" s="155"/>
      <c r="Q120" s="155"/>
      <c r="R120" s="155"/>
      <c r="S120" s="477"/>
      <c r="T120" s="521"/>
      <c r="U120" s="153"/>
      <c r="V120" s="153"/>
      <c r="W120" s="153"/>
      <c r="X120" s="153"/>
      <c r="Y120" s="153"/>
      <c r="Z120" s="153"/>
    </row>
    <row r="121" spans="1:26">
      <c r="A121" s="774"/>
      <c r="B121" s="158" t="s">
        <v>2272</v>
      </c>
      <c r="C121" s="158" t="s">
        <v>2090</v>
      </c>
      <c r="D121" s="158" t="s">
        <v>2273</v>
      </c>
      <c r="E121" s="158" t="s">
        <v>1732</v>
      </c>
      <c r="F121" s="158" t="s">
        <v>1849</v>
      </c>
      <c r="G121" s="158" t="s">
        <v>2274</v>
      </c>
      <c r="H121" s="158" t="s">
        <v>2275</v>
      </c>
      <c r="I121" s="513" t="s">
        <v>1736</v>
      </c>
      <c r="J121" s="317" t="s">
        <v>1737</v>
      </c>
      <c r="K121" s="317" t="s">
        <v>1737</v>
      </c>
      <c r="L121" s="477"/>
      <c r="M121" s="477"/>
      <c r="N121" s="520"/>
      <c r="O121" s="477"/>
      <c r="P121" s="155"/>
      <c r="Q121" s="155"/>
      <c r="R121" s="155"/>
      <c r="S121" s="477"/>
      <c r="T121" s="521"/>
      <c r="U121" s="153"/>
      <c r="V121" s="153"/>
      <c r="W121" s="153"/>
      <c r="X121" s="153"/>
      <c r="Y121" s="153"/>
      <c r="Z121" s="153"/>
    </row>
    <row r="122" spans="1:26">
      <c r="A122" s="774"/>
      <c r="B122" s="158" t="s">
        <v>2276</v>
      </c>
      <c r="C122" s="158" t="s">
        <v>2090</v>
      </c>
      <c r="D122" s="158" t="s">
        <v>2277</v>
      </c>
      <c r="E122" s="158" t="s">
        <v>1732</v>
      </c>
      <c r="F122" s="158" t="s">
        <v>1849</v>
      </c>
      <c r="G122" s="158" t="s">
        <v>2278</v>
      </c>
      <c r="H122" s="158" t="s">
        <v>2279</v>
      </c>
      <c r="I122" s="513" t="s">
        <v>1736</v>
      </c>
      <c r="J122" s="317" t="s">
        <v>1737</v>
      </c>
      <c r="K122" s="317" t="s">
        <v>1737</v>
      </c>
      <c r="L122" s="477"/>
      <c r="M122" s="477"/>
      <c r="N122" s="520"/>
      <c r="O122" s="477"/>
      <c r="P122" s="155"/>
      <c r="Q122" s="155"/>
      <c r="R122" s="155"/>
      <c r="S122" s="477"/>
      <c r="T122" s="521"/>
      <c r="U122" s="153"/>
      <c r="V122" s="153"/>
      <c r="W122" s="153"/>
      <c r="X122" s="153"/>
      <c r="Y122" s="153"/>
      <c r="Z122" s="153"/>
    </row>
    <row r="123" spans="1:26">
      <c r="A123" s="774"/>
      <c r="B123" s="158" t="s">
        <v>2280</v>
      </c>
      <c r="C123" s="158" t="s">
        <v>2090</v>
      </c>
      <c r="D123" s="158" t="s">
        <v>2281</v>
      </c>
      <c r="E123" s="158" t="s">
        <v>1732</v>
      </c>
      <c r="F123" s="158" t="s">
        <v>1849</v>
      </c>
      <c r="G123" s="158" t="s">
        <v>2282</v>
      </c>
      <c r="H123" s="158" t="s">
        <v>2283</v>
      </c>
      <c r="I123" s="513" t="s">
        <v>1736</v>
      </c>
      <c r="J123" s="317" t="s">
        <v>1737</v>
      </c>
      <c r="K123" s="317" t="s">
        <v>1737</v>
      </c>
      <c r="L123" s="477"/>
      <c r="M123" s="477"/>
      <c r="N123" s="520"/>
      <c r="O123" s="477"/>
      <c r="P123" s="155"/>
      <c r="Q123" s="155"/>
      <c r="R123" s="155"/>
      <c r="S123" s="477"/>
      <c r="T123" s="521"/>
      <c r="U123" s="153"/>
      <c r="V123" s="153"/>
      <c r="W123" s="153"/>
      <c r="X123" s="153"/>
      <c r="Y123" s="153"/>
      <c r="Z123" s="153"/>
    </row>
    <row r="124" spans="1:26">
      <c r="A124" s="774"/>
      <c r="B124" s="158" t="s">
        <v>2284</v>
      </c>
      <c r="C124" s="158" t="s">
        <v>2090</v>
      </c>
      <c r="D124" s="158" t="s">
        <v>2285</v>
      </c>
      <c r="E124" s="158" t="s">
        <v>1732</v>
      </c>
      <c r="F124" s="158" t="s">
        <v>1849</v>
      </c>
      <c r="G124" s="158" t="s">
        <v>2286</v>
      </c>
      <c r="H124" s="158" t="s">
        <v>2287</v>
      </c>
      <c r="I124" s="513" t="s">
        <v>1736</v>
      </c>
      <c r="J124" s="317" t="s">
        <v>1737</v>
      </c>
      <c r="K124" s="317" t="s">
        <v>1737</v>
      </c>
      <c r="L124" s="477"/>
      <c r="M124" s="477"/>
      <c r="N124" s="520"/>
      <c r="O124" s="477"/>
      <c r="P124" s="155"/>
      <c r="Q124" s="155"/>
      <c r="R124" s="155"/>
      <c r="S124" s="477"/>
      <c r="T124" s="521"/>
      <c r="U124" s="153"/>
      <c r="V124" s="153"/>
      <c r="W124" s="153"/>
      <c r="X124" s="153"/>
      <c r="Y124" s="153"/>
      <c r="Z124" s="153"/>
    </row>
    <row r="125" spans="1:26">
      <c r="A125" s="774"/>
      <c r="B125" s="158" t="s">
        <v>2288</v>
      </c>
      <c r="C125" s="158" t="s">
        <v>2090</v>
      </c>
      <c r="D125" s="158" t="s">
        <v>2289</v>
      </c>
      <c r="E125" s="158" t="s">
        <v>1732</v>
      </c>
      <c r="F125" s="158" t="s">
        <v>1849</v>
      </c>
      <c r="G125" s="158" t="s">
        <v>2290</v>
      </c>
      <c r="H125" s="158" t="s">
        <v>2291</v>
      </c>
      <c r="I125" s="513" t="s">
        <v>1736</v>
      </c>
      <c r="J125" s="317" t="s">
        <v>1737</v>
      </c>
      <c r="K125" s="317" t="s">
        <v>1737</v>
      </c>
      <c r="L125" s="477"/>
      <c r="M125" s="477"/>
      <c r="N125" s="520"/>
      <c r="O125" s="477"/>
      <c r="P125" s="155"/>
      <c r="Q125" s="155"/>
      <c r="R125" s="155"/>
      <c r="S125" s="477"/>
      <c r="T125" s="521"/>
      <c r="U125" s="153"/>
      <c r="V125" s="153"/>
      <c r="W125" s="153"/>
      <c r="X125" s="153"/>
      <c r="Y125" s="153"/>
      <c r="Z125" s="153"/>
    </row>
    <row r="126" spans="1:26">
      <c r="A126" s="774"/>
      <c r="B126" s="158" t="s">
        <v>2292</v>
      </c>
      <c r="C126" s="158" t="s">
        <v>2090</v>
      </c>
      <c r="D126" s="158" t="s">
        <v>2293</v>
      </c>
      <c r="E126" s="158" t="s">
        <v>1732</v>
      </c>
      <c r="F126" s="158" t="s">
        <v>1849</v>
      </c>
      <c r="G126" s="158" t="s">
        <v>2294</v>
      </c>
      <c r="H126" s="158" t="s">
        <v>2295</v>
      </c>
      <c r="I126" s="513" t="s">
        <v>1736</v>
      </c>
      <c r="J126" s="317" t="s">
        <v>1737</v>
      </c>
      <c r="K126" s="317" t="s">
        <v>1737</v>
      </c>
      <c r="L126" s="477"/>
      <c r="M126" s="477"/>
      <c r="N126" s="520"/>
      <c r="O126" s="477"/>
      <c r="P126" s="155"/>
      <c r="Q126" s="155"/>
      <c r="R126" s="155"/>
      <c r="S126" s="477"/>
      <c r="T126" s="521"/>
      <c r="U126" s="153"/>
      <c r="V126" s="153"/>
      <c r="W126" s="153"/>
      <c r="X126" s="153"/>
      <c r="Y126" s="153"/>
      <c r="Z126" s="153"/>
    </row>
    <row r="127" spans="1:26">
      <c r="A127" s="774"/>
      <c r="B127" s="158" t="s">
        <v>2296</v>
      </c>
      <c r="C127" s="158" t="s">
        <v>2090</v>
      </c>
      <c r="D127" s="158" t="s">
        <v>2297</v>
      </c>
      <c r="E127" s="158" t="s">
        <v>1732</v>
      </c>
      <c r="F127" s="158" t="s">
        <v>1849</v>
      </c>
      <c r="G127" s="158" t="s">
        <v>2298</v>
      </c>
      <c r="H127" s="158" t="s">
        <v>2299</v>
      </c>
      <c r="I127" s="513" t="s">
        <v>1736</v>
      </c>
      <c r="J127" s="317" t="s">
        <v>1737</v>
      </c>
      <c r="K127" s="317" t="s">
        <v>1737</v>
      </c>
      <c r="L127" s="477"/>
      <c r="M127" s="477"/>
      <c r="N127" s="520"/>
      <c r="O127" s="477"/>
      <c r="P127" s="155"/>
      <c r="Q127" s="155"/>
      <c r="R127" s="155"/>
      <c r="S127" s="477"/>
      <c r="T127" s="521"/>
      <c r="U127" s="153"/>
      <c r="V127" s="153"/>
      <c r="W127" s="153"/>
      <c r="X127" s="153"/>
      <c r="Y127" s="153"/>
      <c r="Z127" s="153"/>
    </row>
    <row r="128" spans="1:26">
      <c r="A128" s="774"/>
      <c r="B128" s="158" t="s">
        <v>2300</v>
      </c>
      <c r="C128" s="158" t="s">
        <v>2090</v>
      </c>
      <c r="D128" s="158" t="s">
        <v>2301</v>
      </c>
      <c r="E128" s="158" t="s">
        <v>1732</v>
      </c>
      <c r="F128" s="158" t="s">
        <v>1849</v>
      </c>
      <c r="G128" s="158" t="s">
        <v>2302</v>
      </c>
      <c r="H128" s="158" t="s">
        <v>2303</v>
      </c>
      <c r="I128" s="513" t="s">
        <v>1736</v>
      </c>
      <c r="J128" s="317" t="s">
        <v>1737</v>
      </c>
      <c r="K128" s="317" t="s">
        <v>1737</v>
      </c>
      <c r="L128" s="477"/>
      <c r="M128" s="477"/>
      <c r="N128" s="520"/>
      <c r="O128" s="477"/>
      <c r="P128" s="155"/>
      <c r="Q128" s="155"/>
      <c r="R128" s="155"/>
      <c r="S128" s="477"/>
      <c r="T128" s="521"/>
      <c r="U128" s="153"/>
      <c r="V128" s="153"/>
      <c r="W128" s="153"/>
      <c r="X128" s="153"/>
      <c r="Y128" s="153"/>
      <c r="Z128" s="153"/>
    </row>
    <row r="129" spans="1:26">
      <c r="A129" s="774"/>
      <c r="B129" s="158" t="s">
        <v>2304</v>
      </c>
      <c r="C129" s="158" t="s">
        <v>2090</v>
      </c>
      <c r="D129" s="158" t="s">
        <v>2305</v>
      </c>
      <c r="E129" s="158" t="s">
        <v>1732</v>
      </c>
      <c r="F129" s="158" t="s">
        <v>1849</v>
      </c>
      <c r="G129" s="158" t="s">
        <v>2306</v>
      </c>
      <c r="H129" s="158" t="s">
        <v>2307</v>
      </c>
      <c r="I129" s="513" t="s">
        <v>1736</v>
      </c>
      <c r="J129" s="317" t="s">
        <v>1737</v>
      </c>
      <c r="K129" s="317" t="s">
        <v>1737</v>
      </c>
      <c r="L129" s="477"/>
      <c r="M129" s="477"/>
      <c r="N129" s="520"/>
      <c r="O129" s="477"/>
      <c r="P129" s="155"/>
      <c r="Q129" s="155"/>
      <c r="R129" s="155"/>
      <c r="S129" s="477"/>
      <c r="T129" s="521"/>
      <c r="U129" s="153"/>
      <c r="V129" s="153"/>
      <c r="W129" s="153"/>
      <c r="X129" s="153"/>
      <c r="Y129" s="153"/>
      <c r="Z129" s="153"/>
    </row>
    <row r="130" spans="1:26">
      <c r="A130" s="774"/>
      <c r="B130" s="158" t="s">
        <v>2308</v>
      </c>
      <c r="C130" s="158" t="s">
        <v>2090</v>
      </c>
      <c r="D130" s="158" t="s">
        <v>2309</v>
      </c>
      <c r="E130" s="158" t="s">
        <v>1732</v>
      </c>
      <c r="F130" s="158" t="s">
        <v>1849</v>
      </c>
      <c r="G130" s="158" t="s">
        <v>2310</v>
      </c>
      <c r="H130" s="158" t="s">
        <v>2311</v>
      </c>
      <c r="I130" s="513" t="s">
        <v>1736</v>
      </c>
      <c r="J130" s="317" t="s">
        <v>1737</v>
      </c>
      <c r="K130" s="317" t="s">
        <v>1737</v>
      </c>
      <c r="L130" s="477"/>
      <c r="M130" s="477"/>
      <c r="N130" s="520"/>
      <c r="O130" s="477"/>
      <c r="P130" s="155"/>
      <c r="Q130" s="155"/>
      <c r="R130" s="155"/>
      <c r="S130" s="477"/>
      <c r="T130" s="521"/>
      <c r="U130" s="153"/>
      <c r="V130" s="153"/>
      <c r="W130" s="153"/>
      <c r="X130" s="153"/>
      <c r="Y130" s="153"/>
      <c r="Z130" s="153"/>
    </row>
    <row r="131" spans="1:26">
      <c r="A131" s="774"/>
      <c r="B131" s="158" t="s">
        <v>2312</v>
      </c>
      <c r="C131" s="158" t="s">
        <v>2090</v>
      </c>
      <c r="D131" s="158" t="s">
        <v>2313</v>
      </c>
      <c r="E131" s="158" t="s">
        <v>1732</v>
      </c>
      <c r="F131" s="158" t="s">
        <v>1849</v>
      </c>
      <c r="G131" s="158" t="s">
        <v>2314</v>
      </c>
      <c r="H131" s="158" t="s">
        <v>2315</v>
      </c>
      <c r="I131" s="513" t="s">
        <v>1736</v>
      </c>
      <c r="J131" s="317" t="s">
        <v>1737</v>
      </c>
      <c r="K131" s="317" t="s">
        <v>1737</v>
      </c>
      <c r="L131" s="477"/>
      <c r="M131" s="477"/>
      <c r="N131" s="520"/>
      <c r="O131" s="477"/>
      <c r="P131" s="155"/>
      <c r="Q131" s="155"/>
      <c r="R131" s="155"/>
      <c r="S131" s="477"/>
      <c r="T131" s="521"/>
      <c r="U131" s="153"/>
      <c r="V131" s="153"/>
      <c r="W131" s="153"/>
      <c r="X131" s="153"/>
      <c r="Y131" s="153"/>
      <c r="Z131" s="153"/>
    </row>
    <row r="132" spans="1:26">
      <c r="A132" s="774"/>
      <c r="B132" s="158" t="s">
        <v>2316</v>
      </c>
      <c r="C132" s="158" t="s">
        <v>2090</v>
      </c>
      <c r="D132" s="158" t="s">
        <v>2317</v>
      </c>
      <c r="E132" s="158" t="s">
        <v>1732</v>
      </c>
      <c r="F132" s="158" t="s">
        <v>1849</v>
      </c>
      <c r="G132" s="158" t="s">
        <v>2318</v>
      </c>
      <c r="H132" s="158" t="s">
        <v>2319</v>
      </c>
      <c r="I132" s="513" t="s">
        <v>1736</v>
      </c>
      <c r="J132" s="317" t="s">
        <v>1737</v>
      </c>
      <c r="K132" s="317" t="s">
        <v>1737</v>
      </c>
      <c r="L132" s="477"/>
      <c r="M132" s="477"/>
      <c r="N132" s="520"/>
      <c r="O132" s="477"/>
      <c r="P132" s="155"/>
      <c r="Q132" s="155"/>
      <c r="R132" s="155"/>
      <c r="S132" s="477"/>
      <c r="T132" s="521"/>
      <c r="U132" s="153"/>
      <c r="V132" s="153"/>
      <c r="W132" s="153"/>
      <c r="X132" s="153"/>
      <c r="Y132" s="153"/>
      <c r="Z132" s="153"/>
    </row>
    <row r="133" spans="1:26">
      <c r="A133" s="774"/>
      <c r="B133" s="158" t="s">
        <v>2320</v>
      </c>
      <c r="C133" s="158" t="s">
        <v>2090</v>
      </c>
      <c r="D133" s="158" t="s">
        <v>2321</v>
      </c>
      <c r="E133" s="158" t="s">
        <v>1732</v>
      </c>
      <c r="F133" s="158" t="s">
        <v>1849</v>
      </c>
      <c r="G133" s="158" t="s">
        <v>2322</v>
      </c>
      <c r="H133" s="158" t="s">
        <v>2323</v>
      </c>
      <c r="I133" s="513" t="s">
        <v>1736</v>
      </c>
      <c r="J133" s="317" t="s">
        <v>1737</v>
      </c>
      <c r="K133" s="317" t="s">
        <v>1737</v>
      </c>
      <c r="L133" s="477"/>
      <c r="M133" s="477"/>
      <c r="N133" s="520"/>
      <c r="O133" s="477"/>
      <c r="P133" s="155"/>
      <c r="Q133" s="155"/>
      <c r="R133" s="155"/>
      <c r="S133" s="477"/>
      <c r="T133" s="521"/>
      <c r="U133" s="153"/>
      <c r="V133" s="153"/>
      <c r="W133" s="153"/>
      <c r="X133" s="153"/>
      <c r="Y133" s="153"/>
      <c r="Z133" s="153"/>
    </row>
    <row r="134" spans="1:26">
      <c r="A134" s="774"/>
      <c r="B134" s="158" t="s">
        <v>2324</v>
      </c>
      <c r="C134" s="158" t="s">
        <v>2090</v>
      </c>
      <c r="D134" s="158" t="s">
        <v>2325</v>
      </c>
      <c r="E134" s="158" t="s">
        <v>1732</v>
      </c>
      <c r="F134" s="158" t="s">
        <v>1849</v>
      </c>
      <c r="G134" s="158" t="s">
        <v>2326</v>
      </c>
      <c r="H134" s="158" t="s">
        <v>2327</v>
      </c>
      <c r="I134" s="513" t="s">
        <v>1736</v>
      </c>
      <c r="J134" s="317" t="s">
        <v>1737</v>
      </c>
      <c r="K134" s="317" t="s">
        <v>1737</v>
      </c>
      <c r="L134" s="477"/>
      <c r="M134" s="477"/>
      <c r="N134" s="520"/>
      <c r="O134" s="477"/>
      <c r="P134" s="155"/>
      <c r="Q134" s="155"/>
      <c r="R134" s="155"/>
      <c r="S134" s="477"/>
      <c r="T134" s="521"/>
      <c r="U134" s="153"/>
      <c r="V134" s="153"/>
      <c r="W134" s="153"/>
      <c r="X134" s="153"/>
      <c r="Y134" s="153"/>
      <c r="Z134" s="153"/>
    </row>
    <row r="135" spans="1:26">
      <c r="A135" s="774"/>
      <c r="B135" s="158" t="s">
        <v>2328</v>
      </c>
      <c r="C135" s="158" t="s">
        <v>2090</v>
      </c>
      <c r="D135" s="158" t="s">
        <v>2329</v>
      </c>
      <c r="E135" s="158" t="s">
        <v>1732</v>
      </c>
      <c r="F135" s="158" t="s">
        <v>1849</v>
      </c>
      <c r="G135" s="158" t="s">
        <v>2330</v>
      </c>
      <c r="H135" s="158" t="s">
        <v>2331</v>
      </c>
      <c r="I135" s="513" t="s">
        <v>1736</v>
      </c>
      <c r="J135" s="317" t="s">
        <v>1737</v>
      </c>
      <c r="K135" s="317" t="s">
        <v>1737</v>
      </c>
      <c r="L135" s="477"/>
      <c r="M135" s="477"/>
      <c r="N135" s="520"/>
      <c r="O135" s="477"/>
      <c r="P135" s="155"/>
      <c r="Q135" s="155"/>
      <c r="R135" s="155"/>
      <c r="S135" s="477"/>
      <c r="T135" s="521"/>
      <c r="U135" s="153"/>
      <c r="V135" s="153"/>
      <c r="W135" s="153"/>
      <c r="X135" s="153"/>
      <c r="Y135" s="153"/>
      <c r="Z135" s="153"/>
    </row>
    <row r="136" spans="1:26">
      <c r="A136" s="774"/>
      <c r="B136" s="158" t="s">
        <v>2332</v>
      </c>
      <c r="C136" s="158" t="s">
        <v>2090</v>
      </c>
      <c r="D136" s="158" t="s">
        <v>2333</v>
      </c>
      <c r="E136" s="158" t="s">
        <v>1732</v>
      </c>
      <c r="F136" s="158" t="s">
        <v>1849</v>
      </c>
      <c r="G136" s="158" t="s">
        <v>2334</v>
      </c>
      <c r="H136" s="158" t="s">
        <v>2335</v>
      </c>
      <c r="I136" s="513" t="s">
        <v>1736</v>
      </c>
      <c r="J136" s="317" t="s">
        <v>1737</v>
      </c>
      <c r="K136" s="317" t="s">
        <v>1737</v>
      </c>
      <c r="L136" s="477"/>
      <c r="M136" s="477"/>
      <c r="N136" s="520"/>
      <c r="O136" s="477"/>
      <c r="P136" s="155"/>
      <c r="Q136" s="155"/>
      <c r="R136" s="155"/>
      <c r="S136" s="477"/>
      <c r="T136" s="521"/>
      <c r="U136" s="153"/>
      <c r="V136" s="153"/>
      <c r="W136" s="153"/>
      <c r="X136" s="153"/>
      <c r="Y136" s="153"/>
      <c r="Z136" s="153"/>
    </row>
    <row r="137" spans="1:26">
      <c r="A137" s="774"/>
      <c r="B137" s="158" t="s">
        <v>2336</v>
      </c>
      <c r="C137" s="158" t="s">
        <v>2090</v>
      </c>
      <c r="D137" s="158" t="s">
        <v>2337</v>
      </c>
      <c r="E137" s="158" t="s">
        <v>1732</v>
      </c>
      <c r="F137" s="158" t="s">
        <v>1849</v>
      </c>
      <c r="G137" s="158" t="s">
        <v>2338</v>
      </c>
      <c r="H137" s="158" t="s">
        <v>2339</v>
      </c>
      <c r="I137" s="513" t="s">
        <v>1736</v>
      </c>
      <c r="J137" s="317" t="s">
        <v>1737</v>
      </c>
      <c r="K137" s="317" t="s">
        <v>1737</v>
      </c>
      <c r="L137" s="477"/>
      <c r="M137" s="477"/>
      <c r="N137" s="520"/>
      <c r="O137" s="477"/>
      <c r="P137" s="155"/>
      <c r="Q137" s="155"/>
      <c r="R137" s="155"/>
      <c r="S137" s="477"/>
      <c r="T137" s="521"/>
      <c r="U137" s="153"/>
      <c r="V137" s="153"/>
      <c r="W137" s="153"/>
      <c r="X137" s="153"/>
      <c r="Y137" s="153"/>
      <c r="Z137" s="153"/>
    </row>
    <row r="138" spans="1:26">
      <c r="A138" s="774"/>
      <c r="B138" s="158" t="s">
        <v>2340</v>
      </c>
      <c r="C138" s="158" t="s">
        <v>2090</v>
      </c>
      <c r="D138" s="158" t="s">
        <v>2341</v>
      </c>
      <c r="E138" s="158" t="s">
        <v>1732</v>
      </c>
      <c r="F138" s="158" t="s">
        <v>1849</v>
      </c>
      <c r="G138" s="158" t="s">
        <v>2342</v>
      </c>
      <c r="H138" s="158" t="s">
        <v>2343</v>
      </c>
      <c r="I138" s="513" t="s">
        <v>1736</v>
      </c>
      <c r="J138" s="317" t="s">
        <v>1737</v>
      </c>
      <c r="K138" s="317" t="s">
        <v>1737</v>
      </c>
      <c r="L138" s="477"/>
      <c r="M138" s="477"/>
      <c r="N138" s="520"/>
      <c r="O138" s="477"/>
      <c r="P138" s="155"/>
      <c r="Q138" s="155"/>
      <c r="R138" s="155"/>
      <c r="S138" s="477"/>
      <c r="T138" s="521"/>
      <c r="U138" s="153"/>
      <c r="V138" s="153"/>
      <c r="W138" s="153"/>
      <c r="X138" s="153"/>
      <c r="Y138" s="153"/>
      <c r="Z138" s="153"/>
    </row>
    <row r="139" spans="1:26">
      <c r="A139" s="774"/>
      <c r="B139" s="158" t="s">
        <v>2344</v>
      </c>
      <c r="C139" s="158" t="s">
        <v>2090</v>
      </c>
      <c r="D139" s="187" t="s">
        <v>2345</v>
      </c>
      <c r="E139" s="158" t="s">
        <v>1732</v>
      </c>
      <c r="F139" s="158" t="s">
        <v>1849</v>
      </c>
      <c r="G139" s="158" t="s">
        <v>2346</v>
      </c>
      <c r="H139" s="158" t="s">
        <v>2347</v>
      </c>
      <c r="I139" s="513" t="s">
        <v>1736</v>
      </c>
      <c r="J139" s="317" t="s">
        <v>1737</v>
      </c>
      <c r="K139" s="317" t="s">
        <v>1737</v>
      </c>
      <c r="L139" s="477"/>
      <c r="M139" s="477"/>
      <c r="N139" s="520"/>
      <c r="O139" s="477"/>
      <c r="P139" s="155"/>
      <c r="Q139" s="155"/>
      <c r="R139" s="155"/>
      <c r="S139" s="477"/>
      <c r="T139" s="521"/>
      <c r="U139" s="153"/>
      <c r="V139" s="153"/>
      <c r="W139" s="153"/>
      <c r="X139" s="153"/>
      <c r="Y139" s="153"/>
      <c r="Z139" s="153"/>
    </row>
    <row r="140" spans="1:26">
      <c r="A140" s="774"/>
      <c r="B140" s="158" t="s">
        <v>2348</v>
      </c>
      <c r="C140" s="158" t="s">
        <v>2090</v>
      </c>
      <c r="D140" s="158" t="s">
        <v>2349</v>
      </c>
      <c r="E140" s="158" t="s">
        <v>1732</v>
      </c>
      <c r="F140" s="158" t="s">
        <v>1849</v>
      </c>
      <c r="G140" s="158" t="s">
        <v>2350</v>
      </c>
      <c r="H140" s="158" t="s">
        <v>2351</v>
      </c>
      <c r="I140" s="513" t="s">
        <v>1736</v>
      </c>
      <c r="J140" s="317" t="s">
        <v>1737</v>
      </c>
      <c r="K140" s="317" t="s">
        <v>1737</v>
      </c>
      <c r="L140" s="477"/>
      <c r="M140" s="477"/>
      <c r="N140" s="520"/>
      <c r="O140" s="477"/>
      <c r="P140" s="155"/>
      <c r="Q140" s="155"/>
      <c r="R140" s="155"/>
      <c r="S140" s="477"/>
      <c r="T140" s="521"/>
      <c r="U140" s="153"/>
      <c r="V140" s="153"/>
      <c r="W140" s="153"/>
      <c r="X140" s="153"/>
      <c r="Y140" s="153"/>
      <c r="Z140" s="153"/>
    </row>
    <row r="141" spans="1:26">
      <c r="A141" s="774"/>
      <c r="B141" s="158" t="s">
        <v>2352</v>
      </c>
      <c r="C141" s="158" t="s">
        <v>2090</v>
      </c>
      <c r="D141" s="158" t="s">
        <v>2353</v>
      </c>
      <c r="E141" s="158" t="s">
        <v>1732</v>
      </c>
      <c r="F141" s="158" t="s">
        <v>1849</v>
      </c>
      <c r="G141" s="158" t="s">
        <v>2354</v>
      </c>
      <c r="H141" s="158" t="s">
        <v>2355</v>
      </c>
      <c r="I141" s="513" t="s">
        <v>1736</v>
      </c>
      <c r="J141" s="317" t="s">
        <v>1737</v>
      </c>
      <c r="K141" s="317" t="s">
        <v>1737</v>
      </c>
      <c r="L141" s="477"/>
      <c r="M141" s="477"/>
      <c r="N141" s="520"/>
      <c r="O141" s="477"/>
      <c r="P141" s="155"/>
      <c r="Q141" s="155"/>
      <c r="R141" s="155"/>
      <c r="S141" s="477"/>
      <c r="T141" s="521"/>
      <c r="U141" s="153"/>
      <c r="V141" s="153"/>
      <c r="W141" s="153"/>
      <c r="X141" s="153"/>
      <c r="Y141" s="153"/>
      <c r="Z141" s="153"/>
    </row>
    <row r="142" spans="1:26">
      <c r="A142" s="774"/>
      <c r="B142" s="158" t="s">
        <v>2356</v>
      </c>
      <c r="C142" s="158" t="s">
        <v>2090</v>
      </c>
      <c r="D142" s="158" t="s">
        <v>2357</v>
      </c>
      <c r="E142" s="158" t="s">
        <v>1732</v>
      </c>
      <c r="F142" s="158" t="s">
        <v>1849</v>
      </c>
      <c r="G142" s="158" t="s">
        <v>2358</v>
      </c>
      <c r="H142" s="158" t="s">
        <v>2359</v>
      </c>
      <c r="I142" s="513" t="s">
        <v>1736</v>
      </c>
      <c r="J142" s="317" t="s">
        <v>1737</v>
      </c>
      <c r="K142" s="317" t="s">
        <v>1737</v>
      </c>
      <c r="L142" s="477"/>
      <c r="M142" s="477"/>
      <c r="N142" s="520"/>
      <c r="O142" s="477"/>
      <c r="P142" s="155"/>
      <c r="Q142" s="155"/>
      <c r="R142" s="155"/>
      <c r="S142" s="477"/>
      <c r="T142" s="521"/>
      <c r="U142" s="153"/>
      <c r="V142" s="153"/>
      <c r="W142" s="153"/>
      <c r="X142" s="153"/>
      <c r="Y142" s="153"/>
      <c r="Z142" s="153"/>
    </row>
    <row r="143" spans="1:26">
      <c r="A143" s="774"/>
      <c r="B143" s="158" t="s">
        <v>2360</v>
      </c>
      <c r="C143" s="158" t="s">
        <v>2090</v>
      </c>
      <c r="D143" s="158" t="s">
        <v>2361</v>
      </c>
      <c r="E143" s="158" t="s">
        <v>1732</v>
      </c>
      <c r="F143" s="158" t="s">
        <v>1849</v>
      </c>
      <c r="G143" s="158" t="s">
        <v>2362</v>
      </c>
      <c r="H143" s="158" t="s">
        <v>2363</v>
      </c>
      <c r="I143" s="513" t="s">
        <v>1736</v>
      </c>
      <c r="J143" s="317" t="s">
        <v>1737</v>
      </c>
      <c r="K143" s="317" t="s">
        <v>1737</v>
      </c>
      <c r="L143" s="477"/>
      <c r="M143" s="477"/>
      <c r="N143" s="520"/>
      <c r="O143" s="477"/>
      <c r="P143" s="155"/>
      <c r="Q143" s="155"/>
      <c r="R143" s="155"/>
      <c r="S143" s="477"/>
      <c r="T143" s="521"/>
      <c r="U143" s="153"/>
      <c r="V143" s="153"/>
      <c r="W143" s="153"/>
      <c r="X143" s="153"/>
      <c r="Y143" s="153"/>
      <c r="Z143" s="153"/>
    </row>
    <row r="144" spans="1:26">
      <c r="A144" s="774"/>
      <c r="B144" s="158" t="s">
        <v>2364</v>
      </c>
      <c r="C144" s="158" t="s">
        <v>2090</v>
      </c>
      <c r="D144" s="158" t="s">
        <v>2365</v>
      </c>
      <c r="E144" s="158" t="s">
        <v>1732</v>
      </c>
      <c r="F144" s="158" t="s">
        <v>1849</v>
      </c>
      <c r="G144" s="158" t="s">
        <v>2366</v>
      </c>
      <c r="H144" s="158" t="s">
        <v>2367</v>
      </c>
      <c r="I144" s="513" t="s">
        <v>1736</v>
      </c>
      <c r="J144" s="317" t="s">
        <v>1737</v>
      </c>
      <c r="K144" s="317" t="s">
        <v>1737</v>
      </c>
      <c r="L144" s="477"/>
      <c r="M144" s="477"/>
      <c r="N144" s="520"/>
      <c r="O144" s="477"/>
      <c r="P144" s="155"/>
      <c r="Q144" s="155"/>
      <c r="R144" s="155"/>
      <c r="S144" s="477"/>
      <c r="T144" s="521"/>
      <c r="U144" s="153"/>
      <c r="V144" s="153"/>
      <c r="W144" s="153"/>
      <c r="X144" s="153"/>
      <c r="Y144" s="153"/>
      <c r="Z144" s="153"/>
    </row>
    <row r="145" spans="1:26">
      <c r="A145" s="774"/>
      <c r="B145" s="158" t="s">
        <v>2368</v>
      </c>
      <c r="C145" s="158" t="s">
        <v>2090</v>
      </c>
      <c r="D145" s="158" t="s">
        <v>2369</v>
      </c>
      <c r="E145" s="158" t="s">
        <v>1732</v>
      </c>
      <c r="F145" s="158" t="s">
        <v>1849</v>
      </c>
      <c r="G145" s="158" t="s">
        <v>2370</v>
      </c>
      <c r="H145" s="158" t="s">
        <v>2371</v>
      </c>
      <c r="I145" s="513" t="s">
        <v>1736</v>
      </c>
      <c r="J145" s="317" t="s">
        <v>1737</v>
      </c>
      <c r="K145" s="317" t="s">
        <v>1737</v>
      </c>
      <c r="L145" s="477"/>
      <c r="M145" s="477"/>
      <c r="N145" s="520"/>
      <c r="O145" s="477"/>
      <c r="P145" s="155"/>
      <c r="Q145" s="155"/>
      <c r="R145" s="155"/>
      <c r="S145" s="477"/>
      <c r="T145" s="521"/>
      <c r="U145" s="153"/>
      <c r="V145" s="153"/>
      <c r="W145" s="153"/>
      <c r="X145" s="153"/>
      <c r="Y145" s="153"/>
      <c r="Z145" s="153"/>
    </row>
    <row r="146" spans="1:26">
      <c r="A146" s="774"/>
      <c r="B146" s="158" t="s">
        <v>2372</v>
      </c>
      <c r="C146" s="158" t="s">
        <v>2090</v>
      </c>
      <c r="D146" s="187" t="s">
        <v>2373</v>
      </c>
      <c r="E146" s="158" t="s">
        <v>1732</v>
      </c>
      <c r="F146" s="158" t="s">
        <v>1849</v>
      </c>
      <c r="G146" s="158" t="s">
        <v>2374</v>
      </c>
      <c r="H146" s="158" t="s">
        <v>2375</v>
      </c>
      <c r="I146" s="513" t="s">
        <v>1736</v>
      </c>
      <c r="J146" s="317" t="s">
        <v>1737</v>
      </c>
      <c r="K146" s="317" t="s">
        <v>1737</v>
      </c>
      <c r="L146" s="477"/>
      <c r="M146" s="477"/>
      <c r="N146" s="520"/>
      <c r="O146" s="477"/>
      <c r="P146" s="155"/>
      <c r="Q146" s="155"/>
      <c r="R146" s="155"/>
      <c r="S146" s="477"/>
      <c r="T146" s="521"/>
      <c r="U146" s="153"/>
      <c r="V146" s="153"/>
      <c r="W146" s="153"/>
      <c r="X146" s="153"/>
      <c r="Y146" s="153"/>
      <c r="Z146" s="153"/>
    </row>
    <row r="147" spans="1:26">
      <c r="A147" s="774"/>
      <c r="B147" s="158" t="s">
        <v>2376</v>
      </c>
      <c r="C147" s="158" t="s">
        <v>2090</v>
      </c>
      <c r="D147" s="158" t="s">
        <v>2377</v>
      </c>
      <c r="E147" s="158" t="s">
        <v>1732</v>
      </c>
      <c r="F147" s="158" t="s">
        <v>1849</v>
      </c>
      <c r="G147" s="158" t="s">
        <v>2378</v>
      </c>
      <c r="H147" s="158" t="s">
        <v>2379</v>
      </c>
      <c r="I147" s="513" t="s">
        <v>1736</v>
      </c>
      <c r="J147" s="317" t="s">
        <v>1737</v>
      </c>
      <c r="K147" s="317" t="s">
        <v>1737</v>
      </c>
      <c r="L147" s="477"/>
      <c r="M147" s="477"/>
      <c r="N147" s="520"/>
      <c r="O147" s="477"/>
      <c r="P147" s="155"/>
      <c r="Q147" s="155"/>
      <c r="R147" s="155"/>
      <c r="S147" s="477"/>
      <c r="T147" s="521"/>
      <c r="U147" s="153"/>
      <c r="V147" s="153"/>
      <c r="W147" s="153"/>
      <c r="X147" s="153"/>
      <c r="Y147" s="153"/>
      <c r="Z147" s="153"/>
    </row>
    <row r="148" spans="1:26">
      <c r="A148" s="774"/>
      <c r="B148" s="158" t="s">
        <v>2380</v>
      </c>
      <c r="C148" s="158" t="s">
        <v>2090</v>
      </c>
      <c r="D148" s="158" t="s">
        <v>2381</v>
      </c>
      <c r="E148" s="158" t="s">
        <v>1732</v>
      </c>
      <c r="F148" s="158" t="s">
        <v>1849</v>
      </c>
      <c r="G148" s="158" t="s">
        <v>2382</v>
      </c>
      <c r="H148" s="158" t="s">
        <v>2383</v>
      </c>
      <c r="I148" s="513" t="s">
        <v>1736</v>
      </c>
      <c r="J148" s="317" t="s">
        <v>1737</v>
      </c>
      <c r="K148" s="317" t="s">
        <v>1737</v>
      </c>
      <c r="L148" s="477"/>
      <c r="M148" s="477"/>
      <c r="N148" s="520"/>
      <c r="O148" s="477"/>
      <c r="P148" s="155"/>
      <c r="Q148" s="155"/>
      <c r="R148" s="155"/>
      <c r="S148" s="477"/>
      <c r="T148" s="521"/>
      <c r="U148" s="153"/>
      <c r="V148" s="153"/>
      <c r="W148" s="153"/>
      <c r="X148" s="153"/>
      <c r="Y148" s="153"/>
      <c r="Z148" s="153"/>
    </row>
    <row r="149" spans="1:26">
      <c r="A149" s="774"/>
      <c r="B149" s="158" t="s">
        <v>2384</v>
      </c>
      <c r="C149" s="158" t="s">
        <v>2090</v>
      </c>
      <c r="D149" s="158" t="s">
        <v>2385</v>
      </c>
      <c r="E149" s="158" t="s">
        <v>1732</v>
      </c>
      <c r="F149" s="158" t="s">
        <v>1849</v>
      </c>
      <c r="G149" s="158" t="s">
        <v>2386</v>
      </c>
      <c r="H149" s="158" t="s">
        <v>2387</v>
      </c>
      <c r="I149" s="513" t="s">
        <v>1736</v>
      </c>
      <c r="J149" s="317" t="s">
        <v>1737</v>
      </c>
      <c r="K149" s="317" t="s">
        <v>1737</v>
      </c>
      <c r="L149" s="477"/>
      <c r="M149" s="477"/>
      <c r="N149" s="520"/>
      <c r="O149" s="477"/>
      <c r="P149" s="155"/>
      <c r="Q149" s="155"/>
      <c r="R149" s="155"/>
      <c r="S149" s="477"/>
      <c r="T149" s="521"/>
      <c r="U149" s="153"/>
      <c r="V149" s="153"/>
      <c r="W149" s="153"/>
      <c r="X149" s="153"/>
      <c r="Y149" s="153"/>
      <c r="Z149" s="153"/>
    </row>
    <row r="150" spans="1:26">
      <c r="A150" s="774"/>
      <c r="B150" s="158" t="s">
        <v>2388</v>
      </c>
      <c r="C150" s="158" t="s">
        <v>2090</v>
      </c>
      <c r="D150" s="158" t="s">
        <v>2389</v>
      </c>
      <c r="E150" s="158" t="s">
        <v>1732</v>
      </c>
      <c r="F150" s="158" t="s">
        <v>1849</v>
      </c>
      <c r="G150" s="158" t="s">
        <v>2390</v>
      </c>
      <c r="H150" s="158" t="s">
        <v>2391</v>
      </c>
      <c r="I150" s="513" t="s">
        <v>1736</v>
      </c>
      <c r="J150" s="317" t="s">
        <v>1737</v>
      </c>
      <c r="K150" s="317" t="s">
        <v>1737</v>
      </c>
      <c r="L150" s="477"/>
      <c r="M150" s="477"/>
      <c r="N150" s="520"/>
      <c r="O150" s="477"/>
      <c r="P150" s="155"/>
      <c r="Q150" s="155"/>
      <c r="R150" s="155"/>
      <c r="S150" s="477"/>
      <c r="T150" s="521"/>
      <c r="U150" s="153"/>
      <c r="V150" s="153"/>
      <c r="W150" s="153"/>
      <c r="X150" s="153"/>
      <c r="Y150" s="153"/>
      <c r="Z150" s="153"/>
    </row>
    <row r="151" spans="1:26">
      <c r="A151" s="774"/>
      <c r="B151" s="158" t="s">
        <v>2392</v>
      </c>
      <c r="C151" s="158" t="s">
        <v>2090</v>
      </c>
      <c r="D151" s="158" t="s">
        <v>2393</v>
      </c>
      <c r="E151" s="158" t="s">
        <v>1732</v>
      </c>
      <c r="F151" s="158" t="s">
        <v>1849</v>
      </c>
      <c r="G151" s="158" t="s">
        <v>2394</v>
      </c>
      <c r="H151" s="158" t="s">
        <v>2395</v>
      </c>
      <c r="I151" s="513" t="s">
        <v>1736</v>
      </c>
      <c r="J151" s="317" t="s">
        <v>1737</v>
      </c>
      <c r="K151" s="317" t="s">
        <v>1737</v>
      </c>
      <c r="L151" s="477"/>
      <c r="M151" s="477"/>
      <c r="N151" s="520"/>
      <c r="O151" s="477"/>
      <c r="P151" s="155"/>
      <c r="Q151" s="155"/>
      <c r="R151" s="155"/>
      <c r="S151" s="477"/>
      <c r="T151" s="521"/>
      <c r="U151" s="153"/>
      <c r="V151" s="153"/>
      <c r="W151" s="153"/>
      <c r="X151" s="153"/>
      <c r="Y151" s="153"/>
      <c r="Z151" s="153"/>
    </row>
    <row r="152" spans="1:26">
      <c r="A152" s="774"/>
      <c r="B152" s="158" t="s">
        <v>2396</v>
      </c>
      <c r="C152" s="158" t="s">
        <v>2090</v>
      </c>
      <c r="D152" s="158" t="s">
        <v>2397</v>
      </c>
      <c r="E152" s="158" t="s">
        <v>1732</v>
      </c>
      <c r="F152" s="158" t="s">
        <v>1849</v>
      </c>
      <c r="G152" s="158" t="s">
        <v>2398</v>
      </c>
      <c r="H152" s="158" t="s">
        <v>2399</v>
      </c>
      <c r="I152" s="513" t="s">
        <v>1736</v>
      </c>
      <c r="J152" s="317" t="s">
        <v>1737</v>
      </c>
      <c r="K152" s="317" t="s">
        <v>1737</v>
      </c>
      <c r="L152" s="477"/>
      <c r="M152" s="477"/>
      <c r="N152" s="520"/>
      <c r="O152" s="477"/>
      <c r="P152" s="155"/>
      <c r="Q152" s="155"/>
      <c r="R152" s="155"/>
      <c r="S152" s="477"/>
      <c r="T152" s="521"/>
      <c r="U152" s="153"/>
      <c r="V152" s="153"/>
      <c r="W152" s="153"/>
      <c r="X152" s="153"/>
      <c r="Y152" s="153"/>
      <c r="Z152" s="153"/>
    </row>
    <row r="153" spans="1:26">
      <c r="A153" s="774"/>
      <c r="B153" s="158" t="s">
        <v>2400</v>
      </c>
      <c r="C153" s="158" t="s">
        <v>2090</v>
      </c>
      <c r="D153" s="158" t="s">
        <v>2401</v>
      </c>
      <c r="E153" s="158" t="s">
        <v>1732</v>
      </c>
      <c r="F153" s="158" t="s">
        <v>1849</v>
      </c>
      <c r="G153" s="158" t="s">
        <v>2402</v>
      </c>
      <c r="H153" s="158" t="s">
        <v>2403</v>
      </c>
      <c r="I153" s="513" t="s">
        <v>1736</v>
      </c>
      <c r="J153" s="317" t="s">
        <v>1737</v>
      </c>
      <c r="K153" s="317" t="s">
        <v>1737</v>
      </c>
      <c r="L153" s="477"/>
      <c r="M153" s="477"/>
      <c r="N153" s="520"/>
      <c r="O153" s="477"/>
      <c r="P153" s="155"/>
      <c r="Q153" s="155"/>
      <c r="R153" s="155"/>
      <c r="S153" s="477"/>
      <c r="T153" s="521"/>
      <c r="U153" s="153"/>
      <c r="V153" s="153"/>
      <c r="W153" s="153"/>
      <c r="X153" s="153"/>
      <c r="Y153" s="153"/>
      <c r="Z153" s="153"/>
    </row>
    <row r="154" spans="1:26">
      <c r="A154" s="774"/>
      <c r="B154" s="158" t="s">
        <v>2404</v>
      </c>
      <c r="C154" s="158" t="s">
        <v>2090</v>
      </c>
      <c r="D154" s="158" t="s">
        <v>2405</v>
      </c>
      <c r="E154" s="158" t="s">
        <v>1732</v>
      </c>
      <c r="F154" s="158" t="s">
        <v>1849</v>
      </c>
      <c r="G154" s="158" t="s">
        <v>2406</v>
      </c>
      <c r="H154" s="158" t="s">
        <v>2407</v>
      </c>
      <c r="I154" s="513" t="s">
        <v>1736</v>
      </c>
      <c r="J154" s="317" t="s">
        <v>1737</v>
      </c>
      <c r="K154" s="317" t="s">
        <v>1737</v>
      </c>
      <c r="L154" s="477"/>
      <c r="M154" s="477"/>
      <c r="N154" s="520"/>
      <c r="O154" s="477"/>
      <c r="P154" s="155"/>
      <c r="Q154" s="155"/>
      <c r="R154" s="155"/>
      <c r="S154" s="477"/>
      <c r="T154" s="521"/>
      <c r="U154" s="153"/>
      <c r="V154" s="153"/>
      <c r="W154" s="153"/>
      <c r="X154" s="153"/>
      <c r="Y154" s="153"/>
      <c r="Z154" s="153"/>
    </row>
    <row r="155" spans="1:26">
      <c r="A155" s="774"/>
      <c r="B155" s="158" t="s">
        <v>2408</v>
      </c>
      <c r="C155" s="158" t="s">
        <v>2090</v>
      </c>
      <c r="D155" s="158" t="s">
        <v>2409</v>
      </c>
      <c r="E155" s="158" t="s">
        <v>1732</v>
      </c>
      <c r="F155" s="158" t="s">
        <v>1849</v>
      </c>
      <c r="G155" s="158" t="s">
        <v>2410</v>
      </c>
      <c r="H155" s="158" t="s">
        <v>2411</v>
      </c>
      <c r="I155" s="513" t="s">
        <v>1736</v>
      </c>
      <c r="J155" s="317" t="s">
        <v>1737</v>
      </c>
      <c r="K155" s="317" t="s">
        <v>1737</v>
      </c>
      <c r="L155" s="477"/>
      <c r="M155" s="477"/>
      <c r="N155" s="520"/>
      <c r="O155" s="477"/>
      <c r="P155" s="155"/>
      <c r="Q155" s="155"/>
      <c r="R155" s="155"/>
      <c r="S155" s="477"/>
      <c r="T155" s="521"/>
      <c r="U155" s="153"/>
      <c r="V155" s="153"/>
      <c r="W155" s="153"/>
      <c r="X155" s="153"/>
      <c r="Y155" s="153"/>
      <c r="Z155" s="153"/>
    </row>
    <row r="156" spans="1:26">
      <c r="A156" s="774"/>
      <c r="B156" s="158" t="s">
        <v>2412</v>
      </c>
      <c r="C156" s="158" t="s">
        <v>2090</v>
      </c>
      <c r="D156" s="158" t="s">
        <v>2413</v>
      </c>
      <c r="E156" s="158" t="s">
        <v>1732</v>
      </c>
      <c r="F156" s="158" t="s">
        <v>1849</v>
      </c>
      <c r="G156" s="158" t="s">
        <v>2414</v>
      </c>
      <c r="H156" s="158" t="s">
        <v>2415</v>
      </c>
      <c r="I156" s="513" t="s">
        <v>1736</v>
      </c>
      <c r="J156" s="317" t="s">
        <v>1737</v>
      </c>
      <c r="K156" s="317" t="s">
        <v>1737</v>
      </c>
      <c r="L156" s="477"/>
      <c r="M156" s="477"/>
      <c r="N156" s="520"/>
      <c r="O156" s="477"/>
      <c r="P156" s="155"/>
      <c r="Q156" s="155"/>
      <c r="R156" s="155"/>
      <c r="S156" s="477"/>
      <c r="T156" s="521"/>
      <c r="U156" s="153"/>
      <c r="V156" s="153"/>
      <c r="W156" s="153"/>
      <c r="X156" s="153"/>
      <c r="Y156" s="153"/>
      <c r="Z156" s="153"/>
    </row>
    <row r="157" spans="1:26">
      <c r="A157" s="774"/>
      <c r="B157" s="158" t="s">
        <v>2416</v>
      </c>
      <c r="C157" s="158" t="s">
        <v>2090</v>
      </c>
      <c r="D157" s="158" t="s">
        <v>2417</v>
      </c>
      <c r="E157" s="158" t="s">
        <v>1732</v>
      </c>
      <c r="F157" s="158" t="s">
        <v>1849</v>
      </c>
      <c r="G157" s="158" t="s">
        <v>2418</v>
      </c>
      <c r="H157" s="158" t="s">
        <v>2419</v>
      </c>
      <c r="I157" s="513" t="s">
        <v>1736</v>
      </c>
      <c r="J157" s="317" t="s">
        <v>1737</v>
      </c>
      <c r="K157" s="317" t="s">
        <v>1737</v>
      </c>
      <c r="L157" s="477"/>
      <c r="M157" s="477"/>
      <c r="N157" s="520"/>
      <c r="O157" s="477"/>
      <c r="P157" s="155"/>
      <c r="Q157" s="155"/>
      <c r="R157" s="155"/>
      <c r="S157" s="477"/>
      <c r="T157" s="521"/>
      <c r="U157" s="153"/>
      <c r="V157" s="153"/>
      <c r="W157" s="153"/>
      <c r="X157" s="153"/>
      <c r="Y157" s="153"/>
      <c r="Z157" s="153"/>
    </row>
    <row r="158" spans="1:26">
      <c r="A158" s="774"/>
      <c r="B158" s="158" t="s">
        <v>2420</v>
      </c>
      <c r="C158" s="158" t="s">
        <v>2090</v>
      </c>
      <c r="D158" s="158" t="s">
        <v>2421</v>
      </c>
      <c r="E158" s="158" t="s">
        <v>1732</v>
      </c>
      <c r="F158" s="158" t="s">
        <v>1849</v>
      </c>
      <c r="G158" s="158" t="s">
        <v>2422</v>
      </c>
      <c r="H158" s="158" t="s">
        <v>2423</v>
      </c>
      <c r="I158" s="513" t="s">
        <v>1736</v>
      </c>
      <c r="J158" s="317" t="s">
        <v>1737</v>
      </c>
      <c r="K158" s="317" t="s">
        <v>1737</v>
      </c>
      <c r="L158" s="477"/>
      <c r="M158" s="477"/>
      <c r="N158" s="520"/>
      <c r="O158" s="477"/>
      <c r="P158" s="155"/>
      <c r="Q158" s="155"/>
      <c r="R158" s="155"/>
      <c r="S158" s="477"/>
      <c r="T158" s="521"/>
      <c r="U158" s="153"/>
      <c r="V158" s="153"/>
      <c r="W158" s="153"/>
      <c r="X158" s="153"/>
      <c r="Y158" s="153"/>
      <c r="Z158" s="153"/>
    </row>
    <row r="159" spans="1:26">
      <c r="A159" s="774"/>
      <c r="B159" s="158" t="s">
        <v>2424</v>
      </c>
      <c r="C159" s="158" t="s">
        <v>2090</v>
      </c>
      <c r="D159" s="158" t="s">
        <v>2425</v>
      </c>
      <c r="E159" s="158" t="s">
        <v>1732</v>
      </c>
      <c r="F159" s="158" t="s">
        <v>1849</v>
      </c>
      <c r="G159" s="158" t="s">
        <v>2426</v>
      </c>
      <c r="H159" s="158" t="s">
        <v>2427</v>
      </c>
      <c r="I159" s="513" t="s">
        <v>1736</v>
      </c>
      <c r="J159" s="317" t="s">
        <v>1737</v>
      </c>
      <c r="K159" s="317" t="s">
        <v>1737</v>
      </c>
      <c r="L159" s="477"/>
      <c r="M159" s="477"/>
      <c r="N159" s="520"/>
      <c r="O159" s="477"/>
      <c r="P159" s="155"/>
      <c r="Q159" s="155"/>
      <c r="R159" s="155"/>
      <c r="S159" s="477"/>
      <c r="T159" s="521"/>
      <c r="U159" s="153"/>
      <c r="V159" s="153"/>
      <c r="W159" s="153"/>
      <c r="X159" s="153"/>
      <c r="Y159" s="153"/>
      <c r="Z159" s="153"/>
    </row>
    <row r="160" spans="1:26">
      <c r="A160" s="774"/>
      <c r="B160" s="158" t="s">
        <v>2428</v>
      </c>
      <c r="C160" s="158" t="s">
        <v>2090</v>
      </c>
      <c r="D160" s="158" t="s">
        <v>2429</v>
      </c>
      <c r="E160" s="158" t="s">
        <v>1732</v>
      </c>
      <c r="F160" s="158" t="s">
        <v>1849</v>
      </c>
      <c r="G160" s="158" t="s">
        <v>2430</v>
      </c>
      <c r="H160" s="158" t="s">
        <v>2431</v>
      </c>
      <c r="I160" s="513" t="s">
        <v>1736</v>
      </c>
      <c r="J160" s="317" t="s">
        <v>1737</v>
      </c>
      <c r="K160" s="317" t="s">
        <v>1737</v>
      </c>
      <c r="L160" s="477"/>
      <c r="M160" s="477"/>
      <c r="N160" s="520"/>
      <c r="O160" s="477"/>
      <c r="P160" s="155"/>
      <c r="Q160" s="155"/>
      <c r="R160" s="155"/>
      <c r="S160" s="477"/>
      <c r="T160" s="521"/>
      <c r="U160" s="153"/>
      <c r="V160" s="153"/>
      <c r="W160" s="153"/>
      <c r="X160" s="153"/>
      <c r="Y160" s="153"/>
      <c r="Z160" s="153"/>
    </row>
    <row r="161" spans="1:26">
      <c r="A161" s="774"/>
      <c r="B161" s="158" t="s">
        <v>2432</v>
      </c>
      <c r="C161" s="158" t="s">
        <v>2090</v>
      </c>
      <c r="D161" s="158" t="s">
        <v>2433</v>
      </c>
      <c r="E161" s="158" t="s">
        <v>1732</v>
      </c>
      <c r="F161" s="158" t="s">
        <v>1849</v>
      </c>
      <c r="G161" s="158" t="s">
        <v>2434</v>
      </c>
      <c r="H161" s="158" t="s">
        <v>2435</v>
      </c>
      <c r="I161" s="513" t="s">
        <v>1736</v>
      </c>
      <c r="J161" s="317" t="s">
        <v>1737</v>
      </c>
      <c r="K161" s="317" t="s">
        <v>1737</v>
      </c>
      <c r="L161" s="477"/>
      <c r="M161" s="477"/>
      <c r="N161" s="520"/>
      <c r="O161" s="477"/>
      <c r="P161" s="155"/>
      <c r="Q161" s="155"/>
      <c r="R161" s="155"/>
      <c r="S161" s="477"/>
      <c r="T161" s="521"/>
      <c r="U161" s="153"/>
      <c r="V161" s="153"/>
      <c r="W161" s="153"/>
      <c r="X161" s="153"/>
      <c r="Y161" s="153"/>
      <c r="Z161" s="153"/>
    </row>
    <row r="162" spans="1:26">
      <c r="A162" s="774"/>
      <c r="B162" s="158" t="s">
        <v>2436</v>
      </c>
      <c r="C162" s="158" t="s">
        <v>2090</v>
      </c>
      <c r="D162" s="158" t="s">
        <v>2437</v>
      </c>
      <c r="E162" s="158" t="s">
        <v>1732</v>
      </c>
      <c r="F162" s="158" t="s">
        <v>1849</v>
      </c>
      <c r="G162" s="158" t="s">
        <v>2438</v>
      </c>
      <c r="H162" s="158" t="s">
        <v>2439</v>
      </c>
      <c r="I162" s="513" t="s">
        <v>1736</v>
      </c>
      <c r="J162" s="317" t="s">
        <v>1737</v>
      </c>
      <c r="K162" s="317" t="s">
        <v>1737</v>
      </c>
      <c r="L162" s="477"/>
      <c r="M162" s="477"/>
      <c r="N162" s="520"/>
      <c r="O162" s="477"/>
      <c r="P162" s="155"/>
      <c r="Q162" s="155"/>
      <c r="R162" s="155"/>
      <c r="S162" s="477"/>
      <c r="T162" s="521"/>
      <c r="U162" s="153"/>
      <c r="V162" s="153"/>
      <c r="W162" s="153"/>
      <c r="X162" s="153"/>
      <c r="Y162" s="153"/>
      <c r="Z162" s="153"/>
    </row>
    <row r="163" spans="1:26">
      <c r="A163" s="774"/>
      <c r="B163" s="158" t="s">
        <v>2440</v>
      </c>
      <c r="C163" s="158" t="s">
        <v>2090</v>
      </c>
      <c r="D163" s="158" t="s">
        <v>2441</v>
      </c>
      <c r="E163" s="158" t="s">
        <v>1732</v>
      </c>
      <c r="F163" s="158" t="s">
        <v>1849</v>
      </c>
      <c r="G163" s="158" t="s">
        <v>2442</v>
      </c>
      <c r="H163" s="158" t="s">
        <v>2443</v>
      </c>
      <c r="I163" s="513" t="s">
        <v>1736</v>
      </c>
      <c r="J163" s="317" t="s">
        <v>1737</v>
      </c>
      <c r="K163" s="317" t="s">
        <v>1737</v>
      </c>
      <c r="L163" s="477"/>
      <c r="M163" s="477"/>
      <c r="N163" s="520"/>
      <c r="O163" s="477"/>
      <c r="P163" s="155"/>
      <c r="Q163" s="155"/>
      <c r="R163" s="155"/>
      <c r="S163" s="477"/>
      <c r="T163" s="521"/>
      <c r="U163" s="153"/>
      <c r="V163" s="153"/>
      <c r="W163" s="153"/>
      <c r="X163" s="153"/>
      <c r="Y163" s="153"/>
      <c r="Z163" s="153"/>
    </row>
    <row r="164" spans="1:26">
      <c r="A164" s="774"/>
      <c r="B164" s="158" t="s">
        <v>2444</v>
      </c>
      <c r="C164" s="158" t="s">
        <v>2090</v>
      </c>
      <c r="D164" s="158" t="s">
        <v>2445</v>
      </c>
      <c r="E164" s="158" t="s">
        <v>1732</v>
      </c>
      <c r="F164" s="158" t="s">
        <v>1849</v>
      </c>
      <c r="G164" s="158" t="s">
        <v>2446</v>
      </c>
      <c r="H164" s="158" t="s">
        <v>2447</v>
      </c>
      <c r="I164" s="513" t="s">
        <v>1736</v>
      </c>
      <c r="J164" s="317" t="s">
        <v>1737</v>
      </c>
      <c r="K164" s="317" t="s">
        <v>1737</v>
      </c>
      <c r="L164" s="477"/>
      <c r="M164" s="477"/>
      <c r="N164" s="520"/>
      <c r="O164" s="477"/>
      <c r="P164" s="155"/>
      <c r="Q164" s="155"/>
      <c r="R164" s="155"/>
      <c r="S164" s="477"/>
      <c r="T164" s="521"/>
      <c r="U164" s="153"/>
      <c r="V164" s="153"/>
      <c r="W164" s="153"/>
      <c r="X164" s="153"/>
      <c r="Y164" s="153"/>
      <c r="Z164" s="153"/>
    </row>
    <row r="165" spans="1:26">
      <c r="A165" s="774"/>
      <c r="B165" s="158" t="s">
        <v>2448</v>
      </c>
      <c r="C165" s="158" t="s">
        <v>2090</v>
      </c>
      <c r="D165" s="158" t="s">
        <v>2449</v>
      </c>
      <c r="E165" s="158" t="s">
        <v>1732</v>
      </c>
      <c r="F165" s="158" t="s">
        <v>1849</v>
      </c>
      <c r="G165" s="158" t="s">
        <v>2450</v>
      </c>
      <c r="H165" s="158" t="s">
        <v>2451</v>
      </c>
      <c r="I165" s="513" t="s">
        <v>1736</v>
      </c>
      <c r="J165" s="317" t="s">
        <v>1737</v>
      </c>
      <c r="K165" s="317" t="s">
        <v>1737</v>
      </c>
      <c r="L165" s="477"/>
      <c r="M165" s="477"/>
      <c r="N165" s="520"/>
      <c r="O165" s="477"/>
      <c r="P165" s="155"/>
      <c r="Q165" s="155"/>
      <c r="R165" s="155"/>
      <c r="S165" s="477"/>
      <c r="T165" s="521"/>
      <c r="U165" s="153"/>
      <c r="V165" s="153"/>
      <c r="W165" s="153"/>
      <c r="X165" s="153"/>
      <c r="Y165" s="153"/>
      <c r="Z165" s="153"/>
    </row>
    <row r="166" spans="1:26">
      <c r="A166" s="774"/>
      <c r="B166" s="158" t="s">
        <v>2452</v>
      </c>
      <c r="C166" s="158" t="s">
        <v>2090</v>
      </c>
      <c r="D166" s="158" t="s">
        <v>2453</v>
      </c>
      <c r="E166" s="158" t="s">
        <v>1732</v>
      </c>
      <c r="F166" s="158" t="s">
        <v>1849</v>
      </c>
      <c r="G166" s="158" t="s">
        <v>2454</v>
      </c>
      <c r="H166" s="158" t="s">
        <v>2455</v>
      </c>
      <c r="I166" s="513" t="s">
        <v>1736</v>
      </c>
      <c r="J166" s="317" t="s">
        <v>1737</v>
      </c>
      <c r="K166" s="317" t="s">
        <v>1737</v>
      </c>
      <c r="L166" s="477"/>
      <c r="M166" s="477"/>
      <c r="N166" s="520"/>
      <c r="O166" s="477"/>
      <c r="P166" s="155"/>
      <c r="Q166" s="155"/>
      <c r="R166" s="155"/>
      <c r="S166" s="477"/>
      <c r="T166" s="521"/>
      <c r="U166" s="153"/>
      <c r="V166" s="153"/>
      <c r="W166" s="153"/>
      <c r="X166" s="153"/>
      <c r="Y166" s="153"/>
      <c r="Z166" s="153"/>
    </row>
    <row r="167" spans="1:26">
      <c r="A167" s="774"/>
      <c r="B167" s="158" t="s">
        <v>2456</v>
      </c>
      <c r="C167" s="158" t="s">
        <v>2090</v>
      </c>
      <c r="D167" s="158" t="s">
        <v>2457</v>
      </c>
      <c r="E167" s="158" t="s">
        <v>1732</v>
      </c>
      <c r="F167" s="158" t="s">
        <v>1849</v>
      </c>
      <c r="G167" s="158" t="s">
        <v>2458</v>
      </c>
      <c r="H167" s="158" t="s">
        <v>2459</v>
      </c>
      <c r="I167" s="513" t="s">
        <v>1736</v>
      </c>
      <c r="J167" s="317" t="s">
        <v>1737</v>
      </c>
      <c r="K167" s="317" t="s">
        <v>1737</v>
      </c>
      <c r="L167" s="477"/>
      <c r="M167" s="477"/>
      <c r="N167" s="520"/>
      <c r="O167" s="477"/>
      <c r="P167" s="155"/>
      <c r="Q167" s="155"/>
      <c r="R167" s="155"/>
      <c r="S167" s="477"/>
      <c r="T167" s="521"/>
      <c r="U167" s="153"/>
      <c r="V167" s="153"/>
      <c r="W167" s="153"/>
      <c r="X167" s="153"/>
      <c r="Y167" s="153"/>
      <c r="Z167" s="153"/>
    </row>
    <row r="168" spans="1:26">
      <c r="A168" s="774"/>
      <c r="B168" s="158" t="s">
        <v>2460</v>
      </c>
      <c r="C168" s="158" t="s">
        <v>2090</v>
      </c>
      <c r="D168" s="158" t="s">
        <v>2461</v>
      </c>
      <c r="E168" s="158" t="s">
        <v>1732</v>
      </c>
      <c r="F168" s="158" t="s">
        <v>1849</v>
      </c>
      <c r="G168" s="158" t="s">
        <v>2462</v>
      </c>
      <c r="H168" s="158" t="s">
        <v>2463</v>
      </c>
      <c r="I168" s="513" t="s">
        <v>1736</v>
      </c>
      <c r="J168" s="317" t="s">
        <v>1737</v>
      </c>
      <c r="K168" s="317" t="s">
        <v>1737</v>
      </c>
      <c r="L168" s="477"/>
      <c r="M168" s="477"/>
      <c r="N168" s="520"/>
      <c r="O168" s="477"/>
      <c r="P168" s="155"/>
      <c r="Q168" s="155"/>
      <c r="R168" s="155"/>
      <c r="S168" s="477"/>
      <c r="T168" s="521"/>
      <c r="U168" s="153"/>
      <c r="V168" s="153"/>
      <c r="W168" s="153"/>
      <c r="X168" s="153"/>
      <c r="Y168" s="153"/>
      <c r="Z168" s="153"/>
    </row>
    <row r="169" spans="1:26">
      <c r="A169" s="774"/>
      <c r="B169" s="158" t="s">
        <v>2464</v>
      </c>
      <c r="C169" s="158" t="s">
        <v>2090</v>
      </c>
      <c r="D169" s="158" t="s">
        <v>2465</v>
      </c>
      <c r="E169" s="158" t="s">
        <v>1732</v>
      </c>
      <c r="F169" s="158" t="s">
        <v>1849</v>
      </c>
      <c r="G169" s="158" t="s">
        <v>2466</v>
      </c>
      <c r="H169" s="158" t="s">
        <v>2467</v>
      </c>
      <c r="I169" s="513" t="s">
        <v>1736</v>
      </c>
      <c r="J169" s="317" t="s">
        <v>1737</v>
      </c>
      <c r="K169" s="317" t="s">
        <v>1737</v>
      </c>
      <c r="L169" s="477"/>
      <c r="M169" s="477"/>
      <c r="N169" s="520"/>
      <c r="O169" s="477"/>
      <c r="P169" s="155"/>
      <c r="Q169" s="155"/>
      <c r="R169" s="155"/>
      <c r="S169" s="477"/>
      <c r="T169" s="521"/>
      <c r="U169" s="153"/>
      <c r="V169" s="153"/>
      <c r="W169" s="153"/>
      <c r="X169" s="153"/>
      <c r="Y169" s="153"/>
      <c r="Z169" s="153"/>
    </row>
    <row r="170" spans="1:26">
      <c r="A170" s="774"/>
      <c r="B170" s="158" t="s">
        <v>2468</v>
      </c>
      <c r="C170" s="158" t="s">
        <v>2090</v>
      </c>
      <c r="D170" s="158" t="s">
        <v>2469</v>
      </c>
      <c r="E170" s="158" t="s">
        <v>1732</v>
      </c>
      <c r="F170" s="158" t="s">
        <v>1849</v>
      </c>
      <c r="G170" s="158" t="s">
        <v>2470</v>
      </c>
      <c r="H170" s="158" t="s">
        <v>2471</v>
      </c>
      <c r="I170" s="513" t="s">
        <v>1736</v>
      </c>
      <c r="J170" s="317" t="s">
        <v>1737</v>
      </c>
      <c r="K170" s="317" t="s">
        <v>1737</v>
      </c>
      <c r="L170" s="477"/>
      <c r="M170" s="477"/>
      <c r="N170" s="520"/>
      <c r="O170" s="477"/>
      <c r="P170" s="155"/>
      <c r="Q170" s="155"/>
      <c r="R170" s="155"/>
      <c r="S170" s="477"/>
      <c r="T170" s="521"/>
      <c r="U170" s="153"/>
      <c r="V170" s="153"/>
      <c r="W170" s="153"/>
      <c r="X170" s="153"/>
      <c r="Y170" s="153"/>
      <c r="Z170" s="153"/>
    </row>
    <row r="171" spans="1:26">
      <c r="A171" s="774"/>
      <c r="B171" s="158" t="s">
        <v>2472</v>
      </c>
      <c r="C171" s="158" t="s">
        <v>2090</v>
      </c>
      <c r="D171" s="158" t="s">
        <v>2473</v>
      </c>
      <c r="E171" s="158" t="s">
        <v>1732</v>
      </c>
      <c r="F171" s="158" t="s">
        <v>1849</v>
      </c>
      <c r="G171" s="158" t="s">
        <v>2474</v>
      </c>
      <c r="H171" s="158" t="s">
        <v>2475</v>
      </c>
      <c r="I171" s="513" t="s">
        <v>1736</v>
      </c>
      <c r="J171" s="317" t="s">
        <v>1737</v>
      </c>
      <c r="K171" s="317" t="s">
        <v>1737</v>
      </c>
      <c r="L171" s="477"/>
      <c r="M171" s="477"/>
      <c r="N171" s="520"/>
      <c r="O171" s="477"/>
      <c r="P171" s="155"/>
      <c r="Q171" s="155"/>
      <c r="R171" s="155"/>
      <c r="S171" s="477"/>
      <c r="T171" s="521"/>
      <c r="U171" s="153"/>
      <c r="V171" s="153"/>
      <c r="W171" s="153"/>
      <c r="X171" s="153"/>
      <c r="Y171" s="153"/>
      <c r="Z171" s="153"/>
    </row>
    <row r="172" spans="1:26">
      <c r="A172" s="774"/>
      <c r="B172" s="158" t="s">
        <v>2476</v>
      </c>
      <c r="C172" s="158" t="s">
        <v>2090</v>
      </c>
      <c r="D172" s="158" t="s">
        <v>2477</v>
      </c>
      <c r="E172" s="158" t="s">
        <v>1732</v>
      </c>
      <c r="F172" s="158" t="s">
        <v>1849</v>
      </c>
      <c r="G172" s="158" t="s">
        <v>2478</v>
      </c>
      <c r="H172" s="158" t="s">
        <v>2479</v>
      </c>
      <c r="I172" s="513" t="s">
        <v>1736</v>
      </c>
      <c r="J172" s="317" t="s">
        <v>1737</v>
      </c>
      <c r="K172" s="317" t="s">
        <v>1737</v>
      </c>
      <c r="L172" s="477"/>
      <c r="M172" s="477"/>
      <c r="N172" s="520"/>
      <c r="O172" s="477"/>
      <c r="P172" s="155"/>
      <c r="Q172" s="155"/>
      <c r="R172" s="155"/>
      <c r="S172" s="477"/>
      <c r="T172" s="521"/>
      <c r="U172" s="153"/>
      <c r="V172" s="153"/>
      <c r="W172" s="153"/>
      <c r="X172" s="153"/>
      <c r="Y172" s="153"/>
      <c r="Z172" s="153"/>
    </row>
    <row r="173" spans="1:26">
      <c r="A173" s="774"/>
      <c r="B173" s="158" t="s">
        <v>2480</v>
      </c>
      <c r="C173" s="158" t="s">
        <v>2090</v>
      </c>
      <c r="D173" s="158" t="s">
        <v>2481</v>
      </c>
      <c r="E173" s="158" t="s">
        <v>1732</v>
      </c>
      <c r="F173" s="158" t="s">
        <v>1849</v>
      </c>
      <c r="G173" s="158" t="s">
        <v>2482</v>
      </c>
      <c r="H173" s="158" t="s">
        <v>2483</v>
      </c>
      <c r="I173" s="513" t="s">
        <v>1736</v>
      </c>
      <c r="J173" s="317" t="s">
        <v>1737</v>
      </c>
      <c r="K173" s="317" t="s">
        <v>1737</v>
      </c>
      <c r="L173" s="477"/>
      <c r="M173" s="477"/>
      <c r="N173" s="520"/>
      <c r="O173" s="477"/>
      <c r="P173" s="155"/>
      <c r="Q173" s="155"/>
      <c r="R173" s="155"/>
      <c r="S173" s="477"/>
      <c r="T173" s="521"/>
      <c r="U173" s="153"/>
      <c r="V173" s="153"/>
      <c r="W173" s="153"/>
      <c r="X173" s="153"/>
      <c r="Y173" s="153"/>
      <c r="Z173" s="153"/>
    </row>
    <row r="174" spans="1:26">
      <c r="A174" s="774"/>
      <c r="B174" s="158" t="s">
        <v>2484</v>
      </c>
      <c r="C174" s="158" t="s">
        <v>2090</v>
      </c>
      <c r="D174" s="158" t="s">
        <v>2485</v>
      </c>
      <c r="E174" s="158" t="s">
        <v>1732</v>
      </c>
      <c r="F174" s="158" t="s">
        <v>1849</v>
      </c>
      <c r="G174" s="158" t="s">
        <v>2486</v>
      </c>
      <c r="H174" s="158" t="s">
        <v>2487</v>
      </c>
      <c r="I174" s="513" t="s">
        <v>1736</v>
      </c>
      <c r="J174" s="317" t="s">
        <v>1737</v>
      </c>
      <c r="K174" s="317" t="s">
        <v>1737</v>
      </c>
      <c r="L174" s="477"/>
      <c r="M174" s="477"/>
      <c r="N174" s="520"/>
      <c r="O174" s="477"/>
      <c r="P174" s="155"/>
      <c r="Q174" s="155"/>
      <c r="R174" s="155"/>
      <c r="S174" s="477"/>
      <c r="T174" s="521"/>
      <c r="U174" s="153"/>
      <c r="V174" s="153"/>
      <c r="W174" s="153"/>
      <c r="X174" s="153"/>
      <c r="Y174" s="153"/>
      <c r="Z174" s="153"/>
    </row>
    <row r="175" spans="1:26">
      <c r="A175" s="774"/>
      <c r="B175" s="158" t="s">
        <v>2488</v>
      </c>
      <c r="C175" s="158" t="s">
        <v>2090</v>
      </c>
      <c r="D175" s="158" t="s">
        <v>2489</v>
      </c>
      <c r="E175" s="158" t="s">
        <v>1732</v>
      </c>
      <c r="F175" s="158" t="s">
        <v>1849</v>
      </c>
      <c r="G175" s="158" t="s">
        <v>2490</v>
      </c>
      <c r="H175" s="158" t="s">
        <v>2491</v>
      </c>
      <c r="I175" s="513" t="s">
        <v>1736</v>
      </c>
      <c r="J175" s="317" t="s">
        <v>1737</v>
      </c>
      <c r="K175" s="317" t="s">
        <v>1737</v>
      </c>
      <c r="L175" s="477"/>
      <c r="M175" s="477"/>
      <c r="N175" s="520"/>
      <c r="O175" s="477"/>
      <c r="P175" s="155"/>
      <c r="Q175" s="155"/>
      <c r="R175" s="155"/>
      <c r="S175" s="477"/>
      <c r="T175" s="521"/>
      <c r="U175" s="153"/>
      <c r="V175" s="153"/>
      <c r="W175" s="153"/>
      <c r="X175" s="153"/>
      <c r="Y175" s="153"/>
      <c r="Z175" s="153"/>
    </row>
    <row r="176" spans="1:26">
      <c r="A176" s="774"/>
      <c r="B176" s="158" t="s">
        <v>2492</v>
      </c>
      <c r="C176" s="158" t="s">
        <v>2090</v>
      </c>
      <c r="D176" s="158" t="s">
        <v>2493</v>
      </c>
      <c r="E176" s="158" t="s">
        <v>1732</v>
      </c>
      <c r="F176" s="158" t="s">
        <v>1849</v>
      </c>
      <c r="G176" s="158" t="s">
        <v>2494</v>
      </c>
      <c r="H176" s="158" t="s">
        <v>2495</v>
      </c>
      <c r="I176" s="513" t="s">
        <v>1736</v>
      </c>
      <c r="J176" s="317" t="s">
        <v>1737</v>
      </c>
      <c r="K176" s="317" t="s">
        <v>1737</v>
      </c>
      <c r="L176" s="477"/>
      <c r="M176" s="477"/>
      <c r="N176" s="520"/>
      <c r="O176" s="477"/>
      <c r="P176" s="155"/>
      <c r="Q176" s="155"/>
      <c r="R176" s="155"/>
      <c r="S176" s="477"/>
      <c r="T176" s="521"/>
      <c r="U176" s="153"/>
      <c r="V176" s="153"/>
      <c r="W176" s="153"/>
      <c r="X176" s="153"/>
      <c r="Y176" s="153"/>
      <c r="Z176" s="153"/>
    </row>
    <row r="177" spans="1:26">
      <c r="A177" s="774"/>
      <c r="B177" s="158" t="s">
        <v>2496</v>
      </c>
      <c r="C177" s="158" t="s">
        <v>2090</v>
      </c>
      <c r="D177" s="158" t="s">
        <v>2497</v>
      </c>
      <c r="E177" s="158" t="s">
        <v>1732</v>
      </c>
      <c r="F177" s="158" t="s">
        <v>1849</v>
      </c>
      <c r="G177" s="158" t="s">
        <v>2498</v>
      </c>
      <c r="H177" s="158" t="s">
        <v>2499</v>
      </c>
      <c r="I177" s="513" t="s">
        <v>1736</v>
      </c>
      <c r="J177" s="317" t="s">
        <v>1737</v>
      </c>
      <c r="K177" s="317" t="s">
        <v>1737</v>
      </c>
      <c r="L177" s="477"/>
      <c r="M177" s="477"/>
      <c r="N177" s="520"/>
      <c r="O177" s="477"/>
      <c r="P177" s="155"/>
      <c r="Q177" s="155"/>
      <c r="R177" s="155"/>
      <c r="S177" s="477"/>
      <c r="T177" s="521"/>
      <c r="U177" s="153"/>
      <c r="V177" s="153"/>
      <c r="W177" s="153"/>
      <c r="X177" s="153"/>
      <c r="Y177" s="153"/>
      <c r="Z177" s="153"/>
    </row>
    <row r="178" spans="1:26">
      <c r="A178" s="774"/>
      <c r="B178" s="158" t="s">
        <v>2500</v>
      </c>
      <c r="C178" s="158" t="s">
        <v>2090</v>
      </c>
      <c r="D178" s="187" t="s">
        <v>2501</v>
      </c>
      <c r="E178" s="158" t="s">
        <v>1732</v>
      </c>
      <c r="F178" s="158" t="s">
        <v>1849</v>
      </c>
      <c r="G178" s="158" t="s">
        <v>2502</v>
      </c>
      <c r="H178" s="158" t="s">
        <v>2503</v>
      </c>
      <c r="I178" s="513" t="s">
        <v>1736</v>
      </c>
      <c r="J178" s="317" t="s">
        <v>1737</v>
      </c>
      <c r="K178" s="317" t="s">
        <v>1737</v>
      </c>
      <c r="L178" s="477"/>
      <c r="M178" s="477"/>
      <c r="N178" s="520"/>
      <c r="O178" s="477"/>
      <c r="P178" s="155"/>
      <c r="Q178" s="155"/>
      <c r="R178" s="155"/>
      <c r="S178" s="477"/>
      <c r="T178" s="521"/>
      <c r="U178" s="153"/>
      <c r="V178" s="153"/>
      <c r="W178" s="153"/>
      <c r="X178" s="153"/>
      <c r="Y178" s="153"/>
      <c r="Z178" s="153"/>
    </row>
    <row r="179" spans="1:26">
      <c r="A179" s="774"/>
      <c r="B179" s="158" t="s">
        <v>2504</v>
      </c>
      <c r="C179" s="158" t="s">
        <v>2090</v>
      </c>
      <c r="D179" s="187" t="s">
        <v>2505</v>
      </c>
      <c r="E179" s="158" t="s">
        <v>1732</v>
      </c>
      <c r="F179" s="158" t="s">
        <v>1849</v>
      </c>
      <c r="G179" s="166" t="s">
        <v>2506</v>
      </c>
      <c r="H179" s="158" t="s">
        <v>2507</v>
      </c>
      <c r="I179" s="513" t="s">
        <v>1736</v>
      </c>
      <c r="J179" s="317" t="s">
        <v>1737</v>
      </c>
      <c r="K179" s="317" t="s">
        <v>1737</v>
      </c>
      <c r="L179" s="477"/>
      <c r="M179" s="477"/>
      <c r="N179" s="520"/>
      <c r="O179" s="477"/>
      <c r="P179" s="155"/>
      <c r="Q179" s="155"/>
      <c r="R179" s="155"/>
      <c r="S179" s="477"/>
      <c r="T179" s="521"/>
      <c r="U179" s="153"/>
      <c r="V179" s="153"/>
      <c r="W179" s="153"/>
      <c r="X179" s="153"/>
      <c r="Y179" s="153"/>
      <c r="Z179" s="153"/>
    </row>
    <row r="180" spans="1:26">
      <c r="A180" s="774"/>
      <c r="B180" s="517" t="s">
        <v>2508</v>
      </c>
      <c r="C180" s="517" t="s">
        <v>2090</v>
      </c>
      <c r="D180" s="517" t="s">
        <v>2509</v>
      </c>
      <c r="E180" s="517" t="s">
        <v>1732</v>
      </c>
      <c r="F180" s="517" t="s">
        <v>1849</v>
      </c>
      <c r="G180" s="177" t="s">
        <v>2510</v>
      </c>
      <c r="H180" s="517"/>
      <c r="I180" s="522" t="s">
        <v>1736</v>
      </c>
      <c r="J180" s="183" t="s">
        <v>1737</v>
      </c>
      <c r="K180" s="183" t="s">
        <v>1737</v>
      </c>
      <c r="L180" s="523"/>
      <c r="M180" s="523"/>
      <c r="N180" s="524"/>
      <c r="O180" s="523"/>
      <c r="P180" s="525"/>
      <c r="Q180" s="525"/>
      <c r="R180" s="525"/>
      <c r="S180" s="523"/>
      <c r="T180" s="526"/>
      <c r="U180" s="153"/>
      <c r="V180" s="153"/>
      <c r="W180" s="153"/>
      <c r="X180" s="153"/>
      <c r="Y180" s="153"/>
      <c r="Z180" s="153"/>
    </row>
    <row r="181" spans="1:26">
      <c r="A181" s="774"/>
      <c r="B181" s="517" t="s">
        <v>2511</v>
      </c>
      <c r="C181" s="517" t="s">
        <v>2090</v>
      </c>
      <c r="D181" s="517" t="s">
        <v>2512</v>
      </c>
      <c r="E181" s="517" t="s">
        <v>1732</v>
      </c>
      <c r="F181" s="517" t="s">
        <v>1849</v>
      </c>
      <c r="G181" s="517" t="s">
        <v>2513</v>
      </c>
      <c r="H181" s="518"/>
      <c r="I181" s="522" t="s">
        <v>1736</v>
      </c>
      <c r="J181" s="183" t="s">
        <v>1737</v>
      </c>
      <c r="K181" s="183" t="s">
        <v>1737</v>
      </c>
      <c r="L181" s="523"/>
      <c r="M181" s="523"/>
      <c r="N181" s="524"/>
      <c r="O181" s="523"/>
      <c r="P181" s="525"/>
      <c r="Q181" s="525"/>
      <c r="R181" s="525"/>
      <c r="S181" s="523"/>
      <c r="T181" s="526"/>
      <c r="U181" s="153"/>
      <c r="V181" s="153"/>
      <c r="W181" s="153"/>
      <c r="X181" s="153"/>
      <c r="Y181" s="153"/>
      <c r="Z181" s="153"/>
    </row>
    <row r="182" spans="1:26">
      <c r="A182" s="774"/>
      <c r="B182" s="517" t="s">
        <v>2514</v>
      </c>
      <c r="C182" s="517" t="s">
        <v>2090</v>
      </c>
      <c r="D182" s="517" t="s">
        <v>2515</v>
      </c>
      <c r="E182" s="517" t="s">
        <v>1732</v>
      </c>
      <c r="F182" s="517" t="s">
        <v>1849</v>
      </c>
      <c r="G182" s="517" t="s">
        <v>2516</v>
      </c>
      <c r="H182" s="518"/>
      <c r="I182" s="522" t="s">
        <v>1736</v>
      </c>
      <c r="J182" s="183" t="s">
        <v>1737</v>
      </c>
      <c r="K182" s="183" t="s">
        <v>1737</v>
      </c>
      <c r="L182" s="523"/>
      <c r="M182" s="523"/>
      <c r="N182" s="524"/>
      <c r="O182" s="523"/>
      <c r="P182" s="525"/>
      <c r="Q182" s="525"/>
      <c r="R182" s="525"/>
      <c r="S182" s="523"/>
      <c r="T182" s="526"/>
      <c r="U182" s="153"/>
      <c r="V182" s="153"/>
      <c r="W182" s="153"/>
      <c r="X182" s="153"/>
      <c r="Y182" s="153"/>
      <c r="Z182" s="153"/>
    </row>
    <row r="183" spans="1:26">
      <c r="A183" s="774"/>
      <c r="B183" s="517" t="s">
        <v>2517</v>
      </c>
      <c r="C183" s="517" t="s">
        <v>2090</v>
      </c>
      <c r="D183" s="517" t="s">
        <v>2518</v>
      </c>
      <c r="E183" s="517" t="s">
        <v>1732</v>
      </c>
      <c r="F183" s="517" t="s">
        <v>1849</v>
      </c>
      <c r="G183" s="517" t="s">
        <v>2516</v>
      </c>
      <c r="H183" s="518"/>
      <c r="I183" s="522" t="s">
        <v>1736</v>
      </c>
      <c r="J183" s="183" t="s">
        <v>1737</v>
      </c>
      <c r="K183" s="183" t="s">
        <v>1737</v>
      </c>
      <c r="L183" s="523"/>
      <c r="M183" s="523"/>
      <c r="N183" s="524"/>
      <c r="O183" s="523"/>
      <c r="P183" s="525"/>
      <c r="Q183" s="525"/>
      <c r="R183" s="525"/>
      <c r="S183" s="523"/>
      <c r="T183" s="526"/>
      <c r="U183" s="153"/>
      <c r="V183" s="153"/>
      <c r="W183" s="153"/>
      <c r="X183" s="153"/>
      <c r="Y183" s="153"/>
      <c r="Z183" s="153"/>
    </row>
    <row r="184" spans="1:26">
      <c r="A184" s="774"/>
      <c r="B184" s="517" t="s">
        <v>2519</v>
      </c>
      <c r="C184" s="517" t="s">
        <v>2090</v>
      </c>
      <c r="D184" s="517" t="s">
        <v>2520</v>
      </c>
      <c r="E184" s="517" t="s">
        <v>1732</v>
      </c>
      <c r="F184" s="517" t="s">
        <v>1849</v>
      </c>
      <c r="G184" s="517" t="s">
        <v>2521</v>
      </c>
      <c r="H184" s="518"/>
      <c r="I184" s="522" t="s">
        <v>1736</v>
      </c>
      <c r="J184" s="183" t="s">
        <v>1737</v>
      </c>
      <c r="K184" s="183" t="s">
        <v>1737</v>
      </c>
      <c r="L184" s="523"/>
      <c r="M184" s="523"/>
      <c r="N184" s="524"/>
      <c r="O184" s="523"/>
      <c r="P184" s="525"/>
      <c r="Q184" s="525"/>
      <c r="R184" s="525"/>
      <c r="S184" s="523"/>
      <c r="T184" s="526"/>
      <c r="U184" s="153"/>
      <c r="V184" s="153"/>
      <c r="W184" s="153"/>
      <c r="X184" s="153"/>
      <c r="Y184" s="153"/>
      <c r="Z184" s="153"/>
    </row>
    <row r="185" spans="1:26">
      <c r="A185" s="774"/>
      <c r="B185" s="517" t="s">
        <v>2522</v>
      </c>
      <c r="C185" s="517" t="s">
        <v>2090</v>
      </c>
      <c r="D185" s="517" t="s">
        <v>2523</v>
      </c>
      <c r="E185" s="517" t="s">
        <v>1732</v>
      </c>
      <c r="F185" s="517" t="s">
        <v>1849</v>
      </c>
      <c r="G185" s="517" t="s">
        <v>2524</v>
      </c>
      <c r="H185" s="518"/>
      <c r="I185" s="522" t="s">
        <v>1736</v>
      </c>
      <c r="J185" s="183" t="s">
        <v>1737</v>
      </c>
      <c r="K185" s="183" t="s">
        <v>1737</v>
      </c>
      <c r="L185" s="523"/>
      <c r="M185" s="523"/>
      <c r="N185" s="524"/>
      <c r="O185" s="523"/>
      <c r="P185" s="525"/>
      <c r="Q185" s="525"/>
      <c r="R185" s="525"/>
      <c r="S185" s="523"/>
      <c r="T185" s="526"/>
      <c r="U185" s="153"/>
      <c r="V185" s="153"/>
      <c r="W185" s="153"/>
      <c r="X185" s="153"/>
      <c r="Y185" s="153"/>
      <c r="Z185" s="153"/>
    </row>
    <row r="186" spans="1:26">
      <c r="A186" s="774"/>
      <c r="B186" s="517" t="s">
        <v>2525</v>
      </c>
      <c r="C186" s="517" t="s">
        <v>2090</v>
      </c>
      <c r="D186" s="517" t="s">
        <v>2526</v>
      </c>
      <c r="E186" s="517" t="s">
        <v>1732</v>
      </c>
      <c r="F186" s="517" t="s">
        <v>1849</v>
      </c>
      <c r="G186" s="517" t="s">
        <v>2527</v>
      </c>
      <c r="H186" s="518"/>
      <c r="I186" s="522" t="s">
        <v>1736</v>
      </c>
      <c r="J186" s="183" t="s">
        <v>1737</v>
      </c>
      <c r="K186" s="183" t="s">
        <v>1737</v>
      </c>
      <c r="L186" s="523"/>
      <c r="M186" s="523"/>
      <c r="N186" s="524"/>
      <c r="O186" s="523"/>
      <c r="P186" s="525"/>
      <c r="Q186" s="525"/>
      <c r="R186" s="525"/>
      <c r="S186" s="523"/>
      <c r="T186" s="526"/>
      <c r="U186" s="153"/>
      <c r="V186" s="153"/>
      <c r="W186" s="153"/>
      <c r="X186" s="153"/>
      <c r="Y186" s="153"/>
      <c r="Z186" s="153"/>
    </row>
    <row r="187" spans="1:26">
      <c r="A187" s="774"/>
      <c r="B187" s="517" t="s">
        <v>2528</v>
      </c>
      <c r="C187" s="517" t="s">
        <v>2090</v>
      </c>
      <c r="D187" s="517" t="s">
        <v>2529</v>
      </c>
      <c r="E187" s="517" t="s">
        <v>1732</v>
      </c>
      <c r="F187" s="517" t="s">
        <v>1849</v>
      </c>
      <c r="G187" s="517" t="s">
        <v>2530</v>
      </c>
      <c r="H187" s="518"/>
      <c r="I187" s="522" t="s">
        <v>1736</v>
      </c>
      <c r="J187" s="183" t="s">
        <v>1737</v>
      </c>
      <c r="K187" s="183" t="s">
        <v>1737</v>
      </c>
      <c r="L187" s="523"/>
      <c r="M187" s="523"/>
      <c r="N187" s="524"/>
      <c r="O187" s="523"/>
      <c r="P187" s="525"/>
      <c r="Q187" s="525"/>
      <c r="R187" s="525"/>
      <c r="S187" s="523"/>
      <c r="T187" s="526"/>
      <c r="U187" s="153"/>
      <c r="V187" s="153"/>
      <c r="W187" s="153"/>
      <c r="X187" s="153"/>
      <c r="Y187" s="153"/>
      <c r="Z187" s="153"/>
    </row>
    <row r="188" spans="1:26">
      <c r="A188" s="774"/>
      <c r="B188" s="517" t="s">
        <v>2531</v>
      </c>
      <c r="C188" s="517" t="s">
        <v>2090</v>
      </c>
      <c r="D188" s="517" t="s">
        <v>2532</v>
      </c>
      <c r="E188" s="517" t="s">
        <v>1732</v>
      </c>
      <c r="F188" s="517" t="s">
        <v>1849</v>
      </c>
      <c r="G188" s="517" t="s">
        <v>2533</v>
      </c>
      <c r="H188" s="518"/>
      <c r="I188" s="522" t="s">
        <v>1736</v>
      </c>
      <c r="J188" s="183" t="s">
        <v>1737</v>
      </c>
      <c r="K188" s="183" t="s">
        <v>1737</v>
      </c>
      <c r="L188" s="523"/>
      <c r="M188" s="523"/>
      <c r="N188" s="524"/>
      <c r="O188" s="523"/>
      <c r="P188" s="525"/>
      <c r="Q188" s="525"/>
      <c r="R188" s="525"/>
      <c r="S188" s="523"/>
      <c r="T188" s="526"/>
      <c r="U188" s="153"/>
      <c r="V188" s="153"/>
      <c r="W188" s="153"/>
      <c r="X188" s="153"/>
      <c r="Y188" s="153"/>
      <c r="Z188" s="153"/>
    </row>
    <row r="189" spans="1:26">
      <c r="A189" s="774"/>
      <c r="B189" s="517" t="s">
        <v>2534</v>
      </c>
      <c r="C189" s="517" t="s">
        <v>2090</v>
      </c>
      <c r="D189" s="517" t="s">
        <v>2535</v>
      </c>
      <c r="E189" s="517" t="s">
        <v>1732</v>
      </c>
      <c r="F189" s="517" t="s">
        <v>1849</v>
      </c>
      <c r="G189" s="517" t="s">
        <v>2536</v>
      </c>
      <c r="H189" s="518"/>
      <c r="I189" s="522" t="s">
        <v>1736</v>
      </c>
      <c r="J189" s="183" t="s">
        <v>1737</v>
      </c>
      <c r="K189" s="183" t="s">
        <v>1737</v>
      </c>
      <c r="L189" s="523"/>
      <c r="M189" s="523"/>
      <c r="N189" s="524"/>
      <c r="O189" s="523"/>
      <c r="P189" s="525"/>
      <c r="Q189" s="525"/>
      <c r="R189" s="525"/>
      <c r="S189" s="523"/>
      <c r="T189" s="526"/>
      <c r="U189" s="153"/>
      <c r="V189" s="153"/>
      <c r="W189" s="153"/>
      <c r="X189" s="153"/>
      <c r="Y189" s="153"/>
      <c r="Z189" s="153"/>
    </row>
    <row r="190" spans="1:26">
      <c r="A190" s="774"/>
      <c r="B190" s="517" t="s">
        <v>2537</v>
      </c>
      <c r="C190" s="517" t="s">
        <v>2090</v>
      </c>
      <c r="D190" s="517" t="s">
        <v>2538</v>
      </c>
      <c r="E190" s="517" t="s">
        <v>1732</v>
      </c>
      <c r="F190" s="517" t="s">
        <v>1849</v>
      </c>
      <c r="G190" s="188" t="s">
        <v>2539</v>
      </c>
      <c r="H190" s="518"/>
      <c r="I190" s="522" t="s">
        <v>1736</v>
      </c>
      <c r="J190" s="183" t="s">
        <v>1737</v>
      </c>
      <c r="K190" s="183" t="s">
        <v>1737</v>
      </c>
      <c r="L190" s="523"/>
      <c r="M190" s="523"/>
      <c r="N190" s="524"/>
      <c r="O190" s="523"/>
      <c r="P190" s="525"/>
      <c r="Q190" s="525"/>
      <c r="R190" s="525"/>
      <c r="S190" s="523"/>
      <c r="T190" s="526"/>
      <c r="U190" s="153"/>
      <c r="V190" s="153"/>
      <c r="W190" s="153"/>
      <c r="X190" s="153"/>
      <c r="Y190" s="153"/>
      <c r="Z190" s="153"/>
    </row>
    <row r="191" spans="1:26">
      <c r="A191" s="774"/>
      <c r="B191" s="517" t="s">
        <v>2540</v>
      </c>
      <c r="C191" s="517" t="s">
        <v>2090</v>
      </c>
      <c r="D191" s="517" t="s">
        <v>2541</v>
      </c>
      <c r="E191" s="517" t="s">
        <v>1732</v>
      </c>
      <c r="F191" s="517" t="s">
        <v>1849</v>
      </c>
      <c r="G191" s="188" t="s">
        <v>2542</v>
      </c>
      <c r="H191" s="518"/>
      <c r="I191" s="522" t="s">
        <v>1736</v>
      </c>
      <c r="J191" s="183" t="s">
        <v>1737</v>
      </c>
      <c r="K191" s="183" t="s">
        <v>1737</v>
      </c>
      <c r="L191" s="523"/>
      <c r="M191" s="523"/>
      <c r="N191" s="524"/>
      <c r="O191" s="523"/>
      <c r="P191" s="525"/>
      <c r="Q191" s="525"/>
      <c r="R191" s="525"/>
      <c r="S191" s="523"/>
      <c r="T191" s="526"/>
      <c r="U191" s="153"/>
      <c r="V191" s="153"/>
      <c r="W191" s="153"/>
      <c r="X191" s="153"/>
      <c r="Y191" s="153"/>
      <c r="Z191" s="153"/>
    </row>
    <row r="192" spans="1:26">
      <c r="A192" s="774"/>
      <c r="B192" s="158" t="s">
        <v>2543</v>
      </c>
      <c r="C192" s="158" t="s">
        <v>2090</v>
      </c>
      <c r="D192" s="158" t="s">
        <v>2544</v>
      </c>
      <c r="E192" s="158" t="s">
        <v>1732</v>
      </c>
      <c r="F192" s="158" t="s">
        <v>1849</v>
      </c>
      <c r="G192" s="187" t="s">
        <v>2545</v>
      </c>
      <c r="H192" s="158" t="s">
        <v>2546</v>
      </c>
      <c r="I192" s="513" t="s">
        <v>1736</v>
      </c>
      <c r="J192" s="317" t="s">
        <v>1737</v>
      </c>
      <c r="K192" s="317" t="s">
        <v>1737</v>
      </c>
      <c r="L192" s="477"/>
      <c r="M192" s="477"/>
      <c r="N192" s="520"/>
      <c r="O192" s="477"/>
      <c r="P192" s="155"/>
      <c r="Q192" s="155"/>
      <c r="R192" s="155"/>
      <c r="S192" s="477"/>
      <c r="T192" s="521"/>
      <c r="U192" s="153"/>
      <c r="V192" s="153"/>
      <c r="W192" s="153"/>
      <c r="X192" s="153"/>
      <c r="Y192" s="153"/>
      <c r="Z192" s="153"/>
    </row>
    <row r="193" spans="1:26">
      <c r="A193" s="774"/>
      <c r="B193" s="517" t="s">
        <v>2547</v>
      </c>
      <c r="C193" s="517" t="s">
        <v>2090</v>
      </c>
      <c r="D193" s="517" t="s">
        <v>2548</v>
      </c>
      <c r="E193" s="517" t="s">
        <v>1732</v>
      </c>
      <c r="F193" s="517" t="s">
        <v>1849</v>
      </c>
      <c r="G193" s="188" t="s">
        <v>2549</v>
      </c>
      <c r="H193" s="518"/>
      <c r="I193" s="522" t="s">
        <v>1736</v>
      </c>
      <c r="J193" s="183" t="s">
        <v>1737</v>
      </c>
      <c r="K193" s="183" t="s">
        <v>1737</v>
      </c>
      <c r="L193" s="523"/>
      <c r="M193" s="523"/>
      <c r="N193" s="524"/>
      <c r="O193" s="523"/>
      <c r="P193" s="525"/>
      <c r="Q193" s="525"/>
      <c r="R193" s="525"/>
      <c r="S193" s="523"/>
      <c r="T193" s="526"/>
      <c r="U193" s="153"/>
      <c r="V193" s="153"/>
      <c r="W193" s="153"/>
      <c r="X193" s="153"/>
      <c r="Y193" s="153"/>
      <c r="Z193" s="153"/>
    </row>
    <row r="194" spans="1:26">
      <c r="A194" s="774"/>
      <c r="B194" s="517" t="s">
        <v>2550</v>
      </c>
      <c r="C194" s="517" t="s">
        <v>2090</v>
      </c>
      <c r="D194" s="517" t="s">
        <v>2551</v>
      </c>
      <c r="E194" s="517" t="s">
        <v>1732</v>
      </c>
      <c r="F194" s="517" t="s">
        <v>1849</v>
      </c>
      <c r="G194" s="188" t="s">
        <v>2552</v>
      </c>
      <c r="H194" s="518"/>
      <c r="I194" s="522" t="s">
        <v>1736</v>
      </c>
      <c r="J194" s="183" t="s">
        <v>1737</v>
      </c>
      <c r="K194" s="183" t="s">
        <v>1737</v>
      </c>
      <c r="L194" s="523"/>
      <c r="M194" s="523"/>
      <c r="N194" s="524"/>
      <c r="O194" s="523"/>
      <c r="P194" s="525"/>
      <c r="Q194" s="525"/>
      <c r="R194" s="525"/>
      <c r="S194" s="523"/>
      <c r="T194" s="526"/>
      <c r="U194" s="153"/>
      <c r="V194" s="153"/>
      <c r="W194" s="153"/>
      <c r="X194" s="153"/>
      <c r="Y194" s="153"/>
      <c r="Z194" s="153"/>
    </row>
    <row r="195" spans="1:26">
      <c r="A195" s="774"/>
      <c r="B195" s="517" t="s">
        <v>2553</v>
      </c>
      <c r="C195" s="517" t="s">
        <v>2090</v>
      </c>
      <c r="D195" s="517" t="s">
        <v>2554</v>
      </c>
      <c r="E195" s="517" t="s">
        <v>1732</v>
      </c>
      <c r="F195" s="517" t="s">
        <v>1849</v>
      </c>
      <c r="G195" s="517" t="s">
        <v>2555</v>
      </c>
      <c r="H195" s="518"/>
      <c r="I195" s="522" t="s">
        <v>1736</v>
      </c>
      <c r="J195" s="183" t="s">
        <v>1737</v>
      </c>
      <c r="K195" s="183" t="s">
        <v>1737</v>
      </c>
      <c r="L195" s="523"/>
      <c r="M195" s="523"/>
      <c r="N195" s="524"/>
      <c r="O195" s="523"/>
      <c r="P195" s="525"/>
      <c r="Q195" s="525"/>
      <c r="R195" s="525"/>
      <c r="S195" s="523"/>
      <c r="T195" s="526"/>
      <c r="U195" s="153"/>
      <c r="V195" s="153"/>
      <c r="W195" s="153"/>
      <c r="X195" s="153"/>
      <c r="Y195" s="153"/>
      <c r="Z195" s="153"/>
    </row>
    <row r="196" spans="1:26">
      <c r="A196" s="774"/>
      <c r="B196" s="158" t="s">
        <v>2556</v>
      </c>
      <c r="C196" s="158" t="s">
        <v>2090</v>
      </c>
      <c r="D196" s="158" t="s">
        <v>2557</v>
      </c>
      <c r="E196" s="158" t="s">
        <v>1732</v>
      </c>
      <c r="F196" s="158" t="s">
        <v>1849</v>
      </c>
      <c r="G196" s="158" t="s">
        <v>2558</v>
      </c>
      <c r="H196" s="158" t="s">
        <v>2559</v>
      </c>
      <c r="I196" s="513" t="s">
        <v>1736</v>
      </c>
      <c r="J196" s="317" t="s">
        <v>1737</v>
      </c>
      <c r="K196" s="317" t="s">
        <v>1737</v>
      </c>
      <c r="L196" s="477"/>
      <c r="M196" s="477"/>
      <c r="N196" s="520"/>
      <c r="O196" s="477"/>
      <c r="P196" s="155"/>
      <c r="Q196" s="155"/>
      <c r="R196" s="155"/>
      <c r="S196" s="477"/>
      <c r="T196" s="521"/>
      <c r="U196" s="153"/>
      <c r="V196" s="153"/>
      <c r="W196" s="153"/>
      <c r="X196" s="153"/>
      <c r="Y196" s="153"/>
      <c r="Z196" s="153"/>
    </row>
    <row r="197" spans="1:26">
      <c r="A197" s="774"/>
      <c r="B197" s="517" t="s">
        <v>2560</v>
      </c>
      <c r="C197" s="517" t="s">
        <v>2090</v>
      </c>
      <c r="D197" s="517" t="s">
        <v>2561</v>
      </c>
      <c r="E197" s="517" t="s">
        <v>1732</v>
      </c>
      <c r="F197" s="517" t="s">
        <v>1849</v>
      </c>
      <c r="G197" s="517" t="s">
        <v>2562</v>
      </c>
      <c r="H197" s="518"/>
      <c r="I197" s="522" t="s">
        <v>1736</v>
      </c>
      <c r="J197" s="183" t="s">
        <v>1737</v>
      </c>
      <c r="K197" s="183" t="s">
        <v>1737</v>
      </c>
      <c r="L197" s="523"/>
      <c r="M197" s="523"/>
      <c r="N197" s="524"/>
      <c r="O197" s="523"/>
      <c r="P197" s="525"/>
      <c r="Q197" s="525"/>
      <c r="R197" s="525"/>
      <c r="S197" s="523"/>
      <c r="T197" s="526"/>
      <c r="U197" s="153"/>
      <c r="V197" s="153"/>
      <c r="W197" s="153"/>
      <c r="X197" s="153"/>
      <c r="Y197" s="153"/>
      <c r="Z197" s="153"/>
    </row>
    <row r="198" spans="1:26">
      <c r="A198" s="774"/>
      <c r="B198" s="517" t="s">
        <v>2563</v>
      </c>
      <c r="C198" s="517" t="s">
        <v>2090</v>
      </c>
      <c r="D198" s="517" t="s">
        <v>2564</v>
      </c>
      <c r="E198" s="517" t="s">
        <v>1732</v>
      </c>
      <c r="F198" s="517" t="s">
        <v>1849</v>
      </c>
      <c r="G198" s="188" t="s">
        <v>2565</v>
      </c>
      <c r="H198" s="518"/>
      <c r="I198" s="522" t="s">
        <v>1736</v>
      </c>
      <c r="J198" s="183" t="s">
        <v>1737</v>
      </c>
      <c r="K198" s="183" t="s">
        <v>1737</v>
      </c>
      <c r="L198" s="523"/>
      <c r="M198" s="523"/>
      <c r="N198" s="524"/>
      <c r="O198" s="523"/>
      <c r="P198" s="525"/>
      <c r="Q198" s="525"/>
      <c r="R198" s="525"/>
      <c r="S198" s="523"/>
      <c r="T198" s="526"/>
      <c r="U198" s="153"/>
      <c r="V198" s="153"/>
      <c r="W198" s="153"/>
      <c r="X198" s="153"/>
      <c r="Y198" s="153"/>
      <c r="Z198" s="153"/>
    </row>
    <row r="199" spans="1:26">
      <c r="A199" s="774"/>
      <c r="B199" s="517" t="s">
        <v>2566</v>
      </c>
      <c r="C199" s="517" t="s">
        <v>2090</v>
      </c>
      <c r="D199" s="517" t="s">
        <v>2567</v>
      </c>
      <c r="E199" s="517" t="s">
        <v>1732</v>
      </c>
      <c r="F199" s="517" t="s">
        <v>1849</v>
      </c>
      <c r="G199" s="188" t="s">
        <v>2568</v>
      </c>
      <c r="H199" s="518"/>
      <c r="I199" s="522" t="s">
        <v>1736</v>
      </c>
      <c r="J199" s="183" t="s">
        <v>1737</v>
      </c>
      <c r="K199" s="183" t="s">
        <v>1737</v>
      </c>
      <c r="L199" s="523"/>
      <c r="M199" s="523"/>
      <c r="N199" s="524"/>
      <c r="O199" s="523"/>
      <c r="P199" s="525"/>
      <c r="Q199" s="525"/>
      <c r="R199" s="525"/>
      <c r="S199" s="523"/>
      <c r="T199" s="526"/>
      <c r="U199" s="153"/>
      <c r="V199" s="153"/>
      <c r="W199" s="153"/>
      <c r="X199" s="153"/>
      <c r="Y199" s="153"/>
      <c r="Z199" s="153"/>
    </row>
    <row r="200" spans="1:26">
      <c r="A200" s="774"/>
      <c r="B200" s="517" t="s">
        <v>2569</v>
      </c>
      <c r="C200" s="517" t="s">
        <v>2090</v>
      </c>
      <c r="D200" s="517" t="s">
        <v>2570</v>
      </c>
      <c r="E200" s="517" t="s">
        <v>1732</v>
      </c>
      <c r="F200" s="517" t="s">
        <v>1849</v>
      </c>
      <c r="G200" s="188" t="s">
        <v>2571</v>
      </c>
      <c r="H200" s="518"/>
      <c r="I200" s="522" t="s">
        <v>1736</v>
      </c>
      <c r="J200" s="183" t="s">
        <v>1737</v>
      </c>
      <c r="K200" s="183" t="s">
        <v>1737</v>
      </c>
      <c r="L200" s="523"/>
      <c r="M200" s="523"/>
      <c r="N200" s="524"/>
      <c r="O200" s="523"/>
      <c r="P200" s="525"/>
      <c r="Q200" s="525"/>
      <c r="R200" s="525"/>
      <c r="S200" s="523"/>
      <c r="T200" s="526"/>
      <c r="U200" s="153"/>
      <c r="V200" s="153"/>
      <c r="W200" s="153"/>
      <c r="X200" s="153"/>
      <c r="Y200" s="153"/>
      <c r="Z200" s="153"/>
    </row>
    <row r="201" spans="1:26">
      <c r="A201" s="774"/>
      <c r="B201" s="158" t="s">
        <v>2572</v>
      </c>
      <c r="C201" s="158" t="s">
        <v>2090</v>
      </c>
      <c r="D201" s="158" t="s">
        <v>2573</v>
      </c>
      <c r="E201" s="158" t="s">
        <v>1732</v>
      </c>
      <c r="F201" s="158" t="s">
        <v>1849</v>
      </c>
      <c r="G201" s="158" t="s">
        <v>2574</v>
      </c>
      <c r="H201" s="158" t="s">
        <v>2575</v>
      </c>
      <c r="I201" s="513" t="s">
        <v>1736</v>
      </c>
      <c r="J201" s="317" t="s">
        <v>1737</v>
      </c>
      <c r="K201" s="317" t="s">
        <v>1737</v>
      </c>
      <c r="L201" s="477"/>
      <c r="M201" s="477"/>
      <c r="N201" s="520"/>
      <c r="O201" s="477"/>
      <c r="P201" s="155"/>
      <c r="Q201" s="155"/>
      <c r="R201" s="155"/>
      <c r="S201" s="477"/>
      <c r="T201" s="521"/>
      <c r="U201" s="153"/>
      <c r="V201" s="153"/>
      <c r="W201" s="153"/>
      <c r="X201" s="153"/>
      <c r="Y201" s="153"/>
      <c r="Z201" s="153"/>
    </row>
    <row r="202" spans="1:26">
      <c r="A202" s="774"/>
      <c r="B202" s="517" t="s">
        <v>2576</v>
      </c>
      <c r="C202" s="517" t="s">
        <v>2090</v>
      </c>
      <c r="D202" s="517" t="s">
        <v>2577</v>
      </c>
      <c r="E202" s="517" t="s">
        <v>1732</v>
      </c>
      <c r="F202" s="517" t="s">
        <v>1849</v>
      </c>
      <c r="G202" s="517" t="s">
        <v>2578</v>
      </c>
      <c r="H202" s="518"/>
      <c r="I202" s="522" t="s">
        <v>1736</v>
      </c>
      <c r="J202" s="183" t="s">
        <v>1737</v>
      </c>
      <c r="K202" s="183" t="s">
        <v>1737</v>
      </c>
      <c r="L202" s="523"/>
      <c r="M202" s="523"/>
      <c r="N202" s="524"/>
      <c r="O202" s="523"/>
      <c r="P202" s="525"/>
      <c r="Q202" s="525"/>
      <c r="R202" s="525"/>
      <c r="S202" s="523"/>
      <c r="T202" s="526"/>
      <c r="U202" s="153"/>
      <c r="V202" s="153"/>
      <c r="W202" s="153"/>
      <c r="X202" s="153"/>
      <c r="Y202" s="153"/>
      <c r="Z202" s="153"/>
    </row>
    <row r="203" spans="1:26">
      <c r="A203" s="774"/>
      <c r="B203" s="517" t="s">
        <v>2579</v>
      </c>
      <c r="C203" s="517" t="s">
        <v>2090</v>
      </c>
      <c r="D203" s="517" t="s">
        <v>2580</v>
      </c>
      <c r="E203" s="517" t="s">
        <v>1732</v>
      </c>
      <c r="F203" s="517" t="s">
        <v>1849</v>
      </c>
      <c r="G203" s="517" t="s">
        <v>2581</v>
      </c>
      <c r="H203" s="518"/>
      <c r="I203" s="522" t="s">
        <v>1736</v>
      </c>
      <c r="J203" s="183" t="s">
        <v>1737</v>
      </c>
      <c r="K203" s="183" t="s">
        <v>1737</v>
      </c>
      <c r="L203" s="523"/>
      <c r="M203" s="523"/>
      <c r="N203" s="524"/>
      <c r="O203" s="523"/>
      <c r="P203" s="525"/>
      <c r="Q203" s="525"/>
      <c r="R203" s="525"/>
      <c r="S203" s="523"/>
      <c r="T203" s="526"/>
      <c r="U203" s="153"/>
      <c r="V203" s="153"/>
      <c r="W203" s="153"/>
      <c r="X203" s="153"/>
      <c r="Y203" s="153"/>
      <c r="Z203" s="153"/>
    </row>
    <row r="204" spans="1:26">
      <c r="A204" s="774"/>
      <c r="B204" s="517" t="s">
        <v>2582</v>
      </c>
      <c r="C204" s="517" t="s">
        <v>2090</v>
      </c>
      <c r="D204" s="517" t="s">
        <v>2583</v>
      </c>
      <c r="E204" s="517" t="s">
        <v>1732</v>
      </c>
      <c r="F204" s="517" t="s">
        <v>1849</v>
      </c>
      <c r="G204" s="188" t="s">
        <v>2584</v>
      </c>
      <c r="H204" s="518"/>
      <c r="I204" s="522" t="s">
        <v>1736</v>
      </c>
      <c r="J204" s="183" t="s">
        <v>1737</v>
      </c>
      <c r="K204" s="183" t="s">
        <v>1737</v>
      </c>
      <c r="L204" s="523"/>
      <c r="M204" s="523"/>
      <c r="N204" s="524"/>
      <c r="O204" s="523"/>
      <c r="P204" s="525"/>
      <c r="Q204" s="525"/>
      <c r="R204" s="525"/>
      <c r="S204" s="523"/>
      <c r="T204" s="526"/>
      <c r="U204" s="153"/>
      <c r="V204" s="153"/>
      <c r="W204" s="153"/>
      <c r="X204" s="153"/>
      <c r="Y204" s="153"/>
      <c r="Z204" s="153"/>
    </row>
    <row r="205" spans="1:26">
      <c r="A205" s="774"/>
      <c r="B205" s="517" t="s">
        <v>2585</v>
      </c>
      <c r="C205" s="517" t="s">
        <v>2090</v>
      </c>
      <c r="D205" s="517" t="s">
        <v>2586</v>
      </c>
      <c r="E205" s="517" t="s">
        <v>1732</v>
      </c>
      <c r="F205" s="517" t="s">
        <v>1849</v>
      </c>
      <c r="G205" s="188" t="s">
        <v>2587</v>
      </c>
      <c r="H205" s="518"/>
      <c r="I205" s="522" t="s">
        <v>1736</v>
      </c>
      <c r="J205" s="183" t="s">
        <v>1737</v>
      </c>
      <c r="K205" s="183" t="s">
        <v>1737</v>
      </c>
      <c r="L205" s="523"/>
      <c r="M205" s="523"/>
      <c r="N205" s="524"/>
      <c r="O205" s="523"/>
      <c r="P205" s="525"/>
      <c r="Q205" s="525"/>
      <c r="R205" s="525"/>
      <c r="S205" s="523"/>
      <c r="T205" s="526"/>
      <c r="U205" s="153"/>
      <c r="V205" s="153"/>
      <c r="W205" s="153"/>
      <c r="X205" s="153"/>
      <c r="Y205" s="153"/>
      <c r="Z205" s="153"/>
    </row>
    <row r="206" spans="1:26">
      <c r="A206" s="774"/>
      <c r="B206" s="517" t="s">
        <v>2588</v>
      </c>
      <c r="C206" s="517" t="s">
        <v>2090</v>
      </c>
      <c r="D206" s="517" t="s">
        <v>2589</v>
      </c>
      <c r="E206" s="517" t="s">
        <v>1732</v>
      </c>
      <c r="F206" s="517" t="s">
        <v>1849</v>
      </c>
      <c r="G206" s="188" t="s">
        <v>2590</v>
      </c>
      <c r="H206" s="518"/>
      <c r="I206" s="522" t="s">
        <v>1736</v>
      </c>
      <c r="J206" s="183" t="s">
        <v>1737</v>
      </c>
      <c r="K206" s="183" t="s">
        <v>1737</v>
      </c>
      <c r="L206" s="523"/>
      <c r="M206" s="523"/>
      <c r="N206" s="524"/>
      <c r="O206" s="523"/>
      <c r="P206" s="525"/>
      <c r="Q206" s="525"/>
      <c r="R206" s="525"/>
      <c r="S206" s="523"/>
      <c r="T206" s="526"/>
      <c r="U206" s="153"/>
      <c r="V206" s="153"/>
      <c r="W206" s="153"/>
      <c r="X206" s="153"/>
      <c r="Y206" s="153"/>
      <c r="Z206" s="153"/>
    </row>
    <row r="207" spans="1:26">
      <c r="A207" s="774"/>
      <c r="B207" s="517" t="s">
        <v>2591</v>
      </c>
      <c r="C207" s="517" t="s">
        <v>2090</v>
      </c>
      <c r="D207" s="517" t="s">
        <v>2592</v>
      </c>
      <c r="E207" s="517" t="s">
        <v>1732</v>
      </c>
      <c r="F207" s="517" t="s">
        <v>1849</v>
      </c>
      <c r="G207" s="188" t="s">
        <v>2593</v>
      </c>
      <c r="H207" s="518"/>
      <c r="I207" s="522" t="s">
        <v>1736</v>
      </c>
      <c r="J207" s="183" t="s">
        <v>1737</v>
      </c>
      <c r="K207" s="183" t="s">
        <v>1737</v>
      </c>
      <c r="L207" s="523"/>
      <c r="M207" s="523"/>
      <c r="N207" s="524"/>
      <c r="O207" s="523"/>
      <c r="P207" s="525"/>
      <c r="Q207" s="525"/>
      <c r="R207" s="525"/>
      <c r="S207" s="523"/>
      <c r="T207" s="526"/>
      <c r="U207" s="153"/>
      <c r="V207" s="153"/>
      <c r="W207" s="153"/>
      <c r="X207" s="153"/>
      <c r="Y207" s="153"/>
      <c r="Z207" s="153"/>
    </row>
    <row r="208" spans="1:26">
      <c r="A208" s="774"/>
      <c r="B208" s="517" t="s">
        <v>2594</v>
      </c>
      <c r="C208" s="517" t="s">
        <v>2090</v>
      </c>
      <c r="D208" s="517" t="s">
        <v>2595</v>
      </c>
      <c r="E208" s="517" t="s">
        <v>1732</v>
      </c>
      <c r="F208" s="517" t="s">
        <v>1849</v>
      </c>
      <c r="G208" s="188" t="s">
        <v>2596</v>
      </c>
      <c r="H208" s="518"/>
      <c r="I208" s="522" t="s">
        <v>1736</v>
      </c>
      <c r="J208" s="183" t="s">
        <v>1737</v>
      </c>
      <c r="K208" s="183" t="s">
        <v>1737</v>
      </c>
      <c r="L208" s="523"/>
      <c r="M208" s="523"/>
      <c r="N208" s="524"/>
      <c r="O208" s="523"/>
      <c r="P208" s="525"/>
      <c r="Q208" s="525"/>
      <c r="R208" s="525"/>
      <c r="S208" s="523"/>
      <c r="T208" s="526"/>
      <c r="U208" s="153"/>
      <c r="V208" s="153"/>
      <c r="W208" s="153"/>
      <c r="X208" s="153"/>
      <c r="Y208" s="153"/>
      <c r="Z208" s="153"/>
    </row>
    <row r="209" spans="1:26">
      <c r="A209" s="774"/>
      <c r="B209" s="517" t="s">
        <v>2597</v>
      </c>
      <c r="C209" s="517" t="s">
        <v>2090</v>
      </c>
      <c r="D209" s="517" t="s">
        <v>2598</v>
      </c>
      <c r="E209" s="517" t="s">
        <v>1732</v>
      </c>
      <c r="F209" s="517" t="s">
        <v>1849</v>
      </c>
      <c r="G209" s="188" t="s">
        <v>2599</v>
      </c>
      <c r="H209" s="518"/>
      <c r="I209" s="522" t="s">
        <v>1736</v>
      </c>
      <c r="J209" s="183" t="s">
        <v>1737</v>
      </c>
      <c r="K209" s="183" t="s">
        <v>1737</v>
      </c>
      <c r="L209" s="523"/>
      <c r="M209" s="523"/>
      <c r="N209" s="524"/>
      <c r="O209" s="523"/>
      <c r="P209" s="525"/>
      <c r="Q209" s="525"/>
      <c r="R209" s="525"/>
      <c r="S209" s="523"/>
      <c r="T209" s="526"/>
      <c r="U209" s="153"/>
      <c r="V209" s="153"/>
      <c r="W209" s="153"/>
      <c r="X209" s="153"/>
      <c r="Y209" s="153"/>
      <c r="Z209" s="153"/>
    </row>
    <row r="210" spans="1:26">
      <c r="A210" s="774"/>
      <c r="B210" s="517" t="s">
        <v>2600</v>
      </c>
      <c r="C210" s="517" t="s">
        <v>2090</v>
      </c>
      <c r="D210" s="517" t="s">
        <v>2601</v>
      </c>
      <c r="E210" s="517" t="s">
        <v>1732</v>
      </c>
      <c r="F210" s="517" t="s">
        <v>1849</v>
      </c>
      <c r="G210" s="188" t="s">
        <v>2602</v>
      </c>
      <c r="H210" s="518"/>
      <c r="I210" s="522" t="s">
        <v>1736</v>
      </c>
      <c r="J210" s="183" t="s">
        <v>1737</v>
      </c>
      <c r="K210" s="183" t="s">
        <v>1737</v>
      </c>
      <c r="L210" s="523"/>
      <c r="M210" s="523"/>
      <c r="N210" s="524"/>
      <c r="O210" s="523"/>
      <c r="P210" s="525"/>
      <c r="Q210" s="525"/>
      <c r="R210" s="525"/>
      <c r="S210" s="523"/>
      <c r="T210" s="526"/>
      <c r="U210" s="153"/>
      <c r="V210" s="153"/>
      <c r="W210" s="153"/>
      <c r="X210" s="153"/>
      <c r="Y210" s="153"/>
      <c r="Z210" s="153"/>
    </row>
    <row r="211" spans="1:26">
      <c r="A211" s="774"/>
      <c r="B211" s="517" t="s">
        <v>2603</v>
      </c>
      <c r="C211" s="517" t="s">
        <v>2090</v>
      </c>
      <c r="D211" s="517" t="s">
        <v>2604</v>
      </c>
      <c r="E211" s="517" t="s">
        <v>1732</v>
      </c>
      <c r="F211" s="517" t="s">
        <v>1849</v>
      </c>
      <c r="G211" s="188" t="s">
        <v>2605</v>
      </c>
      <c r="H211" s="518"/>
      <c r="I211" s="522" t="s">
        <v>1736</v>
      </c>
      <c r="J211" s="183" t="s">
        <v>1737</v>
      </c>
      <c r="K211" s="183" t="s">
        <v>1737</v>
      </c>
      <c r="L211" s="523"/>
      <c r="M211" s="523"/>
      <c r="N211" s="524"/>
      <c r="O211" s="523"/>
      <c r="P211" s="525"/>
      <c r="Q211" s="525"/>
      <c r="R211" s="525"/>
      <c r="S211" s="523"/>
      <c r="T211" s="526"/>
      <c r="U211" s="153"/>
      <c r="V211" s="153"/>
      <c r="W211" s="153"/>
      <c r="X211" s="153"/>
      <c r="Y211" s="153"/>
      <c r="Z211" s="153"/>
    </row>
    <row r="212" spans="1:26">
      <c r="A212" s="774"/>
      <c r="B212" s="517" t="s">
        <v>2606</v>
      </c>
      <c r="C212" s="517" t="s">
        <v>2090</v>
      </c>
      <c r="D212" s="517" t="s">
        <v>2607</v>
      </c>
      <c r="E212" s="517" t="s">
        <v>1732</v>
      </c>
      <c r="F212" s="517" t="s">
        <v>1849</v>
      </c>
      <c r="G212" s="188" t="s">
        <v>2608</v>
      </c>
      <c r="H212" s="518"/>
      <c r="I212" s="522" t="s">
        <v>1736</v>
      </c>
      <c r="J212" s="183" t="s">
        <v>1737</v>
      </c>
      <c r="K212" s="183" t="s">
        <v>1737</v>
      </c>
      <c r="L212" s="523"/>
      <c r="M212" s="523"/>
      <c r="N212" s="524"/>
      <c r="O212" s="523"/>
      <c r="P212" s="525"/>
      <c r="Q212" s="525"/>
      <c r="R212" s="525"/>
      <c r="S212" s="523"/>
      <c r="T212" s="526"/>
      <c r="U212" s="153"/>
      <c r="V212" s="153"/>
      <c r="W212" s="153"/>
      <c r="X212" s="153"/>
      <c r="Y212" s="153"/>
      <c r="Z212" s="153"/>
    </row>
    <row r="213" spans="1:26">
      <c r="A213" s="774"/>
      <c r="B213" s="517" t="s">
        <v>2609</v>
      </c>
      <c r="C213" s="517" t="s">
        <v>2090</v>
      </c>
      <c r="D213" s="517" t="s">
        <v>2610</v>
      </c>
      <c r="E213" s="517" t="s">
        <v>1732</v>
      </c>
      <c r="F213" s="517" t="s">
        <v>1849</v>
      </c>
      <c r="G213" s="188" t="s">
        <v>2611</v>
      </c>
      <c r="H213" s="518"/>
      <c r="I213" s="522" t="s">
        <v>1736</v>
      </c>
      <c r="J213" s="183" t="s">
        <v>1737</v>
      </c>
      <c r="K213" s="183" t="s">
        <v>1737</v>
      </c>
      <c r="L213" s="523"/>
      <c r="M213" s="523"/>
      <c r="N213" s="524"/>
      <c r="O213" s="523"/>
      <c r="P213" s="525"/>
      <c r="Q213" s="525"/>
      <c r="R213" s="525"/>
      <c r="S213" s="523"/>
      <c r="T213" s="526"/>
      <c r="U213" s="153"/>
      <c r="V213" s="153"/>
      <c r="W213" s="153"/>
      <c r="X213" s="153"/>
      <c r="Y213" s="153"/>
      <c r="Z213" s="153"/>
    </row>
    <row r="214" spans="1:26">
      <c r="A214" s="774"/>
      <c r="B214" s="517" t="s">
        <v>2612</v>
      </c>
      <c r="C214" s="517" t="s">
        <v>2090</v>
      </c>
      <c r="D214" s="517" t="s">
        <v>2613</v>
      </c>
      <c r="E214" s="517" t="s">
        <v>1732</v>
      </c>
      <c r="F214" s="517" t="s">
        <v>1849</v>
      </c>
      <c r="G214" s="188" t="s">
        <v>2614</v>
      </c>
      <c r="H214" s="518"/>
      <c r="I214" s="522" t="s">
        <v>1736</v>
      </c>
      <c r="J214" s="183" t="s">
        <v>1737</v>
      </c>
      <c r="K214" s="183" t="s">
        <v>1737</v>
      </c>
      <c r="L214" s="523"/>
      <c r="M214" s="523"/>
      <c r="N214" s="524"/>
      <c r="O214" s="523"/>
      <c r="P214" s="525"/>
      <c r="Q214" s="525"/>
      <c r="R214" s="525"/>
      <c r="S214" s="523"/>
      <c r="T214" s="526"/>
      <c r="U214" s="153"/>
      <c r="V214" s="153"/>
      <c r="W214" s="153"/>
      <c r="X214" s="153"/>
      <c r="Y214" s="153"/>
      <c r="Z214" s="153"/>
    </row>
    <row r="215" spans="1:26">
      <c r="A215" s="774"/>
      <c r="B215" s="517" t="s">
        <v>2615</v>
      </c>
      <c r="C215" s="517" t="s">
        <v>2090</v>
      </c>
      <c r="D215" s="517" t="s">
        <v>2616</v>
      </c>
      <c r="E215" s="517" t="s">
        <v>1732</v>
      </c>
      <c r="F215" s="517" t="s">
        <v>1849</v>
      </c>
      <c r="G215" s="188" t="s">
        <v>2617</v>
      </c>
      <c r="H215" s="518"/>
      <c r="I215" s="522" t="s">
        <v>1736</v>
      </c>
      <c r="J215" s="183" t="s">
        <v>1737</v>
      </c>
      <c r="K215" s="183" t="s">
        <v>1737</v>
      </c>
      <c r="L215" s="523"/>
      <c r="M215" s="523"/>
      <c r="N215" s="524"/>
      <c r="O215" s="523"/>
      <c r="P215" s="525"/>
      <c r="Q215" s="525"/>
      <c r="R215" s="525"/>
      <c r="S215" s="523"/>
      <c r="T215" s="526"/>
      <c r="U215" s="153"/>
      <c r="V215" s="153"/>
      <c r="W215" s="153"/>
      <c r="X215" s="153"/>
      <c r="Y215" s="153"/>
      <c r="Z215" s="153"/>
    </row>
    <row r="216" spans="1:26">
      <c r="A216" s="774"/>
      <c r="B216" s="158" t="s">
        <v>2618</v>
      </c>
      <c r="C216" s="158" t="s">
        <v>2090</v>
      </c>
      <c r="D216" s="158" t="s">
        <v>2619</v>
      </c>
      <c r="E216" s="158" t="s">
        <v>1732</v>
      </c>
      <c r="F216" s="158" t="s">
        <v>1849</v>
      </c>
      <c r="G216" s="187" t="s">
        <v>2620</v>
      </c>
      <c r="H216" s="158" t="s">
        <v>2621</v>
      </c>
      <c r="I216" s="513" t="s">
        <v>1736</v>
      </c>
      <c r="J216" s="317" t="s">
        <v>1737</v>
      </c>
      <c r="K216" s="317" t="s">
        <v>1737</v>
      </c>
      <c r="L216" s="477"/>
      <c r="M216" s="477"/>
      <c r="N216" s="520"/>
      <c r="O216" s="477"/>
      <c r="P216" s="155"/>
      <c r="Q216" s="155"/>
      <c r="R216" s="155"/>
      <c r="S216" s="477"/>
      <c r="T216" s="521"/>
      <c r="U216" s="153"/>
      <c r="V216" s="153"/>
      <c r="W216" s="153"/>
      <c r="X216" s="153"/>
      <c r="Y216" s="153"/>
      <c r="Z216" s="153"/>
    </row>
    <row r="217" spans="1:26">
      <c r="A217" s="774"/>
      <c r="B217" s="517" t="s">
        <v>2622</v>
      </c>
      <c r="C217" s="517" t="s">
        <v>2090</v>
      </c>
      <c r="D217" s="517" t="s">
        <v>2623</v>
      </c>
      <c r="E217" s="517" t="s">
        <v>1732</v>
      </c>
      <c r="F217" s="517" t="s">
        <v>1849</v>
      </c>
      <c r="G217" s="188" t="s">
        <v>2624</v>
      </c>
      <c r="H217" s="518"/>
      <c r="I217" s="522" t="s">
        <v>1736</v>
      </c>
      <c r="J217" s="183" t="s">
        <v>1737</v>
      </c>
      <c r="K217" s="183" t="s">
        <v>1737</v>
      </c>
      <c r="L217" s="523"/>
      <c r="M217" s="523"/>
      <c r="N217" s="524"/>
      <c r="O217" s="523"/>
      <c r="P217" s="525"/>
      <c r="Q217" s="525"/>
      <c r="R217" s="525"/>
      <c r="S217" s="523"/>
      <c r="T217" s="526"/>
      <c r="U217" s="153"/>
      <c r="V217" s="153"/>
      <c r="W217" s="153"/>
      <c r="X217" s="153"/>
      <c r="Y217" s="153"/>
      <c r="Z217" s="153"/>
    </row>
    <row r="218" spans="1:26">
      <c r="A218" s="774"/>
      <c r="B218" s="517" t="s">
        <v>2625</v>
      </c>
      <c r="C218" s="517" t="s">
        <v>2090</v>
      </c>
      <c r="D218" s="517" t="s">
        <v>2626</v>
      </c>
      <c r="E218" s="517" t="s">
        <v>1732</v>
      </c>
      <c r="F218" s="517" t="s">
        <v>1849</v>
      </c>
      <c r="G218" s="188" t="s">
        <v>2627</v>
      </c>
      <c r="H218" s="518"/>
      <c r="I218" s="522" t="s">
        <v>1736</v>
      </c>
      <c r="J218" s="183" t="s">
        <v>1737</v>
      </c>
      <c r="K218" s="183" t="s">
        <v>1737</v>
      </c>
      <c r="L218" s="523"/>
      <c r="M218" s="523"/>
      <c r="N218" s="524"/>
      <c r="O218" s="523"/>
      <c r="P218" s="525"/>
      <c r="Q218" s="525"/>
      <c r="R218" s="525"/>
      <c r="S218" s="523"/>
      <c r="T218" s="526"/>
      <c r="U218" s="153"/>
      <c r="V218" s="153"/>
      <c r="W218" s="153"/>
      <c r="X218" s="153"/>
      <c r="Y218" s="153"/>
      <c r="Z218" s="153"/>
    </row>
    <row r="219" spans="1:26">
      <c r="A219" s="774"/>
      <c r="B219" s="517" t="s">
        <v>2628</v>
      </c>
      <c r="C219" s="517" t="s">
        <v>2090</v>
      </c>
      <c r="D219" s="517" t="s">
        <v>2629</v>
      </c>
      <c r="E219" s="517" t="s">
        <v>1732</v>
      </c>
      <c r="F219" s="517" t="s">
        <v>1849</v>
      </c>
      <c r="G219" s="188" t="s">
        <v>2630</v>
      </c>
      <c r="H219" s="518"/>
      <c r="I219" s="522" t="s">
        <v>1736</v>
      </c>
      <c r="J219" s="183" t="s">
        <v>1737</v>
      </c>
      <c r="K219" s="183" t="s">
        <v>1737</v>
      </c>
      <c r="L219" s="523"/>
      <c r="M219" s="523"/>
      <c r="N219" s="524"/>
      <c r="O219" s="523"/>
      <c r="P219" s="525"/>
      <c r="Q219" s="525"/>
      <c r="R219" s="525"/>
      <c r="S219" s="523"/>
      <c r="T219" s="526"/>
      <c r="U219" s="153"/>
      <c r="V219" s="153"/>
      <c r="W219" s="153"/>
      <c r="X219" s="153"/>
      <c r="Y219" s="153"/>
      <c r="Z219" s="153"/>
    </row>
    <row r="220" spans="1:26">
      <c r="A220" s="774"/>
      <c r="B220" s="517" t="s">
        <v>2631</v>
      </c>
      <c r="C220" s="517" t="s">
        <v>2090</v>
      </c>
      <c r="D220" s="517" t="s">
        <v>2632</v>
      </c>
      <c r="E220" s="517" t="s">
        <v>1732</v>
      </c>
      <c r="F220" s="517" t="s">
        <v>1849</v>
      </c>
      <c r="G220" s="188" t="s">
        <v>2633</v>
      </c>
      <c r="H220" s="518"/>
      <c r="I220" s="522" t="s">
        <v>1736</v>
      </c>
      <c r="J220" s="183" t="s">
        <v>1737</v>
      </c>
      <c r="K220" s="183" t="s">
        <v>1737</v>
      </c>
      <c r="L220" s="523"/>
      <c r="M220" s="523"/>
      <c r="N220" s="524"/>
      <c r="O220" s="523"/>
      <c r="P220" s="525"/>
      <c r="Q220" s="525"/>
      <c r="R220" s="525"/>
      <c r="S220" s="523"/>
      <c r="T220" s="526"/>
      <c r="U220" s="153"/>
      <c r="V220" s="153"/>
      <c r="W220" s="153"/>
      <c r="X220" s="153"/>
      <c r="Y220" s="153"/>
      <c r="Z220" s="153"/>
    </row>
    <row r="221" spans="1:26">
      <c r="A221" s="774"/>
      <c r="B221" s="517" t="s">
        <v>2634</v>
      </c>
      <c r="C221" s="517" t="s">
        <v>2090</v>
      </c>
      <c r="D221" s="517" t="s">
        <v>2635</v>
      </c>
      <c r="E221" s="517" t="s">
        <v>1732</v>
      </c>
      <c r="F221" s="517" t="s">
        <v>1849</v>
      </c>
      <c r="G221" s="188" t="s">
        <v>2636</v>
      </c>
      <c r="H221" s="518"/>
      <c r="I221" s="522" t="s">
        <v>1736</v>
      </c>
      <c r="J221" s="183" t="s">
        <v>1737</v>
      </c>
      <c r="K221" s="183" t="s">
        <v>1737</v>
      </c>
      <c r="L221" s="523"/>
      <c r="M221" s="523"/>
      <c r="N221" s="524"/>
      <c r="O221" s="523"/>
      <c r="P221" s="525"/>
      <c r="Q221" s="525"/>
      <c r="R221" s="525"/>
      <c r="S221" s="523"/>
      <c r="T221" s="526"/>
      <c r="U221" s="153"/>
      <c r="V221" s="153"/>
      <c r="W221" s="153"/>
      <c r="X221" s="153"/>
      <c r="Y221" s="153"/>
      <c r="Z221" s="153"/>
    </row>
    <row r="222" spans="1:26">
      <c r="A222" s="774"/>
      <c r="B222" s="517" t="s">
        <v>2637</v>
      </c>
      <c r="C222" s="517" t="s">
        <v>2090</v>
      </c>
      <c r="D222" s="517" t="s">
        <v>2638</v>
      </c>
      <c r="E222" s="517" t="s">
        <v>1732</v>
      </c>
      <c r="F222" s="517" t="s">
        <v>1849</v>
      </c>
      <c r="G222" s="188" t="s">
        <v>2639</v>
      </c>
      <c r="H222" s="518"/>
      <c r="I222" s="522" t="s">
        <v>1736</v>
      </c>
      <c r="J222" s="183" t="s">
        <v>1737</v>
      </c>
      <c r="K222" s="183" t="s">
        <v>1737</v>
      </c>
      <c r="L222" s="523"/>
      <c r="M222" s="523"/>
      <c r="N222" s="524"/>
      <c r="O222" s="523"/>
      <c r="P222" s="525"/>
      <c r="Q222" s="525"/>
      <c r="R222" s="525"/>
      <c r="S222" s="523"/>
      <c r="T222" s="526"/>
      <c r="U222" s="153"/>
      <c r="V222" s="153"/>
      <c r="W222" s="153"/>
      <c r="X222" s="153"/>
      <c r="Y222" s="153"/>
      <c r="Z222" s="153"/>
    </row>
    <row r="223" spans="1:26">
      <c r="A223" s="774"/>
      <c r="B223" s="517" t="s">
        <v>2640</v>
      </c>
      <c r="C223" s="517" t="s">
        <v>2090</v>
      </c>
      <c r="D223" s="517" t="s">
        <v>2641</v>
      </c>
      <c r="E223" s="517" t="s">
        <v>1732</v>
      </c>
      <c r="F223" s="517" t="s">
        <v>1849</v>
      </c>
      <c r="G223" s="188" t="s">
        <v>2642</v>
      </c>
      <c r="H223" s="518"/>
      <c r="I223" s="522" t="s">
        <v>1736</v>
      </c>
      <c r="J223" s="183" t="s">
        <v>1737</v>
      </c>
      <c r="K223" s="183" t="s">
        <v>1737</v>
      </c>
      <c r="L223" s="523"/>
      <c r="M223" s="523"/>
      <c r="N223" s="524"/>
      <c r="O223" s="523"/>
      <c r="P223" s="525"/>
      <c r="Q223" s="525"/>
      <c r="R223" s="525"/>
      <c r="S223" s="523"/>
      <c r="T223" s="526"/>
      <c r="U223" s="153"/>
      <c r="V223" s="153"/>
      <c r="W223" s="153"/>
      <c r="X223" s="153"/>
      <c r="Y223" s="153"/>
      <c r="Z223" s="153"/>
    </row>
    <row r="224" spans="1:26">
      <c r="A224" s="774"/>
      <c r="B224" s="517" t="s">
        <v>2643</v>
      </c>
      <c r="C224" s="517" t="s">
        <v>2090</v>
      </c>
      <c r="D224" s="517" t="s">
        <v>2644</v>
      </c>
      <c r="E224" s="517" t="s">
        <v>1732</v>
      </c>
      <c r="F224" s="517" t="s">
        <v>1849</v>
      </c>
      <c r="G224" s="188" t="s">
        <v>2645</v>
      </c>
      <c r="H224" s="518"/>
      <c r="I224" s="522" t="s">
        <v>1736</v>
      </c>
      <c r="J224" s="183" t="s">
        <v>1737</v>
      </c>
      <c r="K224" s="183" t="s">
        <v>1737</v>
      </c>
      <c r="L224" s="523"/>
      <c r="M224" s="523"/>
      <c r="N224" s="524"/>
      <c r="O224" s="523"/>
      <c r="P224" s="525"/>
      <c r="Q224" s="525"/>
      <c r="R224" s="525"/>
      <c r="S224" s="523"/>
      <c r="T224" s="526"/>
      <c r="U224" s="153"/>
      <c r="V224" s="153"/>
      <c r="W224" s="153"/>
      <c r="X224" s="153"/>
      <c r="Y224" s="153"/>
      <c r="Z224" s="153"/>
    </row>
    <row r="225" spans="1:26">
      <c r="A225" s="774"/>
      <c r="B225" s="517" t="s">
        <v>2646</v>
      </c>
      <c r="C225" s="517" t="s">
        <v>2090</v>
      </c>
      <c r="D225" s="517" t="s">
        <v>2647</v>
      </c>
      <c r="E225" s="517" t="s">
        <v>1732</v>
      </c>
      <c r="F225" s="517" t="s">
        <v>1849</v>
      </c>
      <c r="G225" s="188" t="s">
        <v>2648</v>
      </c>
      <c r="H225" s="518"/>
      <c r="I225" s="522" t="s">
        <v>1736</v>
      </c>
      <c r="J225" s="183" t="s">
        <v>1737</v>
      </c>
      <c r="K225" s="183" t="s">
        <v>1737</v>
      </c>
      <c r="L225" s="523"/>
      <c r="M225" s="523"/>
      <c r="N225" s="524"/>
      <c r="O225" s="523"/>
      <c r="P225" s="525"/>
      <c r="Q225" s="525"/>
      <c r="R225" s="525"/>
      <c r="S225" s="523"/>
      <c r="T225" s="526"/>
      <c r="U225" s="153"/>
      <c r="V225" s="153"/>
      <c r="W225" s="153"/>
      <c r="X225" s="153"/>
      <c r="Y225" s="153"/>
      <c r="Z225" s="153"/>
    </row>
    <row r="226" spans="1:26">
      <c r="A226" s="774"/>
      <c r="B226" s="517" t="s">
        <v>2649</v>
      </c>
      <c r="C226" s="517" t="s">
        <v>2090</v>
      </c>
      <c r="D226" s="517" t="s">
        <v>2650</v>
      </c>
      <c r="E226" s="517" t="s">
        <v>1732</v>
      </c>
      <c r="F226" s="517" t="s">
        <v>1849</v>
      </c>
      <c r="G226" s="188" t="s">
        <v>2651</v>
      </c>
      <c r="H226" s="518"/>
      <c r="I226" s="522" t="s">
        <v>1736</v>
      </c>
      <c r="J226" s="183" t="s">
        <v>1737</v>
      </c>
      <c r="K226" s="183" t="s">
        <v>1737</v>
      </c>
      <c r="L226" s="523"/>
      <c r="M226" s="523"/>
      <c r="N226" s="524"/>
      <c r="O226" s="523"/>
      <c r="P226" s="525"/>
      <c r="Q226" s="525"/>
      <c r="R226" s="525"/>
      <c r="S226" s="523"/>
      <c r="T226" s="526"/>
      <c r="U226" s="153"/>
      <c r="V226" s="153"/>
      <c r="W226" s="153"/>
      <c r="X226" s="153"/>
      <c r="Y226" s="153"/>
      <c r="Z226" s="153"/>
    </row>
    <row r="227" spans="1:26">
      <c r="A227" s="774"/>
      <c r="B227" s="517" t="s">
        <v>2652</v>
      </c>
      <c r="C227" s="517" t="s">
        <v>2090</v>
      </c>
      <c r="D227" s="517" t="s">
        <v>2653</v>
      </c>
      <c r="E227" s="517" t="s">
        <v>1732</v>
      </c>
      <c r="F227" s="517" t="s">
        <v>1849</v>
      </c>
      <c r="G227" s="188" t="s">
        <v>2654</v>
      </c>
      <c r="H227" s="518"/>
      <c r="I227" s="522" t="s">
        <v>1736</v>
      </c>
      <c r="J227" s="183" t="s">
        <v>1737</v>
      </c>
      <c r="K227" s="183" t="s">
        <v>1737</v>
      </c>
      <c r="L227" s="523"/>
      <c r="M227" s="523"/>
      <c r="N227" s="524"/>
      <c r="O227" s="523"/>
      <c r="P227" s="525"/>
      <c r="Q227" s="525"/>
      <c r="R227" s="525"/>
      <c r="S227" s="523"/>
      <c r="T227" s="526"/>
      <c r="U227" s="153"/>
      <c r="V227" s="153"/>
      <c r="W227" s="153"/>
      <c r="X227" s="153"/>
      <c r="Y227" s="153"/>
      <c r="Z227" s="153"/>
    </row>
    <row r="228" spans="1:26">
      <c r="A228" s="774"/>
      <c r="B228" s="517" t="s">
        <v>2655</v>
      </c>
      <c r="C228" s="517" t="s">
        <v>2090</v>
      </c>
      <c r="D228" s="517" t="s">
        <v>2656</v>
      </c>
      <c r="E228" s="517" t="s">
        <v>1732</v>
      </c>
      <c r="F228" s="517" t="s">
        <v>1849</v>
      </c>
      <c r="G228" s="188" t="s">
        <v>2657</v>
      </c>
      <c r="H228" s="518"/>
      <c r="I228" s="522" t="s">
        <v>1736</v>
      </c>
      <c r="J228" s="183" t="s">
        <v>1737</v>
      </c>
      <c r="K228" s="183" t="s">
        <v>1737</v>
      </c>
      <c r="L228" s="523"/>
      <c r="M228" s="523"/>
      <c r="N228" s="524"/>
      <c r="O228" s="523"/>
      <c r="P228" s="525"/>
      <c r="Q228" s="525"/>
      <c r="R228" s="525"/>
      <c r="S228" s="523"/>
      <c r="T228" s="526"/>
      <c r="U228" s="153"/>
      <c r="V228" s="153"/>
      <c r="W228" s="153"/>
      <c r="X228" s="153"/>
      <c r="Y228" s="153"/>
      <c r="Z228" s="153"/>
    </row>
    <row r="229" spans="1:26">
      <c r="A229" s="774"/>
      <c r="B229" s="517" t="s">
        <v>2658</v>
      </c>
      <c r="C229" s="517" t="s">
        <v>2090</v>
      </c>
      <c r="D229" s="517" t="s">
        <v>2659</v>
      </c>
      <c r="E229" s="517" t="s">
        <v>1732</v>
      </c>
      <c r="F229" s="517" t="s">
        <v>1849</v>
      </c>
      <c r="G229" s="188" t="s">
        <v>2660</v>
      </c>
      <c r="H229" s="518"/>
      <c r="I229" s="522" t="s">
        <v>1736</v>
      </c>
      <c r="J229" s="183" t="s">
        <v>1737</v>
      </c>
      <c r="K229" s="183" t="s">
        <v>1737</v>
      </c>
      <c r="L229" s="523"/>
      <c r="M229" s="523"/>
      <c r="N229" s="524"/>
      <c r="O229" s="523"/>
      <c r="P229" s="525"/>
      <c r="Q229" s="525"/>
      <c r="R229" s="525"/>
      <c r="S229" s="523"/>
      <c r="T229" s="526"/>
      <c r="U229" s="153"/>
      <c r="V229" s="153"/>
      <c r="W229" s="153"/>
      <c r="X229" s="153"/>
      <c r="Y229" s="153"/>
      <c r="Z229" s="153"/>
    </row>
    <row r="230" spans="1:26">
      <c r="A230" s="774"/>
      <c r="B230" s="517" t="s">
        <v>2661</v>
      </c>
      <c r="C230" s="517" t="s">
        <v>2090</v>
      </c>
      <c r="D230" s="517" t="s">
        <v>2662</v>
      </c>
      <c r="E230" s="517" t="s">
        <v>1732</v>
      </c>
      <c r="F230" s="517" t="s">
        <v>1849</v>
      </c>
      <c r="G230" s="188" t="s">
        <v>2663</v>
      </c>
      <c r="H230" s="518"/>
      <c r="I230" s="522" t="s">
        <v>1736</v>
      </c>
      <c r="J230" s="183" t="s">
        <v>1737</v>
      </c>
      <c r="K230" s="183" t="s">
        <v>1737</v>
      </c>
      <c r="L230" s="523"/>
      <c r="M230" s="523"/>
      <c r="N230" s="524"/>
      <c r="O230" s="523"/>
      <c r="P230" s="525"/>
      <c r="Q230" s="525"/>
      <c r="R230" s="525"/>
      <c r="S230" s="523"/>
      <c r="T230" s="526"/>
      <c r="U230" s="153"/>
      <c r="V230" s="153"/>
      <c r="W230" s="153"/>
      <c r="X230" s="153"/>
      <c r="Y230" s="153"/>
      <c r="Z230" s="153"/>
    </row>
    <row r="231" spans="1:26">
      <c r="A231" s="774"/>
      <c r="B231" s="517" t="s">
        <v>2664</v>
      </c>
      <c r="C231" s="517" t="s">
        <v>2090</v>
      </c>
      <c r="D231" s="517" t="s">
        <v>2665</v>
      </c>
      <c r="E231" s="517" t="s">
        <v>1732</v>
      </c>
      <c r="F231" s="517" t="s">
        <v>1849</v>
      </c>
      <c r="G231" s="188" t="s">
        <v>2666</v>
      </c>
      <c r="H231" s="518"/>
      <c r="I231" s="522" t="s">
        <v>1736</v>
      </c>
      <c r="J231" s="183" t="s">
        <v>1737</v>
      </c>
      <c r="K231" s="183" t="s">
        <v>1737</v>
      </c>
      <c r="L231" s="523"/>
      <c r="M231" s="523"/>
      <c r="N231" s="524"/>
      <c r="O231" s="523"/>
      <c r="P231" s="525"/>
      <c r="Q231" s="525"/>
      <c r="R231" s="525"/>
      <c r="S231" s="523"/>
      <c r="T231" s="526"/>
      <c r="U231" s="153"/>
      <c r="V231" s="153"/>
      <c r="W231" s="153"/>
      <c r="X231" s="153"/>
      <c r="Y231" s="153"/>
      <c r="Z231" s="153"/>
    </row>
    <row r="232" spans="1:26">
      <c r="A232" s="774"/>
      <c r="B232" s="517" t="s">
        <v>2667</v>
      </c>
      <c r="C232" s="517" t="s">
        <v>2090</v>
      </c>
      <c r="D232" s="517" t="s">
        <v>2668</v>
      </c>
      <c r="E232" s="517" t="s">
        <v>1732</v>
      </c>
      <c r="F232" s="517" t="s">
        <v>1849</v>
      </c>
      <c r="G232" s="188" t="s">
        <v>2669</v>
      </c>
      <c r="H232" s="518"/>
      <c r="I232" s="522" t="s">
        <v>1736</v>
      </c>
      <c r="J232" s="183" t="s">
        <v>1737</v>
      </c>
      <c r="K232" s="183" t="s">
        <v>1737</v>
      </c>
      <c r="L232" s="523"/>
      <c r="M232" s="523"/>
      <c r="N232" s="524"/>
      <c r="O232" s="523"/>
      <c r="P232" s="525"/>
      <c r="Q232" s="525"/>
      <c r="R232" s="525"/>
      <c r="S232" s="523"/>
      <c r="T232" s="526"/>
      <c r="U232" s="153"/>
      <c r="V232" s="153"/>
      <c r="W232" s="153"/>
      <c r="X232" s="153"/>
      <c r="Y232" s="153"/>
      <c r="Z232" s="153"/>
    </row>
    <row r="233" spans="1:26">
      <c r="A233" s="774"/>
      <c r="B233" s="517" t="s">
        <v>2670</v>
      </c>
      <c r="C233" s="517" t="s">
        <v>2090</v>
      </c>
      <c r="D233" s="517" t="s">
        <v>2671</v>
      </c>
      <c r="E233" s="517" t="s">
        <v>1732</v>
      </c>
      <c r="F233" s="517" t="s">
        <v>1849</v>
      </c>
      <c r="G233" s="188" t="s">
        <v>2672</v>
      </c>
      <c r="H233" s="518"/>
      <c r="I233" s="522" t="s">
        <v>1736</v>
      </c>
      <c r="J233" s="183" t="s">
        <v>1737</v>
      </c>
      <c r="K233" s="183" t="s">
        <v>1737</v>
      </c>
      <c r="L233" s="523"/>
      <c r="M233" s="523"/>
      <c r="N233" s="524"/>
      <c r="O233" s="523"/>
      <c r="P233" s="525"/>
      <c r="Q233" s="525"/>
      <c r="R233" s="525"/>
      <c r="S233" s="523"/>
      <c r="T233" s="526"/>
      <c r="U233" s="153"/>
      <c r="V233" s="153"/>
      <c r="W233" s="153"/>
      <c r="X233" s="153"/>
      <c r="Y233" s="153"/>
      <c r="Z233" s="153"/>
    </row>
    <row r="234" spans="1:26">
      <c r="A234" s="774"/>
      <c r="B234" s="517" t="s">
        <v>2673</v>
      </c>
      <c r="C234" s="517" t="s">
        <v>2090</v>
      </c>
      <c r="D234" s="517" t="s">
        <v>2674</v>
      </c>
      <c r="E234" s="517" t="s">
        <v>1732</v>
      </c>
      <c r="F234" s="517" t="s">
        <v>1849</v>
      </c>
      <c r="G234" s="188" t="s">
        <v>2675</v>
      </c>
      <c r="H234" s="518"/>
      <c r="I234" s="522" t="s">
        <v>1736</v>
      </c>
      <c r="J234" s="183" t="s">
        <v>1737</v>
      </c>
      <c r="K234" s="183" t="s">
        <v>1737</v>
      </c>
      <c r="L234" s="523"/>
      <c r="M234" s="523"/>
      <c r="N234" s="524"/>
      <c r="O234" s="523"/>
      <c r="P234" s="525"/>
      <c r="Q234" s="525"/>
      <c r="R234" s="525"/>
      <c r="S234" s="523"/>
      <c r="T234" s="526"/>
      <c r="U234" s="153"/>
      <c r="V234" s="153"/>
      <c r="W234" s="153"/>
      <c r="X234" s="153"/>
      <c r="Y234" s="153"/>
      <c r="Z234" s="153"/>
    </row>
    <row r="235" spans="1:26">
      <c r="A235" s="774"/>
      <c r="B235" s="517" t="s">
        <v>2676</v>
      </c>
      <c r="C235" s="517" t="s">
        <v>2090</v>
      </c>
      <c r="D235" s="517" t="s">
        <v>2677</v>
      </c>
      <c r="E235" s="517" t="s">
        <v>1732</v>
      </c>
      <c r="F235" s="517" t="s">
        <v>1849</v>
      </c>
      <c r="G235" s="188" t="s">
        <v>2678</v>
      </c>
      <c r="H235" s="518"/>
      <c r="I235" s="522" t="s">
        <v>1736</v>
      </c>
      <c r="J235" s="183" t="s">
        <v>1737</v>
      </c>
      <c r="K235" s="183" t="s">
        <v>1737</v>
      </c>
      <c r="L235" s="523"/>
      <c r="M235" s="523"/>
      <c r="N235" s="524"/>
      <c r="O235" s="523"/>
      <c r="P235" s="525"/>
      <c r="Q235" s="525"/>
      <c r="R235" s="525"/>
      <c r="S235" s="523"/>
      <c r="T235" s="526"/>
      <c r="U235" s="153"/>
      <c r="V235" s="153"/>
      <c r="W235" s="153"/>
      <c r="X235" s="153"/>
      <c r="Y235" s="153"/>
      <c r="Z235" s="153"/>
    </row>
    <row r="236" spans="1:26">
      <c r="A236" s="774"/>
      <c r="B236" s="517" t="s">
        <v>2679</v>
      </c>
      <c r="C236" s="517" t="s">
        <v>2090</v>
      </c>
      <c r="D236" s="517" t="s">
        <v>2680</v>
      </c>
      <c r="E236" s="517" t="s">
        <v>1732</v>
      </c>
      <c r="F236" s="517" t="s">
        <v>1849</v>
      </c>
      <c r="G236" s="188" t="s">
        <v>2681</v>
      </c>
      <c r="H236" s="518"/>
      <c r="I236" s="522" t="s">
        <v>1736</v>
      </c>
      <c r="J236" s="183" t="s">
        <v>1737</v>
      </c>
      <c r="K236" s="183" t="s">
        <v>1737</v>
      </c>
      <c r="L236" s="523"/>
      <c r="M236" s="523"/>
      <c r="N236" s="524"/>
      <c r="O236" s="523"/>
      <c r="P236" s="525"/>
      <c r="Q236" s="525"/>
      <c r="R236" s="525"/>
      <c r="S236" s="523"/>
      <c r="T236" s="526"/>
      <c r="U236" s="153"/>
      <c r="V236" s="153"/>
      <c r="W236" s="153"/>
      <c r="X236" s="153"/>
      <c r="Y236" s="153"/>
      <c r="Z236" s="153"/>
    </row>
    <row r="237" spans="1:26">
      <c r="A237" s="774"/>
      <c r="B237" s="158" t="s">
        <v>2682</v>
      </c>
      <c r="C237" s="158" t="s">
        <v>2090</v>
      </c>
      <c r="D237" s="158" t="s">
        <v>2683</v>
      </c>
      <c r="E237" s="158" t="s">
        <v>1732</v>
      </c>
      <c r="F237" s="158" t="s">
        <v>1849</v>
      </c>
      <c r="G237" s="187" t="s">
        <v>2684</v>
      </c>
      <c r="H237" s="158" t="s">
        <v>2685</v>
      </c>
      <c r="I237" s="513" t="s">
        <v>1736</v>
      </c>
      <c r="J237" s="189" t="s">
        <v>188</v>
      </c>
      <c r="K237" s="189" t="s">
        <v>188</v>
      </c>
      <c r="L237" s="477"/>
      <c r="M237" s="477"/>
      <c r="N237" s="520"/>
      <c r="O237" s="477"/>
      <c r="P237" s="155"/>
      <c r="Q237" s="155"/>
      <c r="R237" s="155"/>
      <c r="S237" s="477"/>
      <c r="T237" s="521"/>
      <c r="U237" s="153"/>
      <c r="V237" s="153"/>
      <c r="W237" s="153"/>
      <c r="X237" s="153"/>
      <c r="Y237" s="153"/>
      <c r="Z237" s="153"/>
    </row>
    <row r="238" spans="1:26">
      <c r="A238" s="774"/>
      <c r="B238" s="158" t="s">
        <v>2686</v>
      </c>
      <c r="C238" s="158" t="s">
        <v>2090</v>
      </c>
      <c r="D238" s="158" t="s">
        <v>2687</v>
      </c>
      <c r="E238" s="158" t="s">
        <v>1732</v>
      </c>
      <c r="F238" s="158" t="s">
        <v>1849</v>
      </c>
      <c r="G238" s="187" t="s">
        <v>2688</v>
      </c>
      <c r="H238" s="158" t="s">
        <v>2689</v>
      </c>
      <c r="I238" s="513" t="s">
        <v>1736</v>
      </c>
      <c r="J238" s="317" t="s">
        <v>1737</v>
      </c>
      <c r="K238" s="317" t="s">
        <v>1737</v>
      </c>
      <c r="L238" s="477"/>
      <c r="M238" s="477"/>
      <c r="N238" s="520"/>
      <c r="O238" s="477"/>
      <c r="P238" s="155"/>
      <c r="Q238" s="155"/>
      <c r="R238" s="155"/>
      <c r="S238" s="477"/>
      <c r="T238" s="521"/>
      <c r="U238" s="153"/>
      <c r="V238" s="153"/>
      <c r="W238" s="153"/>
      <c r="X238" s="153"/>
      <c r="Y238" s="153"/>
      <c r="Z238" s="153"/>
    </row>
    <row r="239" spans="1:26">
      <c r="A239" s="774"/>
      <c r="B239" s="158" t="s">
        <v>2690</v>
      </c>
      <c r="C239" s="158" t="s">
        <v>2090</v>
      </c>
      <c r="D239" s="158" t="s">
        <v>2691</v>
      </c>
      <c r="E239" s="158" t="s">
        <v>1732</v>
      </c>
      <c r="F239" s="158" t="s">
        <v>1849</v>
      </c>
      <c r="G239" s="187" t="s">
        <v>2692</v>
      </c>
      <c r="H239" s="158" t="s">
        <v>2693</v>
      </c>
      <c r="I239" s="513" t="s">
        <v>1736</v>
      </c>
      <c r="J239" s="317" t="s">
        <v>1737</v>
      </c>
      <c r="K239" s="317" t="s">
        <v>1737</v>
      </c>
      <c r="L239" s="477"/>
      <c r="M239" s="477"/>
      <c r="N239" s="520"/>
      <c r="O239" s="477"/>
      <c r="P239" s="155"/>
      <c r="Q239" s="155"/>
      <c r="R239" s="155"/>
      <c r="S239" s="477"/>
      <c r="T239" s="521"/>
      <c r="U239" s="153"/>
      <c r="V239" s="153"/>
      <c r="W239" s="153"/>
      <c r="X239" s="153"/>
      <c r="Y239" s="153"/>
      <c r="Z239" s="153"/>
    </row>
    <row r="240" spans="1:26">
      <c r="A240" s="774"/>
      <c r="B240" s="158" t="s">
        <v>2694</v>
      </c>
      <c r="C240" s="158" t="s">
        <v>2090</v>
      </c>
      <c r="D240" s="158" t="s">
        <v>2695</v>
      </c>
      <c r="E240" s="158" t="s">
        <v>1732</v>
      </c>
      <c r="F240" s="158" t="s">
        <v>1849</v>
      </c>
      <c r="G240" s="187" t="s">
        <v>2696</v>
      </c>
      <c r="H240" s="158" t="s">
        <v>2697</v>
      </c>
      <c r="I240" s="513" t="s">
        <v>1736</v>
      </c>
      <c r="J240" s="317" t="s">
        <v>1737</v>
      </c>
      <c r="K240" s="317" t="s">
        <v>1737</v>
      </c>
      <c r="L240" s="477"/>
      <c r="M240" s="477"/>
      <c r="N240" s="520"/>
      <c r="O240" s="477"/>
      <c r="P240" s="155"/>
      <c r="Q240" s="155"/>
      <c r="R240" s="155"/>
      <c r="S240" s="477"/>
      <c r="T240" s="521"/>
      <c r="U240" s="153"/>
      <c r="V240" s="153"/>
      <c r="W240" s="153"/>
      <c r="X240" s="153"/>
      <c r="Y240" s="153"/>
      <c r="Z240" s="153"/>
    </row>
    <row r="241" spans="1:26">
      <c r="A241" s="774"/>
      <c r="B241" s="158" t="s">
        <v>2698</v>
      </c>
      <c r="C241" s="158" t="s">
        <v>2090</v>
      </c>
      <c r="D241" s="158" t="s">
        <v>2699</v>
      </c>
      <c r="E241" s="158" t="s">
        <v>1732</v>
      </c>
      <c r="F241" s="158" t="s">
        <v>1849</v>
      </c>
      <c r="G241" s="187" t="s">
        <v>2700</v>
      </c>
      <c r="H241" s="158" t="s">
        <v>2701</v>
      </c>
      <c r="I241" s="513" t="s">
        <v>1736</v>
      </c>
      <c r="J241" s="317" t="s">
        <v>1737</v>
      </c>
      <c r="K241" s="317" t="s">
        <v>1737</v>
      </c>
      <c r="L241" s="477"/>
      <c r="M241" s="477"/>
      <c r="N241" s="520"/>
      <c r="O241" s="477"/>
      <c r="P241" s="155"/>
      <c r="Q241" s="155"/>
      <c r="R241" s="155"/>
      <c r="S241" s="477"/>
      <c r="T241" s="521"/>
      <c r="U241" s="153"/>
      <c r="V241" s="153"/>
      <c r="W241" s="153"/>
      <c r="X241" s="153"/>
      <c r="Y241" s="153"/>
      <c r="Z241" s="153"/>
    </row>
    <row r="242" spans="1:26">
      <c r="A242" s="774"/>
      <c r="B242" s="158" t="s">
        <v>2702</v>
      </c>
      <c r="C242" s="158" t="s">
        <v>2090</v>
      </c>
      <c r="D242" s="158" t="s">
        <v>2703</v>
      </c>
      <c r="E242" s="158" t="s">
        <v>1732</v>
      </c>
      <c r="F242" s="158" t="s">
        <v>1849</v>
      </c>
      <c r="G242" s="187" t="s">
        <v>2704</v>
      </c>
      <c r="H242" s="158" t="s">
        <v>2705</v>
      </c>
      <c r="I242" s="513" t="s">
        <v>1736</v>
      </c>
      <c r="J242" s="317" t="s">
        <v>1737</v>
      </c>
      <c r="K242" s="317" t="s">
        <v>1737</v>
      </c>
      <c r="L242" s="477"/>
      <c r="M242" s="477"/>
      <c r="N242" s="520"/>
      <c r="O242" s="477"/>
      <c r="P242" s="155"/>
      <c r="Q242" s="155"/>
      <c r="R242" s="155"/>
      <c r="S242" s="477"/>
      <c r="T242" s="521"/>
      <c r="U242" s="153"/>
      <c r="V242" s="153"/>
      <c r="W242" s="153"/>
      <c r="X242" s="153"/>
      <c r="Y242" s="153"/>
      <c r="Z242" s="153"/>
    </row>
    <row r="243" spans="1:26">
      <c r="A243" s="774"/>
      <c r="B243" s="158" t="s">
        <v>2706</v>
      </c>
      <c r="C243" s="158" t="s">
        <v>2090</v>
      </c>
      <c r="D243" s="158" t="s">
        <v>2707</v>
      </c>
      <c r="E243" s="158" t="s">
        <v>1732</v>
      </c>
      <c r="F243" s="158" t="s">
        <v>1849</v>
      </c>
      <c r="G243" s="187" t="s">
        <v>2708</v>
      </c>
      <c r="H243" s="158" t="s">
        <v>2709</v>
      </c>
      <c r="I243" s="513" t="s">
        <v>1736</v>
      </c>
      <c r="J243" s="317" t="s">
        <v>1737</v>
      </c>
      <c r="K243" s="317" t="s">
        <v>1737</v>
      </c>
      <c r="L243" s="477"/>
      <c r="M243" s="477"/>
      <c r="N243" s="520"/>
      <c r="O243" s="477"/>
      <c r="P243" s="155"/>
      <c r="Q243" s="155"/>
      <c r="R243" s="155"/>
      <c r="S243" s="477"/>
      <c r="T243" s="521"/>
      <c r="U243" s="153"/>
      <c r="V243" s="153"/>
      <c r="W243" s="153"/>
      <c r="X243" s="153"/>
      <c r="Y243" s="153"/>
      <c r="Z243" s="153"/>
    </row>
    <row r="244" spans="1:26">
      <c r="A244" s="774"/>
      <c r="B244" s="158" t="s">
        <v>2710</v>
      </c>
      <c r="C244" s="158" t="s">
        <v>2090</v>
      </c>
      <c r="D244" s="158" t="s">
        <v>2711</v>
      </c>
      <c r="E244" s="158" t="s">
        <v>1732</v>
      </c>
      <c r="F244" s="158" t="s">
        <v>1849</v>
      </c>
      <c r="G244" s="187" t="s">
        <v>2712</v>
      </c>
      <c r="H244" s="158" t="s">
        <v>2713</v>
      </c>
      <c r="I244" s="513" t="s">
        <v>1736</v>
      </c>
      <c r="J244" s="317" t="s">
        <v>1737</v>
      </c>
      <c r="K244" s="317" t="s">
        <v>1737</v>
      </c>
      <c r="L244" s="477"/>
      <c r="M244" s="477"/>
      <c r="N244" s="520"/>
      <c r="O244" s="477"/>
      <c r="P244" s="155"/>
      <c r="Q244" s="155"/>
      <c r="R244" s="155"/>
      <c r="S244" s="477"/>
      <c r="T244" s="521"/>
      <c r="U244" s="153"/>
      <c r="V244" s="153"/>
      <c r="W244" s="153"/>
      <c r="X244" s="153"/>
      <c r="Y244" s="153"/>
      <c r="Z244" s="153"/>
    </row>
    <row r="245" spans="1:26">
      <c r="A245" s="774"/>
      <c r="B245" s="158" t="s">
        <v>2714</v>
      </c>
      <c r="C245" s="158" t="s">
        <v>2090</v>
      </c>
      <c r="D245" s="158" t="s">
        <v>2715</v>
      </c>
      <c r="E245" s="158" t="s">
        <v>1732</v>
      </c>
      <c r="F245" s="158" t="s">
        <v>1849</v>
      </c>
      <c r="G245" s="187" t="s">
        <v>2716</v>
      </c>
      <c r="H245" s="158" t="s">
        <v>2717</v>
      </c>
      <c r="I245" s="513" t="s">
        <v>1736</v>
      </c>
      <c r="J245" s="317" t="s">
        <v>1737</v>
      </c>
      <c r="K245" s="317" t="s">
        <v>1737</v>
      </c>
      <c r="L245" s="477"/>
      <c r="M245" s="477"/>
      <c r="N245" s="520"/>
      <c r="O245" s="477"/>
      <c r="P245" s="155"/>
      <c r="Q245" s="155"/>
      <c r="R245" s="155"/>
      <c r="S245" s="477"/>
      <c r="T245" s="521"/>
      <c r="U245" s="153"/>
      <c r="V245" s="153"/>
      <c r="W245" s="153"/>
      <c r="X245" s="153"/>
      <c r="Y245" s="153"/>
      <c r="Z245" s="153"/>
    </row>
    <row r="246" spans="1:26">
      <c r="A246" s="774"/>
      <c r="B246" s="158" t="s">
        <v>2718</v>
      </c>
      <c r="C246" s="158" t="s">
        <v>2090</v>
      </c>
      <c r="D246" s="158" t="s">
        <v>2719</v>
      </c>
      <c r="E246" s="158" t="s">
        <v>1732</v>
      </c>
      <c r="F246" s="158" t="s">
        <v>1849</v>
      </c>
      <c r="G246" s="187" t="s">
        <v>2720</v>
      </c>
      <c r="H246" s="158" t="s">
        <v>2721</v>
      </c>
      <c r="I246" s="513" t="s">
        <v>1736</v>
      </c>
      <c r="J246" s="317" t="s">
        <v>1737</v>
      </c>
      <c r="K246" s="317" t="s">
        <v>1737</v>
      </c>
      <c r="L246" s="477"/>
      <c r="M246" s="477"/>
      <c r="N246" s="520"/>
      <c r="O246" s="477"/>
      <c r="P246" s="155"/>
      <c r="Q246" s="155"/>
      <c r="R246" s="155"/>
      <c r="S246" s="477"/>
      <c r="T246" s="521"/>
      <c r="U246" s="153"/>
      <c r="V246" s="153"/>
      <c r="W246" s="153"/>
      <c r="X246" s="153"/>
      <c r="Y246" s="153"/>
      <c r="Z246" s="153"/>
    </row>
    <row r="247" spans="1:26">
      <c r="A247" s="774"/>
      <c r="B247" s="158" t="s">
        <v>2722</v>
      </c>
      <c r="C247" s="158" t="s">
        <v>2090</v>
      </c>
      <c r="D247" s="158" t="s">
        <v>2723</v>
      </c>
      <c r="E247" s="158" t="s">
        <v>1732</v>
      </c>
      <c r="F247" s="158" t="s">
        <v>1849</v>
      </c>
      <c r="G247" s="187" t="s">
        <v>2724</v>
      </c>
      <c r="H247" s="158" t="s">
        <v>2725</v>
      </c>
      <c r="I247" s="513" t="s">
        <v>1736</v>
      </c>
      <c r="J247" s="317" t="s">
        <v>1737</v>
      </c>
      <c r="K247" s="317" t="s">
        <v>1737</v>
      </c>
      <c r="L247" s="477"/>
      <c r="M247" s="477"/>
      <c r="N247" s="520"/>
      <c r="O247" s="477"/>
      <c r="P247" s="155"/>
      <c r="Q247" s="155"/>
      <c r="R247" s="155"/>
      <c r="S247" s="477"/>
      <c r="T247" s="521"/>
      <c r="U247" s="153"/>
      <c r="V247" s="153"/>
      <c r="W247" s="153"/>
      <c r="X247" s="153"/>
      <c r="Y247" s="153"/>
      <c r="Z247" s="153"/>
    </row>
    <row r="248" spans="1:26">
      <c r="A248" s="774"/>
      <c r="B248" s="158" t="s">
        <v>2726</v>
      </c>
      <c r="C248" s="158" t="s">
        <v>2090</v>
      </c>
      <c r="D248" s="158" t="s">
        <v>2727</v>
      </c>
      <c r="E248" s="158" t="s">
        <v>1732</v>
      </c>
      <c r="F248" s="158" t="s">
        <v>1849</v>
      </c>
      <c r="G248" s="187" t="s">
        <v>2728</v>
      </c>
      <c r="H248" s="158" t="s">
        <v>2729</v>
      </c>
      <c r="I248" s="513" t="s">
        <v>1736</v>
      </c>
      <c r="J248" s="317" t="s">
        <v>1737</v>
      </c>
      <c r="K248" s="317" t="s">
        <v>1737</v>
      </c>
      <c r="L248" s="477"/>
      <c r="M248" s="477"/>
      <c r="N248" s="520"/>
      <c r="O248" s="477"/>
      <c r="P248" s="155"/>
      <c r="Q248" s="155"/>
      <c r="R248" s="155"/>
      <c r="S248" s="477"/>
      <c r="T248" s="521"/>
      <c r="U248" s="153"/>
      <c r="V248" s="153"/>
      <c r="W248" s="153"/>
      <c r="X248" s="153"/>
      <c r="Y248" s="153"/>
      <c r="Z248" s="153"/>
    </row>
    <row r="249" spans="1:26">
      <c r="A249" s="774"/>
      <c r="B249" s="158" t="s">
        <v>2730</v>
      </c>
      <c r="C249" s="158" t="s">
        <v>2090</v>
      </c>
      <c r="D249" s="158" t="s">
        <v>2731</v>
      </c>
      <c r="E249" s="158" t="s">
        <v>1732</v>
      </c>
      <c r="F249" s="158" t="s">
        <v>1849</v>
      </c>
      <c r="G249" s="187" t="s">
        <v>2732</v>
      </c>
      <c r="H249" s="158" t="s">
        <v>2733</v>
      </c>
      <c r="I249" s="513" t="s">
        <v>1736</v>
      </c>
      <c r="J249" s="317" t="s">
        <v>1737</v>
      </c>
      <c r="K249" s="317" t="s">
        <v>1737</v>
      </c>
      <c r="L249" s="477"/>
      <c r="M249" s="477"/>
      <c r="N249" s="520"/>
      <c r="O249" s="477"/>
      <c r="P249" s="155"/>
      <c r="Q249" s="155"/>
      <c r="R249" s="155"/>
      <c r="S249" s="477"/>
      <c r="T249" s="521"/>
      <c r="U249" s="153"/>
      <c r="V249" s="153"/>
      <c r="W249" s="153"/>
      <c r="X249" s="153"/>
      <c r="Y249" s="153"/>
      <c r="Z249" s="153"/>
    </row>
    <row r="250" spans="1:26">
      <c r="A250" s="774"/>
      <c r="B250" s="158" t="s">
        <v>2734</v>
      </c>
      <c r="C250" s="158" t="s">
        <v>2090</v>
      </c>
      <c r="D250" s="158" t="s">
        <v>2735</v>
      </c>
      <c r="E250" s="158" t="s">
        <v>1732</v>
      </c>
      <c r="F250" s="158" t="s">
        <v>1849</v>
      </c>
      <c r="G250" s="187" t="s">
        <v>2736</v>
      </c>
      <c r="H250" s="158" t="s">
        <v>2737</v>
      </c>
      <c r="I250" s="513" t="s">
        <v>1736</v>
      </c>
      <c r="J250" s="317" t="s">
        <v>1737</v>
      </c>
      <c r="K250" s="317" t="s">
        <v>1737</v>
      </c>
      <c r="L250" s="477"/>
      <c r="M250" s="477"/>
      <c r="N250" s="520"/>
      <c r="O250" s="477"/>
      <c r="P250" s="155"/>
      <c r="Q250" s="155"/>
      <c r="R250" s="155"/>
      <c r="S250" s="477"/>
      <c r="T250" s="521"/>
      <c r="U250" s="153"/>
      <c r="V250" s="153"/>
      <c r="W250" s="153"/>
      <c r="X250" s="153"/>
      <c r="Y250" s="153"/>
      <c r="Z250" s="153"/>
    </row>
    <row r="251" spans="1:26">
      <c r="A251" s="774"/>
      <c r="B251" s="158" t="s">
        <v>2738</v>
      </c>
      <c r="C251" s="158" t="s">
        <v>2090</v>
      </c>
      <c r="D251" s="158" t="s">
        <v>2739</v>
      </c>
      <c r="E251" s="158" t="s">
        <v>1732</v>
      </c>
      <c r="F251" s="158" t="s">
        <v>1849</v>
      </c>
      <c r="G251" s="187" t="s">
        <v>2740</v>
      </c>
      <c r="H251" s="158" t="s">
        <v>2741</v>
      </c>
      <c r="I251" s="513" t="s">
        <v>1736</v>
      </c>
      <c r="J251" s="317" t="s">
        <v>1737</v>
      </c>
      <c r="K251" s="317" t="s">
        <v>1737</v>
      </c>
      <c r="L251" s="477"/>
      <c r="M251" s="477"/>
      <c r="N251" s="520"/>
      <c r="O251" s="477"/>
      <c r="P251" s="155"/>
      <c r="Q251" s="155"/>
      <c r="R251" s="155"/>
      <c r="S251" s="477"/>
      <c r="T251" s="521"/>
      <c r="U251" s="153"/>
      <c r="V251" s="153"/>
      <c r="W251" s="153"/>
      <c r="X251" s="153"/>
      <c r="Y251" s="153"/>
      <c r="Z251" s="153"/>
    </row>
    <row r="252" spans="1:26">
      <c r="A252" s="774"/>
      <c r="B252" s="158" t="s">
        <v>2742</v>
      </c>
      <c r="C252" s="158" t="s">
        <v>2090</v>
      </c>
      <c r="D252" s="158" t="s">
        <v>2743</v>
      </c>
      <c r="E252" s="158" t="s">
        <v>1732</v>
      </c>
      <c r="F252" s="158" t="s">
        <v>1849</v>
      </c>
      <c r="G252" s="187" t="s">
        <v>2744</v>
      </c>
      <c r="H252" s="158" t="s">
        <v>2745</v>
      </c>
      <c r="I252" s="513" t="s">
        <v>1736</v>
      </c>
      <c r="J252" s="317" t="s">
        <v>1737</v>
      </c>
      <c r="K252" s="317" t="s">
        <v>1737</v>
      </c>
      <c r="L252" s="477"/>
      <c r="M252" s="477"/>
      <c r="N252" s="520"/>
      <c r="O252" s="477"/>
      <c r="P252" s="155"/>
      <c r="Q252" s="155"/>
      <c r="R252" s="155"/>
      <c r="S252" s="477"/>
      <c r="T252" s="521"/>
      <c r="U252" s="153"/>
      <c r="V252" s="153"/>
      <c r="W252" s="153"/>
      <c r="X252" s="153"/>
      <c r="Y252" s="153"/>
      <c r="Z252" s="153"/>
    </row>
    <row r="253" spans="1:26">
      <c r="A253" s="774"/>
      <c r="B253" s="158" t="s">
        <v>2746</v>
      </c>
      <c r="C253" s="158" t="s">
        <v>2090</v>
      </c>
      <c r="D253" s="158" t="s">
        <v>2747</v>
      </c>
      <c r="E253" s="158" t="s">
        <v>1743</v>
      </c>
      <c r="F253" s="158" t="s">
        <v>1779</v>
      </c>
      <c r="G253" s="158" t="s">
        <v>2748</v>
      </c>
      <c r="H253" s="158" t="s">
        <v>2749</v>
      </c>
      <c r="I253" s="513" t="s">
        <v>1736</v>
      </c>
      <c r="J253" s="317" t="s">
        <v>1737</v>
      </c>
      <c r="K253" s="317" t="s">
        <v>1737</v>
      </c>
      <c r="L253" s="477"/>
      <c r="M253" s="477"/>
      <c r="N253" s="520"/>
      <c r="O253" s="477"/>
      <c r="P253" s="155"/>
      <c r="Q253" s="155"/>
      <c r="R253" s="155"/>
      <c r="S253" s="477"/>
      <c r="T253" s="521"/>
      <c r="U253" s="153"/>
      <c r="V253" s="153"/>
      <c r="W253" s="153"/>
      <c r="X253" s="153"/>
      <c r="Y253" s="153"/>
      <c r="Z253" s="153"/>
    </row>
    <row r="254" spans="1:26">
      <c r="A254" s="773"/>
      <c r="B254" s="158" t="s">
        <v>2750</v>
      </c>
      <c r="C254" s="158" t="s">
        <v>2090</v>
      </c>
      <c r="D254" s="158" t="s">
        <v>1873</v>
      </c>
      <c r="E254" s="158" t="s">
        <v>1743</v>
      </c>
      <c r="F254" s="158" t="s">
        <v>1849</v>
      </c>
      <c r="G254" s="158" t="s">
        <v>2748</v>
      </c>
      <c r="H254" s="158" t="s">
        <v>1874</v>
      </c>
      <c r="I254" s="513" t="s">
        <v>1736</v>
      </c>
      <c r="J254" s="317" t="s">
        <v>1737</v>
      </c>
      <c r="K254" s="317" t="s">
        <v>1737</v>
      </c>
      <c r="L254" s="477"/>
      <c r="M254" s="477"/>
      <c r="N254" s="520"/>
      <c r="O254" s="477"/>
      <c r="P254" s="155"/>
      <c r="Q254" s="155"/>
      <c r="R254" s="155"/>
      <c r="S254" s="477"/>
      <c r="T254" s="521"/>
      <c r="U254" s="153"/>
      <c r="V254" s="153"/>
      <c r="W254" s="153"/>
      <c r="X254" s="153"/>
      <c r="Y254" s="153"/>
      <c r="Z254" s="153"/>
    </row>
    <row r="255" spans="1:26">
      <c r="A255" s="655" t="s">
        <v>2751</v>
      </c>
      <c r="B255" s="155" t="s">
        <v>2752</v>
      </c>
      <c r="C255" s="155" t="s">
        <v>2753</v>
      </c>
      <c r="D255" s="155" t="s">
        <v>2754</v>
      </c>
      <c r="E255" s="155" t="s">
        <v>1732</v>
      </c>
      <c r="F255" s="155" t="s">
        <v>1849</v>
      </c>
      <c r="G255" s="155" t="s">
        <v>2755</v>
      </c>
      <c r="H255" s="155" t="s">
        <v>2756</v>
      </c>
      <c r="I255" s="513" t="s">
        <v>1736</v>
      </c>
      <c r="J255" s="317" t="s">
        <v>1737</v>
      </c>
      <c r="K255" s="317" t="s">
        <v>1737</v>
      </c>
      <c r="L255" s="477"/>
      <c r="M255" s="515">
        <v>45028</v>
      </c>
      <c r="N255" s="110" t="s">
        <v>2757</v>
      </c>
      <c r="O255" s="477"/>
      <c r="P255" s="155"/>
      <c r="Q255" s="155"/>
      <c r="R255" s="155"/>
      <c r="S255" s="515">
        <v>45056</v>
      </c>
      <c r="T255" s="521" t="s">
        <v>1916</v>
      </c>
      <c r="U255" s="153"/>
      <c r="V255" s="153"/>
      <c r="W255" s="153"/>
      <c r="X255" s="153"/>
      <c r="Y255" s="153"/>
      <c r="Z255" s="153"/>
    </row>
    <row r="256" spans="1:26">
      <c r="A256" s="774"/>
      <c r="B256" s="158" t="s">
        <v>2758</v>
      </c>
      <c r="C256" s="155" t="s">
        <v>2753</v>
      </c>
      <c r="D256" s="158" t="s">
        <v>2759</v>
      </c>
      <c r="E256" s="158" t="s">
        <v>1732</v>
      </c>
      <c r="F256" s="158" t="s">
        <v>1849</v>
      </c>
      <c r="G256" s="158" t="s">
        <v>2760</v>
      </c>
      <c r="H256" s="158" t="s">
        <v>2761</v>
      </c>
      <c r="I256" s="513" t="s">
        <v>1736</v>
      </c>
      <c r="J256" s="317" t="s">
        <v>1737</v>
      </c>
      <c r="K256" s="317" t="s">
        <v>1737</v>
      </c>
      <c r="L256" s="477"/>
      <c r="M256" s="515">
        <v>45028</v>
      </c>
      <c r="N256" s="521" t="s">
        <v>2762</v>
      </c>
      <c r="O256" s="477"/>
      <c r="P256" s="155"/>
      <c r="Q256" s="155"/>
      <c r="R256" s="155"/>
      <c r="S256" s="515">
        <v>45056</v>
      </c>
      <c r="T256" s="521" t="s">
        <v>1916</v>
      </c>
      <c r="U256" s="153"/>
      <c r="V256" s="153"/>
      <c r="W256" s="153"/>
      <c r="X256" s="153"/>
      <c r="Y256" s="153"/>
      <c r="Z256" s="153"/>
    </row>
    <row r="257" spans="1:26">
      <c r="A257" s="774"/>
      <c r="B257" s="158" t="s">
        <v>2763</v>
      </c>
      <c r="C257" s="155" t="s">
        <v>2753</v>
      </c>
      <c r="D257" s="158" t="s">
        <v>2764</v>
      </c>
      <c r="E257" s="158" t="s">
        <v>1732</v>
      </c>
      <c r="F257" s="158" t="s">
        <v>1849</v>
      </c>
      <c r="G257" s="158" t="s">
        <v>2765</v>
      </c>
      <c r="H257" s="158" t="s">
        <v>2766</v>
      </c>
      <c r="I257" s="513" t="s">
        <v>1736</v>
      </c>
      <c r="J257" s="317" t="s">
        <v>1737</v>
      </c>
      <c r="K257" s="317" t="s">
        <v>1737</v>
      </c>
      <c r="L257" s="477"/>
      <c r="M257" s="515">
        <v>45029</v>
      </c>
      <c r="N257" s="520" t="s">
        <v>2767</v>
      </c>
      <c r="O257" s="477"/>
      <c r="P257" s="155"/>
      <c r="Q257" s="155"/>
      <c r="R257" s="155"/>
      <c r="S257" s="515">
        <v>45056</v>
      </c>
      <c r="T257" s="521" t="s">
        <v>1916</v>
      </c>
      <c r="U257" s="153"/>
      <c r="V257" s="153"/>
      <c r="W257" s="153"/>
      <c r="X257" s="153"/>
      <c r="Y257" s="153"/>
      <c r="Z257" s="153"/>
    </row>
    <row r="258" spans="1:26">
      <c r="A258" s="774"/>
      <c r="B258" s="158" t="s">
        <v>2768</v>
      </c>
      <c r="C258" s="155" t="s">
        <v>2753</v>
      </c>
      <c r="D258" s="158" t="s">
        <v>2769</v>
      </c>
      <c r="E258" s="158" t="s">
        <v>1732</v>
      </c>
      <c r="F258" s="158" t="s">
        <v>1849</v>
      </c>
      <c r="G258" s="158" t="s">
        <v>2770</v>
      </c>
      <c r="H258" s="158" t="s">
        <v>2771</v>
      </c>
      <c r="I258" s="513" t="s">
        <v>1736</v>
      </c>
      <c r="J258" s="317" t="s">
        <v>1737</v>
      </c>
      <c r="K258" s="317" t="s">
        <v>1737</v>
      </c>
      <c r="L258" s="477"/>
      <c r="M258" s="515">
        <v>45029</v>
      </c>
      <c r="N258" s="520" t="s">
        <v>2772</v>
      </c>
      <c r="O258" s="477"/>
      <c r="P258" s="155"/>
      <c r="Q258" s="155"/>
      <c r="R258" s="155"/>
      <c r="S258" s="515">
        <v>45056</v>
      </c>
      <c r="T258" s="521" t="s">
        <v>1916</v>
      </c>
      <c r="U258" s="153"/>
      <c r="V258" s="153"/>
      <c r="W258" s="153"/>
      <c r="X258" s="153"/>
      <c r="Y258" s="153"/>
      <c r="Z258" s="153"/>
    </row>
    <row r="259" spans="1:26">
      <c r="A259" s="773"/>
      <c r="B259" s="158" t="s">
        <v>2773</v>
      </c>
      <c r="C259" s="155" t="s">
        <v>2753</v>
      </c>
      <c r="D259" s="158" t="s">
        <v>1873</v>
      </c>
      <c r="E259" s="158" t="s">
        <v>1743</v>
      </c>
      <c r="F259" s="158" t="s">
        <v>1849</v>
      </c>
      <c r="G259" s="158" t="s">
        <v>2770</v>
      </c>
      <c r="H259" s="158" t="s">
        <v>1874</v>
      </c>
      <c r="I259" s="513" t="s">
        <v>1736</v>
      </c>
      <c r="J259" s="317" t="s">
        <v>1737</v>
      </c>
      <c r="K259" s="317" t="s">
        <v>1737</v>
      </c>
      <c r="L259" s="477"/>
      <c r="M259" s="515">
        <v>45029</v>
      </c>
      <c r="N259" s="520" t="s">
        <v>2774</v>
      </c>
      <c r="O259" s="477"/>
      <c r="P259" s="155"/>
      <c r="Q259" s="155"/>
      <c r="R259" s="155"/>
      <c r="S259" s="515">
        <v>45056</v>
      </c>
      <c r="T259" s="521" t="s">
        <v>1916</v>
      </c>
      <c r="U259" s="153"/>
      <c r="V259" s="153"/>
      <c r="W259" s="153"/>
      <c r="X259" s="153"/>
      <c r="Y259" s="153"/>
      <c r="Z259" s="153"/>
    </row>
    <row r="260" spans="1:26">
      <c r="A260" s="683" t="s">
        <v>2775</v>
      </c>
      <c r="B260" s="158" t="s">
        <v>2776</v>
      </c>
      <c r="C260" s="158" t="s">
        <v>2777</v>
      </c>
      <c r="D260" s="158" t="s">
        <v>2778</v>
      </c>
      <c r="E260" s="158" t="s">
        <v>1732</v>
      </c>
      <c r="F260" s="158" t="s">
        <v>1849</v>
      </c>
      <c r="G260" s="158" t="s">
        <v>2779</v>
      </c>
      <c r="H260" s="158" t="s">
        <v>2780</v>
      </c>
      <c r="I260" s="513" t="s">
        <v>1736</v>
      </c>
      <c r="J260" s="317" t="s">
        <v>1737</v>
      </c>
      <c r="K260" s="317" t="s">
        <v>1737</v>
      </c>
      <c r="L260" s="477"/>
      <c r="M260" s="515">
        <v>45029</v>
      </c>
      <c r="N260" s="520" t="s">
        <v>2781</v>
      </c>
      <c r="O260" s="477"/>
      <c r="P260" s="155"/>
      <c r="Q260" s="155"/>
      <c r="R260" s="155"/>
      <c r="S260" s="515">
        <v>45056</v>
      </c>
      <c r="T260" s="521" t="s">
        <v>1916</v>
      </c>
      <c r="U260" s="153"/>
      <c r="V260" s="153"/>
      <c r="W260" s="153"/>
      <c r="X260" s="153"/>
      <c r="Y260" s="153"/>
      <c r="Z260" s="153"/>
    </row>
    <row r="261" spans="1:26">
      <c r="A261" s="774"/>
      <c r="B261" s="158" t="s">
        <v>2782</v>
      </c>
      <c r="C261" s="158" t="s">
        <v>2777</v>
      </c>
      <c r="D261" s="158" t="s">
        <v>2783</v>
      </c>
      <c r="E261" s="158" t="s">
        <v>1732</v>
      </c>
      <c r="F261" s="158" t="s">
        <v>1849</v>
      </c>
      <c r="G261" s="158" t="s">
        <v>2784</v>
      </c>
      <c r="H261" s="158" t="s">
        <v>2785</v>
      </c>
      <c r="I261" s="513" t="s">
        <v>1736</v>
      </c>
      <c r="J261" s="317" t="s">
        <v>1737</v>
      </c>
      <c r="K261" s="317" t="s">
        <v>1737</v>
      </c>
      <c r="L261" s="477"/>
      <c r="M261" s="515">
        <v>45029</v>
      </c>
      <c r="N261" s="520" t="s">
        <v>2786</v>
      </c>
      <c r="O261" s="477"/>
      <c r="P261" s="155"/>
      <c r="Q261" s="155"/>
      <c r="R261" s="155"/>
      <c r="S261" s="515">
        <v>45056</v>
      </c>
      <c r="T261" s="521" t="s">
        <v>1916</v>
      </c>
      <c r="U261" s="153"/>
      <c r="V261" s="153"/>
      <c r="W261" s="153"/>
      <c r="X261" s="153"/>
      <c r="Y261" s="153"/>
      <c r="Z261" s="153"/>
    </row>
    <row r="262" spans="1:26">
      <c r="A262" s="774"/>
      <c r="B262" s="158" t="s">
        <v>2787</v>
      </c>
      <c r="C262" s="158" t="s">
        <v>2777</v>
      </c>
      <c r="D262" s="158" t="s">
        <v>2788</v>
      </c>
      <c r="E262" s="158" t="s">
        <v>1732</v>
      </c>
      <c r="F262" s="158" t="s">
        <v>1849</v>
      </c>
      <c r="G262" s="158" t="s">
        <v>2789</v>
      </c>
      <c r="H262" s="158" t="s">
        <v>2790</v>
      </c>
      <c r="I262" s="513" t="s">
        <v>1736</v>
      </c>
      <c r="J262" s="317" t="s">
        <v>1737</v>
      </c>
      <c r="K262" s="317" t="s">
        <v>1737</v>
      </c>
      <c r="L262" s="477"/>
      <c r="M262" s="515">
        <v>45030</v>
      </c>
      <c r="N262" s="520" t="s">
        <v>2791</v>
      </c>
      <c r="O262" s="477"/>
      <c r="P262" s="155"/>
      <c r="Q262" s="155"/>
      <c r="R262" s="155"/>
      <c r="S262" s="515">
        <v>45056</v>
      </c>
      <c r="T262" s="521" t="s">
        <v>1916</v>
      </c>
      <c r="U262" s="153"/>
      <c r="V262" s="153"/>
      <c r="W262" s="153"/>
      <c r="X262" s="153"/>
      <c r="Y262" s="153"/>
      <c r="Z262" s="153"/>
    </row>
    <row r="263" spans="1:26">
      <c r="A263" s="773"/>
      <c r="B263" s="158" t="s">
        <v>2792</v>
      </c>
      <c r="C263" s="158" t="s">
        <v>2777</v>
      </c>
      <c r="D263" s="158" t="s">
        <v>1873</v>
      </c>
      <c r="E263" s="158" t="s">
        <v>1743</v>
      </c>
      <c r="F263" s="158" t="s">
        <v>1849</v>
      </c>
      <c r="G263" s="158" t="s">
        <v>2779</v>
      </c>
      <c r="H263" s="158" t="s">
        <v>1874</v>
      </c>
      <c r="I263" s="513" t="s">
        <v>1736</v>
      </c>
      <c r="J263" s="317" t="s">
        <v>1737</v>
      </c>
      <c r="K263" s="317" t="s">
        <v>1737</v>
      </c>
      <c r="L263" s="477"/>
      <c r="M263" s="515">
        <v>45030</v>
      </c>
      <c r="N263" s="520" t="s">
        <v>2793</v>
      </c>
      <c r="O263" s="477"/>
      <c r="P263" s="155"/>
      <c r="Q263" s="155"/>
      <c r="R263" s="155"/>
      <c r="S263" s="515">
        <v>45056</v>
      </c>
      <c r="T263" s="521" t="s">
        <v>1916</v>
      </c>
      <c r="U263" s="153"/>
      <c r="V263" s="153"/>
      <c r="W263" s="153"/>
      <c r="X263" s="153"/>
      <c r="Y263" s="153"/>
      <c r="Z263" s="153"/>
    </row>
    <row r="264" spans="1:26">
      <c r="A264" s="655" t="s">
        <v>2794</v>
      </c>
      <c r="B264" s="155" t="s">
        <v>2795</v>
      </c>
      <c r="C264" s="155" t="s">
        <v>2796</v>
      </c>
      <c r="D264" s="155" t="s">
        <v>2797</v>
      </c>
      <c r="E264" s="477" t="s">
        <v>1732</v>
      </c>
      <c r="F264" s="155" t="s">
        <v>1849</v>
      </c>
      <c r="G264" s="155" t="s">
        <v>2798</v>
      </c>
      <c r="H264" s="155" t="s">
        <v>2799</v>
      </c>
      <c r="I264" s="513" t="s">
        <v>1736</v>
      </c>
      <c r="J264" s="317" t="s">
        <v>1737</v>
      </c>
      <c r="K264" s="317" t="s">
        <v>1737</v>
      </c>
      <c r="L264" s="477"/>
      <c r="M264" s="515">
        <v>45030</v>
      </c>
      <c r="N264" s="520" t="s">
        <v>2800</v>
      </c>
      <c r="O264" s="477"/>
      <c r="P264" s="155"/>
      <c r="Q264" s="155"/>
      <c r="R264" s="155"/>
      <c r="S264" s="515">
        <v>45056</v>
      </c>
      <c r="T264" s="521" t="s">
        <v>1916</v>
      </c>
      <c r="U264" s="153"/>
      <c r="V264" s="153"/>
      <c r="W264" s="153"/>
      <c r="X264" s="153"/>
      <c r="Y264" s="153"/>
      <c r="Z264" s="153"/>
    </row>
    <row r="265" spans="1:26">
      <c r="A265" s="774"/>
      <c r="B265" s="158" t="s">
        <v>2801</v>
      </c>
      <c r="C265" s="158" t="s">
        <v>2796</v>
      </c>
      <c r="D265" s="158" t="s">
        <v>2802</v>
      </c>
      <c r="E265" s="160" t="s">
        <v>1732</v>
      </c>
      <c r="F265" s="158" t="s">
        <v>1849</v>
      </c>
      <c r="G265" s="158" t="s">
        <v>2803</v>
      </c>
      <c r="H265" s="158" t="s">
        <v>2804</v>
      </c>
      <c r="I265" s="513" t="s">
        <v>1736</v>
      </c>
      <c r="J265" s="317" t="s">
        <v>1737</v>
      </c>
      <c r="K265" s="317" t="s">
        <v>1737</v>
      </c>
      <c r="L265" s="477"/>
      <c r="M265" s="515">
        <v>45030</v>
      </c>
      <c r="N265" s="520" t="s">
        <v>2805</v>
      </c>
      <c r="O265" s="477"/>
      <c r="P265" s="155"/>
      <c r="Q265" s="155"/>
      <c r="R265" s="155"/>
      <c r="S265" s="515">
        <v>45056</v>
      </c>
      <c r="T265" s="521" t="s">
        <v>1916</v>
      </c>
      <c r="U265" s="153"/>
      <c r="V265" s="153"/>
      <c r="W265" s="153"/>
      <c r="X265" s="153"/>
      <c r="Y265" s="153"/>
      <c r="Z265" s="153"/>
    </row>
    <row r="266" spans="1:26">
      <c r="A266" s="774"/>
      <c r="B266" s="158" t="s">
        <v>2806</v>
      </c>
      <c r="C266" s="158" t="s">
        <v>2796</v>
      </c>
      <c r="D266" s="158" t="s">
        <v>2807</v>
      </c>
      <c r="E266" s="160" t="s">
        <v>1732</v>
      </c>
      <c r="F266" s="158" t="s">
        <v>1849</v>
      </c>
      <c r="G266" s="158" t="s">
        <v>2808</v>
      </c>
      <c r="H266" s="158" t="s">
        <v>2809</v>
      </c>
      <c r="I266" s="513" t="s">
        <v>1736</v>
      </c>
      <c r="J266" s="317" t="s">
        <v>1737</v>
      </c>
      <c r="K266" s="317" t="s">
        <v>1737</v>
      </c>
      <c r="L266" s="477"/>
      <c r="M266" s="477"/>
      <c r="N266" s="520"/>
      <c r="O266" s="477"/>
      <c r="P266" s="155"/>
      <c r="Q266" s="155"/>
      <c r="R266" s="155"/>
      <c r="S266" s="477"/>
      <c r="T266" s="521"/>
      <c r="U266" s="153"/>
      <c r="V266" s="153"/>
      <c r="W266" s="153"/>
      <c r="X266" s="153"/>
      <c r="Y266" s="153"/>
      <c r="Z266" s="153"/>
    </row>
    <row r="267" spans="1:26">
      <c r="A267" s="774"/>
      <c r="B267" s="158" t="s">
        <v>2810</v>
      </c>
      <c r="C267" s="158" t="s">
        <v>2796</v>
      </c>
      <c r="D267" s="158" t="s">
        <v>2811</v>
      </c>
      <c r="E267" s="160" t="s">
        <v>1732</v>
      </c>
      <c r="F267" s="158" t="s">
        <v>1849</v>
      </c>
      <c r="G267" s="158" t="s">
        <v>2812</v>
      </c>
      <c r="H267" s="158" t="s">
        <v>2813</v>
      </c>
      <c r="I267" s="513" t="s">
        <v>1736</v>
      </c>
      <c r="J267" s="317" t="s">
        <v>1737</v>
      </c>
      <c r="K267" s="317" t="s">
        <v>1737</v>
      </c>
      <c r="L267" s="477"/>
      <c r="M267" s="477"/>
      <c r="N267" s="520"/>
      <c r="O267" s="477"/>
      <c r="P267" s="155"/>
      <c r="Q267" s="155"/>
      <c r="R267" s="155"/>
      <c r="S267" s="477"/>
      <c r="T267" s="521"/>
      <c r="U267" s="153"/>
      <c r="V267" s="153"/>
      <c r="W267" s="153"/>
      <c r="X267" s="153"/>
      <c r="Y267" s="153"/>
      <c r="Z267" s="153"/>
    </row>
    <row r="268" spans="1:26">
      <c r="A268" s="774"/>
      <c r="B268" s="158" t="s">
        <v>2814</v>
      </c>
      <c r="C268" s="158" t="s">
        <v>2796</v>
      </c>
      <c r="D268" s="158" t="s">
        <v>2815</v>
      </c>
      <c r="E268" s="160" t="s">
        <v>1732</v>
      </c>
      <c r="F268" s="158" t="s">
        <v>1849</v>
      </c>
      <c r="G268" s="158" t="s">
        <v>2816</v>
      </c>
      <c r="H268" s="158" t="s">
        <v>2817</v>
      </c>
      <c r="I268" s="513" t="s">
        <v>1736</v>
      </c>
      <c r="J268" s="317" t="s">
        <v>1737</v>
      </c>
      <c r="K268" s="317" t="s">
        <v>1737</v>
      </c>
      <c r="L268" s="477"/>
      <c r="M268" s="515">
        <v>45033</v>
      </c>
      <c r="N268" s="520" t="s">
        <v>2818</v>
      </c>
      <c r="O268" s="477"/>
      <c r="P268" s="155"/>
      <c r="Q268" s="155"/>
      <c r="R268" s="155"/>
      <c r="S268" s="515">
        <v>45056</v>
      </c>
      <c r="T268" s="521" t="s">
        <v>1916</v>
      </c>
      <c r="U268" s="153"/>
      <c r="V268" s="153"/>
      <c r="W268" s="153"/>
      <c r="X268" s="153"/>
      <c r="Y268" s="153"/>
      <c r="Z268" s="153"/>
    </row>
    <row r="269" spans="1:26">
      <c r="A269" s="773"/>
      <c r="B269" s="158" t="s">
        <v>2819</v>
      </c>
      <c r="C269" s="158" t="s">
        <v>2777</v>
      </c>
      <c r="D269" s="158" t="s">
        <v>1873</v>
      </c>
      <c r="E269" s="158" t="s">
        <v>1743</v>
      </c>
      <c r="F269" s="158" t="s">
        <v>1849</v>
      </c>
      <c r="G269" s="158" t="s">
        <v>2798</v>
      </c>
      <c r="H269" s="158" t="s">
        <v>1874</v>
      </c>
      <c r="I269" s="513" t="s">
        <v>1736</v>
      </c>
      <c r="J269" s="317" t="s">
        <v>1737</v>
      </c>
      <c r="K269" s="317" t="s">
        <v>1737</v>
      </c>
      <c r="L269" s="477"/>
      <c r="M269" s="515">
        <v>45033</v>
      </c>
      <c r="N269" s="520" t="s">
        <v>2820</v>
      </c>
      <c r="O269" s="477"/>
      <c r="P269" s="155"/>
      <c r="Q269" s="155"/>
      <c r="R269" s="155"/>
      <c r="S269" s="515">
        <v>45056</v>
      </c>
      <c r="T269" s="521" t="s">
        <v>1916</v>
      </c>
      <c r="U269" s="153"/>
      <c r="V269" s="153"/>
      <c r="W269" s="153"/>
      <c r="X269" s="153"/>
      <c r="Y269" s="153"/>
      <c r="Z269" s="153"/>
    </row>
    <row r="270" spans="1:26">
      <c r="A270" s="655" t="s">
        <v>2821</v>
      </c>
      <c r="B270" s="155" t="s">
        <v>2822</v>
      </c>
      <c r="C270" s="155" t="s">
        <v>2823</v>
      </c>
      <c r="D270" s="155" t="s">
        <v>2824</v>
      </c>
      <c r="E270" s="155" t="s">
        <v>1732</v>
      </c>
      <c r="F270" s="155" t="s">
        <v>1849</v>
      </c>
      <c r="G270" s="155" t="s">
        <v>2825</v>
      </c>
      <c r="H270" s="155" t="s">
        <v>2826</v>
      </c>
      <c r="I270" s="513" t="s">
        <v>1736</v>
      </c>
      <c r="J270" s="317" t="s">
        <v>1737</v>
      </c>
      <c r="K270" s="317" t="s">
        <v>1737</v>
      </c>
      <c r="L270" s="477"/>
      <c r="M270" s="515">
        <v>45033</v>
      </c>
      <c r="N270" s="520" t="s">
        <v>2827</v>
      </c>
      <c r="O270" s="477"/>
      <c r="P270" s="155"/>
      <c r="Q270" s="155"/>
      <c r="R270" s="155"/>
      <c r="S270" s="515">
        <v>45056</v>
      </c>
      <c r="T270" s="521" t="s">
        <v>1916</v>
      </c>
      <c r="U270" s="153"/>
      <c r="V270" s="153"/>
      <c r="W270" s="153"/>
      <c r="X270" s="153"/>
      <c r="Y270" s="153"/>
      <c r="Z270" s="153"/>
    </row>
    <row r="271" spans="1:26">
      <c r="A271" s="774"/>
      <c r="B271" s="158" t="s">
        <v>2828</v>
      </c>
      <c r="C271" s="158" t="s">
        <v>2823</v>
      </c>
      <c r="D271" s="158" t="s">
        <v>2829</v>
      </c>
      <c r="E271" s="158" t="s">
        <v>1732</v>
      </c>
      <c r="F271" s="158" t="s">
        <v>1849</v>
      </c>
      <c r="G271" s="158" t="s">
        <v>2830</v>
      </c>
      <c r="H271" s="158" t="s">
        <v>2831</v>
      </c>
      <c r="I271" s="513" t="s">
        <v>1736</v>
      </c>
      <c r="J271" s="317" t="s">
        <v>1737</v>
      </c>
      <c r="K271" s="317" t="s">
        <v>1737</v>
      </c>
      <c r="L271" s="477"/>
      <c r="M271" s="477"/>
      <c r="N271" s="520"/>
      <c r="O271" s="477"/>
      <c r="P271" s="155"/>
      <c r="Q271" s="155"/>
      <c r="R271" s="155"/>
      <c r="S271" s="477"/>
      <c r="T271" s="521"/>
      <c r="U271" s="153"/>
      <c r="V271" s="153"/>
      <c r="W271" s="153"/>
      <c r="X271" s="153"/>
      <c r="Y271" s="153"/>
      <c r="Z271" s="153"/>
    </row>
    <row r="272" spans="1:26">
      <c r="A272" s="774"/>
      <c r="B272" s="158" t="s">
        <v>2832</v>
      </c>
      <c r="C272" s="158" t="s">
        <v>2823</v>
      </c>
      <c r="D272" s="158" t="s">
        <v>2833</v>
      </c>
      <c r="E272" s="158" t="s">
        <v>1732</v>
      </c>
      <c r="F272" s="158" t="s">
        <v>1849</v>
      </c>
      <c r="G272" s="158" t="s">
        <v>2834</v>
      </c>
      <c r="H272" s="158" t="s">
        <v>2835</v>
      </c>
      <c r="I272" s="513" t="s">
        <v>1736</v>
      </c>
      <c r="J272" s="317" t="s">
        <v>1737</v>
      </c>
      <c r="K272" s="317" t="s">
        <v>1737</v>
      </c>
      <c r="L272" s="477"/>
      <c r="M272" s="477"/>
      <c r="N272" s="520"/>
      <c r="O272" s="477"/>
      <c r="P272" s="155"/>
      <c r="Q272" s="155"/>
      <c r="R272" s="155"/>
      <c r="S272" s="477"/>
      <c r="T272" s="521"/>
      <c r="U272" s="153"/>
      <c r="V272" s="153"/>
      <c r="W272" s="153"/>
      <c r="X272" s="153"/>
      <c r="Y272" s="153"/>
      <c r="Z272" s="153"/>
    </row>
    <row r="273" spans="1:26">
      <c r="A273" s="774"/>
      <c r="B273" s="158" t="s">
        <v>2836</v>
      </c>
      <c r="C273" s="158" t="s">
        <v>2823</v>
      </c>
      <c r="D273" s="158" t="s">
        <v>2837</v>
      </c>
      <c r="E273" s="158" t="s">
        <v>1732</v>
      </c>
      <c r="F273" s="158" t="s">
        <v>1849</v>
      </c>
      <c r="G273" s="158" t="s">
        <v>2838</v>
      </c>
      <c r="H273" s="158" t="s">
        <v>2839</v>
      </c>
      <c r="I273" s="513" t="s">
        <v>1736</v>
      </c>
      <c r="J273" s="317" t="s">
        <v>1737</v>
      </c>
      <c r="K273" s="317" t="s">
        <v>1737</v>
      </c>
      <c r="L273" s="477"/>
      <c r="M273" s="515">
        <v>45072</v>
      </c>
      <c r="N273" s="520" t="s">
        <v>2840</v>
      </c>
      <c r="O273" s="477"/>
      <c r="P273" s="155"/>
      <c r="Q273" s="155"/>
      <c r="R273" s="155"/>
      <c r="S273" s="515">
        <v>45071</v>
      </c>
      <c r="T273" s="521" t="s">
        <v>1916</v>
      </c>
      <c r="U273" s="153"/>
      <c r="V273" s="153"/>
      <c r="W273" s="153"/>
      <c r="X273" s="153"/>
      <c r="Y273" s="153"/>
      <c r="Z273" s="153"/>
    </row>
    <row r="274" spans="1:26">
      <c r="A274" s="774"/>
      <c r="B274" s="158" t="s">
        <v>2841</v>
      </c>
      <c r="C274" s="158" t="s">
        <v>2823</v>
      </c>
      <c r="D274" s="158" t="s">
        <v>2842</v>
      </c>
      <c r="E274" s="158" t="s">
        <v>1732</v>
      </c>
      <c r="F274" s="158" t="s">
        <v>1849</v>
      </c>
      <c r="G274" s="158" t="s">
        <v>2843</v>
      </c>
      <c r="H274" s="158" t="s">
        <v>2844</v>
      </c>
      <c r="I274" s="513" t="s">
        <v>1736</v>
      </c>
      <c r="J274" s="317" t="s">
        <v>1737</v>
      </c>
      <c r="K274" s="317" t="s">
        <v>1737</v>
      </c>
      <c r="L274" s="477"/>
      <c r="M274" s="515">
        <v>45071</v>
      </c>
      <c r="N274" s="520" t="s">
        <v>2845</v>
      </c>
      <c r="O274" s="477"/>
      <c r="P274" s="155"/>
      <c r="Q274" s="155"/>
      <c r="R274" s="155"/>
      <c r="S274" s="515">
        <v>45071</v>
      </c>
      <c r="T274" s="521" t="s">
        <v>1916</v>
      </c>
      <c r="U274" s="153"/>
      <c r="V274" s="153"/>
      <c r="W274" s="153"/>
      <c r="X274" s="153"/>
      <c r="Y274" s="153"/>
      <c r="Z274" s="153"/>
    </row>
    <row r="275" spans="1:26">
      <c r="A275" s="774"/>
      <c r="B275" s="158" t="s">
        <v>2846</v>
      </c>
      <c r="C275" s="158" t="s">
        <v>2823</v>
      </c>
      <c r="D275" s="158" t="s">
        <v>2847</v>
      </c>
      <c r="E275" s="158" t="s">
        <v>1732</v>
      </c>
      <c r="F275" s="158" t="s">
        <v>1849</v>
      </c>
      <c r="G275" s="158" t="s">
        <v>2848</v>
      </c>
      <c r="H275" s="158" t="s">
        <v>2849</v>
      </c>
      <c r="I275" s="513" t="s">
        <v>1736</v>
      </c>
      <c r="J275" s="317" t="s">
        <v>1737</v>
      </c>
      <c r="K275" s="317" t="s">
        <v>1737</v>
      </c>
      <c r="L275" s="477"/>
      <c r="M275" s="515">
        <v>45072</v>
      </c>
      <c r="N275" s="520" t="s">
        <v>2840</v>
      </c>
      <c r="O275" s="477"/>
      <c r="P275" s="155"/>
      <c r="Q275" s="155"/>
      <c r="R275" s="155"/>
      <c r="S275" s="515">
        <v>45071</v>
      </c>
      <c r="T275" s="521" t="s">
        <v>1916</v>
      </c>
      <c r="U275" s="153"/>
      <c r="V275" s="153"/>
      <c r="W275" s="153"/>
      <c r="X275" s="153"/>
      <c r="Y275" s="153"/>
      <c r="Z275" s="153"/>
    </row>
    <row r="276" spans="1:26">
      <c r="A276" s="773"/>
      <c r="B276" s="158" t="s">
        <v>2850</v>
      </c>
      <c r="C276" s="158" t="s">
        <v>2823</v>
      </c>
      <c r="D276" s="158" t="s">
        <v>1873</v>
      </c>
      <c r="E276" s="158" t="s">
        <v>1743</v>
      </c>
      <c r="F276" s="158" t="s">
        <v>1849</v>
      </c>
      <c r="G276" s="158" t="s">
        <v>2825</v>
      </c>
      <c r="H276" s="158" t="s">
        <v>1874</v>
      </c>
      <c r="I276" s="513" t="s">
        <v>1736</v>
      </c>
      <c r="J276" s="317" t="s">
        <v>1737</v>
      </c>
      <c r="K276" s="317" t="s">
        <v>1737</v>
      </c>
      <c r="L276" s="477"/>
      <c r="M276" s="515">
        <v>45071</v>
      </c>
      <c r="N276" s="520" t="s">
        <v>2845</v>
      </c>
      <c r="O276" s="477"/>
      <c r="P276" s="155"/>
      <c r="Q276" s="155"/>
      <c r="R276" s="155"/>
      <c r="S276" s="515">
        <v>45071</v>
      </c>
      <c r="T276" s="521" t="s">
        <v>1916</v>
      </c>
      <c r="U276" s="153"/>
      <c r="V276" s="153"/>
      <c r="W276" s="153"/>
      <c r="X276" s="153"/>
      <c r="Y276" s="153"/>
      <c r="Z276" s="153"/>
    </row>
    <row r="277" spans="1:26">
      <c r="A277" s="655" t="s">
        <v>2851</v>
      </c>
      <c r="B277" s="155" t="s">
        <v>2852</v>
      </c>
      <c r="C277" s="155" t="s">
        <v>2853</v>
      </c>
      <c r="D277" s="155" t="s">
        <v>2854</v>
      </c>
      <c r="E277" s="155" t="s">
        <v>1732</v>
      </c>
      <c r="F277" s="155" t="s">
        <v>1849</v>
      </c>
      <c r="G277" s="155" t="s">
        <v>2855</v>
      </c>
      <c r="H277" s="155" t="s">
        <v>2856</v>
      </c>
      <c r="I277" s="513" t="s">
        <v>1736</v>
      </c>
      <c r="J277" s="317" t="s">
        <v>1737</v>
      </c>
      <c r="K277" s="317" t="s">
        <v>1737</v>
      </c>
      <c r="L277" s="477"/>
      <c r="M277" s="515">
        <v>45033</v>
      </c>
      <c r="N277" s="520" t="s">
        <v>2857</v>
      </c>
      <c r="O277" s="527">
        <v>45072</v>
      </c>
      <c r="P277" s="155" t="s">
        <v>2858</v>
      </c>
      <c r="Q277" s="155"/>
      <c r="R277" s="155"/>
      <c r="S277" s="515">
        <v>45071</v>
      </c>
      <c r="T277" s="521" t="s">
        <v>1916</v>
      </c>
      <c r="U277" s="153"/>
      <c r="V277" s="153"/>
      <c r="W277" s="153"/>
      <c r="X277" s="153"/>
      <c r="Y277" s="153"/>
      <c r="Z277" s="153"/>
    </row>
    <row r="278" spans="1:26">
      <c r="A278" s="774"/>
      <c r="B278" s="158" t="s">
        <v>2859</v>
      </c>
      <c r="C278" s="158" t="s">
        <v>2853</v>
      </c>
      <c r="D278" s="158" t="s">
        <v>2860</v>
      </c>
      <c r="E278" s="158" t="s">
        <v>1732</v>
      </c>
      <c r="F278" s="158" t="s">
        <v>1849</v>
      </c>
      <c r="G278" s="158" t="s">
        <v>2861</v>
      </c>
      <c r="H278" s="158" t="s">
        <v>2862</v>
      </c>
      <c r="I278" s="513" t="s">
        <v>1736</v>
      </c>
      <c r="J278" s="317" t="s">
        <v>1737</v>
      </c>
      <c r="K278" s="317" t="s">
        <v>1737</v>
      </c>
      <c r="L278" s="477"/>
      <c r="M278" s="477"/>
      <c r="N278" s="520"/>
      <c r="O278" s="477"/>
      <c r="P278" s="155"/>
      <c r="Q278" s="155"/>
      <c r="R278" s="155"/>
      <c r="S278" s="477"/>
      <c r="T278" s="521"/>
      <c r="U278" s="153"/>
      <c r="V278" s="153"/>
      <c r="W278" s="153"/>
      <c r="X278" s="153"/>
      <c r="Y278" s="153"/>
      <c r="Z278" s="153"/>
    </row>
    <row r="279" spans="1:26">
      <c r="A279" s="774"/>
      <c r="B279" s="158" t="s">
        <v>2863</v>
      </c>
      <c r="C279" s="158" t="s">
        <v>2853</v>
      </c>
      <c r="D279" s="158" t="s">
        <v>2864</v>
      </c>
      <c r="E279" s="158" t="s">
        <v>1732</v>
      </c>
      <c r="F279" s="158" t="s">
        <v>1849</v>
      </c>
      <c r="G279" s="158" t="s">
        <v>2865</v>
      </c>
      <c r="H279" s="158" t="s">
        <v>2866</v>
      </c>
      <c r="I279" s="513" t="s">
        <v>1736</v>
      </c>
      <c r="J279" s="317" t="s">
        <v>1737</v>
      </c>
      <c r="K279" s="317" t="s">
        <v>1737</v>
      </c>
      <c r="L279" s="477"/>
      <c r="M279" s="477"/>
      <c r="N279" s="520"/>
      <c r="O279" s="477"/>
      <c r="P279" s="155"/>
      <c r="Q279" s="155"/>
      <c r="R279" s="155"/>
      <c r="S279" s="477"/>
      <c r="T279" s="521"/>
      <c r="U279" s="153"/>
      <c r="V279" s="153"/>
      <c r="W279" s="153"/>
      <c r="X279" s="153"/>
      <c r="Y279" s="153"/>
      <c r="Z279" s="153"/>
    </row>
    <row r="280" spans="1:26">
      <c r="A280" s="774"/>
      <c r="B280" s="158" t="s">
        <v>2867</v>
      </c>
      <c r="C280" s="158" t="s">
        <v>2853</v>
      </c>
      <c r="D280" s="158" t="s">
        <v>2868</v>
      </c>
      <c r="E280" s="158" t="s">
        <v>1732</v>
      </c>
      <c r="F280" s="158" t="s">
        <v>1849</v>
      </c>
      <c r="G280" s="158" t="s">
        <v>2869</v>
      </c>
      <c r="H280" s="158" t="s">
        <v>2870</v>
      </c>
      <c r="I280" s="513" t="s">
        <v>1736</v>
      </c>
      <c r="J280" s="317" t="s">
        <v>1737</v>
      </c>
      <c r="K280" s="317" t="s">
        <v>1737</v>
      </c>
      <c r="L280" s="477"/>
      <c r="M280" s="477"/>
      <c r="N280" s="520"/>
      <c r="O280" s="477"/>
      <c r="P280" s="155"/>
      <c r="Q280" s="155"/>
      <c r="R280" s="155"/>
      <c r="S280" s="477"/>
      <c r="T280" s="521"/>
      <c r="U280" s="153"/>
      <c r="V280" s="153"/>
      <c r="W280" s="153"/>
      <c r="X280" s="153"/>
      <c r="Y280" s="153"/>
      <c r="Z280" s="153"/>
    </row>
    <row r="281" spans="1:26">
      <c r="A281" s="774"/>
      <c r="B281" s="158" t="s">
        <v>2871</v>
      </c>
      <c r="C281" s="158" t="s">
        <v>2853</v>
      </c>
      <c r="D281" s="158" t="s">
        <v>2872</v>
      </c>
      <c r="E281" s="158" t="s">
        <v>1743</v>
      </c>
      <c r="F281" s="158" t="s">
        <v>1849</v>
      </c>
      <c r="G281" s="158" t="s">
        <v>2873</v>
      </c>
      <c r="H281" s="158" t="s">
        <v>2874</v>
      </c>
      <c r="I281" s="513" t="s">
        <v>1736</v>
      </c>
      <c r="J281" s="317" t="s">
        <v>1737</v>
      </c>
      <c r="K281" s="317" t="s">
        <v>1737</v>
      </c>
      <c r="L281" s="477"/>
      <c r="M281" s="477"/>
      <c r="N281" s="520"/>
      <c r="O281" s="477"/>
      <c r="P281" s="155"/>
      <c r="Q281" s="155"/>
      <c r="R281" s="155"/>
      <c r="S281" s="477"/>
      <c r="T281" s="521"/>
      <c r="U281" s="153"/>
      <c r="V281" s="153"/>
      <c r="W281" s="153"/>
      <c r="X281" s="153"/>
      <c r="Y281" s="153"/>
      <c r="Z281" s="153"/>
    </row>
    <row r="282" spans="1:26">
      <c r="A282" s="773"/>
      <c r="B282" s="158" t="s">
        <v>2875</v>
      </c>
      <c r="C282" s="158" t="s">
        <v>2853</v>
      </c>
      <c r="D282" s="158" t="s">
        <v>1873</v>
      </c>
      <c r="E282" s="158" t="s">
        <v>1743</v>
      </c>
      <c r="F282" s="158" t="s">
        <v>1849</v>
      </c>
      <c r="G282" s="158" t="s">
        <v>2855</v>
      </c>
      <c r="H282" s="158" t="s">
        <v>1874</v>
      </c>
      <c r="I282" s="513" t="s">
        <v>1736</v>
      </c>
      <c r="J282" s="317" t="s">
        <v>1737</v>
      </c>
      <c r="K282" s="317" t="s">
        <v>1737</v>
      </c>
      <c r="L282" s="477"/>
      <c r="M282" s="515">
        <v>45048</v>
      </c>
      <c r="N282" s="520" t="s">
        <v>2876</v>
      </c>
      <c r="O282" s="527">
        <v>45072</v>
      </c>
      <c r="P282" s="155" t="s">
        <v>2877</v>
      </c>
      <c r="Q282" s="155"/>
      <c r="R282" s="155"/>
      <c r="S282" s="515">
        <v>45071</v>
      </c>
      <c r="T282" s="521" t="s">
        <v>1916</v>
      </c>
      <c r="U282" s="153"/>
      <c r="V282" s="153"/>
      <c r="W282" s="153"/>
      <c r="X282" s="153"/>
      <c r="Y282" s="153"/>
      <c r="Z282" s="153"/>
    </row>
    <row r="283" spans="1:26">
      <c r="A283" s="655" t="s">
        <v>2878</v>
      </c>
      <c r="B283" s="155" t="s">
        <v>2879</v>
      </c>
      <c r="C283" s="155" t="s">
        <v>2880</v>
      </c>
      <c r="D283" s="155" t="s">
        <v>2881</v>
      </c>
      <c r="E283" s="155" t="s">
        <v>1732</v>
      </c>
      <c r="F283" s="155" t="s">
        <v>1849</v>
      </c>
      <c r="G283" s="155" t="s">
        <v>2882</v>
      </c>
      <c r="H283" s="155" t="s">
        <v>2883</v>
      </c>
      <c r="I283" s="513" t="s">
        <v>1736</v>
      </c>
      <c r="J283" s="317" t="s">
        <v>1737</v>
      </c>
      <c r="K283" s="317" t="s">
        <v>1737</v>
      </c>
      <c r="L283" s="477"/>
      <c r="M283" s="515">
        <v>45034</v>
      </c>
      <c r="N283" s="520" t="s">
        <v>2884</v>
      </c>
      <c r="O283" s="477"/>
      <c r="P283" s="155"/>
      <c r="Q283" s="155"/>
      <c r="R283" s="155"/>
      <c r="S283" s="515">
        <v>45043</v>
      </c>
      <c r="T283" s="521" t="s">
        <v>1916</v>
      </c>
      <c r="U283" s="153"/>
      <c r="V283" s="153"/>
      <c r="W283" s="153"/>
      <c r="X283" s="153"/>
      <c r="Y283" s="153"/>
      <c r="Z283" s="153"/>
    </row>
    <row r="284" spans="1:26">
      <c r="A284" s="774"/>
      <c r="B284" s="158" t="s">
        <v>2885</v>
      </c>
      <c r="C284" s="158" t="s">
        <v>2880</v>
      </c>
      <c r="D284" s="158" t="s">
        <v>2886</v>
      </c>
      <c r="E284" s="158" t="s">
        <v>1732</v>
      </c>
      <c r="F284" s="158" t="s">
        <v>1849</v>
      </c>
      <c r="G284" s="158" t="s">
        <v>2887</v>
      </c>
      <c r="H284" s="158" t="s">
        <v>2888</v>
      </c>
      <c r="I284" s="513" t="s">
        <v>1736</v>
      </c>
      <c r="J284" s="317" t="s">
        <v>1737</v>
      </c>
      <c r="K284" s="317" t="s">
        <v>1737</v>
      </c>
      <c r="L284" s="477"/>
      <c r="M284" s="515">
        <v>45034</v>
      </c>
      <c r="N284" s="520" t="s">
        <v>2889</v>
      </c>
      <c r="O284" s="515">
        <v>45075</v>
      </c>
      <c r="P284" s="155" t="s">
        <v>2890</v>
      </c>
      <c r="Q284" s="155"/>
      <c r="R284" s="155"/>
      <c r="S284" s="515">
        <v>45075</v>
      </c>
      <c r="T284" s="521" t="s">
        <v>1916</v>
      </c>
      <c r="U284" s="153"/>
      <c r="V284" s="153"/>
      <c r="W284" s="153"/>
      <c r="X284" s="153"/>
      <c r="Y284" s="153"/>
      <c r="Z284" s="153"/>
    </row>
    <row r="285" spans="1:26">
      <c r="A285" s="774"/>
      <c r="B285" s="158" t="s">
        <v>2891</v>
      </c>
      <c r="C285" s="158" t="s">
        <v>2880</v>
      </c>
      <c r="D285" s="158" t="s">
        <v>2892</v>
      </c>
      <c r="E285" s="158" t="s">
        <v>1732</v>
      </c>
      <c r="F285" s="158" t="s">
        <v>1849</v>
      </c>
      <c r="G285" s="158" t="s">
        <v>2893</v>
      </c>
      <c r="H285" s="158" t="s">
        <v>2894</v>
      </c>
      <c r="I285" s="513" t="s">
        <v>1736</v>
      </c>
      <c r="J285" s="317" t="s">
        <v>1737</v>
      </c>
      <c r="K285" s="317" t="s">
        <v>1737</v>
      </c>
      <c r="L285" s="477"/>
      <c r="M285" s="515">
        <v>45034</v>
      </c>
      <c r="N285" s="520" t="s">
        <v>2895</v>
      </c>
      <c r="O285" s="515">
        <v>45075</v>
      </c>
      <c r="P285" s="155" t="s">
        <v>2890</v>
      </c>
      <c r="Q285" s="155"/>
      <c r="R285" s="155"/>
      <c r="S285" s="515">
        <v>45075</v>
      </c>
      <c r="T285" s="521" t="s">
        <v>1916</v>
      </c>
      <c r="U285" s="153"/>
      <c r="V285" s="153"/>
      <c r="W285" s="153"/>
      <c r="X285" s="153"/>
      <c r="Y285" s="153"/>
      <c r="Z285" s="153"/>
    </row>
    <row r="286" spans="1:26">
      <c r="A286" s="774"/>
      <c r="B286" s="158" t="s">
        <v>2896</v>
      </c>
      <c r="C286" s="158" t="s">
        <v>2880</v>
      </c>
      <c r="D286" s="158" t="s">
        <v>2897</v>
      </c>
      <c r="E286" s="158" t="s">
        <v>1732</v>
      </c>
      <c r="F286" s="158" t="s">
        <v>1849</v>
      </c>
      <c r="G286" s="158" t="s">
        <v>2898</v>
      </c>
      <c r="H286" s="158" t="s">
        <v>2899</v>
      </c>
      <c r="I286" s="513" t="s">
        <v>1736</v>
      </c>
      <c r="J286" s="317" t="s">
        <v>1737</v>
      </c>
      <c r="K286" s="317" t="s">
        <v>1737</v>
      </c>
      <c r="L286" s="477"/>
      <c r="M286" s="515">
        <v>45034</v>
      </c>
      <c r="N286" s="520" t="s">
        <v>2900</v>
      </c>
      <c r="O286" s="515">
        <v>45077</v>
      </c>
      <c r="P286" s="155" t="s">
        <v>2901</v>
      </c>
      <c r="Q286" s="155"/>
      <c r="R286" s="155"/>
      <c r="S286" s="515">
        <v>45075</v>
      </c>
      <c r="T286" s="521" t="s">
        <v>1916</v>
      </c>
      <c r="U286" s="153"/>
      <c r="V286" s="153"/>
      <c r="W286" s="153"/>
      <c r="X286" s="153"/>
      <c r="Y286" s="153"/>
      <c r="Z286" s="153"/>
    </row>
    <row r="287" spans="1:26">
      <c r="A287" s="774"/>
      <c r="B287" s="158" t="s">
        <v>2902</v>
      </c>
      <c r="C287" s="158" t="s">
        <v>2880</v>
      </c>
      <c r="D287" s="528" t="s">
        <v>2903</v>
      </c>
      <c r="E287" s="158" t="s">
        <v>1743</v>
      </c>
      <c r="F287" s="158" t="s">
        <v>1779</v>
      </c>
      <c r="G287" s="158" t="s">
        <v>2904</v>
      </c>
      <c r="H287" s="158" t="s">
        <v>2905</v>
      </c>
      <c r="I287" s="513" t="s">
        <v>1736</v>
      </c>
      <c r="J287" s="317" t="s">
        <v>1737</v>
      </c>
      <c r="K287" s="317" t="s">
        <v>1737</v>
      </c>
      <c r="L287" s="477"/>
      <c r="M287" s="515">
        <v>45043</v>
      </c>
      <c r="N287" s="520" t="s">
        <v>2906</v>
      </c>
      <c r="O287" s="515">
        <v>45077</v>
      </c>
      <c r="P287" s="155" t="s">
        <v>2901</v>
      </c>
      <c r="Q287" s="155"/>
      <c r="R287" s="155"/>
      <c r="S287" s="515">
        <v>45075</v>
      </c>
      <c r="T287" s="521" t="s">
        <v>1916</v>
      </c>
      <c r="U287" s="153"/>
      <c r="V287" s="153"/>
      <c r="W287" s="153"/>
      <c r="X287" s="153"/>
      <c r="Y287" s="153"/>
      <c r="Z287" s="153"/>
    </row>
    <row r="288" spans="1:26">
      <c r="A288" s="773"/>
      <c r="B288" s="158" t="s">
        <v>2907</v>
      </c>
      <c r="C288" s="158" t="s">
        <v>2880</v>
      </c>
      <c r="D288" s="158" t="s">
        <v>1873</v>
      </c>
      <c r="E288" s="158" t="s">
        <v>1743</v>
      </c>
      <c r="F288" s="158" t="s">
        <v>1849</v>
      </c>
      <c r="G288" s="158" t="s">
        <v>2882</v>
      </c>
      <c r="H288" s="158" t="s">
        <v>1874</v>
      </c>
      <c r="I288" s="513" t="s">
        <v>1736</v>
      </c>
      <c r="J288" s="317" t="s">
        <v>1737</v>
      </c>
      <c r="K288" s="317" t="s">
        <v>1737</v>
      </c>
      <c r="L288" s="477"/>
      <c r="M288" s="515">
        <v>45034</v>
      </c>
      <c r="N288" s="520" t="s">
        <v>2908</v>
      </c>
      <c r="O288" s="515">
        <v>45075</v>
      </c>
      <c r="P288" s="155" t="s">
        <v>2890</v>
      </c>
      <c r="Q288" s="155"/>
      <c r="R288" s="155"/>
      <c r="S288" s="515">
        <v>45075</v>
      </c>
      <c r="T288" s="521" t="s">
        <v>1916</v>
      </c>
      <c r="U288" s="153"/>
      <c r="V288" s="153"/>
      <c r="W288" s="153"/>
      <c r="X288" s="153"/>
      <c r="Y288" s="153"/>
      <c r="Z288" s="153"/>
    </row>
    <row r="289" spans="1:26">
      <c r="A289" s="655" t="s">
        <v>2909</v>
      </c>
      <c r="B289" s="155" t="s">
        <v>2910</v>
      </c>
      <c r="C289" s="155" t="s">
        <v>2911</v>
      </c>
      <c r="D289" s="155" t="s">
        <v>2912</v>
      </c>
      <c r="E289" s="155" t="s">
        <v>1732</v>
      </c>
      <c r="F289" s="155" t="s">
        <v>1849</v>
      </c>
      <c r="G289" s="155" t="s">
        <v>2913</v>
      </c>
      <c r="H289" s="155" t="s">
        <v>2914</v>
      </c>
      <c r="I289" s="513" t="s">
        <v>1736</v>
      </c>
      <c r="J289" s="317" t="s">
        <v>1737</v>
      </c>
      <c r="K289" s="317" t="s">
        <v>1737</v>
      </c>
      <c r="L289" s="477"/>
      <c r="M289" s="515">
        <v>45075</v>
      </c>
      <c r="N289" s="520" t="s">
        <v>2915</v>
      </c>
      <c r="O289" s="477"/>
      <c r="P289" s="155"/>
      <c r="Q289" s="155"/>
      <c r="R289" s="155"/>
      <c r="S289" s="515">
        <v>45075</v>
      </c>
      <c r="T289" s="521" t="s">
        <v>1916</v>
      </c>
      <c r="U289" s="153"/>
      <c r="V289" s="153"/>
      <c r="W289" s="153"/>
      <c r="X289" s="153"/>
      <c r="Y289" s="153"/>
      <c r="Z289" s="153"/>
    </row>
    <row r="290" spans="1:26">
      <c r="A290" s="774"/>
      <c r="B290" s="158" t="s">
        <v>2916</v>
      </c>
      <c r="C290" s="158" t="s">
        <v>2911</v>
      </c>
      <c r="D290" s="158" t="s">
        <v>2917</v>
      </c>
      <c r="E290" s="158" t="s">
        <v>1732</v>
      </c>
      <c r="F290" s="158" t="s">
        <v>1849</v>
      </c>
      <c r="G290" s="158" t="s">
        <v>2918</v>
      </c>
      <c r="H290" s="158" t="s">
        <v>2919</v>
      </c>
      <c r="I290" s="513" t="s">
        <v>1736</v>
      </c>
      <c r="J290" s="317" t="s">
        <v>1737</v>
      </c>
      <c r="K290" s="317" t="s">
        <v>1737</v>
      </c>
      <c r="L290" s="477"/>
      <c r="M290" s="515">
        <v>45043</v>
      </c>
      <c r="N290" s="520" t="s">
        <v>2920</v>
      </c>
      <c r="O290" s="477"/>
      <c r="P290" s="155"/>
      <c r="Q290" s="155"/>
      <c r="R290" s="155"/>
      <c r="S290" s="515">
        <v>45075</v>
      </c>
      <c r="T290" s="521" t="s">
        <v>1916</v>
      </c>
      <c r="U290" s="153"/>
      <c r="V290" s="153"/>
      <c r="W290" s="153"/>
      <c r="X290" s="153"/>
      <c r="Y290" s="153"/>
      <c r="Z290" s="153"/>
    </row>
    <row r="291" spans="1:26">
      <c r="A291" s="773"/>
      <c r="B291" s="158" t="s">
        <v>2921</v>
      </c>
      <c r="C291" s="158" t="s">
        <v>2911</v>
      </c>
      <c r="D291" s="158" t="s">
        <v>1873</v>
      </c>
      <c r="E291" s="158" t="s">
        <v>1743</v>
      </c>
      <c r="F291" s="158" t="s">
        <v>1849</v>
      </c>
      <c r="G291" s="155" t="s">
        <v>2913</v>
      </c>
      <c r="H291" s="158" t="s">
        <v>1874</v>
      </c>
      <c r="I291" s="513" t="s">
        <v>1736</v>
      </c>
      <c r="J291" s="317" t="s">
        <v>1737</v>
      </c>
      <c r="K291" s="317" t="s">
        <v>1737</v>
      </c>
      <c r="L291" s="477"/>
      <c r="M291" s="515">
        <v>45043</v>
      </c>
      <c r="N291" s="520" t="s">
        <v>2922</v>
      </c>
      <c r="O291" s="515">
        <v>45075</v>
      </c>
      <c r="P291" s="155" t="s">
        <v>2923</v>
      </c>
      <c r="Q291" s="155"/>
      <c r="R291" s="155"/>
      <c r="S291" s="515">
        <v>45075</v>
      </c>
      <c r="T291" s="521" t="s">
        <v>1916</v>
      </c>
      <c r="U291" s="153"/>
      <c r="V291" s="153"/>
      <c r="W291" s="153"/>
      <c r="X291" s="153"/>
      <c r="Y291" s="153"/>
      <c r="Z291" s="153"/>
    </row>
    <row r="292" spans="1:26">
      <c r="A292" s="655" t="s">
        <v>2924</v>
      </c>
      <c r="B292" s="155" t="s">
        <v>2925</v>
      </c>
      <c r="C292" s="155" t="s">
        <v>2926</v>
      </c>
      <c r="D292" s="155" t="s">
        <v>2927</v>
      </c>
      <c r="E292" s="155" t="s">
        <v>1732</v>
      </c>
      <c r="F292" s="155" t="s">
        <v>1849</v>
      </c>
      <c r="G292" s="155" t="s">
        <v>2928</v>
      </c>
      <c r="H292" s="155" t="s">
        <v>2929</v>
      </c>
      <c r="I292" s="513" t="s">
        <v>1736</v>
      </c>
      <c r="J292" s="317" t="s">
        <v>1737</v>
      </c>
      <c r="K292" s="317" t="s">
        <v>1737</v>
      </c>
      <c r="L292" s="477"/>
      <c r="M292" s="515">
        <v>45042</v>
      </c>
      <c r="N292" s="520" t="s">
        <v>2930</v>
      </c>
      <c r="O292" s="477"/>
      <c r="P292" s="155"/>
      <c r="Q292" s="155"/>
      <c r="R292" s="525" t="s">
        <v>2931</v>
      </c>
      <c r="S292" s="477"/>
      <c r="T292" s="521"/>
      <c r="U292" s="153"/>
      <c r="V292" s="153"/>
      <c r="W292" s="153"/>
      <c r="X292" s="153"/>
      <c r="Y292" s="153"/>
      <c r="Z292" s="153"/>
    </row>
    <row r="293" spans="1:26">
      <c r="A293" s="774"/>
      <c r="B293" s="158" t="s">
        <v>2932</v>
      </c>
      <c r="C293" s="158" t="s">
        <v>2926</v>
      </c>
      <c r="D293" s="158" t="s">
        <v>2933</v>
      </c>
      <c r="E293" s="158" t="s">
        <v>1732</v>
      </c>
      <c r="F293" s="158" t="s">
        <v>1849</v>
      </c>
      <c r="G293" s="158" t="s">
        <v>2934</v>
      </c>
      <c r="H293" s="158" t="s">
        <v>2935</v>
      </c>
      <c r="I293" s="513" t="s">
        <v>1736</v>
      </c>
      <c r="J293" s="317" t="s">
        <v>1737</v>
      </c>
      <c r="K293" s="317" t="s">
        <v>1737</v>
      </c>
      <c r="L293" s="477"/>
      <c r="M293" s="477"/>
      <c r="N293" s="520"/>
      <c r="O293" s="477"/>
      <c r="P293" s="155"/>
      <c r="Q293" s="155"/>
      <c r="R293" s="155"/>
      <c r="S293" s="477"/>
      <c r="T293" s="521"/>
      <c r="U293" s="153"/>
      <c r="V293" s="153"/>
      <c r="W293" s="153"/>
      <c r="X293" s="153"/>
      <c r="Y293" s="153"/>
      <c r="Z293" s="153"/>
    </row>
    <row r="294" spans="1:26">
      <c r="A294" s="774"/>
      <c r="B294" s="158" t="s">
        <v>2936</v>
      </c>
      <c r="C294" s="158" t="s">
        <v>2926</v>
      </c>
      <c r="D294" s="158" t="s">
        <v>2937</v>
      </c>
      <c r="E294" s="158" t="s">
        <v>1732</v>
      </c>
      <c r="F294" s="158" t="s">
        <v>1849</v>
      </c>
      <c r="G294" s="158" t="s">
        <v>2938</v>
      </c>
      <c r="H294" s="158" t="s">
        <v>2939</v>
      </c>
      <c r="I294" s="513" t="s">
        <v>1736</v>
      </c>
      <c r="J294" s="317" t="s">
        <v>1737</v>
      </c>
      <c r="K294" s="317" t="s">
        <v>1737</v>
      </c>
      <c r="L294" s="477"/>
      <c r="M294" s="477"/>
      <c r="N294" s="520"/>
      <c r="O294" s="477"/>
      <c r="P294" s="155"/>
      <c r="Q294" s="155"/>
      <c r="R294" s="155"/>
      <c r="S294" s="477"/>
      <c r="T294" s="521"/>
      <c r="U294" s="153"/>
      <c r="V294" s="153"/>
      <c r="W294" s="153"/>
      <c r="X294" s="153"/>
      <c r="Y294" s="153"/>
      <c r="Z294" s="153"/>
    </row>
    <row r="295" spans="1:26">
      <c r="A295" s="774"/>
      <c r="B295" s="158" t="s">
        <v>2940</v>
      </c>
      <c r="C295" s="158" t="s">
        <v>2926</v>
      </c>
      <c r="D295" s="158" t="s">
        <v>2941</v>
      </c>
      <c r="E295" s="158" t="s">
        <v>1732</v>
      </c>
      <c r="F295" s="158" t="s">
        <v>1849</v>
      </c>
      <c r="G295" s="158" t="s">
        <v>2942</v>
      </c>
      <c r="H295" s="158" t="s">
        <v>2943</v>
      </c>
      <c r="I295" s="513" t="s">
        <v>1736</v>
      </c>
      <c r="J295" s="317" t="s">
        <v>1737</v>
      </c>
      <c r="K295" s="317" t="s">
        <v>1737</v>
      </c>
      <c r="L295" s="477"/>
      <c r="M295" s="515">
        <v>45043</v>
      </c>
      <c r="N295" s="520" t="s">
        <v>2944</v>
      </c>
      <c r="O295" s="477"/>
      <c r="P295" s="155"/>
      <c r="Q295" s="155"/>
      <c r="R295" s="155"/>
      <c r="S295" s="515">
        <v>45043</v>
      </c>
      <c r="T295" s="521" t="s">
        <v>1916</v>
      </c>
      <c r="U295" s="153"/>
      <c r="V295" s="153"/>
      <c r="W295" s="153"/>
      <c r="X295" s="153"/>
      <c r="Y295" s="153"/>
      <c r="Z295" s="153"/>
    </row>
    <row r="296" spans="1:26">
      <c r="A296" s="774"/>
      <c r="B296" s="158" t="s">
        <v>2945</v>
      </c>
      <c r="C296" s="158" t="s">
        <v>2926</v>
      </c>
      <c r="D296" s="158" t="s">
        <v>2946</v>
      </c>
      <c r="E296" s="158" t="s">
        <v>1732</v>
      </c>
      <c r="F296" s="158" t="s">
        <v>1849</v>
      </c>
      <c r="G296" s="158" t="s">
        <v>2947</v>
      </c>
      <c r="H296" s="158" t="s">
        <v>2948</v>
      </c>
      <c r="I296" s="513" t="s">
        <v>1736</v>
      </c>
      <c r="J296" s="317" t="s">
        <v>1737</v>
      </c>
      <c r="K296" s="317" t="s">
        <v>1737</v>
      </c>
      <c r="L296" s="477"/>
      <c r="M296" s="515">
        <v>45082</v>
      </c>
      <c r="N296" s="520" t="s">
        <v>2949</v>
      </c>
      <c r="O296" s="477"/>
      <c r="P296" s="155"/>
      <c r="Q296" s="155"/>
      <c r="R296" s="155"/>
      <c r="S296" s="515">
        <v>45082</v>
      </c>
      <c r="T296" s="521" t="s">
        <v>1916</v>
      </c>
      <c r="U296" s="153"/>
      <c r="V296" s="153"/>
      <c r="W296" s="153"/>
      <c r="X296" s="153"/>
      <c r="Y296" s="153"/>
      <c r="Z296" s="153"/>
    </row>
    <row r="297" spans="1:26">
      <c r="A297" s="774"/>
      <c r="B297" s="158" t="s">
        <v>2950</v>
      </c>
      <c r="C297" s="158" t="s">
        <v>2926</v>
      </c>
      <c r="D297" s="158" t="s">
        <v>2951</v>
      </c>
      <c r="E297" s="158" t="s">
        <v>1732</v>
      </c>
      <c r="F297" s="158" t="s">
        <v>1849</v>
      </c>
      <c r="G297" s="158" t="s">
        <v>2952</v>
      </c>
      <c r="H297" s="158" t="s">
        <v>2953</v>
      </c>
      <c r="I297" s="513" t="s">
        <v>1736</v>
      </c>
      <c r="J297" s="317" t="s">
        <v>1737</v>
      </c>
      <c r="K297" s="317" t="s">
        <v>1737</v>
      </c>
      <c r="L297" s="477"/>
      <c r="M297" s="515">
        <v>45043</v>
      </c>
      <c r="N297" s="520" t="s">
        <v>2954</v>
      </c>
      <c r="O297" s="477"/>
      <c r="P297" s="155"/>
      <c r="Q297" s="155"/>
      <c r="R297" s="155"/>
      <c r="S297" s="515">
        <v>45043</v>
      </c>
      <c r="T297" s="521" t="s">
        <v>1916</v>
      </c>
      <c r="U297" s="153"/>
      <c r="V297" s="153"/>
      <c r="W297" s="153"/>
      <c r="X297" s="153"/>
      <c r="Y297" s="153"/>
      <c r="Z297" s="153"/>
    </row>
    <row r="298" spans="1:26">
      <c r="A298" s="774"/>
      <c r="B298" s="158" t="s">
        <v>2955</v>
      </c>
      <c r="C298" s="158" t="s">
        <v>2926</v>
      </c>
      <c r="D298" s="158" t="s">
        <v>2956</v>
      </c>
      <c r="E298" s="158" t="s">
        <v>1732</v>
      </c>
      <c r="F298" s="158" t="s">
        <v>1849</v>
      </c>
      <c r="G298" s="158" t="s">
        <v>2957</v>
      </c>
      <c r="H298" s="158" t="s">
        <v>2958</v>
      </c>
      <c r="I298" s="513" t="s">
        <v>1736</v>
      </c>
      <c r="J298" s="317" t="s">
        <v>1737</v>
      </c>
      <c r="K298" s="317" t="s">
        <v>1737</v>
      </c>
      <c r="L298" s="477"/>
      <c r="M298" s="515">
        <v>45043</v>
      </c>
      <c r="N298" s="520" t="s">
        <v>2959</v>
      </c>
      <c r="O298" s="477"/>
      <c r="P298" s="155"/>
      <c r="Q298" s="155"/>
      <c r="R298" s="155"/>
      <c r="S298" s="515">
        <v>45043</v>
      </c>
      <c r="T298" s="521" t="s">
        <v>1916</v>
      </c>
      <c r="U298" s="153"/>
      <c r="V298" s="153"/>
      <c r="W298" s="153"/>
      <c r="X298" s="153"/>
      <c r="Y298" s="153"/>
      <c r="Z298" s="153"/>
    </row>
    <row r="299" spans="1:26">
      <c r="A299" s="774"/>
      <c r="B299" s="158" t="s">
        <v>2960</v>
      </c>
      <c r="C299" s="158" t="s">
        <v>2926</v>
      </c>
      <c r="D299" s="158" t="s">
        <v>2961</v>
      </c>
      <c r="E299" s="158" t="s">
        <v>1732</v>
      </c>
      <c r="F299" s="158" t="s">
        <v>1849</v>
      </c>
      <c r="G299" s="158" t="s">
        <v>2962</v>
      </c>
      <c r="H299" s="158" t="s">
        <v>2963</v>
      </c>
      <c r="I299" s="513" t="s">
        <v>1736</v>
      </c>
      <c r="J299" s="317" t="s">
        <v>1737</v>
      </c>
      <c r="K299" s="317" t="s">
        <v>1737</v>
      </c>
      <c r="L299" s="477"/>
      <c r="M299" s="515">
        <v>45043</v>
      </c>
      <c r="N299" s="520" t="s">
        <v>2964</v>
      </c>
      <c r="O299" s="477"/>
      <c r="P299" s="155"/>
      <c r="Q299" s="155"/>
      <c r="R299" s="155"/>
      <c r="S299" s="515">
        <v>45043</v>
      </c>
      <c r="T299" s="521" t="s">
        <v>1916</v>
      </c>
      <c r="U299" s="153"/>
      <c r="V299" s="153"/>
      <c r="W299" s="153"/>
      <c r="X299" s="153"/>
      <c r="Y299" s="153"/>
      <c r="Z299" s="153"/>
    </row>
    <row r="300" spans="1:26">
      <c r="A300" s="774"/>
      <c r="B300" s="158" t="s">
        <v>2965</v>
      </c>
      <c r="C300" s="158" t="s">
        <v>2926</v>
      </c>
      <c r="D300" s="158" t="s">
        <v>2966</v>
      </c>
      <c r="E300" s="158" t="s">
        <v>1732</v>
      </c>
      <c r="F300" s="158" t="s">
        <v>1849</v>
      </c>
      <c r="G300" s="158" t="s">
        <v>2967</v>
      </c>
      <c r="H300" s="158" t="s">
        <v>2963</v>
      </c>
      <c r="I300" s="513" t="s">
        <v>1736</v>
      </c>
      <c r="J300" s="317" t="s">
        <v>1737</v>
      </c>
      <c r="K300" s="317" t="s">
        <v>1737</v>
      </c>
      <c r="L300" s="477"/>
      <c r="M300" s="36"/>
      <c r="N300" s="36"/>
      <c r="O300" s="106"/>
      <c r="P300" s="155"/>
      <c r="Q300" s="155"/>
      <c r="R300" s="155"/>
      <c r="S300" s="477"/>
      <c r="T300" s="521"/>
      <c r="U300" s="153"/>
      <c r="V300" s="153"/>
      <c r="W300" s="153"/>
      <c r="X300" s="153"/>
      <c r="Y300" s="153"/>
      <c r="Z300" s="153"/>
    </row>
    <row r="301" spans="1:26">
      <c r="A301" s="774"/>
      <c r="B301" s="158" t="s">
        <v>2968</v>
      </c>
      <c r="C301" s="158" t="s">
        <v>2926</v>
      </c>
      <c r="D301" s="158" t="s">
        <v>2969</v>
      </c>
      <c r="E301" s="158" t="s">
        <v>1743</v>
      </c>
      <c r="F301" s="158" t="s">
        <v>1849</v>
      </c>
      <c r="G301" s="158" t="s">
        <v>2970</v>
      </c>
      <c r="H301" s="158" t="s">
        <v>2971</v>
      </c>
      <c r="I301" s="513" t="s">
        <v>1736</v>
      </c>
      <c r="J301" s="317" t="s">
        <v>1737</v>
      </c>
      <c r="K301" s="317" t="s">
        <v>1737</v>
      </c>
      <c r="L301" s="477"/>
      <c r="M301" s="477"/>
      <c r="N301" s="520"/>
      <c r="O301" s="477"/>
      <c r="P301" s="155"/>
      <c r="Q301" s="155"/>
      <c r="R301" s="155"/>
      <c r="S301" s="477"/>
      <c r="T301" s="521"/>
      <c r="U301" s="153"/>
      <c r="V301" s="153"/>
      <c r="W301" s="153"/>
      <c r="X301" s="153"/>
      <c r="Y301" s="153"/>
      <c r="Z301" s="153"/>
    </row>
    <row r="302" spans="1:26">
      <c r="A302" s="773"/>
      <c r="B302" s="158" t="s">
        <v>2972</v>
      </c>
      <c r="C302" s="158" t="s">
        <v>2926</v>
      </c>
      <c r="D302" s="158" t="s">
        <v>1873</v>
      </c>
      <c r="E302" s="158" t="s">
        <v>1743</v>
      </c>
      <c r="F302" s="158" t="s">
        <v>1849</v>
      </c>
      <c r="G302" s="158" t="s">
        <v>2928</v>
      </c>
      <c r="H302" s="158" t="s">
        <v>1874</v>
      </c>
      <c r="I302" s="513" t="s">
        <v>1736</v>
      </c>
      <c r="J302" s="317" t="s">
        <v>1737</v>
      </c>
      <c r="K302" s="317" t="s">
        <v>1737</v>
      </c>
      <c r="L302" s="477"/>
      <c r="M302" s="477"/>
      <c r="N302" s="520"/>
      <c r="O302" s="477"/>
      <c r="P302" s="155"/>
      <c r="Q302" s="155"/>
      <c r="R302" s="155"/>
      <c r="S302" s="477"/>
      <c r="T302" s="521"/>
      <c r="U302" s="153"/>
      <c r="V302" s="153"/>
      <c r="W302" s="153"/>
      <c r="X302" s="153"/>
      <c r="Y302" s="153"/>
      <c r="Z302" s="153"/>
    </row>
    <row r="303" spans="1:26">
      <c r="A303" s="655" t="s">
        <v>2973</v>
      </c>
      <c r="B303" s="155" t="s">
        <v>2974</v>
      </c>
      <c r="C303" s="155" t="s">
        <v>2975</v>
      </c>
      <c r="D303" s="155" t="s">
        <v>2976</v>
      </c>
      <c r="E303" s="155" t="s">
        <v>1732</v>
      </c>
      <c r="F303" s="155" t="s">
        <v>1849</v>
      </c>
      <c r="G303" s="155" t="s">
        <v>2977</v>
      </c>
      <c r="H303" s="155" t="s">
        <v>2978</v>
      </c>
      <c r="I303" s="513" t="s">
        <v>1736</v>
      </c>
      <c r="J303" s="317" t="s">
        <v>1737</v>
      </c>
      <c r="K303" s="317" t="s">
        <v>1737</v>
      </c>
      <c r="L303" s="477"/>
      <c r="M303" s="515">
        <v>45042</v>
      </c>
      <c r="N303" s="520" t="s">
        <v>2979</v>
      </c>
      <c r="O303" s="477"/>
      <c r="P303" s="155"/>
      <c r="Q303" s="155"/>
      <c r="R303" s="155"/>
      <c r="S303" s="515">
        <v>45082</v>
      </c>
      <c r="T303" s="521" t="s">
        <v>1916</v>
      </c>
      <c r="U303" s="153"/>
      <c r="V303" s="153"/>
      <c r="W303" s="153"/>
      <c r="X303" s="153"/>
      <c r="Y303" s="153"/>
      <c r="Z303" s="153"/>
    </row>
    <row r="304" spans="1:26">
      <c r="A304" s="774"/>
      <c r="B304" s="158" t="s">
        <v>2980</v>
      </c>
      <c r="C304" s="158" t="s">
        <v>2975</v>
      </c>
      <c r="D304" s="158" t="s">
        <v>2981</v>
      </c>
      <c r="E304" s="158" t="s">
        <v>1732</v>
      </c>
      <c r="F304" s="158" t="s">
        <v>1849</v>
      </c>
      <c r="G304" s="158" t="s">
        <v>2982</v>
      </c>
      <c r="H304" s="158" t="s">
        <v>2983</v>
      </c>
      <c r="I304" s="513" t="s">
        <v>1736</v>
      </c>
      <c r="J304" s="317" t="s">
        <v>1737</v>
      </c>
      <c r="K304" s="317" t="s">
        <v>1737</v>
      </c>
      <c r="L304" s="477"/>
      <c r="M304" s="515">
        <v>45042</v>
      </c>
      <c r="N304" s="520" t="s">
        <v>2984</v>
      </c>
      <c r="O304" s="477"/>
      <c r="P304" s="155"/>
      <c r="Q304" s="155"/>
      <c r="R304" s="155"/>
      <c r="S304" s="515">
        <v>45082</v>
      </c>
      <c r="T304" s="521" t="s">
        <v>1916</v>
      </c>
      <c r="U304" s="153"/>
      <c r="V304" s="153"/>
      <c r="W304" s="153"/>
      <c r="X304" s="153"/>
      <c r="Y304" s="153"/>
      <c r="Z304" s="153"/>
    </row>
    <row r="305" spans="1:26">
      <c r="A305" s="774"/>
      <c r="B305" s="158" t="s">
        <v>2985</v>
      </c>
      <c r="C305" s="158" t="s">
        <v>2975</v>
      </c>
      <c r="D305" s="158" t="s">
        <v>2969</v>
      </c>
      <c r="E305" s="158" t="s">
        <v>1743</v>
      </c>
      <c r="F305" s="158" t="s">
        <v>1849</v>
      </c>
      <c r="G305" s="158" t="s">
        <v>2986</v>
      </c>
      <c r="H305" s="158" t="s">
        <v>2971</v>
      </c>
      <c r="I305" s="513" t="s">
        <v>1736</v>
      </c>
      <c r="J305" s="317" t="s">
        <v>1737</v>
      </c>
      <c r="K305" s="317" t="s">
        <v>1737</v>
      </c>
      <c r="L305" s="477"/>
      <c r="M305" s="515">
        <v>45043</v>
      </c>
      <c r="N305" s="520" t="s">
        <v>2987</v>
      </c>
      <c r="O305" s="477"/>
      <c r="P305" s="155"/>
      <c r="Q305" s="155"/>
      <c r="R305" s="155"/>
      <c r="S305" s="515">
        <v>45082</v>
      </c>
      <c r="T305" s="521" t="s">
        <v>1916</v>
      </c>
      <c r="U305" s="153"/>
      <c r="V305" s="153"/>
      <c r="W305" s="153"/>
      <c r="X305" s="153"/>
      <c r="Y305" s="153"/>
      <c r="Z305" s="153"/>
    </row>
    <row r="306" spans="1:26">
      <c r="A306" s="773"/>
      <c r="B306" s="158" t="s">
        <v>2988</v>
      </c>
      <c r="C306" s="158" t="s">
        <v>2975</v>
      </c>
      <c r="D306" s="158" t="s">
        <v>1873</v>
      </c>
      <c r="E306" s="158" t="s">
        <v>1743</v>
      </c>
      <c r="F306" s="158" t="s">
        <v>1849</v>
      </c>
      <c r="G306" s="158" t="s">
        <v>2977</v>
      </c>
      <c r="H306" s="158" t="s">
        <v>1874</v>
      </c>
      <c r="I306" s="513" t="s">
        <v>1736</v>
      </c>
      <c r="J306" s="317" t="s">
        <v>1737</v>
      </c>
      <c r="K306" s="317" t="s">
        <v>1737</v>
      </c>
      <c r="L306" s="477"/>
      <c r="M306" s="515">
        <v>45042</v>
      </c>
      <c r="N306" s="520" t="s">
        <v>2989</v>
      </c>
      <c r="O306" s="477"/>
      <c r="P306" s="155"/>
      <c r="Q306" s="155"/>
      <c r="R306" s="155"/>
      <c r="S306" s="515">
        <v>45082</v>
      </c>
      <c r="T306" s="521" t="s">
        <v>1916</v>
      </c>
      <c r="U306" s="153"/>
      <c r="V306" s="153"/>
      <c r="W306" s="153"/>
      <c r="X306" s="153"/>
      <c r="Y306" s="153"/>
      <c r="Z306" s="153"/>
    </row>
    <row r="307" spans="1:26">
      <c r="A307" s="683" t="s">
        <v>2990</v>
      </c>
      <c r="B307" s="158" t="s">
        <v>2991</v>
      </c>
      <c r="C307" s="158" t="s">
        <v>2992</v>
      </c>
      <c r="D307" s="158" t="s">
        <v>2993</v>
      </c>
      <c r="E307" s="158" t="s">
        <v>1732</v>
      </c>
      <c r="F307" s="158" t="s">
        <v>1849</v>
      </c>
      <c r="G307" s="158" t="s">
        <v>2994</v>
      </c>
      <c r="H307" s="158" t="s">
        <v>2995</v>
      </c>
      <c r="I307" s="513" t="s">
        <v>1736</v>
      </c>
      <c r="J307" s="317" t="s">
        <v>1737</v>
      </c>
      <c r="K307" s="317" t="s">
        <v>1737</v>
      </c>
      <c r="L307" s="477"/>
      <c r="M307" s="515">
        <v>45042</v>
      </c>
      <c r="N307" s="520" t="s">
        <v>2996</v>
      </c>
      <c r="O307" s="477"/>
      <c r="P307" s="155"/>
      <c r="Q307" s="155"/>
      <c r="R307" s="155"/>
      <c r="S307" s="515">
        <v>45056</v>
      </c>
      <c r="T307" s="521" t="s">
        <v>1916</v>
      </c>
      <c r="U307" s="153"/>
      <c r="V307" s="153"/>
      <c r="W307" s="153"/>
      <c r="X307" s="153"/>
      <c r="Y307" s="153"/>
      <c r="Z307" s="153"/>
    </row>
    <row r="308" spans="1:26">
      <c r="A308" s="774"/>
      <c r="B308" s="158" t="s">
        <v>2997</v>
      </c>
      <c r="C308" s="158" t="s">
        <v>2992</v>
      </c>
      <c r="D308" s="158" t="s">
        <v>2998</v>
      </c>
      <c r="E308" s="158" t="s">
        <v>1732</v>
      </c>
      <c r="F308" s="158" t="s">
        <v>1849</v>
      </c>
      <c r="G308" s="158" t="s">
        <v>2999</v>
      </c>
      <c r="H308" s="158" t="s">
        <v>3000</v>
      </c>
      <c r="I308" s="513" t="s">
        <v>1736</v>
      </c>
      <c r="J308" s="317" t="s">
        <v>1737</v>
      </c>
      <c r="K308" s="317" t="s">
        <v>1737</v>
      </c>
      <c r="L308" s="477"/>
      <c r="M308" s="515">
        <v>45043</v>
      </c>
      <c r="N308" s="520" t="s">
        <v>3001</v>
      </c>
      <c r="O308" s="477"/>
      <c r="P308" s="155"/>
      <c r="Q308" s="155"/>
      <c r="R308" s="155"/>
      <c r="S308" s="515">
        <v>45056</v>
      </c>
      <c r="T308" s="521" t="s">
        <v>1916</v>
      </c>
      <c r="U308" s="153"/>
      <c r="V308" s="153"/>
      <c r="W308" s="153"/>
      <c r="X308" s="153"/>
      <c r="Y308" s="153"/>
      <c r="Z308" s="153"/>
    </row>
    <row r="309" spans="1:26">
      <c r="A309" s="774"/>
      <c r="B309" s="158" t="s">
        <v>3002</v>
      </c>
      <c r="C309" s="158" t="s">
        <v>2992</v>
      </c>
      <c r="D309" s="158" t="s">
        <v>3003</v>
      </c>
      <c r="E309" s="160" t="s">
        <v>1743</v>
      </c>
      <c r="F309" s="158" t="s">
        <v>1849</v>
      </c>
      <c r="G309" s="158" t="s">
        <v>2999</v>
      </c>
      <c r="H309" s="158" t="s">
        <v>2971</v>
      </c>
      <c r="I309" s="513" t="s">
        <v>1736</v>
      </c>
      <c r="J309" s="317" t="s">
        <v>1737</v>
      </c>
      <c r="K309" s="317" t="s">
        <v>1737</v>
      </c>
      <c r="L309" s="477"/>
      <c r="M309" s="515">
        <v>45043</v>
      </c>
      <c r="N309" s="153" t="s">
        <v>3004</v>
      </c>
      <c r="O309" s="477"/>
      <c r="P309" s="155"/>
      <c r="Q309" s="155"/>
      <c r="R309" s="525" t="s">
        <v>3005</v>
      </c>
      <c r="S309" s="477"/>
      <c r="T309" s="521"/>
      <c r="U309" s="153"/>
      <c r="V309" s="153"/>
      <c r="W309" s="153"/>
      <c r="X309" s="153"/>
      <c r="Y309" s="153"/>
      <c r="Z309" s="153"/>
    </row>
    <row r="310" spans="1:26">
      <c r="A310" s="773"/>
      <c r="B310" s="158" t="s">
        <v>3006</v>
      </c>
      <c r="C310" s="158" t="s">
        <v>2992</v>
      </c>
      <c r="D310" s="158" t="s">
        <v>1873</v>
      </c>
      <c r="E310" s="158" t="s">
        <v>1743</v>
      </c>
      <c r="F310" s="158" t="s">
        <v>1849</v>
      </c>
      <c r="G310" s="158" t="s">
        <v>2994</v>
      </c>
      <c r="H310" s="158" t="s">
        <v>1874</v>
      </c>
      <c r="I310" s="513" t="s">
        <v>1736</v>
      </c>
      <c r="J310" s="317" t="s">
        <v>1737</v>
      </c>
      <c r="K310" s="317" t="s">
        <v>1737</v>
      </c>
      <c r="L310" s="477"/>
      <c r="M310" s="515">
        <v>45043</v>
      </c>
      <c r="N310" s="520" t="s">
        <v>3007</v>
      </c>
      <c r="O310" s="477"/>
      <c r="P310" s="155"/>
      <c r="Q310" s="155"/>
      <c r="R310" s="155"/>
      <c r="S310" s="515">
        <v>45056</v>
      </c>
      <c r="T310" s="521" t="s">
        <v>1916</v>
      </c>
      <c r="U310" s="153"/>
      <c r="V310" s="153"/>
      <c r="W310" s="153"/>
      <c r="X310" s="153"/>
      <c r="Y310" s="153"/>
      <c r="Z310" s="153"/>
    </row>
    <row r="311" spans="1:26">
      <c r="A311" s="655" t="s">
        <v>3008</v>
      </c>
      <c r="B311" s="155" t="s">
        <v>3009</v>
      </c>
      <c r="C311" s="155" t="s">
        <v>3010</v>
      </c>
      <c r="D311" s="155" t="s">
        <v>3011</v>
      </c>
      <c r="E311" s="155" t="s">
        <v>1732</v>
      </c>
      <c r="F311" s="155" t="s">
        <v>1849</v>
      </c>
      <c r="G311" s="155" t="s">
        <v>3012</v>
      </c>
      <c r="H311" s="155" t="s">
        <v>3013</v>
      </c>
      <c r="I311" s="513" t="s">
        <v>1736</v>
      </c>
      <c r="J311" s="317" t="s">
        <v>1737</v>
      </c>
      <c r="K311" s="317" t="s">
        <v>1737</v>
      </c>
      <c r="L311" s="477"/>
      <c r="M311" s="477"/>
      <c r="N311" s="520"/>
      <c r="O311" s="477"/>
      <c r="P311" s="155"/>
      <c r="Q311" s="155"/>
      <c r="R311" s="155"/>
      <c r="S311" s="477"/>
      <c r="T311" s="521"/>
      <c r="U311" s="153"/>
      <c r="V311" s="153"/>
      <c r="W311" s="153"/>
      <c r="X311" s="153"/>
      <c r="Y311" s="153"/>
      <c r="Z311" s="153"/>
    </row>
    <row r="312" spans="1:26">
      <c r="A312" s="773"/>
      <c r="B312" s="158" t="s">
        <v>3014</v>
      </c>
      <c r="C312" s="158" t="s">
        <v>3010</v>
      </c>
      <c r="D312" s="158" t="s">
        <v>1873</v>
      </c>
      <c r="E312" s="158" t="s">
        <v>1743</v>
      </c>
      <c r="F312" s="158" t="s">
        <v>1849</v>
      </c>
      <c r="G312" s="158" t="s">
        <v>3012</v>
      </c>
      <c r="H312" s="158" t="s">
        <v>1874</v>
      </c>
      <c r="I312" s="513" t="s">
        <v>1736</v>
      </c>
      <c r="J312" s="317" t="s">
        <v>1737</v>
      </c>
      <c r="K312" s="317" t="s">
        <v>1737</v>
      </c>
      <c r="L312" s="477"/>
      <c r="M312" s="477"/>
      <c r="N312" s="520"/>
      <c r="O312" s="477"/>
      <c r="P312" s="155"/>
      <c r="Q312" s="155"/>
      <c r="R312" s="155"/>
      <c r="S312" s="477"/>
      <c r="T312" s="521"/>
      <c r="U312" s="153"/>
      <c r="V312" s="153"/>
      <c r="W312" s="153"/>
      <c r="X312" s="153"/>
      <c r="Y312" s="153"/>
      <c r="Z312" s="153"/>
    </row>
    <row r="313" spans="1:26">
      <c r="A313" s="655" t="s">
        <v>3015</v>
      </c>
      <c r="B313" s="155" t="s">
        <v>3016</v>
      </c>
      <c r="C313" s="155" t="s">
        <v>3017</v>
      </c>
      <c r="D313" s="155" t="s">
        <v>3017</v>
      </c>
      <c r="E313" s="477" t="s">
        <v>1732</v>
      </c>
      <c r="F313" s="155" t="s">
        <v>1849</v>
      </c>
      <c r="G313" s="155" t="s">
        <v>3018</v>
      </c>
      <c r="H313" s="155" t="s">
        <v>3019</v>
      </c>
      <c r="I313" s="513" t="s">
        <v>1736</v>
      </c>
      <c r="J313" s="317" t="s">
        <v>1737</v>
      </c>
      <c r="K313" s="317" t="s">
        <v>1737</v>
      </c>
      <c r="L313" s="477"/>
      <c r="M313" s="515">
        <v>45044</v>
      </c>
      <c r="N313" s="520" t="s">
        <v>3020</v>
      </c>
      <c r="O313" s="477"/>
      <c r="P313" s="155"/>
      <c r="Q313" s="155"/>
      <c r="R313" s="155"/>
      <c r="S313" s="515">
        <v>45056</v>
      </c>
      <c r="T313" s="521" t="s">
        <v>1916</v>
      </c>
      <c r="U313" s="153"/>
      <c r="V313" s="153"/>
      <c r="W313" s="153"/>
      <c r="X313" s="153"/>
      <c r="Y313" s="153"/>
      <c r="Z313" s="153"/>
    </row>
    <row r="314" spans="1:26">
      <c r="A314" s="773"/>
      <c r="B314" s="158" t="s">
        <v>3021</v>
      </c>
      <c r="C314" s="158" t="s">
        <v>3017</v>
      </c>
      <c r="D314" s="158" t="s">
        <v>1873</v>
      </c>
      <c r="E314" s="160" t="s">
        <v>1743</v>
      </c>
      <c r="F314" s="158" t="s">
        <v>1849</v>
      </c>
      <c r="G314" s="158" t="s">
        <v>3018</v>
      </c>
      <c r="H314" s="158" t="s">
        <v>1874</v>
      </c>
      <c r="I314" s="513" t="s">
        <v>1736</v>
      </c>
      <c r="J314" s="317" t="s">
        <v>1737</v>
      </c>
      <c r="K314" s="317" t="s">
        <v>1737</v>
      </c>
      <c r="L314" s="477"/>
      <c r="M314" s="515">
        <v>45044</v>
      </c>
      <c r="N314" s="520" t="s">
        <v>3022</v>
      </c>
      <c r="O314" s="477"/>
      <c r="P314" s="155"/>
      <c r="Q314" s="155"/>
      <c r="R314" s="155"/>
      <c r="S314" s="515">
        <v>45056</v>
      </c>
      <c r="T314" s="521" t="s">
        <v>1916</v>
      </c>
      <c r="U314" s="153"/>
      <c r="V314" s="153"/>
      <c r="W314" s="153"/>
      <c r="X314" s="153"/>
      <c r="Y314" s="153"/>
      <c r="Z314" s="153"/>
    </row>
    <row r="315" spans="1:26">
      <c r="A315" s="655" t="s">
        <v>3023</v>
      </c>
      <c r="B315" s="155" t="s">
        <v>3024</v>
      </c>
      <c r="C315" s="155" t="s">
        <v>3025</v>
      </c>
      <c r="D315" s="155" t="s">
        <v>3026</v>
      </c>
      <c r="E315" s="477" t="s">
        <v>1732</v>
      </c>
      <c r="F315" s="155" t="s">
        <v>1849</v>
      </c>
      <c r="G315" s="155" t="s">
        <v>3027</v>
      </c>
      <c r="H315" s="155" t="s">
        <v>3028</v>
      </c>
      <c r="I315" s="513" t="s">
        <v>1736</v>
      </c>
      <c r="J315" s="317" t="s">
        <v>1737</v>
      </c>
      <c r="K315" s="317" t="s">
        <v>1737</v>
      </c>
      <c r="L315" s="477"/>
      <c r="M315" s="515">
        <v>45044</v>
      </c>
      <c r="N315" s="520" t="s">
        <v>3029</v>
      </c>
      <c r="O315" s="477"/>
      <c r="P315" s="155"/>
      <c r="Q315" s="155"/>
      <c r="R315" s="155"/>
      <c r="S315" s="515">
        <v>45056</v>
      </c>
      <c r="T315" s="521" t="s">
        <v>1916</v>
      </c>
      <c r="U315" s="153"/>
      <c r="V315" s="153"/>
      <c r="W315" s="153"/>
      <c r="X315" s="153"/>
      <c r="Y315" s="153"/>
      <c r="Z315" s="153"/>
    </row>
    <row r="316" spans="1:26">
      <c r="A316" s="773"/>
      <c r="B316" s="158" t="s">
        <v>3030</v>
      </c>
      <c r="C316" s="158" t="s">
        <v>3025</v>
      </c>
      <c r="D316" s="158" t="s">
        <v>1873</v>
      </c>
      <c r="E316" s="160" t="s">
        <v>1743</v>
      </c>
      <c r="F316" s="158" t="s">
        <v>1849</v>
      </c>
      <c r="G316" s="158" t="s">
        <v>3027</v>
      </c>
      <c r="H316" s="158" t="s">
        <v>1874</v>
      </c>
      <c r="I316" s="513" t="s">
        <v>1736</v>
      </c>
      <c r="J316" s="317" t="s">
        <v>1737</v>
      </c>
      <c r="K316" s="317" t="s">
        <v>1737</v>
      </c>
      <c r="L316" s="477"/>
      <c r="M316" s="515">
        <v>45044</v>
      </c>
      <c r="N316" s="520" t="s">
        <v>3029</v>
      </c>
      <c r="O316" s="477"/>
      <c r="P316" s="155"/>
      <c r="Q316" s="155"/>
      <c r="R316" s="155"/>
      <c r="S316" s="515">
        <v>45056</v>
      </c>
      <c r="T316" s="521" t="s">
        <v>1916</v>
      </c>
      <c r="U316" s="153"/>
      <c r="V316" s="153"/>
      <c r="W316" s="153"/>
      <c r="X316" s="153"/>
      <c r="Y316" s="153"/>
      <c r="Z316" s="153"/>
    </row>
    <row r="317" spans="1:26">
      <c r="A317" s="655" t="s">
        <v>3031</v>
      </c>
      <c r="B317" s="155" t="s">
        <v>3032</v>
      </c>
      <c r="C317" s="155" t="s">
        <v>3033</v>
      </c>
      <c r="D317" s="155" t="s">
        <v>3034</v>
      </c>
      <c r="E317" s="155" t="s">
        <v>1732</v>
      </c>
      <c r="F317" s="155" t="s">
        <v>1849</v>
      </c>
      <c r="G317" s="155" t="s">
        <v>3035</v>
      </c>
      <c r="H317" s="155" t="s">
        <v>3036</v>
      </c>
      <c r="I317" s="513" t="s">
        <v>1736</v>
      </c>
      <c r="J317" s="317" t="s">
        <v>1737</v>
      </c>
      <c r="K317" s="317" t="s">
        <v>1737</v>
      </c>
      <c r="L317" s="477"/>
      <c r="M317" s="477"/>
      <c r="N317" s="520"/>
      <c r="O317" s="477"/>
      <c r="P317" s="155"/>
      <c r="Q317" s="155"/>
      <c r="R317" s="155"/>
      <c r="S317" s="477"/>
      <c r="T317" s="521"/>
      <c r="U317" s="153"/>
      <c r="V317" s="153"/>
      <c r="W317" s="153"/>
      <c r="X317" s="153"/>
      <c r="Y317" s="153"/>
      <c r="Z317" s="153"/>
    </row>
    <row r="318" spans="1:26">
      <c r="A318" s="774"/>
      <c r="B318" s="158" t="s">
        <v>3037</v>
      </c>
      <c r="C318" s="158" t="s">
        <v>3033</v>
      </c>
      <c r="D318" s="158" t="s">
        <v>3038</v>
      </c>
      <c r="E318" s="158" t="s">
        <v>1732</v>
      </c>
      <c r="F318" s="158" t="s">
        <v>1849</v>
      </c>
      <c r="G318" s="158" t="s">
        <v>3039</v>
      </c>
      <c r="H318" s="158" t="s">
        <v>3040</v>
      </c>
      <c r="I318" s="513" t="s">
        <v>1736</v>
      </c>
      <c r="J318" s="317" t="s">
        <v>1737</v>
      </c>
      <c r="K318" s="317" t="s">
        <v>1737</v>
      </c>
      <c r="L318" s="477"/>
      <c r="M318" s="477"/>
      <c r="N318" s="520"/>
      <c r="O318" s="477"/>
      <c r="P318" s="155"/>
      <c r="Q318" s="155"/>
      <c r="R318" s="155"/>
      <c r="S318" s="477"/>
      <c r="T318" s="521"/>
      <c r="U318" s="153"/>
      <c r="V318" s="153"/>
      <c r="W318" s="153"/>
      <c r="X318" s="153"/>
      <c r="Y318" s="153"/>
      <c r="Z318" s="153"/>
    </row>
    <row r="319" spans="1:26">
      <c r="A319" s="773"/>
      <c r="B319" s="158" t="s">
        <v>3041</v>
      </c>
      <c r="C319" s="158" t="s">
        <v>3033</v>
      </c>
      <c r="D319" s="158" t="s">
        <v>1873</v>
      </c>
      <c r="E319" s="160" t="s">
        <v>1743</v>
      </c>
      <c r="F319" s="158" t="s">
        <v>1849</v>
      </c>
      <c r="G319" s="158" t="s">
        <v>3035</v>
      </c>
      <c r="H319" s="158" t="s">
        <v>1874</v>
      </c>
      <c r="I319" s="513" t="s">
        <v>1736</v>
      </c>
      <c r="J319" s="317" t="s">
        <v>1737</v>
      </c>
      <c r="K319" s="317" t="s">
        <v>1737</v>
      </c>
      <c r="L319" s="477"/>
      <c r="M319" s="477"/>
      <c r="N319" s="520"/>
      <c r="O319" s="477"/>
      <c r="P319" s="155"/>
      <c r="Q319" s="155"/>
      <c r="R319" s="155"/>
      <c r="S319" s="477"/>
      <c r="T319" s="521"/>
      <c r="U319" s="153"/>
      <c r="V319" s="153"/>
      <c r="W319" s="153"/>
      <c r="X319" s="153"/>
      <c r="Y319" s="153"/>
      <c r="Z319" s="153"/>
    </row>
    <row r="320" spans="1:26">
      <c r="A320" s="655" t="s">
        <v>3042</v>
      </c>
      <c r="B320" s="155" t="s">
        <v>3043</v>
      </c>
      <c r="C320" s="155" t="s">
        <v>3044</v>
      </c>
      <c r="D320" s="155" t="s">
        <v>3045</v>
      </c>
      <c r="E320" s="155" t="s">
        <v>1732</v>
      </c>
      <c r="F320" s="155" t="s">
        <v>1849</v>
      </c>
      <c r="G320" s="155" t="s">
        <v>3046</v>
      </c>
      <c r="H320" s="155" t="s">
        <v>3047</v>
      </c>
      <c r="I320" s="513" t="s">
        <v>1736</v>
      </c>
      <c r="J320" s="317" t="s">
        <v>1737</v>
      </c>
      <c r="K320" s="317" t="s">
        <v>1737</v>
      </c>
      <c r="L320" s="477"/>
      <c r="M320" s="515">
        <v>45044</v>
      </c>
      <c r="N320" s="520" t="s">
        <v>3048</v>
      </c>
      <c r="O320" s="477"/>
      <c r="P320" s="155"/>
      <c r="Q320" s="155"/>
      <c r="R320" s="155"/>
      <c r="S320" s="515">
        <v>45056</v>
      </c>
      <c r="T320" s="521" t="s">
        <v>1916</v>
      </c>
      <c r="U320" s="153"/>
      <c r="V320" s="153"/>
      <c r="W320" s="153"/>
      <c r="X320" s="153"/>
      <c r="Y320" s="153"/>
      <c r="Z320" s="153"/>
    </row>
    <row r="321" spans="1:26">
      <c r="A321" s="774"/>
      <c r="B321" s="158" t="s">
        <v>3049</v>
      </c>
      <c r="C321" s="158" t="s">
        <v>3044</v>
      </c>
      <c r="D321" s="158" t="s">
        <v>3050</v>
      </c>
      <c r="E321" s="158" t="s">
        <v>1732</v>
      </c>
      <c r="F321" s="158" t="s">
        <v>1849</v>
      </c>
      <c r="G321" s="158" t="s">
        <v>3051</v>
      </c>
      <c r="H321" s="158" t="s">
        <v>3052</v>
      </c>
      <c r="I321" s="513" t="s">
        <v>1736</v>
      </c>
      <c r="J321" s="317" t="s">
        <v>1737</v>
      </c>
      <c r="K321" s="317" t="s">
        <v>1737</v>
      </c>
      <c r="L321" s="477"/>
      <c r="M321" s="477"/>
      <c r="N321" s="520"/>
      <c r="O321" s="477"/>
      <c r="P321" s="155"/>
      <c r="Q321" s="155"/>
      <c r="R321" s="155"/>
      <c r="S321" s="477"/>
      <c r="T321" s="521"/>
      <c r="U321" s="153"/>
      <c r="V321" s="153"/>
      <c r="W321" s="153"/>
      <c r="X321" s="153"/>
      <c r="Y321" s="153"/>
      <c r="Z321" s="153"/>
    </row>
    <row r="322" spans="1:26">
      <c r="A322" s="774"/>
      <c r="B322" s="158" t="s">
        <v>3053</v>
      </c>
      <c r="C322" s="158" t="s">
        <v>3044</v>
      </c>
      <c r="D322" s="158" t="s">
        <v>3054</v>
      </c>
      <c r="E322" s="158" t="s">
        <v>1732</v>
      </c>
      <c r="F322" s="158" t="s">
        <v>1849</v>
      </c>
      <c r="G322" s="158" t="s">
        <v>3055</v>
      </c>
      <c r="H322" s="158" t="s">
        <v>3056</v>
      </c>
      <c r="I322" s="513" t="s">
        <v>1736</v>
      </c>
      <c r="J322" s="317" t="s">
        <v>1737</v>
      </c>
      <c r="K322" s="317" t="s">
        <v>1737</v>
      </c>
      <c r="L322" s="477"/>
      <c r="M322" s="477"/>
      <c r="N322" s="520"/>
      <c r="O322" s="477"/>
      <c r="P322" s="155"/>
      <c r="Q322" s="155"/>
      <c r="R322" s="155"/>
      <c r="S322" s="477"/>
      <c r="T322" s="521"/>
      <c r="U322" s="153"/>
      <c r="V322" s="153"/>
      <c r="W322" s="153"/>
      <c r="X322" s="153"/>
      <c r="Y322" s="153"/>
      <c r="Z322" s="153"/>
    </row>
    <row r="323" spans="1:26">
      <c r="A323" s="774"/>
      <c r="B323" s="158" t="s">
        <v>3057</v>
      </c>
      <c r="C323" s="158" t="s">
        <v>3044</v>
      </c>
      <c r="D323" s="158" t="s">
        <v>3058</v>
      </c>
      <c r="E323" s="158" t="s">
        <v>1732</v>
      </c>
      <c r="F323" s="158" t="s">
        <v>1849</v>
      </c>
      <c r="G323" s="158" t="s">
        <v>3059</v>
      </c>
      <c r="H323" s="158" t="s">
        <v>3060</v>
      </c>
      <c r="I323" s="513" t="s">
        <v>1736</v>
      </c>
      <c r="J323" s="317" t="s">
        <v>1737</v>
      </c>
      <c r="K323" s="317" t="s">
        <v>1737</v>
      </c>
      <c r="L323" s="477"/>
      <c r="M323" s="477"/>
      <c r="N323" s="520"/>
      <c r="O323" s="477"/>
      <c r="P323" s="155"/>
      <c r="Q323" s="155"/>
      <c r="R323" s="155"/>
      <c r="S323" s="477"/>
      <c r="T323" s="521"/>
      <c r="U323" s="153"/>
      <c r="V323" s="153"/>
      <c r="W323" s="153"/>
      <c r="X323" s="153"/>
      <c r="Y323" s="153"/>
      <c r="Z323" s="153"/>
    </row>
    <row r="324" spans="1:26">
      <c r="A324" s="774"/>
      <c r="B324" s="158" t="s">
        <v>3061</v>
      </c>
      <c r="C324" s="158" t="s">
        <v>3044</v>
      </c>
      <c r="D324" s="158" t="s">
        <v>3062</v>
      </c>
      <c r="E324" s="158" t="s">
        <v>1732</v>
      </c>
      <c r="F324" s="158" t="s">
        <v>1849</v>
      </c>
      <c r="G324" s="158" t="s">
        <v>3063</v>
      </c>
      <c r="H324" s="158" t="s">
        <v>3064</v>
      </c>
      <c r="I324" s="513" t="s">
        <v>1736</v>
      </c>
      <c r="J324" s="317" t="s">
        <v>1737</v>
      </c>
      <c r="K324" s="317" t="s">
        <v>1737</v>
      </c>
      <c r="L324" s="477"/>
      <c r="M324" s="477"/>
      <c r="N324" s="520"/>
      <c r="O324" s="477"/>
      <c r="P324" s="155"/>
      <c r="Q324" s="155"/>
      <c r="R324" s="155"/>
      <c r="S324" s="477"/>
      <c r="T324" s="521"/>
      <c r="U324" s="153"/>
      <c r="V324" s="153"/>
      <c r="W324" s="153"/>
      <c r="X324" s="153"/>
      <c r="Y324" s="153"/>
      <c r="Z324" s="153"/>
    </row>
    <row r="325" spans="1:26">
      <c r="A325" s="774"/>
      <c r="B325" s="158" t="s">
        <v>3065</v>
      </c>
      <c r="C325" s="158" t="s">
        <v>3044</v>
      </c>
      <c r="D325" s="158" t="s">
        <v>3003</v>
      </c>
      <c r="E325" s="160" t="s">
        <v>1743</v>
      </c>
      <c r="F325" s="158" t="s">
        <v>1849</v>
      </c>
      <c r="G325" s="158" t="s">
        <v>3046</v>
      </c>
      <c r="H325" s="158" t="s">
        <v>2971</v>
      </c>
      <c r="I325" s="513" t="s">
        <v>1736</v>
      </c>
      <c r="J325" s="317" t="s">
        <v>1737</v>
      </c>
      <c r="K325" s="317" t="s">
        <v>1737</v>
      </c>
      <c r="L325" s="477"/>
      <c r="M325" s="515">
        <v>45044</v>
      </c>
      <c r="N325" s="520" t="s">
        <v>3066</v>
      </c>
      <c r="O325" s="477"/>
      <c r="P325" s="155"/>
      <c r="Q325" s="155"/>
      <c r="R325" s="155"/>
      <c r="S325" s="515">
        <v>45056</v>
      </c>
      <c r="T325" s="521" t="s">
        <v>1916</v>
      </c>
      <c r="U325" s="153"/>
      <c r="V325" s="153"/>
      <c r="W325" s="153"/>
      <c r="X325" s="153"/>
      <c r="Y325" s="153"/>
      <c r="Z325" s="153"/>
    </row>
    <row r="326" spans="1:26">
      <c r="A326" s="773"/>
      <c r="B326" s="158" t="s">
        <v>3067</v>
      </c>
      <c r="C326" s="158" t="s">
        <v>3044</v>
      </c>
      <c r="D326" s="158" t="s">
        <v>1873</v>
      </c>
      <c r="E326" s="160" t="s">
        <v>1743</v>
      </c>
      <c r="F326" s="158" t="s">
        <v>1849</v>
      </c>
      <c r="G326" s="158" t="s">
        <v>3046</v>
      </c>
      <c r="H326" s="158" t="s">
        <v>1874</v>
      </c>
      <c r="I326" s="513" t="s">
        <v>1736</v>
      </c>
      <c r="J326" s="317" t="s">
        <v>1737</v>
      </c>
      <c r="K326" s="317" t="s">
        <v>1737</v>
      </c>
      <c r="L326" s="477"/>
      <c r="M326" s="515">
        <v>45044</v>
      </c>
      <c r="N326" s="520" t="s">
        <v>3068</v>
      </c>
      <c r="O326" s="477"/>
      <c r="P326" s="155"/>
      <c r="Q326" s="155"/>
      <c r="R326" s="155"/>
      <c r="S326" s="515">
        <v>45056</v>
      </c>
      <c r="T326" s="521" t="s">
        <v>1916</v>
      </c>
      <c r="U326" s="153"/>
      <c r="V326" s="153"/>
      <c r="W326" s="153"/>
      <c r="X326" s="153"/>
      <c r="Y326" s="153"/>
      <c r="Z326" s="153"/>
    </row>
    <row r="327" spans="1:26">
      <c r="A327" s="655" t="s">
        <v>3069</v>
      </c>
      <c r="B327" s="155" t="s">
        <v>3070</v>
      </c>
      <c r="C327" s="155" t="s">
        <v>3071</v>
      </c>
      <c r="D327" s="155" t="s">
        <v>3072</v>
      </c>
      <c r="E327" s="155" t="s">
        <v>1732</v>
      </c>
      <c r="F327" s="155" t="s">
        <v>1849</v>
      </c>
      <c r="G327" s="155" t="s">
        <v>3073</v>
      </c>
      <c r="H327" s="155" t="s">
        <v>3074</v>
      </c>
      <c r="I327" s="513" t="s">
        <v>1736</v>
      </c>
      <c r="J327" s="317" t="s">
        <v>1737</v>
      </c>
      <c r="K327" s="317" t="s">
        <v>1737</v>
      </c>
      <c r="L327" s="477"/>
      <c r="M327" s="477"/>
      <c r="N327" s="520"/>
      <c r="O327" s="477"/>
      <c r="P327" s="155"/>
      <c r="Q327" s="155"/>
      <c r="R327" s="155"/>
      <c r="S327" s="477"/>
      <c r="T327" s="521"/>
      <c r="U327" s="153"/>
      <c r="V327" s="153"/>
      <c r="W327" s="153"/>
      <c r="X327" s="153"/>
      <c r="Y327" s="153"/>
      <c r="Z327" s="153"/>
    </row>
    <row r="328" spans="1:26">
      <c r="A328" s="774"/>
      <c r="B328" s="158" t="s">
        <v>3075</v>
      </c>
      <c r="C328" s="158" t="s">
        <v>3071</v>
      </c>
      <c r="D328" s="158" t="s">
        <v>3076</v>
      </c>
      <c r="E328" s="158" t="s">
        <v>1732</v>
      </c>
      <c r="F328" s="158" t="s">
        <v>1849</v>
      </c>
      <c r="G328" s="158" t="s">
        <v>3077</v>
      </c>
      <c r="H328" s="158" t="s">
        <v>3078</v>
      </c>
      <c r="I328" s="513" t="s">
        <v>1736</v>
      </c>
      <c r="J328" s="317" t="s">
        <v>1737</v>
      </c>
      <c r="K328" s="317" t="s">
        <v>1737</v>
      </c>
      <c r="L328" s="477"/>
      <c r="M328" s="515">
        <v>45044</v>
      </c>
      <c r="N328" s="520" t="s">
        <v>3079</v>
      </c>
      <c r="O328" s="477"/>
      <c r="P328" s="155"/>
      <c r="Q328" s="155"/>
      <c r="R328" s="155"/>
      <c r="S328" s="515">
        <v>45056</v>
      </c>
      <c r="T328" s="521" t="s">
        <v>1916</v>
      </c>
      <c r="U328" s="153"/>
      <c r="V328" s="153"/>
      <c r="W328" s="153"/>
      <c r="X328" s="153"/>
      <c r="Y328" s="153"/>
      <c r="Z328" s="153"/>
    </row>
    <row r="329" spans="1:26">
      <c r="A329" s="774"/>
      <c r="B329" s="158" t="s">
        <v>3080</v>
      </c>
      <c r="C329" s="158" t="s">
        <v>3071</v>
      </c>
      <c r="D329" s="158" t="s">
        <v>3081</v>
      </c>
      <c r="E329" s="158" t="s">
        <v>1732</v>
      </c>
      <c r="F329" s="158" t="s">
        <v>1849</v>
      </c>
      <c r="G329" s="158" t="s">
        <v>3082</v>
      </c>
      <c r="H329" s="158" t="s">
        <v>3083</v>
      </c>
      <c r="I329" s="513" t="s">
        <v>1736</v>
      </c>
      <c r="J329" s="317" t="s">
        <v>1737</v>
      </c>
      <c r="K329" s="317" t="s">
        <v>1737</v>
      </c>
      <c r="L329" s="477"/>
      <c r="M329" s="477"/>
      <c r="N329" s="520"/>
      <c r="O329" s="477"/>
      <c r="P329" s="155"/>
      <c r="Q329" s="155"/>
      <c r="R329" s="155"/>
      <c r="S329" s="477"/>
      <c r="T329" s="521"/>
      <c r="U329" s="153"/>
      <c r="V329" s="153"/>
      <c r="W329" s="153"/>
      <c r="X329" s="153"/>
      <c r="Y329" s="153"/>
      <c r="Z329" s="153"/>
    </row>
    <row r="330" spans="1:26">
      <c r="A330" s="774"/>
      <c r="B330" s="158" t="s">
        <v>3084</v>
      </c>
      <c r="C330" s="158" t="s">
        <v>3071</v>
      </c>
      <c r="D330" s="158" t="s">
        <v>3085</v>
      </c>
      <c r="E330" s="158" t="s">
        <v>1732</v>
      </c>
      <c r="F330" s="158" t="s">
        <v>1849</v>
      </c>
      <c r="G330" s="158" t="s">
        <v>3086</v>
      </c>
      <c r="H330" s="158" t="s">
        <v>3087</v>
      </c>
      <c r="I330" s="513" t="s">
        <v>1736</v>
      </c>
      <c r="J330" s="317" t="s">
        <v>1737</v>
      </c>
      <c r="K330" s="317" t="s">
        <v>1737</v>
      </c>
      <c r="L330" s="477"/>
      <c r="M330" s="477"/>
      <c r="N330" s="520"/>
      <c r="O330" s="477"/>
      <c r="P330" s="155"/>
      <c r="Q330" s="155"/>
      <c r="R330" s="155"/>
      <c r="S330" s="477"/>
      <c r="T330" s="521"/>
      <c r="U330" s="153"/>
      <c r="V330" s="153"/>
      <c r="W330" s="153"/>
      <c r="X330" s="153"/>
      <c r="Y330" s="153"/>
      <c r="Z330" s="153"/>
    </row>
    <row r="331" spans="1:26">
      <c r="A331" s="774"/>
      <c r="B331" s="158" t="s">
        <v>3088</v>
      </c>
      <c r="C331" s="158" t="s">
        <v>3071</v>
      </c>
      <c r="D331" s="158" t="s">
        <v>3089</v>
      </c>
      <c r="E331" s="158" t="s">
        <v>1732</v>
      </c>
      <c r="F331" s="158" t="s">
        <v>1849</v>
      </c>
      <c r="G331" s="158" t="s">
        <v>3090</v>
      </c>
      <c r="H331" s="158" t="s">
        <v>3091</v>
      </c>
      <c r="I331" s="513" t="s">
        <v>1736</v>
      </c>
      <c r="J331" s="317" t="s">
        <v>1737</v>
      </c>
      <c r="K331" s="317" t="s">
        <v>1737</v>
      </c>
      <c r="L331" s="477"/>
      <c r="M331" s="477"/>
      <c r="N331" s="520"/>
      <c r="O331" s="477"/>
      <c r="P331" s="155"/>
      <c r="Q331" s="155"/>
      <c r="R331" s="155"/>
      <c r="S331" s="477"/>
      <c r="T331" s="521"/>
      <c r="U331" s="153"/>
      <c r="V331" s="153"/>
      <c r="W331" s="153"/>
      <c r="X331" s="153"/>
      <c r="Y331" s="153"/>
      <c r="Z331" s="153"/>
    </row>
    <row r="332" spans="1:26">
      <c r="A332" s="773"/>
      <c r="B332" s="158" t="s">
        <v>3092</v>
      </c>
      <c r="C332" s="158" t="s">
        <v>3071</v>
      </c>
      <c r="D332" s="158" t="s">
        <v>1873</v>
      </c>
      <c r="E332" s="160" t="s">
        <v>1743</v>
      </c>
      <c r="F332" s="158" t="s">
        <v>1849</v>
      </c>
      <c r="G332" s="158" t="s">
        <v>3046</v>
      </c>
      <c r="H332" s="158" t="s">
        <v>1874</v>
      </c>
      <c r="I332" s="513" t="s">
        <v>1736</v>
      </c>
      <c r="J332" s="317" t="s">
        <v>1737</v>
      </c>
      <c r="K332" s="317" t="s">
        <v>1737</v>
      </c>
      <c r="L332" s="477"/>
      <c r="M332" s="515">
        <v>45044</v>
      </c>
      <c r="N332" s="106" t="s">
        <v>3093</v>
      </c>
      <c r="O332" s="477"/>
      <c r="P332" s="155"/>
      <c r="Q332" s="155"/>
      <c r="R332" s="155"/>
      <c r="S332" s="515">
        <v>45056</v>
      </c>
      <c r="T332" s="521" t="s">
        <v>1916</v>
      </c>
      <c r="U332" s="153"/>
      <c r="V332" s="153"/>
      <c r="W332" s="153"/>
      <c r="X332" s="153"/>
      <c r="Y332" s="153"/>
      <c r="Z332" s="153"/>
    </row>
    <row r="333" spans="1:26">
      <c r="A333" s="655" t="s">
        <v>3094</v>
      </c>
      <c r="B333" s="155" t="s">
        <v>3095</v>
      </c>
      <c r="C333" s="155" t="s">
        <v>3096</v>
      </c>
      <c r="D333" s="155" t="s">
        <v>3096</v>
      </c>
      <c r="E333" s="155" t="s">
        <v>1732</v>
      </c>
      <c r="F333" s="155" t="s">
        <v>1849</v>
      </c>
      <c r="G333" s="155" t="s">
        <v>3097</v>
      </c>
      <c r="H333" s="155" t="s">
        <v>3098</v>
      </c>
      <c r="I333" s="513" t="s">
        <v>1736</v>
      </c>
      <c r="J333" s="317" t="s">
        <v>1737</v>
      </c>
      <c r="K333" s="317" t="s">
        <v>1737</v>
      </c>
      <c r="L333" s="477"/>
      <c r="M333" s="515">
        <v>45048</v>
      </c>
      <c r="N333" s="520" t="s">
        <v>3099</v>
      </c>
      <c r="O333" s="477"/>
      <c r="P333" s="155"/>
      <c r="Q333" s="155"/>
      <c r="R333" s="155"/>
      <c r="S333" s="515">
        <v>45056</v>
      </c>
      <c r="T333" s="521" t="s">
        <v>1916</v>
      </c>
      <c r="U333" s="153"/>
      <c r="V333" s="153"/>
      <c r="W333" s="153"/>
      <c r="X333" s="153"/>
      <c r="Y333" s="153"/>
      <c r="Z333" s="153"/>
    </row>
    <row r="334" spans="1:26">
      <c r="A334" s="774"/>
      <c r="B334" s="158" t="s">
        <v>3100</v>
      </c>
      <c r="C334" s="158" t="s">
        <v>3096</v>
      </c>
      <c r="D334" s="158" t="s">
        <v>3003</v>
      </c>
      <c r="E334" s="160" t="s">
        <v>1743</v>
      </c>
      <c r="F334" s="158" t="s">
        <v>1849</v>
      </c>
      <c r="G334" s="158" t="s">
        <v>3097</v>
      </c>
      <c r="H334" s="158" t="s">
        <v>2971</v>
      </c>
      <c r="I334" s="513" t="s">
        <v>1736</v>
      </c>
      <c r="J334" s="317" t="s">
        <v>1737</v>
      </c>
      <c r="K334" s="317" t="s">
        <v>1737</v>
      </c>
      <c r="L334" s="477"/>
      <c r="M334" s="515">
        <v>45048</v>
      </c>
      <c r="N334" s="520" t="s">
        <v>3101</v>
      </c>
      <c r="O334" s="477"/>
      <c r="P334" s="155"/>
      <c r="Q334" s="155"/>
      <c r="R334" s="155"/>
      <c r="S334" s="515">
        <v>45056</v>
      </c>
      <c r="T334" s="521" t="s">
        <v>1916</v>
      </c>
      <c r="U334" s="153"/>
      <c r="V334" s="153"/>
      <c r="W334" s="153"/>
      <c r="X334" s="153"/>
      <c r="Y334" s="153"/>
      <c r="Z334" s="153"/>
    </row>
    <row r="335" spans="1:26">
      <c r="A335" s="773"/>
      <c r="B335" s="158" t="s">
        <v>3102</v>
      </c>
      <c r="C335" s="158" t="s">
        <v>3096</v>
      </c>
      <c r="D335" s="158" t="s">
        <v>1873</v>
      </c>
      <c r="E335" s="160" t="s">
        <v>1743</v>
      </c>
      <c r="F335" s="158" t="s">
        <v>1849</v>
      </c>
      <c r="G335" s="158" t="s">
        <v>3097</v>
      </c>
      <c r="H335" s="158" t="s">
        <v>1874</v>
      </c>
      <c r="I335" s="513" t="s">
        <v>1736</v>
      </c>
      <c r="J335" s="317" t="s">
        <v>1737</v>
      </c>
      <c r="K335" s="317" t="s">
        <v>1737</v>
      </c>
      <c r="L335" s="477"/>
      <c r="M335" s="515">
        <v>45048</v>
      </c>
      <c r="N335" s="520" t="s">
        <v>3103</v>
      </c>
      <c r="O335" s="477"/>
      <c r="P335" s="155"/>
      <c r="Q335" s="155"/>
      <c r="R335" s="155"/>
      <c r="S335" s="515">
        <v>45056</v>
      </c>
      <c r="T335" s="521" t="s">
        <v>1916</v>
      </c>
      <c r="U335" s="153"/>
      <c r="V335" s="153"/>
      <c r="W335" s="153"/>
      <c r="X335" s="153"/>
      <c r="Y335" s="153"/>
      <c r="Z335" s="153"/>
    </row>
    <row r="336" spans="1:26">
      <c r="A336" s="683" t="s">
        <v>3104</v>
      </c>
      <c r="B336" s="158" t="s">
        <v>3105</v>
      </c>
      <c r="C336" s="158" t="s">
        <v>3106</v>
      </c>
      <c r="D336" s="158" t="s">
        <v>3106</v>
      </c>
      <c r="E336" s="158" t="s">
        <v>1732</v>
      </c>
      <c r="F336" s="158" t="s">
        <v>1849</v>
      </c>
      <c r="G336" s="158" t="s">
        <v>3107</v>
      </c>
      <c r="H336" s="158" t="s">
        <v>3108</v>
      </c>
      <c r="I336" s="513" t="s">
        <v>1736</v>
      </c>
      <c r="J336" s="317" t="s">
        <v>1737</v>
      </c>
      <c r="K336" s="317" t="s">
        <v>1737</v>
      </c>
      <c r="L336" s="477"/>
      <c r="M336" s="477"/>
      <c r="N336" s="520"/>
      <c r="O336" s="477"/>
      <c r="P336" s="155"/>
      <c r="Q336" s="155"/>
      <c r="R336" s="155"/>
      <c r="S336" s="477"/>
      <c r="T336" s="521"/>
      <c r="U336" s="153"/>
      <c r="V336" s="153"/>
      <c r="W336" s="153"/>
      <c r="X336" s="153"/>
      <c r="Y336" s="153"/>
      <c r="Z336" s="153"/>
    </row>
    <row r="337" spans="1:26">
      <c r="A337" s="773"/>
      <c r="B337" s="158" t="s">
        <v>3109</v>
      </c>
      <c r="C337" s="158" t="s">
        <v>3106</v>
      </c>
      <c r="D337" s="158" t="s">
        <v>1873</v>
      </c>
      <c r="E337" s="160" t="s">
        <v>1743</v>
      </c>
      <c r="F337" s="158" t="s">
        <v>1849</v>
      </c>
      <c r="G337" s="158" t="s">
        <v>3107</v>
      </c>
      <c r="H337" s="158" t="s">
        <v>1874</v>
      </c>
      <c r="I337" s="513" t="s">
        <v>1736</v>
      </c>
      <c r="J337" s="317" t="s">
        <v>1737</v>
      </c>
      <c r="K337" s="317" t="s">
        <v>1737</v>
      </c>
      <c r="L337" s="477"/>
      <c r="M337" s="477"/>
      <c r="N337" s="520"/>
      <c r="O337" s="477"/>
      <c r="P337" s="155"/>
      <c r="Q337" s="155"/>
      <c r="R337" s="155"/>
      <c r="S337" s="477"/>
      <c r="T337" s="521"/>
      <c r="U337" s="153"/>
      <c r="V337" s="153"/>
      <c r="W337" s="153"/>
      <c r="X337" s="153"/>
      <c r="Y337" s="153"/>
      <c r="Z337" s="153"/>
    </row>
    <row r="338" spans="1:26">
      <c r="A338" s="655" t="s">
        <v>3110</v>
      </c>
      <c r="B338" s="155" t="s">
        <v>3111</v>
      </c>
      <c r="C338" s="155" t="s">
        <v>3112</v>
      </c>
      <c r="D338" s="155" t="s">
        <v>3113</v>
      </c>
      <c r="E338" s="155" t="s">
        <v>1732</v>
      </c>
      <c r="F338" s="155" t="s">
        <v>1849</v>
      </c>
      <c r="G338" s="155" t="s">
        <v>3114</v>
      </c>
      <c r="H338" s="155" t="s">
        <v>3115</v>
      </c>
      <c r="I338" s="513" t="s">
        <v>1736</v>
      </c>
      <c r="J338" s="317" t="s">
        <v>1737</v>
      </c>
      <c r="K338" s="317" t="s">
        <v>1737</v>
      </c>
      <c r="L338" s="477"/>
      <c r="M338" s="515">
        <v>45048</v>
      </c>
      <c r="N338" s="520" t="s">
        <v>3116</v>
      </c>
      <c r="O338" s="477"/>
      <c r="P338" s="155"/>
      <c r="Q338" s="155"/>
      <c r="R338" s="155"/>
      <c r="S338" s="515">
        <v>45082</v>
      </c>
      <c r="T338" s="521" t="s">
        <v>1916</v>
      </c>
      <c r="U338" s="153"/>
      <c r="V338" s="153"/>
      <c r="W338" s="153"/>
      <c r="X338" s="153"/>
      <c r="Y338" s="153"/>
      <c r="Z338" s="153"/>
    </row>
    <row r="339" spans="1:26">
      <c r="A339" s="774"/>
      <c r="B339" s="158" t="s">
        <v>3117</v>
      </c>
      <c r="C339" s="158" t="s">
        <v>3112</v>
      </c>
      <c r="D339" s="158" t="s">
        <v>3118</v>
      </c>
      <c r="E339" s="158" t="s">
        <v>1732</v>
      </c>
      <c r="F339" s="158" t="s">
        <v>1849</v>
      </c>
      <c r="G339" s="158" t="s">
        <v>3119</v>
      </c>
      <c r="H339" s="158" t="s">
        <v>3120</v>
      </c>
      <c r="I339" s="513" t="s">
        <v>1736</v>
      </c>
      <c r="J339" s="317" t="s">
        <v>1737</v>
      </c>
      <c r="K339" s="317" t="s">
        <v>1737</v>
      </c>
      <c r="L339" s="477"/>
      <c r="M339" s="477"/>
      <c r="N339" s="520"/>
      <c r="O339" s="477"/>
      <c r="P339" s="155"/>
      <c r="Q339" s="155"/>
      <c r="R339" s="155"/>
      <c r="S339" s="477"/>
      <c r="T339" s="521"/>
      <c r="U339" s="153"/>
      <c r="V339" s="153"/>
      <c r="W339" s="153"/>
      <c r="X339" s="153"/>
      <c r="Y339" s="153"/>
      <c r="Z339" s="153"/>
    </row>
    <row r="340" spans="1:26">
      <c r="A340" s="774"/>
      <c r="B340" s="158" t="s">
        <v>3121</v>
      </c>
      <c r="C340" s="158" t="s">
        <v>3112</v>
      </c>
      <c r="D340" s="158" t="s">
        <v>3122</v>
      </c>
      <c r="E340" s="158" t="s">
        <v>1732</v>
      </c>
      <c r="F340" s="158" t="s">
        <v>1849</v>
      </c>
      <c r="G340" s="158" t="s">
        <v>3123</v>
      </c>
      <c r="H340" s="158" t="s">
        <v>3124</v>
      </c>
      <c r="I340" s="513" t="s">
        <v>1736</v>
      </c>
      <c r="J340" s="317" t="s">
        <v>1737</v>
      </c>
      <c r="K340" s="317" t="s">
        <v>1737</v>
      </c>
      <c r="L340" s="477"/>
      <c r="M340" s="515">
        <v>45048</v>
      </c>
      <c r="N340" s="520" t="s">
        <v>3125</v>
      </c>
      <c r="O340" s="477"/>
      <c r="P340" s="155"/>
      <c r="Q340" s="155"/>
      <c r="R340" s="155"/>
      <c r="S340" s="515">
        <v>45082</v>
      </c>
      <c r="T340" s="521" t="s">
        <v>1916</v>
      </c>
      <c r="U340" s="153"/>
      <c r="V340" s="153"/>
      <c r="W340" s="153"/>
      <c r="X340" s="153"/>
      <c r="Y340" s="153"/>
      <c r="Z340" s="153"/>
    </row>
    <row r="341" spans="1:26">
      <c r="A341" s="774"/>
      <c r="B341" s="158" t="s">
        <v>3126</v>
      </c>
      <c r="C341" s="158" t="s">
        <v>3112</v>
      </c>
      <c r="D341" s="158" t="s">
        <v>3127</v>
      </c>
      <c r="E341" s="158" t="s">
        <v>1732</v>
      </c>
      <c r="F341" s="158" t="s">
        <v>1849</v>
      </c>
      <c r="G341" s="158" t="s">
        <v>3128</v>
      </c>
      <c r="H341" s="158" t="s">
        <v>3129</v>
      </c>
      <c r="I341" s="513" t="s">
        <v>1736</v>
      </c>
      <c r="J341" s="317" t="s">
        <v>1737</v>
      </c>
      <c r="K341" s="317" t="s">
        <v>1737</v>
      </c>
      <c r="L341" s="477"/>
      <c r="M341" s="477"/>
      <c r="N341" s="520"/>
      <c r="O341" s="477"/>
      <c r="P341" s="155"/>
      <c r="Q341" s="155"/>
      <c r="R341" s="155"/>
      <c r="S341" s="477"/>
      <c r="T341" s="521"/>
      <c r="U341" s="153"/>
      <c r="V341" s="153"/>
      <c r="W341" s="153"/>
      <c r="X341" s="153"/>
      <c r="Y341" s="153"/>
      <c r="Z341" s="153"/>
    </row>
    <row r="342" spans="1:26">
      <c r="A342" s="774"/>
      <c r="B342" s="158" t="s">
        <v>3130</v>
      </c>
      <c r="C342" s="158" t="s">
        <v>3112</v>
      </c>
      <c r="D342" s="158" t="s">
        <v>3131</v>
      </c>
      <c r="E342" s="158" t="s">
        <v>1732</v>
      </c>
      <c r="F342" s="158" t="s">
        <v>1849</v>
      </c>
      <c r="G342" s="158" t="s">
        <v>3132</v>
      </c>
      <c r="H342" s="158" t="s">
        <v>3133</v>
      </c>
      <c r="I342" s="513" t="s">
        <v>1736</v>
      </c>
      <c r="J342" s="317" t="s">
        <v>1737</v>
      </c>
      <c r="K342" s="317" t="s">
        <v>1737</v>
      </c>
      <c r="L342" s="477"/>
      <c r="M342" s="477"/>
      <c r="N342" s="520"/>
      <c r="O342" s="477"/>
      <c r="P342" s="155"/>
      <c r="Q342" s="155"/>
      <c r="R342" s="155"/>
      <c r="S342" s="477"/>
      <c r="T342" s="521"/>
      <c r="U342" s="153"/>
      <c r="V342" s="153"/>
      <c r="W342" s="153"/>
      <c r="X342" s="153"/>
      <c r="Y342" s="153"/>
      <c r="Z342" s="153"/>
    </row>
    <row r="343" spans="1:26">
      <c r="A343" s="774"/>
      <c r="B343" s="158" t="s">
        <v>3134</v>
      </c>
      <c r="C343" s="158" t="s">
        <v>3112</v>
      </c>
      <c r="D343" s="158" t="s">
        <v>3135</v>
      </c>
      <c r="E343" s="158" t="s">
        <v>1732</v>
      </c>
      <c r="F343" s="158" t="s">
        <v>1849</v>
      </c>
      <c r="G343" s="158" t="s">
        <v>3136</v>
      </c>
      <c r="H343" s="158" t="s">
        <v>3137</v>
      </c>
      <c r="I343" s="513" t="s">
        <v>1736</v>
      </c>
      <c r="J343" s="317" t="s">
        <v>1737</v>
      </c>
      <c r="K343" s="317" t="s">
        <v>1737</v>
      </c>
      <c r="L343" s="477"/>
      <c r="M343" s="477"/>
      <c r="N343" s="520"/>
      <c r="O343" s="477"/>
      <c r="P343" s="155"/>
      <c r="Q343" s="155"/>
      <c r="R343" s="155"/>
      <c r="S343" s="477"/>
      <c r="T343" s="521"/>
      <c r="U343" s="153"/>
      <c r="V343" s="153"/>
      <c r="W343" s="153"/>
      <c r="X343" s="153"/>
      <c r="Y343" s="153"/>
      <c r="Z343" s="153"/>
    </row>
    <row r="344" spans="1:26">
      <c r="A344" s="774"/>
      <c r="B344" s="158" t="s">
        <v>3138</v>
      </c>
      <c r="C344" s="158" t="s">
        <v>3112</v>
      </c>
      <c r="D344" s="158" t="s">
        <v>3139</v>
      </c>
      <c r="E344" s="158" t="s">
        <v>1732</v>
      </c>
      <c r="F344" s="158" t="s">
        <v>1849</v>
      </c>
      <c r="G344" s="158" t="s">
        <v>3140</v>
      </c>
      <c r="H344" s="158" t="s">
        <v>3141</v>
      </c>
      <c r="I344" s="513" t="s">
        <v>1736</v>
      </c>
      <c r="J344" s="317" t="s">
        <v>1737</v>
      </c>
      <c r="K344" s="317" t="s">
        <v>1737</v>
      </c>
      <c r="L344" s="477"/>
      <c r="M344" s="477"/>
      <c r="N344" s="520"/>
      <c r="O344" s="477"/>
      <c r="P344" s="155"/>
      <c r="Q344" s="155"/>
      <c r="R344" s="155"/>
      <c r="S344" s="477"/>
      <c r="T344" s="521"/>
      <c r="U344" s="153"/>
      <c r="V344" s="153"/>
      <c r="W344" s="153"/>
      <c r="X344" s="153"/>
      <c r="Y344" s="153"/>
      <c r="Z344" s="153"/>
    </row>
    <row r="345" spans="1:26">
      <c r="A345" s="773"/>
      <c r="B345" s="158" t="s">
        <v>3142</v>
      </c>
      <c r="C345" s="158" t="s">
        <v>3112</v>
      </c>
      <c r="D345" s="158" t="s">
        <v>1873</v>
      </c>
      <c r="E345" s="160" t="s">
        <v>1743</v>
      </c>
      <c r="F345" s="158" t="s">
        <v>1849</v>
      </c>
      <c r="G345" s="158" t="s">
        <v>3123</v>
      </c>
      <c r="H345" s="158" t="s">
        <v>1874</v>
      </c>
      <c r="I345" s="513" t="s">
        <v>1736</v>
      </c>
      <c r="J345" s="317" t="s">
        <v>1737</v>
      </c>
      <c r="K345" s="317" t="s">
        <v>1737</v>
      </c>
      <c r="L345" s="477"/>
      <c r="M345" s="515">
        <v>45048</v>
      </c>
      <c r="N345" s="520" t="s">
        <v>3143</v>
      </c>
      <c r="O345" s="477"/>
      <c r="P345" s="155"/>
      <c r="Q345" s="155"/>
      <c r="R345" s="155"/>
      <c r="S345" s="515">
        <v>45082</v>
      </c>
      <c r="T345" s="521" t="s">
        <v>1916</v>
      </c>
      <c r="U345" s="153"/>
      <c r="V345" s="153"/>
      <c r="W345" s="153"/>
      <c r="X345" s="153"/>
      <c r="Y345" s="153"/>
      <c r="Z345" s="153"/>
    </row>
    <row r="346" spans="1:26">
      <c r="A346" s="655" t="s">
        <v>3144</v>
      </c>
      <c r="B346" s="155" t="s">
        <v>3145</v>
      </c>
      <c r="C346" s="155" t="s">
        <v>3146</v>
      </c>
      <c r="D346" s="155" t="s">
        <v>1731</v>
      </c>
      <c r="E346" s="155" t="s">
        <v>1732</v>
      </c>
      <c r="F346" s="155" t="s">
        <v>1849</v>
      </c>
      <c r="G346" s="155" t="s">
        <v>1734</v>
      </c>
      <c r="H346" s="155" t="s">
        <v>1735</v>
      </c>
      <c r="I346" s="513" t="s">
        <v>1736</v>
      </c>
      <c r="J346" s="317" t="s">
        <v>1737</v>
      </c>
      <c r="K346" s="317" t="s">
        <v>1737</v>
      </c>
      <c r="L346" s="477"/>
      <c r="M346" s="521" t="s">
        <v>3147</v>
      </c>
      <c r="N346" s="521" t="s">
        <v>3148</v>
      </c>
      <c r="O346" s="477"/>
      <c r="P346" s="155"/>
      <c r="Q346" s="155"/>
      <c r="R346" s="155"/>
      <c r="S346" s="529">
        <v>44986</v>
      </c>
      <c r="T346" s="521" t="s">
        <v>1916</v>
      </c>
      <c r="U346" s="153"/>
      <c r="V346" s="153"/>
      <c r="W346" s="153"/>
      <c r="X346" s="153"/>
      <c r="Y346" s="153"/>
      <c r="Z346" s="153"/>
    </row>
    <row r="347" spans="1:26">
      <c r="A347" s="774"/>
      <c r="B347" s="158" t="s">
        <v>3149</v>
      </c>
      <c r="C347" s="158" t="s">
        <v>3146</v>
      </c>
      <c r="D347" s="158" t="s">
        <v>1742</v>
      </c>
      <c r="E347" s="158" t="s">
        <v>1743</v>
      </c>
      <c r="F347" s="158" t="s">
        <v>1744</v>
      </c>
      <c r="G347" s="158" t="s">
        <v>1734</v>
      </c>
      <c r="H347" s="158" t="s">
        <v>1745</v>
      </c>
      <c r="I347" s="513" t="s">
        <v>1736</v>
      </c>
      <c r="J347" s="317" t="s">
        <v>1737</v>
      </c>
      <c r="K347" s="317" t="s">
        <v>1737</v>
      </c>
      <c r="L347" s="477"/>
      <c r="M347" s="521" t="s">
        <v>3147</v>
      </c>
      <c r="N347" s="521" t="s">
        <v>3150</v>
      </c>
      <c r="O347" s="477" t="s">
        <v>3151</v>
      </c>
      <c r="P347" s="155" t="s">
        <v>3152</v>
      </c>
      <c r="Q347" s="155"/>
      <c r="R347" s="155"/>
      <c r="S347" s="529">
        <v>45012</v>
      </c>
      <c r="T347" s="521" t="s">
        <v>1916</v>
      </c>
      <c r="U347" s="153"/>
      <c r="V347" s="153"/>
      <c r="W347" s="153"/>
      <c r="X347" s="153"/>
      <c r="Y347" s="153"/>
      <c r="Z347" s="153"/>
    </row>
    <row r="348" spans="1:26">
      <c r="A348" s="774"/>
      <c r="B348" s="158" t="s">
        <v>3153</v>
      </c>
      <c r="C348" s="158" t="s">
        <v>3146</v>
      </c>
      <c r="D348" s="158" t="s">
        <v>1751</v>
      </c>
      <c r="E348" s="160" t="s">
        <v>1732</v>
      </c>
      <c r="F348" s="158" t="s">
        <v>1733</v>
      </c>
      <c r="G348" s="158" t="s">
        <v>1752</v>
      </c>
      <c r="H348" s="158" t="s">
        <v>1753</v>
      </c>
      <c r="I348" s="513" t="s">
        <v>1736</v>
      </c>
      <c r="J348" s="317" t="s">
        <v>1737</v>
      </c>
      <c r="K348" s="317" t="s">
        <v>1737</v>
      </c>
      <c r="L348" s="477"/>
      <c r="M348" s="521" t="s">
        <v>3154</v>
      </c>
      <c r="N348" s="521" t="s">
        <v>3155</v>
      </c>
      <c r="O348" s="477" t="s">
        <v>3151</v>
      </c>
      <c r="P348" s="155" t="s">
        <v>3156</v>
      </c>
      <c r="Q348" s="155"/>
      <c r="R348" s="155"/>
      <c r="S348" s="529">
        <v>45012</v>
      </c>
      <c r="T348" s="521" t="s">
        <v>1916</v>
      </c>
      <c r="U348" s="153"/>
      <c r="V348" s="153"/>
      <c r="W348" s="153"/>
      <c r="X348" s="153"/>
      <c r="Y348" s="153"/>
      <c r="Z348" s="153"/>
    </row>
    <row r="349" spans="1:26">
      <c r="A349" s="774"/>
      <c r="B349" s="158" t="s">
        <v>3157</v>
      </c>
      <c r="C349" s="158" t="s">
        <v>3146</v>
      </c>
      <c r="D349" s="158" t="s">
        <v>1759</v>
      </c>
      <c r="E349" s="158" t="s">
        <v>1732</v>
      </c>
      <c r="F349" s="158" t="s">
        <v>1760</v>
      </c>
      <c r="G349" s="158" t="s">
        <v>1761</v>
      </c>
      <c r="H349" s="158" t="s">
        <v>1762</v>
      </c>
      <c r="I349" s="513" t="s">
        <v>1736</v>
      </c>
      <c r="J349" s="317" t="s">
        <v>1737</v>
      </c>
      <c r="K349" s="317" t="s">
        <v>1737</v>
      </c>
      <c r="L349" s="477"/>
      <c r="M349" s="521" t="s">
        <v>3154</v>
      </c>
      <c r="N349" s="521" t="s">
        <v>3158</v>
      </c>
      <c r="O349" s="477"/>
      <c r="P349" s="155"/>
      <c r="Q349" s="155"/>
      <c r="R349" s="525" t="s">
        <v>3159</v>
      </c>
      <c r="S349" s="477"/>
      <c r="T349" s="521"/>
      <c r="U349" s="153"/>
      <c r="V349" s="153"/>
      <c r="W349" s="153"/>
      <c r="X349" s="153"/>
      <c r="Y349" s="153"/>
      <c r="Z349" s="153"/>
    </row>
    <row r="350" spans="1:26">
      <c r="A350" s="774"/>
      <c r="B350" s="158" t="s">
        <v>3160</v>
      </c>
      <c r="C350" s="158" t="s">
        <v>3146</v>
      </c>
      <c r="D350" s="158" t="s">
        <v>1765</v>
      </c>
      <c r="E350" s="158" t="s">
        <v>1743</v>
      </c>
      <c r="F350" s="158" t="s">
        <v>1760</v>
      </c>
      <c r="G350" s="158" t="s">
        <v>1766</v>
      </c>
      <c r="H350" s="158" t="s">
        <v>1767</v>
      </c>
      <c r="I350" s="513" t="s">
        <v>1736</v>
      </c>
      <c r="J350" s="317" t="s">
        <v>1737</v>
      </c>
      <c r="K350" s="317" t="s">
        <v>1737</v>
      </c>
      <c r="L350" s="477"/>
      <c r="M350" s="521" t="s">
        <v>3154</v>
      </c>
      <c r="N350" s="521" t="s">
        <v>3161</v>
      </c>
      <c r="O350" s="477"/>
      <c r="P350" s="155"/>
      <c r="Q350" s="155"/>
      <c r="R350" s="155"/>
      <c r="S350" s="529">
        <v>44986</v>
      </c>
      <c r="T350" s="521" t="s">
        <v>1916</v>
      </c>
      <c r="U350" s="153"/>
      <c r="V350" s="153"/>
      <c r="W350" s="153"/>
      <c r="X350" s="153"/>
      <c r="Y350" s="153"/>
      <c r="Z350" s="153"/>
    </row>
    <row r="351" spans="1:26">
      <c r="A351" s="774"/>
      <c r="B351" s="158" t="s">
        <v>3162</v>
      </c>
      <c r="C351" s="158" t="s">
        <v>3146</v>
      </c>
      <c r="D351" s="158" t="s">
        <v>1742</v>
      </c>
      <c r="E351" s="158" t="s">
        <v>1743</v>
      </c>
      <c r="F351" s="158" t="s">
        <v>1744</v>
      </c>
      <c r="G351" s="158" t="s">
        <v>1761</v>
      </c>
      <c r="H351" s="158" t="s">
        <v>1772</v>
      </c>
      <c r="I351" s="513" t="s">
        <v>1736</v>
      </c>
      <c r="J351" s="317" t="s">
        <v>1737</v>
      </c>
      <c r="K351" s="317" t="s">
        <v>1737</v>
      </c>
      <c r="L351" s="477"/>
      <c r="M351" s="521" t="s">
        <v>3163</v>
      </c>
      <c r="N351" s="520" t="s">
        <v>3164</v>
      </c>
      <c r="O351" s="477" t="s">
        <v>3151</v>
      </c>
      <c r="P351" s="155" t="s">
        <v>3156</v>
      </c>
      <c r="Q351" s="155"/>
      <c r="R351" s="155"/>
      <c r="S351" s="529">
        <v>45012</v>
      </c>
      <c r="T351" s="521" t="s">
        <v>1916</v>
      </c>
      <c r="U351" s="153"/>
      <c r="V351" s="153"/>
      <c r="W351" s="153"/>
      <c r="X351" s="153"/>
      <c r="Y351" s="153"/>
      <c r="Z351" s="153"/>
    </row>
    <row r="352" spans="1:26">
      <c r="A352" s="774"/>
      <c r="B352" s="158" t="s">
        <v>3165</v>
      </c>
      <c r="C352" s="158" t="s">
        <v>3146</v>
      </c>
      <c r="D352" s="158" t="s">
        <v>1778</v>
      </c>
      <c r="E352" s="158" t="s">
        <v>1732</v>
      </c>
      <c r="F352" s="158" t="s">
        <v>1779</v>
      </c>
      <c r="G352" s="158" t="s">
        <v>1780</v>
      </c>
      <c r="H352" s="158" t="s">
        <v>1781</v>
      </c>
      <c r="I352" s="513" t="s">
        <v>1736</v>
      </c>
      <c r="J352" s="317" t="s">
        <v>1737</v>
      </c>
      <c r="K352" s="317" t="s">
        <v>1737</v>
      </c>
      <c r="L352" s="477"/>
      <c r="M352" s="521" t="s">
        <v>3163</v>
      </c>
      <c r="N352" s="520" t="s">
        <v>3166</v>
      </c>
      <c r="O352" s="477"/>
      <c r="P352" s="155"/>
      <c r="Q352" s="155"/>
      <c r="R352" s="155"/>
      <c r="S352" s="529">
        <v>44986</v>
      </c>
      <c r="T352" s="521" t="s">
        <v>1916</v>
      </c>
      <c r="U352" s="153"/>
      <c r="V352" s="153"/>
      <c r="W352" s="153"/>
      <c r="X352" s="153"/>
      <c r="Y352" s="153"/>
      <c r="Z352" s="153"/>
    </row>
    <row r="353" spans="1:26">
      <c r="A353" s="774"/>
      <c r="B353" s="158" t="s">
        <v>3167</v>
      </c>
      <c r="C353" s="158" t="s">
        <v>3146</v>
      </c>
      <c r="D353" s="158" t="s">
        <v>1742</v>
      </c>
      <c r="E353" s="158" t="s">
        <v>1743</v>
      </c>
      <c r="F353" s="158" t="s">
        <v>1744</v>
      </c>
      <c r="G353" s="158" t="s">
        <v>1780</v>
      </c>
      <c r="H353" s="158" t="s">
        <v>1772</v>
      </c>
      <c r="I353" s="513" t="s">
        <v>1736</v>
      </c>
      <c r="J353" s="317" t="s">
        <v>1737</v>
      </c>
      <c r="K353" s="317" t="s">
        <v>1737</v>
      </c>
      <c r="L353" s="477"/>
      <c r="M353" s="521" t="s">
        <v>3163</v>
      </c>
      <c r="N353" s="520" t="s">
        <v>3166</v>
      </c>
      <c r="O353" s="477"/>
      <c r="P353" s="155"/>
      <c r="Q353" s="155"/>
      <c r="R353" s="155"/>
      <c r="S353" s="529">
        <v>44986</v>
      </c>
      <c r="T353" s="521" t="s">
        <v>1916</v>
      </c>
      <c r="U353" s="153"/>
      <c r="V353" s="153"/>
      <c r="W353" s="153"/>
      <c r="X353" s="153"/>
      <c r="Y353" s="153"/>
      <c r="Z353" s="153"/>
    </row>
    <row r="354" spans="1:26">
      <c r="A354" s="22" t="s">
        <v>3168</v>
      </c>
      <c r="B354" s="158" t="s">
        <v>3169</v>
      </c>
      <c r="C354" s="158" t="s">
        <v>3146</v>
      </c>
      <c r="D354" s="158" t="s">
        <v>1789</v>
      </c>
      <c r="E354" s="158" t="s">
        <v>1732</v>
      </c>
      <c r="F354" s="158" t="s">
        <v>1779</v>
      </c>
      <c r="G354" s="158" t="s">
        <v>1790</v>
      </c>
      <c r="H354" s="158" t="s">
        <v>1791</v>
      </c>
      <c r="I354" s="513" t="s">
        <v>1736</v>
      </c>
      <c r="J354" s="317" t="s">
        <v>1737</v>
      </c>
      <c r="K354" s="317" t="s">
        <v>1737</v>
      </c>
      <c r="L354" s="477"/>
      <c r="M354" s="521" t="s">
        <v>3163</v>
      </c>
      <c r="N354" s="520" t="s">
        <v>3170</v>
      </c>
      <c r="O354" s="477"/>
      <c r="P354" s="155"/>
      <c r="Q354" s="155"/>
      <c r="R354" s="155"/>
      <c r="S354" s="529">
        <v>44986</v>
      </c>
      <c r="T354" s="521" t="s">
        <v>1916</v>
      </c>
      <c r="U354" s="153"/>
      <c r="V354" s="153"/>
      <c r="W354" s="153"/>
      <c r="X354" s="153"/>
      <c r="Y354" s="153"/>
      <c r="Z354" s="153"/>
    </row>
    <row r="355" spans="1:26">
      <c r="A355" s="683" t="s">
        <v>3171</v>
      </c>
      <c r="B355" s="158" t="s">
        <v>3172</v>
      </c>
      <c r="C355" s="158" t="s">
        <v>3146</v>
      </c>
      <c r="D355" s="158" t="s">
        <v>1796</v>
      </c>
      <c r="E355" s="158" t="s">
        <v>1732</v>
      </c>
      <c r="F355" s="158" t="s">
        <v>1779</v>
      </c>
      <c r="G355" s="158" t="s">
        <v>1797</v>
      </c>
      <c r="H355" s="158" t="s">
        <v>1798</v>
      </c>
      <c r="I355" s="513" t="s">
        <v>1736</v>
      </c>
      <c r="J355" s="317" t="s">
        <v>1737</v>
      </c>
      <c r="K355" s="317" t="s">
        <v>1737</v>
      </c>
      <c r="L355" s="477"/>
      <c r="M355" s="477" t="s">
        <v>3173</v>
      </c>
      <c r="N355" s="520" t="s">
        <v>3174</v>
      </c>
      <c r="O355" s="477"/>
      <c r="P355" s="155"/>
      <c r="Q355" s="155"/>
      <c r="R355" s="155"/>
      <c r="S355" s="529">
        <v>44986</v>
      </c>
      <c r="T355" s="521" t="s">
        <v>1916</v>
      </c>
      <c r="U355" s="153"/>
      <c r="V355" s="153"/>
      <c r="W355" s="153"/>
      <c r="X355" s="153"/>
      <c r="Y355" s="153"/>
      <c r="Z355" s="153"/>
    </row>
    <row r="356" spans="1:26">
      <c r="A356" s="774"/>
      <c r="B356" s="158" t="s">
        <v>3175</v>
      </c>
      <c r="C356" s="158" t="s">
        <v>3146</v>
      </c>
      <c r="D356" s="158" t="s">
        <v>1801</v>
      </c>
      <c r="E356" s="158" t="s">
        <v>1732</v>
      </c>
      <c r="F356" s="158" t="s">
        <v>1779</v>
      </c>
      <c r="G356" s="158" t="s">
        <v>1802</v>
      </c>
      <c r="H356" s="158" t="s">
        <v>1803</v>
      </c>
      <c r="I356" s="513" t="s">
        <v>1736</v>
      </c>
      <c r="J356" s="317" t="s">
        <v>1737</v>
      </c>
      <c r="K356" s="317" t="s">
        <v>1737</v>
      </c>
      <c r="L356" s="530"/>
      <c r="M356" s="477" t="s">
        <v>3151</v>
      </c>
      <c r="N356" s="520" t="s">
        <v>3176</v>
      </c>
      <c r="O356" s="477"/>
      <c r="P356" s="155"/>
      <c r="Q356" s="155"/>
      <c r="R356" s="155"/>
      <c r="S356" s="529">
        <v>45012</v>
      </c>
      <c r="T356" s="521" t="s">
        <v>1916</v>
      </c>
      <c r="U356" s="153"/>
      <c r="V356" s="153"/>
      <c r="W356" s="153"/>
      <c r="X356" s="153"/>
      <c r="Y356" s="153"/>
      <c r="Z356" s="153"/>
    </row>
    <row r="357" spans="1:26">
      <c r="A357" s="774"/>
      <c r="B357" s="158" t="s">
        <v>3177</v>
      </c>
      <c r="C357" s="158" t="s">
        <v>3146</v>
      </c>
      <c r="D357" s="158" t="s">
        <v>1805</v>
      </c>
      <c r="E357" s="158" t="s">
        <v>1732</v>
      </c>
      <c r="F357" s="158" t="s">
        <v>1779</v>
      </c>
      <c r="G357" s="158" t="s">
        <v>1806</v>
      </c>
      <c r="H357" s="158" t="s">
        <v>1807</v>
      </c>
      <c r="I357" s="513" t="s">
        <v>1736</v>
      </c>
      <c r="J357" s="317" t="s">
        <v>1737</v>
      </c>
      <c r="K357" s="317" t="s">
        <v>1737</v>
      </c>
      <c r="L357" s="477"/>
      <c r="M357" s="477" t="s">
        <v>3173</v>
      </c>
      <c r="N357" s="520" t="s">
        <v>3174</v>
      </c>
      <c r="O357" s="477"/>
      <c r="P357" s="155"/>
      <c r="Q357" s="155"/>
      <c r="R357" s="155"/>
      <c r="S357" s="529">
        <v>44986</v>
      </c>
      <c r="T357" s="521" t="s">
        <v>1916</v>
      </c>
      <c r="U357" s="153"/>
      <c r="V357" s="153"/>
      <c r="W357" s="153"/>
      <c r="X357" s="153"/>
      <c r="Y357" s="153"/>
      <c r="Z357" s="153"/>
    </row>
    <row r="358" spans="1:26">
      <c r="A358" s="774"/>
      <c r="B358" s="158" t="s">
        <v>3178</v>
      </c>
      <c r="C358" s="158" t="s">
        <v>3146</v>
      </c>
      <c r="D358" s="158" t="s">
        <v>1810</v>
      </c>
      <c r="E358" s="158" t="s">
        <v>1732</v>
      </c>
      <c r="F358" s="158" t="s">
        <v>1779</v>
      </c>
      <c r="G358" s="158" t="s">
        <v>1811</v>
      </c>
      <c r="H358" s="158" t="s">
        <v>1812</v>
      </c>
      <c r="I358" s="513" t="s">
        <v>1736</v>
      </c>
      <c r="J358" s="317" t="s">
        <v>1737</v>
      </c>
      <c r="K358" s="317" t="s">
        <v>1737</v>
      </c>
      <c r="L358" s="530"/>
      <c r="M358" s="477" t="s">
        <v>3179</v>
      </c>
      <c r="N358" s="531" t="s">
        <v>3180</v>
      </c>
      <c r="O358" s="477"/>
      <c r="P358" s="155"/>
      <c r="Q358" s="155"/>
      <c r="R358" s="155"/>
      <c r="S358" s="529">
        <v>45012</v>
      </c>
      <c r="T358" s="521" t="s">
        <v>1916</v>
      </c>
      <c r="U358" s="153"/>
      <c r="V358" s="153"/>
      <c r="W358" s="153"/>
      <c r="X358" s="153"/>
      <c r="Y358" s="153"/>
      <c r="Z358" s="153"/>
    </row>
    <row r="359" spans="1:26">
      <c r="A359" s="774"/>
      <c r="B359" s="158" t="s">
        <v>3181</v>
      </c>
      <c r="C359" s="158" t="s">
        <v>3146</v>
      </c>
      <c r="D359" s="158" t="s">
        <v>1814</v>
      </c>
      <c r="E359" s="160" t="s">
        <v>1732</v>
      </c>
      <c r="F359" s="158" t="s">
        <v>1779</v>
      </c>
      <c r="G359" s="158" t="s">
        <v>1815</v>
      </c>
      <c r="H359" s="158" t="s">
        <v>1816</v>
      </c>
      <c r="I359" s="513" t="s">
        <v>1736</v>
      </c>
      <c r="J359" s="317" t="s">
        <v>1737</v>
      </c>
      <c r="K359" s="317" t="s">
        <v>1737</v>
      </c>
      <c r="L359" s="477"/>
      <c r="M359" s="477" t="s">
        <v>3173</v>
      </c>
      <c r="N359" s="520" t="s">
        <v>3174</v>
      </c>
      <c r="O359" s="477"/>
      <c r="P359" s="155"/>
      <c r="Q359" s="155"/>
      <c r="R359" s="155"/>
      <c r="S359" s="529">
        <v>44986</v>
      </c>
      <c r="T359" s="521" t="s">
        <v>1916</v>
      </c>
      <c r="U359" s="153"/>
      <c r="V359" s="153"/>
      <c r="W359" s="153"/>
      <c r="X359" s="153"/>
      <c r="Y359" s="153"/>
      <c r="Z359" s="153"/>
    </row>
    <row r="360" spans="1:26">
      <c r="A360" s="774"/>
      <c r="B360" s="158" t="s">
        <v>3182</v>
      </c>
      <c r="C360" s="158" t="s">
        <v>3146</v>
      </c>
      <c r="D360" s="158" t="s">
        <v>1819</v>
      </c>
      <c r="E360" s="158" t="s">
        <v>1732</v>
      </c>
      <c r="F360" s="158" t="s">
        <v>1779</v>
      </c>
      <c r="G360" s="158" t="s">
        <v>1820</v>
      </c>
      <c r="H360" s="158" t="s">
        <v>1821</v>
      </c>
      <c r="I360" s="513" t="s">
        <v>1736</v>
      </c>
      <c r="J360" s="317" t="s">
        <v>1737</v>
      </c>
      <c r="K360" s="317" t="s">
        <v>1737</v>
      </c>
      <c r="L360" s="530"/>
      <c r="M360" s="477" t="s">
        <v>3179</v>
      </c>
      <c r="N360" s="520" t="s">
        <v>3183</v>
      </c>
      <c r="O360" s="477"/>
      <c r="P360" s="155"/>
      <c r="Q360" s="155"/>
      <c r="R360" s="155"/>
      <c r="S360" s="529">
        <v>45012</v>
      </c>
      <c r="T360" s="521" t="s">
        <v>1916</v>
      </c>
      <c r="U360" s="153"/>
      <c r="V360" s="153"/>
      <c r="W360" s="153"/>
      <c r="X360" s="153"/>
      <c r="Y360" s="153"/>
      <c r="Z360" s="153"/>
    </row>
    <row r="361" spans="1:26">
      <c r="A361" s="774"/>
      <c r="B361" s="158" t="s">
        <v>3184</v>
      </c>
      <c r="C361" s="158" t="s">
        <v>3146</v>
      </c>
      <c r="D361" s="158" t="s">
        <v>1826</v>
      </c>
      <c r="E361" s="158" t="s">
        <v>1732</v>
      </c>
      <c r="F361" s="158" t="s">
        <v>1779</v>
      </c>
      <c r="G361" s="158" t="s">
        <v>1827</v>
      </c>
      <c r="H361" s="158" t="s">
        <v>1828</v>
      </c>
      <c r="I361" s="513" t="s">
        <v>1736</v>
      </c>
      <c r="J361" s="317" t="s">
        <v>1737</v>
      </c>
      <c r="K361" s="317" t="s">
        <v>1737</v>
      </c>
      <c r="L361" s="477"/>
      <c r="M361" s="477" t="s">
        <v>3173</v>
      </c>
      <c r="N361" s="520" t="s">
        <v>3174</v>
      </c>
      <c r="O361" s="477"/>
      <c r="P361" s="155"/>
      <c r="Q361" s="155"/>
      <c r="R361" s="155"/>
      <c r="S361" s="529">
        <v>44986</v>
      </c>
      <c r="T361" s="521" t="s">
        <v>1916</v>
      </c>
      <c r="U361" s="153"/>
      <c r="V361" s="153"/>
      <c r="W361" s="153"/>
      <c r="X361" s="153"/>
      <c r="Y361" s="153"/>
      <c r="Z361" s="153"/>
    </row>
    <row r="362" spans="1:26">
      <c r="A362" s="774"/>
      <c r="B362" s="158" t="s">
        <v>3185</v>
      </c>
      <c r="C362" s="158" t="s">
        <v>3146</v>
      </c>
      <c r="D362" s="158" t="s">
        <v>1831</v>
      </c>
      <c r="E362" s="158" t="s">
        <v>1732</v>
      </c>
      <c r="F362" s="158" t="s">
        <v>1779</v>
      </c>
      <c r="G362" s="158" t="s">
        <v>1832</v>
      </c>
      <c r="H362" s="158" t="s">
        <v>1833</v>
      </c>
      <c r="I362" s="513" t="s">
        <v>1736</v>
      </c>
      <c r="J362" s="317" t="s">
        <v>1737</v>
      </c>
      <c r="K362" s="317" t="s">
        <v>1737</v>
      </c>
      <c r="L362" s="477"/>
      <c r="M362" s="477" t="s">
        <v>3173</v>
      </c>
      <c r="N362" s="520" t="s">
        <v>3174</v>
      </c>
      <c r="O362" s="477"/>
      <c r="P362" s="155"/>
      <c r="Q362" s="155"/>
      <c r="R362" s="155"/>
      <c r="S362" s="529">
        <v>44986</v>
      </c>
      <c r="T362" s="521" t="s">
        <v>1916</v>
      </c>
      <c r="U362" s="153"/>
      <c r="V362" s="153"/>
      <c r="W362" s="153"/>
      <c r="X362" s="153"/>
      <c r="Y362" s="153"/>
      <c r="Z362" s="153"/>
    </row>
    <row r="363" spans="1:26">
      <c r="A363" s="774"/>
      <c r="B363" s="158" t="s">
        <v>3186</v>
      </c>
      <c r="C363" s="158" t="s">
        <v>3146</v>
      </c>
      <c r="D363" s="158" t="s">
        <v>1835</v>
      </c>
      <c r="E363" s="158" t="s">
        <v>1732</v>
      </c>
      <c r="F363" s="158" t="s">
        <v>1779</v>
      </c>
      <c r="G363" s="158" t="s">
        <v>1836</v>
      </c>
      <c r="H363" s="158" t="s">
        <v>1837</v>
      </c>
      <c r="I363" s="513" t="s">
        <v>1736</v>
      </c>
      <c r="J363" s="317" t="s">
        <v>1737</v>
      </c>
      <c r="K363" s="317" t="s">
        <v>1737</v>
      </c>
      <c r="L363" s="477"/>
      <c r="M363" s="477" t="s">
        <v>3173</v>
      </c>
      <c r="N363" s="520" t="s">
        <v>3174</v>
      </c>
      <c r="O363" s="477"/>
      <c r="P363" s="155"/>
      <c r="Q363" s="155"/>
      <c r="R363" s="155"/>
      <c r="S363" s="529">
        <v>44986</v>
      </c>
      <c r="T363" s="521" t="s">
        <v>1916</v>
      </c>
      <c r="U363" s="153"/>
      <c r="V363" s="153"/>
      <c r="W363" s="153"/>
      <c r="X363" s="153"/>
      <c r="Y363" s="153"/>
      <c r="Z363" s="153"/>
    </row>
    <row r="364" spans="1:26">
      <c r="A364" s="190" t="s">
        <v>3187</v>
      </c>
      <c r="B364" s="25" t="s">
        <v>3188</v>
      </c>
      <c r="C364" s="158" t="s">
        <v>3146</v>
      </c>
      <c r="D364" s="158" t="s">
        <v>1841</v>
      </c>
      <c r="E364" s="158" t="s">
        <v>1732</v>
      </c>
      <c r="F364" s="158" t="s">
        <v>1779</v>
      </c>
      <c r="G364" s="158" t="s">
        <v>1842</v>
      </c>
      <c r="H364" s="158" t="s">
        <v>1843</v>
      </c>
      <c r="I364" s="513" t="s">
        <v>1736</v>
      </c>
      <c r="J364" s="317" t="s">
        <v>1737</v>
      </c>
      <c r="K364" s="317" t="s">
        <v>1737</v>
      </c>
      <c r="L364" s="477"/>
      <c r="M364" s="477" t="s">
        <v>3163</v>
      </c>
      <c r="N364" s="520" t="s">
        <v>3189</v>
      </c>
      <c r="O364" s="477"/>
      <c r="P364" s="155"/>
      <c r="Q364" s="155"/>
      <c r="R364" s="155"/>
      <c r="S364" s="529">
        <v>44987</v>
      </c>
      <c r="T364" s="521" t="s">
        <v>1916</v>
      </c>
      <c r="U364" s="153"/>
      <c r="V364" s="153"/>
      <c r="W364" s="153"/>
      <c r="X364" s="153"/>
      <c r="Y364" s="153"/>
      <c r="Z364" s="153"/>
    </row>
    <row r="365" spans="1:26">
      <c r="A365" s="776" t="s">
        <v>3190</v>
      </c>
      <c r="B365" s="158" t="s">
        <v>3191</v>
      </c>
      <c r="C365" s="158" t="s">
        <v>3146</v>
      </c>
      <c r="D365" s="166" t="s">
        <v>1848</v>
      </c>
      <c r="E365" s="166" t="s">
        <v>1732</v>
      </c>
      <c r="F365" s="158" t="s">
        <v>1849</v>
      </c>
      <c r="G365" s="166" t="s">
        <v>1850</v>
      </c>
      <c r="H365" s="166" t="s">
        <v>1851</v>
      </c>
      <c r="I365" s="513" t="s">
        <v>1736</v>
      </c>
      <c r="J365" s="317" t="s">
        <v>1737</v>
      </c>
      <c r="K365" s="317" t="s">
        <v>1737</v>
      </c>
      <c r="L365" s="477"/>
      <c r="M365" s="477" t="s">
        <v>3163</v>
      </c>
      <c r="N365" s="520" t="s">
        <v>3192</v>
      </c>
      <c r="O365" s="477" t="s">
        <v>3193</v>
      </c>
      <c r="P365" s="155" t="s">
        <v>3194</v>
      </c>
      <c r="Q365" s="155"/>
      <c r="R365" s="155"/>
      <c r="S365" s="529">
        <v>45012</v>
      </c>
      <c r="T365" s="521" t="s">
        <v>1916</v>
      </c>
      <c r="U365" s="153"/>
      <c r="V365" s="153"/>
      <c r="W365" s="153"/>
      <c r="X365" s="153"/>
      <c r="Y365" s="153"/>
      <c r="Z365" s="153"/>
    </row>
    <row r="366" spans="1:26">
      <c r="A366" s="774"/>
      <c r="B366" s="158" t="s">
        <v>3195</v>
      </c>
      <c r="C366" s="158" t="s">
        <v>3146</v>
      </c>
      <c r="D366" s="166" t="s">
        <v>1854</v>
      </c>
      <c r="E366" s="166" t="s">
        <v>1732</v>
      </c>
      <c r="F366" s="158" t="s">
        <v>1849</v>
      </c>
      <c r="G366" s="166" t="s">
        <v>1855</v>
      </c>
      <c r="H366" s="166" t="s">
        <v>1856</v>
      </c>
      <c r="I366" s="513" t="s">
        <v>1736</v>
      </c>
      <c r="J366" s="317" t="s">
        <v>1737</v>
      </c>
      <c r="K366" s="317" t="s">
        <v>1737</v>
      </c>
      <c r="L366" s="477"/>
      <c r="M366" s="477" t="s">
        <v>3163</v>
      </c>
      <c r="N366" s="520" t="s">
        <v>3192</v>
      </c>
      <c r="O366" s="477" t="s">
        <v>3193</v>
      </c>
      <c r="P366" s="155" t="s">
        <v>3194</v>
      </c>
      <c r="Q366" s="155"/>
      <c r="R366" s="155"/>
      <c r="S366" s="529">
        <v>45012</v>
      </c>
      <c r="T366" s="521" t="s">
        <v>1916</v>
      </c>
      <c r="U366" s="153"/>
      <c r="V366" s="153"/>
      <c r="W366" s="153"/>
      <c r="X366" s="153"/>
      <c r="Y366" s="153"/>
      <c r="Z366" s="153"/>
    </row>
    <row r="367" spans="1:26">
      <c r="A367" s="774"/>
      <c r="B367" s="158" t="s">
        <v>3196</v>
      </c>
      <c r="C367" s="158" t="s">
        <v>3146</v>
      </c>
      <c r="D367" s="166" t="s">
        <v>1858</v>
      </c>
      <c r="E367" s="166" t="s">
        <v>1732</v>
      </c>
      <c r="F367" s="158" t="s">
        <v>1849</v>
      </c>
      <c r="G367" s="166" t="s">
        <v>1859</v>
      </c>
      <c r="H367" s="166" t="s">
        <v>1860</v>
      </c>
      <c r="I367" s="513" t="s">
        <v>1736</v>
      </c>
      <c r="J367" s="317" t="s">
        <v>1737</v>
      </c>
      <c r="K367" s="317" t="s">
        <v>1737</v>
      </c>
      <c r="L367" s="477"/>
      <c r="M367" s="477" t="s">
        <v>3163</v>
      </c>
      <c r="N367" s="520" t="s">
        <v>3192</v>
      </c>
      <c r="O367" s="477" t="s">
        <v>3193</v>
      </c>
      <c r="P367" s="155" t="s">
        <v>3197</v>
      </c>
      <c r="Q367" s="155"/>
      <c r="R367" s="155"/>
      <c r="S367" s="529">
        <v>45012</v>
      </c>
      <c r="T367" s="521" t="s">
        <v>1916</v>
      </c>
      <c r="U367" s="153"/>
      <c r="V367" s="153"/>
      <c r="W367" s="153"/>
      <c r="X367" s="153"/>
      <c r="Y367" s="153"/>
      <c r="Z367" s="153"/>
    </row>
    <row r="368" spans="1:26">
      <c r="A368" s="774"/>
      <c r="B368" s="158" t="s">
        <v>3198</v>
      </c>
      <c r="C368" s="158" t="s">
        <v>3146</v>
      </c>
      <c r="D368" s="166" t="s">
        <v>1862</v>
      </c>
      <c r="E368" s="166" t="s">
        <v>1732</v>
      </c>
      <c r="F368" s="158" t="s">
        <v>1849</v>
      </c>
      <c r="G368" s="166" t="s">
        <v>1863</v>
      </c>
      <c r="H368" s="166" t="s">
        <v>1864</v>
      </c>
      <c r="I368" s="513" t="s">
        <v>1736</v>
      </c>
      <c r="J368" s="317" t="s">
        <v>1737</v>
      </c>
      <c r="K368" s="317" t="s">
        <v>1737</v>
      </c>
      <c r="L368" s="477"/>
      <c r="M368" s="477" t="s">
        <v>3199</v>
      </c>
      <c r="N368" s="520" t="s">
        <v>3200</v>
      </c>
      <c r="O368" s="477" t="s">
        <v>3193</v>
      </c>
      <c r="P368" s="155" t="s">
        <v>3197</v>
      </c>
      <c r="Q368" s="155"/>
      <c r="R368" s="155"/>
      <c r="S368" s="529">
        <v>45012</v>
      </c>
      <c r="T368" s="521" t="s">
        <v>1916</v>
      </c>
      <c r="U368" s="153"/>
      <c r="V368" s="153"/>
      <c r="W368" s="153"/>
      <c r="X368" s="153"/>
      <c r="Y368" s="153"/>
      <c r="Z368" s="153"/>
    </row>
    <row r="369" spans="1:26">
      <c r="A369" s="776" t="s">
        <v>3201</v>
      </c>
      <c r="B369" s="158" t="s">
        <v>3202</v>
      </c>
      <c r="C369" s="158" t="s">
        <v>3146</v>
      </c>
      <c r="D369" s="166" t="s">
        <v>1866</v>
      </c>
      <c r="E369" s="166" t="s">
        <v>1743</v>
      </c>
      <c r="F369" s="158" t="s">
        <v>1779</v>
      </c>
      <c r="G369" s="166" t="s">
        <v>3203</v>
      </c>
      <c r="H369" s="166" t="s">
        <v>1867</v>
      </c>
      <c r="I369" s="513" t="s">
        <v>1736</v>
      </c>
      <c r="J369" s="317" t="s">
        <v>1737</v>
      </c>
      <c r="K369" s="317" t="s">
        <v>1737</v>
      </c>
      <c r="L369" s="477"/>
      <c r="M369" s="477" t="s">
        <v>3199</v>
      </c>
      <c r="N369" s="520" t="s">
        <v>3204</v>
      </c>
      <c r="O369" s="477"/>
      <c r="P369" s="155"/>
      <c r="Q369" s="155"/>
      <c r="R369" s="155"/>
      <c r="S369" s="529">
        <v>44991</v>
      </c>
      <c r="T369" s="521" t="s">
        <v>1916</v>
      </c>
      <c r="U369" s="153"/>
      <c r="V369" s="153"/>
      <c r="W369" s="153"/>
      <c r="X369" s="153"/>
      <c r="Y369" s="153"/>
      <c r="Z369" s="153"/>
    </row>
    <row r="370" spans="1:26">
      <c r="A370" s="773"/>
      <c r="B370" s="158" t="s">
        <v>3205</v>
      </c>
      <c r="C370" s="158" t="s">
        <v>3146</v>
      </c>
      <c r="D370" s="166" t="s">
        <v>1870</v>
      </c>
      <c r="E370" s="166" t="s">
        <v>1743</v>
      </c>
      <c r="F370" s="158" t="s">
        <v>1779</v>
      </c>
      <c r="G370" s="166" t="s">
        <v>1871</v>
      </c>
      <c r="H370" s="166" t="s">
        <v>1867</v>
      </c>
      <c r="I370" s="513" t="s">
        <v>1736</v>
      </c>
      <c r="J370" s="317" t="s">
        <v>1737</v>
      </c>
      <c r="K370" s="317" t="s">
        <v>1737</v>
      </c>
      <c r="L370" s="477"/>
      <c r="M370" s="477" t="s">
        <v>3199</v>
      </c>
      <c r="N370" s="520" t="s">
        <v>3204</v>
      </c>
      <c r="O370" s="477"/>
      <c r="P370" s="155"/>
      <c r="Q370" s="155"/>
      <c r="R370" s="155"/>
      <c r="S370" s="529">
        <v>44991</v>
      </c>
      <c r="T370" s="521" t="s">
        <v>1916</v>
      </c>
      <c r="U370" s="153"/>
      <c r="V370" s="153"/>
      <c r="W370" s="153"/>
      <c r="X370" s="153"/>
      <c r="Y370" s="153"/>
      <c r="Z370" s="153"/>
    </row>
    <row r="371" spans="1:26">
      <c r="A371" s="776" t="s">
        <v>3206</v>
      </c>
      <c r="B371" s="158" t="s">
        <v>3207</v>
      </c>
      <c r="C371" s="158" t="s">
        <v>3146</v>
      </c>
      <c r="D371" s="166" t="s">
        <v>1873</v>
      </c>
      <c r="E371" s="166" t="s">
        <v>1743</v>
      </c>
      <c r="F371" s="158" t="s">
        <v>1849</v>
      </c>
      <c r="G371" s="166" t="s">
        <v>1850</v>
      </c>
      <c r="H371" s="166" t="s">
        <v>1874</v>
      </c>
      <c r="I371" s="513" t="s">
        <v>1736</v>
      </c>
      <c r="J371" s="317" t="s">
        <v>1737</v>
      </c>
      <c r="K371" s="317" t="s">
        <v>1737</v>
      </c>
      <c r="L371" s="477"/>
      <c r="M371" s="477" t="s">
        <v>3199</v>
      </c>
      <c r="N371" s="520" t="s">
        <v>3208</v>
      </c>
      <c r="O371" s="477" t="s">
        <v>3193</v>
      </c>
      <c r="P371" s="155" t="s">
        <v>3209</v>
      </c>
      <c r="Q371" s="155"/>
      <c r="R371" s="155"/>
      <c r="S371" s="529">
        <v>45012</v>
      </c>
      <c r="T371" s="521" t="s">
        <v>1916</v>
      </c>
      <c r="U371" s="153"/>
      <c r="V371" s="153"/>
      <c r="W371" s="153"/>
      <c r="X371" s="153"/>
      <c r="Y371" s="153"/>
      <c r="Z371" s="153"/>
    </row>
    <row r="372" spans="1:26">
      <c r="A372" s="773"/>
      <c r="B372" s="158" t="s">
        <v>3210</v>
      </c>
      <c r="C372" s="158" t="s">
        <v>3146</v>
      </c>
      <c r="D372" s="166" t="s">
        <v>1877</v>
      </c>
      <c r="E372" s="166" t="s">
        <v>1743</v>
      </c>
      <c r="F372" s="158" t="s">
        <v>1849</v>
      </c>
      <c r="G372" s="166" t="s">
        <v>1863</v>
      </c>
      <c r="H372" s="166" t="s">
        <v>1874</v>
      </c>
      <c r="I372" s="513" t="s">
        <v>1736</v>
      </c>
      <c r="J372" s="317" t="s">
        <v>1737</v>
      </c>
      <c r="K372" s="317" t="s">
        <v>1737</v>
      </c>
      <c r="L372" s="477"/>
      <c r="M372" s="477" t="s">
        <v>3199</v>
      </c>
      <c r="N372" s="520" t="s">
        <v>3208</v>
      </c>
      <c r="O372" s="477" t="s">
        <v>3193</v>
      </c>
      <c r="P372" s="155" t="s">
        <v>3209</v>
      </c>
      <c r="Q372" s="155"/>
      <c r="R372" s="155"/>
      <c r="S372" s="529">
        <v>45012</v>
      </c>
      <c r="T372" s="521" t="s">
        <v>1916</v>
      </c>
      <c r="U372" s="153"/>
      <c r="V372" s="153"/>
      <c r="W372" s="153"/>
      <c r="X372" s="153"/>
      <c r="Y372" s="153"/>
      <c r="Z372" s="153"/>
    </row>
    <row r="373" spans="1:26">
      <c r="A373" s="655" t="s">
        <v>3211</v>
      </c>
      <c r="B373" s="158" t="s">
        <v>3212</v>
      </c>
      <c r="C373" s="158" t="s">
        <v>3146</v>
      </c>
      <c r="D373" s="158" t="s">
        <v>1882</v>
      </c>
      <c r="E373" s="158" t="s">
        <v>1732</v>
      </c>
      <c r="F373" s="158" t="s">
        <v>1849</v>
      </c>
      <c r="G373" s="158" t="s">
        <v>1883</v>
      </c>
      <c r="H373" s="158" t="s">
        <v>1884</v>
      </c>
      <c r="I373" s="513" t="s">
        <v>1736</v>
      </c>
      <c r="J373" s="317" t="s">
        <v>1737</v>
      </c>
      <c r="K373" s="317" t="s">
        <v>1737</v>
      </c>
      <c r="L373" s="477"/>
      <c r="M373" s="477" t="s">
        <v>3199</v>
      </c>
      <c r="N373" s="520" t="s">
        <v>3213</v>
      </c>
      <c r="O373" s="477" t="s">
        <v>3193</v>
      </c>
      <c r="P373" s="530" t="s">
        <v>3214</v>
      </c>
      <c r="Q373" s="155"/>
      <c r="R373" s="155"/>
      <c r="S373" s="529">
        <v>45012</v>
      </c>
      <c r="T373" s="521" t="s">
        <v>1916</v>
      </c>
      <c r="U373" s="153"/>
      <c r="V373" s="153"/>
      <c r="W373" s="153"/>
      <c r="X373" s="153"/>
      <c r="Y373" s="153"/>
      <c r="Z373" s="153"/>
    </row>
    <row r="374" spans="1:26">
      <c r="A374" s="774"/>
      <c r="B374" s="158" t="s">
        <v>3215</v>
      </c>
      <c r="C374" s="158" t="s">
        <v>3146</v>
      </c>
      <c r="D374" s="158" t="s">
        <v>1887</v>
      </c>
      <c r="E374" s="158" t="s">
        <v>1732</v>
      </c>
      <c r="F374" s="158" t="s">
        <v>1849</v>
      </c>
      <c r="G374" s="158" t="s">
        <v>1888</v>
      </c>
      <c r="H374" s="158" t="s">
        <v>1889</v>
      </c>
      <c r="I374" s="513" t="s">
        <v>1736</v>
      </c>
      <c r="J374" s="317" t="s">
        <v>1737</v>
      </c>
      <c r="K374" s="317" t="s">
        <v>1737</v>
      </c>
      <c r="L374" s="477"/>
      <c r="M374" s="477" t="s">
        <v>3199</v>
      </c>
      <c r="N374" s="520" t="s">
        <v>3216</v>
      </c>
      <c r="O374" s="477" t="s">
        <v>3217</v>
      </c>
      <c r="P374" s="155" t="s">
        <v>3218</v>
      </c>
      <c r="Q374" s="155"/>
      <c r="R374" s="155"/>
      <c r="S374" s="529">
        <v>45015</v>
      </c>
      <c r="T374" s="521" t="s">
        <v>1916</v>
      </c>
      <c r="U374" s="153"/>
      <c r="V374" s="153"/>
      <c r="W374" s="153"/>
      <c r="X374" s="153"/>
      <c r="Y374" s="153"/>
      <c r="Z374" s="153"/>
    </row>
    <row r="375" spans="1:26">
      <c r="A375" s="774"/>
      <c r="B375" s="158" t="s">
        <v>3219</v>
      </c>
      <c r="C375" s="158" t="s">
        <v>3146</v>
      </c>
      <c r="D375" s="158" t="s">
        <v>1892</v>
      </c>
      <c r="E375" s="158" t="s">
        <v>1732</v>
      </c>
      <c r="F375" s="158" t="s">
        <v>1849</v>
      </c>
      <c r="G375" s="158" t="s">
        <v>1893</v>
      </c>
      <c r="H375" s="158" t="s">
        <v>1894</v>
      </c>
      <c r="I375" s="513" t="s">
        <v>1736</v>
      </c>
      <c r="J375" s="317" t="s">
        <v>1737</v>
      </c>
      <c r="K375" s="317" t="s">
        <v>1737</v>
      </c>
      <c r="L375" s="477"/>
      <c r="M375" s="477" t="s">
        <v>3199</v>
      </c>
      <c r="N375" s="520" t="s">
        <v>3220</v>
      </c>
      <c r="O375" s="477" t="s">
        <v>3217</v>
      </c>
      <c r="P375" s="155" t="s">
        <v>3221</v>
      </c>
      <c r="Q375" s="155"/>
      <c r="R375" s="155"/>
      <c r="S375" s="529">
        <v>45015</v>
      </c>
      <c r="T375" s="521" t="s">
        <v>1916</v>
      </c>
      <c r="U375" s="153"/>
      <c r="V375" s="153"/>
      <c r="W375" s="153"/>
      <c r="X375" s="153"/>
      <c r="Y375" s="153"/>
      <c r="Z375" s="153"/>
    </row>
    <row r="376" spans="1:26">
      <c r="A376" s="774"/>
      <c r="B376" s="158" t="s">
        <v>3222</v>
      </c>
      <c r="C376" s="158" t="s">
        <v>3146</v>
      </c>
      <c r="D376" s="158" t="s">
        <v>1897</v>
      </c>
      <c r="E376" s="158" t="s">
        <v>1732</v>
      </c>
      <c r="F376" s="158" t="s">
        <v>1849</v>
      </c>
      <c r="G376" s="158" t="s">
        <v>1898</v>
      </c>
      <c r="H376" s="158" t="s">
        <v>1899</v>
      </c>
      <c r="I376" s="513" t="s">
        <v>1736</v>
      </c>
      <c r="J376" s="317" t="s">
        <v>1737</v>
      </c>
      <c r="K376" s="317" t="s">
        <v>1737</v>
      </c>
      <c r="L376" s="477"/>
      <c r="M376" s="477" t="s">
        <v>3199</v>
      </c>
      <c r="N376" s="520" t="s">
        <v>3223</v>
      </c>
      <c r="O376" s="477" t="s">
        <v>3217</v>
      </c>
      <c r="P376" s="155" t="s">
        <v>3224</v>
      </c>
      <c r="Q376" s="155"/>
      <c r="R376" s="155"/>
      <c r="S376" s="529">
        <v>45015</v>
      </c>
      <c r="T376" s="521" t="s">
        <v>1916</v>
      </c>
      <c r="U376" s="153"/>
      <c r="V376" s="153"/>
      <c r="W376" s="153"/>
      <c r="X376" s="153"/>
      <c r="Y376" s="153"/>
      <c r="Z376" s="153"/>
    </row>
    <row r="377" spans="1:26">
      <c r="A377" s="774"/>
      <c r="B377" s="158" t="s">
        <v>3225</v>
      </c>
      <c r="C377" s="158" t="s">
        <v>3146</v>
      </c>
      <c r="D377" s="158" t="s">
        <v>1902</v>
      </c>
      <c r="E377" s="158" t="s">
        <v>1732</v>
      </c>
      <c r="F377" s="158" t="s">
        <v>1849</v>
      </c>
      <c r="G377" s="158" t="s">
        <v>1903</v>
      </c>
      <c r="H377" s="158" t="s">
        <v>1904</v>
      </c>
      <c r="I377" s="513" t="s">
        <v>1736</v>
      </c>
      <c r="J377" s="317" t="s">
        <v>1737</v>
      </c>
      <c r="K377" s="317" t="s">
        <v>1737</v>
      </c>
      <c r="L377" s="477"/>
      <c r="M377" s="477" t="s">
        <v>3199</v>
      </c>
      <c r="N377" s="520" t="s">
        <v>3226</v>
      </c>
      <c r="O377" s="477"/>
      <c r="P377" s="155"/>
      <c r="Q377" s="155"/>
      <c r="R377" s="155"/>
      <c r="S377" s="529">
        <v>45012</v>
      </c>
      <c r="T377" s="521" t="s">
        <v>1916</v>
      </c>
      <c r="U377" s="153"/>
      <c r="V377" s="153"/>
      <c r="W377" s="153"/>
      <c r="X377" s="153"/>
      <c r="Y377" s="153"/>
      <c r="Z377" s="153"/>
    </row>
    <row r="378" spans="1:26">
      <c r="A378" s="774"/>
      <c r="B378" s="158" t="s">
        <v>3227</v>
      </c>
      <c r="C378" s="158" t="s">
        <v>3146</v>
      </c>
      <c r="D378" s="158" t="s">
        <v>1907</v>
      </c>
      <c r="E378" s="158" t="s">
        <v>1732</v>
      </c>
      <c r="F378" s="158" t="s">
        <v>1849</v>
      </c>
      <c r="G378" s="158" t="s">
        <v>1908</v>
      </c>
      <c r="H378" s="158" t="s">
        <v>1909</v>
      </c>
      <c r="I378" s="513" t="s">
        <v>1736</v>
      </c>
      <c r="J378" s="317" t="s">
        <v>1737</v>
      </c>
      <c r="K378" s="317" t="s">
        <v>1737</v>
      </c>
      <c r="L378" s="477"/>
      <c r="M378" s="477" t="s">
        <v>3199</v>
      </c>
      <c r="N378" s="520" t="s">
        <v>3228</v>
      </c>
      <c r="O378" s="477"/>
      <c r="P378" s="155"/>
      <c r="Q378" s="155"/>
      <c r="R378" s="155"/>
      <c r="S378" s="529">
        <v>45012</v>
      </c>
      <c r="T378" s="521" t="s">
        <v>1916</v>
      </c>
      <c r="U378" s="153"/>
      <c r="V378" s="153"/>
      <c r="W378" s="153"/>
      <c r="X378" s="153"/>
      <c r="Y378" s="153"/>
      <c r="Z378" s="153"/>
    </row>
    <row r="379" spans="1:26">
      <c r="A379" s="774"/>
      <c r="B379" s="158" t="s">
        <v>3229</v>
      </c>
      <c r="C379" s="158" t="s">
        <v>3146</v>
      </c>
      <c r="D379" s="158" t="s">
        <v>1912</v>
      </c>
      <c r="E379" s="158" t="s">
        <v>1732</v>
      </c>
      <c r="F379" s="158" t="s">
        <v>1849</v>
      </c>
      <c r="G379" s="158" t="s">
        <v>1913</v>
      </c>
      <c r="H379" s="158" t="s">
        <v>1914</v>
      </c>
      <c r="I379" s="513" t="s">
        <v>1736</v>
      </c>
      <c r="J379" s="317" t="s">
        <v>1737</v>
      </c>
      <c r="K379" s="317" t="s">
        <v>1737</v>
      </c>
      <c r="L379" s="477"/>
      <c r="M379" s="477" t="s">
        <v>3199</v>
      </c>
      <c r="N379" s="520" t="s">
        <v>3230</v>
      </c>
      <c r="O379" s="477" t="s">
        <v>3217</v>
      </c>
      <c r="P379" s="155" t="s">
        <v>3231</v>
      </c>
      <c r="Q379" s="155"/>
      <c r="R379" s="155"/>
      <c r="S379" s="529">
        <v>45015</v>
      </c>
      <c r="T379" s="521" t="s">
        <v>1916</v>
      </c>
      <c r="U379" s="153"/>
      <c r="V379" s="153"/>
      <c r="W379" s="153"/>
      <c r="X379" s="153"/>
      <c r="Y379" s="153"/>
      <c r="Z379" s="153"/>
    </row>
    <row r="380" spans="1:26">
      <c r="A380" s="774"/>
      <c r="B380" s="158" t="s">
        <v>3232</v>
      </c>
      <c r="C380" s="158" t="s">
        <v>3146</v>
      </c>
      <c r="D380" s="158" t="s">
        <v>1918</v>
      </c>
      <c r="E380" s="158" t="s">
        <v>1732</v>
      </c>
      <c r="F380" s="158" t="s">
        <v>1849</v>
      </c>
      <c r="G380" s="158" t="s">
        <v>1919</v>
      </c>
      <c r="H380" s="158" t="s">
        <v>1920</v>
      </c>
      <c r="I380" s="513" t="s">
        <v>1736</v>
      </c>
      <c r="J380" s="317" t="s">
        <v>1737</v>
      </c>
      <c r="K380" s="317" t="s">
        <v>1737</v>
      </c>
      <c r="L380" s="477"/>
      <c r="M380" s="477" t="s">
        <v>3199</v>
      </c>
      <c r="N380" s="520" t="s">
        <v>3230</v>
      </c>
      <c r="O380" s="477"/>
      <c r="P380" s="155"/>
      <c r="Q380" s="155"/>
      <c r="R380" s="525" t="s">
        <v>3233</v>
      </c>
      <c r="S380" s="477"/>
      <c r="T380" s="521"/>
      <c r="U380" s="153"/>
      <c r="V380" s="153"/>
      <c r="W380" s="153"/>
      <c r="X380" s="153"/>
      <c r="Y380" s="153"/>
      <c r="Z380" s="153"/>
    </row>
    <row r="381" spans="1:26">
      <c r="A381" s="774"/>
      <c r="B381" s="158" t="s">
        <v>3234</v>
      </c>
      <c r="C381" s="158" t="s">
        <v>3146</v>
      </c>
      <c r="D381" s="158" t="s">
        <v>3235</v>
      </c>
      <c r="E381" s="158" t="s">
        <v>1743</v>
      </c>
      <c r="F381" s="158" t="s">
        <v>1849</v>
      </c>
      <c r="G381" s="158" t="s">
        <v>1883</v>
      </c>
      <c r="H381" s="158" t="s">
        <v>1874</v>
      </c>
      <c r="I381" s="513" t="s">
        <v>1736</v>
      </c>
      <c r="J381" s="317" t="s">
        <v>1737</v>
      </c>
      <c r="K381" s="317" t="s">
        <v>1737</v>
      </c>
      <c r="L381" s="477"/>
      <c r="M381" s="477" t="s">
        <v>3199</v>
      </c>
      <c r="N381" s="520" t="s">
        <v>3236</v>
      </c>
      <c r="O381" s="477" t="s">
        <v>3217</v>
      </c>
      <c r="P381" s="155" t="s">
        <v>3237</v>
      </c>
      <c r="Q381" s="155"/>
      <c r="R381" s="155"/>
      <c r="S381" s="529">
        <v>45015</v>
      </c>
      <c r="T381" s="521" t="s">
        <v>1916</v>
      </c>
      <c r="U381" s="153"/>
      <c r="V381" s="153"/>
      <c r="W381" s="153"/>
      <c r="X381" s="153"/>
      <c r="Y381" s="153"/>
      <c r="Z381" s="153"/>
    </row>
    <row r="382" spans="1:26">
      <c r="A382" s="774"/>
      <c r="B382" s="158" t="s">
        <v>3238</v>
      </c>
      <c r="C382" s="158" t="s">
        <v>3146</v>
      </c>
      <c r="D382" s="158" t="s">
        <v>1927</v>
      </c>
      <c r="E382" s="158" t="s">
        <v>1743</v>
      </c>
      <c r="F382" s="158" t="s">
        <v>1849</v>
      </c>
      <c r="G382" s="158" t="s">
        <v>1883</v>
      </c>
      <c r="H382" s="158" t="s">
        <v>1874</v>
      </c>
      <c r="I382" s="513" t="s">
        <v>1736</v>
      </c>
      <c r="J382" s="317" t="s">
        <v>1737</v>
      </c>
      <c r="K382" s="317" t="s">
        <v>1737</v>
      </c>
      <c r="L382" s="477"/>
      <c r="M382" s="477" t="s">
        <v>3199</v>
      </c>
      <c r="N382" s="520" t="s">
        <v>3236</v>
      </c>
      <c r="O382" s="477" t="s">
        <v>3217</v>
      </c>
      <c r="P382" s="155" t="s">
        <v>3239</v>
      </c>
      <c r="Q382" s="155"/>
      <c r="R382" s="155"/>
      <c r="S382" s="529">
        <v>45015</v>
      </c>
      <c r="T382" s="521" t="s">
        <v>1916</v>
      </c>
      <c r="U382" s="153"/>
      <c r="V382" s="153"/>
      <c r="W382" s="153"/>
      <c r="X382" s="153"/>
      <c r="Y382" s="153"/>
      <c r="Z382" s="153"/>
    </row>
    <row r="383" spans="1:26">
      <c r="A383" s="773"/>
      <c r="B383" s="158" t="s">
        <v>3240</v>
      </c>
      <c r="C383" s="158" t="s">
        <v>3146</v>
      </c>
      <c r="D383" s="158" t="s">
        <v>1930</v>
      </c>
      <c r="E383" s="158" t="s">
        <v>1743</v>
      </c>
      <c r="F383" s="158" t="s">
        <v>1779</v>
      </c>
      <c r="G383" s="158" t="s">
        <v>3241</v>
      </c>
      <c r="H383" s="158" t="s">
        <v>1867</v>
      </c>
      <c r="I383" s="513" t="s">
        <v>1736</v>
      </c>
      <c r="J383" s="317" t="s">
        <v>1737</v>
      </c>
      <c r="K383" s="317" t="s">
        <v>1737</v>
      </c>
      <c r="L383" s="530"/>
      <c r="M383" s="477" t="s">
        <v>3242</v>
      </c>
      <c r="N383" s="520" t="s">
        <v>3243</v>
      </c>
      <c r="O383" s="477"/>
      <c r="P383" s="155"/>
      <c r="Q383" s="155"/>
      <c r="R383" s="525" t="s">
        <v>3244</v>
      </c>
      <c r="S383" s="477"/>
      <c r="T383" s="521"/>
      <c r="U383" s="153"/>
      <c r="V383" s="153"/>
      <c r="W383" s="153"/>
      <c r="X383" s="153"/>
      <c r="Y383" s="153"/>
      <c r="Z383" s="153"/>
    </row>
    <row r="384" spans="1:26">
      <c r="A384" s="684" t="s">
        <v>3245</v>
      </c>
      <c r="B384" s="158" t="s">
        <v>3246</v>
      </c>
      <c r="C384" s="158" t="s">
        <v>3146</v>
      </c>
      <c r="D384" s="166" t="s">
        <v>1936</v>
      </c>
      <c r="E384" s="158" t="s">
        <v>1732</v>
      </c>
      <c r="F384" s="158" t="s">
        <v>1849</v>
      </c>
      <c r="G384" s="158" t="s">
        <v>2000</v>
      </c>
      <c r="H384" s="158" t="s">
        <v>1938</v>
      </c>
      <c r="I384" s="513" t="s">
        <v>1736</v>
      </c>
      <c r="J384" s="317" t="s">
        <v>1737</v>
      </c>
      <c r="K384" s="317" t="s">
        <v>1737</v>
      </c>
      <c r="L384" s="477"/>
      <c r="M384" s="477" t="s">
        <v>3247</v>
      </c>
      <c r="N384" s="520" t="s">
        <v>3248</v>
      </c>
      <c r="O384" s="477"/>
      <c r="P384" s="155"/>
      <c r="Q384" s="155"/>
      <c r="R384" s="155"/>
      <c r="S384" s="529">
        <v>45013</v>
      </c>
      <c r="T384" s="521" t="s">
        <v>1916</v>
      </c>
      <c r="U384" s="153"/>
      <c r="V384" s="153"/>
      <c r="W384" s="153"/>
      <c r="X384" s="153"/>
      <c r="Y384" s="153"/>
      <c r="Z384" s="153"/>
    </row>
    <row r="385" spans="1:26">
      <c r="A385" s="774"/>
      <c r="B385" s="158" t="s">
        <v>3249</v>
      </c>
      <c r="C385" s="158" t="s">
        <v>3146</v>
      </c>
      <c r="D385" s="166" t="s">
        <v>1941</v>
      </c>
      <c r="E385" s="158" t="s">
        <v>1732</v>
      </c>
      <c r="F385" s="158" t="s">
        <v>1849</v>
      </c>
      <c r="G385" s="158" t="s">
        <v>1942</v>
      </c>
      <c r="H385" s="158" t="s">
        <v>1943</v>
      </c>
      <c r="I385" s="513" t="s">
        <v>1736</v>
      </c>
      <c r="J385" s="317" t="s">
        <v>1737</v>
      </c>
      <c r="K385" s="317" t="s">
        <v>1737</v>
      </c>
      <c r="L385" s="477"/>
      <c r="M385" s="477" t="s">
        <v>3247</v>
      </c>
      <c r="N385" s="520" t="s">
        <v>3248</v>
      </c>
      <c r="O385" s="477"/>
      <c r="P385" s="155"/>
      <c r="Q385" s="155"/>
      <c r="R385" s="155"/>
      <c r="S385" s="529">
        <v>45013</v>
      </c>
      <c r="T385" s="521" t="s">
        <v>1916</v>
      </c>
      <c r="U385" s="153"/>
      <c r="V385" s="153"/>
      <c r="W385" s="153"/>
      <c r="X385" s="153"/>
      <c r="Y385" s="153"/>
      <c r="Z385" s="153"/>
    </row>
    <row r="386" spans="1:26">
      <c r="A386" s="774"/>
      <c r="B386" s="158" t="s">
        <v>3250</v>
      </c>
      <c r="C386" s="158" t="s">
        <v>3146</v>
      </c>
      <c r="D386" s="166" t="s">
        <v>1946</v>
      </c>
      <c r="E386" s="158" t="s">
        <v>1732</v>
      </c>
      <c r="F386" s="158" t="s">
        <v>1849</v>
      </c>
      <c r="G386" s="158" t="s">
        <v>1947</v>
      </c>
      <c r="H386" s="158" t="s">
        <v>1948</v>
      </c>
      <c r="I386" s="513" t="s">
        <v>1736</v>
      </c>
      <c r="J386" s="317" t="s">
        <v>1737</v>
      </c>
      <c r="K386" s="317" t="s">
        <v>1737</v>
      </c>
      <c r="L386" s="477"/>
      <c r="M386" s="477" t="s">
        <v>3247</v>
      </c>
      <c r="N386" s="520" t="s">
        <v>3248</v>
      </c>
      <c r="O386" s="477"/>
      <c r="P386" s="155"/>
      <c r="Q386" s="155"/>
      <c r="R386" s="155"/>
      <c r="S386" s="529">
        <v>45013</v>
      </c>
      <c r="T386" s="521" t="s">
        <v>1916</v>
      </c>
      <c r="U386" s="153"/>
      <c r="V386" s="153"/>
      <c r="W386" s="153"/>
      <c r="X386" s="153"/>
      <c r="Y386" s="153"/>
      <c r="Z386" s="153"/>
    </row>
    <row r="387" spans="1:26">
      <c r="A387" s="774"/>
      <c r="B387" s="158" t="s">
        <v>3251</v>
      </c>
      <c r="C387" s="158" t="s">
        <v>3146</v>
      </c>
      <c r="D387" s="166" t="s">
        <v>1951</v>
      </c>
      <c r="E387" s="158" t="s">
        <v>1732</v>
      </c>
      <c r="F387" s="158" t="s">
        <v>1849</v>
      </c>
      <c r="G387" s="158" t="s">
        <v>1952</v>
      </c>
      <c r="H387" s="158" t="s">
        <v>1953</v>
      </c>
      <c r="I387" s="513" t="s">
        <v>1736</v>
      </c>
      <c r="J387" s="317" t="s">
        <v>1737</v>
      </c>
      <c r="K387" s="317" t="s">
        <v>1737</v>
      </c>
      <c r="L387" s="477"/>
      <c r="M387" s="477" t="s">
        <v>3247</v>
      </c>
      <c r="N387" s="520" t="s">
        <v>3252</v>
      </c>
      <c r="O387" s="477"/>
      <c r="P387" s="155"/>
      <c r="Q387" s="155"/>
      <c r="R387" s="155"/>
      <c r="S387" s="529">
        <v>45013</v>
      </c>
      <c r="T387" s="521" t="s">
        <v>1916</v>
      </c>
      <c r="U387" s="153"/>
      <c r="V387" s="153"/>
      <c r="W387" s="153"/>
      <c r="X387" s="153"/>
      <c r="Y387" s="153"/>
      <c r="Z387" s="153"/>
    </row>
    <row r="388" spans="1:26">
      <c r="A388" s="774"/>
      <c r="B388" s="158" t="s">
        <v>3253</v>
      </c>
      <c r="C388" s="158" t="s">
        <v>3146</v>
      </c>
      <c r="D388" s="166" t="s">
        <v>1956</v>
      </c>
      <c r="E388" s="516" t="s">
        <v>1732</v>
      </c>
      <c r="F388" s="158" t="s">
        <v>1849</v>
      </c>
      <c r="G388" s="158" t="s">
        <v>1957</v>
      </c>
      <c r="H388" s="158" t="s">
        <v>1958</v>
      </c>
      <c r="I388" s="513" t="s">
        <v>1736</v>
      </c>
      <c r="J388" s="317" t="s">
        <v>1737</v>
      </c>
      <c r="K388" s="317" t="s">
        <v>1737</v>
      </c>
      <c r="L388" s="477"/>
      <c r="M388" s="477" t="s">
        <v>3247</v>
      </c>
      <c r="N388" s="520" t="s">
        <v>3252</v>
      </c>
      <c r="O388" s="477"/>
      <c r="P388" s="155"/>
      <c r="Q388" s="155"/>
      <c r="R388" s="155"/>
      <c r="S388" s="529">
        <v>45013</v>
      </c>
      <c r="T388" s="521" t="s">
        <v>1916</v>
      </c>
      <c r="U388" s="153"/>
      <c r="V388" s="153"/>
      <c r="W388" s="153"/>
      <c r="X388" s="153"/>
      <c r="Y388" s="153"/>
      <c r="Z388" s="153"/>
    </row>
    <row r="389" spans="1:26">
      <c r="A389" s="774"/>
      <c r="B389" s="158" t="s">
        <v>3254</v>
      </c>
      <c r="C389" s="158" t="s">
        <v>3146</v>
      </c>
      <c r="D389" s="166" t="s">
        <v>1960</v>
      </c>
      <c r="E389" s="516" t="s">
        <v>1732</v>
      </c>
      <c r="F389" s="158" t="s">
        <v>1849</v>
      </c>
      <c r="G389" s="158" t="s">
        <v>1961</v>
      </c>
      <c r="H389" s="158" t="s">
        <v>1962</v>
      </c>
      <c r="I389" s="513" t="s">
        <v>1736</v>
      </c>
      <c r="J389" s="317" t="s">
        <v>1737</v>
      </c>
      <c r="K389" s="317" t="s">
        <v>1737</v>
      </c>
      <c r="L389" s="477"/>
      <c r="M389" s="477" t="s">
        <v>3247</v>
      </c>
      <c r="N389" s="520" t="s">
        <v>3252</v>
      </c>
      <c r="O389" s="477"/>
      <c r="P389" s="155"/>
      <c r="Q389" s="155"/>
      <c r="R389" s="155"/>
      <c r="S389" s="529">
        <v>45013</v>
      </c>
      <c r="T389" s="521" t="s">
        <v>1916</v>
      </c>
      <c r="U389" s="153"/>
      <c r="V389" s="153"/>
      <c r="W389" s="153"/>
      <c r="X389" s="153"/>
      <c r="Y389" s="153"/>
      <c r="Z389" s="153"/>
    </row>
    <row r="390" spans="1:26">
      <c r="A390" s="774"/>
      <c r="B390" s="158" t="s">
        <v>3255</v>
      </c>
      <c r="C390" s="158" t="s">
        <v>3146</v>
      </c>
      <c r="D390" s="166" t="s">
        <v>1965</v>
      </c>
      <c r="E390" s="516" t="s">
        <v>1732</v>
      </c>
      <c r="F390" s="158" t="s">
        <v>1849</v>
      </c>
      <c r="G390" s="158" t="s">
        <v>1966</v>
      </c>
      <c r="H390" s="158" t="s">
        <v>1967</v>
      </c>
      <c r="I390" s="513" t="s">
        <v>1736</v>
      </c>
      <c r="J390" s="317" t="s">
        <v>1737</v>
      </c>
      <c r="K390" s="317" t="s">
        <v>1737</v>
      </c>
      <c r="L390" s="477"/>
      <c r="M390" s="477" t="s">
        <v>3247</v>
      </c>
      <c r="N390" s="520" t="s">
        <v>3256</v>
      </c>
      <c r="O390" s="477"/>
      <c r="P390" s="155"/>
      <c r="Q390" s="155"/>
      <c r="R390" s="155"/>
      <c r="S390" s="529">
        <v>45013</v>
      </c>
      <c r="T390" s="521" t="s">
        <v>1916</v>
      </c>
      <c r="U390" s="153"/>
      <c r="V390" s="153"/>
      <c r="W390" s="153"/>
      <c r="X390" s="153"/>
      <c r="Y390" s="153"/>
      <c r="Z390" s="153"/>
    </row>
    <row r="391" spans="1:26">
      <c r="A391" s="774"/>
      <c r="B391" s="158" t="s">
        <v>3257</v>
      </c>
      <c r="C391" s="158" t="s">
        <v>3146</v>
      </c>
      <c r="D391" s="166" t="s">
        <v>1970</v>
      </c>
      <c r="E391" s="516" t="s">
        <v>1732</v>
      </c>
      <c r="F391" s="158" t="s">
        <v>1849</v>
      </c>
      <c r="G391" s="158" t="s">
        <v>1971</v>
      </c>
      <c r="H391" s="158" t="s">
        <v>1972</v>
      </c>
      <c r="I391" s="513" t="s">
        <v>1736</v>
      </c>
      <c r="J391" s="317" t="s">
        <v>1737</v>
      </c>
      <c r="K391" s="317" t="s">
        <v>1737</v>
      </c>
      <c r="L391" s="477"/>
      <c r="M391" s="477" t="s">
        <v>3247</v>
      </c>
      <c r="N391" s="520" t="s">
        <v>3256</v>
      </c>
      <c r="O391" s="477"/>
      <c r="P391" s="155"/>
      <c r="Q391" s="155"/>
      <c r="R391" s="155"/>
      <c r="S391" s="529">
        <v>45013</v>
      </c>
      <c r="T391" s="521" t="s">
        <v>1916</v>
      </c>
      <c r="U391" s="153"/>
      <c r="V391" s="153"/>
      <c r="W391" s="153"/>
      <c r="X391" s="153"/>
      <c r="Y391" s="153"/>
      <c r="Z391" s="153"/>
    </row>
    <row r="392" spans="1:26">
      <c r="A392" s="774"/>
      <c r="B392" s="158" t="s">
        <v>3258</v>
      </c>
      <c r="C392" s="158" t="s">
        <v>3146</v>
      </c>
      <c r="D392" s="166" t="s">
        <v>1974</v>
      </c>
      <c r="E392" s="158" t="s">
        <v>1732</v>
      </c>
      <c r="F392" s="158" t="s">
        <v>1849</v>
      </c>
      <c r="G392" s="158" t="s">
        <v>1975</v>
      </c>
      <c r="H392" s="158" t="s">
        <v>1976</v>
      </c>
      <c r="I392" s="513" t="s">
        <v>1736</v>
      </c>
      <c r="J392" s="317" t="s">
        <v>1737</v>
      </c>
      <c r="K392" s="317" t="s">
        <v>1737</v>
      </c>
      <c r="L392" s="155" t="s">
        <v>3259</v>
      </c>
      <c r="M392" s="477"/>
      <c r="N392" s="520"/>
      <c r="O392" s="477"/>
      <c r="P392" s="155"/>
      <c r="Q392" s="155"/>
      <c r="R392" s="155"/>
      <c r="S392" s="477"/>
      <c r="T392" s="521"/>
      <c r="U392" s="153"/>
      <c r="V392" s="153"/>
      <c r="W392" s="153"/>
      <c r="X392" s="153"/>
      <c r="Y392" s="153"/>
      <c r="Z392" s="153"/>
    </row>
    <row r="393" spans="1:26">
      <c r="A393" s="774"/>
      <c r="B393" s="517" t="s">
        <v>3260</v>
      </c>
      <c r="C393" s="517" t="s">
        <v>3146</v>
      </c>
      <c r="D393" s="177" t="s">
        <v>1978</v>
      </c>
      <c r="E393" s="517" t="s">
        <v>1732</v>
      </c>
      <c r="F393" s="517" t="s">
        <v>1849</v>
      </c>
      <c r="G393" s="517" t="s">
        <v>1979</v>
      </c>
      <c r="H393" s="518"/>
      <c r="I393" s="522" t="s">
        <v>1736</v>
      </c>
      <c r="J393" s="183" t="s">
        <v>1737</v>
      </c>
      <c r="K393" s="183" t="s">
        <v>1737</v>
      </c>
      <c r="L393" s="525" t="s">
        <v>3261</v>
      </c>
      <c r="M393" s="523"/>
      <c r="N393" s="524"/>
      <c r="O393" s="523"/>
      <c r="P393" s="525"/>
      <c r="Q393" s="525"/>
      <c r="R393" s="525"/>
      <c r="S393" s="523"/>
      <c r="T393" s="526"/>
      <c r="U393" s="153"/>
      <c r="V393" s="153"/>
      <c r="W393" s="153"/>
      <c r="X393" s="153"/>
      <c r="Y393" s="153"/>
      <c r="Z393" s="153"/>
    </row>
    <row r="394" spans="1:26">
      <c r="A394" s="774"/>
      <c r="B394" s="158" t="s">
        <v>3262</v>
      </c>
      <c r="C394" s="158" t="s">
        <v>3146</v>
      </c>
      <c r="D394" s="166" t="s">
        <v>1981</v>
      </c>
      <c r="E394" s="158" t="s">
        <v>1732</v>
      </c>
      <c r="F394" s="158" t="s">
        <v>1849</v>
      </c>
      <c r="G394" s="158" t="s">
        <v>1982</v>
      </c>
      <c r="H394" s="158" t="s">
        <v>1983</v>
      </c>
      <c r="I394" s="513" t="s">
        <v>1736</v>
      </c>
      <c r="J394" s="317" t="s">
        <v>1737</v>
      </c>
      <c r="K394" s="317" t="s">
        <v>1737</v>
      </c>
      <c r="L394" s="477"/>
      <c r="M394" s="477" t="s">
        <v>3247</v>
      </c>
      <c r="N394" s="520" t="s">
        <v>3263</v>
      </c>
      <c r="O394" s="477" t="s">
        <v>3217</v>
      </c>
      <c r="P394" s="155" t="s">
        <v>3264</v>
      </c>
      <c r="Q394" s="155"/>
      <c r="R394" s="155"/>
      <c r="S394" s="529">
        <v>45015</v>
      </c>
      <c r="T394" s="521" t="s">
        <v>1916</v>
      </c>
      <c r="U394" s="153"/>
      <c r="V394" s="153"/>
      <c r="W394" s="153"/>
      <c r="X394" s="153"/>
      <c r="Y394" s="153"/>
      <c r="Z394" s="153"/>
    </row>
    <row r="395" spans="1:26">
      <c r="A395" s="774"/>
      <c r="B395" s="158" t="s">
        <v>3265</v>
      </c>
      <c r="C395" s="158" t="s">
        <v>3146</v>
      </c>
      <c r="D395" s="166" t="s">
        <v>1986</v>
      </c>
      <c r="E395" s="516" t="s">
        <v>1732</v>
      </c>
      <c r="F395" s="158" t="s">
        <v>1849</v>
      </c>
      <c r="G395" s="158" t="s">
        <v>1987</v>
      </c>
      <c r="H395" s="158" t="s">
        <v>1988</v>
      </c>
      <c r="I395" s="513" t="s">
        <v>1736</v>
      </c>
      <c r="J395" s="317" t="s">
        <v>1737</v>
      </c>
      <c r="K395" s="317" t="s">
        <v>1737</v>
      </c>
      <c r="L395" s="155" t="s">
        <v>3261</v>
      </c>
      <c r="M395" s="477"/>
      <c r="N395" s="520"/>
      <c r="O395" s="477"/>
      <c r="P395" s="155"/>
      <c r="Q395" s="155"/>
      <c r="R395" s="155"/>
      <c r="S395" s="477"/>
      <c r="T395" s="521"/>
      <c r="U395" s="153"/>
      <c r="V395" s="153"/>
      <c r="W395" s="153"/>
      <c r="X395" s="153"/>
      <c r="Y395" s="153"/>
      <c r="Z395" s="153"/>
    </row>
    <row r="396" spans="1:26">
      <c r="A396" s="774"/>
      <c r="B396" s="158" t="s">
        <v>3266</v>
      </c>
      <c r="C396" s="158" t="s">
        <v>3146</v>
      </c>
      <c r="D396" s="166" t="s">
        <v>1991</v>
      </c>
      <c r="E396" s="516" t="s">
        <v>1732</v>
      </c>
      <c r="F396" s="158" t="s">
        <v>1849</v>
      </c>
      <c r="G396" s="158" t="s">
        <v>1992</v>
      </c>
      <c r="H396" s="158" t="s">
        <v>1993</v>
      </c>
      <c r="I396" s="513" t="s">
        <v>1736</v>
      </c>
      <c r="J396" s="317" t="s">
        <v>1737</v>
      </c>
      <c r="K396" s="317" t="s">
        <v>1737</v>
      </c>
      <c r="L396" s="477"/>
      <c r="M396" s="477" t="s">
        <v>3247</v>
      </c>
      <c r="N396" s="520" t="s">
        <v>3263</v>
      </c>
      <c r="O396" s="477" t="s">
        <v>3217</v>
      </c>
      <c r="P396" s="155" t="s">
        <v>3267</v>
      </c>
      <c r="Q396" s="155" t="s">
        <v>3268</v>
      </c>
      <c r="R396" s="525" t="s">
        <v>3269</v>
      </c>
      <c r="S396" s="477"/>
      <c r="T396" s="521"/>
      <c r="U396" s="153"/>
      <c r="V396" s="153"/>
      <c r="W396" s="153"/>
      <c r="X396" s="153"/>
      <c r="Y396" s="153"/>
      <c r="Z396" s="153"/>
    </row>
    <row r="397" spans="1:26">
      <c r="A397" s="774"/>
      <c r="B397" s="158" t="s">
        <v>3270</v>
      </c>
      <c r="C397" s="158" t="s">
        <v>3146</v>
      </c>
      <c r="D397" s="166" t="s">
        <v>2029</v>
      </c>
      <c r="E397" s="158" t="s">
        <v>1732</v>
      </c>
      <c r="F397" s="158" t="s">
        <v>1849</v>
      </c>
      <c r="G397" s="158" t="s">
        <v>2030</v>
      </c>
      <c r="H397" s="158" t="s">
        <v>2031</v>
      </c>
      <c r="I397" s="513" t="s">
        <v>1736</v>
      </c>
      <c r="J397" s="317" t="s">
        <v>1737</v>
      </c>
      <c r="K397" s="317" t="s">
        <v>1737</v>
      </c>
      <c r="L397" s="155"/>
      <c r="M397" s="477" t="s">
        <v>3271</v>
      </c>
      <c r="N397" s="520" t="s">
        <v>3272</v>
      </c>
      <c r="O397" s="477"/>
      <c r="P397" s="155"/>
      <c r="Q397" s="155"/>
      <c r="R397" s="155"/>
      <c r="S397" s="529">
        <v>45013</v>
      </c>
      <c r="T397" s="521" t="s">
        <v>1916</v>
      </c>
      <c r="U397" s="153"/>
      <c r="V397" s="153"/>
      <c r="W397" s="153"/>
      <c r="X397" s="153"/>
      <c r="Y397" s="153"/>
      <c r="Z397" s="153"/>
    </row>
    <row r="398" spans="1:26">
      <c r="A398" s="774"/>
      <c r="B398" s="158" t="s">
        <v>3273</v>
      </c>
      <c r="C398" s="158" t="s">
        <v>3146</v>
      </c>
      <c r="D398" s="166" t="s">
        <v>1873</v>
      </c>
      <c r="E398" s="516" t="s">
        <v>1743</v>
      </c>
      <c r="F398" s="158" t="s">
        <v>1849</v>
      </c>
      <c r="G398" s="158" t="s">
        <v>2000</v>
      </c>
      <c r="H398" s="158" t="s">
        <v>1874</v>
      </c>
      <c r="I398" s="513" t="s">
        <v>1736</v>
      </c>
      <c r="J398" s="317" t="s">
        <v>1737</v>
      </c>
      <c r="K398" s="317" t="s">
        <v>1737</v>
      </c>
      <c r="L398" s="155"/>
      <c r="M398" s="477" t="s">
        <v>3274</v>
      </c>
      <c r="N398" s="520" t="s">
        <v>3275</v>
      </c>
      <c r="O398" s="106" t="s">
        <v>3276</v>
      </c>
      <c r="P398" s="83" t="s">
        <v>3277</v>
      </c>
      <c r="Q398" s="25"/>
      <c r="R398" s="525" t="s">
        <v>3244</v>
      </c>
      <c r="S398" s="477"/>
      <c r="T398" s="521"/>
      <c r="U398" s="153"/>
      <c r="V398" s="153"/>
      <c r="W398" s="153"/>
      <c r="X398" s="153"/>
      <c r="Y398" s="153"/>
      <c r="Z398" s="153"/>
    </row>
    <row r="399" spans="1:26">
      <c r="A399" s="774"/>
      <c r="B399" s="158" t="s">
        <v>3278</v>
      </c>
      <c r="C399" s="158" t="s">
        <v>3146</v>
      </c>
      <c r="D399" s="158" t="s">
        <v>2004</v>
      </c>
      <c r="E399" s="516" t="s">
        <v>1732</v>
      </c>
      <c r="F399" s="158" t="s">
        <v>1849</v>
      </c>
      <c r="G399" s="158" t="s">
        <v>3279</v>
      </c>
      <c r="H399" s="158" t="s">
        <v>2006</v>
      </c>
      <c r="I399" s="513" t="s">
        <v>1736</v>
      </c>
      <c r="J399" s="317" t="s">
        <v>1737</v>
      </c>
      <c r="K399" s="317" t="s">
        <v>1737</v>
      </c>
      <c r="L399" s="155"/>
      <c r="M399" s="106" t="s">
        <v>3242</v>
      </c>
      <c r="N399" s="164" t="s">
        <v>3280</v>
      </c>
      <c r="O399" s="106"/>
      <c r="P399" s="25"/>
      <c r="Q399" s="25"/>
      <c r="R399" s="25"/>
      <c r="S399" s="529">
        <v>45013</v>
      </c>
      <c r="T399" s="521" t="s">
        <v>1916</v>
      </c>
      <c r="U399" s="153"/>
      <c r="V399" s="153"/>
      <c r="W399" s="153"/>
      <c r="X399" s="153"/>
      <c r="Y399" s="153"/>
      <c r="Z399" s="153"/>
    </row>
    <row r="400" spans="1:26">
      <c r="A400" s="774"/>
      <c r="B400" s="158" t="s">
        <v>3281</v>
      </c>
      <c r="C400" s="158" t="s">
        <v>3146</v>
      </c>
      <c r="D400" s="158" t="s">
        <v>2009</v>
      </c>
      <c r="E400" s="516" t="s">
        <v>1732</v>
      </c>
      <c r="F400" s="158" t="s">
        <v>1849</v>
      </c>
      <c r="G400" s="158" t="s">
        <v>2010</v>
      </c>
      <c r="H400" s="158" t="s">
        <v>2011</v>
      </c>
      <c r="I400" s="513" t="s">
        <v>1736</v>
      </c>
      <c r="J400" s="317" t="s">
        <v>1737</v>
      </c>
      <c r="K400" s="317" t="s">
        <v>1737</v>
      </c>
      <c r="L400" s="155"/>
      <c r="M400" s="477" t="s">
        <v>3274</v>
      </c>
      <c r="N400" s="164" t="s">
        <v>3282</v>
      </c>
      <c r="O400" s="106"/>
      <c r="P400" s="25"/>
      <c r="Q400" s="25"/>
      <c r="R400" s="25"/>
      <c r="S400" s="529">
        <v>45013</v>
      </c>
      <c r="T400" s="521" t="s">
        <v>1916</v>
      </c>
      <c r="U400" s="153"/>
      <c r="V400" s="153"/>
      <c r="W400" s="153"/>
      <c r="X400" s="153"/>
      <c r="Y400" s="153"/>
      <c r="Z400" s="153"/>
    </row>
    <row r="401" spans="1:26">
      <c r="A401" s="774"/>
      <c r="B401" s="158" t="s">
        <v>3283</v>
      </c>
      <c r="C401" s="158" t="s">
        <v>3146</v>
      </c>
      <c r="D401" s="158" t="s">
        <v>2014</v>
      </c>
      <c r="E401" s="516" t="s">
        <v>1732</v>
      </c>
      <c r="F401" s="158" t="s">
        <v>1849</v>
      </c>
      <c r="G401" s="158" t="s">
        <v>2015</v>
      </c>
      <c r="H401" s="158" t="s">
        <v>2016</v>
      </c>
      <c r="I401" s="513" t="s">
        <v>1736</v>
      </c>
      <c r="J401" s="317" t="s">
        <v>1737</v>
      </c>
      <c r="K401" s="317" t="s">
        <v>1737</v>
      </c>
      <c r="L401" s="155"/>
      <c r="M401" s="106" t="s">
        <v>3284</v>
      </c>
      <c r="N401" s="164" t="s">
        <v>3285</v>
      </c>
      <c r="O401" s="106"/>
      <c r="P401" s="25"/>
      <c r="Q401" s="25"/>
      <c r="R401" s="25"/>
      <c r="S401" s="529">
        <v>45015</v>
      </c>
      <c r="T401" s="521" t="s">
        <v>1916</v>
      </c>
      <c r="U401" s="153"/>
      <c r="V401" s="153"/>
      <c r="W401" s="153"/>
      <c r="X401" s="153"/>
      <c r="Y401" s="153"/>
      <c r="Z401" s="153"/>
    </row>
    <row r="402" spans="1:26">
      <c r="A402" s="774"/>
      <c r="B402" s="158" t="s">
        <v>3286</v>
      </c>
      <c r="C402" s="158" t="s">
        <v>3146</v>
      </c>
      <c r="D402" s="158" t="s">
        <v>2019</v>
      </c>
      <c r="E402" s="516" t="s">
        <v>1732</v>
      </c>
      <c r="F402" s="158" t="s">
        <v>1849</v>
      </c>
      <c r="G402" s="158" t="s">
        <v>2020</v>
      </c>
      <c r="H402" s="158" t="s">
        <v>2021</v>
      </c>
      <c r="I402" s="513" t="s">
        <v>1736</v>
      </c>
      <c r="J402" s="317" t="s">
        <v>1737</v>
      </c>
      <c r="K402" s="317" t="s">
        <v>1737</v>
      </c>
      <c r="L402" s="155" t="s">
        <v>3259</v>
      </c>
      <c r="M402" s="106"/>
      <c r="N402" s="164"/>
      <c r="O402" s="106"/>
      <c r="P402" s="25"/>
      <c r="Q402" s="25"/>
      <c r="R402" s="25"/>
      <c r="S402" s="106"/>
      <c r="T402" s="23"/>
      <c r="U402" s="153"/>
      <c r="V402" s="153"/>
      <c r="W402" s="153"/>
      <c r="X402" s="153"/>
      <c r="Y402" s="153"/>
      <c r="Z402" s="153"/>
    </row>
    <row r="403" spans="1:26">
      <c r="A403" s="774"/>
      <c r="B403" s="158" t="s">
        <v>3287</v>
      </c>
      <c r="C403" s="158" t="s">
        <v>3146</v>
      </c>
      <c r="D403" s="158" t="s">
        <v>2024</v>
      </c>
      <c r="E403" s="516" t="s">
        <v>1732</v>
      </c>
      <c r="F403" s="158" t="s">
        <v>1849</v>
      </c>
      <c r="G403" s="158" t="s">
        <v>2025</v>
      </c>
      <c r="H403" s="158" t="s">
        <v>2026</v>
      </c>
      <c r="I403" s="513" t="s">
        <v>1736</v>
      </c>
      <c r="J403" s="317" t="s">
        <v>1737</v>
      </c>
      <c r="K403" s="317" t="s">
        <v>1737</v>
      </c>
      <c r="L403" s="155"/>
      <c r="M403" s="477" t="s">
        <v>3274</v>
      </c>
      <c r="N403" s="164" t="s">
        <v>3288</v>
      </c>
      <c r="O403" s="106"/>
      <c r="P403" s="25"/>
      <c r="Q403" s="25"/>
      <c r="R403" s="25"/>
      <c r="S403" s="529">
        <v>45013</v>
      </c>
      <c r="T403" s="521" t="s">
        <v>1916</v>
      </c>
      <c r="U403" s="153"/>
      <c r="V403" s="153"/>
      <c r="W403" s="153"/>
      <c r="X403" s="153"/>
      <c r="Y403" s="153"/>
      <c r="Z403" s="153"/>
    </row>
    <row r="404" spans="1:26">
      <c r="A404" s="22" t="s">
        <v>3289</v>
      </c>
      <c r="B404" s="158" t="s">
        <v>3290</v>
      </c>
      <c r="C404" s="158" t="s">
        <v>3146</v>
      </c>
      <c r="D404" s="158" t="s">
        <v>1995</v>
      </c>
      <c r="E404" s="158" t="s">
        <v>1743</v>
      </c>
      <c r="F404" s="158" t="s">
        <v>1779</v>
      </c>
      <c r="G404" s="158" t="s">
        <v>1996</v>
      </c>
      <c r="H404" s="158" t="s">
        <v>1997</v>
      </c>
      <c r="I404" s="513" t="s">
        <v>1736</v>
      </c>
      <c r="J404" s="317" t="s">
        <v>1737</v>
      </c>
      <c r="K404" s="317" t="s">
        <v>1737</v>
      </c>
      <c r="L404" s="106"/>
      <c r="M404" s="106" t="s">
        <v>3291</v>
      </c>
      <c r="N404" s="164" t="s">
        <v>3292</v>
      </c>
      <c r="O404" s="106"/>
      <c r="P404" s="25"/>
      <c r="Q404" s="25"/>
      <c r="R404" s="525" t="s">
        <v>3244</v>
      </c>
      <c r="S404" s="106"/>
      <c r="T404" s="23"/>
      <c r="U404" s="153"/>
      <c r="V404" s="153"/>
      <c r="W404" s="153"/>
      <c r="X404" s="153"/>
      <c r="Y404" s="153"/>
      <c r="Z404" s="153"/>
    </row>
    <row r="405" spans="1:26">
      <c r="A405" s="22" t="s">
        <v>3293</v>
      </c>
      <c r="B405" s="158" t="s">
        <v>3294</v>
      </c>
      <c r="C405" s="158" t="s">
        <v>3146</v>
      </c>
      <c r="D405" s="158" t="s">
        <v>2034</v>
      </c>
      <c r="E405" s="516" t="s">
        <v>1743</v>
      </c>
      <c r="F405" s="158" t="s">
        <v>1779</v>
      </c>
      <c r="G405" s="158" t="s">
        <v>3295</v>
      </c>
      <c r="H405" s="158" t="s">
        <v>3296</v>
      </c>
      <c r="I405" s="513" t="s">
        <v>1736</v>
      </c>
      <c r="J405" s="317" t="s">
        <v>1737</v>
      </c>
      <c r="K405" s="317" t="s">
        <v>1737</v>
      </c>
      <c r="L405" s="25"/>
      <c r="M405" s="106" t="s">
        <v>3242</v>
      </c>
      <c r="N405" s="164" t="s">
        <v>3297</v>
      </c>
      <c r="O405" s="106"/>
      <c r="P405" s="25"/>
      <c r="Q405" s="25"/>
      <c r="R405" s="25"/>
      <c r="S405" s="529">
        <v>45015</v>
      </c>
      <c r="T405" s="521" t="s">
        <v>1916</v>
      </c>
      <c r="U405" s="153"/>
      <c r="V405" s="153"/>
      <c r="W405" s="153"/>
      <c r="X405" s="153"/>
      <c r="Y405" s="153"/>
      <c r="Z405" s="153"/>
    </row>
    <row r="406" spans="1:26">
      <c r="A406" s="22" t="s">
        <v>3298</v>
      </c>
      <c r="B406" s="158" t="s">
        <v>3299</v>
      </c>
      <c r="C406" s="158" t="s">
        <v>3146</v>
      </c>
      <c r="D406" s="158" t="s">
        <v>1873</v>
      </c>
      <c r="E406" s="516" t="s">
        <v>1743</v>
      </c>
      <c r="F406" s="158" t="s">
        <v>1849</v>
      </c>
      <c r="G406" s="158" t="s">
        <v>2035</v>
      </c>
      <c r="H406" s="158" t="s">
        <v>1874</v>
      </c>
      <c r="I406" s="513" t="s">
        <v>1736</v>
      </c>
      <c r="J406" s="317" t="s">
        <v>1737</v>
      </c>
      <c r="K406" s="317" t="s">
        <v>1737</v>
      </c>
      <c r="L406" s="25"/>
      <c r="M406" s="477" t="s">
        <v>3271</v>
      </c>
      <c r="N406" s="164" t="s">
        <v>3300</v>
      </c>
      <c r="O406" s="106"/>
      <c r="P406" s="25"/>
      <c r="Q406" s="25"/>
      <c r="R406" s="25"/>
      <c r="S406" s="529">
        <v>45013</v>
      </c>
      <c r="T406" s="521" t="s">
        <v>1916</v>
      </c>
      <c r="U406" s="153"/>
      <c r="V406" s="153"/>
      <c r="W406" s="153"/>
      <c r="X406" s="153"/>
      <c r="Y406" s="153"/>
      <c r="Z406" s="153"/>
    </row>
    <row r="407" spans="1:26">
      <c r="A407" s="655" t="s">
        <v>3301</v>
      </c>
      <c r="B407" s="158" t="s">
        <v>3302</v>
      </c>
      <c r="C407" s="158" t="s">
        <v>3146</v>
      </c>
      <c r="D407" s="158" t="s">
        <v>2041</v>
      </c>
      <c r="E407" s="532" t="s">
        <v>1732</v>
      </c>
      <c r="F407" s="158" t="s">
        <v>1849</v>
      </c>
      <c r="G407" s="158" t="s">
        <v>2042</v>
      </c>
      <c r="H407" s="158" t="s">
        <v>2043</v>
      </c>
      <c r="I407" s="513" t="s">
        <v>1736</v>
      </c>
      <c r="J407" s="317" t="s">
        <v>1737</v>
      </c>
      <c r="K407" s="317" t="s">
        <v>1737</v>
      </c>
      <c r="L407" s="106"/>
      <c r="M407" s="477" t="s">
        <v>3271</v>
      </c>
      <c r="N407" s="164" t="s">
        <v>3303</v>
      </c>
      <c r="O407" s="106"/>
      <c r="P407" s="25"/>
      <c r="Q407" s="25"/>
      <c r="R407" s="25"/>
      <c r="S407" s="529">
        <v>45013</v>
      </c>
      <c r="T407" s="521" t="s">
        <v>1916</v>
      </c>
      <c r="U407" s="153"/>
      <c r="V407" s="153"/>
      <c r="W407" s="153"/>
      <c r="X407" s="153"/>
      <c r="Y407" s="153"/>
      <c r="Z407" s="153"/>
    </row>
    <row r="408" spans="1:26">
      <c r="A408" s="774"/>
      <c r="B408" s="158" t="s">
        <v>3304</v>
      </c>
      <c r="C408" s="158" t="s">
        <v>3146</v>
      </c>
      <c r="D408" s="158" t="s">
        <v>2046</v>
      </c>
      <c r="E408" s="532" t="s">
        <v>1732</v>
      </c>
      <c r="F408" s="158" t="s">
        <v>1849</v>
      </c>
      <c r="G408" s="158" t="s">
        <v>2047</v>
      </c>
      <c r="H408" s="158" t="s">
        <v>2048</v>
      </c>
      <c r="I408" s="513" t="s">
        <v>1736</v>
      </c>
      <c r="J408" s="317" t="s">
        <v>1737</v>
      </c>
      <c r="K408" s="317" t="s">
        <v>1737</v>
      </c>
      <c r="L408" s="106"/>
      <c r="M408" s="106" t="s">
        <v>3291</v>
      </c>
      <c r="N408" s="164" t="s">
        <v>3305</v>
      </c>
      <c r="O408" s="106" t="s">
        <v>3276</v>
      </c>
      <c r="P408" s="25" t="s">
        <v>3306</v>
      </c>
      <c r="Q408" s="25" t="s">
        <v>3307</v>
      </c>
      <c r="R408" s="525" t="s">
        <v>3233</v>
      </c>
      <c r="S408" s="106"/>
      <c r="T408" s="23"/>
      <c r="U408" s="153"/>
      <c r="V408" s="153"/>
      <c r="W408" s="153"/>
      <c r="X408" s="153"/>
      <c r="Y408" s="153"/>
      <c r="Z408" s="153"/>
    </row>
    <row r="409" spans="1:26">
      <c r="A409" s="773"/>
      <c r="B409" s="158" t="s">
        <v>3308</v>
      </c>
      <c r="C409" s="158" t="s">
        <v>3146</v>
      </c>
      <c r="D409" s="158" t="s">
        <v>1873</v>
      </c>
      <c r="E409" s="516" t="s">
        <v>1743</v>
      </c>
      <c r="F409" s="158" t="s">
        <v>1849</v>
      </c>
      <c r="G409" s="158" t="s">
        <v>2042</v>
      </c>
      <c r="H409" s="158" t="s">
        <v>1874</v>
      </c>
      <c r="I409" s="513" t="s">
        <v>1736</v>
      </c>
      <c r="J409" s="317" t="s">
        <v>1737</v>
      </c>
      <c r="K409" s="317" t="s">
        <v>1737</v>
      </c>
      <c r="L409" s="106"/>
      <c r="M409" s="477" t="s">
        <v>3271</v>
      </c>
      <c r="N409" s="164" t="s">
        <v>3309</v>
      </c>
      <c r="O409" s="106"/>
      <c r="P409" s="25"/>
      <c r="Q409" s="25"/>
      <c r="R409" s="25"/>
      <c r="S409" s="529">
        <v>45013</v>
      </c>
      <c r="T409" s="521" t="s">
        <v>1916</v>
      </c>
      <c r="U409" s="153"/>
      <c r="V409" s="153"/>
      <c r="W409" s="153"/>
      <c r="X409" s="153"/>
      <c r="Y409" s="153"/>
      <c r="Z409" s="153"/>
    </row>
    <row r="410" spans="1:26">
      <c r="A410" s="776" t="s">
        <v>3310</v>
      </c>
      <c r="B410" s="158" t="s">
        <v>3311</v>
      </c>
      <c r="C410" s="158" t="s">
        <v>3146</v>
      </c>
      <c r="D410" s="158" t="s">
        <v>2054</v>
      </c>
      <c r="E410" s="516" t="s">
        <v>1732</v>
      </c>
      <c r="F410" s="158" t="s">
        <v>1849</v>
      </c>
      <c r="G410" s="158" t="s">
        <v>2055</v>
      </c>
      <c r="H410" s="158" t="s">
        <v>2056</v>
      </c>
      <c r="I410" s="513" t="s">
        <v>1736</v>
      </c>
      <c r="J410" s="317" t="s">
        <v>1737</v>
      </c>
      <c r="K410" s="317" t="s">
        <v>1737</v>
      </c>
      <c r="L410" s="106"/>
      <c r="M410" s="106" t="s">
        <v>3291</v>
      </c>
      <c r="N410" s="164" t="s">
        <v>3312</v>
      </c>
      <c r="O410" s="106" t="s">
        <v>3276</v>
      </c>
      <c r="P410" s="25" t="s">
        <v>3313</v>
      </c>
      <c r="Q410" s="25" t="s">
        <v>3314</v>
      </c>
      <c r="R410" s="525" t="s">
        <v>3233</v>
      </c>
      <c r="S410" s="106"/>
      <c r="T410" s="23"/>
      <c r="U410" s="153"/>
      <c r="V410" s="153"/>
      <c r="W410" s="153"/>
      <c r="X410" s="153"/>
      <c r="Y410" s="153"/>
      <c r="Z410" s="153"/>
    </row>
    <row r="411" spans="1:26">
      <c r="A411" s="774"/>
      <c r="B411" s="158" t="s">
        <v>3315</v>
      </c>
      <c r="C411" s="158" t="s">
        <v>3146</v>
      </c>
      <c r="D411" s="158" t="s">
        <v>2059</v>
      </c>
      <c r="E411" s="516" t="s">
        <v>1732</v>
      </c>
      <c r="F411" s="158" t="s">
        <v>1849</v>
      </c>
      <c r="G411" s="158" t="s">
        <v>2060</v>
      </c>
      <c r="H411" s="158" t="s">
        <v>2061</v>
      </c>
      <c r="I411" s="513" t="s">
        <v>1736</v>
      </c>
      <c r="J411" s="317" t="s">
        <v>1737</v>
      </c>
      <c r="K411" s="317" t="s">
        <v>1737</v>
      </c>
      <c r="L411" s="106"/>
      <c r="M411" s="106" t="s">
        <v>3316</v>
      </c>
      <c r="N411" s="164" t="s">
        <v>3317</v>
      </c>
      <c r="O411" s="106"/>
      <c r="P411" s="25"/>
      <c r="Q411" s="25"/>
      <c r="R411" s="25"/>
      <c r="S411" s="529">
        <v>45015</v>
      </c>
      <c r="T411" s="521" t="s">
        <v>1916</v>
      </c>
      <c r="U411" s="153"/>
      <c r="V411" s="153"/>
      <c r="W411" s="153"/>
      <c r="X411" s="153"/>
      <c r="Y411" s="153"/>
      <c r="Z411" s="153"/>
    </row>
    <row r="412" spans="1:26">
      <c r="A412" s="774"/>
      <c r="B412" s="158" t="s">
        <v>3318</v>
      </c>
      <c r="C412" s="158" t="s">
        <v>3146</v>
      </c>
      <c r="D412" s="158" t="s">
        <v>2064</v>
      </c>
      <c r="E412" s="516" t="s">
        <v>1732</v>
      </c>
      <c r="F412" s="158" t="s">
        <v>1849</v>
      </c>
      <c r="G412" s="166" t="s">
        <v>2065</v>
      </c>
      <c r="H412" s="158" t="s">
        <v>2066</v>
      </c>
      <c r="I412" s="513" t="s">
        <v>1736</v>
      </c>
      <c r="J412" s="317" t="s">
        <v>1737</v>
      </c>
      <c r="K412" s="317" t="s">
        <v>1737</v>
      </c>
      <c r="L412" s="106"/>
      <c r="M412" s="106" t="s">
        <v>3316</v>
      </c>
      <c r="N412" s="164" t="s">
        <v>3319</v>
      </c>
      <c r="O412" s="106"/>
      <c r="P412" s="25"/>
      <c r="Q412" s="25"/>
      <c r="R412" s="25"/>
      <c r="S412" s="529">
        <v>45013</v>
      </c>
      <c r="T412" s="521" t="s">
        <v>1916</v>
      </c>
      <c r="U412" s="153"/>
      <c r="V412" s="153"/>
      <c r="W412" s="153"/>
      <c r="X412" s="153"/>
      <c r="Y412" s="153"/>
      <c r="Z412" s="153"/>
    </row>
    <row r="413" spans="1:26">
      <c r="A413" s="774"/>
      <c r="B413" s="158" t="s">
        <v>3320</v>
      </c>
      <c r="C413" s="158" t="s">
        <v>3146</v>
      </c>
      <c r="D413" s="158" t="s">
        <v>2069</v>
      </c>
      <c r="E413" s="516" t="s">
        <v>1732</v>
      </c>
      <c r="F413" s="158" t="s">
        <v>1849</v>
      </c>
      <c r="G413" s="158" t="s">
        <v>2070</v>
      </c>
      <c r="H413" s="158" t="s">
        <v>2071</v>
      </c>
      <c r="I413" s="513" t="s">
        <v>1736</v>
      </c>
      <c r="J413" s="317" t="s">
        <v>1737</v>
      </c>
      <c r="K413" s="317" t="s">
        <v>1737</v>
      </c>
      <c r="L413" s="106"/>
      <c r="M413" s="106" t="s">
        <v>3316</v>
      </c>
      <c r="N413" s="164" t="s">
        <v>3319</v>
      </c>
      <c r="O413" s="106"/>
      <c r="P413" s="25"/>
      <c r="Q413" s="25"/>
      <c r="R413" s="25"/>
      <c r="S413" s="529">
        <v>45013</v>
      </c>
      <c r="T413" s="521" t="s">
        <v>1916</v>
      </c>
      <c r="U413" s="153"/>
      <c r="V413" s="153"/>
      <c r="W413" s="153"/>
      <c r="X413" s="153"/>
      <c r="Y413" s="153"/>
      <c r="Z413" s="153"/>
    </row>
    <row r="414" spans="1:26">
      <c r="A414" s="774"/>
      <c r="B414" s="158" t="s">
        <v>3321</v>
      </c>
      <c r="C414" s="158" t="s">
        <v>3146</v>
      </c>
      <c r="D414" s="158" t="s">
        <v>2074</v>
      </c>
      <c r="E414" s="516" t="s">
        <v>1743</v>
      </c>
      <c r="F414" s="158" t="s">
        <v>1779</v>
      </c>
      <c r="G414" s="158" t="s">
        <v>2075</v>
      </c>
      <c r="H414" s="158" t="s">
        <v>2076</v>
      </c>
      <c r="I414" s="513" t="s">
        <v>1736</v>
      </c>
      <c r="J414" s="317" t="s">
        <v>1737</v>
      </c>
      <c r="K414" s="317" t="s">
        <v>1737</v>
      </c>
      <c r="L414" s="25"/>
      <c r="M414" s="106" t="s">
        <v>3276</v>
      </c>
      <c r="N414" s="164" t="s">
        <v>3322</v>
      </c>
      <c r="O414" s="106"/>
      <c r="P414" s="25"/>
      <c r="Q414" s="25"/>
      <c r="R414" s="25"/>
      <c r="S414" s="106"/>
      <c r="T414" s="23"/>
      <c r="U414" s="153"/>
      <c r="V414" s="153"/>
      <c r="W414" s="153"/>
      <c r="X414" s="153"/>
      <c r="Y414" s="153"/>
      <c r="Z414" s="153"/>
    </row>
    <row r="415" spans="1:26">
      <c r="A415" s="774"/>
      <c r="B415" s="158" t="s">
        <v>3323</v>
      </c>
      <c r="C415" s="158" t="s">
        <v>3146</v>
      </c>
      <c r="D415" s="158" t="s">
        <v>2086</v>
      </c>
      <c r="E415" s="516" t="s">
        <v>1743</v>
      </c>
      <c r="F415" s="158" t="s">
        <v>1849</v>
      </c>
      <c r="G415" s="158" t="s">
        <v>2070</v>
      </c>
      <c r="H415" s="158" t="s">
        <v>1874</v>
      </c>
      <c r="I415" s="513" t="s">
        <v>1736</v>
      </c>
      <c r="J415" s="317" t="s">
        <v>1737</v>
      </c>
      <c r="K415" s="317" t="s">
        <v>1737</v>
      </c>
      <c r="L415" s="106"/>
      <c r="M415" s="106" t="s">
        <v>3316</v>
      </c>
      <c r="N415" s="164" t="s">
        <v>3324</v>
      </c>
      <c r="O415" s="106"/>
      <c r="P415" s="25"/>
      <c r="Q415" s="25"/>
      <c r="R415" s="155"/>
      <c r="S415" s="529">
        <v>45013</v>
      </c>
      <c r="T415" s="521" t="s">
        <v>1916</v>
      </c>
      <c r="U415" s="153"/>
      <c r="V415" s="153"/>
      <c r="W415" s="153"/>
      <c r="X415" s="153"/>
      <c r="Y415" s="153"/>
      <c r="Z415" s="153"/>
    </row>
    <row r="416" spans="1:26">
      <c r="A416" s="774"/>
      <c r="B416" s="158" t="s">
        <v>3325</v>
      </c>
      <c r="C416" s="158" t="s">
        <v>3146</v>
      </c>
      <c r="D416" s="158" t="s">
        <v>2083</v>
      </c>
      <c r="E416" s="516" t="s">
        <v>1743</v>
      </c>
      <c r="F416" s="158" t="s">
        <v>1849</v>
      </c>
      <c r="G416" s="158" t="s">
        <v>2055</v>
      </c>
      <c r="H416" s="158" t="s">
        <v>1874</v>
      </c>
      <c r="I416" s="513" t="s">
        <v>1736</v>
      </c>
      <c r="J416" s="317" t="s">
        <v>1737</v>
      </c>
      <c r="K416" s="317" t="s">
        <v>1737</v>
      </c>
      <c r="L416" s="106"/>
      <c r="M416" s="106" t="s">
        <v>3316</v>
      </c>
      <c r="N416" s="164" t="s">
        <v>3326</v>
      </c>
      <c r="O416" s="106"/>
      <c r="P416" s="25"/>
      <c r="Q416" s="25"/>
      <c r="R416" s="155"/>
      <c r="S416" s="529">
        <v>45013</v>
      </c>
      <c r="T416" s="521" t="s">
        <v>1916</v>
      </c>
      <c r="U416" s="153"/>
      <c r="V416" s="153"/>
      <c r="W416" s="153"/>
      <c r="X416" s="153"/>
      <c r="Y416" s="153"/>
      <c r="Z416" s="153"/>
    </row>
    <row r="417" spans="1:26">
      <c r="A417" s="773"/>
      <c r="B417" s="158" t="s">
        <v>3327</v>
      </c>
      <c r="C417" s="158" t="s">
        <v>3146</v>
      </c>
      <c r="D417" s="158" t="s">
        <v>2079</v>
      </c>
      <c r="E417" s="516" t="s">
        <v>1743</v>
      </c>
      <c r="F417" s="158" t="s">
        <v>1779</v>
      </c>
      <c r="G417" s="158" t="s">
        <v>3328</v>
      </c>
      <c r="H417" s="158" t="s">
        <v>2076</v>
      </c>
      <c r="I417" s="513" t="s">
        <v>1736</v>
      </c>
      <c r="J417" s="317" t="s">
        <v>1737</v>
      </c>
      <c r="K417" s="317" t="s">
        <v>1737</v>
      </c>
      <c r="L417" s="25" t="s">
        <v>3329</v>
      </c>
      <c r="M417" s="106"/>
      <c r="N417" s="164"/>
      <c r="O417" s="106"/>
      <c r="P417" s="25"/>
      <c r="Q417" s="25"/>
      <c r="R417" s="25"/>
      <c r="S417" s="106"/>
      <c r="T417" s="23"/>
      <c r="U417" s="153"/>
      <c r="V417" s="153"/>
      <c r="W417" s="153"/>
      <c r="X417" s="153"/>
      <c r="Y417" s="153"/>
      <c r="Z417" s="153"/>
    </row>
    <row r="418" spans="1:26">
      <c r="A418" s="680" t="s">
        <v>3330</v>
      </c>
      <c r="B418" s="158" t="s">
        <v>3331</v>
      </c>
      <c r="C418" s="158" t="s">
        <v>3146</v>
      </c>
      <c r="D418" s="158" t="s">
        <v>2091</v>
      </c>
      <c r="E418" s="516" t="s">
        <v>1732</v>
      </c>
      <c r="F418" s="158" t="s">
        <v>1849</v>
      </c>
      <c r="G418" s="158" t="s">
        <v>2092</v>
      </c>
      <c r="H418" s="158" t="s">
        <v>2093</v>
      </c>
      <c r="I418" s="513" t="s">
        <v>1736</v>
      </c>
      <c r="J418" s="317" t="s">
        <v>1737</v>
      </c>
      <c r="K418" s="317" t="s">
        <v>1737</v>
      </c>
      <c r="L418" s="22"/>
      <c r="M418" s="106" t="s">
        <v>3332</v>
      </c>
      <c r="N418" s="164" t="s">
        <v>3333</v>
      </c>
      <c r="O418" s="106"/>
      <c r="P418" s="25"/>
      <c r="Q418" s="25"/>
      <c r="R418" s="25"/>
      <c r="S418" s="529">
        <v>45013</v>
      </c>
      <c r="T418" s="521" t="s">
        <v>1916</v>
      </c>
      <c r="U418" s="153"/>
      <c r="V418" s="153"/>
      <c r="W418" s="153"/>
      <c r="X418" s="153"/>
      <c r="Y418" s="153"/>
      <c r="Z418" s="153"/>
    </row>
    <row r="419" spans="1:26">
      <c r="A419" s="774"/>
      <c r="B419" s="158" t="s">
        <v>3334</v>
      </c>
      <c r="C419" s="158" t="s">
        <v>3146</v>
      </c>
      <c r="D419" s="158" t="s">
        <v>2095</v>
      </c>
      <c r="E419" s="516" t="s">
        <v>1732</v>
      </c>
      <c r="F419" s="158" t="s">
        <v>1849</v>
      </c>
      <c r="G419" s="158" t="s">
        <v>2096</v>
      </c>
      <c r="H419" s="158" t="s">
        <v>2097</v>
      </c>
      <c r="I419" s="513" t="s">
        <v>1736</v>
      </c>
      <c r="J419" s="317" t="s">
        <v>1737</v>
      </c>
      <c r="K419" s="317" t="s">
        <v>1737</v>
      </c>
      <c r="L419" s="22" t="s">
        <v>3335</v>
      </c>
      <c r="M419" s="106"/>
      <c r="N419" s="164"/>
      <c r="O419" s="106"/>
      <c r="P419" s="25"/>
      <c r="Q419" s="25"/>
      <c r="R419" s="25"/>
      <c r="S419" s="106"/>
      <c r="T419" s="23"/>
      <c r="U419" s="153"/>
      <c r="V419" s="153"/>
      <c r="W419" s="153"/>
      <c r="X419" s="153"/>
      <c r="Y419" s="153"/>
      <c r="Z419" s="153"/>
    </row>
    <row r="420" spans="1:26">
      <c r="A420" s="774"/>
      <c r="B420" s="158" t="s">
        <v>3336</v>
      </c>
      <c r="C420" s="158" t="s">
        <v>3146</v>
      </c>
      <c r="D420" s="158" t="s">
        <v>2099</v>
      </c>
      <c r="E420" s="516" t="s">
        <v>1732</v>
      </c>
      <c r="F420" s="158" t="s">
        <v>1849</v>
      </c>
      <c r="G420" s="158" t="s">
        <v>2100</v>
      </c>
      <c r="H420" s="158" t="s">
        <v>2101</v>
      </c>
      <c r="I420" s="513" t="s">
        <v>1736</v>
      </c>
      <c r="J420" s="317" t="s">
        <v>1737</v>
      </c>
      <c r="K420" s="317" t="s">
        <v>1737</v>
      </c>
      <c r="L420" s="106"/>
      <c r="M420" s="106" t="s">
        <v>3316</v>
      </c>
      <c r="N420" s="164" t="s">
        <v>3326</v>
      </c>
      <c r="O420" s="106"/>
      <c r="P420" s="25"/>
      <c r="Q420" s="25"/>
      <c r="R420" s="533" t="s">
        <v>3337</v>
      </c>
      <c r="S420" s="106"/>
      <c r="T420" s="23"/>
      <c r="U420" s="153"/>
      <c r="V420" s="153"/>
      <c r="W420" s="153"/>
      <c r="X420" s="153"/>
      <c r="Y420" s="153"/>
      <c r="Z420" s="153"/>
    </row>
    <row r="421" spans="1:26">
      <c r="A421" s="774"/>
      <c r="B421" s="158" t="s">
        <v>3338</v>
      </c>
      <c r="C421" s="158" t="s">
        <v>3146</v>
      </c>
      <c r="D421" s="158" t="s">
        <v>2103</v>
      </c>
      <c r="E421" s="516" t="s">
        <v>1732</v>
      </c>
      <c r="F421" s="158" t="s">
        <v>1849</v>
      </c>
      <c r="G421" s="158" t="s">
        <v>2104</v>
      </c>
      <c r="H421" s="158" t="s">
        <v>2105</v>
      </c>
      <c r="I421" s="513" t="s">
        <v>1736</v>
      </c>
      <c r="J421" s="317" t="s">
        <v>1737</v>
      </c>
      <c r="K421" s="317" t="s">
        <v>1737</v>
      </c>
      <c r="L421" s="22" t="s">
        <v>3335</v>
      </c>
      <c r="M421" s="106"/>
      <c r="N421" s="164"/>
      <c r="O421" s="106"/>
      <c r="P421" s="25"/>
      <c r="Q421" s="25"/>
      <c r="R421" s="25"/>
      <c r="S421" s="106"/>
      <c r="T421" s="23"/>
      <c r="U421" s="153"/>
      <c r="V421" s="153"/>
      <c r="W421" s="153"/>
      <c r="X421" s="153"/>
      <c r="Y421" s="153"/>
      <c r="Z421" s="153"/>
    </row>
    <row r="422" spans="1:26">
      <c r="A422" s="774"/>
      <c r="B422" s="158" t="s">
        <v>3339</v>
      </c>
      <c r="C422" s="158" t="s">
        <v>3146</v>
      </c>
      <c r="D422" s="158" t="s">
        <v>2107</v>
      </c>
      <c r="E422" s="516" t="s">
        <v>1732</v>
      </c>
      <c r="F422" s="158" t="s">
        <v>1849</v>
      </c>
      <c r="G422" s="158" t="s">
        <v>2108</v>
      </c>
      <c r="H422" s="158" t="s">
        <v>2109</v>
      </c>
      <c r="I422" s="513" t="s">
        <v>1736</v>
      </c>
      <c r="J422" s="317" t="s">
        <v>1737</v>
      </c>
      <c r="K422" s="317" t="s">
        <v>1737</v>
      </c>
      <c r="L422" s="106"/>
      <c r="M422" s="106" t="s">
        <v>3316</v>
      </c>
      <c r="N422" s="164" t="s">
        <v>3326</v>
      </c>
      <c r="O422" s="106"/>
      <c r="P422" s="25"/>
      <c r="Q422" s="25"/>
      <c r="R422" s="533" t="s">
        <v>3337</v>
      </c>
      <c r="S422" s="106"/>
      <c r="T422" s="23"/>
      <c r="U422" s="153"/>
      <c r="V422" s="153"/>
      <c r="W422" s="153"/>
      <c r="X422" s="153"/>
      <c r="Y422" s="153"/>
      <c r="Z422" s="153"/>
    </row>
    <row r="423" spans="1:26">
      <c r="A423" s="774"/>
      <c r="B423" s="158" t="s">
        <v>3340</v>
      </c>
      <c r="C423" s="158" t="s">
        <v>3146</v>
      </c>
      <c r="D423" s="158" t="s">
        <v>2111</v>
      </c>
      <c r="E423" s="516" t="s">
        <v>1732</v>
      </c>
      <c r="F423" s="158" t="s">
        <v>1849</v>
      </c>
      <c r="G423" s="158" t="s">
        <v>2112</v>
      </c>
      <c r="H423" s="158" t="s">
        <v>2113</v>
      </c>
      <c r="I423" s="513" t="s">
        <v>1736</v>
      </c>
      <c r="J423" s="317" t="s">
        <v>1737</v>
      </c>
      <c r="K423" s="317" t="s">
        <v>1737</v>
      </c>
      <c r="L423" s="106"/>
      <c r="M423" s="106" t="s">
        <v>3316</v>
      </c>
      <c r="N423" s="164" t="s">
        <v>3341</v>
      </c>
      <c r="O423" s="106"/>
      <c r="P423" s="25"/>
      <c r="Q423" s="25"/>
      <c r="R423" s="533" t="s">
        <v>3342</v>
      </c>
      <c r="S423" s="106"/>
      <c r="T423" s="23"/>
      <c r="U423" s="153"/>
      <c r="V423" s="153"/>
      <c r="W423" s="153"/>
      <c r="X423" s="153"/>
      <c r="Y423" s="153"/>
      <c r="Z423" s="153"/>
    </row>
    <row r="424" spans="1:26">
      <c r="A424" s="774"/>
      <c r="B424" s="158" t="s">
        <v>3343</v>
      </c>
      <c r="C424" s="158" t="s">
        <v>3146</v>
      </c>
      <c r="D424" s="158" t="s">
        <v>2115</v>
      </c>
      <c r="E424" s="516" t="s">
        <v>1732</v>
      </c>
      <c r="F424" s="158" t="s">
        <v>1849</v>
      </c>
      <c r="G424" s="158" t="s">
        <v>2116</v>
      </c>
      <c r="H424" s="158" t="s">
        <v>2117</v>
      </c>
      <c r="I424" s="513" t="s">
        <v>1736</v>
      </c>
      <c r="J424" s="317" t="s">
        <v>1737</v>
      </c>
      <c r="K424" s="317" t="s">
        <v>1737</v>
      </c>
      <c r="L424" s="106"/>
      <c r="M424" s="106" t="s">
        <v>3316</v>
      </c>
      <c r="N424" s="164" t="s">
        <v>3341</v>
      </c>
      <c r="O424" s="106"/>
      <c r="P424" s="25"/>
      <c r="Q424" s="25"/>
      <c r="R424" s="25"/>
      <c r="S424" s="529">
        <v>45015</v>
      </c>
      <c r="T424" s="521" t="s">
        <v>1916</v>
      </c>
      <c r="U424" s="153"/>
      <c r="V424" s="153"/>
      <c r="W424" s="153"/>
      <c r="X424" s="153"/>
      <c r="Y424" s="153"/>
      <c r="Z424" s="153"/>
    </row>
    <row r="425" spans="1:26">
      <c r="A425" s="774"/>
      <c r="B425" s="158" t="s">
        <v>3344</v>
      </c>
      <c r="C425" s="158" t="s">
        <v>3146</v>
      </c>
      <c r="D425" s="158" t="s">
        <v>2119</v>
      </c>
      <c r="E425" s="516" t="s">
        <v>1732</v>
      </c>
      <c r="F425" s="158" t="s">
        <v>1849</v>
      </c>
      <c r="G425" s="158" t="s">
        <v>2120</v>
      </c>
      <c r="H425" s="158" t="s">
        <v>2121</v>
      </c>
      <c r="I425" s="513" t="s">
        <v>1736</v>
      </c>
      <c r="J425" s="317" t="s">
        <v>1737</v>
      </c>
      <c r="K425" s="317" t="s">
        <v>1737</v>
      </c>
      <c r="L425" s="22" t="s">
        <v>3335</v>
      </c>
      <c r="M425" s="106"/>
      <c r="N425" s="164"/>
      <c r="O425" s="106"/>
      <c r="P425" s="25"/>
      <c r="Q425" s="25"/>
      <c r="R425" s="25"/>
      <c r="S425" s="106"/>
      <c r="T425" s="23"/>
      <c r="U425" s="153"/>
      <c r="V425" s="153"/>
      <c r="W425" s="153"/>
      <c r="X425" s="153"/>
      <c r="Y425" s="153"/>
      <c r="Z425" s="153"/>
    </row>
    <row r="426" spans="1:26">
      <c r="A426" s="774"/>
      <c r="B426" s="158" t="s">
        <v>3345</v>
      </c>
      <c r="C426" s="158" t="s">
        <v>3146</v>
      </c>
      <c r="D426" s="158" t="s">
        <v>2123</v>
      </c>
      <c r="E426" s="516" t="s">
        <v>1732</v>
      </c>
      <c r="F426" s="158" t="s">
        <v>1849</v>
      </c>
      <c r="G426" s="158" t="s">
        <v>2124</v>
      </c>
      <c r="H426" s="158" t="s">
        <v>2125</v>
      </c>
      <c r="I426" s="513" t="s">
        <v>1736</v>
      </c>
      <c r="J426" s="317" t="s">
        <v>1737</v>
      </c>
      <c r="K426" s="317" t="s">
        <v>1737</v>
      </c>
      <c r="L426" s="106"/>
      <c r="M426" s="106" t="s">
        <v>3316</v>
      </c>
      <c r="N426" s="164" t="s">
        <v>3346</v>
      </c>
      <c r="O426" s="106"/>
      <c r="P426" s="25"/>
      <c r="Q426" s="25"/>
      <c r="R426" s="533" t="s">
        <v>3233</v>
      </c>
      <c r="S426" s="106"/>
      <c r="T426" s="23"/>
      <c r="U426" s="153"/>
      <c r="V426" s="153"/>
      <c r="W426" s="153"/>
      <c r="X426" s="153"/>
      <c r="Y426" s="153"/>
      <c r="Z426" s="153"/>
    </row>
    <row r="427" spans="1:26">
      <c r="A427" s="774"/>
      <c r="B427" s="158" t="s">
        <v>3347</v>
      </c>
      <c r="C427" s="158" t="s">
        <v>3146</v>
      </c>
      <c r="D427" s="158" t="s">
        <v>2127</v>
      </c>
      <c r="E427" s="516" t="s">
        <v>1732</v>
      </c>
      <c r="F427" s="158" t="s">
        <v>1849</v>
      </c>
      <c r="G427" s="158" t="s">
        <v>2128</v>
      </c>
      <c r="H427" s="158" t="s">
        <v>2129</v>
      </c>
      <c r="I427" s="513" t="s">
        <v>1736</v>
      </c>
      <c r="J427" s="317" t="s">
        <v>1737</v>
      </c>
      <c r="K427" s="317" t="s">
        <v>1737</v>
      </c>
      <c r="L427" s="106"/>
      <c r="M427" s="106" t="s">
        <v>3316</v>
      </c>
      <c r="N427" s="164" t="s">
        <v>3346</v>
      </c>
      <c r="O427" s="106"/>
      <c r="P427" s="25"/>
      <c r="Q427" s="25"/>
      <c r="R427" s="533" t="s">
        <v>3233</v>
      </c>
      <c r="S427" s="106"/>
      <c r="T427" s="23"/>
      <c r="U427" s="153"/>
      <c r="V427" s="153"/>
      <c r="W427" s="153"/>
      <c r="X427" s="153"/>
      <c r="Y427" s="153"/>
      <c r="Z427" s="153"/>
    </row>
    <row r="428" spans="1:26">
      <c r="A428" s="774"/>
      <c r="B428" s="158" t="s">
        <v>3348</v>
      </c>
      <c r="C428" s="158" t="s">
        <v>3146</v>
      </c>
      <c r="D428" s="158" t="s">
        <v>2131</v>
      </c>
      <c r="E428" s="516" t="s">
        <v>1732</v>
      </c>
      <c r="F428" s="158" t="s">
        <v>1849</v>
      </c>
      <c r="G428" s="158" t="s">
        <v>2132</v>
      </c>
      <c r="H428" s="158" t="s">
        <v>2133</v>
      </c>
      <c r="I428" s="513" t="s">
        <v>1736</v>
      </c>
      <c r="J428" s="317" t="s">
        <v>1737</v>
      </c>
      <c r="K428" s="317" t="s">
        <v>1737</v>
      </c>
      <c r="L428" s="25" t="s">
        <v>3259</v>
      </c>
      <c r="M428" s="106"/>
      <c r="N428" s="164"/>
      <c r="O428" s="106"/>
      <c r="P428" s="25"/>
      <c r="Q428" s="25"/>
      <c r="R428" s="25"/>
      <c r="S428" s="106"/>
      <c r="T428" s="23"/>
      <c r="U428" s="153"/>
      <c r="V428" s="153"/>
      <c r="W428" s="153"/>
      <c r="X428" s="153"/>
      <c r="Y428" s="153"/>
      <c r="Z428" s="153"/>
    </row>
    <row r="429" spans="1:26">
      <c r="A429" s="774"/>
      <c r="B429" s="158" t="s">
        <v>3349</v>
      </c>
      <c r="C429" s="158" t="s">
        <v>3146</v>
      </c>
      <c r="D429" s="187" t="s">
        <v>2135</v>
      </c>
      <c r="E429" s="516" t="s">
        <v>1732</v>
      </c>
      <c r="F429" s="158" t="s">
        <v>1849</v>
      </c>
      <c r="G429" s="158" t="s">
        <v>2136</v>
      </c>
      <c r="H429" s="158" t="s">
        <v>2137</v>
      </c>
      <c r="I429" s="513" t="s">
        <v>1736</v>
      </c>
      <c r="J429" s="317" t="s">
        <v>1737</v>
      </c>
      <c r="K429" s="317" t="s">
        <v>1737</v>
      </c>
      <c r="L429" s="106"/>
      <c r="M429" s="106" t="s">
        <v>3316</v>
      </c>
      <c r="N429" s="164" t="s">
        <v>3350</v>
      </c>
      <c r="O429" s="106"/>
      <c r="P429" s="25"/>
      <c r="Q429" s="25"/>
      <c r="R429" s="25"/>
      <c r="S429" s="529">
        <v>45013</v>
      </c>
      <c r="T429" s="521" t="s">
        <v>1916</v>
      </c>
      <c r="U429" s="153"/>
      <c r="V429" s="153"/>
      <c r="W429" s="153"/>
      <c r="X429" s="153"/>
      <c r="Y429" s="153"/>
      <c r="Z429" s="153"/>
    </row>
    <row r="430" spans="1:26">
      <c r="A430" s="774"/>
      <c r="B430" s="158" t="s">
        <v>3351</v>
      </c>
      <c r="C430" s="158" t="s">
        <v>3146</v>
      </c>
      <c r="D430" s="187" t="s">
        <v>2139</v>
      </c>
      <c r="E430" s="516" t="s">
        <v>1732</v>
      </c>
      <c r="F430" s="158" t="s">
        <v>1849</v>
      </c>
      <c r="G430" s="158" t="s">
        <v>2140</v>
      </c>
      <c r="H430" s="158" t="s">
        <v>2141</v>
      </c>
      <c r="I430" s="513" t="s">
        <v>1736</v>
      </c>
      <c r="J430" s="317" t="s">
        <v>1737</v>
      </c>
      <c r="K430" s="317" t="s">
        <v>1737</v>
      </c>
      <c r="L430" s="106"/>
      <c r="M430" s="106" t="s">
        <v>3316</v>
      </c>
      <c r="N430" s="164" t="s">
        <v>3352</v>
      </c>
      <c r="O430" s="106"/>
      <c r="P430" s="25"/>
      <c r="Q430" s="25"/>
      <c r="R430" s="25"/>
      <c r="S430" s="529">
        <v>45013</v>
      </c>
      <c r="T430" s="521" t="s">
        <v>1916</v>
      </c>
      <c r="U430" s="153"/>
      <c r="V430" s="153"/>
      <c r="W430" s="153"/>
      <c r="X430" s="153"/>
      <c r="Y430" s="153"/>
      <c r="Z430" s="153"/>
    </row>
    <row r="431" spans="1:26">
      <c r="A431" s="774"/>
      <c r="B431" s="158" t="s">
        <v>3353</v>
      </c>
      <c r="C431" s="158" t="s">
        <v>3146</v>
      </c>
      <c r="D431" s="158" t="s">
        <v>2143</v>
      </c>
      <c r="E431" s="516" t="s">
        <v>1732</v>
      </c>
      <c r="F431" s="158" t="s">
        <v>1849</v>
      </c>
      <c r="G431" s="158" t="s">
        <v>2144</v>
      </c>
      <c r="H431" s="158" t="s">
        <v>2145</v>
      </c>
      <c r="I431" s="513" t="s">
        <v>1736</v>
      </c>
      <c r="J431" s="317" t="s">
        <v>1737</v>
      </c>
      <c r="K431" s="317" t="s">
        <v>1737</v>
      </c>
      <c r="L431" s="106"/>
      <c r="M431" s="106" t="s">
        <v>3316</v>
      </c>
      <c r="N431" s="164" t="s">
        <v>3354</v>
      </c>
      <c r="O431" s="106"/>
      <c r="P431" s="25"/>
      <c r="Q431" s="25"/>
      <c r="R431" s="25"/>
      <c r="S431" s="529">
        <v>45013</v>
      </c>
      <c r="T431" s="521" t="s">
        <v>1916</v>
      </c>
      <c r="U431" s="153"/>
      <c r="V431" s="153"/>
      <c r="W431" s="153"/>
      <c r="X431" s="153"/>
      <c r="Y431" s="153"/>
      <c r="Z431" s="153"/>
    </row>
    <row r="432" spans="1:26">
      <c r="A432" s="774"/>
      <c r="B432" s="158" t="s">
        <v>3355</v>
      </c>
      <c r="C432" s="158" t="s">
        <v>3146</v>
      </c>
      <c r="D432" s="158" t="s">
        <v>2147</v>
      </c>
      <c r="E432" s="516" t="s">
        <v>1732</v>
      </c>
      <c r="F432" s="158" t="s">
        <v>1849</v>
      </c>
      <c r="G432" s="158" t="s">
        <v>2148</v>
      </c>
      <c r="H432" s="158" t="s">
        <v>2149</v>
      </c>
      <c r="I432" s="513" t="s">
        <v>1736</v>
      </c>
      <c r="J432" s="317" t="s">
        <v>1737</v>
      </c>
      <c r="K432" s="317" t="s">
        <v>1737</v>
      </c>
      <c r="L432" s="106"/>
      <c r="M432" s="106" t="s">
        <v>3316</v>
      </c>
      <c r="N432" s="164" t="s">
        <v>3354</v>
      </c>
      <c r="O432" s="106"/>
      <c r="P432" s="25"/>
      <c r="Q432" s="25"/>
      <c r="R432" s="25"/>
      <c r="S432" s="529">
        <v>45013</v>
      </c>
      <c r="T432" s="521" t="s">
        <v>1916</v>
      </c>
      <c r="U432" s="153"/>
      <c r="V432" s="153"/>
      <c r="W432" s="153"/>
      <c r="X432" s="153"/>
      <c r="Y432" s="153"/>
      <c r="Z432" s="153"/>
    </row>
    <row r="433" spans="1:26">
      <c r="A433" s="774"/>
      <c r="B433" s="158" t="s">
        <v>3356</v>
      </c>
      <c r="C433" s="158" t="s">
        <v>3146</v>
      </c>
      <c r="D433" s="158" t="s">
        <v>2151</v>
      </c>
      <c r="E433" s="516" t="s">
        <v>1732</v>
      </c>
      <c r="F433" s="158" t="s">
        <v>1849</v>
      </c>
      <c r="G433" s="158" t="s">
        <v>2152</v>
      </c>
      <c r="H433" s="158" t="s">
        <v>2153</v>
      </c>
      <c r="I433" s="513" t="s">
        <v>1736</v>
      </c>
      <c r="J433" s="317" t="s">
        <v>1737</v>
      </c>
      <c r="K433" s="317" t="s">
        <v>1737</v>
      </c>
      <c r="L433" s="106"/>
      <c r="M433" s="106" t="s">
        <v>3316</v>
      </c>
      <c r="N433" s="164" t="s">
        <v>3354</v>
      </c>
      <c r="O433" s="106"/>
      <c r="P433" s="25"/>
      <c r="Q433" s="25"/>
      <c r="R433" s="25"/>
      <c r="S433" s="529">
        <v>45013</v>
      </c>
      <c r="T433" s="521" t="s">
        <v>1916</v>
      </c>
      <c r="U433" s="153"/>
      <c r="V433" s="153"/>
      <c r="W433" s="153"/>
      <c r="X433" s="153"/>
      <c r="Y433" s="153"/>
      <c r="Z433" s="153"/>
    </row>
    <row r="434" spans="1:26">
      <c r="A434" s="774"/>
      <c r="B434" s="158" t="s">
        <v>3357</v>
      </c>
      <c r="C434" s="158" t="s">
        <v>3146</v>
      </c>
      <c r="D434" s="187" t="s">
        <v>2155</v>
      </c>
      <c r="E434" s="516" t="s">
        <v>1732</v>
      </c>
      <c r="F434" s="158" t="s">
        <v>1849</v>
      </c>
      <c r="G434" s="158" t="s">
        <v>2156</v>
      </c>
      <c r="H434" s="158" t="s">
        <v>2157</v>
      </c>
      <c r="I434" s="513" t="s">
        <v>1736</v>
      </c>
      <c r="J434" s="317" t="s">
        <v>1737</v>
      </c>
      <c r="K434" s="317" t="s">
        <v>1737</v>
      </c>
      <c r="L434" s="106"/>
      <c r="M434" s="106" t="s">
        <v>3316</v>
      </c>
      <c r="N434" s="164" t="s">
        <v>3358</v>
      </c>
      <c r="O434" s="106"/>
      <c r="P434" s="25"/>
      <c r="Q434" s="25"/>
      <c r="R434" s="25"/>
      <c r="S434" s="529">
        <v>45013</v>
      </c>
      <c r="T434" s="521" t="s">
        <v>1916</v>
      </c>
      <c r="U434" s="153"/>
      <c r="V434" s="153"/>
      <c r="W434" s="153"/>
      <c r="X434" s="153"/>
      <c r="Y434" s="153"/>
      <c r="Z434" s="153"/>
    </row>
    <row r="435" spans="1:26">
      <c r="A435" s="774"/>
      <c r="B435" s="158" t="s">
        <v>3359</v>
      </c>
      <c r="C435" s="158" t="s">
        <v>3146</v>
      </c>
      <c r="D435" s="158" t="s">
        <v>2159</v>
      </c>
      <c r="E435" s="516" t="s">
        <v>1732</v>
      </c>
      <c r="F435" s="158" t="s">
        <v>1849</v>
      </c>
      <c r="G435" s="158" t="s">
        <v>2160</v>
      </c>
      <c r="H435" s="158" t="s">
        <v>2161</v>
      </c>
      <c r="I435" s="513" t="s">
        <v>1736</v>
      </c>
      <c r="J435" s="317" t="s">
        <v>1737</v>
      </c>
      <c r="K435" s="317" t="s">
        <v>1737</v>
      </c>
      <c r="L435" s="106"/>
      <c r="M435" s="106" t="s">
        <v>3316</v>
      </c>
      <c r="N435" s="164" t="s">
        <v>3358</v>
      </c>
      <c r="O435" s="106"/>
      <c r="P435" s="25"/>
      <c r="Q435" s="25"/>
      <c r="R435" s="25"/>
      <c r="S435" s="529">
        <v>45013</v>
      </c>
      <c r="T435" s="521" t="s">
        <v>1916</v>
      </c>
      <c r="U435" s="153"/>
      <c r="V435" s="153"/>
      <c r="W435" s="153"/>
      <c r="X435" s="153"/>
      <c r="Y435" s="153"/>
      <c r="Z435" s="153"/>
    </row>
    <row r="436" spans="1:26">
      <c r="A436" s="774"/>
      <c r="B436" s="158" t="s">
        <v>3360</v>
      </c>
      <c r="C436" s="158" t="s">
        <v>3146</v>
      </c>
      <c r="D436" s="187" t="s">
        <v>2163</v>
      </c>
      <c r="E436" s="516" t="s">
        <v>1732</v>
      </c>
      <c r="F436" s="158" t="s">
        <v>1849</v>
      </c>
      <c r="G436" s="158" t="s">
        <v>2164</v>
      </c>
      <c r="H436" s="158" t="s">
        <v>2165</v>
      </c>
      <c r="I436" s="513" t="s">
        <v>1736</v>
      </c>
      <c r="J436" s="317" t="s">
        <v>1737</v>
      </c>
      <c r="K436" s="317" t="s">
        <v>1737</v>
      </c>
      <c r="L436" s="106"/>
      <c r="M436" s="106" t="s">
        <v>3316</v>
      </c>
      <c r="N436" s="164" t="s">
        <v>3358</v>
      </c>
      <c r="O436" s="106"/>
      <c r="P436" s="25"/>
      <c r="Q436" s="25"/>
      <c r="R436" s="25"/>
      <c r="S436" s="529">
        <v>45013</v>
      </c>
      <c r="T436" s="521" t="s">
        <v>1916</v>
      </c>
      <c r="U436" s="153"/>
      <c r="V436" s="153"/>
      <c r="W436" s="153"/>
      <c r="X436" s="153"/>
      <c r="Y436" s="153"/>
      <c r="Z436" s="153"/>
    </row>
    <row r="437" spans="1:26">
      <c r="A437" s="774"/>
      <c r="B437" s="158" t="s">
        <v>3361</v>
      </c>
      <c r="C437" s="158" t="s">
        <v>3146</v>
      </c>
      <c r="D437" s="158" t="s">
        <v>2167</v>
      </c>
      <c r="E437" s="516" t="s">
        <v>1732</v>
      </c>
      <c r="F437" s="158" t="s">
        <v>1849</v>
      </c>
      <c r="G437" s="158" t="s">
        <v>2168</v>
      </c>
      <c r="H437" s="158" t="s">
        <v>2169</v>
      </c>
      <c r="I437" s="513" t="s">
        <v>1736</v>
      </c>
      <c r="J437" s="317" t="s">
        <v>1737</v>
      </c>
      <c r="K437" s="317" t="s">
        <v>1737</v>
      </c>
      <c r="L437" s="25" t="s">
        <v>3259</v>
      </c>
      <c r="M437" s="106"/>
      <c r="N437" s="164"/>
      <c r="O437" s="106"/>
      <c r="P437" s="25"/>
      <c r="Q437" s="25"/>
      <c r="R437" s="25"/>
      <c r="S437" s="106"/>
      <c r="T437" s="23"/>
      <c r="U437" s="153"/>
      <c r="V437" s="153"/>
      <c r="W437" s="153"/>
      <c r="X437" s="153"/>
      <c r="Y437" s="153"/>
      <c r="Z437" s="153"/>
    </row>
    <row r="438" spans="1:26">
      <c r="A438" s="774"/>
      <c r="B438" s="158" t="s">
        <v>3362</v>
      </c>
      <c r="C438" s="158" t="s">
        <v>3146</v>
      </c>
      <c r="D438" s="158" t="s">
        <v>2171</v>
      </c>
      <c r="E438" s="516" t="s">
        <v>1732</v>
      </c>
      <c r="F438" s="158" t="s">
        <v>1849</v>
      </c>
      <c r="G438" s="158" t="s">
        <v>2172</v>
      </c>
      <c r="H438" s="158" t="s">
        <v>2173</v>
      </c>
      <c r="I438" s="513" t="s">
        <v>1736</v>
      </c>
      <c r="J438" s="317" t="s">
        <v>1737</v>
      </c>
      <c r="K438" s="317" t="s">
        <v>1737</v>
      </c>
      <c r="L438" s="25" t="s">
        <v>3259</v>
      </c>
      <c r="M438" s="106"/>
      <c r="N438" s="164"/>
      <c r="O438" s="106"/>
      <c r="P438" s="25"/>
      <c r="Q438" s="25"/>
      <c r="R438" s="25"/>
      <c r="S438" s="106"/>
      <c r="T438" s="23"/>
      <c r="U438" s="153"/>
      <c r="V438" s="153"/>
      <c r="W438" s="153"/>
      <c r="X438" s="153"/>
      <c r="Y438" s="153"/>
      <c r="Z438" s="153"/>
    </row>
    <row r="439" spans="1:26">
      <c r="A439" s="774"/>
      <c r="B439" s="158" t="s">
        <v>3363</v>
      </c>
      <c r="C439" s="158" t="s">
        <v>3146</v>
      </c>
      <c r="D439" s="158" t="s">
        <v>2175</v>
      </c>
      <c r="E439" s="516" t="s">
        <v>1732</v>
      </c>
      <c r="F439" s="158" t="s">
        <v>1849</v>
      </c>
      <c r="G439" s="158" t="s">
        <v>2176</v>
      </c>
      <c r="H439" s="158" t="s">
        <v>2177</v>
      </c>
      <c r="I439" s="513" t="s">
        <v>1736</v>
      </c>
      <c r="J439" s="317" t="s">
        <v>1737</v>
      </c>
      <c r="K439" s="317" t="s">
        <v>1737</v>
      </c>
      <c r="L439" s="25" t="s">
        <v>3259</v>
      </c>
      <c r="M439" s="106"/>
      <c r="N439" s="164"/>
      <c r="O439" s="106"/>
      <c r="P439" s="25"/>
      <c r="Q439" s="25"/>
      <c r="R439" s="25"/>
      <c r="S439" s="106"/>
      <c r="T439" s="23"/>
      <c r="U439" s="153"/>
      <c r="V439" s="153"/>
      <c r="W439" s="153"/>
      <c r="X439" s="153"/>
      <c r="Y439" s="153"/>
      <c r="Z439" s="153"/>
    </row>
    <row r="440" spans="1:26">
      <c r="A440" s="774"/>
      <c r="B440" s="158" t="s">
        <v>3364</v>
      </c>
      <c r="C440" s="158" t="s">
        <v>3146</v>
      </c>
      <c r="D440" s="158" t="s">
        <v>2179</v>
      </c>
      <c r="E440" s="516" t="s">
        <v>1732</v>
      </c>
      <c r="F440" s="158" t="s">
        <v>1849</v>
      </c>
      <c r="G440" s="158" t="s">
        <v>2180</v>
      </c>
      <c r="H440" s="158" t="s">
        <v>2181</v>
      </c>
      <c r="I440" s="513" t="s">
        <v>1736</v>
      </c>
      <c r="J440" s="317" t="s">
        <v>1737</v>
      </c>
      <c r="K440" s="317" t="s">
        <v>1737</v>
      </c>
      <c r="L440" s="25" t="s">
        <v>3259</v>
      </c>
      <c r="M440" s="106"/>
      <c r="N440" s="164"/>
      <c r="O440" s="106"/>
      <c r="P440" s="25"/>
      <c r="Q440" s="25"/>
      <c r="R440" s="25"/>
      <c r="S440" s="106"/>
      <c r="T440" s="23"/>
      <c r="U440" s="153"/>
      <c r="V440" s="153"/>
      <c r="W440" s="153"/>
      <c r="X440" s="153"/>
      <c r="Y440" s="153"/>
      <c r="Z440" s="153"/>
    </row>
    <row r="441" spans="1:26">
      <c r="A441" s="774"/>
      <c r="B441" s="158" t="s">
        <v>3365</v>
      </c>
      <c r="C441" s="158" t="s">
        <v>3146</v>
      </c>
      <c r="D441" s="158" t="s">
        <v>2183</v>
      </c>
      <c r="E441" s="516" t="s">
        <v>1732</v>
      </c>
      <c r="F441" s="158" t="s">
        <v>1849</v>
      </c>
      <c r="G441" s="158" t="s">
        <v>2184</v>
      </c>
      <c r="H441" s="158" t="s">
        <v>2185</v>
      </c>
      <c r="I441" s="513" t="s">
        <v>1736</v>
      </c>
      <c r="J441" s="317" t="s">
        <v>1737</v>
      </c>
      <c r="K441" s="317" t="s">
        <v>1737</v>
      </c>
      <c r="L441" s="25" t="s">
        <v>3259</v>
      </c>
      <c r="M441" s="106"/>
      <c r="N441" s="164"/>
      <c r="O441" s="106"/>
      <c r="P441" s="25"/>
      <c r="Q441" s="25"/>
      <c r="R441" s="25"/>
      <c r="S441" s="106"/>
      <c r="T441" s="23"/>
      <c r="U441" s="153"/>
      <c r="V441" s="153"/>
      <c r="W441" s="153"/>
      <c r="X441" s="153"/>
      <c r="Y441" s="153"/>
      <c r="Z441" s="153"/>
    </row>
    <row r="442" spans="1:26">
      <c r="A442" s="774"/>
      <c r="B442" s="158" t="s">
        <v>3366</v>
      </c>
      <c r="C442" s="158" t="s">
        <v>3146</v>
      </c>
      <c r="D442" s="158" t="s">
        <v>2187</v>
      </c>
      <c r="E442" s="516" t="s">
        <v>1732</v>
      </c>
      <c r="F442" s="158" t="s">
        <v>1849</v>
      </c>
      <c r="G442" s="158" t="s">
        <v>2188</v>
      </c>
      <c r="H442" s="158" t="s">
        <v>2189</v>
      </c>
      <c r="I442" s="513" t="s">
        <v>1736</v>
      </c>
      <c r="J442" s="317" t="s">
        <v>1737</v>
      </c>
      <c r="K442" s="317" t="s">
        <v>1737</v>
      </c>
      <c r="L442" s="25" t="s">
        <v>3259</v>
      </c>
      <c r="M442" s="106"/>
      <c r="N442" s="164"/>
      <c r="O442" s="106"/>
      <c r="P442" s="25"/>
      <c r="Q442" s="25"/>
      <c r="R442" s="25"/>
      <c r="S442" s="106"/>
      <c r="T442" s="23"/>
      <c r="U442" s="153"/>
      <c r="V442" s="153"/>
      <c r="W442" s="153"/>
      <c r="X442" s="153"/>
      <c r="Y442" s="153"/>
      <c r="Z442" s="153"/>
    </row>
    <row r="443" spans="1:26">
      <c r="A443" s="774"/>
      <c r="B443" s="158" t="s">
        <v>3367</v>
      </c>
      <c r="C443" s="158" t="s">
        <v>3146</v>
      </c>
      <c r="D443" s="158" t="s">
        <v>2191</v>
      </c>
      <c r="E443" s="516" t="s">
        <v>1732</v>
      </c>
      <c r="F443" s="158" t="s">
        <v>1849</v>
      </c>
      <c r="G443" s="158" t="s">
        <v>2192</v>
      </c>
      <c r="H443" s="158" t="s">
        <v>2193</v>
      </c>
      <c r="I443" s="513" t="s">
        <v>1736</v>
      </c>
      <c r="J443" s="317" t="s">
        <v>1737</v>
      </c>
      <c r="K443" s="317" t="s">
        <v>1737</v>
      </c>
      <c r="L443" s="25" t="s">
        <v>3259</v>
      </c>
      <c r="M443" s="106"/>
      <c r="N443" s="164"/>
      <c r="O443" s="106"/>
      <c r="P443" s="25"/>
      <c r="Q443" s="25"/>
      <c r="R443" s="25"/>
      <c r="S443" s="106"/>
      <c r="T443" s="23"/>
      <c r="U443" s="153"/>
      <c r="V443" s="153"/>
      <c r="W443" s="153"/>
      <c r="X443" s="153"/>
      <c r="Y443" s="153"/>
      <c r="Z443" s="153"/>
    </row>
    <row r="444" spans="1:26">
      <c r="A444" s="774"/>
      <c r="B444" s="158" t="s">
        <v>3368</v>
      </c>
      <c r="C444" s="158" t="s">
        <v>3146</v>
      </c>
      <c r="D444" s="158" t="s">
        <v>2195</v>
      </c>
      <c r="E444" s="516" t="s">
        <v>1732</v>
      </c>
      <c r="F444" s="158" t="s">
        <v>1849</v>
      </c>
      <c r="G444" s="158" t="s">
        <v>2196</v>
      </c>
      <c r="H444" s="158" t="s">
        <v>2197</v>
      </c>
      <c r="I444" s="513" t="s">
        <v>1736</v>
      </c>
      <c r="J444" s="317" t="s">
        <v>1737</v>
      </c>
      <c r="K444" s="317" t="s">
        <v>1737</v>
      </c>
      <c r="L444" s="25" t="s">
        <v>3259</v>
      </c>
      <c r="M444" s="106"/>
      <c r="N444" s="164"/>
      <c r="O444" s="106"/>
      <c r="P444" s="25"/>
      <c r="Q444" s="25"/>
      <c r="R444" s="25"/>
      <c r="S444" s="106"/>
      <c r="T444" s="23"/>
      <c r="U444" s="153"/>
      <c r="V444" s="153"/>
      <c r="W444" s="153"/>
      <c r="X444" s="153"/>
      <c r="Y444" s="153"/>
      <c r="Z444" s="153"/>
    </row>
    <row r="445" spans="1:26">
      <c r="A445" s="774"/>
      <c r="B445" s="158" t="s">
        <v>3369</v>
      </c>
      <c r="C445" s="158" t="s">
        <v>3146</v>
      </c>
      <c r="D445" s="158" t="s">
        <v>2199</v>
      </c>
      <c r="E445" s="516" t="s">
        <v>1732</v>
      </c>
      <c r="F445" s="158" t="s">
        <v>1849</v>
      </c>
      <c r="G445" s="158" t="s">
        <v>2200</v>
      </c>
      <c r="H445" s="158" t="s">
        <v>2201</v>
      </c>
      <c r="I445" s="513" t="s">
        <v>1736</v>
      </c>
      <c r="J445" s="317" t="s">
        <v>1737</v>
      </c>
      <c r="K445" s="317" t="s">
        <v>1737</v>
      </c>
      <c r="L445" s="25" t="s">
        <v>3259</v>
      </c>
      <c r="M445" s="106"/>
      <c r="N445" s="164"/>
      <c r="O445" s="106"/>
      <c r="P445" s="25"/>
      <c r="Q445" s="25"/>
      <c r="R445" s="25"/>
      <c r="S445" s="106"/>
      <c r="T445" s="23"/>
      <c r="U445" s="153"/>
      <c r="V445" s="153"/>
      <c r="W445" s="153"/>
      <c r="X445" s="153"/>
      <c r="Y445" s="153"/>
      <c r="Z445" s="153"/>
    </row>
    <row r="446" spans="1:26">
      <c r="A446" s="774"/>
      <c r="B446" s="158" t="s">
        <v>3370</v>
      </c>
      <c r="C446" s="158" t="s">
        <v>3146</v>
      </c>
      <c r="D446" s="158" t="s">
        <v>2203</v>
      </c>
      <c r="E446" s="516" t="s">
        <v>1732</v>
      </c>
      <c r="F446" s="158" t="s">
        <v>1849</v>
      </c>
      <c r="G446" s="158" t="s">
        <v>2204</v>
      </c>
      <c r="H446" s="158" t="s">
        <v>2205</v>
      </c>
      <c r="I446" s="513" t="s">
        <v>1736</v>
      </c>
      <c r="J446" s="317" t="s">
        <v>1737</v>
      </c>
      <c r="K446" s="317" t="s">
        <v>1737</v>
      </c>
      <c r="L446" s="25" t="s">
        <v>3259</v>
      </c>
      <c r="M446" s="106"/>
      <c r="N446" s="164"/>
      <c r="O446" s="106"/>
      <c r="P446" s="25"/>
      <c r="Q446" s="25"/>
      <c r="R446" s="25"/>
      <c r="S446" s="106"/>
      <c r="T446" s="23"/>
      <c r="U446" s="153"/>
      <c r="V446" s="153"/>
      <c r="W446" s="153"/>
      <c r="X446" s="153"/>
      <c r="Y446" s="153"/>
      <c r="Z446" s="153"/>
    </row>
    <row r="447" spans="1:26">
      <c r="A447" s="774"/>
      <c r="B447" s="158" t="s">
        <v>3371</v>
      </c>
      <c r="C447" s="158" t="s">
        <v>3146</v>
      </c>
      <c r="D447" s="158" t="s">
        <v>2207</v>
      </c>
      <c r="E447" s="516" t="s">
        <v>1732</v>
      </c>
      <c r="F447" s="158" t="s">
        <v>1849</v>
      </c>
      <c r="G447" s="158" t="s">
        <v>2208</v>
      </c>
      <c r="H447" s="158" t="s">
        <v>2209</v>
      </c>
      <c r="I447" s="513" t="s">
        <v>1736</v>
      </c>
      <c r="J447" s="317" t="s">
        <v>1737</v>
      </c>
      <c r="K447" s="317" t="s">
        <v>1737</v>
      </c>
      <c r="L447" s="25" t="s">
        <v>3259</v>
      </c>
      <c r="M447" s="106"/>
      <c r="N447" s="164"/>
      <c r="O447" s="106"/>
      <c r="P447" s="25"/>
      <c r="Q447" s="25"/>
      <c r="R447" s="25"/>
      <c r="S447" s="106"/>
      <c r="T447" s="23"/>
      <c r="U447" s="153"/>
      <c r="V447" s="153"/>
      <c r="W447" s="153"/>
      <c r="X447" s="153"/>
      <c r="Y447" s="153"/>
      <c r="Z447" s="153"/>
    </row>
    <row r="448" spans="1:26">
      <c r="A448" s="774"/>
      <c r="B448" s="158" t="s">
        <v>3372</v>
      </c>
      <c r="C448" s="158" t="s">
        <v>3146</v>
      </c>
      <c r="D448" s="158" t="s">
        <v>2211</v>
      </c>
      <c r="E448" s="516" t="s">
        <v>1732</v>
      </c>
      <c r="F448" s="158" t="s">
        <v>1849</v>
      </c>
      <c r="G448" s="158" t="s">
        <v>2212</v>
      </c>
      <c r="H448" s="158" t="s">
        <v>2213</v>
      </c>
      <c r="I448" s="513" t="s">
        <v>1736</v>
      </c>
      <c r="J448" s="317" t="s">
        <v>1737</v>
      </c>
      <c r="K448" s="317" t="s">
        <v>1737</v>
      </c>
      <c r="L448" s="25" t="s">
        <v>3259</v>
      </c>
      <c r="M448" s="106"/>
      <c r="N448" s="164"/>
      <c r="O448" s="106"/>
      <c r="P448" s="25"/>
      <c r="Q448" s="25"/>
      <c r="R448" s="25"/>
      <c r="S448" s="106"/>
      <c r="T448" s="23"/>
      <c r="U448" s="153"/>
      <c r="V448" s="153"/>
      <c r="W448" s="153"/>
      <c r="X448" s="153"/>
      <c r="Y448" s="153"/>
      <c r="Z448" s="153"/>
    </row>
    <row r="449" spans="1:26">
      <c r="A449" s="774"/>
      <c r="B449" s="158" t="s">
        <v>3373</v>
      </c>
      <c r="C449" s="158" t="s">
        <v>3146</v>
      </c>
      <c r="D449" s="158" t="s">
        <v>2215</v>
      </c>
      <c r="E449" s="516" t="s">
        <v>1732</v>
      </c>
      <c r="F449" s="158" t="s">
        <v>1849</v>
      </c>
      <c r="G449" s="158" t="s">
        <v>2216</v>
      </c>
      <c r="H449" s="158" t="s">
        <v>2217</v>
      </c>
      <c r="I449" s="513" t="s">
        <v>1736</v>
      </c>
      <c r="J449" s="317" t="s">
        <v>1737</v>
      </c>
      <c r="K449" s="317" t="s">
        <v>1737</v>
      </c>
      <c r="L449" s="106"/>
      <c r="M449" s="106"/>
      <c r="N449" s="164"/>
      <c r="O449" s="106"/>
      <c r="P449" s="25"/>
      <c r="Q449" s="25"/>
      <c r="R449" s="25"/>
      <c r="S449" s="106"/>
      <c r="T449" s="23"/>
      <c r="U449" s="153"/>
      <c r="V449" s="153"/>
      <c r="W449" s="153"/>
      <c r="X449" s="153"/>
      <c r="Y449" s="153"/>
      <c r="Z449" s="153"/>
    </row>
    <row r="450" spans="1:26">
      <c r="A450" s="774"/>
      <c r="B450" s="158" t="s">
        <v>3374</v>
      </c>
      <c r="C450" s="158" t="s">
        <v>3146</v>
      </c>
      <c r="D450" s="158" t="s">
        <v>2219</v>
      </c>
      <c r="E450" s="516" t="s">
        <v>1732</v>
      </c>
      <c r="F450" s="158" t="s">
        <v>1849</v>
      </c>
      <c r="G450" s="158" t="s">
        <v>2220</v>
      </c>
      <c r="H450" s="158" t="s">
        <v>2221</v>
      </c>
      <c r="I450" s="513" t="s">
        <v>1736</v>
      </c>
      <c r="J450" s="317" t="s">
        <v>1737</v>
      </c>
      <c r="K450" s="317" t="s">
        <v>1737</v>
      </c>
      <c r="L450" s="106"/>
      <c r="M450" s="106"/>
      <c r="N450" s="164"/>
      <c r="O450" s="106"/>
      <c r="P450" s="25"/>
      <c r="Q450" s="25"/>
      <c r="R450" s="25"/>
      <c r="S450" s="106"/>
      <c r="T450" s="23"/>
      <c r="U450" s="153"/>
      <c r="V450" s="153"/>
      <c r="W450" s="153"/>
      <c r="X450" s="153"/>
      <c r="Y450" s="153"/>
      <c r="Z450" s="153"/>
    </row>
    <row r="451" spans="1:26">
      <c r="A451" s="774"/>
      <c r="B451" s="158" t="s">
        <v>3375</v>
      </c>
      <c r="C451" s="158" t="s">
        <v>3146</v>
      </c>
      <c r="D451" s="158" t="s">
        <v>2223</v>
      </c>
      <c r="E451" s="516" t="s">
        <v>1732</v>
      </c>
      <c r="F451" s="158" t="s">
        <v>1849</v>
      </c>
      <c r="G451" s="158" t="s">
        <v>2224</v>
      </c>
      <c r="H451" s="158" t="s">
        <v>2225</v>
      </c>
      <c r="I451" s="513" t="s">
        <v>1736</v>
      </c>
      <c r="J451" s="317" t="s">
        <v>1737</v>
      </c>
      <c r="K451" s="317" t="s">
        <v>1737</v>
      </c>
      <c r="L451" s="106"/>
      <c r="M451" s="106"/>
      <c r="N451" s="164"/>
      <c r="O451" s="106"/>
      <c r="P451" s="25"/>
      <c r="Q451" s="25"/>
      <c r="R451" s="25"/>
      <c r="S451" s="106"/>
      <c r="T451" s="23"/>
      <c r="U451" s="153"/>
      <c r="V451" s="153"/>
      <c r="W451" s="153"/>
      <c r="X451" s="153"/>
      <c r="Y451" s="153"/>
      <c r="Z451" s="153"/>
    </row>
    <row r="452" spans="1:26">
      <c r="A452" s="774"/>
      <c r="B452" s="158" t="s">
        <v>3376</v>
      </c>
      <c r="C452" s="158" t="s">
        <v>3146</v>
      </c>
      <c r="D452" s="158" t="s">
        <v>2227</v>
      </c>
      <c r="E452" s="516" t="s">
        <v>1732</v>
      </c>
      <c r="F452" s="158" t="s">
        <v>1849</v>
      </c>
      <c r="G452" s="158" t="s">
        <v>2228</v>
      </c>
      <c r="H452" s="158" t="s">
        <v>2229</v>
      </c>
      <c r="I452" s="513" t="s">
        <v>1736</v>
      </c>
      <c r="J452" s="317" t="s">
        <v>1737</v>
      </c>
      <c r="K452" s="317" t="s">
        <v>1737</v>
      </c>
      <c r="L452" s="106"/>
      <c r="M452" s="106"/>
      <c r="N452" s="164"/>
      <c r="O452" s="106"/>
      <c r="P452" s="25"/>
      <c r="Q452" s="25"/>
      <c r="R452" s="25"/>
      <c r="S452" s="106"/>
      <c r="T452" s="23"/>
      <c r="U452" s="153"/>
      <c r="V452" s="153"/>
      <c r="W452" s="153"/>
      <c r="X452" s="153"/>
      <c r="Y452" s="153"/>
      <c r="Z452" s="153"/>
    </row>
    <row r="453" spans="1:26">
      <c r="A453" s="774"/>
      <c r="B453" s="158" t="s">
        <v>3377</v>
      </c>
      <c r="C453" s="158" t="s">
        <v>3146</v>
      </c>
      <c r="D453" s="158" t="s">
        <v>2231</v>
      </c>
      <c r="E453" s="516" t="s">
        <v>1732</v>
      </c>
      <c r="F453" s="158" t="s">
        <v>1849</v>
      </c>
      <c r="G453" s="158" t="s">
        <v>2232</v>
      </c>
      <c r="H453" s="158" t="s">
        <v>2233</v>
      </c>
      <c r="I453" s="513" t="s">
        <v>1736</v>
      </c>
      <c r="J453" s="317" t="s">
        <v>1737</v>
      </c>
      <c r="K453" s="317" t="s">
        <v>1737</v>
      </c>
      <c r="L453" s="106"/>
      <c r="M453" s="106"/>
      <c r="N453" s="164"/>
      <c r="O453" s="106"/>
      <c r="P453" s="25"/>
      <c r="Q453" s="25"/>
      <c r="R453" s="25"/>
      <c r="S453" s="106"/>
      <c r="T453" s="23"/>
      <c r="U453" s="153"/>
      <c r="V453" s="153"/>
      <c r="W453" s="153"/>
      <c r="X453" s="153"/>
      <c r="Y453" s="153"/>
      <c r="Z453" s="153"/>
    </row>
    <row r="454" spans="1:26">
      <c r="A454" s="774"/>
      <c r="B454" s="158" t="s">
        <v>3378</v>
      </c>
      <c r="C454" s="158" t="s">
        <v>3146</v>
      </c>
      <c r="D454" s="158" t="s">
        <v>2235</v>
      </c>
      <c r="E454" s="516" t="s">
        <v>1732</v>
      </c>
      <c r="F454" s="158" t="s">
        <v>1849</v>
      </c>
      <c r="G454" s="158" t="s">
        <v>2236</v>
      </c>
      <c r="H454" s="158" t="s">
        <v>2237</v>
      </c>
      <c r="I454" s="513" t="s">
        <v>1736</v>
      </c>
      <c r="J454" s="317" t="s">
        <v>1737</v>
      </c>
      <c r="K454" s="317" t="s">
        <v>1737</v>
      </c>
      <c r="L454" s="106"/>
      <c r="M454" s="106"/>
      <c r="N454" s="164"/>
      <c r="O454" s="106"/>
      <c r="P454" s="25"/>
      <c r="Q454" s="25"/>
      <c r="R454" s="25"/>
      <c r="S454" s="106"/>
      <c r="T454" s="23"/>
      <c r="U454" s="153"/>
      <c r="V454" s="153"/>
      <c r="W454" s="153"/>
      <c r="X454" s="153"/>
      <c r="Y454" s="153"/>
      <c r="Z454" s="153"/>
    </row>
    <row r="455" spans="1:26">
      <c r="A455" s="774"/>
      <c r="B455" s="158" t="s">
        <v>3379</v>
      </c>
      <c r="C455" s="158" t="s">
        <v>3146</v>
      </c>
      <c r="D455" s="158" t="s">
        <v>2239</v>
      </c>
      <c r="E455" s="516" t="s">
        <v>1732</v>
      </c>
      <c r="F455" s="158" t="s">
        <v>1849</v>
      </c>
      <c r="G455" s="158" t="s">
        <v>2240</v>
      </c>
      <c r="H455" s="158" t="s">
        <v>2241</v>
      </c>
      <c r="I455" s="513" t="s">
        <v>1736</v>
      </c>
      <c r="J455" s="317" t="s">
        <v>1737</v>
      </c>
      <c r="K455" s="317" t="s">
        <v>1737</v>
      </c>
      <c r="L455" s="106"/>
      <c r="M455" s="106"/>
      <c r="N455" s="164"/>
      <c r="O455" s="106"/>
      <c r="P455" s="25"/>
      <c r="Q455" s="25"/>
      <c r="R455" s="25"/>
      <c r="S455" s="106"/>
      <c r="T455" s="23"/>
      <c r="U455" s="153"/>
      <c r="V455" s="153"/>
      <c r="W455" s="153"/>
      <c r="X455" s="153"/>
      <c r="Y455" s="153"/>
      <c r="Z455" s="153"/>
    </row>
    <row r="456" spans="1:26">
      <c r="A456" s="774"/>
      <c r="B456" s="158" t="s">
        <v>3380</v>
      </c>
      <c r="C456" s="158" t="s">
        <v>3146</v>
      </c>
      <c r="D456" s="158" t="s">
        <v>2243</v>
      </c>
      <c r="E456" s="516" t="s">
        <v>1732</v>
      </c>
      <c r="F456" s="158" t="s">
        <v>1849</v>
      </c>
      <c r="G456" s="158" t="s">
        <v>2244</v>
      </c>
      <c r="H456" s="158" t="s">
        <v>2245</v>
      </c>
      <c r="I456" s="513" t="s">
        <v>1736</v>
      </c>
      <c r="J456" s="317" t="s">
        <v>1737</v>
      </c>
      <c r="K456" s="317" t="s">
        <v>1737</v>
      </c>
      <c r="L456" s="106"/>
      <c r="M456" s="106" t="s">
        <v>3381</v>
      </c>
      <c r="N456" s="164" t="s">
        <v>3382</v>
      </c>
      <c r="O456" s="106"/>
      <c r="P456" s="25"/>
      <c r="Q456" s="25"/>
      <c r="R456" s="25"/>
      <c r="S456" s="529">
        <v>45013</v>
      </c>
      <c r="T456" s="521" t="s">
        <v>1916</v>
      </c>
      <c r="U456" s="153"/>
      <c r="V456" s="153"/>
      <c r="W456" s="153"/>
      <c r="X456" s="153"/>
      <c r="Y456" s="153"/>
      <c r="Z456" s="153"/>
    </row>
    <row r="457" spans="1:26">
      <c r="A457" s="774"/>
      <c r="B457" s="158" t="s">
        <v>3383</v>
      </c>
      <c r="C457" s="158" t="s">
        <v>3146</v>
      </c>
      <c r="D457" s="158" t="s">
        <v>2239</v>
      </c>
      <c r="E457" s="516" t="s">
        <v>1732</v>
      </c>
      <c r="F457" s="158" t="s">
        <v>1849</v>
      </c>
      <c r="G457" s="158" t="s">
        <v>2240</v>
      </c>
      <c r="H457" s="158" t="s">
        <v>2241</v>
      </c>
      <c r="I457" s="513" t="s">
        <v>1736</v>
      </c>
      <c r="J457" s="317" t="s">
        <v>1737</v>
      </c>
      <c r="K457" s="317" t="s">
        <v>1737</v>
      </c>
      <c r="L457" s="106"/>
      <c r="M457" s="106"/>
      <c r="N457" s="164"/>
      <c r="O457" s="106"/>
      <c r="P457" s="25"/>
      <c r="Q457" s="25"/>
      <c r="R457" s="25"/>
      <c r="S457" s="106"/>
      <c r="T457" s="23"/>
      <c r="U457" s="153"/>
      <c r="V457" s="153"/>
      <c r="W457" s="153"/>
      <c r="X457" s="153"/>
      <c r="Y457" s="153"/>
      <c r="Z457" s="153"/>
    </row>
    <row r="458" spans="1:26">
      <c r="A458" s="774"/>
      <c r="B458" s="158" t="s">
        <v>3384</v>
      </c>
      <c r="C458" s="158" t="s">
        <v>3146</v>
      </c>
      <c r="D458" s="158" t="s">
        <v>2249</v>
      </c>
      <c r="E458" s="516" t="s">
        <v>1732</v>
      </c>
      <c r="F458" s="158" t="s">
        <v>1849</v>
      </c>
      <c r="G458" s="158" t="s">
        <v>2250</v>
      </c>
      <c r="H458" s="158" t="s">
        <v>2251</v>
      </c>
      <c r="I458" s="513" t="s">
        <v>1736</v>
      </c>
      <c r="J458" s="317" t="s">
        <v>1737</v>
      </c>
      <c r="K458" s="317" t="s">
        <v>1737</v>
      </c>
      <c r="L458" s="106"/>
      <c r="M458" s="106"/>
      <c r="N458" s="164"/>
      <c r="O458" s="106"/>
      <c r="P458" s="25"/>
      <c r="Q458" s="25"/>
      <c r="R458" s="25"/>
      <c r="S458" s="106"/>
      <c r="T458" s="23"/>
      <c r="U458" s="153"/>
      <c r="V458" s="153"/>
      <c r="W458" s="153"/>
      <c r="X458" s="153"/>
      <c r="Y458" s="153"/>
      <c r="Z458" s="153"/>
    </row>
    <row r="459" spans="1:26">
      <c r="A459" s="774"/>
      <c r="B459" s="158" t="s">
        <v>3385</v>
      </c>
      <c r="C459" s="158" t="s">
        <v>3146</v>
      </c>
      <c r="D459" s="158" t="s">
        <v>2253</v>
      </c>
      <c r="E459" s="516" t="s">
        <v>1732</v>
      </c>
      <c r="F459" s="158" t="s">
        <v>1849</v>
      </c>
      <c r="G459" s="158" t="s">
        <v>2254</v>
      </c>
      <c r="H459" s="158" t="s">
        <v>2255</v>
      </c>
      <c r="I459" s="513" t="s">
        <v>1736</v>
      </c>
      <c r="J459" s="317" t="s">
        <v>1737</v>
      </c>
      <c r="K459" s="317" t="s">
        <v>1737</v>
      </c>
      <c r="L459" s="106"/>
      <c r="M459" s="106"/>
      <c r="N459" s="164"/>
      <c r="O459" s="106"/>
      <c r="P459" s="25"/>
      <c r="Q459" s="25"/>
      <c r="R459" s="25"/>
      <c r="S459" s="106"/>
      <c r="T459" s="23"/>
      <c r="U459" s="153"/>
      <c r="V459" s="153"/>
      <c r="W459" s="153"/>
      <c r="X459" s="153"/>
      <c r="Y459" s="153"/>
      <c r="Z459" s="153"/>
    </row>
    <row r="460" spans="1:26">
      <c r="A460" s="774"/>
      <c r="B460" s="158" t="s">
        <v>3386</v>
      </c>
      <c r="C460" s="158" t="s">
        <v>3146</v>
      </c>
      <c r="D460" s="158" t="s">
        <v>2253</v>
      </c>
      <c r="E460" s="516" t="s">
        <v>1732</v>
      </c>
      <c r="F460" s="158" t="s">
        <v>1849</v>
      </c>
      <c r="G460" s="158" t="s">
        <v>2258</v>
      </c>
      <c r="H460" s="158" t="s">
        <v>2259</v>
      </c>
      <c r="I460" s="513" t="s">
        <v>1736</v>
      </c>
      <c r="J460" s="317" t="s">
        <v>1737</v>
      </c>
      <c r="K460" s="317" t="s">
        <v>1737</v>
      </c>
      <c r="L460" s="106"/>
      <c r="M460" s="106"/>
      <c r="N460" s="164"/>
      <c r="O460" s="106"/>
      <c r="P460" s="25"/>
      <c r="Q460" s="25"/>
      <c r="R460" s="25"/>
      <c r="S460" s="106"/>
      <c r="T460" s="23"/>
      <c r="U460" s="153"/>
      <c r="V460" s="153"/>
      <c r="W460" s="153"/>
      <c r="X460" s="153"/>
      <c r="Y460" s="153"/>
      <c r="Z460" s="153"/>
    </row>
    <row r="461" spans="1:26">
      <c r="A461" s="774"/>
      <c r="B461" s="158" t="s">
        <v>3387</v>
      </c>
      <c r="C461" s="158" t="s">
        <v>3146</v>
      </c>
      <c r="D461" s="158" t="s">
        <v>2261</v>
      </c>
      <c r="E461" s="516" t="s">
        <v>1732</v>
      </c>
      <c r="F461" s="158" t="s">
        <v>1849</v>
      </c>
      <c r="G461" s="158" t="s">
        <v>2262</v>
      </c>
      <c r="H461" s="158" t="s">
        <v>2263</v>
      </c>
      <c r="I461" s="513" t="s">
        <v>1736</v>
      </c>
      <c r="J461" s="317" t="s">
        <v>1737</v>
      </c>
      <c r="K461" s="317" t="s">
        <v>1737</v>
      </c>
      <c r="L461" s="106"/>
      <c r="M461" s="106"/>
      <c r="N461" s="164"/>
      <c r="O461" s="106"/>
      <c r="P461" s="25"/>
      <c r="Q461" s="25"/>
      <c r="R461" s="25"/>
      <c r="S461" s="106"/>
      <c r="T461" s="23"/>
      <c r="U461" s="153"/>
      <c r="V461" s="153"/>
      <c r="W461" s="153"/>
      <c r="X461" s="153"/>
      <c r="Y461" s="153"/>
      <c r="Z461" s="153"/>
    </row>
    <row r="462" spans="1:26">
      <c r="A462" s="774"/>
      <c r="B462" s="158" t="s">
        <v>3388</v>
      </c>
      <c r="C462" s="158" t="s">
        <v>3146</v>
      </c>
      <c r="D462" s="158" t="s">
        <v>2265</v>
      </c>
      <c r="E462" s="516" t="s">
        <v>1732</v>
      </c>
      <c r="F462" s="158" t="s">
        <v>1849</v>
      </c>
      <c r="G462" s="158" t="s">
        <v>2266</v>
      </c>
      <c r="H462" s="158" t="s">
        <v>2267</v>
      </c>
      <c r="I462" s="513" t="s">
        <v>1736</v>
      </c>
      <c r="J462" s="317" t="s">
        <v>1737</v>
      </c>
      <c r="K462" s="317" t="s">
        <v>1737</v>
      </c>
      <c r="L462" s="106"/>
      <c r="M462" s="106"/>
      <c r="N462" s="164"/>
      <c r="O462" s="106"/>
      <c r="P462" s="25"/>
      <c r="Q462" s="25"/>
      <c r="R462" s="25"/>
      <c r="S462" s="106"/>
      <c r="T462" s="23"/>
      <c r="U462" s="153"/>
      <c r="V462" s="153"/>
      <c r="W462" s="153"/>
      <c r="X462" s="153"/>
      <c r="Y462" s="153"/>
      <c r="Z462" s="153"/>
    </row>
    <row r="463" spans="1:26">
      <c r="A463" s="774"/>
      <c r="B463" s="158" t="s">
        <v>3389</v>
      </c>
      <c r="C463" s="158" t="s">
        <v>3146</v>
      </c>
      <c r="D463" s="158" t="s">
        <v>2269</v>
      </c>
      <c r="E463" s="516" t="s">
        <v>1732</v>
      </c>
      <c r="F463" s="158" t="s">
        <v>1849</v>
      </c>
      <c r="G463" s="158" t="s">
        <v>2270</v>
      </c>
      <c r="H463" s="158" t="s">
        <v>2271</v>
      </c>
      <c r="I463" s="513" t="s">
        <v>1736</v>
      </c>
      <c r="J463" s="317" t="s">
        <v>1737</v>
      </c>
      <c r="K463" s="317" t="s">
        <v>1737</v>
      </c>
      <c r="L463" s="106"/>
      <c r="M463" s="106"/>
      <c r="N463" s="164"/>
      <c r="O463" s="106"/>
      <c r="P463" s="25"/>
      <c r="Q463" s="25"/>
      <c r="R463" s="25"/>
      <c r="S463" s="106"/>
      <c r="T463" s="23"/>
      <c r="U463" s="153"/>
      <c r="V463" s="153"/>
      <c r="W463" s="153"/>
      <c r="X463" s="153"/>
      <c r="Y463" s="153"/>
      <c r="Z463" s="153"/>
    </row>
    <row r="464" spans="1:26">
      <c r="A464" s="774"/>
      <c r="B464" s="158" t="s">
        <v>3390</v>
      </c>
      <c r="C464" s="158" t="s">
        <v>3146</v>
      </c>
      <c r="D464" s="158" t="s">
        <v>2273</v>
      </c>
      <c r="E464" s="516" t="s">
        <v>1732</v>
      </c>
      <c r="F464" s="158" t="s">
        <v>1849</v>
      </c>
      <c r="G464" s="158" t="s">
        <v>2274</v>
      </c>
      <c r="H464" s="158" t="s">
        <v>2275</v>
      </c>
      <c r="I464" s="513" t="s">
        <v>1736</v>
      </c>
      <c r="J464" s="317" t="s">
        <v>1737</v>
      </c>
      <c r="K464" s="317" t="s">
        <v>1737</v>
      </c>
      <c r="L464" s="106"/>
      <c r="M464" s="106"/>
      <c r="N464" s="164"/>
      <c r="O464" s="106"/>
      <c r="P464" s="25"/>
      <c r="Q464" s="25"/>
      <c r="R464" s="25"/>
      <c r="S464" s="106"/>
      <c r="T464" s="23"/>
      <c r="U464" s="153"/>
      <c r="V464" s="153"/>
      <c r="W464" s="153"/>
      <c r="X464" s="153"/>
      <c r="Y464" s="153"/>
      <c r="Z464" s="153"/>
    </row>
    <row r="465" spans="1:26">
      <c r="A465" s="774"/>
      <c r="B465" s="158" t="s">
        <v>3391</v>
      </c>
      <c r="C465" s="158" t="s">
        <v>3146</v>
      </c>
      <c r="D465" s="158" t="s">
        <v>2277</v>
      </c>
      <c r="E465" s="516" t="s">
        <v>1732</v>
      </c>
      <c r="F465" s="158" t="s">
        <v>1849</v>
      </c>
      <c r="G465" s="158" t="s">
        <v>2278</v>
      </c>
      <c r="H465" s="158" t="s">
        <v>2279</v>
      </c>
      <c r="I465" s="513" t="s">
        <v>1736</v>
      </c>
      <c r="J465" s="317" t="s">
        <v>1737</v>
      </c>
      <c r="K465" s="317" t="s">
        <v>1737</v>
      </c>
      <c r="L465" s="106"/>
      <c r="M465" s="106"/>
      <c r="N465" s="164"/>
      <c r="O465" s="106"/>
      <c r="P465" s="25"/>
      <c r="Q465" s="25"/>
      <c r="R465" s="25"/>
      <c r="S465" s="106"/>
      <c r="T465" s="23"/>
      <c r="U465" s="153"/>
      <c r="V465" s="153"/>
      <c r="W465" s="153"/>
      <c r="X465" s="153"/>
      <c r="Y465" s="153"/>
      <c r="Z465" s="153"/>
    </row>
    <row r="466" spans="1:26">
      <c r="A466" s="774"/>
      <c r="B466" s="158" t="s">
        <v>3392</v>
      </c>
      <c r="C466" s="158" t="s">
        <v>3146</v>
      </c>
      <c r="D466" s="158" t="s">
        <v>2281</v>
      </c>
      <c r="E466" s="516" t="s">
        <v>1732</v>
      </c>
      <c r="F466" s="158" t="s">
        <v>1849</v>
      </c>
      <c r="G466" s="158" t="s">
        <v>2282</v>
      </c>
      <c r="H466" s="158" t="s">
        <v>2283</v>
      </c>
      <c r="I466" s="513" t="s">
        <v>1736</v>
      </c>
      <c r="J466" s="317" t="s">
        <v>1737</v>
      </c>
      <c r="K466" s="317" t="s">
        <v>1737</v>
      </c>
      <c r="L466" s="106"/>
      <c r="M466" s="106"/>
      <c r="N466" s="164"/>
      <c r="O466" s="106"/>
      <c r="P466" s="25"/>
      <c r="Q466" s="25"/>
      <c r="R466" s="25"/>
      <c r="S466" s="106"/>
      <c r="T466" s="23"/>
      <c r="U466" s="153"/>
      <c r="V466" s="153"/>
      <c r="W466" s="153"/>
      <c r="X466" s="153"/>
      <c r="Y466" s="153"/>
      <c r="Z466" s="153"/>
    </row>
    <row r="467" spans="1:26">
      <c r="A467" s="774"/>
      <c r="B467" s="158" t="s">
        <v>3393</v>
      </c>
      <c r="C467" s="158" t="s">
        <v>3146</v>
      </c>
      <c r="D467" s="158" t="s">
        <v>2285</v>
      </c>
      <c r="E467" s="516" t="s">
        <v>1732</v>
      </c>
      <c r="F467" s="158" t="s">
        <v>1849</v>
      </c>
      <c r="G467" s="158" t="s">
        <v>2286</v>
      </c>
      <c r="H467" s="158" t="s">
        <v>2287</v>
      </c>
      <c r="I467" s="513" t="s">
        <v>1736</v>
      </c>
      <c r="J467" s="317" t="s">
        <v>1737</v>
      </c>
      <c r="K467" s="317" t="s">
        <v>1737</v>
      </c>
      <c r="L467" s="106"/>
      <c r="M467" s="106"/>
      <c r="N467" s="164"/>
      <c r="O467" s="106"/>
      <c r="P467" s="25"/>
      <c r="Q467" s="25"/>
      <c r="R467" s="25"/>
      <c r="S467" s="106"/>
      <c r="T467" s="23"/>
      <c r="U467" s="153"/>
      <c r="V467" s="153"/>
      <c r="W467" s="153"/>
      <c r="X467" s="153"/>
      <c r="Y467" s="153"/>
      <c r="Z467" s="153"/>
    </row>
    <row r="468" spans="1:26">
      <c r="A468" s="774"/>
      <c r="B468" s="158" t="s">
        <v>3394</v>
      </c>
      <c r="C468" s="158" t="s">
        <v>3146</v>
      </c>
      <c r="D468" s="158" t="s">
        <v>2289</v>
      </c>
      <c r="E468" s="516" t="s">
        <v>1732</v>
      </c>
      <c r="F468" s="158" t="s">
        <v>1849</v>
      </c>
      <c r="G468" s="158" t="s">
        <v>2290</v>
      </c>
      <c r="H468" s="158" t="s">
        <v>2291</v>
      </c>
      <c r="I468" s="513" t="s">
        <v>1736</v>
      </c>
      <c r="J468" s="317" t="s">
        <v>1737</v>
      </c>
      <c r="K468" s="317" t="s">
        <v>1737</v>
      </c>
      <c r="L468" s="106"/>
      <c r="M468" s="106"/>
      <c r="N468" s="164"/>
      <c r="O468" s="106"/>
      <c r="P468" s="25"/>
      <c r="Q468" s="25"/>
      <c r="R468" s="25"/>
      <c r="S468" s="106"/>
      <c r="T468" s="23"/>
      <c r="U468" s="153"/>
      <c r="V468" s="153"/>
      <c r="W468" s="153"/>
      <c r="X468" s="153"/>
      <c r="Y468" s="153"/>
      <c r="Z468" s="153"/>
    </row>
    <row r="469" spans="1:26">
      <c r="A469" s="774"/>
      <c r="B469" s="158" t="s">
        <v>3395</v>
      </c>
      <c r="C469" s="158" t="s">
        <v>3146</v>
      </c>
      <c r="D469" s="158" t="s">
        <v>2293</v>
      </c>
      <c r="E469" s="516" t="s">
        <v>1732</v>
      </c>
      <c r="F469" s="158" t="s">
        <v>1849</v>
      </c>
      <c r="G469" s="158" t="s">
        <v>2294</v>
      </c>
      <c r="H469" s="158" t="s">
        <v>2295</v>
      </c>
      <c r="I469" s="513" t="s">
        <v>1736</v>
      </c>
      <c r="J469" s="317" t="s">
        <v>1737</v>
      </c>
      <c r="K469" s="317" t="s">
        <v>1737</v>
      </c>
      <c r="L469" s="106"/>
      <c r="M469" s="106"/>
      <c r="N469" s="164"/>
      <c r="O469" s="106"/>
      <c r="P469" s="25"/>
      <c r="Q469" s="25"/>
      <c r="R469" s="25"/>
      <c r="S469" s="106"/>
      <c r="T469" s="23"/>
      <c r="U469" s="153"/>
      <c r="V469" s="153"/>
      <c r="W469" s="153"/>
      <c r="X469" s="153"/>
      <c r="Y469" s="153"/>
      <c r="Z469" s="153"/>
    </row>
    <row r="470" spans="1:26">
      <c r="A470" s="774"/>
      <c r="B470" s="158" t="s">
        <v>3396</v>
      </c>
      <c r="C470" s="158" t="s">
        <v>3146</v>
      </c>
      <c r="D470" s="158" t="s">
        <v>2297</v>
      </c>
      <c r="E470" s="516" t="s">
        <v>1732</v>
      </c>
      <c r="F470" s="158" t="s">
        <v>1849</v>
      </c>
      <c r="G470" s="158" t="s">
        <v>2298</v>
      </c>
      <c r="H470" s="158" t="s">
        <v>2299</v>
      </c>
      <c r="I470" s="513" t="s">
        <v>1736</v>
      </c>
      <c r="J470" s="317" t="s">
        <v>1737</v>
      </c>
      <c r="K470" s="317" t="s">
        <v>1737</v>
      </c>
      <c r="L470" s="106"/>
      <c r="M470" s="106"/>
      <c r="N470" s="164"/>
      <c r="O470" s="106"/>
      <c r="P470" s="25"/>
      <c r="Q470" s="25"/>
      <c r="R470" s="25"/>
      <c r="S470" s="106"/>
      <c r="T470" s="23"/>
      <c r="U470" s="153"/>
      <c r="V470" s="153"/>
      <c r="W470" s="153"/>
      <c r="X470" s="153"/>
      <c r="Y470" s="153"/>
      <c r="Z470" s="153"/>
    </row>
    <row r="471" spans="1:26">
      <c r="A471" s="774"/>
      <c r="B471" s="158" t="s">
        <v>3397</v>
      </c>
      <c r="C471" s="158" t="s">
        <v>3146</v>
      </c>
      <c r="D471" s="158" t="s">
        <v>2301</v>
      </c>
      <c r="E471" s="516" t="s">
        <v>1732</v>
      </c>
      <c r="F471" s="158" t="s">
        <v>1849</v>
      </c>
      <c r="G471" s="158" t="s">
        <v>2302</v>
      </c>
      <c r="H471" s="158" t="s">
        <v>2303</v>
      </c>
      <c r="I471" s="513" t="s">
        <v>1736</v>
      </c>
      <c r="J471" s="317" t="s">
        <v>1737</v>
      </c>
      <c r="K471" s="317" t="s">
        <v>1737</v>
      </c>
      <c r="L471" s="106"/>
      <c r="M471" s="106"/>
      <c r="N471" s="164"/>
      <c r="O471" s="106"/>
      <c r="P471" s="25"/>
      <c r="Q471" s="25"/>
      <c r="R471" s="25"/>
      <c r="S471" s="106"/>
      <c r="T471" s="23"/>
      <c r="U471" s="153"/>
      <c r="V471" s="153"/>
      <c r="W471" s="153"/>
      <c r="X471" s="153"/>
      <c r="Y471" s="153"/>
      <c r="Z471" s="153"/>
    </row>
    <row r="472" spans="1:26">
      <c r="A472" s="774"/>
      <c r="B472" s="158" t="s">
        <v>3398</v>
      </c>
      <c r="C472" s="158" t="s">
        <v>3146</v>
      </c>
      <c r="D472" s="158" t="s">
        <v>2305</v>
      </c>
      <c r="E472" s="516" t="s">
        <v>1732</v>
      </c>
      <c r="F472" s="158" t="s">
        <v>1849</v>
      </c>
      <c r="G472" s="158" t="s">
        <v>2306</v>
      </c>
      <c r="H472" s="158" t="s">
        <v>2307</v>
      </c>
      <c r="I472" s="513" t="s">
        <v>1736</v>
      </c>
      <c r="J472" s="317" t="s">
        <v>1737</v>
      </c>
      <c r="K472" s="317" t="s">
        <v>1737</v>
      </c>
      <c r="L472" s="106"/>
      <c r="M472" s="106"/>
      <c r="N472" s="164"/>
      <c r="O472" s="106"/>
      <c r="P472" s="25"/>
      <c r="Q472" s="25"/>
      <c r="R472" s="25"/>
      <c r="S472" s="106"/>
      <c r="T472" s="23"/>
      <c r="U472" s="153"/>
      <c r="V472" s="153"/>
      <c r="W472" s="153"/>
      <c r="X472" s="153"/>
      <c r="Y472" s="153"/>
      <c r="Z472" s="153"/>
    </row>
    <row r="473" spans="1:26">
      <c r="A473" s="774"/>
      <c r="B473" s="158" t="s">
        <v>3399</v>
      </c>
      <c r="C473" s="158" t="s">
        <v>3146</v>
      </c>
      <c r="D473" s="158" t="s">
        <v>2309</v>
      </c>
      <c r="E473" s="516" t="s">
        <v>1732</v>
      </c>
      <c r="F473" s="158" t="s">
        <v>1849</v>
      </c>
      <c r="G473" s="158" t="s">
        <v>2310</v>
      </c>
      <c r="H473" s="158" t="s">
        <v>2311</v>
      </c>
      <c r="I473" s="513" t="s">
        <v>1736</v>
      </c>
      <c r="J473" s="317" t="s">
        <v>1737</v>
      </c>
      <c r="K473" s="317" t="s">
        <v>1737</v>
      </c>
      <c r="L473" s="106"/>
      <c r="M473" s="106"/>
      <c r="N473" s="164"/>
      <c r="O473" s="106"/>
      <c r="P473" s="25"/>
      <c r="Q473" s="25"/>
      <c r="R473" s="25"/>
      <c r="S473" s="106"/>
      <c r="T473" s="23"/>
      <c r="U473" s="153"/>
      <c r="V473" s="153"/>
      <c r="W473" s="153"/>
      <c r="X473" s="153"/>
      <c r="Y473" s="153"/>
      <c r="Z473" s="153"/>
    </row>
    <row r="474" spans="1:26">
      <c r="A474" s="774"/>
      <c r="B474" s="158" t="s">
        <v>3400</v>
      </c>
      <c r="C474" s="158" t="s">
        <v>3146</v>
      </c>
      <c r="D474" s="158" t="s">
        <v>2313</v>
      </c>
      <c r="E474" s="516" t="s">
        <v>1732</v>
      </c>
      <c r="F474" s="158" t="s">
        <v>1849</v>
      </c>
      <c r="G474" s="158" t="s">
        <v>2314</v>
      </c>
      <c r="H474" s="158" t="s">
        <v>2315</v>
      </c>
      <c r="I474" s="513" t="s">
        <v>1736</v>
      </c>
      <c r="J474" s="317" t="s">
        <v>1737</v>
      </c>
      <c r="K474" s="317" t="s">
        <v>1737</v>
      </c>
      <c r="L474" s="106"/>
      <c r="M474" s="106" t="s">
        <v>3381</v>
      </c>
      <c r="N474" s="164" t="s">
        <v>3401</v>
      </c>
      <c r="O474" s="106"/>
      <c r="P474" s="25"/>
      <c r="Q474" s="25"/>
      <c r="R474" s="25"/>
      <c r="S474" s="529">
        <v>45013</v>
      </c>
      <c r="T474" s="521" t="s">
        <v>1916</v>
      </c>
      <c r="U474" s="153"/>
      <c r="V474" s="153"/>
      <c r="W474" s="153"/>
      <c r="X474" s="153"/>
      <c r="Y474" s="153"/>
      <c r="Z474" s="153"/>
    </row>
    <row r="475" spans="1:26">
      <c r="A475" s="774"/>
      <c r="B475" s="158" t="s">
        <v>3402</v>
      </c>
      <c r="C475" s="158" t="s">
        <v>3146</v>
      </c>
      <c r="D475" s="158" t="s">
        <v>2317</v>
      </c>
      <c r="E475" s="516" t="s">
        <v>1732</v>
      </c>
      <c r="F475" s="158" t="s">
        <v>1849</v>
      </c>
      <c r="G475" s="158" t="s">
        <v>2318</v>
      </c>
      <c r="H475" s="158" t="s">
        <v>2319</v>
      </c>
      <c r="I475" s="513" t="s">
        <v>1736</v>
      </c>
      <c r="J475" s="317" t="s">
        <v>1737</v>
      </c>
      <c r="K475" s="317" t="s">
        <v>1737</v>
      </c>
      <c r="L475" s="106"/>
      <c r="M475" s="106"/>
      <c r="N475" s="164"/>
      <c r="O475" s="106"/>
      <c r="P475" s="25"/>
      <c r="Q475" s="25"/>
      <c r="R475" s="25"/>
      <c r="S475" s="106"/>
      <c r="T475" s="23"/>
      <c r="U475" s="153"/>
      <c r="V475" s="153"/>
      <c r="W475" s="153"/>
      <c r="X475" s="153"/>
      <c r="Y475" s="153"/>
      <c r="Z475" s="153"/>
    </row>
    <row r="476" spans="1:26">
      <c r="A476" s="774"/>
      <c r="B476" s="158" t="s">
        <v>3403</v>
      </c>
      <c r="C476" s="158" t="s">
        <v>3146</v>
      </c>
      <c r="D476" s="158" t="s">
        <v>2321</v>
      </c>
      <c r="E476" s="516" t="s">
        <v>1732</v>
      </c>
      <c r="F476" s="158" t="s">
        <v>1849</v>
      </c>
      <c r="G476" s="158" t="s">
        <v>2322</v>
      </c>
      <c r="H476" s="158" t="s">
        <v>2323</v>
      </c>
      <c r="I476" s="513" t="s">
        <v>1736</v>
      </c>
      <c r="J476" s="317" t="s">
        <v>1737</v>
      </c>
      <c r="K476" s="317" t="s">
        <v>1737</v>
      </c>
      <c r="L476" s="106"/>
      <c r="M476" s="106"/>
      <c r="N476" s="164"/>
      <c r="O476" s="106"/>
      <c r="P476" s="25"/>
      <c r="Q476" s="25"/>
      <c r="R476" s="25"/>
      <c r="S476" s="106"/>
      <c r="T476" s="23"/>
      <c r="U476" s="153"/>
      <c r="V476" s="153"/>
      <c r="W476" s="153"/>
      <c r="X476" s="153"/>
      <c r="Y476" s="153"/>
      <c r="Z476" s="153"/>
    </row>
    <row r="477" spans="1:26">
      <c r="A477" s="774"/>
      <c r="B477" s="158" t="s">
        <v>3404</v>
      </c>
      <c r="C477" s="158" t="s">
        <v>3146</v>
      </c>
      <c r="D477" s="158" t="s">
        <v>2325</v>
      </c>
      <c r="E477" s="516" t="s">
        <v>1732</v>
      </c>
      <c r="F477" s="158" t="s">
        <v>1849</v>
      </c>
      <c r="G477" s="158" t="s">
        <v>2326</v>
      </c>
      <c r="H477" s="158" t="s">
        <v>2327</v>
      </c>
      <c r="I477" s="513" t="s">
        <v>1736</v>
      </c>
      <c r="J477" s="317" t="s">
        <v>1737</v>
      </c>
      <c r="K477" s="317" t="s">
        <v>1737</v>
      </c>
      <c r="L477" s="106"/>
      <c r="M477" s="106"/>
      <c r="N477" s="164"/>
      <c r="O477" s="106"/>
      <c r="P477" s="25"/>
      <c r="Q477" s="25"/>
      <c r="R477" s="25"/>
      <c r="S477" s="106"/>
      <c r="T477" s="23"/>
      <c r="U477" s="153"/>
      <c r="V477" s="153"/>
      <c r="W477" s="153"/>
      <c r="X477" s="153"/>
      <c r="Y477" s="153"/>
      <c r="Z477" s="153"/>
    </row>
    <row r="478" spans="1:26">
      <c r="A478" s="774"/>
      <c r="B478" s="158" t="s">
        <v>3405</v>
      </c>
      <c r="C478" s="158" t="s">
        <v>3146</v>
      </c>
      <c r="D478" s="158" t="s">
        <v>2329</v>
      </c>
      <c r="E478" s="516" t="s">
        <v>1732</v>
      </c>
      <c r="F478" s="158" t="s">
        <v>1849</v>
      </c>
      <c r="G478" s="158" t="s">
        <v>2330</v>
      </c>
      <c r="H478" s="158" t="s">
        <v>2331</v>
      </c>
      <c r="I478" s="513" t="s">
        <v>1736</v>
      </c>
      <c r="J478" s="317" t="s">
        <v>1737</v>
      </c>
      <c r="K478" s="317" t="s">
        <v>1737</v>
      </c>
      <c r="L478" s="106"/>
      <c r="M478" s="106"/>
      <c r="N478" s="164"/>
      <c r="O478" s="106"/>
      <c r="P478" s="25"/>
      <c r="Q478" s="25"/>
      <c r="R478" s="25"/>
      <c r="S478" s="106"/>
      <c r="T478" s="23"/>
      <c r="U478" s="153"/>
      <c r="V478" s="153"/>
      <c r="W478" s="153"/>
      <c r="X478" s="153"/>
      <c r="Y478" s="153"/>
      <c r="Z478" s="153"/>
    </row>
    <row r="479" spans="1:26">
      <c r="A479" s="774"/>
      <c r="B479" s="158" t="s">
        <v>3406</v>
      </c>
      <c r="C479" s="158" t="s">
        <v>3146</v>
      </c>
      <c r="D479" s="158" t="s">
        <v>2333</v>
      </c>
      <c r="E479" s="516" t="s">
        <v>1732</v>
      </c>
      <c r="F479" s="158" t="s">
        <v>1849</v>
      </c>
      <c r="G479" s="158" t="s">
        <v>2334</v>
      </c>
      <c r="H479" s="158" t="s">
        <v>2335</v>
      </c>
      <c r="I479" s="513" t="s">
        <v>1736</v>
      </c>
      <c r="J479" s="317" t="s">
        <v>1737</v>
      </c>
      <c r="K479" s="317" t="s">
        <v>1737</v>
      </c>
      <c r="L479" s="106"/>
      <c r="M479" s="106"/>
      <c r="N479" s="164"/>
      <c r="O479" s="106"/>
      <c r="P479" s="25"/>
      <c r="Q479" s="25"/>
      <c r="R479" s="25"/>
      <c r="S479" s="106"/>
      <c r="T479" s="23"/>
      <c r="U479" s="153"/>
      <c r="V479" s="153"/>
      <c r="W479" s="153"/>
      <c r="X479" s="153"/>
      <c r="Y479" s="153"/>
      <c r="Z479" s="153"/>
    </row>
    <row r="480" spans="1:26">
      <c r="A480" s="774"/>
      <c r="B480" s="158" t="s">
        <v>3407</v>
      </c>
      <c r="C480" s="158" t="s">
        <v>3146</v>
      </c>
      <c r="D480" s="158" t="s">
        <v>2337</v>
      </c>
      <c r="E480" s="516" t="s">
        <v>1732</v>
      </c>
      <c r="F480" s="158" t="s">
        <v>1849</v>
      </c>
      <c r="G480" s="158" t="s">
        <v>2338</v>
      </c>
      <c r="H480" s="158" t="s">
        <v>2339</v>
      </c>
      <c r="I480" s="513" t="s">
        <v>1736</v>
      </c>
      <c r="J480" s="317" t="s">
        <v>1737</v>
      </c>
      <c r="K480" s="317" t="s">
        <v>1737</v>
      </c>
      <c r="L480" s="106"/>
      <c r="M480" s="106"/>
      <c r="N480" s="164"/>
      <c r="O480" s="106"/>
      <c r="P480" s="25"/>
      <c r="Q480" s="25"/>
      <c r="R480" s="25"/>
      <c r="S480" s="106"/>
      <c r="T480" s="23"/>
      <c r="U480" s="153"/>
      <c r="V480" s="153"/>
      <c r="W480" s="153"/>
      <c r="X480" s="153"/>
      <c r="Y480" s="153"/>
      <c r="Z480" s="153"/>
    </row>
    <row r="481" spans="1:26">
      <c r="A481" s="774"/>
      <c r="B481" s="158" t="s">
        <v>3408</v>
      </c>
      <c r="C481" s="158" t="s">
        <v>3146</v>
      </c>
      <c r="D481" s="158" t="s">
        <v>2341</v>
      </c>
      <c r="E481" s="516" t="s">
        <v>1732</v>
      </c>
      <c r="F481" s="158" t="s">
        <v>1849</v>
      </c>
      <c r="G481" s="158" t="s">
        <v>2342</v>
      </c>
      <c r="H481" s="158" t="s">
        <v>2343</v>
      </c>
      <c r="I481" s="513" t="s">
        <v>1736</v>
      </c>
      <c r="J481" s="317" t="s">
        <v>1737</v>
      </c>
      <c r="K481" s="317" t="s">
        <v>1737</v>
      </c>
      <c r="L481" s="106"/>
      <c r="M481" s="106"/>
      <c r="N481" s="164"/>
      <c r="O481" s="106"/>
      <c r="P481" s="25"/>
      <c r="Q481" s="25"/>
      <c r="R481" s="25"/>
      <c r="S481" s="106"/>
      <c r="T481" s="23"/>
      <c r="U481" s="153"/>
      <c r="V481" s="153"/>
      <c r="W481" s="153"/>
      <c r="X481" s="153"/>
      <c r="Y481" s="153"/>
      <c r="Z481" s="153"/>
    </row>
    <row r="482" spans="1:26">
      <c r="A482" s="774"/>
      <c r="B482" s="158" t="s">
        <v>3409</v>
      </c>
      <c r="C482" s="158" t="s">
        <v>3146</v>
      </c>
      <c r="D482" s="187" t="s">
        <v>2345</v>
      </c>
      <c r="E482" s="516" t="s">
        <v>1732</v>
      </c>
      <c r="F482" s="158" t="s">
        <v>1849</v>
      </c>
      <c r="G482" s="158" t="s">
        <v>2346</v>
      </c>
      <c r="H482" s="158" t="s">
        <v>2347</v>
      </c>
      <c r="I482" s="513" t="s">
        <v>1736</v>
      </c>
      <c r="J482" s="317" t="s">
        <v>1737</v>
      </c>
      <c r="K482" s="317" t="s">
        <v>1737</v>
      </c>
      <c r="L482" s="106"/>
      <c r="M482" s="106"/>
      <c r="N482" s="164"/>
      <c r="O482" s="106"/>
      <c r="P482" s="25"/>
      <c r="Q482" s="25"/>
      <c r="R482" s="25"/>
      <c r="S482" s="106"/>
      <c r="T482" s="23"/>
      <c r="U482" s="153"/>
      <c r="V482" s="153"/>
      <c r="W482" s="153"/>
      <c r="X482" s="153"/>
      <c r="Y482" s="153"/>
      <c r="Z482" s="153"/>
    </row>
    <row r="483" spans="1:26">
      <c r="A483" s="774"/>
      <c r="B483" s="158" t="s">
        <v>3410</v>
      </c>
      <c r="C483" s="158" t="s">
        <v>3146</v>
      </c>
      <c r="D483" s="158" t="s">
        <v>2349</v>
      </c>
      <c r="E483" s="516" t="s">
        <v>1732</v>
      </c>
      <c r="F483" s="158" t="s">
        <v>1849</v>
      </c>
      <c r="G483" s="158" t="s">
        <v>2350</v>
      </c>
      <c r="H483" s="158" t="s">
        <v>2351</v>
      </c>
      <c r="I483" s="513" t="s">
        <v>1736</v>
      </c>
      <c r="J483" s="317" t="s">
        <v>1737</v>
      </c>
      <c r="K483" s="317" t="s">
        <v>1737</v>
      </c>
      <c r="L483" s="106"/>
      <c r="M483" s="106"/>
      <c r="N483" s="164"/>
      <c r="O483" s="106"/>
      <c r="P483" s="25"/>
      <c r="Q483" s="25"/>
      <c r="R483" s="25"/>
      <c r="S483" s="106"/>
      <c r="T483" s="23"/>
      <c r="U483" s="153"/>
      <c r="V483" s="153"/>
      <c r="W483" s="153"/>
      <c r="X483" s="153"/>
      <c r="Y483" s="153"/>
      <c r="Z483" s="153"/>
    </row>
    <row r="484" spans="1:26">
      <c r="A484" s="774"/>
      <c r="B484" s="158" t="s">
        <v>3411</v>
      </c>
      <c r="C484" s="158" t="s">
        <v>3146</v>
      </c>
      <c r="D484" s="158" t="s">
        <v>2353</v>
      </c>
      <c r="E484" s="516" t="s">
        <v>1732</v>
      </c>
      <c r="F484" s="158" t="s">
        <v>1849</v>
      </c>
      <c r="G484" s="158" t="s">
        <v>2354</v>
      </c>
      <c r="H484" s="158" t="s">
        <v>2355</v>
      </c>
      <c r="I484" s="513" t="s">
        <v>1736</v>
      </c>
      <c r="J484" s="317" t="s">
        <v>1737</v>
      </c>
      <c r="K484" s="317" t="s">
        <v>1737</v>
      </c>
      <c r="L484" s="106"/>
      <c r="M484" s="106"/>
      <c r="N484" s="164"/>
      <c r="O484" s="106"/>
      <c r="P484" s="25"/>
      <c r="Q484" s="25"/>
      <c r="R484" s="25"/>
      <c r="S484" s="106"/>
      <c r="T484" s="23"/>
      <c r="U484" s="153"/>
      <c r="V484" s="153"/>
      <c r="W484" s="153"/>
      <c r="X484" s="153"/>
      <c r="Y484" s="153"/>
      <c r="Z484" s="153"/>
    </row>
    <row r="485" spans="1:26">
      <c r="A485" s="774"/>
      <c r="B485" s="158" t="s">
        <v>3412</v>
      </c>
      <c r="C485" s="158" t="s">
        <v>3146</v>
      </c>
      <c r="D485" s="158" t="s">
        <v>2357</v>
      </c>
      <c r="E485" s="516" t="s">
        <v>1732</v>
      </c>
      <c r="F485" s="158" t="s">
        <v>1849</v>
      </c>
      <c r="G485" s="158" t="s">
        <v>2358</v>
      </c>
      <c r="H485" s="158" t="s">
        <v>2359</v>
      </c>
      <c r="I485" s="513" t="s">
        <v>1736</v>
      </c>
      <c r="J485" s="317" t="s">
        <v>1737</v>
      </c>
      <c r="K485" s="317" t="s">
        <v>1737</v>
      </c>
      <c r="L485" s="106"/>
      <c r="M485" s="106"/>
      <c r="N485" s="164"/>
      <c r="O485" s="106"/>
      <c r="P485" s="25"/>
      <c r="Q485" s="25"/>
      <c r="R485" s="25"/>
      <c r="S485" s="106"/>
      <c r="T485" s="23"/>
      <c r="U485" s="153"/>
      <c r="V485" s="153"/>
      <c r="W485" s="153"/>
      <c r="X485" s="153"/>
      <c r="Y485" s="153"/>
      <c r="Z485" s="153"/>
    </row>
    <row r="486" spans="1:26">
      <c r="A486" s="774"/>
      <c r="B486" s="158" t="s">
        <v>3413</v>
      </c>
      <c r="C486" s="158" t="s">
        <v>3146</v>
      </c>
      <c r="D486" s="158" t="s">
        <v>2361</v>
      </c>
      <c r="E486" s="516" t="s">
        <v>1732</v>
      </c>
      <c r="F486" s="158" t="s">
        <v>1849</v>
      </c>
      <c r="G486" s="158" t="s">
        <v>2362</v>
      </c>
      <c r="H486" s="158" t="s">
        <v>2363</v>
      </c>
      <c r="I486" s="513" t="s">
        <v>1736</v>
      </c>
      <c r="J486" s="317" t="s">
        <v>1737</v>
      </c>
      <c r="K486" s="317" t="s">
        <v>1737</v>
      </c>
      <c r="L486" s="106"/>
      <c r="M486" s="106"/>
      <c r="N486" s="164"/>
      <c r="O486" s="106"/>
      <c r="P486" s="25"/>
      <c r="Q486" s="25"/>
      <c r="R486" s="25"/>
      <c r="S486" s="106"/>
      <c r="T486" s="23"/>
      <c r="U486" s="153"/>
      <c r="V486" s="153"/>
      <c r="W486" s="153"/>
      <c r="X486" s="153"/>
      <c r="Y486" s="153"/>
      <c r="Z486" s="153"/>
    </row>
    <row r="487" spans="1:26">
      <c r="A487" s="774"/>
      <c r="B487" s="158" t="s">
        <v>3414</v>
      </c>
      <c r="C487" s="158" t="s">
        <v>3146</v>
      </c>
      <c r="D487" s="158" t="s">
        <v>2365</v>
      </c>
      <c r="E487" s="516" t="s">
        <v>1732</v>
      </c>
      <c r="F487" s="158" t="s">
        <v>1849</v>
      </c>
      <c r="G487" s="158" t="s">
        <v>2366</v>
      </c>
      <c r="H487" s="158" t="s">
        <v>2367</v>
      </c>
      <c r="I487" s="513" t="s">
        <v>1736</v>
      </c>
      <c r="J487" s="317" t="s">
        <v>1737</v>
      </c>
      <c r="K487" s="317" t="s">
        <v>1737</v>
      </c>
      <c r="L487" s="106"/>
      <c r="M487" s="106"/>
      <c r="N487" s="164"/>
      <c r="O487" s="106"/>
      <c r="P487" s="25"/>
      <c r="Q487" s="25"/>
      <c r="R487" s="25"/>
      <c r="S487" s="106"/>
      <c r="T487" s="23"/>
      <c r="U487" s="153"/>
      <c r="V487" s="153"/>
      <c r="W487" s="153"/>
      <c r="X487" s="153"/>
      <c r="Y487" s="153"/>
      <c r="Z487" s="153"/>
    </row>
    <row r="488" spans="1:26">
      <c r="A488" s="774"/>
      <c r="B488" s="158" t="s">
        <v>3415</v>
      </c>
      <c r="C488" s="158" t="s">
        <v>3146</v>
      </c>
      <c r="D488" s="158" t="s">
        <v>2369</v>
      </c>
      <c r="E488" s="516" t="s">
        <v>1732</v>
      </c>
      <c r="F488" s="158" t="s">
        <v>1849</v>
      </c>
      <c r="G488" s="158" t="s">
        <v>2370</v>
      </c>
      <c r="H488" s="158" t="s">
        <v>2371</v>
      </c>
      <c r="I488" s="513" t="s">
        <v>1736</v>
      </c>
      <c r="J488" s="317" t="s">
        <v>1737</v>
      </c>
      <c r="K488" s="317" t="s">
        <v>1737</v>
      </c>
      <c r="L488" s="106"/>
      <c r="M488" s="106"/>
      <c r="N488" s="164"/>
      <c r="O488" s="106"/>
      <c r="P488" s="25"/>
      <c r="Q488" s="25"/>
      <c r="R488" s="25"/>
      <c r="S488" s="106"/>
      <c r="T488" s="23"/>
      <c r="U488" s="153"/>
      <c r="V488" s="153"/>
      <c r="W488" s="153"/>
      <c r="X488" s="153"/>
      <c r="Y488" s="153"/>
      <c r="Z488" s="153"/>
    </row>
    <row r="489" spans="1:26">
      <c r="A489" s="774"/>
      <c r="B489" s="158" t="s">
        <v>3416</v>
      </c>
      <c r="C489" s="158" t="s">
        <v>3146</v>
      </c>
      <c r="D489" s="187" t="s">
        <v>2373</v>
      </c>
      <c r="E489" s="516" t="s">
        <v>1732</v>
      </c>
      <c r="F489" s="158" t="s">
        <v>1849</v>
      </c>
      <c r="G489" s="158" t="s">
        <v>2374</v>
      </c>
      <c r="H489" s="158" t="s">
        <v>2375</v>
      </c>
      <c r="I489" s="513" t="s">
        <v>1736</v>
      </c>
      <c r="J489" s="317" t="s">
        <v>1737</v>
      </c>
      <c r="K489" s="317" t="s">
        <v>1737</v>
      </c>
      <c r="L489" s="106"/>
      <c r="M489" s="106"/>
      <c r="N489" s="164"/>
      <c r="O489" s="106"/>
      <c r="P489" s="25"/>
      <c r="Q489" s="25"/>
      <c r="R489" s="25"/>
      <c r="S489" s="106"/>
      <c r="T489" s="23"/>
      <c r="U489" s="153"/>
      <c r="V489" s="153"/>
      <c r="W489" s="153"/>
      <c r="X489" s="153"/>
      <c r="Y489" s="153"/>
      <c r="Z489" s="153"/>
    </row>
    <row r="490" spans="1:26">
      <c r="A490" s="774"/>
      <c r="B490" s="158" t="s">
        <v>3417</v>
      </c>
      <c r="C490" s="158" t="s">
        <v>3146</v>
      </c>
      <c r="D490" s="158" t="s">
        <v>2377</v>
      </c>
      <c r="E490" s="516" t="s">
        <v>1732</v>
      </c>
      <c r="F490" s="158" t="s">
        <v>1849</v>
      </c>
      <c r="G490" s="158" t="s">
        <v>2378</v>
      </c>
      <c r="H490" s="158" t="s">
        <v>2379</v>
      </c>
      <c r="I490" s="513" t="s">
        <v>1736</v>
      </c>
      <c r="J490" s="317" t="s">
        <v>1737</v>
      </c>
      <c r="K490" s="317" t="s">
        <v>1737</v>
      </c>
      <c r="L490" s="106"/>
      <c r="M490" s="106"/>
      <c r="N490" s="164"/>
      <c r="O490" s="106"/>
      <c r="P490" s="25"/>
      <c r="Q490" s="25"/>
      <c r="R490" s="25"/>
      <c r="S490" s="106"/>
      <c r="T490" s="23"/>
      <c r="U490" s="153"/>
      <c r="V490" s="153"/>
      <c r="W490" s="153"/>
      <c r="X490" s="153"/>
      <c r="Y490" s="153"/>
      <c r="Z490" s="153"/>
    </row>
    <row r="491" spans="1:26">
      <c r="A491" s="774"/>
      <c r="B491" s="158" t="s">
        <v>3418</v>
      </c>
      <c r="C491" s="158" t="s">
        <v>3146</v>
      </c>
      <c r="D491" s="158" t="s">
        <v>2381</v>
      </c>
      <c r="E491" s="516" t="s">
        <v>1732</v>
      </c>
      <c r="F491" s="158" t="s">
        <v>1849</v>
      </c>
      <c r="G491" s="158" t="s">
        <v>2382</v>
      </c>
      <c r="H491" s="158" t="s">
        <v>2383</v>
      </c>
      <c r="I491" s="513" t="s">
        <v>1736</v>
      </c>
      <c r="J491" s="317" t="s">
        <v>1737</v>
      </c>
      <c r="K491" s="317" t="s">
        <v>1737</v>
      </c>
      <c r="L491" s="106"/>
      <c r="M491" s="106"/>
      <c r="N491" s="164"/>
      <c r="O491" s="106"/>
      <c r="P491" s="25"/>
      <c r="Q491" s="25"/>
      <c r="R491" s="25"/>
      <c r="S491" s="106"/>
      <c r="T491" s="23"/>
      <c r="U491" s="153"/>
      <c r="V491" s="153"/>
      <c r="W491" s="153"/>
      <c r="X491" s="153"/>
      <c r="Y491" s="153"/>
      <c r="Z491" s="153"/>
    </row>
    <row r="492" spans="1:26">
      <c r="A492" s="774"/>
      <c r="B492" s="158" t="s">
        <v>3419</v>
      </c>
      <c r="C492" s="158" t="s">
        <v>3146</v>
      </c>
      <c r="D492" s="158" t="s">
        <v>2385</v>
      </c>
      <c r="E492" s="516" t="s">
        <v>1732</v>
      </c>
      <c r="F492" s="158" t="s">
        <v>1849</v>
      </c>
      <c r="G492" s="158" t="s">
        <v>2386</v>
      </c>
      <c r="H492" s="158" t="s">
        <v>2387</v>
      </c>
      <c r="I492" s="513" t="s">
        <v>1736</v>
      </c>
      <c r="J492" s="317" t="s">
        <v>1737</v>
      </c>
      <c r="K492" s="317" t="s">
        <v>1737</v>
      </c>
      <c r="L492" s="106"/>
      <c r="M492" s="106"/>
      <c r="N492" s="164"/>
      <c r="O492" s="106"/>
      <c r="P492" s="25"/>
      <c r="Q492" s="25"/>
      <c r="R492" s="25"/>
      <c r="S492" s="106"/>
      <c r="T492" s="23"/>
      <c r="U492" s="153"/>
      <c r="V492" s="153"/>
      <c r="W492" s="153"/>
      <c r="X492" s="153"/>
      <c r="Y492" s="153"/>
      <c r="Z492" s="153"/>
    </row>
    <row r="493" spans="1:26">
      <c r="A493" s="774"/>
      <c r="B493" s="158" t="s">
        <v>3420</v>
      </c>
      <c r="C493" s="158" t="s">
        <v>3146</v>
      </c>
      <c r="D493" s="158" t="s">
        <v>2389</v>
      </c>
      <c r="E493" s="516" t="s">
        <v>1732</v>
      </c>
      <c r="F493" s="158" t="s">
        <v>1849</v>
      </c>
      <c r="G493" s="158" t="s">
        <v>2390</v>
      </c>
      <c r="H493" s="158" t="s">
        <v>2391</v>
      </c>
      <c r="I493" s="513" t="s">
        <v>1736</v>
      </c>
      <c r="J493" s="317" t="s">
        <v>1737</v>
      </c>
      <c r="K493" s="317" t="s">
        <v>1737</v>
      </c>
      <c r="L493" s="106"/>
      <c r="M493" s="106"/>
      <c r="N493" s="164"/>
      <c r="O493" s="106"/>
      <c r="P493" s="25"/>
      <c r="Q493" s="25"/>
      <c r="R493" s="25"/>
      <c r="S493" s="106"/>
      <c r="T493" s="23"/>
      <c r="U493" s="153"/>
      <c r="V493" s="153"/>
      <c r="W493" s="153"/>
      <c r="X493" s="153"/>
      <c r="Y493" s="153"/>
      <c r="Z493" s="153"/>
    </row>
    <row r="494" spans="1:26">
      <c r="A494" s="774"/>
      <c r="B494" s="158" t="s">
        <v>3421</v>
      </c>
      <c r="C494" s="158" t="s">
        <v>3146</v>
      </c>
      <c r="D494" s="158" t="s">
        <v>2393</v>
      </c>
      <c r="E494" s="516" t="s">
        <v>1732</v>
      </c>
      <c r="F494" s="158" t="s">
        <v>1849</v>
      </c>
      <c r="G494" s="158" t="s">
        <v>2394</v>
      </c>
      <c r="H494" s="158" t="s">
        <v>2395</v>
      </c>
      <c r="I494" s="513" t="s">
        <v>1736</v>
      </c>
      <c r="J494" s="317" t="s">
        <v>1737</v>
      </c>
      <c r="K494" s="317" t="s">
        <v>1737</v>
      </c>
      <c r="L494" s="106"/>
      <c r="M494" s="106"/>
      <c r="N494" s="164"/>
      <c r="O494" s="106"/>
      <c r="P494" s="25"/>
      <c r="Q494" s="25"/>
      <c r="R494" s="25"/>
      <c r="S494" s="106"/>
      <c r="T494" s="23"/>
      <c r="U494" s="153"/>
      <c r="V494" s="153"/>
      <c r="W494" s="153"/>
      <c r="X494" s="153"/>
      <c r="Y494" s="153"/>
      <c r="Z494" s="153"/>
    </row>
    <row r="495" spans="1:26">
      <c r="A495" s="774"/>
      <c r="B495" s="158" t="s">
        <v>3422</v>
      </c>
      <c r="C495" s="158" t="s">
        <v>3146</v>
      </c>
      <c r="D495" s="158" t="s">
        <v>2397</v>
      </c>
      <c r="E495" s="516" t="s">
        <v>1732</v>
      </c>
      <c r="F495" s="158" t="s">
        <v>1849</v>
      </c>
      <c r="G495" s="158" t="s">
        <v>2398</v>
      </c>
      <c r="H495" s="158" t="s">
        <v>2399</v>
      </c>
      <c r="I495" s="513" t="s">
        <v>1736</v>
      </c>
      <c r="J495" s="317" t="s">
        <v>1737</v>
      </c>
      <c r="K495" s="317" t="s">
        <v>1737</v>
      </c>
      <c r="L495" s="106"/>
      <c r="M495" s="106"/>
      <c r="N495" s="164"/>
      <c r="O495" s="106"/>
      <c r="P495" s="25"/>
      <c r="Q495" s="25"/>
      <c r="R495" s="25"/>
      <c r="S495" s="106"/>
      <c r="T495" s="23"/>
      <c r="U495" s="153"/>
      <c r="V495" s="153"/>
      <c r="W495" s="153"/>
      <c r="X495" s="153"/>
      <c r="Y495" s="153"/>
      <c r="Z495" s="153"/>
    </row>
    <row r="496" spans="1:26">
      <c r="A496" s="774"/>
      <c r="B496" s="158" t="s">
        <v>3423</v>
      </c>
      <c r="C496" s="158" t="s">
        <v>3146</v>
      </c>
      <c r="D496" s="158" t="s">
        <v>2401</v>
      </c>
      <c r="E496" s="516" t="s">
        <v>1732</v>
      </c>
      <c r="F496" s="158" t="s">
        <v>1849</v>
      </c>
      <c r="G496" s="158" t="s">
        <v>2402</v>
      </c>
      <c r="H496" s="158" t="s">
        <v>2403</v>
      </c>
      <c r="I496" s="513" t="s">
        <v>1736</v>
      </c>
      <c r="J496" s="317" t="s">
        <v>1737</v>
      </c>
      <c r="K496" s="317" t="s">
        <v>1737</v>
      </c>
      <c r="L496" s="106"/>
      <c r="M496" s="106"/>
      <c r="N496" s="164"/>
      <c r="O496" s="106"/>
      <c r="P496" s="25"/>
      <c r="Q496" s="25"/>
      <c r="R496" s="25"/>
      <c r="S496" s="106"/>
      <c r="T496" s="23"/>
      <c r="U496" s="153"/>
      <c r="V496" s="153"/>
      <c r="W496" s="153"/>
      <c r="X496" s="153"/>
      <c r="Y496" s="153"/>
      <c r="Z496" s="153"/>
    </row>
    <row r="497" spans="1:26">
      <c r="A497" s="774"/>
      <c r="B497" s="158" t="s">
        <v>3424</v>
      </c>
      <c r="C497" s="158" t="s">
        <v>3146</v>
      </c>
      <c r="D497" s="158" t="s">
        <v>2405</v>
      </c>
      <c r="E497" s="516" t="s">
        <v>1732</v>
      </c>
      <c r="F497" s="158" t="s">
        <v>1849</v>
      </c>
      <c r="G497" s="158" t="s">
        <v>2406</v>
      </c>
      <c r="H497" s="158" t="s">
        <v>2407</v>
      </c>
      <c r="I497" s="513" t="s">
        <v>1736</v>
      </c>
      <c r="J497" s="317" t="s">
        <v>1737</v>
      </c>
      <c r="K497" s="317" t="s">
        <v>1737</v>
      </c>
      <c r="L497" s="106"/>
      <c r="M497" s="106"/>
      <c r="N497" s="164"/>
      <c r="O497" s="106"/>
      <c r="P497" s="25"/>
      <c r="Q497" s="25"/>
      <c r="R497" s="25"/>
      <c r="S497" s="106"/>
      <c r="T497" s="23"/>
      <c r="V497" s="153"/>
      <c r="W497" s="153"/>
      <c r="X497" s="153"/>
      <c r="Y497" s="153"/>
      <c r="Z497" s="153"/>
    </row>
    <row r="498" spans="1:26">
      <c r="A498" s="774"/>
      <c r="B498" s="158" t="s">
        <v>3425</v>
      </c>
      <c r="C498" s="158" t="s">
        <v>3146</v>
      </c>
      <c r="D498" s="158" t="s">
        <v>2409</v>
      </c>
      <c r="E498" s="516" t="s">
        <v>1732</v>
      </c>
      <c r="F498" s="158" t="s">
        <v>1849</v>
      </c>
      <c r="G498" s="158" t="s">
        <v>2410</v>
      </c>
      <c r="H498" s="158" t="s">
        <v>2411</v>
      </c>
      <c r="I498" s="513" t="s">
        <v>1736</v>
      </c>
      <c r="J498" s="317" t="s">
        <v>1737</v>
      </c>
      <c r="K498" s="317" t="s">
        <v>1737</v>
      </c>
      <c r="L498" s="106"/>
      <c r="M498" s="106"/>
      <c r="N498" s="164"/>
      <c r="O498" s="106"/>
      <c r="P498" s="25"/>
      <c r="Q498" s="25"/>
      <c r="R498" s="25"/>
      <c r="S498" s="106"/>
      <c r="T498" s="23"/>
      <c r="U498" s="153"/>
      <c r="V498" s="153"/>
      <c r="W498" s="153"/>
      <c r="X498" s="153"/>
      <c r="Y498" s="153"/>
      <c r="Z498" s="153"/>
    </row>
    <row r="499" spans="1:26">
      <c r="A499" s="774"/>
      <c r="B499" s="158" t="s">
        <v>3426</v>
      </c>
      <c r="C499" s="158" t="s">
        <v>3146</v>
      </c>
      <c r="D499" s="158" t="s">
        <v>2413</v>
      </c>
      <c r="E499" s="516" t="s">
        <v>1732</v>
      </c>
      <c r="F499" s="158" t="s">
        <v>1849</v>
      </c>
      <c r="G499" s="158" t="s">
        <v>2414</v>
      </c>
      <c r="H499" s="158" t="s">
        <v>2415</v>
      </c>
      <c r="I499" s="513" t="s">
        <v>1736</v>
      </c>
      <c r="J499" s="317" t="s">
        <v>1737</v>
      </c>
      <c r="K499" s="317" t="s">
        <v>1737</v>
      </c>
      <c r="L499" s="106"/>
      <c r="M499" s="106"/>
      <c r="N499" s="164"/>
      <c r="O499" s="106"/>
      <c r="P499" s="25"/>
      <c r="Q499" s="25"/>
      <c r="R499" s="25"/>
      <c r="S499" s="106"/>
      <c r="T499" s="23"/>
      <c r="U499" s="153"/>
      <c r="V499" s="153"/>
      <c r="W499" s="153"/>
      <c r="X499" s="153"/>
      <c r="Y499" s="153"/>
      <c r="Z499" s="153"/>
    </row>
    <row r="500" spans="1:26">
      <c r="A500" s="774"/>
      <c r="B500" s="158" t="s">
        <v>3427</v>
      </c>
      <c r="C500" s="158" t="s">
        <v>3146</v>
      </c>
      <c r="D500" s="158" t="s">
        <v>2417</v>
      </c>
      <c r="E500" s="516" t="s">
        <v>1732</v>
      </c>
      <c r="F500" s="158" t="s">
        <v>1849</v>
      </c>
      <c r="G500" s="158" t="s">
        <v>2418</v>
      </c>
      <c r="H500" s="158" t="s">
        <v>2419</v>
      </c>
      <c r="I500" s="513" t="s">
        <v>1736</v>
      </c>
      <c r="J500" s="317" t="s">
        <v>1737</v>
      </c>
      <c r="K500" s="317" t="s">
        <v>1737</v>
      </c>
      <c r="L500" s="106"/>
      <c r="M500" s="106"/>
      <c r="N500" s="164"/>
      <c r="O500" s="106"/>
      <c r="P500" s="25"/>
      <c r="Q500" s="25"/>
      <c r="R500" s="25"/>
      <c r="S500" s="106"/>
      <c r="T500" s="23"/>
      <c r="U500" s="153"/>
      <c r="V500" s="153"/>
      <c r="W500" s="153"/>
      <c r="X500" s="153"/>
      <c r="Y500" s="153"/>
      <c r="Z500" s="153"/>
    </row>
    <row r="501" spans="1:26">
      <c r="A501" s="774"/>
      <c r="B501" s="158" t="s">
        <v>3428</v>
      </c>
      <c r="C501" s="158" t="s">
        <v>3146</v>
      </c>
      <c r="D501" s="158" t="s">
        <v>2421</v>
      </c>
      <c r="E501" s="516" t="s">
        <v>1732</v>
      </c>
      <c r="F501" s="158" t="s">
        <v>1849</v>
      </c>
      <c r="G501" s="158" t="s">
        <v>2422</v>
      </c>
      <c r="H501" s="158" t="s">
        <v>2423</v>
      </c>
      <c r="I501" s="513" t="s">
        <v>1736</v>
      </c>
      <c r="J501" s="317" t="s">
        <v>1737</v>
      </c>
      <c r="K501" s="317" t="s">
        <v>1737</v>
      </c>
      <c r="L501" s="106"/>
      <c r="M501" s="106"/>
      <c r="N501" s="164"/>
      <c r="O501" s="106"/>
      <c r="P501" s="25"/>
      <c r="Q501" s="25"/>
      <c r="R501" s="25"/>
      <c r="S501" s="106"/>
      <c r="T501" s="23"/>
      <c r="U501" s="153"/>
      <c r="V501" s="153"/>
      <c r="W501" s="153"/>
      <c r="X501" s="153"/>
      <c r="Y501" s="153"/>
      <c r="Z501" s="153"/>
    </row>
    <row r="502" spans="1:26">
      <c r="A502" s="774"/>
      <c r="B502" s="158" t="s">
        <v>3429</v>
      </c>
      <c r="C502" s="158" t="s">
        <v>3146</v>
      </c>
      <c r="D502" s="158" t="s">
        <v>2425</v>
      </c>
      <c r="E502" s="516" t="s">
        <v>1732</v>
      </c>
      <c r="F502" s="158" t="s">
        <v>1849</v>
      </c>
      <c r="G502" s="158" t="s">
        <v>2426</v>
      </c>
      <c r="H502" s="158" t="s">
        <v>2427</v>
      </c>
      <c r="I502" s="513" t="s">
        <v>1736</v>
      </c>
      <c r="J502" s="317" t="s">
        <v>1737</v>
      </c>
      <c r="K502" s="317" t="s">
        <v>1737</v>
      </c>
      <c r="L502" s="106"/>
      <c r="M502" s="106"/>
      <c r="N502" s="164"/>
      <c r="O502" s="106"/>
      <c r="P502" s="25"/>
      <c r="Q502" s="25"/>
      <c r="R502" s="25"/>
      <c r="S502" s="106"/>
      <c r="T502" s="23"/>
      <c r="U502" s="153"/>
      <c r="V502" s="153"/>
      <c r="W502" s="153"/>
      <c r="X502" s="153"/>
      <c r="Y502" s="153"/>
      <c r="Z502" s="153"/>
    </row>
    <row r="503" spans="1:26">
      <c r="A503" s="774"/>
      <c r="B503" s="158" t="s">
        <v>3430</v>
      </c>
      <c r="C503" s="158" t="s">
        <v>3146</v>
      </c>
      <c r="D503" s="158" t="s">
        <v>2429</v>
      </c>
      <c r="E503" s="516" t="s">
        <v>1732</v>
      </c>
      <c r="F503" s="158" t="s">
        <v>1849</v>
      </c>
      <c r="G503" s="158" t="s">
        <v>2430</v>
      </c>
      <c r="H503" s="158" t="s">
        <v>2431</v>
      </c>
      <c r="I503" s="513" t="s">
        <v>1736</v>
      </c>
      <c r="J503" s="317" t="s">
        <v>1737</v>
      </c>
      <c r="K503" s="317" t="s">
        <v>1737</v>
      </c>
      <c r="L503" s="106"/>
      <c r="M503" s="106"/>
      <c r="N503" s="164"/>
      <c r="O503" s="106"/>
      <c r="P503" s="25"/>
      <c r="Q503" s="25"/>
      <c r="R503" s="25"/>
      <c r="S503" s="106"/>
      <c r="T503" s="23"/>
      <c r="U503" s="153"/>
      <c r="V503" s="153"/>
      <c r="W503" s="153"/>
      <c r="X503" s="153"/>
      <c r="Y503" s="153"/>
      <c r="Z503" s="153"/>
    </row>
    <row r="504" spans="1:26">
      <c r="A504" s="774"/>
      <c r="B504" s="158" t="s">
        <v>3431</v>
      </c>
      <c r="C504" s="158" t="s">
        <v>3146</v>
      </c>
      <c r="D504" s="158" t="s">
        <v>2433</v>
      </c>
      <c r="E504" s="516" t="s">
        <v>1732</v>
      </c>
      <c r="F504" s="158" t="s">
        <v>1849</v>
      </c>
      <c r="G504" s="158" t="s">
        <v>2434</v>
      </c>
      <c r="H504" s="158" t="s">
        <v>2435</v>
      </c>
      <c r="I504" s="513" t="s">
        <v>1736</v>
      </c>
      <c r="J504" s="317" t="s">
        <v>1737</v>
      </c>
      <c r="K504" s="317" t="s">
        <v>1737</v>
      </c>
      <c r="L504" s="106"/>
      <c r="M504" s="106"/>
      <c r="N504" s="164"/>
      <c r="O504" s="106"/>
      <c r="P504" s="25"/>
      <c r="Q504" s="25"/>
      <c r="R504" s="25"/>
      <c r="S504" s="106"/>
      <c r="T504" s="23"/>
      <c r="U504" s="153"/>
      <c r="V504" s="153"/>
      <c r="W504" s="153"/>
      <c r="X504" s="153"/>
      <c r="Y504" s="153"/>
      <c r="Z504" s="153"/>
    </row>
    <row r="505" spans="1:26">
      <c r="A505" s="774"/>
      <c r="B505" s="158" t="s">
        <v>3432</v>
      </c>
      <c r="C505" s="158" t="s">
        <v>3146</v>
      </c>
      <c r="D505" s="158" t="s">
        <v>2437</v>
      </c>
      <c r="E505" s="516" t="s">
        <v>1732</v>
      </c>
      <c r="F505" s="158" t="s">
        <v>1849</v>
      </c>
      <c r="G505" s="158" t="s">
        <v>2438</v>
      </c>
      <c r="H505" s="158" t="s">
        <v>2439</v>
      </c>
      <c r="I505" s="513" t="s">
        <v>1736</v>
      </c>
      <c r="J505" s="317" t="s">
        <v>1737</v>
      </c>
      <c r="K505" s="317" t="s">
        <v>1737</v>
      </c>
      <c r="L505" s="106"/>
      <c r="M505" s="106"/>
      <c r="N505" s="164"/>
      <c r="O505" s="106"/>
      <c r="P505" s="25"/>
      <c r="Q505" s="25"/>
      <c r="R505" s="25"/>
      <c r="S505" s="106"/>
      <c r="T505" s="23"/>
      <c r="U505" s="153"/>
      <c r="V505" s="153"/>
      <c r="W505" s="153"/>
      <c r="X505" s="153"/>
      <c r="Y505" s="153"/>
      <c r="Z505" s="153"/>
    </row>
    <row r="506" spans="1:26">
      <c r="A506" s="774"/>
      <c r="B506" s="158" t="s">
        <v>3433</v>
      </c>
      <c r="C506" s="158" t="s">
        <v>3146</v>
      </c>
      <c r="D506" s="158" t="s">
        <v>2441</v>
      </c>
      <c r="E506" s="516" t="s">
        <v>1732</v>
      </c>
      <c r="F506" s="158" t="s">
        <v>1849</v>
      </c>
      <c r="G506" s="158" t="s">
        <v>2442</v>
      </c>
      <c r="H506" s="158" t="s">
        <v>2443</v>
      </c>
      <c r="I506" s="513" t="s">
        <v>1736</v>
      </c>
      <c r="J506" s="317" t="s">
        <v>1737</v>
      </c>
      <c r="K506" s="317" t="s">
        <v>1737</v>
      </c>
      <c r="L506" s="106"/>
      <c r="M506" s="106"/>
      <c r="N506" s="164"/>
      <c r="O506" s="106"/>
      <c r="P506" s="25"/>
      <c r="Q506" s="25"/>
      <c r="R506" s="25"/>
      <c r="S506" s="106"/>
      <c r="T506" s="23"/>
      <c r="U506" s="153"/>
      <c r="V506" s="153"/>
      <c r="W506" s="153"/>
      <c r="X506" s="153"/>
      <c r="Y506" s="153"/>
      <c r="Z506" s="153"/>
    </row>
    <row r="507" spans="1:26">
      <c r="A507" s="774"/>
      <c r="B507" s="158" t="s">
        <v>3434</v>
      </c>
      <c r="C507" s="158" t="s">
        <v>3146</v>
      </c>
      <c r="D507" s="158" t="s">
        <v>2445</v>
      </c>
      <c r="E507" s="516" t="s">
        <v>1732</v>
      </c>
      <c r="F507" s="158" t="s">
        <v>1849</v>
      </c>
      <c r="G507" s="158" t="s">
        <v>2446</v>
      </c>
      <c r="H507" s="158" t="s">
        <v>2447</v>
      </c>
      <c r="I507" s="513" t="s">
        <v>1736</v>
      </c>
      <c r="J507" s="317" t="s">
        <v>1737</v>
      </c>
      <c r="K507" s="317" t="s">
        <v>1737</v>
      </c>
      <c r="L507" s="106"/>
      <c r="M507" s="106"/>
      <c r="N507" s="164"/>
      <c r="O507" s="106"/>
      <c r="P507" s="25"/>
      <c r="Q507" s="25"/>
      <c r="R507" s="25"/>
      <c r="S507" s="106"/>
      <c r="T507" s="23"/>
      <c r="U507" s="153"/>
      <c r="V507" s="153"/>
      <c r="W507" s="153"/>
      <c r="X507" s="153"/>
      <c r="Y507" s="153"/>
      <c r="Z507" s="153"/>
    </row>
    <row r="508" spans="1:26">
      <c r="A508" s="774"/>
      <c r="B508" s="158" t="s">
        <v>3435</v>
      </c>
      <c r="C508" s="158" t="s">
        <v>3146</v>
      </c>
      <c r="D508" s="158" t="s">
        <v>2449</v>
      </c>
      <c r="E508" s="516" t="s">
        <v>1732</v>
      </c>
      <c r="F508" s="158" t="s">
        <v>1849</v>
      </c>
      <c r="G508" s="158" t="s">
        <v>2450</v>
      </c>
      <c r="H508" s="158" t="s">
        <v>2451</v>
      </c>
      <c r="I508" s="513" t="s">
        <v>1736</v>
      </c>
      <c r="J508" s="317" t="s">
        <v>1737</v>
      </c>
      <c r="K508" s="317" t="s">
        <v>1737</v>
      </c>
      <c r="L508" s="106"/>
      <c r="M508" s="106"/>
      <c r="N508" s="164"/>
      <c r="O508" s="106"/>
      <c r="P508" s="25"/>
      <c r="Q508" s="25"/>
      <c r="R508" s="25"/>
      <c r="S508" s="106"/>
      <c r="T508" s="23"/>
      <c r="U508" s="153"/>
      <c r="V508" s="153"/>
      <c r="W508" s="153"/>
      <c r="X508" s="153"/>
      <c r="Y508" s="153"/>
      <c r="Z508" s="153"/>
    </row>
    <row r="509" spans="1:26">
      <c r="A509" s="774"/>
      <c r="B509" s="158" t="s">
        <v>3436</v>
      </c>
      <c r="C509" s="158" t="s">
        <v>3146</v>
      </c>
      <c r="D509" s="158" t="s">
        <v>2453</v>
      </c>
      <c r="E509" s="516" t="s">
        <v>1732</v>
      </c>
      <c r="F509" s="158" t="s">
        <v>1849</v>
      </c>
      <c r="G509" s="158" t="s">
        <v>2454</v>
      </c>
      <c r="H509" s="158" t="s">
        <v>2455</v>
      </c>
      <c r="I509" s="513" t="s">
        <v>1736</v>
      </c>
      <c r="J509" s="317" t="s">
        <v>1737</v>
      </c>
      <c r="K509" s="317" t="s">
        <v>1737</v>
      </c>
      <c r="L509" s="106"/>
      <c r="M509" s="106"/>
      <c r="N509" s="164"/>
      <c r="O509" s="106"/>
      <c r="P509" s="25"/>
      <c r="Q509" s="25"/>
      <c r="R509" s="25"/>
      <c r="S509" s="106"/>
      <c r="T509" s="23"/>
      <c r="U509" s="153"/>
      <c r="V509" s="153"/>
      <c r="W509" s="153"/>
      <c r="X509" s="153"/>
      <c r="Y509" s="153"/>
      <c r="Z509" s="153"/>
    </row>
    <row r="510" spans="1:26">
      <c r="A510" s="774"/>
      <c r="B510" s="158" t="s">
        <v>3437</v>
      </c>
      <c r="C510" s="158" t="s">
        <v>3146</v>
      </c>
      <c r="D510" s="158" t="s">
        <v>2457</v>
      </c>
      <c r="E510" s="516" t="s">
        <v>1732</v>
      </c>
      <c r="F510" s="158" t="s">
        <v>1849</v>
      </c>
      <c r="G510" s="158" t="s">
        <v>2458</v>
      </c>
      <c r="H510" s="158" t="s">
        <v>2459</v>
      </c>
      <c r="I510" s="513" t="s">
        <v>1736</v>
      </c>
      <c r="J510" s="317" t="s">
        <v>1737</v>
      </c>
      <c r="K510" s="317" t="s">
        <v>1737</v>
      </c>
      <c r="L510" s="106"/>
      <c r="M510" s="106"/>
      <c r="N510" s="164"/>
      <c r="O510" s="106"/>
      <c r="P510" s="25"/>
      <c r="Q510" s="25"/>
      <c r="R510" s="25"/>
      <c r="S510" s="106"/>
      <c r="T510" s="23"/>
      <c r="U510" s="153"/>
      <c r="V510" s="153"/>
      <c r="W510" s="153"/>
      <c r="X510" s="153"/>
      <c r="Y510" s="153"/>
      <c r="Z510" s="153"/>
    </row>
    <row r="511" spans="1:26">
      <c r="A511" s="774"/>
      <c r="B511" s="158" t="s">
        <v>3438</v>
      </c>
      <c r="C511" s="158" t="s">
        <v>3146</v>
      </c>
      <c r="D511" s="158" t="s">
        <v>2461</v>
      </c>
      <c r="E511" s="516" t="s">
        <v>1732</v>
      </c>
      <c r="F511" s="158" t="s">
        <v>1849</v>
      </c>
      <c r="G511" s="158" t="s">
        <v>2462</v>
      </c>
      <c r="H511" s="158" t="s">
        <v>2463</v>
      </c>
      <c r="I511" s="513" t="s">
        <v>1736</v>
      </c>
      <c r="J511" s="317" t="s">
        <v>1737</v>
      </c>
      <c r="K511" s="317" t="s">
        <v>1737</v>
      </c>
      <c r="L511" s="106"/>
      <c r="M511" s="106"/>
      <c r="N511" s="164"/>
      <c r="O511" s="106"/>
      <c r="P511" s="25"/>
      <c r="Q511" s="25"/>
      <c r="R511" s="25"/>
      <c r="S511" s="106"/>
      <c r="T511" s="23"/>
      <c r="U511" s="153"/>
      <c r="V511" s="153"/>
      <c r="W511" s="153"/>
      <c r="X511" s="153"/>
      <c r="Y511" s="153"/>
      <c r="Z511" s="153"/>
    </row>
    <row r="512" spans="1:26">
      <c r="A512" s="774"/>
      <c r="B512" s="158" t="s">
        <v>3439</v>
      </c>
      <c r="C512" s="158" t="s">
        <v>3146</v>
      </c>
      <c r="D512" s="158" t="s">
        <v>2465</v>
      </c>
      <c r="E512" s="516" t="s">
        <v>1732</v>
      </c>
      <c r="F512" s="158" t="s">
        <v>1849</v>
      </c>
      <c r="G512" s="158" t="s">
        <v>2466</v>
      </c>
      <c r="H512" s="158" t="s">
        <v>2467</v>
      </c>
      <c r="I512" s="513" t="s">
        <v>1736</v>
      </c>
      <c r="J512" s="317" t="s">
        <v>1737</v>
      </c>
      <c r="K512" s="317" t="s">
        <v>1737</v>
      </c>
      <c r="L512" s="106"/>
      <c r="M512" s="106"/>
      <c r="N512" s="164"/>
      <c r="O512" s="106"/>
      <c r="P512" s="25"/>
      <c r="Q512" s="25"/>
      <c r="R512" s="25"/>
      <c r="S512" s="106"/>
      <c r="T512" s="23"/>
      <c r="U512" s="153"/>
      <c r="V512" s="153"/>
      <c r="W512" s="153"/>
      <c r="X512" s="153"/>
      <c r="Y512" s="153"/>
      <c r="Z512" s="153"/>
    </row>
    <row r="513" spans="1:26">
      <c r="A513" s="774"/>
      <c r="B513" s="158" t="s">
        <v>3440</v>
      </c>
      <c r="C513" s="158" t="s">
        <v>3146</v>
      </c>
      <c r="D513" s="158" t="s">
        <v>2469</v>
      </c>
      <c r="E513" s="516" t="s">
        <v>1732</v>
      </c>
      <c r="F513" s="158" t="s">
        <v>1849</v>
      </c>
      <c r="G513" s="158" t="s">
        <v>2470</v>
      </c>
      <c r="H513" s="158" t="s">
        <v>2471</v>
      </c>
      <c r="I513" s="513" t="s">
        <v>1736</v>
      </c>
      <c r="J513" s="317" t="s">
        <v>1737</v>
      </c>
      <c r="K513" s="317" t="s">
        <v>1737</v>
      </c>
      <c r="L513" s="106"/>
      <c r="M513" s="106"/>
      <c r="N513" s="164"/>
      <c r="O513" s="106"/>
      <c r="P513" s="25"/>
      <c r="Q513" s="25"/>
      <c r="R513" s="25"/>
      <c r="S513" s="106"/>
      <c r="T513" s="23"/>
      <c r="U513" s="153"/>
      <c r="V513" s="153"/>
      <c r="W513" s="153"/>
      <c r="X513" s="153"/>
      <c r="Y513" s="153"/>
      <c r="Z513" s="153"/>
    </row>
    <row r="514" spans="1:26">
      <c r="A514" s="774"/>
      <c r="B514" s="158" t="s">
        <v>3441</v>
      </c>
      <c r="C514" s="158" t="s">
        <v>3146</v>
      </c>
      <c r="D514" s="158" t="s">
        <v>2473</v>
      </c>
      <c r="E514" s="516" t="s">
        <v>1732</v>
      </c>
      <c r="F514" s="158" t="s">
        <v>1849</v>
      </c>
      <c r="G514" s="158" t="s">
        <v>2474</v>
      </c>
      <c r="H514" s="158" t="s">
        <v>2475</v>
      </c>
      <c r="I514" s="513" t="s">
        <v>1736</v>
      </c>
      <c r="J514" s="317" t="s">
        <v>1737</v>
      </c>
      <c r="K514" s="317" t="s">
        <v>1737</v>
      </c>
      <c r="L514" s="106"/>
      <c r="M514" s="106"/>
      <c r="N514" s="164"/>
      <c r="O514" s="106"/>
      <c r="P514" s="25"/>
      <c r="Q514" s="25"/>
      <c r="R514" s="25"/>
      <c r="S514" s="106"/>
      <c r="T514" s="23"/>
      <c r="U514" s="153"/>
      <c r="V514" s="153"/>
      <c r="W514" s="153"/>
      <c r="X514" s="153"/>
      <c r="Y514" s="153"/>
      <c r="Z514" s="153"/>
    </row>
    <row r="515" spans="1:26">
      <c r="A515" s="774"/>
      <c r="B515" s="158" t="s">
        <v>3442</v>
      </c>
      <c r="C515" s="158" t="s">
        <v>3146</v>
      </c>
      <c r="D515" s="158" t="s">
        <v>2477</v>
      </c>
      <c r="E515" s="516" t="s">
        <v>1732</v>
      </c>
      <c r="F515" s="158" t="s">
        <v>1849</v>
      </c>
      <c r="G515" s="158" t="s">
        <v>2478</v>
      </c>
      <c r="H515" s="158" t="s">
        <v>2479</v>
      </c>
      <c r="I515" s="513" t="s">
        <v>1736</v>
      </c>
      <c r="J515" s="317" t="s">
        <v>1737</v>
      </c>
      <c r="K515" s="317" t="s">
        <v>1737</v>
      </c>
      <c r="L515" s="106"/>
      <c r="M515" s="106"/>
      <c r="N515" s="164"/>
      <c r="O515" s="106"/>
      <c r="P515" s="25"/>
      <c r="Q515" s="25"/>
      <c r="R515" s="25"/>
      <c r="S515" s="106"/>
      <c r="T515" s="23"/>
      <c r="U515" s="153"/>
      <c r="V515" s="153"/>
      <c r="W515" s="153"/>
      <c r="X515" s="153"/>
      <c r="Y515" s="153"/>
      <c r="Z515" s="153"/>
    </row>
    <row r="516" spans="1:26">
      <c r="A516" s="774"/>
      <c r="B516" s="158" t="s">
        <v>3443</v>
      </c>
      <c r="C516" s="158" t="s">
        <v>3146</v>
      </c>
      <c r="D516" s="158" t="s">
        <v>2481</v>
      </c>
      <c r="E516" s="516" t="s">
        <v>1732</v>
      </c>
      <c r="F516" s="158" t="s">
        <v>1849</v>
      </c>
      <c r="G516" s="158" t="s">
        <v>2482</v>
      </c>
      <c r="H516" s="158" t="s">
        <v>2483</v>
      </c>
      <c r="I516" s="513" t="s">
        <v>1736</v>
      </c>
      <c r="J516" s="317" t="s">
        <v>1737</v>
      </c>
      <c r="K516" s="317" t="s">
        <v>1737</v>
      </c>
      <c r="L516" s="106"/>
      <c r="M516" s="106"/>
      <c r="N516" s="164"/>
      <c r="O516" s="106"/>
      <c r="P516" s="25"/>
      <c r="Q516" s="25"/>
      <c r="R516" s="25"/>
      <c r="S516" s="106"/>
      <c r="T516" s="23"/>
      <c r="U516" s="153"/>
      <c r="V516" s="153"/>
      <c r="W516" s="153"/>
      <c r="X516" s="153"/>
      <c r="Y516" s="153"/>
      <c r="Z516" s="153"/>
    </row>
    <row r="517" spans="1:26">
      <c r="A517" s="774"/>
      <c r="B517" s="158" t="s">
        <v>3444</v>
      </c>
      <c r="C517" s="158" t="s">
        <v>3146</v>
      </c>
      <c r="D517" s="158" t="s">
        <v>2485</v>
      </c>
      <c r="E517" s="516" t="s">
        <v>1732</v>
      </c>
      <c r="F517" s="158" t="s">
        <v>1849</v>
      </c>
      <c r="G517" s="158" t="s">
        <v>2486</v>
      </c>
      <c r="H517" s="158" t="s">
        <v>2487</v>
      </c>
      <c r="I517" s="513" t="s">
        <v>1736</v>
      </c>
      <c r="J517" s="317" t="s">
        <v>1737</v>
      </c>
      <c r="K517" s="317" t="s">
        <v>1737</v>
      </c>
      <c r="L517" s="106"/>
      <c r="M517" s="106"/>
      <c r="N517" s="164"/>
      <c r="O517" s="106"/>
      <c r="P517" s="25"/>
      <c r="Q517" s="25"/>
      <c r="R517" s="25"/>
      <c r="S517" s="106"/>
      <c r="T517" s="23"/>
      <c r="U517" s="153"/>
      <c r="V517" s="153"/>
      <c r="W517" s="153"/>
      <c r="X517" s="153"/>
      <c r="Y517" s="153"/>
      <c r="Z517" s="153"/>
    </row>
    <row r="518" spans="1:26">
      <c r="A518" s="774"/>
      <c r="B518" s="158" t="s">
        <v>3445</v>
      </c>
      <c r="C518" s="158" t="s">
        <v>3146</v>
      </c>
      <c r="D518" s="158" t="s">
        <v>2489</v>
      </c>
      <c r="E518" s="516" t="s">
        <v>1732</v>
      </c>
      <c r="F518" s="158" t="s">
        <v>1849</v>
      </c>
      <c r="G518" s="158" t="s">
        <v>2490</v>
      </c>
      <c r="H518" s="158" t="s">
        <v>2491</v>
      </c>
      <c r="I518" s="513" t="s">
        <v>1736</v>
      </c>
      <c r="J518" s="317" t="s">
        <v>1737</v>
      </c>
      <c r="K518" s="317" t="s">
        <v>1737</v>
      </c>
      <c r="L518" s="106"/>
      <c r="M518" s="106"/>
      <c r="N518" s="164"/>
      <c r="O518" s="106"/>
      <c r="P518" s="25"/>
      <c r="Q518" s="25"/>
      <c r="R518" s="25"/>
      <c r="S518" s="106"/>
      <c r="T518" s="23"/>
      <c r="U518" s="153"/>
      <c r="V518" s="153"/>
      <c r="W518" s="153"/>
      <c r="X518" s="153"/>
      <c r="Y518" s="153"/>
      <c r="Z518" s="153"/>
    </row>
    <row r="519" spans="1:26">
      <c r="A519" s="774"/>
      <c r="B519" s="158" t="s">
        <v>3446</v>
      </c>
      <c r="C519" s="158" t="s">
        <v>3146</v>
      </c>
      <c r="D519" s="158" t="s">
        <v>2493</v>
      </c>
      <c r="E519" s="516" t="s">
        <v>1732</v>
      </c>
      <c r="F519" s="158" t="s">
        <v>1849</v>
      </c>
      <c r="G519" s="158" t="s">
        <v>2494</v>
      </c>
      <c r="H519" s="158" t="s">
        <v>2495</v>
      </c>
      <c r="I519" s="513" t="s">
        <v>1736</v>
      </c>
      <c r="J519" s="317" t="s">
        <v>1737</v>
      </c>
      <c r="K519" s="317" t="s">
        <v>1737</v>
      </c>
      <c r="L519" s="106"/>
      <c r="M519" s="106"/>
      <c r="N519" s="164"/>
      <c r="O519" s="106"/>
      <c r="P519" s="25"/>
      <c r="Q519" s="25"/>
      <c r="R519" s="25"/>
      <c r="S519" s="106"/>
      <c r="T519" s="23"/>
      <c r="U519" s="153"/>
      <c r="V519" s="153"/>
      <c r="W519" s="153"/>
      <c r="X519" s="153"/>
      <c r="Y519" s="153"/>
      <c r="Z519" s="153"/>
    </row>
    <row r="520" spans="1:26">
      <c r="A520" s="774"/>
      <c r="B520" s="158" t="s">
        <v>3447</v>
      </c>
      <c r="C520" s="158" t="s">
        <v>3146</v>
      </c>
      <c r="D520" s="158" t="s">
        <v>2497</v>
      </c>
      <c r="E520" s="516" t="s">
        <v>1732</v>
      </c>
      <c r="F520" s="158" t="s">
        <v>1849</v>
      </c>
      <c r="G520" s="158" t="s">
        <v>2498</v>
      </c>
      <c r="H520" s="158" t="s">
        <v>2499</v>
      </c>
      <c r="I520" s="513" t="s">
        <v>1736</v>
      </c>
      <c r="J520" s="317" t="s">
        <v>1737</v>
      </c>
      <c r="K520" s="317" t="s">
        <v>1737</v>
      </c>
      <c r="L520" s="106"/>
      <c r="M520" s="106"/>
      <c r="N520" s="164"/>
      <c r="O520" s="106"/>
      <c r="P520" s="25"/>
      <c r="Q520" s="25"/>
      <c r="R520" s="25"/>
      <c r="S520" s="106"/>
      <c r="T520" s="23"/>
      <c r="U520" s="153"/>
      <c r="V520" s="153"/>
      <c r="W520" s="153"/>
      <c r="X520" s="153"/>
      <c r="Y520" s="153"/>
      <c r="Z520" s="153"/>
    </row>
    <row r="521" spans="1:26">
      <c r="A521" s="774"/>
      <c r="B521" s="158" t="s">
        <v>3448</v>
      </c>
      <c r="C521" s="158" t="s">
        <v>3146</v>
      </c>
      <c r="D521" s="187" t="s">
        <v>2501</v>
      </c>
      <c r="E521" s="516" t="s">
        <v>1732</v>
      </c>
      <c r="F521" s="158" t="s">
        <v>1849</v>
      </c>
      <c r="G521" s="158" t="s">
        <v>2502</v>
      </c>
      <c r="H521" s="158" t="s">
        <v>2503</v>
      </c>
      <c r="I521" s="513" t="s">
        <v>1736</v>
      </c>
      <c r="J521" s="317" t="s">
        <v>1737</v>
      </c>
      <c r="K521" s="317" t="s">
        <v>1737</v>
      </c>
      <c r="L521" s="106"/>
      <c r="M521" s="106"/>
      <c r="N521" s="164"/>
      <c r="O521" s="106"/>
      <c r="P521" s="25"/>
      <c r="Q521" s="25"/>
      <c r="R521" s="25"/>
      <c r="S521" s="106"/>
      <c r="T521" s="23"/>
      <c r="U521" s="153"/>
      <c r="V521" s="153"/>
      <c r="W521" s="153"/>
      <c r="X521" s="153"/>
      <c r="Y521" s="153"/>
      <c r="Z521" s="153"/>
    </row>
    <row r="522" spans="1:26">
      <c r="A522" s="774"/>
      <c r="B522" s="158" t="s">
        <v>3449</v>
      </c>
      <c r="C522" s="158" t="s">
        <v>3146</v>
      </c>
      <c r="D522" s="187" t="s">
        <v>2505</v>
      </c>
      <c r="E522" s="516" t="s">
        <v>1732</v>
      </c>
      <c r="F522" s="158" t="s">
        <v>1849</v>
      </c>
      <c r="G522" s="166" t="s">
        <v>2506</v>
      </c>
      <c r="H522" s="158" t="s">
        <v>2507</v>
      </c>
      <c r="I522" s="513" t="s">
        <v>1736</v>
      </c>
      <c r="J522" s="317" t="s">
        <v>1737</v>
      </c>
      <c r="K522" s="317" t="s">
        <v>1737</v>
      </c>
      <c r="L522" s="106"/>
      <c r="M522" s="106"/>
      <c r="N522" s="164"/>
      <c r="O522" s="106"/>
      <c r="P522" s="25"/>
      <c r="Q522" s="25"/>
      <c r="R522" s="25"/>
      <c r="S522" s="106"/>
      <c r="T522" s="23"/>
      <c r="U522" s="153"/>
      <c r="V522" s="153"/>
      <c r="W522" s="153"/>
      <c r="X522" s="153"/>
      <c r="Y522" s="153"/>
      <c r="Z522" s="153"/>
    </row>
    <row r="523" spans="1:26">
      <c r="A523" s="774"/>
      <c r="B523" s="158" t="s">
        <v>3450</v>
      </c>
      <c r="C523" s="158" t="s">
        <v>3146</v>
      </c>
      <c r="D523" s="158" t="s">
        <v>2509</v>
      </c>
      <c r="E523" s="516" t="s">
        <v>1732</v>
      </c>
      <c r="F523" s="158" t="s">
        <v>1849</v>
      </c>
      <c r="G523" s="166" t="s">
        <v>2510</v>
      </c>
      <c r="H523" s="158"/>
      <c r="I523" s="513" t="s">
        <v>1736</v>
      </c>
      <c r="J523" s="317" t="s">
        <v>1737</v>
      </c>
      <c r="K523" s="317" t="s">
        <v>1737</v>
      </c>
      <c r="L523" s="106"/>
      <c r="M523" s="106"/>
      <c r="N523" s="164"/>
      <c r="O523" s="106"/>
      <c r="P523" s="25"/>
      <c r="Q523" s="25"/>
      <c r="R523" s="25"/>
      <c r="S523" s="106"/>
      <c r="T523" s="23"/>
      <c r="U523" s="153"/>
      <c r="V523" s="153"/>
      <c r="W523" s="153"/>
      <c r="X523" s="153"/>
      <c r="Y523" s="153"/>
      <c r="Z523" s="153"/>
    </row>
    <row r="524" spans="1:26">
      <c r="A524" s="774"/>
      <c r="B524" s="158" t="s">
        <v>3451</v>
      </c>
      <c r="C524" s="158" t="s">
        <v>3146</v>
      </c>
      <c r="D524" s="158" t="s">
        <v>2512</v>
      </c>
      <c r="E524" s="516" t="s">
        <v>1732</v>
      </c>
      <c r="F524" s="158" t="s">
        <v>1849</v>
      </c>
      <c r="G524" s="158" t="s">
        <v>2513</v>
      </c>
      <c r="H524" s="160"/>
      <c r="I524" s="513" t="s">
        <v>1736</v>
      </c>
      <c r="J524" s="317" t="s">
        <v>1737</v>
      </c>
      <c r="K524" s="317" t="s">
        <v>1737</v>
      </c>
      <c r="L524" s="106"/>
      <c r="M524" s="106"/>
      <c r="N524" s="164"/>
      <c r="O524" s="106"/>
      <c r="P524" s="25"/>
      <c r="Q524" s="25"/>
      <c r="R524" s="25"/>
      <c r="S524" s="106"/>
      <c r="T524" s="23"/>
      <c r="U524" s="153"/>
      <c r="V524" s="153"/>
      <c r="W524" s="153"/>
      <c r="X524" s="153"/>
      <c r="Y524" s="153"/>
      <c r="Z524" s="153"/>
    </row>
    <row r="525" spans="1:26">
      <c r="A525" s="774"/>
      <c r="B525" s="158" t="s">
        <v>3452</v>
      </c>
      <c r="C525" s="158" t="s">
        <v>3146</v>
      </c>
      <c r="D525" s="158" t="s">
        <v>2515</v>
      </c>
      <c r="E525" s="516" t="s">
        <v>1732</v>
      </c>
      <c r="F525" s="158" t="s">
        <v>1849</v>
      </c>
      <c r="G525" s="158" t="s">
        <v>2516</v>
      </c>
      <c r="H525" s="160"/>
      <c r="I525" s="513" t="s">
        <v>1736</v>
      </c>
      <c r="J525" s="317" t="s">
        <v>1737</v>
      </c>
      <c r="K525" s="317" t="s">
        <v>1737</v>
      </c>
      <c r="L525" s="106"/>
      <c r="M525" s="106"/>
      <c r="N525" s="164"/>
      <c r="O525" s="106"/>
      <c r="P525" s="25"/>
      <c r="Q525" s="25"/>
      <c r="R525" s="25"/>
      <c r="S525" s="106"/>
      <c r="T525" s="23"/>
      <c r="U525" s="153"/>
      <c r="V525" s="153"/>
      <c r="W525" s="153"/>
      <c r="X525" s="153"/>
      <c r="Y525" s="153"/>
      <c r="Z525" s="153"/>
    </row>
    <row r="526" spans="1:26">
      <c r="A526" s="774"/>
      <c r="B526" s="158" t="s">
        <v>3453</v>
      </c>
      <c r="C526" s="158" t="s">
        <v>3146</v>
      </c>
      <c r="D526" s="158" t="s">
        <v>2518</v>
      </c>
      <c r="E526" s="516" t="s">
        <v>1732</v>
      </c>
      <c r="F526" s="158" t="s">
        <v>1849</v>
      </c>
      <c r="G526" s="158" t="s">
        <v>2516</v>
      </c>
      <c r="H526" s="160"/>
      <c r="I526" s="513" t="s">
        <v>1736</v>
      </c>
      <c r="J526" s="317" t="s">
        <v>1737</v>
      </c>
      <c r="K526" s="317" t="s">
        <v>1737</v>
      </c>
      <c r="L526" s="106"/>
      <c r="M526" s="106"/>
      <c r="N526" s="164"/>
      <c r="O526" s="106"/>
      <c r="P526" s="25"/>
      <c r="Q526" s="25"/>
      <c r="R526" s="25"/>
      <c r="S526" s="106"/>
      <c r="T526" s="23"/>
      <c r="U526" s="153"/>
      <c r="V526" s="153"/>
      <c r="W526" s="153"/>
      <c r="X526" s="153"/>
      <c r="Y526" s="153"/>
      <c r="Z526" s="153"/>
    </row>
    <row r="527" spans="1:26">
      <c r="A527" s="774"/>
      <c r="B527" s="158" t="s">
        <v>3454</v>
      </c>
      <c r="C527" s="158" t="s">
        <v>3146</v>
      </c>
      <c r="D527" s="158" t="s">
        <v>2520</v>
      </c>
      <c r="E527" s="516" t="s">
        <v>1732</v>
      </c>
      <c r="F527" s="158" t="s">
        <v>1849</v>
      </c>
      <c r="G527" s="158" t="s">
        <v>2521</v>
      </c>
      <c r="H527" s="160"/>
      <c r="I527" s="513" t="s">
        <v>1736</v>
      </c>
      <c r="J527" s="317" t="s">
        <v>1737</v>
      </c>
      <c r="K527" s="317" t="s">
        <v>1737</v>
      </c>
      <c r="L527" s="106"/>
      <c r="M527" s="106"/>
      <c r="N527" s="164"/>
      <c r="O527" s="106"/>
      <c r="P527" s="25"/>
      <c r="Q527" s="25"/>
      <c r="R527" s="25"/>
      <c r="S527" s="106"/>
      <c r="T527" s="23"/>
      <c r="U527" s="153"/>
      <c r="V527" s="153"/>
      <c r="W527" s="153"/>
      <c r="X527" s="153"/>
      <c r="Y527" s="153"/>
      <c r="Z527" s="153"/>
    </row>
    <row r="528" spans="1:26">
      <c r="A528" s="774"/>
      <c r="B528" s="158" t="s">
        <v>3455</v>
      </c>
      <c r="C528" s="158" t="s">
        <v>3146</v>
      </c>
      <c r="D528" s="158" t="s">
        <v>2523</v>
      </c>
      <c r="E528" s="516" t="s">
        <v>1732</v>
      </c>
      <c r="F528" s="158" t="s">
        <v>1849</v>
      </c>
      <c r="G528" s="158" t="s">
        <v>2524</v>
      </c>
      <c r="H528" s="160"/>
      <c r="I528" s="513" t="s">
        <v>1736</v>
      </c>
      <c r="J528" s="317" t="s">
        <v>1737</v>
      </c>
      <c r="K528" s="317" t="s">
        <v>1737</v>
      </c>
      <c r="L528" s="106"/>
      <c r="M528" s="106"/>
      <c r="N528" s="164"/>
      <c r="O528" s="106"/>
      <c r="P528" s="25"/>
      <c r="Q528" s="25"/>
      <c r="R528" s="25"/>
      <c r="S528" s="106"/>
      <c r="T528" s="23"/>
      <c r="U528" s="153"/>
      <c r="V528" s="153"/>
      <c r="W528" s="153"/>
      <c r="X528" s="153"/>
      <c r="Y528" s="153"/>
      <c r="Z528" s="153"/>
    </row>
    <row r="529" spans="1:26">
      <c r="A529" s="774"/>
      <c r="B529" s="158" t="s">
        <v>3456</v>
      </c>
      <c r="C529" s="158" t="s">
        <v>3146</v>
      </c>
      <c r="D529" s="158" t="s">
        <v>2526</v>
      </c>
      <c r="E529" s="516" t="s">
        <v>1732</v>
      </c>
      <c r="F529" s="158" t="s">
        <v>1849</v>
      </c>
      <c r="G529" s="158" t="s">
        <v>2527</v>
      </c>
      <c r="H529" s="160"/>
      <c r="I529" s="513" t="s">
        <v>1736</v>
      </c>
      <c r="J529" s="317" t="s">
        <v>1737</v>
      </c>
      <c r="K529" s="317" t="s">
        <v>1737</v>
      </c>
      <c r="L529" s="106"/>
      <c r="M529" s="106"/>
      <c r="N529" s="164"/>
      <c r="O529" s="106"/>
      <c r="P529" s="25"/>
      <c r="Q529" s="25"/>
      <c r="R529" s="25"/>
      <c r="S529" s="106"/>
      <c r="T529" s="23"/>
      <c r="U529" s="153"/>
      <c r="V529" s="153"/>
      <c r="W529" s="153"/>
      <c r="X529" s="153"/>
      <c r="Y529" s="153"/>
      <c r="Z529" s="153"/>
    </row>
    <row r="530" spans="1:26">
      <c r="A530" s="774"/>
      <c r="B530" s="158" t="s">
        <v>3457</v>
      </c>
      <c r="C530" s="158" t="s">
        <v>3146</v>
      </c>
      <c r="D530" s="158" t="s">
        <v>2529</v>
      </c>
      <c r="E530" s="516" t="s">
        <v>1732</v>
      </c>
      <c r="F530" s="158" t="s">
        <v>1849</v>
      </c>
      <c r="G530" s="158" t="s">
        <v>2530</v>
      </c>
      <c r="H530" s="160"/>
      <c r="I530" s="513" t="s">
        <v>1736</v>
      </c>
      <c r="J530" s="317" t="s">
        <v>1737</v>
      </c>
      <c r="K530" s="317" t="s">
        <v>1737</v>
      </c>
      <c r="L530" s="106"/>
      <c r="M530" s="106"/>
      <c r="N530" s="164"/>
      <c r="O530" s="106"/>
      <c r="P530" s="25"/>
      <c r="Q530" s="25"/>
      <c r="R530" s="25"/>
      <c r="S530" s="106"/>
      <c r="T530" s="23"/>
      <c r="U530" s="153"/>
      <c r="V530" s="153"/>
      <c r="W530" s="153"/>
      <c r="X530" s="153"/>
      <c r="Y530" s="153"/>
      <c r="Z530" s="153"/>
    </row>
    <row r="531" spans="1:26">
      <c r="A531" s="774"/>
      <c r="B531" s="158" t="s">
        <v>3458</v>
      </c>
      <c r="C531" s="158" t="s">
        <v>3146</v>
      </c>
      <c r="D531" s="158" t="s">
        <v>2532</v>
      </c>
      <c r="E531" s="516" t="s">
        <v>1732</v>
      </c>
      <c r="F531" s="158" t="s">
        <v>1849</v>
      </c>
      <c r="G531" s="158" t="s">
        <v>2533</v>
      </c>
      <c r="H531" s="160"/>
      <c r="I531" s="513" t="s">
        <v>1736</v>
      </c>
      <c r="J531" s="317" t="s">
        <v>1737</v>
      </c>
      <c r="K531" s="317" t="s">
        <v>1737</v>
      </c>
      <c r="L531" s="106"/>
      <c r="M531" s="106"/>
      <c r="N531" s="164"/>
      <c r="O531" s="106"/>
      <c r="P531" s="25"/>
      <c r="Q531" s="25"/>
      <c r="R531" s="25"/>
      <c r="S531" s="106"/>
      <c r="T531" s="23"/>
      <c r="U531" s="153"/>
      <c r="V531" s="153"/>
      <c r="W531" s="153"/>
      <c r="X531" s="153"/>
      <c r="Y531" s="153"/>
      <c r="Z531" s="153"/>
    </row>
    <row r="532" spans="1:26">
      <c r="A532" s="774"/>
      <c r="B532" s="158" t="s">
        <v>3459</v>
      </c>
      <c r="C532" s="158" t="s">
        <v>3146</v>
      </c>
      <c r="D532" s="158" t="s">
        <v>2535</v>
      </c>
      <c r="E532" s="516" t="s">
        <v>1732</v>
      </c>
      <c r="F532" s="158" t="s">
        <v>1849</v>
      </c>
      <c r="G532" s="158" t="s">
        <v>2536</v>
      </c>
      <c r="H532" s="160"/>
      <c r="I532" s="513" t="s">
        <v>1736</v>
      </c>
      <c r="J532" s="317" t="s">
        <v>1737</v>
      </c>
      <c r="K532" s="317" t="s">
        <v>1737</v>
      </c>
      <c r="L532" s="106"/>
      <c r="M532" s="106"/>
      <c r="N532" s="164"/>
      <c r="O532" s="106"/>
      <c r="P532" s="25"/>
      <c r="Q532" s="25"/>
      <c r="R532" s="25"/>
      <c r="S532" s="106"/>
      <c r="T532" s="23"/>
      <c r="U532" s="153"/>
      <c r="V532" s="153"/>
      <c r="W532" s="153"/>
      <c r="X532" s="153"/>
      <c r="Y532" s="153"/>
      <c r="Z532" s="153"/>
    </row>
    <row r="533" spans="1:26">
      <c r="A533" s="774"/>
      <c r="B533" s="158" t="s">
        <v>3460</v>
      </c>
      <c r="C533" s="158" t="s">
        <v>3146</v>
      </c>
      <c r="D533" s="158" t="s">
        <v>2538</v>
      </c>
      <c r="E533" s="516" t="s">
        <v>1732</v>
      </c>
      <c r="F533" s="158" t="s">
        <v>1849</v>
      </c>
      <c r="G533" s="187" t="s">
        <v>2539</v>
      </c>
      <c r="H533" s="160"/>
      <c r="I533" s="513" t="s">
        <v>1736</v>
      </c>
      <c r="J533" s="317" t="s">
        <v>1737</v>
      </c>
      <c r="K533" s="317" t="s">
        <v>1737</v>
      </c>
      <c r="L533" s="106"/>
      <c r="M533" s="106"/>
      <c r="N533" s="164"/>
      <c r="O533" s="106"/>
      <c r="P533" s="25"/>
      <c r="Q533" s="25"/>
      <c r="R533" s="25"/>
      <c r="S533" s="106"/>
      <c r="T533" s="23"/>
      <c r="U533" s="153"/>
      <c r="V533" s="153"/>
      <c r="W533" s="153"/>
      <c r="X533" s="153"/>
      <c r="Y533" s="153"/>
      <c r="Z533" s="153"/>
    </row>
    <row r="534" spans="1:26">
      <c r="A534" s="774"/>
      <c r="B534" s="158" t="s">
        <v>3461</v>
      </c>
      <c r="C534" s="158" t="s">
        <v>3146</v>
      </c>
      <c r="D534" s="158" t="s">
        <v>2541</v>
      </c>
      <c r="E534" s="516" t="s">
        <v>1732</v>
      </c>
      <c r="F534" s="158" t="s">
        <v>1849</v>
      </c>
      <c r="G534" s="187" t="s">
        <v>2542</v>
      </c>
      <c r="H534" s="160"/>
      <c r="I534" s="513" t="s">
        <v>1736</v>
      </c>
      <c r="J534" s="317" t="s">
        <v>1737</v>
      </c>
      <c r="K534" s="317" t="s">
        <v>1737</v>
      </c>
      <c r="L534" s="106"/>
      <c r="M534" s="106"/>
      <c r="N534" s="164"/>
      <c r="O534" s="106"/>
      <c r="P534" s="25"/>
      <c r="Q534" s="25"/>
      <c r="R534" s="25"/>
      <c r="S534" s="106"/>
      <c r="T534" s="23"/>
      <c r="U534" s="153"/>
      <c r="V534" s="153"/>
      <c r="W534" s="153"/>
      <c r="X534" s="153"/>
      <c r="Y534" s="153"/>
      <c r="Z534" s="153"/>
    </row>
    <row r="535" spans="1:26">
      <c r="A535" s="774"/>
      <c r="B535" s="158" t="s">
        <v>3462</v>
      </c>
      <c r="C535" s="158" t="s">
        <v>3146</v>
      </c>
      <c r="D535" s="158" t="s">
        <v>2544</v>
      </c>
      <c r="E535" s="516" t="s">
        <v>1732</v>
      </c>
      <c r="F535" s="158" t="s">
        <v>1849</v>
      </c>
      <c r="G535" s="187" t="s">
        <v>2545</v>
      </c>
      <c r="H535" s="158" t="s">
        <v>2546</v>
      </c>
      <c r="I535" s="513" t="s">
        <v>1736</v>
      </c>
      <c r="J535" s="317" t="s">
        <v>1737</v>
      </c>
      <c r="K535" s="317" t="s">
        <v>1737</v>
      </c>
      <c r="L535" s="106"/>
      <c r="M535" s="106"/>
      <c r="N535" s="164"/>
      <c r="O535" s="106"/>
      <c r="P535" s="25"/>
      <c r="Q535" s="25"/>
      <c r="R535" s="25"/>
      <c r="S535" s="106"/>
      <c r="T535" s="23"/>
      <c r="U535" s="153"/>
      <c r="V535" s="153"/>
      <c r="W535" s="153"/>
      <c r="X535" s="153"/>
      <c r="Y535" s="153"/>
      <c r="Z535" s="153"/>
    </row>
    <row r="536" spans="1:26">
      <c r="A536" s="774"/>
      <c r="B536" s="158" t="s">
        <v>3463</v>
      </c>
      <c r="C536" s="158" t="s">
        <v>3146</v>
      </c>
      <c r="D536" s="158" t="s">
        <v>2548</v>
      </c>
      <c r="E536" s="516" t="s">
        <v>1732</v>
      </c>
      <c r="F536" s="158" t="s">
        <v>1849</v>
      </c>
      <c r="G536" s="187" t="s">
        <v>2549</v>
      </c>
      <c r="H536" s="160"/>
      <c r="I536" s="513" t="s">
        <v>1736</v>
      </c>
      <c r="J536" s="317" t="s">
        <v>1737</v>
      </c>
      <c r="K536" s="317" t="s">
        <v>1737</v>
      </c>
      <c r="L536" s="106"/>
      <c r="M536" s="106"/>
      <c r="N536" s="164"/>
      <c r="O536" s="106"/>
      <c r="P536" s="25"/>
      <c r="Q536" s="25"/>
      <c r="R536" s="25"/>
      <c r="S536" s="106"/>
      <c r="T536" s="23"/>
      <c r="U536" s="153"/>
      <c r="V536" s="153"/>
      <c r="W536" s="153"/>
      <c r="X536" s="153"/>
      <c r="Y536" s="153"/>
      <c r="Z536" s="153"/>
    </row>
    <row r="537" spans="1:26">
      <c r="A537" s="774"/>
      <c r="B537" s="158" t="s">
        <v>3464</v>
      </c>
      <c r="C537" s="158" t="s">
        <v>3146</v>
      </c>
      <c r="D537" s="158" t="s">
        <v>2551</v>
      </c>
      <c r="E537" s="516" t="s">
        <v>1732</v>
      </c>
      <c r="F537" s="158" t="s">
        <v>1849</v>
      </c>
      <c r="G537" s="187" t="s">
        <v>2552</v>
      </c>
      <c r="H537" s="160"/>
      <c r="I537" s="513" t="s">
        <v>1736</v>
      </c>
      <c r="J537" s="317" t="s">
        <v>1737</v>
      </c>
      <c r="K537" s="317" t="s">
        <v>1737</v>
      </c>
      <c r="L537" s="106"/>
      <c r="M537" s="106"/>
      <c r="N537" s="164"/>
      <c r="O537" s="106"/>
      <c r="P537" s="25"/>
      <c r="Q537" s="25"/>
      <c r="R537" s="25"/>
      <c r="S537" s="106"/>
      <c r="T537" s="23"/>
      <c r="U537" s="153"/>
      <c r="V537" s="153"/>
      <c r="W537" s="153"/>
      <c r="X537" s="153"/>
      <c r="Y537" s="153"/>
      <c r="Z537" s="153"/>
    </row>
    <row r="538" spans="1:26">
      <c r="A538" s="774"/>
      <c r="B538" s="158" t="s">
        <v>3465</v>
      </c>
      <c r="C538" s="158" t="s">
        <v>3146</v>
      </c>
      <c r="D538" s="158" t="s">
        <v>2554</v>
      </c>
      <c r="E538" s="516" t="s">
        <v>1732</v>
      </c>
      <c r="F538" s="158" t="s">
        <v>1849</v>
      </c>
      <c r="G538" s="158" t="s">
        <v>2555</v>
      </c>
      <c r="H538" s="160"/>
      <c r="I538" s="513" t="s">
        <v>1736</v>
      </c>
      <c r="J538" s="317" t="s">
        <v>1737</v>
      </c>
      <c r="K538" s="317" t="s">
        <v>1737</v>
      </c>
      <c r="L538" s="106"/>
      <c r="M538" s="106"/>
      <c r="N538" s="164"/>
      <c r="O538" s="106"/>
      <c r="P538" s="25"/>
      <c r="Q538" s="25"/>
      <c r="R538" s="25"/>
      <c r="S538" s="106"/>
      <c r="T538" s="23"/>
      <c r="U538" s="153"/>
      <c r="V538" s="153"/>
      <c r="W538" s="153"/>
      <c r="X538" s="153"/>
      <c r="Y538" s="153"/>
      <c r="Z538" s="153"/>
    </row>
    <row r="539" spans="1:26">
      <c r="A539" s="774"/>
      <c r="B539" s="158" t="s">
        <v>3466</v>
      </c>
      <c r="C539" s="158" t="s">
        <v>3146</v>
      </c>
      <c r="D539" s="158" t="s">
        <v>2557</v>
      </c>
      <c r="E539" s="516" t="s">
        <v>1732</v>
      </c>
      <c r="F539" s="158" t="s">
        <v>1849</v>
      </c>
      <c r="G539" s="158" t="s">
        <v>2558</v>
      </c>
      <c r="H539" s="158" t="s">
        <v>2559</v>
      </c>
      <c r="I539" s="513" t="s">
        <v>1736</v>
      </c>
      <c r="J539" s="317" t="s">
        <v>1737</v>
      </c>
      <c r="K539" s="317" t="s">
        <v>1737</v>
      </c>
      <c r="L539" s="106"/>
      <c r="M539" s="106"/>
      <c r="N539" s="164"/>
      <c r="O539" s="106"/>
      <c r="P539" s="25"/>
      <c r="Q539" s="25"/>
      <c r="R539" s="25"/>
      <c r="S539" s="106"/>
      <c r="T539" s="23"/>
      <c r="U539" s="153"/>
      <c r="V539" s="153"/>
      <c r="W539" s="153"/>
      <c r="X539" s="153"/>
      <c r="Y539" s="153"/>
      <c r="Z539" s="153"/>
    </row>
    <row r="540" spans="1:26">
      <c r="A540" s="774"/>
      <c r="B540" s="158" t="s">
        <v>3467</v>
      </c>
      <c r="C540" s="158" t="s">
        <v>3146</v>
      </c>
      <c r="D540" s="158" t="s">
        <v>2561</v>
      </c>
      <c r="E540" s="516" t="s">
        <v>1732</v>
      </c>
      <c r="F540" s="158" t="s">
        <v>1849</v>
      </c>
      <c r="G540" s="158" t="s">
        <v>2562</v>
      </c>
      <c r="H540" s="160"/>
      <c r="I540" s="513" t="s">
        <v>1736</v>
      </c>
      <c r="J540" s="317" t="s">
        <v>1737</v>
      </c>
      <c r="K540" s="317" t="s">
        <v>1737</v>
      </c>
      <c r="L540" s="106"/>
      <c r="M540" s="106"/>
      <c r="N540" s="164"/>
      <c r="O540" s="106"/>
      <c r="P540" s="25"/>
      <c r="Q540" s="25"/>
      <c r="R540" s="25"/>
      <c r="S540" s="106"/>
      <c r="T540" s="23"/>
      <c r="U540" s="153"/>
      <c r="V540" s="153"/>
      <c r="W540" s="153"/>
      <c r="X540" s="153"/>
      <c r="Y540" s="153"/>
      <c r="Z540" s="153"/>
    </row>
    <row r="541" spans="1:26">
      <c r="A541" s="774"/>
      <c r="B541" s="158" t="s">
        <v>3468</v>
      </c>
      <c r="C541" s="158" t="s">
        <v>3146</v>
      </c>
      <c r="D541" s="158" t="s">
        <v>2564</v>
      </c>
      <c r="E541" s="516" t="s">
        <v>1732</v>
      </c>
      <c r="F541" s="158" t="s">
        <v>1849</v>
      </c>
      <c r="G541" s="187" t="s">
        <v>2565</v>
      </c>
      <c r="H541" s="160"/>
      <c r="I541" s="513" t="s">
        <v>1736</v>
      </c>
      <c r="J541" s="317" t="s">
        <v>1737</v>
      </c>
      <c r="K541" s="317" t="s">
        <v>1737</v>
      </c>
      <c r="L541" s="106"/>
      <c r="M541" s="106"/>
      <c r="N541" s="164"/>
      <c r="O541" s="106"/>
      <c r="P541" s="25"/>
      <c r="Q541" s="25"/>
      <c r="R541" s="25"/>
      <c r="S541" s="106"/>
      <c r="T541" s="23"/>
      <c r="U541" s="153"/>
      <c r="V541" s="153"/>
      <c r="W541" s="153"/>
      <c r="X541" s="153"/>
      <c r="Y541" s="153"/>
      <c r="Z541" s="153"/>
    </row>
    <row r="542" spans="1:26">
      <c r="A542" s="774"/>
      <c r="B542" s="158" t="s">
        <v>3469</v>
      </c>
      <c r="C542" s="158" t="s">
        <v>3146</v>
      </c>
      <c r="D542" s="158" t="s">
        <v>2567</v>
      </c>
      <c r="E542" s="516" t="s">
        <v>1732</v>
      </c>
      <c r="F542" s="158" t="s">
        <v>1849</v>
      </c>
      <c r="G542" s="187" t="s">
        <v>2568</v>
      </c>
      <c r="H542" s="160"/>
      <c r="I542" s="513" t="s">
        <v>1736</v>
      </c>
      <c r="J542" s="317" t="s">
        <v>1737</v>
      </c>
      <c r="K542" s="317" t="s">
        <v>1737</v>
      </c>
      <c r="L542" s="106"/>
      <c r="M542" s="106"/>
      <c r="N542" s="164"/>
      <c r="O542" s="106"/>
      <c r="P542" s="25"/>
      <c r="Q542" s="25"/>
      <c r="R542" s="25"/>
      <c r="S542" s="106"/>
      <c r="T542" s="23"/>
      <c r="U542" s="153"/>
      <c r="V542" s="153"/>
      <c r="W542" s="153"/>
      <c r="X542" s="153"/>
      <c r="Y542" s="153"/>
      <c r="Z542" s="153"/>
    </row>
    <row r="543" spans="1:26">
      <c r="A543" s="774"/>
      <c r="B543" s="158" t="s">
        <v>3470</v>
      </c>
      <c r="C543" s="158" t="s">
        <v>3146</v>
      </c>
      <c r="D543" s="158" t="s">
        <v>2570</v>
      </c>
      <c r="E543" s="516" t="s">
        <v>1732</v>
      </c>
      <c r="F543" s="158" t="s">
        <v>1849</v>
      </c>
      <c r="G543" s="187" t="s">
        <v>2571</v>
      </c>
      <c r="H543" s="160"/>
      <c r="I543" s="513" t="s">
        <v>1736</v>
      </c>
      <c r="J543" s="317" t="s">
        <v>1737</v>
      </c>
      <c r="K543" s="317" t="s">
        <v>1737</v>
      </c>
      <c r="L543" s="106"/>
      <c r="M543" s="106"/>
      <c r="N543" s="164"/>
      <c r="O543" s="106"/>
      <c r="P543" s="25"/>
      <c r="Q543" s="25"/>
      <c r="R543" s="25"/>
      <c r="S543" s="106"/>
      <c r="T543" s="23"/>
      <c r="U543" s="153"/>
      <c r="V543" s="153"/>
      <c r="W543" s="153"/>
      <c r="X543" s="153"/>
      <c r="Y543" s="153"/>
      <c r="Z543" s="153"/>
    </row>
    <row r="544" spans="1:26">
      <c r="A544" s="774"/>
      <c r="B544" s="158" t="s">
        <v>3471</v>
      </c>
      <c r="C544" s="158" t="s">
        <v>3146</v>
      </c>
      <c r="D544" s="158" t="s">
        <v>2573</v>
      </c>
      <c r="E544" s="516" t="s">
        <v>1732</v>
      </c>
      <c r="F544" s="158" t="s">
        <v>1849</v>
      </c>
      <c r="G544" s="158" t="s">
        <v>2574</v>
      </c>
      <c r="H544" s="158" t="s">
        <v>2575</v>
      </c>
      <c r="I544" s="513" t="s">
        <v>1736</v>
      </c>
      <c r="J544" s="317" t="s">
        <v>1737</v>
      </c>
      <c r="K544" s="317" t="s">
        <v>1737</v>
      </c>
      <c r="L544" s="106"/>
      <c r="M544" s="106"/>
      <c r="N544" s="164"/>
      <c r="O544" s="106"/>
      <c r="P544" s="25"/>
      <c r="Q544" s="25"/>
      <c r="R544" s="25"/>
      <c r="S544" s="106"/>
      <c r="T544" s="23"/>
      <c r="U544" s="153"/>
      <c r="V544" s="153"/>
      <c r="W544" s="153"/>
      <c r="X544" s="153"/>
      <c r="Y544" s="153"/>
      <c r="Z544" s="153"/>
    </row>
    <row r="545" spans="1:26">
      <c r="A545" s="774"/>
      <c r="B545" s="158" t="s">
        <v>3472</v>
      </c>
      <c r="C545" s="158" t="s">
        <v>3146</v>
      </c>
      <c r="D545" s="158" t="s">
        <v>2577</v>
      </c>
      <c r="E545" s="516" t="s">
        <v>1732</v>
      </c>
      <c r="F545" s="158" t="s">
        <v>1849</v>
      </c>
      <c r="G545" s="158" t="s">
        <v>2578</v>
      </c>
      <c r="H545" s="160"/>
      <c r="I545" s="513" t="s">
        <v>1736</v>
      </c>
      <c r="J545" s="317" t="s">
        <v>1737</v>
      </c>
      <c r="K545" s="317" t="s">
        <v>1737</v>
      </c>
      <c r="L545" s="106"/>
      <c r="M545" s="106"/>
      <c r="N545" s="164"/>
      <c r="O545" s="106"/>
      <c r="P545" s="25"/>
      <c r="Q545" s="25"/>
      <c r="R545" s="25"/>
      <c r="S545" s="106"/>
      <c r="T545" s="23"/>
      <c r="U545" s="153"/>
      <c r="V545" s="153"/>
      <c r="W545" s="153"/>
      <c r="X545" s="153"/>
      <c r="Y545" s="153"/>
      <c r="Z545" s="153"/>
    </row>
    <row r="546" spans="1:26">
      <c r="A546" s="774"/>
      <c r="B546" s="158" t="s">
        <v>3473</v>
      </c>
      <c r="C546" s="158" t="s">
        <v>3146</v>
      </c>
      <c r="D546" s="158" t="s">
        <v>2580</v>
      </c>
      <c r="E546" s="516" t="s">
        <v>1732</v>
      </c>
      <c r="F546" s="158" t="s">
        <v>1849</v>
      </c>
      <c r="G546" s="158" t="s">
        <v>2581</v>
      </c>
      <c r="H546" s="160"/>
      <c r="I546" s="513" t="s">
        <v>1736</v>
      </c>
      <c r="J546" s="317" t="s">
        <v>1737</v>
      </c>
      <c r="K546" s="317" t="s">
        <v>1737</v>
      </c>
      <c r="L546" s="106"/>
      <c r="M546" s="106"/>
      <c r="N546" s="164"/>
      <c r="O546" s="106"/>
      <c r="P546" s="25"/>
      <c r="Q546" s="25"/>
      <c r="R546" s="25"/>
      <c r="S546" s="106"/>
      <c r="T546" s="23"/>
      <c r="U546" s="153"/>
      <c r="V546" s="153"/>
      <c r="W546" s="153"/>
      <c r="X546" s="153"/>
      <c r="Y546" s="153"/>
      <c r="Z546" s="153"/>
    </row>
    <row r="547" spans="1:26">
      <c r="A547" s="774"/>
      <c r="B547" s="158" t="s">
        <v>3474</v>
      </c>
      <c r="C547" s="158" t="s">
        <v>3146</v>
      </c>
      <c r="D547" s="158" t="s">
        <v>2583</v>
      </c>
      <c r="E547" s="516" t="s">
        <v>1732</v>
      </c>
      <c r="F547" s="158" t="s">
        <v>1849</v>
      </c>
      <c r="G547" s="187" t="s">
        <v>2584</v>
      </c>
      <c r="H547" s="160"/>
      <c r="I547" s="513" t="s">
        <v>1736</v>
      </c>
      <c r="J547" s="317" t="s">
        <v>1737</v>
      </c>
      <c r="K547" s="317" t="s">
        <v>1737</v>
      </c>
      <c r="L547" s="106"/>
      <c r="M547" s="106"/>
      <c r="N547" s="164"/>
      <c r="O547" s="106"/>
      <c r="P547" s="25"/>
      <c r="Q547" s="25"/>
      <c r="R547" s="25"/>
      <c r="S547" s="106"/>
      <c r="T547" s="23"/>
      <c r="U547" s="153"/>
      <c r="V547" s="153"/>
      <c r="W547" s="153"/>
      <c r="X547" s="153"/>
      <c r="Y547" s="153"/>
      <c r="Z547" s="153"/>
    </row>
    <row r="548" spans="1:26">
      <c r="A548" s="774"/>
      <c r="B548" s="158" t="s">
        <v>3475</v>
      </c>
      <c r="C548" s="158" t="s">
        <v>3146</v>
      </c>
      <c r="D548" s="158" t="s">
        <v>2586</v>
      </c>
      <c r="E548" s="516" t="s">
        <v>1732</v>
      </c>
      <c r="F548" s="158" t="s">
        <v>1849</v>
      </c>
      <c r="G548" s="187" t="s">
        <v>2587</v>
      </c>
      <c r="H548" s="160"/>
      <c r="I548" s="513" t="s">
        <v>1736</v>
      </c>
      <c r="J548" s="317" t="s">
        <v>1737</v>
      </c>
      <c r="K548" s="317" t="s">
        <v>1737</v>
      </c>
      <c r="L548" s="106"/>
      <c r="M548" s="106"/>
      <c r="N548" s="164"/>
      <c r="O548" s="106"/>
      <c r="P548" s="25"/>
      <c r="Q548" s="25"/>
      <c r="R548" s="25"/>
      <c r="S548" s="106"/>
      <c r="T548" s="23"/>
      <c r="U548" s="153"/>
      <c r="V548" s="153"/>
      <c r="W548" s="153"/>
      <c r="X548" s="153"/>
      <c r="Y548" s="153"/>
      <c r="Z548" s="153"/>
    </row>
    <row r="549" spans="1:26">
      <c r="A549" s="774"/>
      <c r="B549" s="158" t="s">
        <v>3476</v>
      </c>
      <c r="C549" s="158" t="s">
        <v>3146</v>
      </c>
      <c r="D549" s="158" t="s">
        <v>2589</v>
      </c>
      <c r="E549" s="516" t="s">
        <v>1732</v>
      </c>
      <c r="F549" s="158" t="s">
        <v>1849</v>
      </c>
      <c r="G549" s="187" t="s">
        <v>2590</v>
      </c>
      <c r="H549" s="160"/>
      <c r="I549" s="513" t="s">
        <v>1736</v>
      </c>
      <c r="J549" s="317" t="s">
        <v>1737</v>
      </c>
      <c r="K549" s="317" t="s">
        <v>1737</v>
      </c>
      <c r="L549" s="106"/>
      <c r="M549" s="106"/>
      <c r="N549" s="164"/>
      <c r="O549" s="106"/>
      <c r="P549" s="25"/>
      <c r="Q549" s="25"/>
      <c r="R549" s="25"/>
      <c r="S549" s="106"/>
      <c r="T549" s="23"/>
      <c r="U549" s="153"/>
      <c r="V549" s="153"/>
      <c r="W549" s="153"/>
      <c r="X549" s="153"/>
      <c r="Y549" s="153"/>
      <c r="Z549" s="153"/>
    </row>
    <row r="550" spans="1:26">
      <c r="A550" s="774"/>
      <c r="B550" s="158" t="s">
        <v>3477</v>
      </c>
      <c r="C550" s="158" t="s">
        <v>3146</v>
      </c>
      <c r="D550" s="158" t="s">
        <v>2592</v>
      </c>
      <c r="E550" s="516" t="s">
        <v>1732</v>
      </c>
      <c r="F550" s="158" t="s">
        <v>1849</v>
      </c>
      <c r="G550" s="187" t="s">
        <v>2593</v>
      </c>
      <c r="H550" s="160"/>
      <c r="I550" s="513" t="s">
        <v>1736</v>
      </c>
      <c r="J550" s="317" t="s">
        <v>1737</v>
      </c>
      <c r="K550" s="317" t="s">
        <v>1737</v>
      </c>
      <c r="L550" s="106"/>
      <c r="M550" s="106"/>
      <c r="N550" s="164"/>
      <c r="O550" s="106"/>
      <c r="P550" s="25"/>
      <c r="Q550" s="25"/>
      <c r="R550" s="25"/>
      <c r="S550" s="106"/>
      <c r="T550" s="23"/>
      <c r="U550" s="153"/>
      <c r="V550" s="153"/>
      <c r="W550" s="153"/>
      <c r="X550" s="153"/>
      <c r="Y550" s="153"/>
      <c r="Z550" s="153"/>
    </row>
    <row r="551" spans="1:26">
      <c r="A551" s="774"/>
      <c r="B551" s="158" t="s">
        <v>3478</v>
      </c>
      <c r="C551" s="158" t="s">
        <v>3146</v>
      </c>
      <c r="D551" s="158" t="s">
        <v>2595</v>
      </c>
      <c r="E551" s="516" t="s">
        <v>1732</v>
      </c>
      <c r="F551" s="158" t="s">
        <v>1849</v>
      </c>
      <c r="G551" s="187" t="s">
        <v>2596</v>
      </c>
      <c r="H551" s="160"/>
      <c r="I551" s="513" t="s">
        <v>1736</v>
      </c>
      <c r="J551" s="317" t="s">
        <v>1737</v>
      </c>
      <c r="K551" s="317" t="s">
        <v>1737</v>
      </c>
      <c r="L551" s="106"/>
      <c r="M551" s="106"/>
      <c r="N551" s="164"/>
      <c r="O551" s="106"/>
      <c r="P551" s="25"/>
      <c r="Q551" s="25"/>
      <c r="R551" s="25"/>
      <c r="S551" s="106"/>
      <c r="T551" s="23"/>
      <c r="U551" s="153"/>
      <c r="V551" s="153"/>
      <c r="W551" s="153"/>
      <c r="X551" s="153"/>
      <c r="Y551" s="153"/>
      <c r="Z551" s="153"/>
    </row>
    <row r="552" spans="1:26">
      <c r="A552" s="774"/>
      <c r="B552" s="158" t="s">
        <v>3479</v>
      </c>
      <c r="C552" s="158" t="s">
        <v>3146</v>
      </c>
      <c r="D552" s="158" t="s">
        <v>2598</v>
      </c>
      <c r="E552" s="516" t="s">
        <v>1732</v>
      </c>
      <c r="F552" s="158" t="s">
        <v>1849</v>
      </c>
      <c r="G552" s="187" t="s">
        <v>2599</v>
      </c>
      <c r="H552" s="160"/>
      <c r="I552" s="513" t="s">
        <v>1736</v>
      </c>
      <c r="J552" s="317" t="s">
        <v>1737</v>
      </c>
      <c r="K552" s="317" t="s">
        <v>1737</v>
      </c>
      <c r="L552" s="106"/>
      <c r="M552" s="106"/>
      <c r="N552" s="164"/>
      <c r="O552" s="106"/>
      <c r="P552" s="25"/>
      <c r="Q552" s="25"/>
      <c r="R552" s="25"/>
      <c r="S552" s="106"/>
      <c r="T552" s="23"/>
      <c r="U552" s="153"/>
      <c r="V552" s="153"/>
      <c r="W552" s="153"/>
      <c r="X552" s="153"/>
      <c r="Y552" s="153"/>
      <c r="Z552" s="153"/>
    </row>
    <row r="553" spans="1:26">
      <c r="A553" s="774"/>
      <c r="B553" s="158" t="s">
        <v>3480</v>
      </c>
      <c r="C553" s="158" t="s">
        <v>3146</v>
      </c>
      <c r="D553" s="158" t="s">
        <v>2601</v>
      </c>
      <c r="E553" s="516" t="s">
        <v>1732</v>
      </c>
      <c r="F553" s="158" t="s">
        <v>1849</v>
      </c>
      <c r="G553" s="187" t="s">
        <v>2602</v>
      </c>
      <c r="H553" s="160"/>
      <c r="I553" s="513" t="s">
        <v>1736</v>
      </c>
      <c r="J553" s="317" t="s">
        <v>1737</v>
      </c>
      <c r="K553" s="317" t="s">
        <v>1737</v>
      </c>
      <c r="L553" s="106"/>
      <c r="M553" s="106"/>
      <c r="N553" s="164"/>
      <c r="O553" s="106"/>
      <c r="P553" s="25"/>
      <c r="Q553" s="25"/>
      <c r="R553" s="25"/>
      <c r="S553" s="106"/>
      <c r="T553" s="23"/>
      <c r="U553" s="153"/>
      <c r="V553" s="153"/>
      <c r="W553" s="153"/>
      <c r="X553" s="153"/>
      <c r="Y553" s="153"/>
      <c r="Z553" s="153"/>
    </row>
    <row r="554" spans="1:26">
      <c r="A554" s="774"/>
      <c r="B554" s="158" t="s">
        <v>3481</v>
      </c>
      <c r="C554" s="158" t="s">
        <v>3146</v>
      </c>
      <c r="D554" s="158" t="s">
        <v>2604</v>
      </c>
      <c r="E554" s="516" t="s">
        <v>1732</v>
      </c>
      <c r="F554" s="158" t="s">
        <v>1849</v>
      </c>
      <c r="G554" s="187" t="s">
        <v>2605</v>
      </c>
      <c r="H554" s="160"/>
      <c r="I554" s="513" t="s">
        <v>1736</v>
      </c>
      <c r="J554" s="317" t="s">
        <v>1737</v>
      </c>
      <c r="K554" s="317" t="s">
        <v>1737</v>
      </c>
      <c r="L554" s="106"/>
      <c r="M554" s="106"/>
      <c r="N554" s="164"/>
      <c r="O554" s="106"/>
      <c r="P554" s="25"/>
      <c r="Q554" s="25"/>
      <c r="R554" s="25"/>
      <c r="S554" s="106"/>
      <c r="T554" s="23"/>
      <c r="U554" s="153"/>
      <c r="V554" s="153"/>
      <c r="W554" s="153"/>
      <c r="X554" s="153"/>
      <c r="Y554" s="153"/>
      <c r="Z554" s="153"/>
    </row>
    <row r="555" spans="1:26">
      <c r="A555" s="774"/>
      <c r="B555" s="158" t="s">
        <v>3482</v>
      </c>
      <c r="C555" s="158" t="s">
        <v>3146</v>
      </c>
      <c r="D555" s="158" t="s">
        <v>2607</v>
      </c>
      <c r="E555" s="516" t="s">
        <v>1732</v>
      </c>
      <c r="F555" s="158" t="s">
        <v>1849</v>
      </c>
      <c r="G555" s="187" t="s">
        <v>2608</v>
      </c>
      <c r="H555" s="160"/>
      <c r="I555" s="513" t="s">
        <v>1736</v>
      </c>
      <c r="J555" s="317" t="s">
        <v>1737</v>
      </c>
      <c r="K555" s="317" t="s">
        <v>1737</v>
      </c>
      <c r="L555" s="106"/>
      <c r="M555" s="106"/>
      <c r="N555" s="164"/>
      <c r="O555" s="106"/>
      <c r="P555" s="25"/>
      <c r="Q555" s="25"/>
      <c r="R555" s="25"/>
      <c r="S555" s="106"/>
      <c r="T555" s="23"/>
      <c r="U555" s="153"/>
      <c r="V555" s="153"/>
      <c r="W555" s="153"/>
      <c r="X555" s="153"/>
      <c r="Y555" s="153"/>
      <c r="Z555" s="153"/>
    </row>
    <row r="556" spans="1:26">
      <c r="A556" s="774"/>
      <c r="B556" s="158" t="s">
        <v>3483</v>
      </c>
      <c r="C556" s="158" t="s">
        <v>3146</v>
      </c>
      <c r="D556" s="158" t="s">
        <v>2610</v>
      </c>
      <c r="E556" s="516" t="s">
        <v>1732</v>
      </c>
      <c r="F556" s="158" t="s">
        <v>1849</v>
      </c>
      <c r="G556" s="187" t="s">
        <v>2611</v>
      </c>
      <c r="H556" s="160"/>
      <c r="I556" s="513" t="s">
        <v>1736</v>
      </c>
      <c r="J556" s="317" t="s">
        <v>1737</v>
      </c>
      <c r="K556" s="317" t="s">
        <v>1737</v>
      </c>
      <c r="L556" s="106"/>
      <c r="M556" s="106"/>
      <c r="N556" s="164"/>
      <c r="O556" s="106"/>
      <c r="P556" s="25"/>
      <c r="Q556" s="25"/>
      <c r="R556" s="25"/>
      <c r="S556" s="106"/>
      <c r="T556" s="23"/>
      <c r="U556" s="153"/>
      <c r="V556" s="153"/>
      <c r="W556" s="153"/>
      <c r="X556" s="153"/>
      <c r="Y556" s="153"/>
      <c r="Z556" s="153"/>
    </row>
    <row r="557" spans="1:26">
      <c r="A557" s="774"/>
      <c r="B557" s="158" t="s">
        <v>3484</v>
      </c>
      <c r="C557" s="158" t="s">
        <v>3146</v>
      </c>
      <c r="D557" s="158" t="s">
        <v>2613</v>
      </c>
      <c r="E557" s="516" t="s">
        <v>1732</v>
      </c>
      <c r="F557" s="158" t="s">
        <v>1849</v>
      </c>
      <c r="G557" s="187" t="s">
        <v>2614</v>
      </c>
      <c r="H557" s="160"/>
      <c r="I557" s="513" t="s">
        <v>1736</v>
      </c>
      <c r="J557" s="317" t="s">
        <v>1737</v>
      </c>
      <c r="K557" s="317" t="s">
        <v>1737</v>
      </c>
      <c r="L557" s="106"/>
      <c r="M557" s="106"/>
      <c r="N557" s="164"/>
      <c r="O557" s="106"/>
      <c r="P557" s="25"/>
      <c r="Q557" s="25"/>
      <c r="R557" s="25"/>
      <c r="S557" s="106"/>
      <c r="T557" s="23"/>
      <c r="U557" s="153"/>
      <c r="V557" s="153"/>
      <c r="W557" s="153"/>
      <c r="X557" s="153"/>
      <c r="Y557" s="153"/>
      <c r="Z557" s="153"/>
    </row>
    <row r="558" spans="1:26">
      <c r="A558" s="774"/>
      <c r="B558" s="158" t="s">
        <v>3485</v>
      </c>
      <c r="C558" s="158" t="s">
        <v>3146</v>
      </c>
      <c r="D558" s="158" t="s">
        <v>2616</v>
      </c>
      <c r="E558" s="516" t="s">
        <v>1732</v>
      </c>
      <c r="F558" s="158" t="s">
        <v>1849</v>
      </c>
      <c r="G558" s="187" t="s">
        <v>2617</v>
      </c>
      <c r="H558" s="160"/>
      <c r="I558" s="513" t="s">
        <v>1736</v>
      </c>
      <c r="J558" s="317" t="s">
        <v>1737</v>
      </c>
      <c r="K558" s="317" t="s">
        <v>1737</v>
      </c>
      <c r="L558" s="106"/>
      <c r="M558" s="106"/>
      <c r="N558" s="164"/>
      <c r="O558" s="106"/>
      <c r="P558" s="25"/>
      <c r="Q558" s="25"/>
      <c r="R558" s="25"/>
      <c r="S558" s="106"/>
      <c r="T558" s="23"/>
      <c r="U558" s="153"/>
      <c r="V558" s="153"/>
      <c r="W558" s="153"/>
      <c r="X558" s="153"/>
      <c r="Y558" s="153"/>
      <c r="Z558" s="153"/>
    </row>
    <row r="559" spans="1:26">
      <c r="A559" s="774"/>
      <c r="B559" s="158" t="s">
        <v>3486</v>
      </c>
      <c r="C559" s="158" t="s">
        <v>3146</v>
      </c>
      <c r="D559" s="158" t="s">
        <v>2619</v>
      </c>
      <c r="E559" s="516" t="s">
        <v>1732</v>
      </c>
      <c r="F559" s="158" t="s">
        <v>1849</v>
      </c>
      <c r="G559" s="187" t="s">
        <v>2620</v>
      </c>
      <c r="H559" s="158" t="s">
        <v>2621</v>
      </c>
      <c r="I559" s="513" t="s">
        <v>1736</v>
      </c>
      <c r="J559" s="317" t="s">
        <v>1737</v>
      </c>
      <c r="K559" s="317" t="s">
        <v>1737</v>
      </c>
      <c r="L559" s="106"/>
      <c r="M559" s="106"/>
      <c r="N559" s="164"/>
      <c r="O559" s="106"/>
      <c r="P559" s="25"/>
      <c r="Q559" s="25"/>
      <c r="R559" s="25"/>
      <c r="S559" s="106"/>
      <c r="T559" s="23"/>
      <c r="U559" s="153"/>
      <c r="V559" s="153"/>
      <c r="W559" s="153"/>
      <c r="X559" s="153"/>
      <c r="Y559" s="153"/>
      <c r="Z559" s="153"/>
    </row>
    <row r="560" spans="1:26">
      <c r="A560" s="774"/>
      <c r="B560" s="158" t="s">
        <v>3487</v>
      </c>
      <c r="C560" s="158" t="s">
        <v>3146</v>
      </c>
      <c r="D560" s="158" t="s">
        <v>2623</v>
      </c>
      <c r="E560" s="516" t="s">
        <v>1732</v>
      </c>
      <c r="F560" s="158" t="s">
        <v>1849</v>
      </c>
      <c r="G560" s="187" t="s">
        <v>2624</v>
      </c>
      <c r="H560" s="160"/>
      <c r="I560" s="513" t="s">
        <v>1736</v>
      </c>
      <c r="J560" s="317" t="s">
        <v>1737</v>
      </c>
      <c r="K560" s="317" t="s">
        <v>1737</v>
      </c>
      <c r="L560" s="106"/>
      <c r="M560" s="106"/>
      <c r="N560" s="164"/>
      <c r="O560" s="106"/>
      <c r="P560" s="25"/>
      <c r="Q560" s="25"/>
      <c r="R560" s="25"/>
      <c r="S560" s="106"/>
      <c r="T560" s="23"/>
      <c r="U560" s="153"/>
      <c r="V560" s="153"/>
      <c r="W560" s="153"/>
      <c r="X560" s="153"/>
      <c r="Y560" s="153"/>
      <c r="Z560" s="153"/>
    </row>
    <row r="561" spans="1:26">
      <c r="A561" s="774"/>
      <c r="B561" s="158" t="s">
        <v>3488</v>
      </c>
      <c r="C561" s="158" t="s">
        <v>3146</v>
      </c>
      <c r="D561" s="158" t="s">
        <v>2626</v>
      </c>
      <c r="E561" s="516" t="s">
        <v>1732</v>
      </c>
      <c r="F561" s="158" t="s">
        <v>1849</v>
      </c>
      <c r="G561" s="187" t="s">
        <v>2627</v>
      </c>
      <c r="H561" s="160"/>
      <c r="I561" s="513" t="s">
        <v>1736</v>
      </c>
      <c r="J561" s="317" t="s">
        <v>1737</v>
      </c>
      <c r="K561" s="317" t="s">
        <v>1737</v>
      </c>
      <c r="L561" s="106"/>
      <c r="M561" s="106"/>
      <c r="N561" s="164"/>
      <c r="O561" s="106"/>
      <c r="P561" s="25"/>
      <c r="Q561" s="25"/>
      <c r="R561" s="25"/>
      <c r="S561" s="106"/>
      <c r="T561" s="23"/>
      <c r="U561" s="153"/>
      <c r="V561" s="153"/>
      <c r="W561" s="153"/>
      <c r="X561" s="153"/>
      <c r="Y561" s="153"/>
      <c r="Z561" s="153"/>
    </row>
    <row r="562" spans="1:26">
      <c r="A562" s="774"/>
      <c r="B562" s="158" t="s">
        <v>3489</v>
      </c>
      <c r="C562" s="158" t="s">
        <v>3146</v>
      </c>
      <c r="D562" s="158" t="s">
        <v>2629</v>
      </c>
      <c r="E562" s="516" t="s">
        <v>1732</v>
      </c>
      <c r="F562" s="158" t="s">
        <v>1849</v>
      </c>
      <c r="G562" s="187" t="s">
        <v>2630</v>
      </c>
      <c r="H562" s="160"/>
      <c r="I562" s="513" t="s">
        <v>1736</v>
      </c>
      <c r="J562" s="317" t="s">
        <v>1737</v>
      </c>
      <c r="K562" s="317" t="s">
        <v>1737</v>
      </c>
      <c r="L562" s="106"/>
      <c r="M562" s="106"/>
      <c r="N562" s="164"/>
      <c r="O562" s="106"/>
      <c r="P562" s="25"/>
      <c r="Q562" s="25"/>
      <c r="R562" s="25"/>
      <c r="S562" s="106"/>
      <c r="T562" s="23"/>
      <c r="U562" s="153"/>
      <c r="V562" s="153"/>
      <c r="W562" s="153"/>
      <c r="X562" s="153"/>
      <c r="Y562" s="153"/>
      <c r="Z562" s="153"/>
    </row>
    <row r="563" spans="1:26">
      <c r="A563" s="774"/>
      <c r="B563" s="158" t="s">
        <v>3490</v>
      </c>
      <c r="C563" s="158" t="s">
        <v>3146</v>
      </c>
      <c r="D563" s="158" t="s">
        <v>2632</v>
      </c>
      <c r="E563" s="516" t="s">
        <v>1732</v>
      </c>
      <c r="F563" s="158" t="s">
        <v>1849</v>
      </c>
      <c r="G563" s="187" t="s">
        <v>2633</v>
      </c>
      <c r="H563" s="160"/>
      <c r="I563" s="513" t="s">
        <v>1736</v>
      </c>
      <c r="J563" s="317" t="s">
        <v>1737</v>
      </c>
      <c r="K563" s="317" t="s">
        <v>1737</v>
      </c>
      <c r="L563" s="106"/>
      <c r="M563" s="106"/>
      <c r="N563" s="164"/>
      <c r="O563" s="106"/>
      <c r="P563" s="25"/>
      <c r="Q563" s="25"/>
      <c r="R563" s="25"/>
      <c r="S563" s="106"/>
      <c r="T563" s="23"/>
      <c r="U563" s="153"/>
      <c r="V563" s="153"/>
      <c r="W563" s="153"/>
      <c r="X563" s="153"/>
      <c r="Y563" s="153"/>
      <c r="Z563" s="153"/>
    </row>
    <row r="564" spans="1:26">
      <c r="A564" s="774"/>
      <c r="B564" s="158" t="s">
        <v>3491</v>
      </c>
      <c r="C564" s="158" t="s">
        <v>3146</v>
      </c>
      <c r="D564" s="158" t="s">
        <v>2635</v>
      </c>
      <c r="E564" s="516" t="s">
        <v>1732</v>
      </c>
      <c r="F564" s="158" t="s">
        <v>1849</v>
      </c>
      <c r="G564" s="187" t="s">
        <v>2636</v>
      </c>
      <c r="H564" s="160"/>
      <c r="I564" s="513" t="s">
        <v>1736</v>
      </c>
      <c r="J564" s="317" t="s">
        <v>1737</v>
      </c>
      <c r="K564" s="317" t="s">
        <v>1737</v>
      </c>
      <c r="L564" s="106"/>
      <c r="M564" s="106"/>
      <c r="N564" s="164"/>
      <c r="O564" s="106"/>
      <c r="P564" s="25"/>
      <c r="Q564" s="25"/>
      <c r="R564" s="25"/>
      <c r="S564" s="106"/>
      <c r="T564" s="23"/>
      <c r="U564" s="153"/>
      <c r="V564" s="153"/>
      <c r="W564" s="153"/>
      <c r="X564" s="153"/>
      <c r="Y564" s="153"/>
      <c r="Z564" s="153"/>
    </row>
    <row r="565" spans="1:26">
      <c r="A565" s="774"/>
      <c r="B565" s="158" t="s">
        <v>3492</v>
      </c>
      <c r="C565" s="158" t="s">
        <v>3146</v>
      </c>
      <c r="D565" s="158" t="s">
        <v>2638</v>
      </c>
      <c r="E565" s="516" t="s">
        <v>1732</v>
      </c>
      <c r="F565" s="158" t="s">
        <v>1849</v>
      </c>
      <c r="G565" s="187" t="s">
        <v>2639</v>
      </c>
      <c r="H565" s="160"/>
      <c r="I565" s="513" t="s">
        <v>1736</v>
      </c>
      <c r="J565" s="317" t="s">
        <v>1737</v>
      </c>
      <c r="K565" s="317" t="s">
        <v>1737</v>
      </c>
      <c r="L565" s="106"/>
      <c r="M565" s="106"/>
      <c r="N565" s="164"/>
      <c r="O565" s="106"/>
      <c r="P565" s="25"/>
      <c r="Q565" s="25"/>
      <c r="R565" s="25"/>
      <c r="S565" s="106"/>
      <c r="T565" s="23"/>
      <c r="U565" s="153"/>
      <c r="V565" s="153"/>
      <c r="W565" s="153"/>
      <c r="X565" s="153"/>
      <c r="Y565" s="153"/>
      <c r="Z565" s="153"/>
    </row>
    <row r="566" spans="1:26">
      <c r="A566" s="774"/>
      <c r="B566" s="158" t="s">
        <v>3493</v>
      </c>
      <c r="C566" s="158" t="s">
        <v>3146</v>
      </c>
      <c r="D566" s="158" t="s">
        <v>2641</v>
      </c>
      <c r="E566" s="516" t="s">
        <v>1732</v>
      </c>
      <c r="F566" s="158" t="s">
        <v>1849</v>
      </c>
      <c r="G566" s="187" t="s">
        <v>2642</v>
      </c>
      <c r="H566" s="160"/>
      <c r="I566" s="513" t="s">
        <v>1736</v>
      </c>
      <c r="J566" s="317" t="s">
        <v>1737</v>
      </c>
      <c r="K566" s="317" t="s">
        <v>1737</v>
      </c>
      <c r="L566" s="106"/>
      <c r="M566" s="106"/>
      <c r="N566" s="164"/>
      <c r="O566" s="106"/>
      <c r="P566" s="25"/>
      <c r="Q566" s="25"/>
      <c r="R566" s="25"/>
      <c r="S566" s="106"/>
      <c r="T566" s="23"/>
      <c r="U566" s="153"/>
      <c r="V566" s="153"/>
      <c r="W566" s="153"/>
      <c r="X566" s="153"/>
      <c r="Y566" s="153"/>
      <c r="Z566" s="153"/>
    </row>
    <row r="567" spans="1:26">
      <c r="A567" s="774"/>
      <c r="B567" s="158" t="s">
        <v>3494</v>
      </c>
      <c r="C567" s="158" t="s">
        <v>3146</v>
      </c>
      <c r="D567" s="158" t="s">
        <v>2644</v>
      </c>
      <c r="E567" s="516" t="s">
        <v>1732</v>
      </c>
      <c r="F567" s="158" t="s">
        <v>1849</v>
      </c>
      <c r="G567" s="187" t="s">
        <v>2645</v>
      </c>
      <c r="H567" s="160"/>
      <c r="I567" s="513" t="s">
        <v>1736</v>
      </c>
      <c r="J567" s="317" t="s">
        <v>1737</v>
      </c>
      <c r="K567" s="317" t="s">
        <v>1737</v>
      </c>
      <c r="L567" s="106"/>
      <c r="M567" s="106"/>
      <c r="N567" s="164"/>
      <c r="O567" s="106"/>
      <c r="P567" s="25"/>
      <c r="Q567" s="25"/>
      <c r="R567" s="25"/>
      <c r="S567" s="106"/>
      <c r="T567" s="23"/>
      <c r="U567" s="153"/>
      <c r="V567" s="153"/>
      <c r="W567" s="153"/>
      <c r="X567" s="153"/>
      <c r="Y567" s="153"/>
      <c r="Z567" s="153"/>
    </row>
    <row r="568" spans="1:26">
      <c r="A568" s="774"/>
      <c r="B568" s="158" t="s">
        <v>3495</v>
      </c>
      <c r="C568" s="158" t="s">
        <v>3146</v>
      </c>
      <c r="D568" s="158" t="s">
        <v>2647</v>
      </c>
      <c r="E568" s="516" t="s">
        <v>1732</v>
      </c>
      <c r="F568" s="158" t="s">
        <v>1849</v>
      </c>
      <c r="G568" s="187" t="s">
        <v>2648</v>
      </c>
      <c r="H568" s="160"/>
      <c r="I568" s="513" t="s">
        <v>1736</v>
      </c>
      <c r="J568" s="317" t="s">
        <v>1737</v>
      </c>
      <c r="K568" s="317" t="s">
        <v>1737</v>
      </c>
      <c r="L568" s="106"/>
      <c r="M568" s="106"/>
      <c r="N568" s="164"/>
      <c r="O568" s="106"/>
      <c r="P568" s="25"/>
      <c r="Q568" s="25"/>
      <c r="R568" s="25"/>
      <c r="S568" s="106"/>
      <c r="T568" s="23"/>
      <c r="U568" s="153"/>
      <c r="V568" s="153"/>
      <c r="W568" s="153"/>
      <c r="X568" s="153"/>
      <c r="Y568" s="153"/>
      <c r="Z568" s="153"/>
    </row>
    <row r="569" spans="1:26">
      <c r="A569" s="774"/>
      <c r="B569" s="158" t="s">
        <v>3496</v>
      </c>
      <c r="C569" s="158" t="s">
        <v>3146</v>
      </c>
      <c r="D569" s="158" t="s">
        <v>2650</v>
      </c>
      <c r="E569" s="516" t="s">
        <v>1732</v>
      </c>
      <c r="F569" s="158" t="s">
        <v>1849</v>
      </c>
      <c r="G569" s="187" t="s">
        <v>2651</v>
      </c>
      <c r="H569" s="160"/>
      <c r="I569" s="513" t="s">
        <v>1736</v>
      </c>
      <c r="J569" s="317" t="s">
        <v>1737</v>
      </c>
      <c r="K569" s="317" t="s">
        <v>1737</v>
      </c>
      <c r="L569" s="106"/>
      <c r="M569" s="106"/>
      <c r="N569" s="164"/>
      <c r="O569" s="106"/>
      <c r="P569" s="25"/>
      <c r="Q569" s="25"/>
      <c r="R569" s="25"/>
      <c r="S569" s="106"/>
      <c r="T569" s="23"/>
      <c r="U569" s="153"/>
      <c r="V569" s="153"/>
      <c r="W569" s="153"/>
      <c r="X569" s="153"/>
      <c r="Y569" s="153"/>
      <c r="Z569" s="153"/>
    </row>
    <row r="570" spans="1:26">
      <c r="A570" s="774"/>
      <c r="B570" s="158" t="s">
        <v>3497</v>
      </c>
      <c r="C570" s="158" t="s">
        <v>3146</v>
      </c>
      <c r="D570" s="158" t="s">
        <v>2653</v>
      </c>
      <c r="E570" s="516" t="s">
        <v>1732</v>
      </c>
      <c r="F570" s="158" t="s">
        <v>1849</v>
      </c>
      <c r="G570" s="187" t="s">
        <v>2654</v>
      </c>
      <c r="H570" s="160"/>
      <c r="I570" s="513" t="s">
        <v>1736</v>
      </c>
      <c r="J570" s="317" t="s">
        <v>1737</v>
      </c>
      <c r="K570" s="317" t="s">
        <v>1737</v>
      </c>
      <c r="L570" s="106"/>
      <c r="M570" s="106"/>
      <c r="N570" s="164"/>
      <c r="O570" s="106"/>
      <c r="P570" s="25"/>
      <c r="Q570" s="25"/>
      <c r="R570" s="25"/>
      <c r="S570" s="106"/>
      <c r="T570" s="23"/>
      <c r="U570" s="153"/>
      <c r="V570" s="153"/>
      <c r="W570" s="153"/>
      <c r="X570" s="153"/>
      <c r="Y570" s="153"/>
      <c r="Z570" s="153"/>
    </row>
    <row r="571" spans="1:26">
      <c r="A571" s="774"/>
      <c r="B571" s="158" t="s">
        <v>3498</v>
      </c>
      <c r="C571" s="158" t="s">
        <v>3146</v>
      </c>
      <c r="D571" s="158" t="s">
        <v>2656</v>
      </c>
      <c r="E571" s="516" t="s">
        <v>1732</v>
      </c>
      <c r="F571" s="158" t="s">
        <v>1849</v>
      </c>
      <c r="G571" s="187" t="s">
        <v>2657</v>
      </c>
      <c r="H571" s="160"/>
      <c r="I571" s="513" t="s">
        <v>1736</v>
      </c>
      <c r="J571" s="317" t="s">
        <v>1737</v>
      </c>
      <c r="K571" s="317" t="s">
        <v>1737</v>
      </c>
      <c r="L571" s="106"/>
      <c r="M571" s="106"/>
      <c r="N571" s="164"/>
      <c r="O571" s="106"/>
      <c r="P571" s="25"/>
      <c r="Q571" s="25"/>
      <c r="R571" s="25"/>
      <c r="S571" s="106"/>
      <c r="T571" s="23"/>
      <c r="U571" s="153"/>
      <c r="V571" s="153"/>
      <c r="W571" s="153"/>
      <c r="X571" s="153"/>
      <c r="Y571" s="153"/>
      <c r="Z571" s="153"/>
    </row>
    <row r="572" spans="1:26">
      <c r="A572" s="774"/>
      <c r="B572" s="158" t="s">
        <v>3499</v>
      </c>
      <c r="C572" s="158" t="s">
        <v>3146</v>
      </c>
      <c r="D572" s="158" t="s">
        <v>2659</v>
      </c>
      <c r="E572" s="516" t="s">
        <v>1732</v>
      </c>
      <c r="F572" s="158" t="s">
        <v>1849</v>
      </c>
      <c r="G572" s="187" t="s">
        <v>2660</v>
      </c>
      <c r="H572" s="160"/>
      <c r="I572" s="513" t="s">
        <v>1736</v>
      </c>
      <c r="J572" s="317" t="s">
        <v>1737</v>
      </c>
      <c r="K572" s="317" t="s">
        <v>1737</v>
      </c>
      <c r="L572" s="106"/>
      <c r="M572" s="106"/>
      <c r="N572" s="164"/>
      <c r="O572" s="106"/>
      <c r="P572" s="25"/>
      <c r="Q572" s="25"/>
      <c r="R572" s="25"/>
      <c r="S572" s="106"/>
      <c r="T572" s="23"/>
      <c r="U572" s="153"/>
      <c r="V572" s="153"/>
      <c r="W572" s="153"/>
      <c r="X572" s="153"/>
      <c r="Y572" s="153"/>
      <c r="Z572" s="153"/>
    </row>
    <row r="573" spans="1:26">
      <c r="A573" s="774"/>
      <c r="B573" s="158" t="s">
        <v>3500</v>
      </c>
      <c r="C573" s="158" t="s">
        <v>3146</v>
      </c>
      <c r="D573" s="158" t="s">
        <v>2662</v>
      </c>
      <c r="E573" s="516" t="s">
        <v>1732</v>
      </c>
      <c r="F573" s="158" t="s">
        <v>1849</v>
      </c>
      <c r="G573" s="187" t="s">
        <v>2663</v>
      </c>
      <c r="H573" s="160"/>
      <c r="I573" s="513" t="s">
        <v>1736</v>
      </c>
      <c r="J573" s="317" t="s">
        <v>1737</v>
      </c>
      <c r="K573" s="317" t="s">
        <v>1737</v>
      </c>
      <c r="L573" s="106"/>
      <c r="M573" s="106"/>
      <c r="N573" s="164"/>
      <c r="O573" s="106"/>
      <c r="P573" s="25"/>
      <c r="Q573" s="25"/>
      <c r="R573" s="25"/>
      <c r="S573" s="106"/>
      <c r="T573" s="23"/>
      <c r="U573" s="153"/>
      <c r="V573" s="153"/>
      <c r="W573" s="153"/>
      <c r="X573" s="153"/>
      <c r="Y573" s="153"/>
      <c r="Z573" s="153"/>
    </row>
    <row r="574" spans="1:26">
      <c r="A574" s="774"/>
      <c r="B574" s="158" t="s">
        <v>3501</v>
      </c>
      <c r="C574" s="158" t="s">
        <v>3146</v>
      </c>
      <c r="D574" s="158" t="s">
        <v>2665</v>
      </c>
      <c r="E574" s="516" t="s">
        <v>1732</v>
      </c>
      <c r="F574" s="158" t="s">
        <v>1849</v>
      </c>
      <c r="G574" s="187" t="s">
        <v>2666</v>
      </c>
      <c r="H574" s="160"/>
      <c r="I574" s="513" t="s">
        <v>1736</v>
      </c>
      <c r="J574" s="317" t="s">
        <v>1737</v>
      </c>
      <c r="K574" s="317" t="s">
        <v>1737</v>
      </c>
      <c r="L574" s="106"/>
      <c r="M574" s="106"/>
      <c r="N574" s="164"/>
      <c r="O574" s="106"/>
      <c r="P574" s="25"/>
      <c r="Q574" s="25"/>
      <c r="R574" s="25"/>
      <c r="S574" s="106"/>
      <c r="T574" s="23"/>
      <c r="U574" s="153"/>
      <c r="V574" s="153"/>
      <c r="W574" s="153"/>
      <c r="X574" s="153"/>
      <c r="Y574" s="153"/>
      <c r="Z574" s="153"/>
    </row>
    <row r="575" spans="1:26">
      <c r="A575" s="774"/>
      <c r="B575" s="158" t="s">
        <v>3502</v>
      </c>
      <c r="C575" s="158" t="s">
        <v>3146</v>
      </c>
      <c r="D575" s="158" t="s">
        <v>2668</v>
      </c>
      <c r="E575" s="516" t="s">
        <v>1732</v>
      </c>
      <c r="F575" s="158" t="s">
        <v>1849</v>
      </c>
      <c r="G575" s="187" t="s">
        <v>2669</v>
      </c>
      <c r="H575" s="160"/>
      <c r="I575" s="513" t="s">
        <v>1736</v>
      </c>
      <c r="J575" s="317" t="s">
        <v>1737</v>
      </c>
      <c r="K575" s="317" t="s">
        <v>1737</v>
      </c>
      <c r="L575" s="106"/>
      <c r="M575" s="106"/>
      <c r="N575" s="164"/>
      <c r="O575" s="106"/>
      <c r="P575" s="25"/>
      <c r="Q575" s="25"/>
      <c r="R575" s="25"/>
      <c r="S575" s="106"/>
      <c r="T575" s="23"/>
      <c r="U575" s="153"/>
      <c r="V575" s="153"/>
      <c r="W575" s="153"/>
      <c r="X575" s="153"/>
      <c r="Y575" s="153"/>
      <c r="Z575" s="153"/>
    </row>
    <row r="576" spans="1:26">
      <c r="A576" s="774"/>
      <c r="B576" s="158" t="s">
        <v>3503</v>
      </c>
      <c r="C576" s="158" t="s">
        <v>3146</v>
      </c>
      <c r="D576" s="158" t="s">
        <v>2671</v>
      </c>
      <c r="E576" s="516" t="s">
        <v>1732</v>
      </c>
      <c r="F576" s="158" t="s">
        <v>1849</v>
      </c>
      <c r="G576" s="187" t="s">
        <v>2672</v>
      </c>
      <c r="H576" s="160"/>
      <c r="I576" s="513" t="s">
        <v>1736</v>
      </c>
      <c r="J576" s="317" t="s">
        <v>1737</v>
      </c>
      <c r="K576" s="317" t="s">
        <v>1737</v>
      </c>
      <c r="L576" s="106"/>
      <c r="M576" s="106"/>
      <c r="N576" s="164"/>
      <c r="O576" s="106"/>
      <c r="P576" s="25"/>
      <c r="Q576" s="25"/>
      <c r="R576" s="25"/>
      <c r="S576" s="106"/>
      <c r="T576" s="23"/>
      <c r="U576" s="153"/>
      <c r="V576" s="153"/>
      <c r="W576" s="153"/>
      <c r="X576" s="153"/>
      <c r="Y576" s="153"/>
      <c r="Z576" s="153"/>
    </row>
    <row r="577" spans="1:26">
      <c r="A577" s="774"/>
      <c r="B577" s="158" t="s">
        <v>3504</v>
      </c>
      <c r="C577" s="158" t="s">
        <v>3146</v>
      </c>
      <c r="D577" s="158" t="s">
        <v>2674</v>
      </c>
      <c r="E577" s="516" t="s">
        <v>1732</v>
      </c>
      <c r="F577" s="158" t="s">
        <v>1849</v>
      </c>
      <c r="G577" s="187" t="s">
        <v>2675</v>
      </c>
      <c r="H577" s="160"/>
      <c r="I577" s="513" t="s">
        <v>1736</v>
      </c>
      <c r="J577" s="317" t="s">
        <v>1737</v>
      </c>
      <c r="K577" s="317" t="s">
        <v>1737</v>
      </c>
      <c r="L577" s="106"/>
      <c r="M577" s="106"/>
      <c r="N577" s="164"/>
      <c r="O577" s="106"/>
      <c r="P577" s="25"/>
      <c r="Q577" s="25"/>
      <c r="R577" s="25"/>
      <c r="S577" s="106"/>
      <c r="T577" s="23"/>
      <c r="U577" s="153"/>
      <c r="V577" s="153"/>
      <c r="W577" s="153"/>
      <c r="X577" s="153"/>
      <c r="Y577" s="153"/>
      <c r="Z577" s="153"/>
    </row>
    <row r="578" spans="1:26">
      <c r="A578" s="774"/>
      <c r="B578" s="158" t="s">
        <v>3505</v>
      </c>
      <c r="C578" s="158" t="s">
        <v>3146</v>
      </c>
      <c r="D578" s="158" t="s">
        <v>2677</v>
      </c>
      <c r="E578" s="516" t="s">
        <v>1732</v>
      </c>
      <c r="F578" s="158" t="s">
        <v>1849</v>
      </c>
      <c r="G578" s="187" t="s">
        <v>2678</v>
      </c>
      <c r="H578" s="160"/>
      <c r="I578" s="513" t="s">
        <v>1736</v>
      </c>
      <c r="J578" s="317" t="s">
        <v>1737</v>
      </c>
      <c r="K578" s="317" t="s">
        <v>1737</v>
      </c>
      <c r="L578" s="106"/>
      <c r="M578" s="106"/>
      <c r="N578" s="164"/>
      <c r="O578" s="106"/>
      <c r="P578" s="25"/>
      <c r="Q578" s="25"/>
      <c r="R578" s="25"/>
      <c r="S578" s="106"/>
      <c r="T578" s="23"/>
      <c r="U578" s="153"/>
      <c r="V578" s="153"/>
      <c r="W578" s="153"/>
      <c r="X578" s="153"/>
      <c r="Y578" s="153"/>
      <c r="Z578" s="153"/>
    </row>
    <row r="579" spans="1:26">
      <c r="A579" s="774"/>
      <c r="B579" s="158" t="s">
        <v>3506</v>
      </c>
      <c r="C579" s="158" t="s">
        <v>3146</v>
      </c>
      <c r="D579" s="158" t="s">
        <v>2680</v>
      </c>
      <c r="E579" s="516" t="s">
        <v>1732</v>
      </c>
      <c r="F579" s="158" t="s">
        <v>1849</v>
      </c>
      <c r="G579" s="187" t="s">
        <v>2681</v>
      </c>
      <c r="H579" s="160"/>
      <c r="I579" s="513" t="s">
        <v>1736</v>
      </c>
      <c r="J579" s="317" t="s">
        <v>1737</v>
      </c>
      <c r="K579" s="317" t="s">
        <v>1737</v>
      </c>
      <c r="L579" s="106"/>
      <c r="M579" s="106"/>
      <c r="N579" s="164"/>
      <c r="O579" s="106"/>
      <c r="P579" s="25"/>
      <c r="Q579" s="25"/>
      <c r="R579" s="25"/>
      <c r="S579" s="106"/>
      <c r="T579" s="23"/>
      <c r="U579" s="153"/>
      <c r="V579" s="153"/>
      <c r="W579" s="153"/>
      <c r="X579" s="153"/>
      <c r="Y579" s="153"/>
      <c r="Z579" s="153"/>
    </row>
    <row r="580" spans="1:26">
      <c r="A580" s="774"/>
      <c r="B580" s="158" t="s">
        <v>3507</v>
      </c>
      <c r="C580" s="158" t="s">
        <v>3146</v>
      </c>
      <c r="D580" s="158" t="s">
        <v>2683</v>
      </c>
      <c r="E580" s="516" t="s">
        <v>1732</v>
      </c>
      <c r="F580" s="158" t="s">
        <v>1849</v>
      </c>
      <c r="G580" s="187" t="s">
        <v>2684</v>
      </c>
      <c r="H580" s="158" t="s">
        <v>2685</v>
      </c>
      <c r="I580" s="513" t="s">
        <v>1736</v>
      </c>
      <c r="J580" s="317" t="s">
        <v>1737</v>
      </c>
      <c r="K580" s="317" t="s">
        <v>1737</v>
      </c>
      <c r="L580" s="106"/>
      <c r="M580" s="106"/>
      <c r="N580" s="164"/>
      <c r="O580" s="106"/>
      <c r="P580" s="25"/>
      <c r="Q580" s="25"/>
      <c r="R580" s="25"/>
      <c r="S580" s="106"/>
      <c r="T580" s="23"/>
      <c r="U580" s="153"/>
      <c r="V580" s="153"/>
      <c r="W580" s="153"/>
      <c r="X580" s="153"/>
      <c r="Y580" s="153"/>
      <c r="Z580" s="153"/>
    </row>
    <row r="581" spans="1:26">
      <c r="A581" s="774"/>
      <c r="B581" s="158" t="s">
        <v>3508</v>
      </c>
      <c r="C581" s="158" t="s">
        <v>3146</v>
      </c>
      <c r="D581" s="158" t="s">
        <v>2687</v>
      </c>
      <c r="E581" s="516" t="s">
        <v>1732</v>
      </c>
      <c r="F581" s="158" t="s">
        <v>1849</v>
      </c>
      <c r="G581" s="187" t="s">
        <v>2688</v>
      </c>
      <c r="H581" s="158" t="s">
        <v>2689</v>
      </c>
      <c r="I581" s="513" t="s">
        <v>1736</v>
      </c>
      <c r="J581" s="317" t="s">
        <v>1737</v>
      </c>
      <c r="K581" s="317" t="s">
        <v>1737</v>
      </c>
      <c r="L581" s="106"/>
      <c r="M581" s="106"/>
      <c r="N581" s="164"/>
      <c r="O581" s="106"/>
      <c r="P581" s="25"/>
      <c r="Q581" s="25"/>
      <c r="R581" s="25"/>
      <c r="S581" s="106"/>
      <c r="T581" s="23"/>
      <c r="U581" s="153"/>
      <c r="V581" s="153"/>
      <c r="W581" s="153"/>
      <c r="X581" s="153"/>
      <c r="Y581" s="153"/>
      <c r="Z581" s="153"/>
    </row>
    <row r="582" spans="1:26">
      <c r="A582" s="774"/>
      <c r="B582" s="158" t="s">
        <v>3509</v>
      </c>
      <c r="C582" s="158" t="s">
        <v>3146</v>
      </c>
      <c r="D582" s="158" t="s">
        <v>2691</v>
      </c>
      <c r="E582" s="516" t="s">
        <v>1732</v>
      </c>
      <c r="F582" s="158" t="s">
        <v>1849</v>
      </c>
      <c r="G582" s="187" t="s">
        <v>2692</v>
      </c>
      <c r="H582" s="158" t="s">
        <v>2693</v>
      </c>
      <c r="I582" s="513" t="s">
        <v>1736</v>
      </c>
      <c r="J582" s="317" t="s">
        <v>1737</v>
      </c>
      <c r="K582" s="317" t="s">
        <v>1737</v>
      </c>
      <c r="L582" s="106"/>
      <c r="M582" s="106"/>
      <c r="N582" s="164"/>
      <c r="O582" s="106"/>
      <c r="P582" s="25"/>
      <c r="Q582" s="25"/>
      <c r="R582" s="25"/>
      <c r="S582" s="106"/>
      <c r="T582" s="23"/>
      <c r="U582" s="153"/>
      <c r="V582" s="153"/>
      <c r="W582" s="153"/>
      <c r="X582" s="153"/>
      <c r="Y582" s="153"/>
      <c r="Z582" s="153"/>
    </row>
    <row r="583" spans="1:26">
      <c r="A583" s="774"/>
      <c r="B583" s="158" t="s">
        <v>3510</v>
      </c>
      <c r="C583" s="158" t="s">
        <v>3146</v>
      </c>
      <c r="D583" s="158" t="s">
        <v>2695</v>
      </c>
      <c r="E583" s="516" t="s">
        <v>1732</v>
      </c>
      <c r="F583" s="158" t="s">
        <v>1849</v>
      </c>
      <c r="G583" s="187" t="s">
        <v>2696</v>
      </c>
      <c r="H583" s="158" t="s">
        <v>2697</v>
      </c>
      <c r="I583" s="513" t="s">
        <v>1736</v>
      </c>
      <c r="J583" s="317" t="s">
        <v>1737</v>
      </c>
      <c r="K583" s="317" t="s">
        <v>1737</v>
      </c>
      <c r="L583" s="106"/>
      <c r="M583" s="106"/>
      <c r="N583" s="164"/>
      <c r="O583" s="106"/>
      <c r="P583" s="25"/>
      <c r="Q583" s="25"/>
      <c r="R583" s="25"/>
      <c r="S583" s="106"/>
      <c r="T583" s="23"/>
      <c r="U583" s="153"/>
      <c r="V583" s="153"/>
      <c r="W583" s="153"/>
      <c r="X583" s="153"/>
      <c r="Y583" s="153"/>
      <c r="Z583" s="153"/>
    </row>
    <row r="584" spans="1:26">
      <c r="A584" s="774"/>
      <c r="B584" s="158" t="s">
        <v>3511</v>
      </c>
      <c r="C584" s="158" t="s">
        <v>3146</v>
      </c>
      <c r="D584" s="158" t="s">
        <v>2699</v>
      </c>
      <c r="E584" s="516" t="s">
        <v>1732</v>
      </c>
      <c r="F584" s="158" t="s">
        <v>1849</v>
      </c>
      <c r="G584" s="187" t="s">
        <v>2700</v>
      </c>
      <c r="H584" s="158" t="s">
        <v>2701</v>
      </c>
      <c r="I584" s="513" t="s">
        <v>1736</v>
      </c>
      <c r="J584" s="317" t="s">
        <v>1737</v>
      </c>
      <c r="K584" s="317" t="s">
        <v>1737</v>
      </c>
      <c r="L584" s="106"/>
      <c r="M584" s="106"/>
      <c r="N584" s="164"/>
      <c r="O584" s="106"/>
      <c r="P584" s="25"/>
      <c r="Q584" s="25"/>
      <c r="R584" s="25"/>
      <c r="S584" s="106"/>
      <c r="T584" s="23"/>
      <c r="U584" s="153"/>
      <c r="V584" s="153"/>
      <c r="W584" s="153"/>
      <c r="X584" s="153"/>
      <c r="Y584" s="153"/>
      <c r="Z584" s="153"/>
    </row>
    <row r="585" spans="1:26">
      <c r="A585" s="774"/>
      <c r="B585" s="158" t="s">
        <v>3512</v>
      </c>
      <c r="C585" s="158" t="s">
        <v>3146</v>
      </c>
      <c r="D585" s="158" t="s">
        <v>2703</v>
      </c>
      <c r="E585" s="516" t="s">
        <v>1732</v>
      </c>
      <c r="F585" s="158" t="s">
        <v>1849</v>
      </c>
      <c r="G585" s="187" t="s">
        <v>2704</v>
      </c>
      <c r="H585" s="158" t="s">
        <v>2705</v>
      </c>
      <c r="I585" s="513" t="s">
        <v>1736</v>
      </c>
      <c r="J585" s="317" t="s">
        <v>1737</v>
      </c>
      <c r="K585" s="317" t="s">
        <v>1737</v>
      </c>
      <c r="L585" s="106"/>
      <c r="M585" s="106"/>
      <c r="N585" s="164"/>
      <c r="O585" s="106"/>
      <c r="P585" s="25"/>
      <c r="Q585" s="25"/>
      <c r="R585" s="25"/>
      <c r="S585" s="106"/>
      <c r="T585" s="23"/>
      <c r="U585" s="153"/>
      <c r="V585" s="153"/>
      <c r="W585" s="153"/>
      <c r="X585" s="153"/>
      <c r="Y585" s="153"/>
      <c r="Z585" s="153"/>
    </row>
    <row r="586" spans="1:26">
      <c r="A586" s="774"/>
      <c r="B586" s="158" t="s">
        <v>3513</v>
      </c>
      <c r="C586" s="158" t="s">
        <v>3146</v>
      </c>
      <c r="D586" s="158" t="s">
        <v>2707</v>
      </c>
      <c r="E586" s="516" t="s">
        <v>1732</v>
      </c>
      <c r="F586" s="158" t="s">
        <v>1849</v>
      </c>
      <c r="G586" s="187" t="s">
        <v>2708</v>
      </c>
      <c r="H586" s="158" t="s">
        <v>2709</v>
      </c>
      <c r="I586" s="513" t="s">
        <v>1736</v>
      </c>
      <c r="J586" s="317" t="s">
        <v>1737</v>
      </c>
      <c r="K586" s="317" t="s">
        <v>1737</v>
      </c>
      <c r="L586" s="106"/>
      <c r="M586" s="106"/>
      <c r="N586" s="164"/>
      <c r="O586" s="106"/>
      <c r="P586" s="25"/>
      <c r="Q586" s="25"/>
      <c r="R586" s="25"/>
      <c r="S586" s="106"/>
      <c r="T586" s="23"/>
      <c r="U586" s="153"/>
      <c r="V586" s="153"/>
      <c r="W586" s="153"/>
      <c r="X586" s="153"/>
      <c r="Y586" s="153"/>
      <c r="Z586" s="153"/>
    </row>
    <row r="587" spans="1:26">
      <c r="A587" s="774"/>
      <c r="B587" s="158" t="s">
        <v>3514</v>
      </c>
      <c r="C587" s="158" t="s">
        <v>3146</v>
      </c>
      <c r="D587" s="158" t="s">
        <v>2711</v>
      </c>
      <c r="E587" s="516" t="s">
        <v>1732</v>
      </c>
      <c r="F587" s="158" t="s">
        <v>1849</v>
      </c>
      <c r="G587" s="187" t="s">
        <v>2712</v>
      </c>
      <c r="H587" s="158" t="s">
        <v>2713</v>
      </c>
      <c r="I587" s="513" t="s">
        <v>1736</v>
      </c>
      <c r="J587" s="317" t="s">
        <v>1737</v>
      </c>
      <c r="K587" s="317" t="s">
        <v>1737</v>
      </c>
      <c r="L587" s="106"/>
      <c r="M587" s="106"/>
      <c r="N587" s="164"/>
      <c r="O587" s="106"/>
      <c r="P587" s="25"/>
      <c r="Q587" s="25"/>
      <c r="R587" s="25"/>
      <c r="S587" s="106"/>
      <c r="T587" s="23"/>
      <c r="U587" s="153"/>
      <c r="V587" s="153"/>
      <c r="W587" s="153"/>
      <c r="X587" s="153"/>
      <c r="Y587" s="153"/>
      <c r="Z587" s="153"/>
    </row>
    <row r="588" spans="1:26">
      <c r="A588" s="774"/>
      <c r="B588" s="158" t="s">
        <v>3515</v>
      </c>
      <c r="C588" s="158" t="s">
        <v>3146</v>
      </c>
      <c r="D588" s="158" t="s">
        <v>2715</v>
      </c>
      <c r="E588" s="516" t="s">
        <v>1732</v>
      </c>
      <c r="F588" s="158" t="s">
        <v>1849</v>
      </c>
      <c r="G588" s="187" t="s">
        <v>2716</v>
      </c>
      <c r="H588" s="158" t="s">
        <v>2717</v>
      </c>
      <c r="I588" s="513" t="s">
        <v>1736</v>
      </c>
      <c r="J588" s="317" t="s">
        <v>1737</v>
      </c>
      <c r="K588" s="317" t="s">
        <v>1737</v>
      </c>
      <c r="L588" s="106"/>
      <c r="M588" s="106"/>
      <c r="N588" s="164"/>
      <c r="O588" s="106"/>
      <c r="P588" s="25"/>
      <c r="Q588" s="25"/>
      <c r="R588" s="25"/>
      <c r="S588" s="106"/>
      <c r="T588" s="23"/>
      <c r="U588" s="153"/>
      <c r="V588" s="153"/>
      <c r="W588" s="153"/>
      <c r="X588" s="153"/>
      <c r="Y588" s="153"/>
      <c r="Z588" s="153"/>
    </row>
    <row r="589" spans="1:26">
      <c r="A589" s="774"/>
      <c r="B589" s="158" t="s">
        <v>3516</v>
      </c>
      <c r="C589" s="158" t="s">
        <v>3146</v>
      </c>
      <c r="D589" s="158" t="s">
        <v>2719</v>
      </c>
      <c r="E589" s="516" t="s">
        <v>1732</v>
      </c>
      <c r="F589" s="158" t="s">
        <v>1849</v>
      </c>
      <c r="G589" s="187" t="s">
        <v>2720</v>
      </c>
      <c r="H589" s="158" t="s">
        <v>2721</v>
      </c>
      <c r="I589" s="513" t="s">
        <v>1736</v>
      </c>
      <c r="J589" s="317" t="s">
        <v>1737</v>
      </c>
      <c r="K589" s="317" t="s">
        <v>1737</v>
      </c>
      <c r="L589" s="106"/>
      <c r="M589" s="106"/>
      <c r="N589" s="164"/>
      <c r="O589" s="106"/>
      <c r="P589" s="25"/>
      <c r="Q589" s="25"/>
      <c r="R589" s="25"/>
      <c r="S589" s="106"/>
      <c r="T589" s="23"/>
      <c r="U589" s="153"/>
      <c r="V589" s="153"/>
      <c r="W589" s="153"/>
      <c r="X589" s="153"/>
      <c r="Y589" s="153"/>
      <c r="Z589" s="153"/>
    </row>
    <row r="590" spans="1:26">
      <c r="A590" s="774"/>
      <c r="B590" s="158" t="s">
        <v>3517</v>
      </c>
      <c r="C590" s="158" t="s">
        <v>3146</v>
      </c>
      <c r="D590" s="158" t="s">
        <v>2723</v>
      </c>
      <c r="E590" s="516" t="s">
        <v>1732</v>
      </c>
      <c r="F590" s="158" t="s">
        <v>1849</v>
      </c>
      <c r="G590" s="187" t="s">
        <v>2724</v>
      </c>
      <c r="H590" s="158" t="s">
        <v>2725</v>
      </c>
      <c r="I590" s="513" t="s">
        <v>1736</v>
      </c>
      <c r="J590" s="317" t="s">
        <v>1737</v>
      </c>
      <c r="K590" s="317" t="s">
        <v>1737</v>
      </c>
      <c r="L590" s="106"/>
      <c r="M590" s="106"/>
      <c r="N590" s="164"/>
      <c r="O590" s="106"/>
      <c r="P590" s="25"/>
      <c r="Q590" s="25"/>
      <c r="R590" s="25"/>
      <c r="S590" s="106"/>
      <c r="T590" s="23"/>
      <c r="U590" s="153"/>
      <c r="V590" s="153"/>
      <c r="W590" s="153"/>
      <c r="X590" s="153"/>
      <c r="Y590" s="153"/>
      <c r="Z590" s="153"/>
    </row>
    <row r="591" spans="1:26">
      <c r="A591" s="774"/>
      <c r="B591" s="158" t="s">
        <v>3518</v>
      </c>
      <c r="C591" s="158" t="s">
        <v>3146</v>
      </c>
      <c r="D591" s="158" t="s">
        <v>2727</v>
      </c>
      <c r="E591" s="516" t="s">
        <v>1732</v>
      </c>
      <c r="F591" s="158" t="s">
        <v>1849</v>
      </c>
      <c r="G591" s="187" t="s">
        <v>2728</v>
      </c>
      <c r="H591" s="158" t="s">
        <v>2729</v>
      </c>
      <c r="I591" s="513" t="s">
        <v>1736</v>
      </c>
      <c r="J591" s="317" t="s">
        <v>1737</v>
      </c>
      <c r="K591" s="317" t="s">
        <v>1737</v>
      </c>
      <c r="L591" s="106"/>
      <c r="M591" s="106"/>
      <c r="N591" s="164"/>
      <c r="O591" s="106"/>
      <c r="P591" s="25"/>
      <c r="Q591" s="25"/>
      <c r="R591" s="25"/>
      <c r="S591" s="106"/>
      <c r="T591" s="23"/>
      <c r="U591" s="153"/>
      <c r="V591" s="153"/>
      <c r="W591" s="153"/>
      <c r="X591" s="153"/>
      <c r="Y591" s="153"/>
      <c r="Z591" s="153"/>
    </row>
    <row r="592" spans="1:26">
      <c r="A592" s="774"/>
      <c r="B592" s="158" t="s">
        <v>3519</v>
      </c>
      <c r="C592" s="158" t="s">
        <v>3146</v>
      </c>
      <c r="D592" s="158" t="s">
        <v>2731</v>
      </c>
      <c r="E592" s="516" t="s">
        <v>1732</v>
      </c>
      <c r="F592" s="158" t="s">
        <v>1849</v>
      </c>
      <c r="G592" s="187" t="s">
        <v>2732</v>
      </c>
      <c r="H592" s="158" t="s">
        <v>2733</v>
      </c>
      <c r="I592" s="513" t="s">
        <v>1736</v>
      </c>
      <c r="J592" s="317" t="s">
        <v>1737</v>
      </c>
      <c r="K592" s="317" t="s">
        <v>1737</v>
      </c>
      <c r="L592" s="106"/>
      <c r="M592" s="106"/>
      <c r="N592" s="164"/>
      <c r="O592" s="106"/>
      <c r="P592" s="25"/>
      <c r="Q592" s="25"/>
      <c r="R592" s="25"/>
      <c r="S592" s="106"/>
      <c r="T592" s="23"/>
      <c r="U592" s="153"/>
      <c r="V592" s="153"/>
      <c r="W592" s="153"/>
      <c r="X592" s="153"/>
      <c r="Y592" s="153"/>
      <c r="Z592" s="153"/>
    </row>
    <row r="593" spans="1:26">
      <c r="A593" s="774"/>
      <c r="B593" s="158" t="s">
        <v>3520</v>
      </c>
      <c r="C593" s="158" t="s">
        <v>3146</v>
      </c>
      <c r="D593" s="158" t="s">
        <v>2735</v>
      </c>
      <c r="E593" s="516" t="s">
        <v>1732</v>
      </c>
      <c r="F593" s="158" t="s">
        <v>1849</v>
      </c>
      <c r="G593" s="187" t="s">
        <v>2736</v>
      </c>
      <c r="H593" s="158" t="s">
        <v>2737</v>
      </c>
      <c r="I593" s="513" t="s">
        <v>1736</v>
      </c>
      <c r="J593" s="317" t="s">
        <v>1737</v>
      </c>
      <c r="K593" s="317" t="s">
        <v>1737</v>
      </c>
      <c r="L593" s="106"/>
      <c r="M593" s="106"/>
      <c r="N593" s="164"/>
      <c r="O593" s="106"/>
      <c r="P593" s="25"/>
      <c r="Q593" s="25"/>
      <c r="R593" s="25"/>
      <c r="S593" s="106"/>
      <c r="T593" s="23"/>
      <c r="U593" s="153"/>
      <c r="V593" s="153"/>
      <c r="W593" s="153"/>
      <c r="X593" s="153"/>
      <c r="Y593" s="153"/>
      <c r="Z593" s="153"/>
    </row>
    <row r="594" spans="1:26">
      <c r="A594" s="774"/>
      <c r="B594" s="158" t="s">
        <v>3521</v>
      </c>
      <c r="C594" s="158" t="s">
        <v>3146</v>
      </c>
      <c r="D594" s="158" t="s">
        <v>2739</v>
      </c>
      <c r="E594" s="516" t="s">
        <v>1732</v>
      </c>
      <c r="F594" s="158" t="s">
        <v>1849</v>
      </c>
      <c r="G594" s="187" t="s">
        <v>2740</v>
      </c>
      <c r="H594" s="158" t="s">
        <v>2741</v>
      </c>
      <c r="I594" s="513" t="s">
        <v>1736</v>
      </c>
      <c r="J594" s="317" t="s">
        <v>1737</v>
      </c>
      <c r="K594" s="317" t="s">
        <v>1737</v>
      </c>
      <c r="L594" s="106"/>
      <c r="M594" s="106"/>
      <c r="N594" s="164"/>
      <c r="O594" s="106"/>
      <c r="P594" s="25"/>
      <c r="Q594" s="25"/>
      <c r="R594" s="25"/>
      <c r="S594" s="106"/>
      <c r="T594" s="23"/>
      <c r="U594" s="153"/>
      <c r="V594" s="153"/>
      <c r="W594" s="153"/>
      <c r="X594" s="153"/>
      <c r="Y594" s="153"/>
      <c r="Z594" s="153"/>
    </row>
    <row r="595" spans="1:26">
      <c r="A595" s="774"/>
      <c r="B595" s="158" t="s">
        <v>3522</v>
      </c>
      <c r="C595" s="158" t="s">
        <v>3146</v>
      </c>
      <c r="D595" s="158" t="s">
        <v>2743</v>
      </c>
      <c r="E595" s="516" t="s">
        <v>1732</v>
      </c>
      <c r="F595" s="158" t="s">
        <v>1849</v>
      </c>
      <c r="G595" s="187" t="s">
        <v>2744</v>
      </c>
      <c r="H595" s="158" t="s">
        <v>2745</v>
      </c>
      <c r="I595" s="513" t="s">
        <v>1736</v>
      </c>
      <c r="J595" s="317" t="s">
        <v>1737</v>
      </c>
      <c r="K595" s="317" t="s">
        <v>1737</v>
      </c>
      <c r="L595" s="106"/>
      <c r="M595" s="106"/>
      <c r="N595" s="164"/>
      <c r="O595" s="106"/>
      <c r="P595" s="25"/>
      <c r="Q595" s="25"/>
      <c r="R595" s="25"/>
      <c r="S595" s="106"/>
      <c r="T595" s="23"/>
      <c r="U595" s="153"/>
      <c r="V595" s="153"/>
      <c r="W595" s="153"/>
      <c r="X595" s="153"/>
      <c r="Y595" s="153"/>
      <c r="Z595" s="153"/>
    </row>
    <row r="596" spans="1:26">
      <c r="A596" s="774"/>
      <c r="B596" s="158" t="s">
        <v>3523</v>
      </c>
      <c r="C596" s="158" t="s">
        <v>3146</v>
      </c>
      <c r="D596" s="158" t="s">
        <v>2747</v>
      </c>
      <c r="E596" s="516" t="s">
        <v>1743</v>
      </c>
      <c r="F596" s="158" t="s">
        <v>1779</v>
      </c>
      <c r="G596" s="158" t="s">
        <v>2748</v>
      </c>
      <c r="H596" s="158" t="s">
        <v>2749</v>
      </c>
      <c r="I596" s="513" t="s">
        <v>1736</v>
      </c>
      <c r="J596" s="317" t="s">
        <v>1737</v>
      </c>
      <c r="K596" s="317" t="s">
        <v>1737</v>
      </c>
      <c r="L596" s="106"/>
      <c r="M596" s="106"/>
      <c r="N596" s="164"/>
      <c r="O596" s="106"/>
      <c r="P596" s="25"/>
      <c r="Q596" s="25"/>
      <c r="R596" s="25"/>
      <c r="S596" s="106"/>
      <c r="T596" s="23"/>
      <c r="U596" s="153"/>
      <c r="V596" s="153"/>
      <c r="W596" s="153"/>
      <c r="X596" s="153"/>
      <c r="Y596" s="153"/>
      <c r="Z596" s="153"/>
    </row>
    <row r="597" spans="1:26">
      <c r="A597" s="773"/>
      <c r="B597" s="158" t="s">
        <v>3524</v>
      </c>
      <c r="C597" s="158" t="s">
        <v>3146</v>
      </c>
      <c r="D597" s="158" t="s">
        <v>1873</v>
      </c>
      <c r="E597" s="516" t="s">
        <v>1743</v>
      </c>
      <c r="F597" s="158" t="s">
        <v>1849</v>
      </c>
      <c r="G597" s="158" t="s">
        <v>2748</v>
      </c>
      <c r="H597" s="158" t="s">
        <v>1874</v>
      </c>
      <c r="I597" s="513" t="s">
        <v>1736</v>
      </c>
      <c r="J597" s="317" t="s">
        <v>1737</v>
      </c>
      <c r="K597" s="317" t="s">
        <v>1737</v>
      </c>
      <c r="L597" s="106"/>
      <c r="M597" s="106"/>
      <c r="N597" s="164"/>
      <c r="O597" s="106"/>
      <c r="P597" s="25"/>
      <c r="Q597" s="25"/>
      <c r="R597" s="25"/>
      <c r="S597" s="106"/>
      <c r="T597" s="23"/>
      <c r="U597" s="153"/>
      <c r="V597" s="153"/>
      <c r="W597" s="153"/>
      <c r="X597" s="153"/>
      <c r="Y597" s="153"/>
      <c r="Z597" s="153"/>
    </row>
    <row r="598" spans="1:26">
      <c r="A598" s="680" t="s">
        <v>3525</v>
      </c>
      <c r="B598" s="158" t="s">
        <v>3526</v>
      </c>
      <c r="C598" s="158" t="s">
        <v>3146</v>
      </c>
      <c r="D598" s="158" t="s">
        <v>3527</v>
      </c>
      <c r="E598" s="516" t="s">
        <v>1732</v>
      </c>
      <c r="F598" s="158" t="s">
        <v>1849</v>
      </c>
      <c r="G598" s="158" t="s">
        <v>2755</v>
      </c>
      <c r="H598" s="158" t="s">
        <v>2756</v>
      </c>
      <c r="I598" s="513" t="s">
        <v>1736</v>
      </c>
      <c r="J598" s="317" t="s">
        <v>1737</v>
      </c>
      <c r="K598" s="317" t="s">
        <v>1737</v>
      </c>
      <c r="L598" s="22"/>
      <c r="M598" s="106" t="s">
        <v>3528</v>
      </c>
      <c r="N598" s="164" t="s">
        <v>3529</v>
      </c>
      <c r="O598" s="106"/>
      <c r="P598" s="25"/>
      <c r="Q598" s="25"/>
      <c r="R598" s="25"/>
      <c r="S598" s="529">
        <v>45013</v>
      </c>
      <c r="T598" s="521" t="s">
        <v>1916</v>
      </c>
      <c r="U598" s="153"/>
      <c r="V598" s="153"/>
      <c r="W598" s="153"/>
      <c r="X598" s="153"/>
      <c r="Y598" s="153"/>
      <c r="Z598" s="153"/>
    </row>
    <row r="599" spans="1:26">
      <c r="A599" s="774"/>
      <c r="B599" s="158" t="s">
        <v>3530</v>
      </c>
      <c r="C599" s="158" t="s">
        <v>3146</v>
      </c>
      <c r="D599" s="158" t="s">
        <v>3531</v>
      </c>
      <c r="E599" s="516" t="s">
        <v>1732</v>
      </c>
      <c r="F599" s="158" t="s">
        <v>1849</v>
      </c>
      <c r="G599" s="158" t="s">
        <v>2760</v>
      </c>
      <c r="H599" s="158" t="s">
        <v>2761</v>
      </c>
      <c r="I599" s="513" t="s">
        <v>1736</v>
      </c>
      <c r="J599" s="317" t="s">
        <v>1737</v>
      </c>
      <c r="K599" s="317" t="s">
        <v>1737</v>
      </c>
      <c r="L599" s="106"/>
      <c r="M599" s="106" t="s">
        <v>3173</v>
      </c>
      <c r="N599" s="164" t="s">
        <v>3532</v>
      </c>
      <c r="O599" s="106"/>
      <c r="P599" s="25"/>
      <c r="Q599" s="25"/>
      <c r="R599" s="25"/>
      <c r="S599" s="529">
        <v>45013</v>
      </c>
      <c r="T599" s="521" t="s">
        <v>1916</v>
      </c>
      <c r="U599" s="153"/>
      <c r="V599" s="153"/>
      <c r="W599" s="153"/>
      <c r="X599" s="153"/>
      <c r="Y599" s="153"/>
      <c r="Z599" s="153"/>
    </row>
    <row r="600" spans="1:26">
      <c r="A600" s="774"/>
      <c r="B600" s="158" t="s">
        <v>3533</v>
      </c>
      <c r="C600" s="158" t="s">
        <v>3146</v>
      </c>
      <c r="D600" s="158" t="s">
        <v>3534</v>
      </c>
      <c r="E600" s="516" t="s">
        <v>1732</v>
      </c>
      <c r="F600" s="158" t="s">
        <v>1849</v>
      </c>
      <c r="G600" s="158" t="s">
        <v>2765</v>
      </c>
      <c r="H600" s="158" t="s">
        <v>2766</v>
      </c>
      <c r="I600" s="513" t="s">
        <v>1736</v>
      </c>
      <c r="J600" s="317" t="s">
        <v>1737</v>
      </c>
      <c r="K600" s="317" t="s">
        <v>1737</v>
      </c>
      <c r="L600" s="22"/>
      <c r="M600" s="106" t="s">
        <v>3528</v>
      </c>
      <c r="N600" s="164" t="s">
        <v>3535</v>
      </c>
      <c r="O600" s="106"/>
      <c r="P600" s="25"/>
      <c r="Q600" s="25"/>
      <c r="R600" s="25"/>
      <c r="S600" s="529">
        <v>45015</v>
      </c>
      <c r="T600" s="521" t="s">
        <v>1916</v>
      </c>
      <c r="U600" s="153"/>
      <c r="V600" s="153"/>
      <c r="W600" s="153"/>
      <c r="X600" s="153"/>
      <c r="Y600" s="153"/>
      <c r="Z600" s="153"/>
    </row>
    <row r="601" spans="1:26">
      <c r="A601" s="774"/>
      <c r="B601" s="158" t="s">
        <v>3536</v>
      </c>
      <c r="C601" s="158" t="s">
        <v>3146</v>
      </c>
      <c r="D601" s="158" t="s">
        <v>3537</v>
      </c>
      <c r="E601" s="516" t="s">
        <v>1732</v>
      </c>
      <c r="F601" s="158" t="s">
        <v>1849</v>
      </c>
      <c r="G601" s="158" t="s">
        <v>2770</v>
      </c>
      <c r="H601" s="158" t="s">
        <v>2771</v>
      </c>
      <c r="I601" s="513" t="s">
        <v>1736</v>
      </c>
      <c r="J601" s="317" t="s">
        <v>1737</v>
      </c>
      <c r="K601" s="317" t="s">
        <v>1737</v>
      </c>
      <c r="L601" s="22"/>
      <c r="M601" s="106" t="s">
        <v>3528</v>
      </c>
      <c r="N601" s="164" t="s">
        <v>3535</v>
      </c>
      <c r="O601" s="106"/>
      <c r="P601" s="25"/>
      <c r="Q601" s="25"/>
      <c r="R601" s="25"/>
      <c r="S601" s="529">
        <v>45015</v>
      </c>
      <c r="T601" s="521" t="s">
        <v>1916</v>
      </c>
      <c r="U601" s="153"/>
      <c r="V601" s="153"/>
      <c r="W601" s="153"/>
      <c r="X601" s="153"/>
      <c r="Y601" s="153"/>
      <c r="Z601" s="153"/>
    </row>
    <row r="602" spans="1:26">
      <c r="A602" s="773"/>
      <c r="B602" s="158" t="s">
        <v>3538</v>
      </c>
      <c r="C602" s="158" t="s">
        <v>3146</v>
      </c>
      <c r="D602" s="158" t="s">
        <v>1873</v>
      </c>
      <c r="E602" s="516" t="s">
        <v>1743</v>
      </c>
      <c r="F602" s="158" t="s">
        <v>1849</v>
      </c>
      <c r="G602" s="158" t="s">
        <v>2770</v>
      </c>
      <c r="H602" s="158" t="s">
        <v>1874</v>
      </c>
      <c r="I602" s="513" t="s">
        <v>1736</v>
      </c>
      <c r="J602" s="317" t="s">
        <v>1737</v>
      </c>
      <c r="K602" s="317" t="s">
        <v>1737</v>
      </c>
      <c r="L602" s="22"/>
      <c r="M602" s="106" t="s">
        <v>3528</v>
      </c>
      <c r="N602" s="164" t="s">
        <v>3535</v>
      </c>
      <c r="O602" s="106"/>
      <c r="P602" s="25"/>
      <c r="Q602" s="25"/>
      <c r="R602" s="25"/>
      <c r="S602" s="529">
        <v>45015</v>
      </c>
      <c r="T602" s="521" t="s">
        <v>1916</v>
      </c>
      <c r="U602" s="153"/>
      <c r="V602" s="153"/>
      <c r="W602" s="153"/>
      <c r="X602" s="153"/>
      <c r="Y602" s="153"/>
      <c r="Z602" s="153"/>
    </row>
    <row r="603" spans="1:26">
      <c r="A603" s="680" t="s">
        <v>3539</v>
      </c>
      <c r="B603" s="158" t="s">
        <v>3540</v>
      </c>
      <c r="C603" s="158" t="s">
        <v>3146</v>
      </c>
      <c r="D603" s="158" t="s">
        <v>3541</v>
      </c>
      <c r="E603" s="516" t="s">
        <v>1732</v>
      </c>
      <c r="F603" s="158" t="s">
        <v>1849</v>
      </c>
      <c r="G603" s="158" t="s">
        <v>2779</v>
      </c>
      <c r="H603" s="158" t="s">
        <v>2780</v>
      </c>
      <c r="I603" s="513" t="s">
        <v>1736</v>
      </c>
      <c r="J603" s="317" t="s">
        <v>1737</v>
      </c>
      <c r="K603" s="317" t="s">
        <v>1737</v>
      </c>
      <c r="L603" s="106"/>
      <c r="M603" s="106" t="s">
        <v>3542</v>
      </c>
      <c r="N603" s="164" t="s">
        <v>3543</v>
      </c>
      <c r="O603" s="106"/>
      <c r="P603" s="25"/>
      <c r="Q603" s="25"/>
      <c r="R603" s="525" t="s">
        <v>3233</v>
      </c>
      <c r="S603" s="106"/>
      <c r="T603" s="23"/>
      <c r="U603" s="153"/>
      <c r="V603" s="153"/>
      <c r="W603" s="153"/>
      <c r="X603" s="153"/>
      <c r="Y603" s="153"/>
      <c r="Z603" s="153"/>
    </row>
    <row r="604" spans="1:26">
      <c r="A604" s="774"/>
      <c r="B604" s="158" t="s">
        <v>3544</v>
      </c>
      <c r="C604" s="158" t="s">
        <v>3146</v>
      </c>
      <c r="D604" s="158" t="s">
        <v>2783</v>
      </c>
      <c r="E604" s="516" t="s">
        <v>1732</v>
      </c>
      <c r="F604" s="158" t="s">
        <v>1849</v>
      </c>
      <c r="G604" s="158" t="s">
        <v>2784</v>
      </c>
      <c r="H604" s="158" t="s">
        <v>2785</v>
      </c>
      <c r="I604" s="513" t="s">
        <v>1736</v>
      </c>
      <c r="J604" s="317" t="s">
        <v>1737</v>
      </c>
      <c r="K604" s="317" t="s">
        <v>1737</v>
      </c>
      <c r="L604" s="25" t="s">
        <v>3259</v>
      </c>
      <c r="M604" s="106"/>
      <c r="N604" s="164"/>
      <c r="O604" s="106"/>
      <c r="P604" s="25"/>
      <c r="Q604" s="25"/>
      <c r="R604" s="25"/>
      <c r="S604" s="106"/>
      <c r="T604" s="23"/>
      <c r="U604" s="153"/>
      <c r="V604" s="153"/>
      <c r="W604" s="153"/>
      <c r="X604" s="153"/>
      <c r="Y604" s="153"/>
      <c r="Z604" s="153"/>
    </row>
    <row r="605" spans="1:26">
      <c r="A605" s="774"/>
      <c r="B605" s="158" t="s">
        <v>3545</v>
      </c>
      <c r="C605" s="158" t="s">
        <v>3146</v>
      </c>
      <c r="D605" s="158" t="s">
        <v>3546</v>
      </c>
      <c r="E605" s="516" t="s">
        <v>1732</v>
      </c>
      <c r="F605" s="158" t="s">
        <v>1849</v>
      </c>
      <c r="G605" s="158" t="s">
        <v>2789</v>
      </c>
      <c r="H605" s="158" t="s">
        <v>2790</v>
      </c>
      <c r="I605" s="513" t="s">
        <v>1736</v>
      </c>
      <c r="J605" s="317" t="s">
        <v>1737</v>
      </c>
      <c r="K605" s="317" t="s">
        <v>1737</v>
      </c>
      <c r="L605" s="25" t="s">
        <v>3259</v>
      </c>
      <c r="M605" s="106"/>
      <c r="N605" s="164"/>
      <c r="O605" s="106"/>
      <c r="P605" s="25"/>
      <c r="Q605" s="25"/>
      <c r="R605" s="25"/>
      <c r="S605" s="106"/>
      <c r="T605" s="23"/>
      <c r="U605" s="153"/>
      <c r="V605" s="153"/>
      <c r="W605" s="153"/>
      <c r="X605" s="153"/>
      <c r="Y605" s="153"/>
      <c r="Z605" s="153"/>
    </row>
    <row r="606" spans="1:26">
      <c r="A606" s="773"/>
      <c r="B606" s="158" t="s">
        <v>3547</v>
      </c>
      <c r="C606" s="158" t="s">
        <v>3146</v>
      </c>
      <c r="D606" s="158" t="s">
        <v>1873</v>
      </c>
      <c r="E606" s="516" t="s">
        <v>1743</v>
      </c>
      <c r="F606" s="158" t="s">
        <v>1849</v>
      </c>
      <c r="G606" s="158" t="s">
        <v>2779</v>
      </c>
      <c r="H606" s="158" t="s">
        <v>1874</v>
      </c>
      <c r="I606" s="513" t="s">
        <v>1736</v>
      </c>
      <c r="J606" s="317" t="s">
        <v>1737</v>
      </c>
      <c r="K606" s="317" t="s">
        <v>1737</v>
      </c>
      <c r="L606" s="106"/>
      <c r="M606" s="106" t="s">
        <v>3542</v>
      </c>
      <c r="N606" s="164" t="s">
        <v>3543</v>
      </c>
      <c r="O606" s="106"/>
      <c r="P606" s="25"/>
      <c r="Q606" s="25"/>
      <c r="R606" s="525" t="s">
        <v>3233</v>
      </c>
      <c r="S606" s="106"/>
      <c r="T606" s="23"/>
      <c r="U606" s="153"/>
      <c r="V606" s="153"/>
      <c r="W606" s="153"/>
      <c r="X606" s="153"/>
      <c r="Y606" s="153"/>
      <c r="Z606" s="153"/>
    </row>
    <row r="607" spans="1:26">
      <c r="A607" s="680" t="s">
        <v>3548</v>
      </c>
      <c r="B607" s="158" t="s">
        <v>3549</v>
      </c>
      <c r="C607" s="158" t="s">
        <v>3146</v>
      </c>
      <c r="D607" s="158" t="s">
        <v>2797</v>
      </c>
      <c r="E607" s="532" t="s">
        <v>1732</v>
      </c>
      <c r="F607" s="158" t="s">
        <v>1849</v>
      </c>
      <c r="G607" s="158" t="s">
        <v>2798</v>
      </c>
      <c r="H607" s="158" t="s">
        <v>2799</v>
      </c>
      <c r="I607" s="513" t="s">
        <v>1736</v>
      </c>
      <c r="J607" s="317" t="s">
        <v>1737</v>
      </c>
      <c r="K607" s="317" t="s">
        <v>1737</v>
      </c>
      <c r="L607" s="106"/>
      <c r="M607" s="106" t="s">
        <v>3542</v>
      </c>
      <c r="N607" s="164" t="s">
        <v>3550</v>
      </c>
      <c r="O607" s="106"/>
      <c r="P607" s="25"/>
      <c r="Q607" s="25"/>
      <c r="R607" s="25"/>
      <c r="S607" s="529">
        <v>45015</v>
      </c>
      <c r="T607" s="521" t="s">
        <v>1916</v>
      </c>
      <c r="U607" s="153"/>
      <c r="V607" s="153"/>
      <c r="W607" s="153"/>
      <c r="X607" s="153"/>
      <c r="Y607" s="153"/>
      <c r="Z607" s="153"/>
    </row>
    <row r="608" spans="1:26">
      <c r="A608" s="774"/>
      <c r="B608" s="158" t="s">
        <v>3551</v>
      </c>
      <c r="C608" s="158" t="s">
        <v>3146</v>
      </c>
      <c r="D608" s="158" t="s">
        <v>2802</v>
      </c>
      <c r="E608" s="532" t="s">
        <v>1732</v>
      </c>
      <c r="F608" s="158" t="s">
        <v>1849</v>
      </c>
      <c r="G608" s="158" t="s">
        <v>2803</v>
      </c>
      <c r="H608" s="158" t="s">
        <v>2804</v>
      </c>
      <c r="I608" s="513" t="s">
        <v>1736</v>
      </c>
      <c r="J608" s="317" t="s">
        <v>1737</v>
      </c>
      <c r="K608" s="317" t="s">
        <v>1737</v>
      </c>
      <c r="L608" s="106"/>
      <c r="M608" s="106" t="s">
        <v>3542</v>
      </c>
      <c r="N608" s="164" t="s">
        <v>3550</v>
      </c>
      <c r="O608" s="106"/>
      <c r="P608" s="25"/>
      <c r="Q608" s="25"/>
      <c r="R608" s="25"/>
      <c r="S608" s="529">
        <v>45015</v>
      </c>
      <c r="T608" s="521" t="s">
        <v>1916</v>
      </c>
      <c r="U608" s="153"/>
      <c r="V608" s="153"/>
      <c r="W608" s="153"/>
      <c r="X608" s="153"/>
      <c r="Y608" s="153"/>
      <c r="Z608" s="153"/>
    </row>
    <row r="609" spans="1:26">
      <c r="A609" s="774"/>
      <c r="B609" s="158" t="s">
        <v>3552</v>
      </c>
      <c r="C609" s="158" t="s">
        <v>3146</v>
      </c>
      <c r="D609" s="158" t="s">
        <v>2807</v>
      </c>
      <c r="E609" s="532" t="s">
        <v>1732</v>
      </c>
      <c r="F609" s="158" t="s">
        <v>1849</v>
      </c>
      <c r="G609" s="158" t="s">
        <v>2808</v>
      </c>
      <c r="H609" s="158" t="s">
        <v>2809</v>
      </c>
      <c r="I609" s="513" t="s">
        <v>1736</v>
      </c>
      <c r="J609" s="317" t="s">
        <v>1737</v>
      </c>
      <c r="K609" s="317" t="s">
        <v>1737</v>
      </c>
      <c r="L609" s="22" t="s">
        <v>3335</v>
      </c>
      <c r="M609" s="106"/>
      <c r="N609" s="164"/>
      <c r="O609" s="106"/>
      <c r="P609" s="25"/>
      <c r="Q609" s="25"/>
      <c r="R609" s="25"/>
      <c r="S609" s="106"/>
      <c r="T609" s="23"/>
      <c r="U609" s="153"/>
      <c r="V609" s="153"/>
      <c r="W609" s="153"/>
      <c r="X609" s="153"/>
      <c r="Y609" s="153"/>
      <c r="Z609" s="153"/>
    </row>
    <row r="610" spans="1:26">
      <c r="A610" s="774"/>
      <c r="B610" s="158" t="s">
        <v>3553</v>
      </c>
      <c r="C610" s="158" t="s">
        <v>3146</v>
      </c>
      <c r="D610" s="158" t="s">
        <v>2811</v>
      </c>
      <c r="E610" s="532" t="s">
        <v>1732</v>
      </c>
      <c r="F610" s="158" t="s">
        <v>1849</v>
      </c>
      <c r="G610" s="158" t="s">
        <v>2812</v>
      </c>
      <c r="H610" s="158" t="s">
        <v>2813</v>
      </c>
      <c r="I610" s="513" t="s">
        <v>1736</v>
      </c>
      <c r="J610" s="317" t="s">
        <v>1737</v>
      </c>
      <c r="K610" s="317" t="s">
        <v>1737</v>
      </c>
      <c r="L610" s="106"/>
      <c r="M610" s="106" t="s">
        <v>3542</v>
      </c>
      <c r="N610" s="164" t="s">
        <v>3550</v>
      </c>
      <c r="O610" s="106"/>
      <c r="P610" s="25"/>
      <c r="Q610" s="25"/>
      <c r="R610" s="25"/>
      <c r="S610" s="529">
        <v>45015</v>
      </c>
      <c r="T610" s="521" t="s">
        <v>1916</v>
      </c>
      <c r="U610" s="153"/>
      <c r="V610" s="153"/>
      <c r="W610" s="153"/>
      <c r="X610" s="153"/>
      <c r="Y610" s="153"/>
      <c r="Z610" s="153"/>
    </row>
    <row r="611" spans="1:26">
      <c r="A611" s="774"/>
      <c r="B611" s="158" t="s">
        <v>3554</v>
      </c>
      <c r="C611" s="158" t="s">
        <v>3146</v>
      </c>
      <c r="D611" s="158" t="s">
        <v>2815</v>
      </c>
      <c r="E611" s="532" t="s">
        <v>1732</v>
      </c>
      <c r="F611" s="158" t="s">
        <v>1849</v>
      </c>
      <c r="G611" s="158" t="s">
        <v>2816</v>
      </c>
      <c r="H611" s="158" t="s">
        <v>2817</v>
      </c>
      <c r="I611" s="513" t="s">
        <v>1736</v>
      </c>
      <c r="J611" s="317" t="s">
        <v>1737</v>
      </c>
      <c r="K611" s="317" t="s">
        <v>1737</v>
      </c>
      <c r="L611" s="106"/>
      <c r="M611" s="106" t="s">
        <v>3542</v>
      </c>
      <c r="N611" s="164" t="s">
        <v>3550</v>
      </c>
      <c r="O611" s="106"/>
      <c r="P611" s="25"/>
      <c r="Q611" s="25"/>
      <c r="R611" s="25"/>
      <c r="S611" s="529">
        <v>45015</v>
      </c>
      <c r="T611" s="521" t="s">
        <v>1916</v>
      </c>
      <c r="U611" s="153"/>
      <c r="V611" s="153"/>
      <c r="W611" s="153"/>
      <c r="X611" s="153"/>
      <c r="Y611" s="153"/>
      <c r="Z611" s="153"/>
    </row>
    <row r="612" spans="1:26">
      <c r="A612" s="773"/>
      <c r="B612" s="158" t="s">
        <v>3555</v>
      </c>
      <c r="C612" s="158" t="s">
        <v>3146</v>
      </c>
      <c r="D612" s="158" t="s">
        <v>1873</v>
      </c>
      <c r="E612" s="516" t="s">
        <v>1743</v>
      </c>
      <c r="F612" s="158" t="s">
        <v>1849</v>
      </c>
      <c r="G612" s="158" t="s">
        <v>2798</v>
      </c>
      <c r="H612" s="158" t="s">
        <v>1874</v>
      </c>
      <c r="I612" s="513" t="s">
        <v>1736</v>
      </c>
      <c r="J612" s="317" t="s">
        <v>1737</v>
      </c>
      <c r="K612" s="317" t="s">
        <v>1737</v>
      </c>
      <c r="L612" s="106"/>
      <c r="M612" s="106" t="s">
        <v>3542</v>
      </c>
      <c r="N612" s="164" t="s">
        <v>3550</v>
      </c>
      <c r="O612" s="106"/>
      <c r="P612" s="25"/>
      <c r="Q612" s="25"/>
      <c r="R612" s="25"/>
      <c r="S612" s="529">
        <v>45015</v>
      </c>
      <c r="T612" s="521" t="s">
        <v>1916</v>
      </c>
      <c r="U612" s="153"/>
      <c r="V612" s="153"/>
      <c r="W612" s="153"/>
      <c r="X612" s="153"/>
      <c r="Y612" s="153"/>
      <c r="Z612" s="153"/>
    </row>
    <row r="613" spans="1:26">
      <c r="A613" s="680" t="s">
        <v>3556</v>
      </c>
      <c r="B613" s="158" t="s">
        <v>3557</v>
      </c>
      <c r="C613" s="158" t="s">
        <v>3146</v>
      </c>
      <c r="D613" s="158" t="s">
        <v>2824</v>
      </c>
      <c r="E613" s="516" t="s">
        <v>1732</v>
      </c>
      <c r="F613" s="158" t="s">
        <v>1849</v>
      </c>
      <c r="G613" s="158" t="s">
        <v>2825</v>
      </c>
      <c r="H613" s="158" t="s">
        <v>2826</v>
      </c>
      <c r="I613" s="513" t="s">
        <v>1736</v>
      </c>
      <c r="J613" s="317" t="s">
        <v>1737</v>
      </c>
      <c r="K613" s="317" t="s">
        <v>1737</v>
      </c>
      <c r="L613" s="106"/>
      <c r="M613" s="106" t="s">
        <v>3542</v>
      </c>
      <c r="N613" s="164" t="s">
        <v>3558</v>
      </c>
      <c r="O613" s="106"/>
      <c r="P613" s="25"/>
      <c r="Q613" s="25"/>
      <c r="R613" s="533" t="s">
        <v>3559</v>
      </c>
      <c r="S613" s="106"/>
      <c r="T613" s="23"/>
      <c r="U613" s="153"/>
      <c r="V613" s="153"/>
      <c r="W613" s="153"/>
      <c r="X613" s="153"/>
      <c r="Y613" s="153"/>
      <c r="Z613" s="153"/>
    </row>
    <row r="614" spans="1:26">
      <c r="A614" s="774"/>
      <c r="B614" s="158" t="s">
        <v>3560</v>
      </c>
      <c r="C614" s="158" t="s">
        <v>3146</v>
      </c>
      <c r="D614" s="158" t="s">
        <v>2829</v>
      </c>
      <c r="E614" s="516" t="s">
        <v>1732</v>
      </c>
      <c r="F614" s="158" t="s">
        <v>1849</v>
      </c>
      <c r="G614" s="158" t="s">
        <v>2830</v>
      </c>
      <c r="H614" s="158" t="s">
        <v>2831</v>
      </c>
      <c r="I614" s="513" t="s">
        <v>1736</v>
      </c>
      <c r="J614" s="317" t="s">
        <v>1737</v>
      </c>
      <c r="K614" s="317" t="s">
        <v>1737</v>
      </c>
      <c r="L614" s="25" t="s">
        <v>3259</v>
      </c>
      <c r="M614" s="106"/>
      <c r="N614" s="164"/>
      <c r="O614" s="106"/>
      <c r="P614" s="25"/>
      <c r="Q614" s="25"/>
      <c r="R614" s="25"/>
      <c r="S614" s="106"/>
      <c r="T614" s="23"/>
      <c r="U614" s="153"/>
      <c r="V614" s="153"/>
      <c r="W614" s="153"/>
      <c r="X614" s="153"/>
      <c r="Y614" s="153"/>
      <c r="Z614" s="153"/>
    </row>
    <row r="615" spans="1:26">
      <c r="A615" s="774"/>
      <c r="B615" s="158" t="s">
        <v>3561</v>
      </c>
      <c r="C615" s="158" t="s">
        <v>3146</v>
      </c>
      <c r="D615" s="158" t="s">
        <v>2833</v>
      </c>
      <c r="E615" s="516" t="s">
        <v>1732</v>
      </c>
      <c r="F615" s="158" t="s">
        <v>1849</v>
      </c>
      <c r="G615" s="158" t="s">
        <v>2834</v>
      </c>
      <c r="H615" s="158" t="s">
        <v>2835</v>
      </c>
      <c r="I615" s="513" t="s">
        <v>1736</v>
      </c>
      <c r="J615" s="317" t="s">
        <v>1737</v>
      </c>
      <c r="K615" s="317" t="s">
        <v>1737</v>
      </c>
      <c r="L615" s="22" t="s">
        <v>3562</v>
      </c>
      <c r="M615" s="106"/>
      <c r="N615" s="164"/>
      <c r="O615" s="106"/>
      <c r="P615" s="25"/>
      <c r="Q615" s="25"/>
      <c r="R615" s="25"/>
      <c r="S615" s="106"/>
      <c r="T615" s="23"/>
      <c r="U615" s="153"/>
      <c r="V615" s="153"/>
      <c r="W615" s="153"/>
      <c r="X615" s="153"/>
      <c r="Y615" s="153"/>
      <c r="Z615" s="153"/>
    </row>
    <row r="616" spans="1:26">
      <c r="A616" s="774"/>
      <c r="B616" s="158" t="s">
        <v>3563</v>
      </c>
      <c r="C616" s="158" t="s">
        <v>3146</v>
      </c>
      <c r="D616" s="158" t="s">
        <v>2837</v>
      </c>
      <c r="E616" s="516" t="s">
        <v>1732</v>
      </c>
      <c r="F616" s="158" t="s">
        <v>1849</v>
      </c>
      <c r="G616" s="158" t="s">
        <v>2838</v>
      </c>
      <c r="H616" s="158" t="s">
        <v>2839</v>
      </c>
      <c r="I616" s="513" t="s">
        <v>1736</v>
      </c>
      <c r="J616" s="317" t="s">
        <v>1737</v>
      </c>
      <c r="K616" s="317" t="s">
        <v>1737</v>
      </c>
      <c r="L616" s="25"/>
      <c r="M616" s="106" t="s">
        <v>3284</v>
      </c>
      <c r="N616" s="164" t="s">
        <v>3564</v>
      </c>
      <c r="O616" s="106"/>
      <c r="P616" s="25"/>
      <c r="Q616" s="25"/>
      <c r="R616" s="25"/>
      <c r="S616" s="529">
        <v>45015</v>
      </c>
      <c r="T616" s="521" t="s">
        <v>1916</v>
      </c>
      <c r="U616" s="153"/>
      <c r="V616" s="153"/>
      <c r="W616" s="153"/>
      <c r="X616" s="153"/>
      <c r="Y616" s="153"/>
      <c r="Z616" s="153"/>
    </row>
    <row r="617" spans="1:26">
      <c r="A617" s="774"/>
      <c r="B617" s="158" t="s">
        <v>3565</v>
      </c>
      <c r="C617" s="158" t="s">
        <v>3146</v>
      </c>
      <c r="D617" s="158" t="s">
        <v>2842</v>
      </c>
      <c r="E617" s="516" t="s">
        <v>1732</v>
      </c>
      <c r="F617" s="158" t="s">
        <v>1849</v>
      </c>
      <c r="G617" s="158" t="s">
        <v>2843</v>
      </c>
      <c r="H617" s="158" t="s">
        <v>2844</v>
      </c>
      <c r="I617" s="513" t="s">
        <v>1736</v>
      </c>
      <c r="J617" s="317" t="s">
        <v>1737</v>
      </c>
      <c r="K617" s="317" t="s">
        <v>1737</v>
      </c>
      <c r="L617" s="25"/>
      <c r="M617" s="106" t="s">
        <v>3284</v>
      </c>
      <c r="N617" s="164" t="s">
        <v>3566</v>
      </c>
      <c r="O617" s="106"/>
      <c r="P617" s="25"/>
      <c r="Q617" s="25"/>
      <c r="R617" s="25"/>
      <c r="S617" s="529">
        <v>45015</v>
      </c>
      <c r="T617" s="521" t="s">
        <v>1916</v>
      </c>
      <c r="U617" s="153"/>
      <c r="V617" s="153"/>
      <c r="W617" s="153"/>
      <c r="X617" s="153"/>
      <c r="Y617" s="153"/>
      <c r="Z617" s="153"/>
    </row>
    <row r="618" spans="1:26">
      <c r="A618" s="774"/>
      <c r="B618" s="158" t="s">
        <v>3567</v>
      </c>
      <c r="C618" s="158" t="s">
        <v>3146</v>
      </c>
      <c r="D618" s="158" t="s">
        <v>2847</v>
      </c>
      <c r="E618" s="516" t="s">
        <v>1732</v>
      </c>
      <c r="F618" s="158" t="s">
        <v>1849</v>
      </c>
      <c r="G618" s="158" t="s">
        <v>2848</v>
      </c>
      <c r="H618" s="158" t="s">
        <v>2849</v>
      </c>
      <c r="I618" s="513" t="s">
        <v>1736</v>
      </c>
      <c r="J618" s="317" t="s">
        <v>1737</v>
      </c>
      <c r="K618" s="317" t="s">
        <v>1737</v>
      </c>
      <c r="L618" s="25"/>
      <c r="M618" s="106" t="s">
        <v>3568</v>
      </c>
      <c r="N618" s="164" t="s">
        <v>3569</v>
      </c>
      <c r="O618" s="106"/>
      <c r="P618" s="25"/>
      <c r="Q618" s="25"/>
      <c r="R618" s="25"/>
      <c r="S618" s="106"/>
      <c r="T618" s="23"/>
      <c r="U618" s="153"/>
      <c r="V618" s="153"/>
      <c r="W618" s="153"/>
      <c r="X618" s="153"/>
      <c r="Y618" s="153"/>
      <c r="Z618" s="153"/>
    </row>
    <row r="619" spans="1:26">
      <c r="A619" s="774"/>
      <c r="B619" s="158" t="s">
        <v>3570</v>
      </c>
      <c r="C619" s="158" t="s">
        <v>3146</v>
      </c>
      <c r="D619" s="158" t="s">
        <v>1873</v>
      </c>
      <c r="E619" s="516" t="s">
        <v>1743</v>
      </c>
      <c r="F619" s="158" t="s">
        <v>1849</v>
      </c>
      <c r="G619" s="158" t="s">
        <v>2825</v>
      </c>
      <c r="H619" s="158" t="s">
        <v>1874</v>
      </c>
      <c r="I619" s="513" t="s">
        <v>1736</v>
      </c>
      <c r="J619" s="317" t="s">
        <v>1737</v>
      </c>
      <c r="K619" s="317" t="s">
        <v>1737</v>
      </c>
      <c r="L619" s="106"/>
      <c r="M619" s="106" t="s">
        <v>3542</v>
      </c>
      <c r="N619" s="164" t="s">
        <v>3558</v>
      </c>
      <c r="O619" s="106"/>
      <c r="P619" s="25"/>
      <c r="Q619" s="25"/>
      <c r="R619" s="533" t="s">
        <v>3559</v>
      </c>
      <c r="S619" s="106"/>
      <c r="T619" s="23"/>
      <c r="U619" s="153"/>
      <c r="V619" s="153"/>
      <c r="W619" s="153"/>
      <c r="X619" s="153"/>
      <c r="Y619" s="153"/>
      <c r="Z619" s="153"/>
    </row>
    <row r="620" spans="1:26">
      <c r="A620" s="774"/>
      <c r="B620" s="158" t="s">
        <v>3571</v>
      </c>
      <c r="C620" s="158" t="s">
        <v>3146</v>
      </c>
      <c r="D620" s="158" t="s">
        <v>2854</v>
      </c>
      <c r="E620" s="516" t="s">
        <v>1732</v>
      </c>
      <c r="F620" s="158" t="s">
        <v>1849</v>
      </c>
      <c r="G620" s="158" t="s">
        <v>2855</v>
      </c>
      <c r="H620" s="158" t="s">
        <v>2856</v>
      </c>
      <c r="I620" s="513" t="s">
        <v>1736</v>
      </c>
      <c r="J620" s="317" t="s">
        <v>1737</v>
      </c>
      <c r="K620" s="317" t="s">
        <v>1737</v>
      </c>
      <c r="L620" s="106"/>
      <c r="M620" s="106" t="s">
        <v>3542</v>
      </c>
      <c r="N620" s="164" t="s">
        <v>3558</v>
      </c>
      <c r="O620" s="106"/>
      <c r="P620" s="25"/>
      <c r="Q620" s="25"/>
      <c r="R620" s="533" t="s">
        <v>3559</v>
      </c>
      <c r="S620" s="106"/>
      <c r="T620" s="23"/>
      <c r="U620" s="153"/>
      <c r="V620" s="153"/>
      <c r="W620" s="153"/>
      <c r="X620" s="153"/>
      <c r="Y620" s="153"/>
      <c r="Z620" s="153"/>
    </row>
    <row r="621" spans="1:26">
      <c r="A621" s="774"/>
      <c r="B621" s="158" t="s">
        <v>3572</v>
      </c>
      <c r="C621" s="158" t="s">
        <v>3146</v>
      </c>
      <c r="D621" s="158" t="s">
        <v>2860</v>
      </c>
      <c r="E621" s="516" t="s">
        <v>1732</v>
      </c>
      <c r="F621" s="158" t="s">
        <v>1849</v>
      </c>
      <c r="G621" s="158" t="s">
        <v>2861</v>
      </c>
      <c r="H621" s="158" t="s">
        <v>2862</v>
      </c>
      <c r="I621" s="513" t="s">
        <v>1736</v>
      </c>
      <c r="J621" s="317" t="s">
        <v>1737</v>
      </c>
      <c r="K621" s="317" t="s">
        <v>1737</v>
      </c>
      <c r="L621" s="25" t="s">
        <v>3259</v>
      </c>
      <c r="M621" s="106"/>
      <c r="N621" s="164"/>
      <c r="O621" s="106"/>
      <c r="P621" s="25"/>
      <c r="Q621" s="25"/>
      <c r="R621" s="25"/>
      <c r="S621" s="106"/>
      <c r="T621" s="23"/>
      <c r="U621" s="153"/>
      <c r="V621" s="153"/>
      <c r="W621" s="153"/>
      <c r="X621" s="153"/>
      <c r="Y621" s="153"/>
      <c r="Z621" s="153"/>
    </row>
    <row r="622" spans="1:26">
      <c r="A622" s="774"/>
      <c r="B622" s="158" t="s">
        <v>3573</v>
      </c>
      <c r="C622" s="158" t="s">
        <v>3146</v>
      </c>
      <c r="D622" s="158" t="s">
        <v>2864</v>
      </c>
      <c r="E622" s="516" t="s">
        <v>1732</v>
      </c>
      <c r="F622" s="158" t="s">
        <v>1849</v>
      </c>
      <c r="G622" s="158" t="s">
        <v>2865</v>
      </c>
      <c r="H622" s="158" t="s">
        <v>2866</v>
      </c>
      <c r="I622" s="513" t="s">
        <v>1736</v>
      </c>
      <c r="J622" s="317" t="s">
        <v>1737</v>
      </c>
      <c r="K622" s="317" t="s">
        <v>1737</v>
      </c>
      <c r="L622" s="25" t="s">
        <v>3259</v>
      </c>
      <c r="M622" s="106"/>
      <c r="N622" s="164"/>
      <c r="O622" s="106"/>
      <c r="P622" s="25"/>
      <c r="Q622" s="25"/>
      <c r="R622" s="25"/>
      <c r="S622" s="106"/>
      <c r="T622" s="23"/>
      <c r="U622" s="153"/>
      <c r="V622" s="153"/>
      <c r="W622" s="153"/>
      <c r="X622" s="153"/>
      <c r="Y622" s="153"/>
      <c r="Z622" s="153"/>
    </row>
    <row r="623" spans="1:26">
      <c r="A623" s="774"/>
      <c r="B623" s="158" t="s">
        <v>3574</v>
      </c>
      <c r="C623" s="158" t="s">
        <v>3146</v>
      </c>
      <c r="D623" s="158" t="s">
        <v>2868</v>
      </c>
      <c r="E623" s="516" t="s">
        <v>1732</v>
      </c>
      <c r="F623" s="158" t="s">
        <v>1849</v>
      </c>
      <c r="G623" s="158" t="s">
        <v>2869</v>
      </c>
      <c r="H623" s="158" t="s">
        <v>2870</v>
      </c>
      <c r="I623" s="513" t="s">
        <v>1736</v>
      </c>
      <c r="J623" s="317" t="s">
        <v>1737</v>
      </c>
      <c r="K623" s="317" t="s">
        <v>1737</v>
      </c>
      <c r="L623" s="25" t="s">
        <v>3259</v>
      </c>
      <c r="M623" s="106"/>
      <c r="N623" s="164"/>
      <c r="O623" s="106"/>
      <c r="P623" s="25"/>
      <c r="Q623" s="25"/>
      <c r="R623" s="25"/>
      <c r="S623" s="106"/>
      <c r="T623" s="23"/>
      <c r="U623" s="153"/>
      <c r="V623" s="153"/>
      <c r="W623" s="153"/>
      <c r="X623" s="153"/>
      <c r="Y623" s="153"/>
      <c r="Z623" s="153"/>
    </row>
    <row r="624" spans="1:26">
      <c r="A624" s="774"/>
      <c r="B624" s="158" t="s">
        <v>3575</v>
      </c>
      <c r="C624" s="158" t="s">
        <v>3146</v>
      </c>
      <c r="D624" s="158" t="s">
        <v>2872</v>
      </c>
      <c r="E624" s="516" t="s">
        <v>1743</v>
      </c>
      <c r="F624" s="158" t="s">
        <v>1849</v>
      </c>
      <c r="G624" s="158" t="s">
        <v>2873</v>
      </c>
      <c r="H624" s="158" t="s">
        <v>2874</v>
      </c>
      <c r="I624" s="513" t="s">
        <v>1736</v>
      </c>
      <c r="J624" s="317" t="s">
        <v>1737</v>
      </c>
      <c r="K624" s="317" t="s">
        <v>1737</v>
      </c>
      <c r="L624" s="25" t="s">
        <v>3259</v>
      </c>
      <c r="M624" s="106"/>
      <c r="N624" s="164"/>
      <c r="O624" s="106"/>
      <c r="P624" s="25"/>
      <c r="Q624" s="25"/>
      <c r="R624" s="25"/>
      <c r="S624" s="106"/>
      <c r="T624" s="23"/>
      <c r="U624" s="153"/>
      <c r="V624" s="153"/>
      <c r="W624" s="153"/>
      <c r="X624" s="153"/>
      <c r="Y624" s="153"/>
      <c r="Z624" s="153"/>
    </row>
    <row r="625" spans="1:26">
      <c r="A625" s="773"/>
      <c r="B625" s="158" t="s">
        <v>3576</v>
      </c>
      <c r="C625" s="158" t="s">
        <v>3146</v>
      </c>
      <c r="D625" s="158" t="s">
        <v>1873</v>
      </c>
      <c r="E625" s="516" t="s">
        <v>1743</v>
      </c>
      <c r="F625" s="158" t="s">
        <v>1849</v>
      </c>
      <c r="G625" s="158" t="s">
        <v>2855</v>
      </c>
      <c r="H625" s="158" t="s">
        <v>1874</v>
      </c>
      <c r="I625" s="513" t="s">
        <v>1736</v>
      </c>
      <c r="J625" s="317" t="s">
        <v>1737</v>
      </c>
      <c r="K625" s="317" t="s">
        <v>1737</v>
      </c>
      <c r="L625" s="106"/>
      <c r="M625" s="106" t="s">
        <v>3577</v>
      </c>
      <c r="N625" s="164" t="s">
        <v>3578</v>
      </c>
      <c r="O625" s="106"/>
      <c r="P625" s="25"/>
      <c r="Q625" s="25"/>
      <c r="R625" s="533" t="s">
        <v>3233</v>
      </c>
      <c r="S625" s="106"/>
      <c r="T625" s="23"/>
      <c r="U625" s="153"/>
      <c r="V625" s="153"/>
      <c r="W625" s="153"/>
      <c r="X625" s="153"/>
      <c r="Y625" s="153"/>
      <c r="Z625" s="153"/>
    </row>
    <row r="626" spans="1:26">
      <c r="A626" s="680" t="s">
        <v>3579</v>
      </c>
      <c r="B626" s="158" t="s">
        <v>3580</v>
      </c>
      <c r="C626" s="158" t="s">
        <v>3146</v>
      </c>
      <c r="D626" s="158" t="s">
        <v>2881</v>
      </c>
      <c r="E626" s="516" t="s">
        <v>1732</v>
      </c>
      <c r="F626" s="158" t="s">
        <v>1849</v>
      </c>
      <c r="G626" s="158" t="s">
        <v>2882</v>
      </c>
      <c r="H626" s="158" t="s">
        <v>2883</v>
      </c>
      <c r="I626" s="513" t="s">
        <v>1736</v>
      </c>
      <c r="J626" s="317" t="s">
        <v>1737</v>
      </c>
      <c r="K626" s="317" t="s">
        <v>1737</v>
      </c>
      <c r="L626" s="25" t="s">
        <v>3259</v>
      </c>
      <c r="M626" s="106"/>
      <c r="N626" s="164"/>
      <c r="O626" s="106"/>
      <c r="P626" s="25"/>
      <c r="Q626" s="25"/>
      <c r="R626" s="25"/>
      <c r="S626" s="106"/>
      <c r="T626" s="23"/>
      <c r="U626" s="153"/>
      <c r="V626" s="153"/>
      <c r="W626" s="153"/>
      <c r="X626" s="153"/>
      <c r="Y626" s="153"/>
      <c r="Z626" s="153"/>
    </row>
    <row r="627" spans="1:26">
      <c r="A627" s="774"/>
      <c r="B627" s="158" t="s">
        <v>3581</v>
      </c>
      <c r="C627" s="158" t="s">
        <v>3146</v>
      </c>
      <c r="D627" s="158" t="s">
        <v>2886</v>
      </c>
      <c r="E627" s="516" t="s">
        <v>1732</v>
      </c>
      <c r="F627" s="158" t="s">
        <v>1849</v>
      </c>
      <c r="G627" s="158" t="s">
        <v>2887</v>
      </c>
      <c r="H627" s="158" t="s">
        <v>2888</v>
      </c>
      <c r="I627" s="513" t="s">
        <v>1736</v>
      </c>
      <c r="J627" s="317" t="s">
        <v>1737</v>
      </c>
      <c r="K627" s="317" t="s">
        <v>1737</v>
      </c>
      <c r="L627" s="106"/>
      <c r="M627" s="106" t="s">
        <v>3577</v>
      </c>
      <c r="N627" s="164" t="s">
        <v>3582</v>
      </c>
      <c r="O627" s="106"/>
      <c r="P627" s="25"/>
      <c r="Q627" s="25"/>
      <c r="R627" s="533" t="s">
        <v>3233</v>
      </c>
      <c r="S627" s="106"/>
      <c r="T627" s="23"/>
      <c r="U627" s="153"/>
      <c r="V627" s="153"/>
      <c r="W627" s="153"/>
      <c r="X627" s="153"/>
      <c r="Y627" s="153"/>
      <c r="Z627" s="153"/>
    </row>
    <row r="628" spans="1:26">
      <c r="A628" s="774"/>
      <c r="B628" s="158" t="s">
        <v>3583</v>
      </c>
      <c r="C628" s="158" t="s">
        <v>3146</v>
      </c>
      <c r="D628" s="158" t="s">
        <v>2892</v>
      </c>
      <c r="E628" s="516" t="s">
        <v>1732</v>
      </c>
      <c r="F628" s="158" t="s">
        <v>1849</v>
      </c>
      <c r="G628" s="158" t="s">
        <v>2893</v>
      </c>
      <c r="H628" s="158" t="s">
        <v>2894</v>
      </c>
      <c r="I628" s="513" t="s">
        <v>1736</v>
      </c>
      <c r="J628" s="317" t="s">
        <v>1737</v>
      </c>
      <c r="K628" s="317" t="s">
        <v>1737</v>
      </c>
      <c r="L628" s="106"/>
      <c r="M628" s="106" t="s">
        <v>3577</v>
      </c>
      <c r="N628" s="164" t="s">
        <v>3582</v>
      </c>
      <c r="O628" s="106"/>
      <c r="P628" s="25"/>
      <c r="Q628" s="25"/>
      <c r="R628" s="533" t="s">
        <v>3233</v>
      </c>
      <c r="S628" s="106"/>
      <c r="T628" s="23"/>
      <c r="U628" s="153"/>
      <c r="V628" s="153"/>
      <c r="W628" s="153"/>
      <c r="X628" s="153"/>
      <c r="Y628" s="153"/>
      <c r="Z628" s="153"/>
    </row>
    <row r="629" spans="1:26">
      <c r="A629" s="774"/>
      <c r="B629" s="158" t="s">
        <v>3584</v>
      </c>
      <c r="C629" s="158" t="s">
        <v>3146</v>
      </c>
      <c r="D629" s="158" t="s">
        <v>2897</v>
      </c>
      <c r="E629" s="516" t="s">
        <v>1732</v>
      </c>
      <c r="F629" s="158" t="s">
        <v>1849</v>
      </c>
      <c r="G629" s="158" t="s">
        <v>2898</v>
      </c>
      <c r="H629" s="158" t="s">
        <v>2899</v>
      </c>
      <c r="I629" s="513" t="s">
        <v>1736</v>
      </c>
      <c r="J629" s="317" t="s">
        <v>1737</v>
      </c>
      <c r="K629" s="317" t="s">
        <v>1737</v>
      </c>
      <c r="L629" s="106"/>
      <c r="M629" s="106" t="s">
        <v>3577</v>
      </c>
      <c r="N629" s="164" t="s">
        <v>3582</v>
      </c>
      <c r="O629" s="106"/>
      <c r="P629" s="25"/>
      <c r="Q629" s="25"/>
      <c r="R629" s="533" t="s">
        <v>3233</v>
      </c>
      <c r="S629" s="106"/>
      <c r="T629" s="23"/>
      <c r="U629" s="153"/>
      <c r="V629" s="153"/>
      <c r="W629" s="153"/>
      <c r="X629" s="153"/>
      <c r="Y629" s="153"/>
      <c r="Z629" s="153"/>
    </row>
    <row r="630" spans="1:26">
      <c r="A630" s="774"/>
      <c r="B630" s="158" t="s">
        <v>3585</v>
      </c>
      <c r="C630" s="158" t="s">
        <v>3146</v>
      </c>
      <c r="D630" s="25" t="s">
        <v>2903</v>
      </c>
      <c r="E630" s="516" t="s">
        <v>1743</v>
      </c>
      <c r="F630" s="158" t="s">
        <v>1779</v>
      </c>
      <c r="G630" s="158" t="s">
        <v>2904</v>
      </c>
      <c r="H630" s="158" t="s">
        <v>2905</v>
      </c>
      <c r="I630" s="513" t="s">
        <v>1736</v>
      </c>
      <c r="J630" s="317" t="s">
        <v>1737</v>
      </c>
      <c r="K630" s="317" t="s">
        <v>1737</v>
      </c>
      <c r="L630" s="106"/>
      <c r="M630" s="106" t="s">
        <v>3577</v>
      </c>
      <c r="N630" s="164" t="s">
        <v>3586</v>
      </c>
      <c r="O630" s="106"/>
      <c r="P630" s="25"/>
      <c r="Q630" s="25"/>
      <c r="R630" s="533" t="s">
        <v>3233</v>
      </c>
      <c r="S630" s="106"/>
      <c r="T630" s="23"/>
      <c r="U630" s="153"/>
      <c r="V630" s="153"/>
      <c r="W630" s="153"/>
      <c r="X630" s="153"/>
      <c r="Y630" s="153"/>
      <c r="Z630" s="153"/>
    </row>
    <row r="631" spans="1:26">
      <c r="A631" s="774"/>
      <c r="B631" s="158" t="s">
        <v>3587</v>
      </c>
      <c r="C631" s="158" t="s">
        <v>3146</v>
      </c>
      <c r="D631" s="25" t="s">
        <v>1873</v>
      </c>
      <c r="E631" s="516" t="s">
        <v>1743</v>
      </c>
      <c r="F631" s="158" t="s">
        <v>1849</v>
      </c>
      <c r="G631" s="158" t="s">
        <v>2882</v>
      </c>
      <c r="H631" s="158" t="s">
        <v>1874</v>
      </c>
      <c r="I631" s="513" t="s">
        <v>1736</v>
      </c>
      <c r="J631" s="317" t="s">
        <v>1737</v>
      </c>
      <c r="K631" s="317" t="s">
        <v>1737</v>
      </c>
      <c r="L631" s="25" t="s">
        <v>3259</v>
      </c>
      <c r="M631" s="106"/>
      <c r="N631" s="164"/>
      <c r="O631" s="106"/>
      <c r="P631" s="25"/>
      <c r="Q631" s="25"/>
      <c r="R631" s="25"/>
      <c r="S631" s="106"/>
      <c r="T631" s="23"/>
      <c r="U631" s="153"/>
      <c r="V631" s="153"/>
      <c r="W631" s="153"/>
      <c r="X631" s="153"/>
      <c r="Y631" s="153"/>
      <c r="Z631" s="153"/>
    </row>
    <row r="632" spans="1:26">
      <c r="A632" s="773"/>
      <c r="B632" s="158" t="s">
        <v>3588</v>
      </c>
      <c r="C632" s="158" t="s">
        <v>3146</v>
      </c>
      <c r="D632" s="158" t="s">
        <v>1873</v>
      </c>
      <c r="E632" s="516" t="s">
        <v>1743</v>
      </c>
      <c r="F632" s="158" t="s">
        <v>1849</v>
      </c>
      <c r="G632" s="158" t="s">
        <v>2882</v>
      </c>
      <c r="H632" s="158" t="s">
        <v>1874</v>
      </c>
      <c r="I632" s="513" t="s">
        <v>1736</v>
      </c>
      <c r="J632" s="317" t="s">
        <v>1737</v>
      </c>
      <c r="K632" s="317" t="s">
        <v>1737</v>
      </c>
      <c r="L632" s="25" t="s">
        <v>3259</v>
      </c>
      <c r="M632" s="106"/>
      <c r="N632" s="164"/>
      <c r="O632" s="106"/>
      <c r="P632" s="25"/>
      <c r="Q632" s="25"/>
      <c r="R632" s="25"/>
      <c r="S632" s="106"/>
      <c r="T632" s="23"/>
      <c r="U632" s="153"/>
      <c r="V632" s="153"/>
      <c r="W632" s="153"/>
      <c r="X632" s="153"/>
      <c r="Y632" s="153"/>
      <c r="Z632" s="153"/>
    </row>
    <row r="633" spans="1:26">
      <c r="A633" s="190" t="s">
        <v>3589</v>
      </c>
      <c r="B633" s="25" t="s">
        <v>3590</v>
      </c>
      <c r="C633" s="158" t="s">
        <v>3146</v>
      </c>
      <c r="D633" s="158" t="s">
        <v>2917</v>
      </c>
      <c r="E633" s="516" t="s">
        <v>1732</v>
      </c>
      <c r="F633" s="158" t="s">
        <v>1849</v>
      </c>
      <c r="G633" s="158" t="s">
        <v>2918</v>
      </c>
      <c r="H633" s="158" t="s">
        <v>2919</v>
      </c>
      <c r="I633" s="513" t="s">
        <v>1736</v>
      </c>
      <c r="J633" s="317" t="s">
        <v>1737</v>
      </c>
      <c r="K633" s="317" t="s">
        <v>1737</v>
      </c>
      <c r="L633" s="22"/>
      <c r="M633" s="106" t="s">
        <v>3193</v>
      </c>
      <c r="N633" s="164" t="s">
        <v>3591</v>
      </c>
      <c r="O633" s="106"/>
      <c r="P633" s="25"/>
      <c r="Q633" s="25"/>
      <c r="R633" s="25"/>
      <c r="S633" s="529">
        <v>45015</v>
      </c>
      <c r="T633" s="521" t="s">
        <v>1916</v>
      </c>
      <c r="U633" s="153"/>
      <c r="V633" s="153"/>
      <c r="W633" s="153"/>
      <c r="X633" s="153"/>
      <c r="Y633" s="153"/>
      <c r="Z633" s="153"/>
    </row>
    <row r="634" spans="1:26">
      <c r="A634" s="190" t="s">
        <v>3592</v>
      </c>
      <c r="B634" s="25" t="s">
        <v>3593</v>
      </c>
      <c r="C634" s="158" t="s">
        <v>3146</v>
      </c>
      <c r="D634" s="158" t="s">
        <v>2912</v>
      </c>
      <c r="E634" s="516" t="s">
        <v>1732</v>
      </c>
      <c r="F634" s="158" t="s">
        <v>1849</v>
      </c>
      <c r="G634" s="158" t="s">
        <v>2913</v>
      </c>
      <c r="H634" s="158" t="s">
        <v>2914</v>
      </c>
      <c r="I634" s="513" t="s">
        <v>1736</v>
      </c>
      <c r="J634" s="317" t="s">
        <v>1737</v>
      </c>
      <c r="K634" s="317" t="s">
        <v>1737</v>
      </c>
      <c r="L634" s="25" t="s">
        <v>3259</v>
      </c>
      <c r="M634" s="106"/>
      <c r="N634" s="164"/>
      <c r="O634" s="106"/>
      <c r="P634" s="25"/>
      <c r="Q634" s="25"/>
      <c r="R634" s="25"/>
      <c r="S634" s="106"/>
      <c r="T634" s="23"/>
      <c r="U634" s="153"/>
      <c r="V634" s="153"/>
      <c r="W634" s="153"/>
      <c r="X634" s="153"/>
      <c r="Y634" s="153"/>
      <c r="Z634" s="153"/>
    </row>
    <row r="635" spans="1:26">
      <c r="A635" s="776" t="s">
        <v>3594</v>
      </c>
      <c r="B635" s="25" t="s">
        <v>3595</v>
      </c>
      <c r="C635" s="158" t="s">
        <v>3146</v>
      </c>
      <c r="D635" s="158" t="s">
        <v>2927</v>
      </c>
      <c r="E635" s="516" t="s">
        <v>1732</v>
      </c>
      <c r="F635" s="158" t="s">
        <v>1849</v>
      </c>
      <c r="G635" s="158" t="s">
        <v>2928</v>
      </c>
      <c r="H635" s="158" t="s">
        <v>2929</v>
      </c>
      <c r="I635" s="513" t="s">
        <v>1736</v>
      </c>
      <c r="J635" s="317" t="s">
        <v>1737</v>
      </c>
      <c r="K635" s="317" t="s">
        <v>1737</v>
      </c>
      <c r="L635" s="25" t="s">
        <v>3259</v>
      </c>
      <c r="M635" s="106"/>
      <c r="N635" s="164"/>
      <c r="O635" s="106"/>
      <c r="P635" s="25"/>
      <c r="Q635" s="25"/>
      <c r="R635" s="25"/>
      <c r="S635" s="106"/>
      <c r="T635" s="23"/>
      <c r="U635" s="153"/>
      <c r="V635" s="153"/>
      <c r="W635" s="153"/>
      <c r="X635" s="153"/>
      <c r="Y635" s="153"/>
      <c r="Z635" s="153"/>
    </row>
    <row r="636" spans="1:26">
      <c r="A636" s="774"/>
      <c r="B636" s="25" t="s">
        <v>3596</v>
      </c>
      <c r="C636" s="158" t="s">
        <v>3146</v>
      </c>
      <c r="D636" s="158" t="s">
        <v>2933</v>
      </c>
      <c r="E636" s="516" t="s">
        <v>1732</v>
      </c>
      <c r="F636" s="158" t="s">
        <v>1849</v>
      </c>
      <c r="G636" s="158" t="s">
        <v>2934</v>
      </c>
      <c r="H636" s="158" t="s">
        <v>2935</v>
      </c>
      <c r="I636" s="513" t="s">
        <v>1736</v>
      </c>
      <c r="J636" s="317" t="s">
        <v>1737</v>
      </c>
      <c r="K636" s="317" t="s">
        <v>1737</v>
      </c>
      <c r="L636" s="25" t="s">
        <v>3259</v>
      </c>
      <c r="M636" s="106"/>
      <c r="N636" s="164"/>
      <c r="O636" s="106"/>
      <c r="P636" s="25"/>
      <c r="Q636" s="25"/>
      <c r="R636" s="25"/>
      <c r="S636" s="106"/>
      <c r="T636" s="23"/>
      <c r="U636" s="153"/>
      <c r="V636" s="153"/>
      <c r="W636" s="153"/>
      <c r="X636" s="153"/>
      <c r="Y636" s="153"/>
      <c r="Z636" s="153"/>
    </row>
    <row r="637" spans="1:26">
      <c r="A637" s="774"/>
      <c r="B637" s="25" t="s">
        <v>3597</v>
      </c>
      <c r="C637" s="158" t="s">
        <v>3146</v>
      </c>
      <c r="D637" s="158" t="s">
        <v>2937</v>
      </c>
      <c r="E637" s="516" t="s">
        <v>1732</v>
      </c>
      <c r="F637" s="158" t="s">
        <v>1849</v>
      </c>
      <c r="G637" s="158" t="s">
        <v>2938</v>
      </c>
      <c r="H637" s="158" t="s">
        <v>2939</v>
      </c>
      <c r="I637" s="513" t="s">
        <v>1736</v>
      </c>
      <c r="J637" s="317" t="s">
        <v>1737</v>
      </c>
      <c r="K637" s="317" t="s">
        <v>1737</v>
      </c>
      <c r="L637" s="25" t="s">
        <v>3259</v>
      </c>
      <c r="M637" s="106"/>
      <c r="N637" s="164"/>
      <c r="O637" s="106"/>
      <c r="P637" s="25"/>
      <c r="Q637" s="25"/>
      <c r="R637" s="25"/>
      <c r="S637" s="106"/>
      <c r="T637" s="23"/>
      <c r="U637" s="153"/>
      <c r="V637" s="153"/>
      <c r="W637" s="153"/>
      <c r="X637" s="153"/>
      <c r="Y637" s="153"/>
      <c r="Z637" s="153"/>
    </row>
    <row r="638" spans="1:26">
      <c r="A638" s="774"/>
      <c r="B638" s="25" t="s">
        <v>3598</v>
      </c>
      <c r="C638" s="158" t="s">
        <v>3146</v>
      </c>
      <c r="D638" s="158" t="s">
        <v>2941</v>
      </c>
      <c r="E638" s="516" t="s">
        <v>1732</v>
      </c>
      <c r="F638" s="158" t="s">
        <v>1849</v>
      </c>
      <c r="G638" s="158" t="s">
        <v>2942</v>
      </c>
      <c r="H638" s="158" t="s">
        <v>2943</v>
      </c>
      <c r="I638" s="513" t="s">
        <v>1736</v>
      </c>
      <c r="J638" s="317" t="s">
        <v>1737</v>
      </c>
      <c r="K638" s="317" t="s">
        <v>1737</v>
      </c>
      <c r="L638" s="25" t="s">
        <v>3259</v>
      </c>
      <c r="M638" s="106"/>
      <c r="N638" s="164"/>
      <c r="O638" s="106"/>
      <c r="P638" s="25"/>
      <c r="Q638" s="25"/>
      <c r="R638" s="25"/>
      <c r="S638" s="106"/>
      <c r="T638" s="23"/>
      <c r="U638" s="153"/>
      <c r="V638" s="153"/>
      <c r="W638" s="153"/>
      <c r="X638" s="153"/>
      <c r="Y638" s="153"/>
      <c r="Z638" s="153"/>
    </row>
    <row r="639" spans="1:26">
      <c r="A639" s="774"/>
      <c r="B639" s="25" t="s">
        <v>3599</v>
      </c>
      <c r="C639" s="158" t="s">
        <v>3146</v>
      </c>
      <c r="D639" s="158" t="s">
        <v>2946</v>
      </c>
      <c r="E639" s="516" t="s">
        <v>1732</v>
      </c>
      <c r="F639" s="158" t="s">
        <v>1849</v>
      </c>
      <c r="G639" s="158" t="s">
        <v>2947</v>
      </c>
      <c r="H639" s="158" t="s">
        <v>2948</v>
      </c>
      <c r="I639" s="513" t="s">
        <v>1736</v>
      </c>
      <c r="J639" s="317" t="s">
        <v>1737</v>
      </c>
      <c r="K639" s="317" t="s">
        <v>1737</v>
      </c>
      <c r="L639" s="25" t="s">
        <v>3259</v>
      </c>
      <c r="M639" s="106"/>
      <c r="N639" s="164"/>
      <c r="O639" s="106"/>
      <c r="P639" s="25"/>
      <c r="Q639" s="25"/>
      <c r="R639" s="25"/>
      <c r="S639" s="106"/>
      <c r="T639" s="23"/>
      <c r="U639" s="153"/>
      <c r="V639" s="153"/>
      <c r="W639" s="153"/>
      <c r="X639" s="153"/>
      <c r="Y639" s="153"/>
      <c r="Z639" s="153"/>
    </row>
    <row r="640" spans="1:26">
      <c r="A640" s="774"/>
      <c r="B640" s="25" t="s">
        <v>3600</v>
      </c>
      <c r="C640" s="158" t="s">
        <v>3146</v>
      </c>
      <c r="D640" s="158" t="s">
        <v>2951</v>
      </c>
      <c r="E640" s="516" t="s">
        <v>1732</v>
      </c>
      <c r="F640" s="158" t="s">
        <v>1849</v>
      </c>
      <c r="G640" s="158" t="s">
        <v>2952</v>
      </c>
      <c r="H640" s="158" t="s">
        <v>2953</v>
      </c>
      <c r="I640" s="513" t="s">
        <v>1736</v>
      </c>
      <c r="J640" s="317" t="s">
        <v>1737</v>
      </c>
      <c r="K640" s="317" t="s">
        <v>1737</v>
      </c>
      <c r="L640" s="25" t="s">
        <v>3259</v>
      </c>
      <c r="M640" s="106"/>
      <c r="N640" s="164"/>
      <c r="O640" s="106"/>
      <c r="P640" s="25"/>
      <c r="Q640" s="25"/>
      <c r="R640" s="25"/>
      <c r="S640" s="106"/>
      <c r="T640" s="23"/>
      <c r="U640" s="153"/>
      <c r="V640" s="153"/>
      <c r="W640" s="153"/>
      <c r="X640" s="153"/>
      <c r="Y640" s="153"/>
      <c r="Z640" s="153"/>
    </row>
    <row r="641" spans="1:26">
      <c r="A641" s="774"/>
      <c r="B641" s="25" t="s">
        <v>3601</v>
      </c>
      <c r="C641" s="158" t="s">
        <v>3146</v>
      </c>
      <c r="D641" s="158" t="s">
        <v>2956</v>
      </c>
      <c r="E641" s="516" t="s">
        <v>1732</v>
      </c>
      <c r="F641" s="158" t="s">
        <v>1849</v>
      </c>
      <c r="G641" s="158" t="s">
        <v>2957</v>
      </c>
      <c r="H641" s="158" t="s">
        <v>2958</v>
      </c>
      <c r="I641" s="513" t="s">
        <v>1736</v>
      </c>
      <c r="J641" s="317" t="s">
        <v>1737</v>
      </c>
      <c r="K641" s="317" t="s">
        <v>1737</v>
      </c>
      <c r="L641" s="25" t="s">
        <v>3259</v>
      </c>
      <c r="M641" s="106"/>
      <c r="N641" s="164"/>
      <c r="O641" s="106"/>
      <c r="P641" s="25"/>
      <c r="Q641" s="25"/>
      <c r="R641" s="25"/>
      <c r="S641" s="106"/>
      <c r="T641" s="23"/>
      <c r="U641" s="153"/>
      <c r="V641" s="153"/>
      <c r="W641" s="153"/>
      <c r="X641" s="153"/>
      <c r="Y641" s="153"/>
      <c r="Z641" s="153"/>
    </row>
    <row r="642" spans="1:26">
      <c r="A642" s="774"/>
      <c r="B642" s="25" t="s">
        <v>3602</v>
      </c>
      <c r="C642" s="158" t="s">
        <v>3146</v>
      </c>
      <c r="D642" s="158" t="s">
        <v>2961</v>
      </c>
      <c r="E642" s="516" t="s">
        <v>1732</v>
      </c>
      <c r="F642" s="158" t="s">
        <v>1849</v>
      </c>
      <c r="G642" s="158" t="s">
        <v>2962</v>
      </c>
      <c r="H642" s="158" t="s">
        <v>2963</v>
      </c>
      <c r="I642" s="513" t="s">
        <v>1736</v>
      </c>
      <c r="J642" s="317" t="s">
        <v>1737</v>
      </c>
      <c r="K642" s="317" t="s">
        <v>1737</v>
      </c>
      <c r="L642" s="25" t="s">
        <v>3259</v>
      </c>
      <c r="M642" s="106"/>
      <c r="N642" s="164"/>
      <c r="O642" s="106"/>
      <c r="P642" s="25"/>
      <c r="Q642" s="25"/>
      <c r="R642" s="25"/>
      <c r="S642" s="106"/>
      <c r="T642" s="23"/>
      <c r="U642" s="153"/>
      <c r="V642" s="153"/>
      <c r="W642" s="153"/>
      <c r="X642" s="153"/>
      <c r="Y642" s="153"/>
      <c r="Z642" s="153"/>
    </row>
    <row r="643" spans="1:26">
      <c r="A643" s="774"/>
      <c r="B643" s="25" t="s">
        <v>3603</v>
      </c>
      <c r="C643" s="158" t="s">
        <v>3146</v>
      </c>
      <c r="D643" s="158" t="s">
        <v>2966</v>
      </c>
      <c r="E643" s="516" t="s">
        <v>1732</v>
      </c>
      <c r="F643" s="158" t="s">
        <v>1849</v>
      </c>
      <c r="G643" s="158" t="s">
        <v>2967</v>
      </c>
      <c r="H643" s="158" t="s">
        <v>2963</v>
      </c>
      <c r="I643" s="513" t="s">
        <v>1736</v>
      </c>
      <c r="J643" s="317" t="s">
        <v>1737</v>
      </c>
      <c r="K643" s="317" t="s">
        <v>1737</v>
      </c>
      <c r="L643" s="25" t="s">
        <v>3259</v>
      </c>
      <c r="M643" s="106"/>
      <c r="N643" s="164"/>
      <c r="O643" s="106"/>
      <c r="P643" s="25"/>
      <c r="Q643" s="25"/>
      <c r="R643" s="25"/>
      <c r="S643" s="106"/>
      <c r="T643" s="23"/>
      <c r="U643" s="153"/>
      <c r="V643" s="153"/>
      <c r="W643" s="153"/>
      <c r="X643" s="153"/>
      <c r="Y643" s="153"/>
      <c r="Z643" s="153"/>
    </row>
    <row r="644" spans="1:26">
      <c r="A644" s="774"/>
      <c r="B644" s="25" t="s">
        <v>3604</v>
      </c>
      <c r="C644" s="158" t="s">
        <v>3146</v>
      </c>
      <c r="D644" s="158" t="s">
        <v>2969</v>
      </c>
      <c r="E644" s="516" t="s">
        <v>1743</v>
      </c>
      <c r="F644" s="158" t="s">
        <v>1849</v>
      </c>
      <c r="G644" s="158" t="s">
        <v>2970</v>
      </c>
      <c r="H644" s="158" t="s">
        <v>2971</v>
      </c>
      <c r="I644" s="513" t="s">
        <v>1736</v>
      </c>
      <c r="J644" s="317" t="s">
        <v>1737</v>
      </c>
      <c r="K644" s="317" t="s">
        <v>1737</v>
      </c>
      <c r="L644" s="25" t="s">
        <v>3259</v>
      </c>
      <c r="M644" s="106"/>
      <c r="N644" s="164"/>
      <c r="O644" s="106"/>
      <c r="P644" s="25"/>
      <c r="Q644" s="25"/>
      <c r="R644" s="25"/>
      <c r="S644" s="106"/>
      <c r="T644" s="23"/>
      <c r="U644" s="153"/>
      <c r="V644" s="153"/>
      <c r="W644" s="153"/>
      <c r="X644" s="153"/>
      <c r="Y644" s="153"/>
      <c r="Z644" s="153"/>
    </row>
    <row r="645" spans="1:26">
      <c r="A645" s="773"/>
      <c r="B645" s="25" t="s">
        <v>3605</v>
      </c>
      <c r="C645" s="158" t="s">
        <v>3146</v>
      </c>
      <c r="D645" s="158" t="s">
        <v>1873</v>
      </c>
      <c r="E645" s="516" t="s">
        <v>1743</v>
      </c>
      <c r="F645" s="158" t="s">
        <v>1849</v>
      </c>
      <c r="G645" s="158" t="s">
        <v>2928</v>
      </c>
      <c r="H645" s="158" t="s">
        <v>1874</v>
      </c>
      <c r="I645" s="513" t="s">
        <v>1736</v>
      </c>
      <c r="J645" s="317" t="s">
        <v>1737</v>
      </c>
      <c r="K645" s="317" t="s">
        <v>1737</v>
      </c>
      <c r="L645" s="25" t="s">
        <v>3259</v>
      </c>
      <c r="M645" s="106"/>
      <c r="N645" s="164"/>
      <c r="O645" s="106"/>
      <c r="P645" s="25"/>
      <c r="Q645" s="25"/>
      <c r="R645" s="25"/>
      <c r="S645" s="106"/>
      <c r="T645" s="23"/>
      <c r="U645" s="153"/>
      <c r="V645" s="153"/>
      <c r="W645" s="153"/>
      <c r="X645" s="153"/>
      <c r="Y645" s="153"/>
      <c r="Z645" s="153"/>
    </row>
    <row r="646" spans="1:26">
      <c r="A646" s="776" t="s">
        <v>3606</v>
      </c>
      <c r="B646" s="25" t="s">
        <v>3607</v>
      </c>
      <c r="C646" s="158" t="s">
        <v>3146</v>
      </c>
      <c r="D646" s="158" t="s">
        <v>2976</v>
      </c>
      <c r="E646" s="516" t="s">
        <v>1732</v>
      </c>
      <c r="F646" s="158" t="s">
        <v>1849</v>
      </c>
      <c r="G646" s="158" t="s">
        <v>2977</v>
      </c>
      <c r="H646" s="158" t="s">
        <v>2978</v>
      </c>
      <c r="I646" s="513" t="s">
        <v>1736</v>
      </c>
      <c r="J646" s="317" t="s">
        <v>1737</v>
      </c>
      <c r="K646" s="317" t="s">
        <v>1737</v>
      </c>
      <c r="L646" s="25" t="s">
        <v>3259</v>
      </c>
      <c r="M646" s="106"/>
      <c r="N646" s="164"/>
      <c r="O646" s="106"/>
      <c r="P646" s="25"/>
      <c r="Q646" s="25"/>
      <c r="R646" s="25"/>
      <c r="S646" s="106"/>
      <c r="T646" s="23"/>
      <c r="U646" s="153"/>
      <c r="V646" s="153"/>
      <c r="W646" s="153"/>
      <c r="X646" s="153"/>
      <c r="Y646" s="153"/>
      <c r="Z646" s="153"/>
    </row>
    <row r="647" spans="1:26">
      <c r="A647" s="774"/>
      <c r="B647" s="25" t="s">
        <v>3608</v>
      </c>
      <c r="C647" s="158" t="s">
        <v>3146</v>
      </c>
      <c r="D647" s="158" t="s">
        <v>2981</v>
      </c>
      <c r="E647" s="516" t="s">
        <v>1732</v>
      </c>
      <c r="F647" s="158" t="s">
        <v>1849</v>
      </c>
      <c r="G647" s="158" t="s">
        <v>2982</v>
      </c>
      <c r="H647" s="158" t="s">
        <v>3609</v>
      </c>
      <c r="I647" s="513" t="s">
        <v>1736</v>
      </c>
      <c r="J647" s="317" t="s">
        <v>1737</v>
      </c>
      <c r="K647" s="317" t="s">
        <v>1737</v>
      </c>
      <c r="L647" s="106"/>
      <c r="M647" s="106" t="s">
        <v>3610</v>
      </c>
      <c r="N647" s="164" t="s">
        <v>3611</v>
      </c>
      <c r="O647" s="106"/>
      <c r="P647" s="25"/>
      <c r="Q647" s="25" t="s">
        <v>3268</v>
      </c>
      <c r="R647" s="533" t="s">
        <v>3612</v>
      </c>
      <c r="S647" s="106"/>
      <c r="T647" s="23"/>
      <c r="U647" s="153"/>
      <c r="V647" s="153"/>
      <c r="W647" s="153"/>
      <c r="X647" s="153"/>
      <c r="Y647" s="153"/>
      <c r="Z647" s="153"/>
    </row>
    <row r="648" spans="1:26">
      <c r="A648" s="774"/>
      <c r="B648" s="25" t="s">
        <v>3613</v>
      </c>
      <c r="C648" s="158" t="s">
        <v>3146</v>
      </c>
      <c r="D648" s="158" t="s">
        <v>2969</v>
      </c>
      <c r="E648" s="516" t="s">
        <v>1743</v>
      </c>
      <c r="F648" s="158" t="s">
        <v>1849</v>
      </c>
      <c r="G648" s="158" t="s">
        <v>2986</v>
      </c>
      <c r="H648" s="158" t="s">
        <v>2971</v>
      </c>
      <c r="I648" s="513" t="s">
        <v>1736</v>
      </c>
      <c r="J648" s="317" t="s">
        <v>1737</v>
      </c>
      <c r="K648" s="317" t="s">
        <v>1737</v>
      </c>
      <c r="L648" s="106"/>
      <c r="M648" s="106" t="s">
        <v>3610</v>
      </c>
      <c r="N648" s="164" t="s">
        <v>3614</v>
      </c>
      <c r="O648" s="106"/>
      <c r="P648" s="25"/>
      <c r="Q648" s="25" t="s">
        <v>3268</v>
      </c>
      <c r="R648" s="533" t="s">
        <v>3612</v>
      </c>
      <c r="S648" s="106"/>
      <c r="T648" s="23"/>
      <c r="U648" s="153"/>
      <c r="V648" s="153"/>
      <c r="W648" s="153"/>
      <c r="X648" s="153"/>
      <c r="Y648" s="153"/>
      <c r="Z648" s="153"/>
    </row>
    <row r="649" spans="1:26">
      <c r="A649" s="773"/>
      <c r="B649" s="25" t="s">
        <v>3615</v>
      </c>
      <c r="C649" s="158" t="s">
        <v>3146</v>
      </c>
      <c r="D649" s="158" t="s">
        <v>1873</v>
      </c>
      <c r="E649" s="516" t="s">
        <v>1743</v>
      </c>
      <c r="F649" s="158" t="s">
        <v>1849</v>
      </c>
      <c r="G649" s="158" t="s">
        <v>2977</v>
      </c>
      <c r="H649" s="158" t="s">
        <v>1874</v>
      </c>
      <c r="I649" s="513" t="s">
        <v>1736</v>
      </c>
      <c r="J649" s="317" t="s">
        <v>1737</v>
      </c>
      <c r="K649" s="317" t="s">
        <v>1737</v>
      </c>
      <c r="L649" s="25" t="s">
        <v>3259</v>
      </c>
      <c r="M649" s="106"/>
      <c r="N649" s="164"/>
      <c r="O649" s="106"/>
      <c r="P649" s="25"/>
      <c r="Q649" s="25"/>
      <c r="R649" s="25"/>
      <c r="S649" s="106"/>
      <c r="T649" s="23"/>
      <c r="U649" s="153"/>
      <c r="V649" s="153"/>
      <c r="W649" s="153"/>
      <c r="X649" s="153"/>
      <c r="Y649" s="153"/>
      <c r="Z649" s="153"/>
    </row>
    <row r="650" spans="1:26">
      <c r="A650" s="776" t="s">
        <v>3616</v>
      </c>
      <c r="B650" s="158" t="s">
        <v>3617</v>
      </c>
      <c r="C650" s="158" t="s">
        <v>3146</v>
      </c>
      <c r="D650" s="158" t="s">
        <v>2993</v>
      </c>
      <c r="E650" s="516" t="s">
        <v>1732</v>
      </c>
      <c r="F650" s="158" t="s">
        <v>1849</v>
      </c>
      <c r="G650" s="158" t="s">
        <v>2994</v>
      </c>
      <c r="H650" s="158" t="s">
        <v>2995</v>
      </c>
      <c r="I650" s="513" t="s">
        <v>1736</v>
      </c>
      <c r="J650" s="317" t="s">
        <v>1737</v>
      </c>
      <c r="K650" s="317" t="s">
        <v>1737</v>
      </c>
      <c r="L650" s="25"/>
      <c r="M650" s="36" t="s">
        <v>3618</v>
      </c>
      <c r="N650" s="164" t="s">
        <v>3619</v>
      </c>
      <c r="O650" s="106"/>
      <c r="P650" s="25"/>
      <c r="Q650" s="25"/>
      <c r="R650" s="25"/>
      <c r="S650" s="529">
        <v>45015</v>
      </c>
      <c r="T650" s="521" t="s">
        <v>1916</v>
      </c>
      <c r="U650" s="153"/>
      <c r="V650" s="153"/>
      <c r="W650" s="153"/>
      <c r="X650" s="153"/>
      <c r="Y650" s="153"/>
      <c r="Z650" s="153"/>
    </row>
    <row r="651" spans="1:26">
      <c r="A651" s="774"/>
      <c r="B651" s="158" t="s">
        <v>3620</v>
      </c>
      <c r="C651" s="158" t="s">
        <v>3146</v>
      </c>
      <c r="D651" s="158" t="s">
        <v>2998</v>
      </c>
      <c r="E651" s="516" t="s">
        <v>1732</v>
      </c>
      <c r="F651" s="158" t="s">
        <v>1849</v>
      </c>
      <c r="G651" s="158" t="s">
        <v>2999</v>
      </c>
      <c r="H651" s="158" t="s">
        <v>3000</v>
      </c>
      <c r="I651" s="513" t="s">
        <v>1736</v>
      </c>
      <c r="J651" s="317" t="s">
        <v>1737</v>
      </c>
      <c r="K651" s="317" t="s">
        <v>1737</v>
      </c>
      <c r="L651" s="25"/>
      <c r="M651" s="36" t="s">
        <v>3618</v>
      </c>
      <c r="N651" s="164" t="s">
        <v>3621</v>
      </c>
      <c r="O651" s="106"/>
      <c r="P651" s="25"/>
      <c r="Q651" s="25"/>
      <c r="R651" s="25"/>
      <c r="S651" s="529">
        <v>45015</v>
      </c>
      <c r="T651" s="521" t="s">
        <v>1916</v>
      </c>
      <c r="U651" s="153"/>
      <c r="V651" s="153"/>
      <c r="W651" s="153"/>
      <c r="X651" s="153"/>
      <c r="Y651" s="153"/>
      <c r="Z651" s="153"/>
    </row>
    <row r="652" spans="1:26">
      <c r="A652" s="774"/>
      <c r="B652" s="158" t="s">
        <v>3622</v>
      </c>
      <c r="C652" s="158" t="s">
        <v>3146</v>
      </c>
      <c r="D652" s="158" t="s">
        <v>3003</v>
      </c>
      <c r="E652" s="532" t="s">
        <v>1743</v>
      </c>
      <c r="F652" s="158" t="s">
        <v>1849</v>
      </c>
      <c r="G652" s="158" t="s">
        <v>2999</v>
      </c>
      <c r="H652" s="158" t="s">
        <v>2971</v>
      </c>
      <c r="I652" s="513" t="s">
        <v>1736</v>
      </c>
      <c r="J652" s="317" t="s">
        <v>1737</v>
      </c>
      <c r="K652" s="317" t="s">
        <v>1737</v>
      </c>
      <c r="L652" s="25" t="s">
        <v>3623</v>
      </c>
      <c r="M652" s="106"/>
      <c r="N652" s="164"/>
      <c r="O652" s="106"/>
      <c r="P652" s="25"/>
      <c r="Q652" s="25"/>
      <c r="R652" s="25"/>
      <c r="S652" s="106"/>
      <c r="T652" s="23"/>
      <c r="U652" s="153"/>
      <c r="V652" s="153"/>
      <c r="W652" s="153"/>
      <c r="X652" s="153"/>
      <c r="Y652" s="153"/>
      <c r="Z652" s="153"/>
    </row>
    <row r="653" spans="1:26">
      <c r="A653" s="773"/>
      <c r="B653" s="158" t="s">
        <v>3624</v>
      </c>
      <c r="C653" s="158" t="s">
        <v>3146</v>
      </c>
      <c r="D653" s="158" t="s">
        <v>1873</v>
      </c>
      <c r="E653" s="516" t="s">
        <v>1743</v>
      </c>
      <c r="F653" s="158" t="s">
        <v>1849</v>
      </c>
      <c r="G653" s="158" t="s">
        <v>2994</v>
      </c>
      <c r="H653" s="158" t="s">
        <v>1874</v>
      </c>
      <c r="I653" s="513" t="s">
        <v>1736</v>
      </c>
      <c r="J653" s="317" t="s">
        <v>1737</v>
      </c>
      <c r="K653" s="317" t="s">
        <v>1737</v>
      </c>
      <c r="L653" s="25"/>
      <c r="M653" s="111" t="s">
        <v>3618</v>
      </c>
      <c r="N653" s="164" t="s">
        <v>3619</v>
      </c>
      <c r="O653" s="106"/>
      <c r="P653" s="25"/>
      <c r="Q653" s="25"/>
      <c r="R653" s="25"/>
      <c r="S653" s="529">
        <v>45015</v>
      </c>
      <c r="T653" s="521" t="s">
        <v>1916</v>
      </c>
      <c r="U653" s="153"/>
      <c r="V653" s="153"/>
      <c r="W653" s="153"/>
      <c r="X653" s="153"/>
      <c r="Y653" s="153"/>
      <c r="Z653" s="153"/>
    </row>
    <row r="654" spans="1:26">
      <c r="A654" s="776" t="s">
        <v>3625</v>
      </c>
      <c r="B654" s="158" t="s">
        <v>3626</v>
      </c>
      <c r="C654" s="158" t="s">
        <v>3146</v>
      </c>
      <c r="D654" s="158" t="s">
        <v>3011</v>
      </c>
      <c r="E654" s="516" t="s">
        <v>1732</v>
      </c>
      <c r="F654" s="158" t="s">
        <v>1849</v>
      </c>
      <c r="G654" s="158" t="s">
        <v>3012</v>
      </c>
      <c r="H654" s="158" t="s">
        <v>3013</v>
      </c>
      <c r="I654" s="513" t="s">
        <v>1736</v>
      </c>
      <c r="J654" s="317" t="s">
        <v>1737</v>
      </c>
      <c r="K654" s="317" t="s">
        <v>1737</v>
      </c>
      <c r="L654" s="25"/>
      <c r="M654" s="106" t="s">
        <v>3627</v>
      </c>
      <c r="N654" s="164" t="s">
        <v>3628</v>
      </c>
      <c r="O654" s="106"/>
      <c r="P654" s="25"/>
      <c r="Q654" s="25"/>
      <c r="R654" s="25"/>
      <c r="S654" s="529">
        <v>45015</v>
      </c>
      <c r="T654" s="521" t="s">
        <v>1916</v>
      </c>
      <c r="U654" s="153"/>
      <c r="V654" s="153"/>
      <c r="W654" s="153"/>
      <c r="X654" s="153"/>
      <c r="Y654" s="153"/>
      <c r="Z654" s="153"/>
    </row>
    <row r="655" spans="1:26">
      <c r="A655" s="773"/>
      <c r="B655" s="158" t="s">
        <v>3629</v>
      </c>
      <c r="C655" s="158" t="s">
        <v>3146</v>
      </c>
      <c r="D655" s="158" t="s">
        <v>1873</v>
      </c>
      <c r="E655" s="516" t="s">
        <v>1743</v>
      </c>
      <c r="F655" s="158" t="s">
        <v>1849</v>
      </c>
      <c r="G655" s="158" t="s">
        <v>3012</v>
      </c>
      <c r="H655" s="158" t="s">
        <v>1874</v>
      </c>
      <c r="I655" s="513" t="s">
        <v>1736</v>
      </c>
      <c r="J655" s="317" t="s">
        <v>1737</v>
      </c>
      <c r="K655" s="317" t="s">
        <v>1737</v>
      </c>
      <c r="L655" s="25"/>
      <c r="M655" s="106" t="s">
        <v>3627</v>
      </c>
      <c r="N655" s="164" t="s">
        <v>3628</v>
      </c>
      <c r="O655" s="106"/>
      <c r="P655" s="25"/>
      <c r="Q655" s="25"/>
      <c r="R655" s="25"/>
      <c r="S655" s="529">
        <v>45015</v>
      </c>
      <c r="T655" s="521" t="s">
        <v>1916</v>
      </c>
      <c r="U655" s="153"/>
      <c r="V655" s="153"/>
      <c r="W655" s="153"/>
      <c r="X655" s="153"/>
      <c r="Y655" s="153"/>
      <c r="Z655" s="153"/>
    </row>
    <row r="656" spans="1:26">
      <c r="A656" s="776" t="s">
        <v>3630</v>
      </c>
      <c r="B656" s="158" t="s">
        <v>3631</v>
      </c>
      <c r="C656" s="158" t="s">
        <v>3146</v>
      </c>
      <c r="D656" s="158" t="s">
        <v>3017</v>
      </c>
      <c r="E656" s="532" t="s">
        <v>1732</v>
      </c>
      <c r="F656" s="158" t="s">
        <v>1849</v>
      </c>
      <c r="G656" s="158" t="s">
        <v>3018</v>
      </c>
      <c r="H656" s="158" t="s">
        <v>3019</v>
      </c>
      <c r="I656" s="513" t="s">
        <v>1736</v>
      </c>
      <c r="J656" s="317" t="s">
        <v>1737</v>
      </c>
      <c r="K656" s="317" t="s">
        <v>1737</v>
      </c>
      <c r="L656" s="25"/>
      <c r="M656" s="106" t="s">
        <v>3632</v>
      </c>
      <c r="N656" s="164" t="s">
        <v>3633</v>
      </c>
      <c r="O656" s="106"/>
      <c r="P656" s="25"/>
      <c r="Q656" s="25"/>
      <c r="R656" s="25"/>
      <c r="S656" s="529">
        <v>45015</v>
      </c>
      <c r="T656" s="521" t="s">
        <v>1916</v>
      </c>
      <c r="U656" s="153"/>
      <c r="V656" s="153"/>
      <c r="W656" s="153"/>
      <c r="X656" s="153"/>
      <c r="Y656" s="153"/>
      <c r="Z656" s="153"/>
    </row>
    <row r="657" spans="1:26">
      <c r="A657" s="773"/>
      <c r="B657" s="158" t="s">
        <v>3634</v>
      </c>
      <c r="C657" s="158" t="s">
        <v>3146</v>
      </c>
      <c r="D657" s="158" t="s">
        <v>1873</v>
      </c>
      <c r="E657" s="532" t="s">
        <v>1743</v>
      </c>
      <c r="F657" s="158" t="s">
        <v>1849</v>
      </c>
      <c r="G657" s="158" t="s">
        <v>3018</v>
      </c>
      <c r="H657" s="158" t="s">
        <v>1874</v>
      </c>
      <c r="I657" s="513" t="s">
        <v>1736</v>
      </c>
      <c r="J657" s="317" t="s">
        <v>1737</v>
      </c>
      <c r="K657" s="317" t="s">
        <v>1737</v>
      </c>
      <c r="L657" s="25"/>
      <c r="M657" s="106" t="s">
        <v>3632</v>
      </c>
      <c r="N657" s="164" t="s">
        <v>3633</v>
      </c>
      <c r="O657" s="106"/>
      <c r="P657" s="25"/>
      <c r="Q657" s="25"/>
      <c r="R657" s="25"/>
      <c r="S657" s="529">
        <v>45015</v>
      </c>
      <c r="T657" s="521" t="s">
        <v>1916</v>
      </c>
      <c r="U657" s="153"/>
      <c r="V657" s="153"/>
      <c r="W657" s="153"/>
      <c r="X657" s="153"/>
      <c r="Y657" s="153"/>
      <c r="Z657" s="153"/>
    </row>
    <row r="658" spans="1:26">
      <c r="A658" s="776" t="s">
        <v>3635</v>
      </c>
      <c r="B658" s="158" t="s">
        <v>3636</v>
      </c>
      <c r="C658" s="158" t="s">
        <v>3146</v>
      </c>
      <c r="D658" s="158" t="s">
        <v>3026</v>
      </c>
      <c r="E658" s="532" t="s">
        <v>1732</v>
      </c>
      <c r="F658" s="158" t="s">
        <v>1849</v>
      </c>
      <c r="G658" s="158" t="s">
        <v>3027</v>
      </c>
      <c r="H658" s="158" t="s">
        <v>3028</v>
      </c>
      <c r="I658" s="513" t="s">
        <v>1736</v>
      </c>
      <c r="J658" s="317" t="s">
        <v>1737</v>
      </c>
      <c r="K658" s="317" t="s">
        <v>1737</v>
      </c>
      <c r="L658" s="25" t="s">
        <v>3259</v>
      </c>
      <c r="M658" s="106"/>
      <c r="N658" s="164"/>
      <c r="O658" s="106"/>
      <c r="P658" s="25"/>
      <c r="Q658" s="25"/>
      <c r="R658" s="25"/>
      <c r="S658" s="106"/>
      <c r="T658" s="23"/>
      <c r="U658" s="153"/>
      <c r="V658" s="153"/>
      <c r="W658" s="153"/>
      <c r="X658" s="153"/>
      <c r="Y658" s="153"/>
      <c r="Z658" s="153"/>
    </row>
    <row r="659" spans="1:26">
      <c r="A659" s="773"/>
      <c r="B659" s="158" t="s">
        <v>3637</v>
      </c>
      <c r="C659" s="158" t="s">
        <v>3146</v>
      </c>
      <c r="D659" s="158" t="s">
        <v>1873</v>
      </c>
      <c r="E659" s="532" t="s">
        <v>1743</v>
      </c>
      <c r="F659" s="158" t="s">
        <v>1849</v>
      </c>
      <c r="G659" s="158" t="s">
        <v>3027</v>
      </c>
      <c r="H659" s="158" t="s">
        <v>1874</v>
      </c>
      <c r="I659" s="513" t="s">
        <v>1736</v>
      </c>
      <c r="J659" s="317" t="s">
        <v>1737</v>
      </c>
      <c r="K659" s="317" t="s">
        <v>1737</v>
      </c>
      <c r="L659" s="25" t="s">
        <v>3259</v>
      </c>
      <c r="M659" s="106"/>
      <c r="N659" s="164"/>
      <c r="O659" s="106"/>
      <c r="P659" s="25"/>
      <c r="Q659" s="25"/>
      <c r="R659" s="25"/>
      <c r="S659" s="106"/>
      <c r="T659" s="23"/>
      <c r="U659" s="153"/>
      <c r="V659" s="153"/>
      <c r="W659" s="153"/>
      <c r="X659" s="153"/>
      <c r="Y659" s="153"/>
      <c r="Z659" s="153"/>
    </row>
    <row r="660" spans="1:26">
      <c r="A660" s="776" t="s">
        <v>3638</v>
      </c>
      <c r="B660" s="158" t="s">
        <v>3639</v>
      </c>
      <c r="C660" s="158" t="s">
        <v>3146</v>
      </c>
      <c r="D660" s="158" t="s">
        <v>3034</v>
      </c>
      <c r="E660" s="516" t="s">
        <v>1732</v>
      </c>
      <c r="F660" s="158" t="s">
        <v>1849</v>
      </c>
      <c r="G660" s="158" t="s">
        <v>3035</v>
      </c>
      <c r="H660" s="158" t="s">
        <v>3036</v>
      </c>
      <c r="I660" s="513" t="s">
        <v>1736</v>
      </c>
      <c r="J660" s="317" t="s">
        <v>1737</v>
      </c>
      <c r="K660" s="317" t="s">
        <v>1737</v>
      </c>
      <c r="L660" s="25" t="s">
        <v>3259</v>
      </c>
      <c r="M660" s="106"/>
      <c r="N660" s="164"/>
      <c r="O660" s="106"/>
      <c r="P660" s="25"/>
      <c r="Q660" s="25"/>
      <c r="R660" s="25"/>
      <c r="S660" s="106"/>
      <c r="T660" s="23"/>
      <c r="U660" s="153"/>
      <c r="V660" s="153"/>
      <c r="W660" s="153"/>
      <c r="X660" s="153"/>
      <c r="Y660" s="153"/>
      <c r="Z660" s="153"/>
    </row>
    <row r="661" spans="1:26">
      <c r="A661" s="774"/>
      <c r="B661" s="158" t="s">
        <v>3640</v>
      </c>
      <c r="C661" s="158" t="s">
        <v>3146</v>
      </c>
      <c r="D661" s="158" t="s">
        <v>3038</v>
      </c>
      <c r="E661" s="516" t="s">
        <v>1732</v>
      </c>
      <c r="F661" s="158" t="s">
        <v>1849</v>
      </c>
      <c r="G661" s="158" t="s">
        <v>3039</v>
      </c>
      <c r="H661" s="158" t="s">
        <v>3040</v>
      </c>
      <c r="I661" s="513" t="s">
        <v>1736</v>
      </c>
      <c r="J661" s="317" t="s">
        <v>1737</v>
      </c>
      <c r="K661" s="317" t="s">
        <v>1737</v>
      </c>
      <c r="L661" s="106"/>
      <c r="M661" s="106" t="s">
        <v>3610</v>
      </c>
      <c r="N661" s="164" t="s">
        <v>3641</v>
      </c>
      <c r="O661" s="106"/>
      <c r="P661" s="25"/>
      <c r="Q661" s="25" t="s">
        <v>3268</v>
      </c>
      <c r="R661" s="533" t="s">
        <v>3642</v>
      </c>
      <c r="S661" s="106"/>
      <c r="T661" s="23"/>
      <c r="U661" s="153"/>
      <c r="V661" s="153"/>
      <c r="W661" s="153"/>
      <c r="X661" s="153"/>
      <c r="Y661" s="153"/>
      <c r="Z661" s="153"/>
    </row>
    <row r="662" spans="1:26">
      <c r="A662" s="773"/>
      <c r="B662" s="158" t="s">
        <v>3643</v>
      </c>
      <c r="C662" s="158" t="s">
        <v>3146</v>
      </c>
      <c r="D662" s="158" t="s">
        <v>1873</v>
      </c>
      <c r="E662" s="532" t="s">
        <v>1743</v>
      </c>
      <c r="F662" s="158" t="s">
        <v>1849</v>
      </c>
      <c r="G662" s="158" t="s">
        <v>3035</v>
      </c>
      <c r="H662" s="158" t="s">
        <v>1874</v>
      </c>
      <c r="I662" s="513" t="s">
        <v>1736</v>
      </c>
      <c r="J662" s="317" t="s">
        <v>1737</v>
      </c>
      <c r="K662" s="317" t="s">
        <v>1737</v>
      </c>
      <c r="L662" s="25" t="s">
        <v>3259</v>
      </c>
      <c r="M662" s="106"/>
      <c r="N662" s="164"/>
      <c r="O662" s="106"/>
      <c r="P662" s="25"/>
      <c r="Q662" s="25"/>
      <c r="R662" s="25"/>
      <c r="S662" s="106"/>
      <c r="T662" s="23"/>
      <c r="U662" s="153"/>
      <c r="V662" s="153"/>
      <c r="W662" s="153"/>
      <c r="X662" s="153"/>
      <c r="Y662" s="153"/>
      <c r="Z662" s="153"/>
    </row>
    <row r="663" spans="1:26">
      <c r="A663" s="777" t="s">
        <v>3644</v>
      </c>
      <c r="B663" s="158" t="s">
        <v>3645</v>
      </c>
      <c r="C663" s="158" t="s">
        <v>3146</v>
      </c>
      <c r="D663" s="158" t="s">
        <v>3045</v>
      </c>
      <c r="E663" s="516" t="s">
        <v>1732</v>
      </c>
      <c r="F663" s="158" t="s">
        <v>1849</v>
      </c>
      <c r="G663" s="158" t="s">
        <v>3046</v>
      </c>
      <c r="H663" s="158" t="s">
        <v>3047</v>
      </c>
      <c r="I663" s="513" t="s">
        <v>1736</v>
      </c>
      <c r="J663" s="317" t="s">
        <v>1737</v>
      </c>
      <c r="K663" s="317" t="s">
        <v>1737</v>
      </c>
      <c r="L663" s="106"/>
      <c r="M663" s="106"/>
      <c r="N663" s="164"/>
      <c r="O663" s="106"/>
      <c r="P663" s="25"/>
      <c r="Q663" s="25"/>
      <c r="R663" s="25"/>
      <c r="S663" s="106"/>
      <c r="T663" s="23"/>
      <c r="U663" s="153"/>
      <c r="V663" s="153"/>
      <c r="W663" s="153"/>
      <c r="X663" s="153"/>
      <c r="Y663" s="153"/>
      <c r="Z663" s="153"/>
    </row>
    <row r="664" spans="1:26">
      <c r="A664" s="778"/>
      <c r="B664" s="158" t="s">
        <v>3646</v>
      </c>
      <c r="C664" s="158" t="s">
        <v>3146</v>
      </c>
      <c r="D664" s="158" t="s">
        <v>3050</v>
      </c>
      <c r="E664" s="516" t="s">
        <v>1732</v>
      </c>
      <c r="F664" s="158" t="s">
        <v>1849</v>
      </c>
      <c r="G664" s="158" t="s">
        <v>3051</v>
      </c>
      <c r="H664" s="158" t="s">
        <v>3052</v>
      </c>
      <c r="I664" s="513" t="s">
        <v>1736</v>
      </c>
      <c r="J664" s="317" t="s">
        <v>1737</v>
      </c>
      <c r="K664" s="317" t="s">
        <v>1737</v>
      </c>
      <c r="L664" s="106"/>
      <c r="M664" s="106"/>
      <c r="N664" s="164"/>
      <c r="O664" s="106"/>
      <c r="P664" s="25"/>
      <c r="Q664" s="25"/>
      <c r="R664" s="25"/>
      <c r="S664" s="106"/>
      <c r="T664" s="23"/>
      <c r="U664" s="153"/>
      <c r="V664" s="153"/>
      <c r="W664" s="153"/>
      <c r="X664" s="153"/>
      <c r="Y664" s="153"/>
      <c r="Z664" s="153"/>
    </row>
    <row r="665" spans="1:26">
      <c r="A665" s="778"/>
      <c r="B665" s="158" t="s">
        <v>3647</v>
      </c>
      <c r="C665" s="158" t="s">
        <v>3146</v>
      </c>
      <c r="D665" s="158" t="s">
        <v>3054</v>
      </c>
      <c r="E665" s="516" t="s">
        <v>1732</v>
      </c>
      <c r="F665" s="158" t="s">
        <v>1849</v>
      </c>
      <c r="G665" s="158" t="s">
        <v>3055</v>
      </c>
      <c r="H665" s="158" t="s">
        <v>3056</v>
      </c>
      <c r="I665" s="513" t="s">
        <v>1736</v>
      </c>
      <c r="J665" s="317" t="s">
        <v>1737</v>
      </c>
      <c r="K665" s="317" t="s">
        <v>1737</v>
      </c>
      <c r="L665" s="106"/>
      <c r="M665" s="106"/>
      <c r="N665" s="164"/>
      <c r="O665" s="106"/>
      <c r="P665" s="25"/>
      <c r="Q665" s="25"/>
      <c r="R665" s="25"/>
      <c r="S665" s="106"/>
      <c r="T665" s="23"/>
      <c r="U665" s="153"/>
      <c r="V665" s="153"/>
      <c r="W665" s="153"/>
      <c r="X665" s="153"/>
      <c r="Y665" s="153"/>
      <c r="Z665" s="153"/>
    </row>
    <row r="666" spans="1:26">
      <c r="A666" s="778"/>
      <c r="B666" s="158" t="s">
        <v>3648</v>
      </c>
      <c r="C666" s="158" t="s">
        <v>3146</v>
      </c>
      <c r="D666" s="158" t="s">
        <v>3058</v>
      </c>
      <c r="E666" s="516" t="s">
        <v>1732</v>
      </c>
      <c r="F666" s="158" t="s">
        <v>1849</v>
      </c>
      <c r="G666" s="158" t="s">
        <v>3059</v>
      </c>
      <c r="H666" s="158" t="s">
        <v>3060</v>
      </c>
      <c r="I666" s="513" t="s">
        <v>1736</v>
      </c>
      <c r="J666" s="317" t="s">
        <v>1737</v>
      </c>
      <c r="K666" s="317" t="s">
        <v>1737</v>
      </c>
      <c r="L666" s="106"/>
      <c r="M666" s="106"/>
      <c r="N666" s="164"/>
      <c r="O666" s="106"/>
      <c r="P666" s="25"/>
      <c r="Q666" s="25"/>
      <c r="R666" s="25"/>
      <c r="S666" s="106"/>
      <c r="T666" s="23"/>
      <c r="U666" s="153"/>
      <c r="V666" s="153"/>
      <c r="W666" s="153"/>
      <c r="X666" s="153"/>
      <c r="Y666" s="153"/>
      <c r="Z666" s="153"/>
    </row>
    <row r="667" spans="1:26">
      <c r="A667" s="778"/>
      <c r="B667" s="158" t="s">
        <v>3649</v>
      </c>
      <c r="C667" s="158" t="s">
        <v>3146</v>
      </c>
      <c r="D667" s="158" t="s">
        <v>3062</v>
      </c>
      <c r="E667" s="516" t="s">
        <v>1732</v>
      </c>
      <c r="F667" s="158" t="s">
        <v>1849</v>
      </c>
      <c r="G667" s="158" t="s">
        <v>3063</v>
      </c>
      <c r="H667" s="158" t="s">
        <v>3064</v>
      </c>
      <c r="I667" s="513" t="s">
        <v>1736</v>
      </c>
      <c r="J667" s="317" t="s">
        <v>1737</v>
      </c>
      <c r="K667" s="317" t="s">
        <v>1737</v>
      </c>
      <c r="L667" s="106"/>
      <c r="M667" s="106"/>
      <c r="N667" s="164"/>
      <c r="O667" s="106"/>
      <c r="P667" s="25"/>
      <c r="Q667" s="25"/>
      <c r="R667" s="25"/>
      <c r="S667" s="106"/>
      <c r="T667" s="23"/>
      <c r="U667" s="153"/>
      <c r="V667" s="153"/>
      <c r="W667" s="153"/>
      <c r="X667" s="153"/>
      <c r="Y667" s="153"/>
      <c r="Z667" s="153"/>
    </row>
    <row r="668" spans="1:26">
      <c r="A668" s="778"/>
      <c r="B668" s="158" t="s">
        <v>3650</v>
      </c>
      <c r="C668" s="158" t="s">
        <v>3146</v>
      </c>
      <c r="D668" s="158" t="s">
        <v>3003</v>
      </c>
      <c r="E668" s="532" t="s">
        <v>1743</v>
      </c>
      <c r="F668" s="158" t="s">
        <v>1849</v>
      </c>
      <c r="G668" s="158" t="s">
        <v>3046</v>
      </c>
      <c r="H668" s="158" t="s">
        <v>2971</v>
      </c>
      <c r="I668" s="513" t="s">
        <v>1736</v>
      </c>
      <c r="J668" s="317" t="s">
        <v>1737</v>
      </c>
      <c r="K668" s="317" t="s">
        <v>1737</v>
      </c>
      <c r="L668" s="106"/>
      <c r="M668" s="106"/>
      <c r="N668" s="164"/>
      <c r="O668" s="106"/>
      <c r="P668" s="25"/>
      <c r="Q668" s="25"/>
      <c r="R668" s="25"/>
      <c r="S668" s="106"/>
      <c r="T668" s="23"/>
      <c r="U668" s="153"/>
      <c r="V668" s="153"/>
      <c r="W668" s="153"/>
      <c r="X668" s="153"/>
      <c r="Y668" s="153"/>
      <c r="Z668" s="153"/>
    </row>
    <row r="669" spans="1:26">
      <c r="A669" s="778"/>
      <c r="B669" s="158" t="s">
        <v>3651</v>
      </c>
      <c r="C669" s="158" t="s">
        <v>3146</v>
      </c>
      <c r="D669" s="158" t="s">
        <v>1873</v>
      </c>
      <c r="E669" s="532" t="s">
        <v>1743</v>
      </c>
      <c r="F669" s="158" t="s">
        <v>1849</v>
      </c>
      <c r="G669" s="158" t="s">
        <v>3046</v>
      </c>
      <c r="H669" s="158" t="s">
        <v>1874</v>
      </c>
      <c r="I669" s="513" t="s">
        <v>1736</v>
      </c>
      <c r="J669" s="317" t="s">
        <v>1737</v>
      </c>
      <c r="K669" s="317" t="s">
        <v>1737</v>
      </c>
      <c r="L669" s="106"/>
      <c r="M669" s="106"/>
      <c r="N669" s="164"/>
      <c r="O669" s="106"/>
      <c r="P669" s="25"/>
      <c r="Q669" s="25"/>
      <c r="R669" s="25"/>
      <c r="S669" s="106"/>
      <c r="T669" s="23"/>
      <c r="U669" s="153"/>
      <c r="V669" s="153"/>
      <c r="W669" s="153"/>
      <c r="X669" s="153"/>
      <c r="Y669" s="153"/>
      <c r="Z669" s="153"/>
    </row>
    <row r="670" spans="1:26">
      <c r="A670" s="776" t="s">
        <v>3652</v>
      </c>
      <c r="B670" s="158" t="s">
        <v>3653</v>
      </c>
      <c r="C670" s="158" t="s">
        <v>3146</v>
      </c>
      <c r="D670" s="158" t="s">
        <v>3072</v>
      </c>
      <c r="E670" s="516" t="s">
        <v>1732</v>
      </c>
      <c r="F670" s="158" t="s">
        <v>1849</v>
      </c>
      <c r="G670" s="158" t="s">
        <v>3073</v>
      </c>
      <c r="H670" s="158" t="s">
        <v>3074</v>
      </c>
      <c r="I670" s="513" t="s">
        <v>1736</v>
      </c>
      <c r="J670" s="317" t="s">
        <v>1737</v>
      </c>
      <c r="K670" s="317" t="s">
        <v>1737</v>
      </c>
      <c r="L670" s="106"/>
      <c r="M670" s="106"/>
      <c r="N670" s="164"/>
      <c r="O670" s="106"/>
      <c r="P670" s="25"/>
      <c r="Q670" s="25"/>
      <c r="R670" s="25"/>
      <c r="S670" s="106"/>
      <c r="T670" s="23"/>
      <c r="U670" s="153"/>
      <c r="V670" s="153"/>
      <c r="W670" s="153"/>
      <c r="X670" s="153"/>
      <c r="Y670" s="153"/>
      <c r="Z670" s="153"/>
    </row>
    <row r="671" spans="1:26">
      <c r="A671" s="774"/>
      <c r="B671" s="158" t="s">
        <v>3654</v>
      </c>
      <c r="C671" s="158" t="s">
        <v>3146</v>
      </c>
      <c r="D671" s="158" t="s">
        <v>3076</v>
      </c>
      <c r="E671" s="516" t="s">
        <v>1732</v>
      </c>
      <c r="F671" s="158" t="s">
        <v>1849</v>
      </c>
      <c r="G671" s="158" t="s">
        <v>3077</v>
      </c>
      <c r="H671" s="158" t="s">
        <v>3078</v>
      </c>
      <c r="I671" s="513" t="s">
        <v>1736</v>
      </c>
      <c r="J671" s="317" t="s">
        <v>1737</v>
      </c>
      <c r="K671" s="317" t="s">
        <v>1737</v>
      </c>
      <c r="L671" s="106"/>
      <c r="M671" s="106"/>
      <c r="N671" s="164"/>
      <c r="O671" s="106"/>
      <c r="P671" s="25"/>
      <c r="Q671" s="25"/>
      <c r="R671" s="25"/>
      <c r="S671" s="106"/>
      <c r="T671" s="23"/>
      <c r="U671" s="153"/>
      <c r="V671" s="153"/>
      <c r="W671" s="153"/>
      <c r="X671" s="153"/>
      <c r="Y671" s="153"/>
      <c r="Z671" s="153"/>
    </row>
    <row r="672" spans="1:26">
      <c r="A672" s="774"/>
      <c r="B672" s="158" t="s">
        <v>3655</v>
      </c>
      <c r="C672" s="158" t="s">
        <v>3146</v>
      </c>
      <c r="D672" s="158" t="s">
        <v>3081</v>
      </c>
      <c r="E672" s="516" t="s">
        <v>1732</v>
      </c>
      <c r="F672" s="158" t="s">
        <v>1849</v>
      </c>
      <c r="G672" s="158" t="s">
        <v>3082</v>
      </c>
      <c r="H672" s="158" t="s">
        <v>3083</v>
      </c>
      <c r="I672" s="513" t="s">
        <v>1736</v>
      </c>
      <c r="J672" s="317" t="s">
        <v>1737</v>
      </c>
      <c r="K672" s="317" t="s">
        <v>1737</v>
      </c>
      <c r="L672" s="106"/>
      <c r="M672" s="106" t="s">
        <v>3568</v>
      </c>
      <c r="N672" s="164" t="s">
        <v>3656</v>
      </c>
      <c r="O672" s="106"/>
      <c r="P672" s="25"/>
      <c r="Q672" s="25"/>
      <c r="R672" s="25"/>
      <c r="S672" s="106"/>
      <c r="T672" s="23"/>
      <c r="U672" s="153"/>
      <c r="V672" s="153"/>
      <c r="W672" s="153"/>
      <c r="X672" s="153"/>
      <c r="Y672" s="153"/>
      <c r="Z672" s="153"/>
    </row>
    <row r="673" spans="1:26">
      <c r="A673" s="774"/>
      <c r="B673" s="158" t="s">
        <v>3657</v>
      </c>
      <c r="C673" s="158" t="s">
        <v>3146</v>
      </c>
      <c r="D673" s="158" t="s">
        <v>3085</v>
      </c>
      <c r="E673" s="516" t="s">
        <v>1732</v>
      </c>
      <c r="F673" s="158" t="s">
        <v>1849</v>
      </c>
      <c r="G673" s="158" t="s">
        <v>3086</v>
      </c>
      <c r="H673" s="158" t="s">
        <v>3087</v>
      </c>
      <c r="I673" s="513" t="s">
        <v>1736</v>
      </c>
      <c r="J673" s="317" t="s">
        <v>1737</v>
      </c>
      <c r="K673" s="317" t="s">
        <v>1737</v>
      </c>
      <c r="L673" s="106"/>
      <c r="M673" s="106"/>
      <c r="N673" s="164"/>
      <c r="O673" s="106"/>
      <c r="P673" s="25"/>
      <c r="Q673" s="25"/>
      <c r="R673" s="25"/>
      <c r="S673" s="106"/>
      <c r="T673" s="23"/>
      <c r="U673" s="153"/>
      <c r="V673" s="153"/>
      <c r="W673" s="153"/>
      <c r="X673" s="153"/>
      <c r="Y673" s="153"/>
      <c r="Z673" s="153"/>
    </row>
    <row r="674" spans="1:26">
      <c r="A674" s="774"/>
      <c r="B674" s="158" t="s">
        <v>3658</v>
      </c>
      <c r="C674" s="158" t="s">
        <v>3146</v>
      </c>
      <c r="D674" s="158" t="s">
        <v>3089</v>
      </c>
      <c r="E674" s="516" t="s">
        <v>1732</v>
      </c>
      <c r="F674" s="158" t="s">
        <v>1849</v>
      </c>
      <c r="G674" s="158" t="s">
        <v>3090</v>
      </c>
      <c r="H674" s="158" t="s">
        <v>3091</v>
      </c>
      <c r="I674" s="513" t="s">
        <v>1736</v>
      </c>
      <c r="J674" s="317" t="s">
        <v>1737</v>
      </c>
      <c r="K674" s="317" t="s">
        <v>1737</v>
      </c>
      <c r="L674" s="106"/>
      <c r="M674" s="106"/>
      <c r="N674" s="164"/>
      <c r="O674" s="106"/>
      <c r="P674" s="25"/>
      <c r="Q674" s="25"/>
      <c r="R674" s="25"/>
      <c r="S674" s="106"/>
      <c r="T674" s="23"/>
      <c r="U674" s="153"/>
      <c r="V674" s="153"/>
      <c r="W674" s="153"/>
      <c r="X674" s="153"/>
      <c r="Y674" s="153"/>
      <c r="Z674" s="153"/>
    </row>
    <row r="675" spans="1:26">
      <c r="A675" s="773"/>
      <c r="B675" s="158" t="s">
        <v>3659</v>
      </c>
      <c r="C675" s="158" t="s">
        <v>3146</v>
      </c>
      <c r="D675" s="158" t="s">
        <v>1873</v>
      </c>
      <c r="E675" s="532" t="s">
        <v>1743</v>
      </c>
      <c r="F675" s="158" t="s">
        <v>1849</v>
      </c>
      <c r="G675" s="158" t="s">
        <v>3046</v>
      </c>
      <c r="H675" s="158" t="s">
        <v>1874</v>
      </c>
      <c r="I675" s="513" t="s">
        <v>1736</v>
      </c>
      <c r="J675" s="317" t="s">
        <v>1737</v>
      </c>
      <c r="K675" s="317" t="s">
        <v>1737</v>
      </c>
      <c r="L675" s="106"/>
      <c r="M675" s="106" t="s">
        <v>3660</v>
      </c>
      <c r="N675" s="164" t="s">
        <v>3661</v>
      </c>
      <c r="O675" s="106"/>
      <c r="P675" s="25"/>
      <c r="Q675" s="25"/>
      <c r="R675" s="25"/>
      <c r="S675" s="529">
        <v>45015</v>
      </c>
      <c r="T675" s="521" t="s">
        <v>1916</v>
      </c>
      <c r="U675" s="153"/>
      <c r="V675" s="153"/>
      <c r="W675" s="153"/>
      <c r="X675" s="153"/>
      <c r="Y675" s="153"/>
      <c r="Z675" s="153"/>
    </row>
    <row r="676" spans="1:26">
      <c r="A676" s="776" t="s">
        <v>3662</v>
      </c>
      <c r="B676" s="158" t="s">
        <v>3663</v>
      </c>
      <c r="C676" s="158" t="s">
        <v>3146</v>
      </c>
      <c r="D676" s="158" t="s">
        <v>3096</v>
      </c>
      <c r="E676" s="516" t="s">
        <v>1732</v>
      </c>
      <c r="F676" s="158" t="s">
        <v>1849</v>
      </c>
      <c r="G676" s="158" t="s">
        <v>3097</v>
      </c>
      <c r="H676" s="158" t="s">
        <v>3098</v>
      </c>
      <c r="I676" s="513" t="s">
        <v>1736</v>
      </c>
      <c r="J676" s="317" t="s">
        <v>1737</v>
      </c>
      <c r="K676" s="317" t="s">
        <v>1737</v>
      </c>
      <c r="L676" s="106"/>
      <c r="M676" s="106" t="s">
        <v>3664</v>
      </c>
      <c r="N676" s="164" t="s">
        <v>3665</v>
      </c>
      <c r="O676" s="106"/>
      <c r="P676" s="25"/>
      <c r="Q676" s="25"/>
      <c r="R676" s="25"/>
      <c r="S676" s="529">
        <v>45015</v>
      </c>
      <c r="T676" s="521" t="s">
        <v>1916</v>
      </c>
      <c r="U676" s="153"/>
      <c r="V676" s="153"/>
      <c r="W676" s="153"/>
      <c r="X676" s="153"/>
      <c r="Y676" s="153"/>
      <c r="Z676" s="153"/>
    </row>
    <row r="677" spans="1:26">
      <c r="A677" s="774"/>
      <c r="B677" s="158" t="s">
        <v>3666</v>
      </c>
      <c r="C677" s="158" t="s">
        <v>3146</v>
      </c>
      <c r="D677" s="158" t="s">
        <v>3003</v>
      </c>
      <c r="E677" s="532" t="s">
        <v>1743</v>
      </c>
      <c r="F677" s="158" t="s">
        <v>1849</v>
      </c>
      <c r="G677" s="158" t="s">
        <v>3097</v>
      </c>
      <c r="H677" s="158" t="s">
        <v>2971</v>
      </c>
      <c r="I677" s="513" t="s">
        <v>1736</v>
      </c>
      <c r="J677" s="317" t="s">
        <v>1737</v>
      </c>
      <c r="K677" s="317" t="s">
        <v>1737</v>
      </c>
      <c r="L677" s="22" t="s">
        <v>3667</v>
      </c>
      <c r="M677" s="106"/>
      <c r="N677" s="164"/>
      <c r="O677" s="106"/>
      <c r="P677" s="25"/>
      <c r="Q677" s="25"/>
      <c r="R677" s="25"/>
      <c r="S677" s="106"/>
      <c r="T677" s="23"/>
      <c r="U677" s="153"/>
      <c r="V677" s="153"/>
      <c r="W677" s="153"/>
      <c r="X677" s="153"/>
      <c r="Y677" s="153"/>
      <c r="Z677" s="153"/>
    </row>
    <row r="678" spans="1:26">
      <c r="A678" s="774"/>
      <c r="B678" s="158" t="s">
        <v>3668</v>
      </c>
      <c r="C678" s="158" t="s">
        <v>3146</v>
      </c>
      <c r="D678" s="158" t="s">
        <v>1873</v>
      </c>
      <c r="E678" s="532" t="s">
        <v>1743</v>
      </c>
      <c r="F678" s="158" t="s">
        <v>1849</v>
      </c>
      <c r="G678" s="158" t="s">
        <v>3097</v>
      </c>
      <c r="H678" s="158" t="s">
        <v>1874</v>
      </c>
      <c r="I678" s="513" t="s">
        <v>1736</v>
      </c>
      <c r="J678" s="317" t="s">
        <v>1737</v>
      </c>
      <c r="K678" s="317" t="s">
        <v>1737</v>
      </c>
      <c r="L678" s="106"/>
      <c r="M678" s="106" t="s">
        <v>3664</v>
      </c>
      <c r="N678" s="164" t="s">
        <v>3665</v>
      </c>
      <c r="O678" s="106"/>
      <c r="P678" s="25"/>
      <c r="Q678" s="25"/>
      <c r="R678" s="25"/>
      <c r="S678" s="529">
        <v>45015</v>
      </c>
      <c r="T678" s="521" t="s">
        <v>1916</v>
      </c>
      <c r="U678" s="153"/>
      <c r="V678" s="153"/>
      <c r="W678" s="153"/>
      <c r="X678" s="153"/>
      <c r="Y678" s="153"/>
      <c r="Z678" s="153"/>
    </row>
    <row r="679" spans="1:26">
      <c r="A679" s="776" t="s">
        <v>3669</v>
      </c>
      <c r="B679" s="158" t="s">
        <v>3670</v>
      </c>
      <c r="C679" s="158" t="s">
        <v>3146</v>
      </c>
      <c r="D679" s="158" t="s">
        <v>3106</v>
      </c>
      <c r="E679" s="516" t="s">
        <v>1732</v>
      </c>
      <c r="F679" s="158" t="s">
        <v>1849</v>
      </c>
      <c r="G679" s="158" t="s">
        <v>3107</v>
      </c>
      <c r="H679" s="158" t="s">
        <v>3108</v>
      </c>
      <c r="I679" s="513" t="s">
        <v>1736</v>
      </c>
      <c r="J679" s="317" t="s">
        <v>1737</v>
      </c>
      <c r="K679" s="317" t="s">
        <v>1737</v>
      </c>
      <c r="L679" s="25" t="s">
        <v>3671</v>
      </c>
      <c r="M679" s="106"/>
      <c r="N679" s="164"/>
      <c r="O679" s="106"/>
      <c r="P679" s="25"/>
      <c r="Q679" s="25"/>
      <c r="R679" s="25"/>
      <c r="S679" s="106"/>
      <c r="T679" s="23"/>
      <c r="U679" s="153"/>
      <c r="V679" s="153"/>
      <c r="W679" s="153"/>
      <c r="X679" s="153"/>
      <c r="Y679" s="153"/>
      <c r="Z679" s="153"/>
    </row>
    <row r="680" spans="1:26">
      <c r="A680" s="773"/>
      <c r="B680" s="158" t="s">
        <v>3672</v>
      </c>
      <c r="C680" s="158" t="s">
        <v>3146</v>
      </c>
      <c r="D680" s="158" t="s">
        <v>1873</v>
      </c>
      <c r="E680" s="532" t="s">
        <v>1743</v>
      </c>
      <c r="F680" s="158" t="s">
        <v>1849</v>
      </c>
      <c r="G680" s="158" t="s">
        <v>3107</v>
      </c>
      <c r="H680" s="158" t="s">
        <v>1874</v>
      </c>
      <c r="I680" s="513" t="s">
        <v>1736</v>
      </c>
      <c r="J680" s="317" t="s">
        <v>1737</v>
      </c>
      <c r="K680" s="317" t="s">
        <v>1737</v>
      </c>
      <c r="L680" s="25" t="s">
        <v>3671</v>
      </c>
      <c r="M680" s="106"/>
      <c r="N680" s="164"/>
      <c r="O680" s="106"/>
      <c r="P680" s="25"/>
      <c r="Q680" s="25"/>
      <c r="R680" s="25"/>
      <c r="S680" s="106"/>
      <c r="T680" s="23"/>
      <c r="U680" s="153"/>
      <c r="V680" s="153"/>
      <c r="W680" s="153"/>
      <c r="X680" s="153"/>
      <c r="Y680" s="153"/>
      <c r="Z680" s="153"/>
    </row>
    <row r="681" spans="1:26">
      <c r="A681" s="776" t="s">
        <v>3673</v>
      </c>
      <c r="B681" s="158" t="s">
        <v>3674</v>
      </c>
      <c r="C681" s="158" t="s">
        <v>3146</v>
      </c>
      <c r="D681" s="158" t="s">
        <v>3113</v>
      </c>
      <c r="E681" s="516" t="s">
        <v>1732</v>
      </c>
      <c r="F681" s="158" t="s">
        <v>1849</v>
      </c>
      <c r="G681" s="158" t="s">
        <v>3114</v>
      </c>
      <c r="H681" s="158" t="s">
        <v>3115</v>
      </c>
      <c r="I681" s="513" t="s">
        <v>1736</v>
      </c>
      <c r="J681" s="317" t="s">
        <v>1737</v>
      </c>
      <c r="K681" s="317" t="s">
        <v>1737</v>
      </c>
      <c r="L681" s="25"/>
      <c r="M681" s="106" t="s">
        <v>3627</v>
      </c>
      <c r="N681" s="164" t="s">
        <v>3675</v>
      </c>
      <c r="O681" s="106"/>
      <c r="P681" s="25"/>
      <c r="Q681" s="25"/>
      <c r="R681" s="25"/>
      <c r="S681" s="529">
        <v>45015</v>
      </c>
      <c r="T681" s="521" t="s">
        <v>1916</v>
      </c>
      <c r="U681" s="153"/>
      <c r="V681" s="153"/>
      <c r="W681" s="153"/>
      <c r="X681" s="153"/>
      <c r="Y681" s="153"/>
      <c r="Z681" s="153"/>
    </row>
    <row r="682" spans="1:26">
      <c r="A682" s="774"/>
      <c r="B682" s="158" t="s">
        <v>3676</v>
      </c>
      <c r="C682" s="158" t="s">
        <v>3146</v>
      </c>
      <c r="D682" s="158" t="s">
        <v>3118</v>
      </c>
      <c r="E682" s="516" t="s">
        <v>1732</v>
      </c>
      <c r="F682" s="158" t="s">
        <v>1849</v>
      </c>
      <c r="G682" s="158" t="s">
        <v>3119</v>
      </c>
      <c r="H682" s="158" t="s">
        <v>3120</v>
      </c>
      <c r="I682" s="513" t="s">
        <v>1736</v>
      </c>
      <c r="J682" s="317" t="s">
        <v>1737</v>
      </c>
      <c r="K682" s="317" t="s">
        <v>1737</v>
      </c>
      <c r="L682" s="25" t="s">
        <v>3677</v>
      </c>
      <c r="M682" s="106"/>
      <c r="N682" s="164"/>
      <c r="O682" s="106"/>
      <c r="P682" s="25"/>
      <c r="Q682" s="25"/>
      <c r="R682" s="25"/>
      <c r="S682" s="106"/>
      <c r="T682" s="23"/>
      <c r="U682" s="153"/>
      <c r="V682" s="153"/>
      <c r="W682" s="153"/>
      <c r="X682" s="153"/>
      <c r="Y682" s="153"/>
      <c r="Z682" s="153"/>
    </row>
    <row r="683" spans="1:26">
      <c r="A683" s="774"/>
      <c r="B683" s="158" t="s">
        <v>3678</v>
      </c>
      <c r="C683" s="158" t="s">
        <v>3146</v>
      </c>
      <c r="D683" s="158" t="s">
        <v>3122</v>
      </c>
      <c r="E683" s="516" t="s">
        <v>1732</v>
      </c>
      <c r="F683" s="158" t="s">
        <v>1849</v>
      </c>
      <c r="G683" s="158" t="s">
        <v>3123</v>
      </c>
      <c r="H683" s="158" t="s">
        <v>3124</v>
      </c>
      <c r="I683" s="513" t="s">
        <v>1736</v>
      </c>
      <c r="J683" s="317" t="s">
        <v>1737</v>
      </c>
      <c r="K683" s="317" t="s">
        <v>1737</v>
      </c>
      <c r="L683" s="106"/>
      <c r="M683" s="106" t="s">
        <v>3664</v>
      </c>
      <c r="N683" s="164" t="s">
        <v>3679</v>
      </c>
      <c r="O683" s="106"/>
      <c r="P683" s="25"/>
      <c r="Q683" s="25"/>
      <c r="R683" s="533" t="s">
        <v>3680</v>
      </c>
      <c r="S683" s="106"/>
      <c r="T683" s="23"/>
      <c r="U683" s="153"/>
      <c r="V683" s="153"/>
      <c r="W683" s="153"/>
      <c r="X683" s="153"/>
      <c r="Y683" s="153"/>
      <c r="Z683" s="153"/>
    </row>
    <row r="684" spans="1:26">
      <c r="A684" s="774"/>
      <c r="B684" s="158" t="s">
        <v>3681</v>
      </c>
      <c r="C684" s="158" t="s">
        <v>3146</v>
      </c>
      <c r="D684" s="158" t="s">
        <v>3127</v>
      </c>
      <c r="E684" s="516" t="s">
        <v>1732</v>
      </c>
      <c r="F684" s="158" t="s">
        <v>1849</v>
      </c>
      <c r="G684" s="158" t="s">
        <v>3128</v>
      </c>
      <c r="H684" s="158" t="s">
        <v>3129</v>
      </c>
      <c r="I684" s="513" t="s">
        <v>1736</v>
      </c>
      <c r="J684" s="317" t="s">
        <v>1737</v>
      </c>
      <c r="K684" s="317" t="s">
        <v>1737</v>
      </c>
      <c r="L684" s="106"/>
      <c r="M684" s="106"/>
      <c r="N684" s="164"/>
      <c r="O684" s="106"/>
      <c r="P684" s="25"/>
      <c r="Q684" s="25"/>
      <c r="R684" s="25"/>
      <c r="S684" s="106"/>
      <c r="T684" s="23"/>
      <c r="U684" s="153"/>
      <c r="V684" s="153"/>
      <c r="W684" s="153"/>
      <c r="X684" s="153"/>
      <c r="Y684" s="153"/>
      <c r="Z684" s="153"/>
    </row>
    <row r="685" spans="1:26">
      <c r="A685" s="774"/>
      <c r="B685" s="158" t="s">
        <v>3682</v>
      </c>
      <c r="C685" s="158" t="s">
        <v>3146</v>
      </c>
      <c r="D685" s="158" t="s">
        <v>3131</v>
      </c>
      <c r="E685" s="516" t="s">
        <v>1732</v>
      </c>
      <c r="F685" s="158" t="s">
        <v>1849</v>
      </c>
      <c r="G685" s="158" t="s">
        <v>3132</v>
      </c>
      <c r="H685" s="158" t="s">
        <v>3133</v>
      </c>
      <c r="I685" s="513" t="s">
        <v>1736</v>
      </c>
      <c r="J685" s="317" t="s">
        <v>1737</v>
      </c>
      <c r="K685" s="317" t="s">
        <v>1737</v>
      </c>
      <c r="L685" s="106"/>
      <c r="M685" s="106"/>
      <c r="N685" s="164"/>
      <c r="O685" s="106"/>
      <c r="P685" s="25"/>
      <c r="Q685" s="25"/>
      <c r="R685" s="25"/>
      <c r="S685" s="106"/>
      <c r="T685" s="23"/>
      <c r="U685" s="153"/>
      <c r="V685" s="153"/>
      <c r="W685" s="153"/>
      <c r="X685" s="153"/>
      <c r="Y685" s="153"/>
      <c r="Z685" s="153"/>
    </row>
    <row r="686" spans="1:26">
      <c r="A686" s="774"/>
      <c r="B686" s="158" t="s">
        <v>3683</v>
      </c>
      <c r="C686" s="158" t="s">
        <v>3146</v>
      </c>
      <c r="D686" s="158" t="s">
        <v>3135</v>
      </c>
      <c r="E686" s="516" t="s">
        <v>1732</v>
      </c>
      <c r="F686" s="158" t="s">
        <v>1849</v>
      </c>
      <c r="G686" s="158" t="s">
        <v>3136</v>
      </c>
      <c r="H686" s="158" t="s">
        <v>3137</v>
      </c>
      <c r="I686" s="513" t="s">
        <v>1736</v>
      </c>
      <c r="J686" s="317" t="s">
        <v>1737</v>
      </c>
      <c r="K686" s="317" t="s">
        <v>1737</v>
      </c>
      <c r="L686" s="106"/>
      <c r="M686" s="106"/>
      <c r="N686" s="164"/>
      <c r="O686" s="106"/>
      <c r="P686" s="25"/>
      <c r="Q686" s="25"/>
      <c r="R686" s="25"/>
      <c r="S686" s="106"/>
      <c r="T686" s="23"/>
      <c r="U686" s="153"/>
      <c r="V686" s="153"/>
      <c r="W686" s="153"/>
      <c r="X686" s="153"/>
      <c r="Y686" s="153"/>
      <c r="Z686" s="153"/>
    </row>
    <row r="687" spans="1:26">
      <c r="A687" s="774"/>
      <c r="B687" s="158" t="s">
        <v>3684</v>
      </c>
      <c r="C687" s="158" t="s">
        <v>3146</v>
      </c>
      <c r="D687" s="158" t="s">
        <v>3139</v>
      </c>
      <c r="E687" s="516" t="s">
        <v>1732</v>
      </c>
      <c r="F687" s="158" t="s">
        <v>1849</v>
      </c>
      <c r="G687" s="158" t="s">
        <v>3685</v>
      </c>
      <c r="H687" s="158" t="s">
        <v>3141</v>
      </c>
      <c r="I687" s="513" t="s">
        <v>1736</v>
      </c>
      <c r="J687" s="317" t="s">
        <v>1737</v>
      </c>
      <c r="K687" s="317" t="s">
        <v>1737</v>
      </c>
      <c r="L687" s="106"/>
      <c r="M687" s="106" t="s">
        <v>3664</v>
      </c>
      <c r="N687" s="164" t="s">
        <v>3686</v>
      </c>
      <c r="O687" s="106"/>
      <c r="P687" s="25"/>
      <c r="Q687" s="25"/>
      <c r="R687" s="25"/>
      <c r="S687" s="529">
        <v>45015</v>
      </c>
      <c r="T687" s="521" t="s">
        <v>1916</v>
      </c>
      <c r="U687" s="153"/>
      <c r="V687" s="153"/>
      <c r="W687" s="153"/>
      <c r="X687" s="153"/>
      <c r="Y687" s="153"/>
      <c r="Z687" s="153"/>
    </row>
    <row r="688" spans="1:26">
      <c r="A688" s="773"/>
      <c r="B688" s="158" t="s">
        <v>3687</v>
      </c>
      <c r="C688" s="25" t="s">
        <v>3146</v>
      </c>
      <c r="D688" s="25" t="s">
        <v>1873</v>
      </c>
      <c r="E688" s="534" t="s">
        <v>1743</v>
      </c>
      <c r="F688" s="25" t="s">
        <v>1849</v>
      </c>
      <c r="G688" s="25" t="s">
        <v>3123</v>
      </c>
      <c r="H688" s="25" t="s">
        <v>1874</v>
      </c>
      <c r="I688" s="99" t="s">
        <v>1736</v>
      </c>
      <c r="J688" s="317" t="s">
        <v>1737</v>
      </c>
      <c r="K688" s="317" t="s">
        <v>1737</v>
      </c>
      <c r="L688" s="106"/>
      <c r="M688" s="106" t="s">
        <v>3664</v>
      </c>
      <c r="N688" s="164" t="s">
        <v>3686</v>
      </c>
      <c r="O688" s="106"/>
      <c r="P688" s="25"/>
      <c r="Q688" s="25"/>
      <c r="R688" s="25"/>
      <c r="S688" s="529">
        <v>45015</v>
      </c>
      <c r="T688" s="521" t="s">
        <v>1916</v>
      </c>
      <c r="U688" s="153"/>
      <c r="V688" s="153"/>
      <c r="W688" s="153"/>
      <c r="X688" s="153"/>
      <c r="Y688" s="153"/>
      <c r="Z688" s="153"/>
    </row>
    <row r="689" spans="1:26">
      <c r="A689" s="90"/>
      <c r="B689" s="3"/>
      <c r="C689" s="3"/>
      <c r="D689" s="191"/>
      <c r="E689" s="46"/>
      <c r="F689" s="3"/>
      <c r="G689" s="3"/>
      <c r="H689" s="3"/>
      <c r="I689" s="85"/>
      <c r="J689" s="4"/>
      <c r="K689" s="4"/>
      <c r="L689" s="4"/>
      <c r="M689" s="4"/>
      <c r="N689" s="535"/>
      <c r="O689" s="4"/>
      <c r="P689" s="3"/>
      <c r="Q689" s="3"/>
      <c r="R689" s="3"/>
      <c r="S689" s="4"/>
      <c r="T689" s="56"/>
      <c r="U689" s="153"/>
      <c r="V689" s="153"/>
      <c r="W689" s="153"/>
      <c r="X689" s="153"/>
      <c r="Y689" s="153"/>
      <c r="Z689" s="153"/>
    </row>
    <row r="690" spans="1:26">
      <c r="A690" s="90"/>
      <c r="B690" s="3"/>
      <c r="C690" s="3"/>
      <c r="D690" s="191"/>
      <c r="E690" s="46"/>
      <c r="F690" s="3"/>
      <c r="G690" s="3"/>
      <c r="H690" s="3"/>
      <c r="I690" s="85"/>
      <c r="J690" s="4"/>
      <c r="K690" s="4"/>
      <c r="L690" s="4"/>
      <c r="M690" s="4"/>
      <c r="N690" s="535"/>
      <c r="O690" s="4"/>
      <c r="P690" s="3"/>
      <c r="Q690" s="3"/>
      <c r="R690" s="3"/>
      <c r="S690" s="4"/>
      <c r="T690" s="56"/>
      <c r="U690" s="153"/>
      <c r="V690" s="153"/>
      <c r="W690" s="153"/>
      <c r="X690" s="153"/>
      <c r="Y690" s="153"/>
      <c r="Z690" s="153"/>
    </row>
    <row r="691" spans="1:26">
      <c r="A691" s="536"/>
      <c r="B691" s="3" t="s">
        <v>3688</v>
      </c>
      <c r="C691" s="4"/>
      <c r="D691" s="4"/>
      <c r="E691" s="4"/>
      <c r="F691" s="4"/>
      <c r="G691" s="4"/>
      <c r="H691" s="4"/>
      <c r="I691" s="537"/>
      <c r="J691" s="681" t="s">
        <v>3689</v>
      </c>
      <c r="K691" s="775"/>
      <c r="L691" s="775"/>
      <c r="M691" s="770"/>
      <c r="N691" s="538" t="s">
        <v>436</v>
      </c>
      <c r="O691" s="192"/>
      <c r="P691" s="539" t="s">
        <v>3690</v>
      </c>
      <c r="Q691" s="540" t="s">
        <v>449</v>
      </c>
      <c r="R691" s="3"/>
      <c r="S691" s="4"/>
      <c r="T691" s="56"/>
      <c r="U691" s="153"/>
      <c r="V691" s="153"/>
      <c r="W691" s="153"/>
      <c r="X691" s="153"/>
      <c r="Y691" s="153"/>
      <c r="Z691" s="153"/>
    </row>
    <row r="692" spans="1:26">
      <c r="A692" s="541"/>
      <c r="B692" s="3" t="s">
        <v>3691</v>
      </c>
      <c r="C692" s="4"/>
      <c r="D692" s="4"/>
      <c r="E692" s="4"/>
      <c r="F692" s="4"/>
      <c r="G692" s="4"/>
      <c r="H692" s="4"/>
      <c r="I692" s="537"/>
      <c r="J692" s="542">
        <v>44848</v>
      </c>
      <c r="K692" s="193">
        <f>COUNTIFS(S:S,"14 October 2022",T:T,"meydita")</f>
        <v>0</v>
      </c>
      <c r="L692" s="194" t="s">
        <v>541</v>
      </c>
      <c r="M692" s="195">
        <f t="shared" ref="M692:M716" si="0">K692</f>
        <v>0</v>
      </c>
      <c r="N692" s="677">
        <f>SUM(M692:M799)</f>
        <v>204</v>
      </c>
      <c r="O692" s="192"/>
      <c r="P692" s="196">
        <f>SUM(M692:M799)</f>
        <v>204</v>
      </c>
      <c r="Q692" s="197">
        <f>ROWS(B3:B688)</f>
        <v>686</v>
      </c>
      <c r="R692" s="3"/>
      <c r="S692" s="4"/>
      <c r="T692" s="56"/>
      <c r="U692" s="153"/>
      <c r="V692" s="153"/>
      <c r="W692" s="153"/>
      <c r="X692" s="153"/>
      <c r="Y692" s="153"/>
      <c r="Z692" s="153"/>
    </row>
    <row r="693" spans="1:26">
      <c r="A693" s="543"/>
      <c r="B693" s="3" t="s">
        <v>3692</v>
      </c>
      <c r="C693" s="4"/>
      <c r="D693" s="4"/>
      <c r="E693" s="4"/>
      <c r="F693" s="4"/>
      <c r="G693" s="4"/>
      <c r="H693" s="4"/>
      <c r="I693" s="537"/>
      <c r="J693" s="542">
        <v>44851</v>
      </c>
      <c r="K693" s="193">
        <f>COUNTIFS(S:S,"17 October 2022",T:T,"meydita")</f>
        <v>1</v>
      </c>
      <c r="L693" s="678" t="s">
        <v>542</v>
      </c>
      <c r="M693" s="195">
        <f t="shared" si="0"/>
        <v>1</v>
      </c>
      <c r="N693" s="774"/>
      <c r="O693" s="192"/>
      <c r="P693" s="192"/>
      <c r="Q693" s="192"/>
      <c r="R693" s="3"/>
      <c r="S693" s="4"/>
      <c r="T693" s="56"/>
      <c r="U693" s="153"/>
      <c r="V693" s="153"/>
      <c r="W693" s="153"/>
      <c r="X693" s="153"/>
      <c r="Y693" s="153"/>
      <c r="Z693" s="153"/>
    </row>
    <row r="694" spans="1:26">
      <c r="A694" s="544"/>
      <c r="B694" s="3" t="s">
        <v>3693</v>
      </c>
      <c r="C694" s="4"/>
      <c r="D694" s="4"/>
      <c r="E694" s="4"/>
      <c r="F694" s="4"/>
      <c r="G694" s="4"/>
      <c r="H694" s="4"/>
      <c r="I694" s="537"/>
      <c r="J694" s="542">
        <v>44852</v>
      </c>
      <c r="K694" s="193">
        <f>COUNTIFS(S:S,"18 October 2022",T:T,"meydita")</f>
        <v>0</v>
      </c>
      <c r="L694" s="772"/>
      <c r="M694" s="195">
        <f t="shared" si="0"/>
        <v>0</v>
      </c>
      <c r="N694" s="774"/>
      <c r="O694" s="192"/>
      <c r="P694" s="192"/>
      <c r="Q694" s="192"/>
      <c r="R694" s="3"/>
      <c r="S694" s="4"/>
      <c r="T694" s="56"/>
      <c r="U694" s="153"/>
      <c r="V694" s="153"/>
      <c r="W694" s="153"/>
      <c r="X694" s="153"/>
      <c r="Y694" s="153"/>
      <c r="Z694" s="153"/>
    </row>
    <row r="695" spans="1:26">
      <c r="A695" s="545"/>
      <c r="B695" s="3" t="s">
        <v>3694</v>
      </c>
      <c r="C695" s="4"/>
      <c r="D695" s="4"/>
      <c r="E695" s="4"/>
      <c r="F695" s="4"/>
      <c r="G695" s="4"/>
      <c r="H695" s="4"/>
      <c r="I695" s="4"/>
      <c r="J695" s="546">
        <v>44959</v>
      </c>
      <c r="K695" s="193">
        <f>COUNTIFS(S:S,"02 February 2023",T:T,"meydita")</f>
        <v>3</v>
      </c>
      <c r="L695" s="198" t="s">
        <v>506</v>
      </c>
      <c r="M695" s="195">
        <f t="shared" si="0"/>
        <v>3</v>
      </c>
      <c r="N695" s="774"/>
      <c r="O695" s="192"/>
      <c r="P695" s="192"/>
      <c r="Q695" s="192"/>
      <c r="R695" s="3"/>
      <c r="S695" s="4"/>
      <c r="T695" s="56"/>
      <c r="U695" s="153"/>
      <c r="V695" s="153"/>
      <c r="W695" s="153"/>
      <c r="X695" s="153"/>
      <c r="Y695" s="153"/>
      <c r="Z695" s="153"/>
    </row>
    <row r="696" spans="1:26">
      <c r="A696" s="90"/>
      <c r="B696" s="3"/>
      <c r="C696" s="3"/>
      <c r="D696" s="191"/>
      <c r="E696" s="46"/>
      <c r="F696" s="3"/>
      <c r="G696" s="3"/>
      <c r="H696" s="3"/>
      <c r="I696" s="85"/>
      <c r="J696" s="546">
        <v>44963</v>
      </c>
      <c r="K696" s="193">
        <f>COUNTIFS(S:S,"06 February 2023",T:T,"meydita")</f>
        <v>4</v>
      </c>
      <c r="L696" s="679" t="s">
        <v>507</v>
      </c>
      <c r="M696" s="195">
        <f t="shared" si="0"/>
        <v>4</v>
      </c>
      <c r="N696" s="774"/>
      <c r="O696" s="4"/>
      <c r="P696" s="3"/>
      <c r="Q696" s="3"/>
      <c r="R696" s="3"/>
      <c r="S696" s="4"/>
      <c r="T696" s="56"/>
      <c r="U696" s="153"/>
      <c r="V696" s="153"/>
      <c r="W696" s="153"/>
      <c r="X696" s="153"/>
      <c r="Y696" s="153"/>
      <c r="Z696" s="153"/>
    </row>
    <row r="697" spans="1:26">
      <c r="A697" s="90"/>
      <c r="B697" s="3"/>
      <c r="C697" s="3"/>
      <c r="D697" s="191"/>
      <c r="E697" s="46"/>
      <c r="F697" s="3"/>
      <c r="G697" s="3"/>
      <c r="H697" s="3"/>
      <c r="I697" s="85"/>
      <c r="J697" s="546">
        <v>44964</v>
      </c>
      <c r="K697" s="193">
        <f>COUNTIFS(S:S,"07 February 2023",T:T,"meydita")</f>
        <v>9</v>
      </c>
      <c r="L697" s="774"/>
      <c r="M697" s="195">
        <f t="shared" si="0"/>
        <v>9</v>
      </c>
      <c r="N697" s="774"/>
      <c r="O697" s="4"/>
      <c r="P697" s="3"/>
      <c r="Q697" s="3"/>
      <c r="R697" s="3"/>
      <c r="S697" s="4"/>
      <c r="T697" s="56"/>
      <c r="U697" s="153"/>
      <c r="V697" s="153"/>
      <c r="W697" s="153"/>
      <c r="X697" s="153"/>
      <c r="Y697" s="153"/>
      <c r="Z697" s="153"/>
    </row>
    <row r="698" spans="1:26">
      <c r="A698" s="90"/>
      <c r="B698" s="3"/>
      <c r="C698" s="3"/>
      <c r="D698" s="191"/>
      <c r="E698" s="46"/>
      <c r="F698" s="3"/>
      <c r="G698" s="3"/>
      <c r="H698" s="3"/>
      <c r="I698" s="85"/>
      <c r="J698" s="546">
        <v>44965</v>
      </c>
      <c r="K698" s="193">
        <f>COUNTIFS(S:S,"08 February 2023",T:T,"meydita")</f>
        <v>5</v>
      </c>
      <c r="L698" s="774"/>
      <c r="M698" s="195">
        <f t="shared" si="0"/>
        <v>5</v>
      </c>
      <c r="N698" s="774"/>
      <c r="O698" s="4"/>
      <c r="P698" s="3"/>
      <c r="Q698" s="3"/>
      <c r="R698" s="3"/>
      <c r="S698" s="4"/>
      <c r="T698" s="56"/>
      <c r="U698" s="153"/>
      <c r="V698" s="153"/>
      <c r="W698" s="153"/>
      <c r="X698" s="153"/>
      <c r="Y698" s="153"/>
      <c r="Z698" s="153"/>
    </row>
    <row r="699" spans="1:26">
      <c r="A699" s="90"/>
      <c r="B699" s="3"/>
      <c r="C699" s="3"/>
      <c r="D699" s="191"/>
      <c r="E699" s="46"/>
      <c r="F699" s="3"/>
      <c r="G699" s="3"/>
      <c r="H699" s="3"/>
      <c r="I699" s="85"/>
      <c r="J699" s="546">
        <v>44966</v>
      </c>
      <c r="K699" s="193">
        <f>COUNTIFS(S:S,"09 February 2023",T:T,"meydita")</f>
        <v>2</v>
      </c>
      <c r="L699" s="774"/>
      <c r="M699" s="195">
        <f t="shared" si="0"/>
        <v>2</v>
      </c>
      <c r="N699" s="774"/>
      <c r="O699" s="4"/>
      <c r="P699" s="3"/>
      <c r="Q699" s="3"/>
      <c r="R699" s="3"/>
      <c r="S699" s="4"/>
      <c r="T699" s="56"/>
      <c r="U699" s="153"/>
      <c r="V699" s="153"/>
      <c r="W699" s="153"/>
      <c r="X699" s="153"/>
      <c r="Y699" s="153"/>
      <c r="Z699" s="153"/>
    </row>
    <row r="700" spans="1:26">
      <c r="A700" s="90"/>
      <c r="B700" s="3"/>
      <c r="C700" s="3"/>
      <c r="D700" s="191"/>
      <c r="E700" s="46"/>
      <c r="F700" s="3"/>
      <c r="G700" s="3"/>
      <c r="H700" s="3"/>
      <c r="I700" s="85"/>
      <c r="J700" s="546">
        <v>44967</v>
      </c>
      <c r="K700" s="193">
        <f>COUNTIFS(S:S,"10 February 2023",T:T,"meydita")</f>
        <v>2</v>
      </c>
      <c r="L700" s="774"/>
      <c r="M700" s="195">
        <f t="shared" si="0"/>
        <v>2</v>
      </c>
      <c r="N700" s="774"/>
      <c r="O700" s="4"/>
      <c r="P700" s="3"/>
      <c r="Q700" s="3"/>
      <c r="R700" s="3"/>
      <c r="S700" s="4"/>
      <c r="T700" s="56"/>
      <c r="U700" s="153"/>
      <c r="V700" s="153"/>
      <c r="W700" s="153"/>
      <c r="X700" s="153"/>
      <c r="Y700" s="153"/>
      <c r="Z700" s="153"/>
    </row>
    <row r="701" spans="1:26">
      <c r="A701" s="90"/>
      <c r="B701" s="3"/>
      <c r="C701" s="3"/>
      <c r="D701" s="191"/>
      <c r="E701" s="46"/>
      <c r="F701" s="3"/>
      <c r="G701" s="3"/>
      <c r="H701" s="3"/>
      <c r="I701" s="85"/>
      <c r="J701" s="546">
        <v>44971</v>
      </c>
      <c r="K701" s="193">
        <f>COUNTIFS(S:S,"14 February 2023",T:T,"meydita")</f>
        <v>8</v>
      </c>
      <c r="L701" s="679" t="s">
        <v>508</v>
      </c>
      <c r="M701" s="195">
        <f t="shared" si="0"/>
        <v>8</v>
      </c>
      <c r="N701" s="774"/>
      <c r="O701" s="4"/>
      <c r="P701" s="3"/>
      <c r="Q701" s="3"/>
      <c r="R701" s="3"/>
      <c r="S701" s="4"/>
      <c r="T701" s="56"/>
      <c r="U701" s="153"/>
      <c r="V701" s="153"/>
      <c r="W701" s="153"/>
      <c r="X701" s="153"/>
      <c r="Y701" s="153"/>
      <c r="Z701" s="153"/>
    </row>
    <row r="702" spans="1:26">
      <c r="A702" s="90"/>
      <c r="B702" s="3"/>
      <c r="C702" s="3"/>
      <c r="D702" s="191"/>
      <c r="E702" s="46"/>
      <c r="F702" s="3"/>
      <c r="G702" s="3"/>
      <c r="H702" s="3"/>
      <c r="I702" s="85"/>
      <c r="J702" s="546">
        <v>44973</v>
      </c>
      <c r="K702" s="193">
        <f>COUNTIFS(S:S,"16 February 2023",T:T,"meydita")</f>
        <v>5</v>
      </c>
      <c r="L702" s="774"/>
      <c r="M702" s="195">
        <f t="shared" si="0"/>
        <v>5</v>
      </c>
      <c r="N702" s="774"/>
      <c r="O702" s="4"/>
      <c r="P702" s="3"/>
      <c r="Q702" s="3"/>
      <c r="R702" s="3"/>
      <c r="S702" s="4"/>
      <c r="T702" s="56"/>
      <c r="U702" s="153"/>
      <c r="V702" s="153"/>
      <c r="W702" s="153"/>
      <c r="X702" s="153"/>
      <c r="Y702" s="153"/>
      <c r="Z702" s="153"/>
    </row>
    <row r="703" spans="1:26">
      <c r="A703" s="90"/>
      <c r="B703" s="3"/>
      <c r="C703" s="3"/>
      <c r="D703" s="191"/>
      <c r="E703" s="46"/>
      <c r="F703" s="3"/>
      <c r="G703" s="3"/>
      <c r="H703" s="3"/>
      <c r="I703" s="85"/>
      <c r="J703" s="546">
        <v>44977</v>
      </c>
      <c r="K703" s="193">
        <f>COUNTIFS(S:S,"20 February 2023",T:T,"meydita")</f>
        <v>1</v>
      </c>
      <c r="L703" s="679" t="s">
        <v>509</v>
      </c>
      <c r="M703" s="195">
        <f t="shared" si="0"/>
        <v>1</v>
      </c>
      <c r="N703" s="774"/>
      <c r="O703" s="4"/>
      <c r="P703" s="3"/>
      <c r="Q703" s="3"/>
      <c r="R703" s="3"/>
      <c r="S703" s="4"/>
      <c r="T703" s="56"/>
      <c r="U703" s="153"/>
      <c r="V703" s="153"/>
      <c r="W703" s="153"/>
      <c r="X703" s="153"/>
      <c r="Y703" s="153"/>
      <c r="Z703" s="153"/>
    </row>
    <row r="704" spans="1:26">
      <c r="A704" s="90"/>
      <c r="B704" s="3"/>
      <c r="C704" s="3"/>
      <c r="D704" s="191"/>
      <c r="E704" s="46"/>
      <c r="F704" s="3"/>
      <c r="G704" s="3"/>
      <c r="H704" s="3"/>
      <c r="I704" s="85"/>
      <c r="J704" s="546">
        <v>44978</v>
      </c>
      <c r="K704" s="193">
        <f>COUNTIFS(S:S,"21 February 2023",T:T,"meydita")</f>
        <v>4</v>
      </c>
      <c r="L704" s="774"/>
      <c r="M704" s="195">
        <f t="shared" si="0"/>
        <v>4</v>
      </c>
      <c r="N704" s="774"/>
      <c r="O704" s="4"/>
      <c r="P704" s="3"/>
      <c r="Q704" s="3"/>
      <c r="R704" s="3"/>
      <c r="S704" s="4"/>
      <c r="T704" s="56"/>
      <c r="U704" s="153"/>
      <c r="V704" s="153"/>
      <c r="W704" s="153"/>
      <c r="X704" s="153"/>
      <c r="Y704" s="153"/>
      <c r="Z704" s="153"/>
    </row>
    <row r="705" spans="1:26">
      <c r="A705" s="90"/>
      <c r="B705" s="3"/>
      <c r="C705" s="3"/>
      <c r="D705" s="191"/>
      <c r="E705" s="46"/>
      <c r="F705" s="3"/>
      <c r="G705" s="3"/>
      <c r="H705" s="3"/>
      <c r="I705" s="85"/>
      <c r="J705" s="546">
        <v>44979</v>
      </c>
      <c r="K705" s="193">
        <f>COUNTIFS(S:S,"22 February 2023",T:T,"meydita")</f>
        <v>4</v>
      </c>
      <c r="L705" s="773"/>
      <c r="M705" s="195">
        <f t="shared" si="0"/>
        <v>4</v>
      </c>
      <c r="N705" s="774"/>
      <c r="O705" s="4"/>
      <c r="P705" s="3"/>
      <c r="Q705" s="3"/>
      <c r="R705" s="3"/>
      <c r="S705" s="4"/>
      <c r="T705" s="56"/>
      <c r="U705" s="153"/>
      <c r="V705" s="153"/>
      <c r="W705" s="153"/>
      <c r="X705" s="153"/>
      <c r="Y705" s="153"/>
      <c r="Z705" s="153"/>
    </row>
    <row r="706" spans="1:26">
      <c r="A706" s="90"/>
      <c r="B706" s="3"/>
      <c r="C706" s="3"/>
      <c r="D706" s="191"/>
      <c r="E706" s="46"/>
      <c r="F706" s="3"/>
      <c r="G706" s="3"/>
      <c r="H706" s="3"/>
      <c r="I706" s="85"/>
      <c r="J706" s="546">
        <v>44984</v>
      </c>
      <c r="K706" s="193">
        <f>COUNTIFS(S:S,"27 February 2023",T:T,"meydita")</f>
        <v>6</v>
      </c>
      <c r="L706" s="199" t="s">
        <v>3695</v>
      </c>
      <c r="M706" s="195">
        <f t="shared" si="0"/>
        <v>6</v>
      </c>
      <c r="N706" s="774"/>
      <c r="O706" s="4"/>
      <c r="P706" s="3"/>
      <c r="Q706" s="3"/>
      <c r="R706" s="3"/>
      <c r="S706" s="4"/>
      <c r="T706" s="56"/>
      <c r="U706" s="153"/>
      <c r="V706" s="153"/>
      <c r="W706" s="153"/>
      <c r="X706" s="153"/>
      <c r="Y706" s="153"/>
      <c r="Z706" s="153"/>
    </row>
    <row r="707" spans="1:26">
      <c r="A707" s="90"/>
      <c r="B707" s="3"/>
      <c r="C707" s="3"/>
      <c r="D707" s="191"/>
      <c r="E707" s="46"/>
      <c r="F707" s="3"/>
      <c r="G707" s="3"/>
      <c r="H707" s="3"/>
      <c r="I707" s="85"/>
      <c r="J707" s="546">
        <v>44986</v>
      </c>
      <c r="K707" s="193">
        <f>COUNTIFS(S:S,"01 March 2023",T:T,"meydita")</f>
        <v>11</v>
      </c>
      <c r="L707" s="199" t="s">
        <v>510</v>
      </c>
      <c r="M707" s="195">
        <f t="shared" si="0"/>
        <v>11</v>
      </c>
      <c r="N707" s="774"/>
      <c r="O707" s="4"/>
      <c r="P707" s="3"/>
      <c r="Q707" s="3"/>
      <c r="R707" s="3"/>
      <c r="S707" s="4"/>
      <c r="T707" s="56"/>
      <c r="U707" s="153"/>
      <c r="V707" s="153"/>
      <c r="W707" s="153"/>
      <c r="X707" s="153"/>
      <c r="Y707" s="153"/>
      <c r="Z707" s="153"/>
    </row>
    <row r="708" spans="1:26">
      <c r="A708" s="90"/>
      <c r="B708" s="3"/>
      <c r="C708" s="3"/>
      <c r="D708" s="191"/>
      <c r="E708" s="46"/>
      <c r="F708" s="3"/>
      <c r="G708" s="3"/>
      <c r="H708" s="3"/>
      <c r="I708" s="85"/>
      <c r="J708" s="546">
        <v>44995</v>
      </c>
      <c r="K708" s="193">
        <f>COUNTIFS(S:S,"10 March 2023",T:T,"meydita")</f>
        <v>1</v>
      </c>
      <c r="L708" s="199" t="s">
        <v>511</v>
      </c>
      <c r="M708" s="195">
        <f t="shared" si="0"/>
        <v>1</v>
      </c>
      <c r="N708" s="774"/>
      <c r="O708" s="4"/>
      <c r="P708" s="3"/>
      <c r="Q708" s="3"/>
      <c r="R708" s="3"/>
      <c r="S708" s="4"/>
      <c r="T708" s="56"/>
      <c r="U708" s="153"/>
      <c r="V708" s="153"/>
      <c r="W708" s="153"/>
      <c r="X708" s="153"/>
      <c r="Y708" s="153"/>
      <c r="Z708" s="153"/>
    </row>
    <row r="709" spans="1:26">
      <c r="A709" s="90"/>
      <c r="B709" s="3"/>
      <c r="C709" s="3"/>
      <c r="D709" s="191"/>
      <c r="E709" s="46"/>
      <c r="F709" s="3"/>
      <c r="G709" s="3"/>
      <c r="H709" s="3"/>
      <c r="I709" s="85"/>
      <c r="J709" s="546">
        <v>45000</v>
      </c>
      <c r="K709" s="193">
        <f>COUNTIFS(S:S,"15 March 2023",T:T,"meydita")</f>
        <v>3</v>
      </c>
      <c r="L709" s="199" t="s">
        <v>512</v>
      </c>
      <c r="M709" s="195">
        <f t="shared" si="0"/>
        <v>3</v>
      </c>
      <c r="N709" s="774"/>
      <c r="O709" s="4"/>
      <c r="P709" s="3"/>
      <c r="Q709" s="3"/>
      <c r="R709" s="3"/>
      <c r="S709" s="4"/>
      <c r="T709" s="56"/>
      <c r="U709" s="153"/>
      <c r="V709" s="153"/>
      <c r="W709" s="153"/>
      <c r="X709" s="153"/>
      <c r="Y709" s="153"/>
      <c r="Z709" s="153"/>
    </row>
    <row r="710" spans="1:26">
      <c r="A710" s="90"/>
      <c r="B710" s="3"/>
      <c r="C710" s="3"/>
      <c r="D710" s="191"/>
      <c r="E710" s="46"/>
      <c r="F710" s="3"/>
      <c r="G710" s="3"/>
      <c r="H710" s="3"/>
      <c r="I710" s="85"/>
      <c r="J710" s="546">
        <v>45012</v>
      </c>
      <c r="K710" s="193">
        <f>COUNTIFS(S:S,"27 March 2023",T:T,"meydita")</f>
        <v>15</v>
      </c>
      <c r="L710" s="198" t="s">
        <v>513</v>
      </c>
      <c r="M710" s="195">
        <f t="shared" si="0"/>
        <v>15</v>
      </c>
      <c r="N710" s="774"/>
      <c r="O710" s="4"/>
      <c r="P710" s="3"/>
      <c r="Q710" s="3"/>
      <c r="R710" s="3"/>
      <c r="S710" s="4"/>
      <c r="T710" s="56"/>
      <c r="U710" s="153"/>
      <c r="V710" s="153"/>
      <c r="W710" s="153"/>
      <c r="X710" s="153"/>
      <c r="Y710" s="153"/>
      <c r="Z710" s="153"/>
    </row>
    <row r="711" spans="1:26">
      <c r="A711" s="90"/>
      <c r="B711" s="3"/>
      <c r="C711" s="3"/>
      <c r="D711" s="191"/>
      <c r="E711" s="46"/>
      <c r="F711" s="3"/>
      <c r="G711" s="3"/>
      <c r="H711" s="3"/>
      <c r="I711" s="85"/>
      <c r="J711" s="546">
        <v>45013</v>
      </c>
      <c r="K711" s="193">
        <f>COUNTIFS(S:S,"28 March 2023",T:T,"meydita")</f>
        <v>32</v>
      </c>
      <c r="L711" s="679" t="s">
        <v>3696</v>
      </c>
      <c r="M711" s="195">
        <f t="shared" si="0"/>
        <v>32</v>
      </c>
      <c r="N711" s="774"/>
      <c r="O711" s="4"/>
      <c r="P711" s="3"/>
      <c r="Q711" s="3"/>
      <c r="R711" s="3"/>
      <c r="S711" s="4"/>
      <c r="T711" s="56"/>
      <c r="U711" s="153"/>
      <c r="V711" s="153"/>
      <c r="W711" s="153"/>
      <c r="X711" s="153"/>
      <c r="Y711" s="153"/>
      <c r="Z711" s="153"/>
    </row>
    <row r="712" spans="1:26">
      <c r="A712" s="90"/>
      <c r="B712" s="3"/>
      <c r="C712" s="3"/>
      <c r="D712" s="191"/>
      <c r="E712" s="46"/>
      <c r="F712" s="3"/>
      <c r="G712" s="3"/>
      <c r="H712" s="3"/>
      <c r="I712" s="85"/>
      <c r="J712" s="546">
        <v>45015</v>
      </c>
      <c r="K712" s="193">
        <f>COUNTIFS(S:S,"30 March 2023",T:T,"meydita")</f>
        <v>35</v>
      </c>
      <c r="L712" s="773"/>
      <c r="M712" s="195">
        <f t="shared" si="0"/>
        <v>35</v>
      </c>
      <c r="N712" s="774"/>
      <c r="O712" s="4"/>
      <c r="P712" s="3"/>
      <c r="Q712" s="3"/>
      <c r="R712" s="3"/>
      <c r="S712" s="4"/>
      <c r="T712" s="56"/>
      <c r="U712" s="153"/>
      <c r="V712" s="153"/>
      <c r="W712" s="153"/>
      <c r="X712" s="153"/>
      <c r="Y712" s="153"/>
      <c r="Z712" s="153"/>
    </row>
    <row r="713" spans="1:26">
      <c r="A713" s="90"/>
      <c r="B713" s="3"/>
      <c r="C713" s="3"/>
      <c r="D713" s="191"/>
      <c r="E713" s="46"/>
      <c r="F713" s="3"/>
      <c r="G713" s="3"/>
      <c r="H713" s="3"/>
      <c r="I713" s="85"/>
      <c r="J713" s="546">
        <v>45056</v>
      </c>
      <c r="K713" s="193">
        <f>COUNTIFS(S:S,"10 May 2023",T:T,"meydita")</f>
        <v>31</v>
      </c>
      <c r="L713" s="199" t="s">
        <v>511</v>
      </c>
      <c r="M713" s="195">
        <f t="shared" si="0"/>
        <v>31</v>
      </c>
      <c r="N713" s="774"/>
      <c r="O713" s="4"/>
      <c r="P713" s="3"/>
      <c r="Q713" s="3"/>
      <c r="R713" s="3"/>
      <c r="S713" s="4"/>
      <c r="T713" s="56"/>
      <c r="U713" s="153"/>
      <c r="V713" s="153"/>
      <c r="W713" s="153"/>
      <c r="X713" s="153"/>
      <c r="Y713" s="153"/>
      <c r="Z713" s="153"/>
    </row>
    <row r="714" spans="1:26">
      <c r="A714" s="90"/>
      <c r="B714" s="3"/>
      <c r="C714" s="3"/>
      <c r="D714" s="191"/>
      <c r="E714" s="46"/>
      <c r="F714" s="3"/>
      <c r="G714" s="3"/>
      <c r="H714" s="3"/>
      <c r="I714" s="85"/>
      <c r="J714" s="546">
        <v>45071</v>
      </c>
      <c r="K714" s="193">
        <f>COUNTIFS(S:S,"25 May 2023",T:T,"meydita")</f>
        <v>6</v>
      </c>
      <c r="L714" s="199" t="s">
        <v>513</v>
      </c>
      <c r="M714" s="195">
        <f t="shared" si="0"/>
        <v>6</v>
      </c>
      <c r="N714" s="774"/>
      <c r="O714" s="4"/>
      <c r="P714" s="3"/>
      <c r="Q714" s="3"/>
      <c r="R714" s="3"/>
      <c r="S714" s="4"/>
      <c r="T714" s="56"/>
      <c r="U714" s="153"/>
      <c r="V714" s="153"/>
      <c r="W714" s="153"/>
      <c r="X714" s="153"/>
      <c r="Y714" s="153"/>
      <c r="Z714" s="153"/>
    </row>
    <row r="715" spans="1:26">
      <c r="A715" s="90"/>
      <c r="B715" s="3"/>
      <c r="C715" s="3"/>
      <c r="D715" s="191"/>
      <c r="E715" s="46"/>
      <c r="F715" s="3"/>
      <c r="G715" s="3"/>
      <c r="H715" s="3"/>
      <c r="I715" s="85"/>
      <c r="J715" s="546">
        <v>45075</v>
      </c>
      <c r="K715" s="193">
        <f>COUNTIFS(S:S,"29 May 2023",T:T,"meydita")</f>
        <v>8</v>
      </c>
      <c r="L715" s="199" t="s">
        <v>3696</v>
      </c>
      <c r="M715" s="195">
        <f t="shared" si="0"/>
        <v>8</v>
      </c>
      <c r="N715" s="774"/>
      <c r="O715" s="4"/>
      <c r="P715" s="3"/>
      <c r="Q715" s="3"/>
      <c r="R715" s="3"/>
      <c r="S715" s="4"/>
      <c r="T715" s="56"/>
      <c r="U715" s="153"/>
      <c r="V715" s="153"/>
      <c r="W715" s="153"/>
      <c r="X715" s="153"/>
      <c r="Y715" s="153"/>
      <c r="Z715" s="153"/>
    </row>
    <row r="716" spans="1:26">
      <c r="A716" s="90"/>
      <c r="B716" s="3"/>
      <c r="C716" s="3"/>
      <c r="D716" s="191"/>
      <c r="E716" s="46"/>
      <c r="F716" s="3"/>
      <c r="G716" s="3"/>
      <c r="H716" s="3"/>
      <c r="I716" s="85"/>
      <c r="J716" s="546">
        <v>45082</v>
      </c>
      <c r="K716" s="193">
        <f>COUNTIFS(S:S,"5 june 2023",T:T,"meydita")</f>
        <v>8</v>
      </c>
      <c r="L716" s="199" t="s">
        <v>523</v>
      </c>
      <c r="M716" s="195">
        <f t="shared" si="0"/>
        <v>8</v>
      </c>
      <c r="N716" s="773"/>
      <c r="O716" s="4"/>
      <c r="P716" s="3"/>
      <c r="Q716" s="3"/>
      <c r="R716" s="3"/>
      <c r="S716" s="4"/>
      <c r="T716" s="56"/>
      <c r="U716" s="153"/>
      <c r="V716" s="153"/>
      <c r="W716" s="153"/>
      <c r="X716" s="153"/>
      <c r="Y716" s="153"/>
      <c r="Z716" s="153"/>
    </row>
    <row r="717" spans="1:26">
      <c r="A717" s="90"/>
      <c r="B717" s="3"/>
      <c r="C717" s="3"/>
      <c r="D717" s="191"/>
      <c r="E717" s="46"/>
      <c r="F717" s="3"/>
      <c r="G717" s="3"/>
      <c r="H717" s="3"/>
      <c r="I717" s="85"/>
      <c r="J717" s="4"/>
      <c r="K717" s="4"/>
      <c r="L717" s="4"/>
      <c r="M717" s="4"/>
      <c r="N717" s="535"/>
      <c r="O717" s="4"/>
      <c r="P717" s="3"/>
      <c r="Q717" s="3"/>
      <c r="R717" s="3"/>
      <c r="S717" s="4"/>
      <c r="T717" s="56"/>
      <c r="U717" s="153"/>
      <c r="V717" s="153"/>
      <c r="W717" s="153"/>
      <c r="X717" s="153"/>
      <c r="Y717" s="153"/>
      <c r="Z717" s="153"/>
    </row>
    <row r="718" spans="1:26">
      <c r="A718" s="90"/>
      <c r="B718" s="3"/>
      <c r="C718" s="3"/>
      <c r="D718" s="191"/>
      <c r="E718" s="46"/>
      <c r="F718" s="3"/>
      <c r="G718" s="3"/>
      <c r="H718" s="3"/>
      <c r="I718" s="85"/>
      <c r="J718" s="4"/>
      <c r="K718" s="4"/>
      <c r="L718" s="4"/>
      <c r="M718" s="4"/>
      <c r="N718" s="535"/>
      <c r="O718" s="4"/>
      <c r="P718" s="3"/>
      <c r="Q718" s="3"/>
      <c r="R718" s="3"/>
      <c r="S718" s="4"/>
      <c r="T718" s="56"/>
      <c r="U718" s="153"/>
      <c r="V718" s="153"/>
      <c r="W718" s="153"/>
      <c r="X718" s="153"/>
      <c r="Y718" s="153"/>
      <c r="Z718" s="153"/>
    </row>
    <row r="719" spans="1:26">
      <c r="A719" s="90"/>
      <c r="B719" s="3"/>
      <c r="C719" s="3"/>
      <c r="D719" s="191"/>
      <c r="E719" s="46"/>
      <c r="F719" s="3"/>
      <c r="G719" s="3"/>
      <c r="H719" s="3"/>
      <c r="I719" s="85"/>
      <c r="J719" s="4"/>
      <c r="K719" s="4"/>
      <c r="L719" s="4"/>
      <c r="M719" s="4"/>
      <c r="N719" s="535"/>
      <c r="O719" s="4"/>
      <c r="P719" s="3"/>
      <c r="Q719" s="3"/>
      <c r="R719" s="3"/>
      <c r="S719" s="4"/>
      <c r="T719" s="56"/>
      <c r="U719" s="153"/>
      <c r="V719" s="153"/>
      <c r="W719" s="153"/>
      <c r="X719" s="153"/>
      <c r="Y719" s="153"/>
      <c r="Z719" s="153"/>
    </row>
    <row r="720" spans="1:26">
      <c r="A720" s="90"/>
      <c r="B720" s="3"/>
      <c r="C720" s="3"/>
      <c r="D720" s="191"/>
      <c r="E720" s="46"/>
      <c r="F720" s="3"/>
      <c r="G720" s="3"/>
      <c r="H720" s="3"/>
      <c r="I720" s="85"/>
      <c r="J720" s="4"/>
      <c r="K720" s="4"/>
      <c r="L720" s="4"/>
      <c r="M720" s="4"/>
      <c r="N720" s="535"/>
      <c r="O720" s="4"/>
      <c r="P720" s="3"/>
      <c r="Q720" s="3"/>
      <c r="R720" s="3"/>
      <c r="S720" s="4"/>
      <c r="T720" s="56"/>
      <c r="U720" s="153"/>
      <c r="V720" s="153"/>
      <c r="W720" s="153"/>
      <c r="X720" s="153"/>
      <c r="Y720" s="153"/>
      <c r="Z720" s="153"/>
    </row>
    <row r="721" spans="1:26">
      <c r="A721" s="90"/>
      <c r="B721" s="3"/>
      <c r="C721" s="3"/>
      <c r="D721" s="191"/>
      <c r="E721" s="46"/>
      <c r="F721" s="3"/>
      <c r="G721" s="3"/>
      <c r="H721" s="3"/>
      <c r="I721" s="85"/>
      <c r="J721" s="4"/>
      <c r="K721" s="4"/>
      <c r="L721" s="4"/>
      <c r="M721" s="4"/>
      <c r="N721" s="535"/>
      <c r="O721" s="4"/>
      <c r="P721" s="3"/>
      <c r="Q721" s="3"/>
      <c r="R721" s="3"/>
      <c r="S721" s="4"/>
      <c r="T721" s="56"/>
      <c r="U721" s="153"/>
      <c r="V721" s="153"/>
      <c r="W721" s="153"/>
      <c r="X721" s="153"/>
      <c r="Y721" s="153"/>
      <c r="Z721" s="153"/>
    </row>
    <row r="722" spans="1:26">
      <c r="A722" s="90"/>
      <c r="B722" s="3"/>
      <c r="C722" s="3"/>
      <c r="D722" s="191"/>
      <c r="E722" s="46"/>
      <c r="F722" s="3"/>
      <c r="G722" s="3"/>
      <c r="H722" s="3"/>
      <c r="I722" s="85"/>
      <c r="J722" s="4"/>
      <c r="K722" s="4"/>
      <c r="L722" s="4"/>
      <c r="M722" s="4"/>
      <c r="N722" s="535"/>
      <c r="O722" s="4"/>
      <c r="P722" s="3"/>
      <c r="Q722" s="3"/>
      <c r="R722" s="3"/>
      <c r="S722" s="4"/>
      <c r="T722" s="56"/>
      <c r="U722" s="153"/>
      <c r="V722" s="153"/>
      <c r="W722" s="153"/>
      <c r="X722" s="153"/>
      <c r="Y722" s="153"/>
      <c r="Z722" s="153"/>
    </row>
    <row r="723" spans="1:26">
      <c r="A723" s="90"/>
      <c r="B723" s="3"/>
      <c r="C723" s="3"/>
      <c r="D723" s="191"/>
      <c r="E723" s="46"/>
      <c r="F723" s="3"/>
      <c r="G723" s="3"/>
      <c r="H723" s="3"/>
      <c r="I723" s="85"/>
      <c r="J723" s="4"/>
      <c r="K723" s="4"/>
      <c r="L723" s="4"/>
      <c r="M723" s="4"/>
      <c r="N723" s="535"/>
      <c r="O723" s="4"/>
      <c r="P723" s="3"/>
      <c r="Q723" s="3"/>
      <c r="R723" s="3"/>
      <c r="S723" s="4"/>
      <c r="T723" s="56"/>
      <c r="U723" s="153"/>
      <c r="V723" s="153"/>
      <c r="W723" s="153"/>
      <c r="X723" s="153"/>
      <c r="Y723" s="153"/>
      <c r="Z723" s="153"/>
    </row>
    <row r="724" spans="1:26">
      <c r="A724" s="90"/>
      <c r="B724" s="3"/>
      <c r="C724" s="3"/>
      <c r="D724" s="191"/>
      <c r="E724" s="46"/>
      <c r="F724" s="3"/>
      <c r="G724" s="3"/>
      <c r="H724" s="3"/>
      <c r="I724" s="85"/>
      <c r="J724" s="4"/>
      <c r="K724" s="4"/>
      <c r="L724" s="4"/>
      <c r="M724" s="4"/>
      <c r="N724" s="535"/>
      <c r="O724" s="4"/>
      <c r="P724" s="3"/>
      <c r="Q724" s="3"/>
      <c r="R724" s="3"/>
      <c r="S724" s="4"/>
      <c r="T724" s="56"/>
      <c r="U724" s="153"/>
      <c r="V724" s="153"/>
      <c r="W724" s="153"/>
      <c r="X724" s="153"/>
      <c r="Y724" s="153"/>
      <c r="Z724" s="153"/>
    </row>
    <row r="725" spans="1:26">
      <c r="A725" s="90"/>
      <c r="B725" s="3"/>
      <c r="C725" s="3"/>
      <c r="D725" s="191"/>
      <c r="E725" s="46"/>
      <c r="F725" s="3"/>
      <c r="G725" s="3"/>
      <c r="H725" s="3"/>
      <c r="I725" s="85"/>
      <c r="J725" s="4"/>
      <c r="K725" s="4"/>
      <c r="L725" s="4"/>
      <c r="M725" s="4"/>
      <c r="N725" s="535"/>
      <c r="O725" s="4"/>
      <c r="P725" s="3"/>
      <c r="Q725" s="3"/>
      <c r="R725" s="3"/>
      <c r="S725" s="4"/>
      <c r="T725" s="56"/>
      <c r="U725" s="153"/>
      <c r="V725" s="153"/>
      <c r="W725" s="153"/>
      <c r="X725" s="153"/>
      <c r="Y725" s="153"/>
      <c r="Z725" s="153"/>
    </row>
    <row r="726" spans="1:26">
      <c r="A726" s="90"/>
      <c r="B726" s="3"/>
      <c r="C726" s="3"/>
      <c r="D726" s="191"/>
      <c r="E726" s="46"/>
      <c r="F726" s="3"/>
      <c r="G726" s="3"/>
      <c r="H726" s="3"/>
      <c r="I726" s="85"/>
      <c r="J726" s="4"/>
      <c r="K726" s="4"/>
      <c r="L726" s="4"/>
      <c r="M726" s="4"/>
      <c r="N726" s="535"/>
      <c r="O726" s="4"/>
      <c r="P726" s="3"/>
      <c r="Q726" s="3"/>
      <c r="R726" s="3"/>
      <c r="S726" s="4"/>
      <c r="T726" s="56"/>
      <c r="U726" s="153"/>
      <c r="V726" s="153"/>
      <c r="W726" s="153"/>
      <c r="X726" s="153"/>
      <c r="Y726" s="153"/>
      <c r="Z726" s="153"/>
    </row>
    <row r="727" spans="1:26">
      <c r="A727" s="90"/>
      <c r="B727" s="3"/>
      <c r="C727" s="3"/>
      <c r="D727" s="191"/>
      <c r="E727" s="46"/>
      <c r="F727" s="3"/>
      <c r="G727" s="3"/>
      <c r="H727" s="3"/>
      <c r="I727" s="85"/>
      <c r="J727" s="4"/>
      <c r="K727" s="4"/>
      <c r="L727" s="4"/>
      <c r="M727" s="4"/>
      <c r="N727" s="535"/>
      <c r="O727" s="4"/>
      <c r="P727" s="3"/>
      <c r="Q727" s="3"/>
      <c r="R727" s="3"/>
      <c r="S727" s="4"/>
      <c r="T727" s="56"/>
      <c r="U727" s="153"/>
      <c r="V727" s="153"/>
      <c r="W727" s="153"/>
      <c r="X727" s="153"/>
      <c r="Y727" s="153"/>
      <c r="Z727" s="153"/>
    </row>
    <row r="728" spans="1:26">
      <c r="A728" s="90"/>
      <c r="B728" s="3"/>
      <c r="C728" s="3"/>
      <c r="D728" s="191"/>
      <c r="E728" s="46"/>
      <c r="F728" s="3"/>
      <c r="G728" s="3"/>
      <c r="H728" s="3"/>
      <c r="I728" s="85"/>
      <c r="J728" s="4"/>
      <c r="K728" s="4"/>
      <c r="L728" s="4"/>
      <c r="M728" s="4"/>
      <c r="N728" s="535"/>
      <c r="O728" s="4"/>
      <c r="P728" s="3"/>
      <c r="Q728" s="3"/>
      <c r="R728" s="3"/>
      <c r="S728" s="4"/>
      <c r="T728" s="56"/>
      <c r="U728" s="153"/>
      <c r="V728" s="153"/>
      <c r="W728" s="153"/>
      <c r="X728" s="153"/>
      <c r="Y728" s="153"/>
      <c r="Z728" s="153"/>
    </row>
    <row r="729" spans="1:26">
      <c r="A729" s="90"/>
      <c r="B729" s="3"/>
      <c r="C729" s="3"/>
      <c r="D729" s="191"/>
      <c r="E729" s="46"/>
      <c r="F729" s="3"/>
      <c r="G729" s="3"/>
      <c r="H729" s="3"/>
      <c r="I729" s="85"/>
      <c r="J729" s="4"/>
      <c r="K729" s="4"/>
      <c r="L729" s="4"/>
      <c r="M729" s="4"/>
      <c r="N729" s="535"/>
      <c r="O729" s="4"/>
      <c r="P729" s="3"/>
      <c r="Q729" s="3"/>
      <c r="R729" s="3"/>
      <c r="S729" s="4"/>
      <c r="T729" s="56"/>
      <c r="U729" s="153"/>
      <c r="V729" s="153"/>
      <c r="W729" s="153"/>
      <c r="X729" s="153"/>
      <c r="Y729" s="153"/>
      <c r="Z729" s="153"/>
    </row>
    <row r="730" spans="1:26">
      <c r="A730" s="90"/>
      <c r="B730" s="3"/>
      <c r="C730" s="3"/>
      <c r="D730" s="191"/>
      <c r="E730" s="46"/>
      <c r="F730" s="3"/>
      <c r="G730" s="3"/>
      <c r="H730" s="3"/>
      <c r="I730" s="85"/>
      <c r="J730" s="4"/>
      <c r="K730" s="4"/>
      <c r="L730" s="4"/>
      <c r="M730" s="4"/>
      <c r="N730" s="535"/>
      <c r="O730" s="4"/>
      <c r="P730" s="3"/>
      <c r="Q730" s="3"/>
      <c r="R730" s="3"/>
      <c r="S730" s="4"/>
      <c r="T730" s="56"/>
      <c r="U730" s="153"/>
      <c r="V730" s="153"/>
      <c r="W730" s="153"/>
      <c r="X730" s="153"/>
      <c r="Y730" s="153"/>
      <c r="Z730" s="153"/>
    </row>
    <row r="731" spans="1:26">
      <c r="A731" s="90"/>
      <c r="B731" s="3"/>
      <c r="C731" s="3"/>
      <c r="D731" s="191"/>
      <c r="E731" s="46"/>
      <c r="F731" s="3"/>
      <c r="G731" s="3"/>
      <c r="H731" s="3"/>
      <c r="I731" s="85"/>
      <c r="J731" s="4"/>
      <c r="K731" s="4"/>
      <c r="L731" s="4"/>
      <c r="M731" s="4"/>
      <c r="N731" s="535"/>
      <c r="O731" s="4"/>
      <c r="P731" s="3"/>
      <c r="Q731" s="3"/>
      <c r="R731" s="3"/>
      <c r="S731" s="4"/>
      <c r="T731" s="56"/>
      <c r="U731" s="153"/>
      <c r="V731" s="153"/>
      <c r="W731" s="153"/>
      <c r="X731" s="153"/>
      <c r="Y731" s="153"/>
      <c r="Z731" s="153"/>
    </row>
    <row r="732" spans="1:26">
      <c r="A732" s="90"/>
      <c r="B732" s="3"/>
      <c r="C732" s="3"/>
      <c r="D732" s="191"/>
      <c r="E732" s="46"/>
      <c r="F732" s="3"/>
      <c r="G732" s="3"/>
      <c r="H732" s="3"/>
      <c r="I732" s="85"/>
      <c r="J732" s="4"/>
      <c r="K732" s="4"/>
      <c r="L732" s="4"/>
      <c r="M732" s="4"/>
      <c r="N732" s="535"/>
      <c r="O732" s="4"/>
      <c r="P732" s="3"/>
      <c r="Q732" s="3"/>
      <c r="R732" s="3"/>
      <c r="S732" s="4"/>
      <c r="T732" s="56"/>
      <c r="U732" s="153"/>
      <c r="V732" s="153"/>
      <c r="W732" s="153"/>
      <c r="X732" s="153"/>
      <c r="Y732" s="153"/>
      <c r="Z732" s="153"/>
    </row>
    <row r="733" spans="1:26">
      <c r="A733" s="90"/>
      <c r="B733" s="3"/>
      <c r="C733" s="3"/>
      <c r="D733" s="191"/>
      <c r="E733" s="46"/>
      <c r="F733" s="3"/>
      <c r="G733" s="3"/>
      <c r="H733" s="3"/>
      <c r="I733" s="85"/>
      <c r="J733" s="4"/>
      <c r="K733" s="4"/>
      <c r="L733" s="4"/>
      <c r="M733" s="4"/>
      <c r="N733" s="535"/>
      <c r="O733" s="4"/>
      <c r="P733" s="3"/>
      <c r="Q733" s="3"/>
      <c r="R733" s="3"/>
      <c r="S733" s="4"/>
      <c r="T733" s="56"/>
      <c r="U733" s="153"/>
      <c r="V733" s="153"/>
      <c r="W733" s="153"/>
      <c r="X733" s="153"/>
      <c r="Y733" s="153"/>
      <c r="Z733" s="153"/>
    </row>
    <row r="734" spans="1:26">
      <c r="A734" s="90"/>
      <c r="B734" s="3"/>
      <c r="C734" s="3"/>
      <c r="D734" s="191"/>
      <c r="E734" s="46"/>
      <c r="F734" s="3"/>
      <c r="G734" s="3"/>
      <c r="H734" s="3"/>
      <c r="I734" s="85"/>
      <c r="J734" s="4"/>
      <c r="K734" s="4"/>
      <c r="L734" s="4"/>
      <c r="M734" s="4"/>
      <c r="N734" s="535"/>
      <c r="O734" s="4"/>
      <c r="P734" s="3"/>
      <c r="Q734" s="3"/>
      <c r="R734" s="3"/>
      <c r="S734" s="4"/>
      <c r="T734" s="56"/>
      <c r="U734" s="153"/>
      <c r="V734" s="153"/>
      <c r="W734" s="153"/>
      <c r="X734" s="153"/>
      <c r="Y734" s="153"/>
      <c r="Z734" s="153"/>
    </row>
    <row r="735" spans="1:26">
      <c r="A735" s="90"/>
      <c r="B735" s="3"/>
      <c r="C735" s="3"/>
      <c r="D735" s="191"/>
      <c r="E735" s="46"/>
      <c r="F735" s="3"/>
      <c r="G735" s="3"/>
      <c r="H735" s="3"/>
      <c r="I735" s="85"/>
      <c r="J735" s="4"/>
      <c r="K735" s="4"/>
      <c r="L735" s="4"/>
      <c r="M735" s="4"/>
      <c r="N735" s="535"/>
      <c r="O735" s="4"/>
      <c r="P735" s="3"/>
      <c r="Q735" s="3"/>
      <c r="R735" s="3"/>
      <c r="S735" s="4"/>
      <c r="T735" s="56"/>
      <c r="U735" s="153"/>
      <c r="V735" s="153"/>
      <c r="W735" s="153"/>
      <c r="X735" s="153"/>
      <c r="Y735" s="153"/>
      <c r="Z735" s="153"/>
    </row>
    <row r="736" spans="1:26">
      <c r="A736" s="90"/>
      <c r="B736" s="3"/>
      <c r="C736" s="3"/>
      <c r="D736" s="191"/>
      <c r="E736" s="46"/>
      <c r="F736" s="3"/>
      <c r="G736" s="3"/>
      <c r="H736" s="3"/>
      <c r="I736" s="85"/>
      <c r="J736" s="4"/>
      <c r="K736" s="4"/>
      <c r="L736" s="4"/>
      <c r="M736" s="4"/>
      <c r="N736" s="535"/>
      <c r="O736" s="4"/>
      <c r="P736" s="3"/>
      <c r="Q736" s="3"/>
      <c r="R736" s="3"/>
      <c r="S736" s="4"/>
      <c r="T736" s="56"/>
      <c r="U736" s="153"/>
      <c r="V736" s="153"/>
      <c r="W736" s="153"/>
      <c r="X736" s="153"/>
      <c r="Y736" s="153"/>
      <c r="Z736" s="153"/>
    </row>
    <row r="737" spans="1:26">
      <c r="A737" s="90"/>
      <c r="B737" s="3"/>
      <c r="C737" s="3"/>
      <c r="D737" s="191"/>
      <c r="E737" s="46"/>
      <c r="F737" s="3"/>
      <c r="G737" s="3"/>
      <c r="H737" s="3"/>
      <c r="I737" s="85"/>
      <c r="J737" s="4"/>
      <c r="K737" s="4"/>
      <c r="L737" s="4"/>
      <c r="M737" s="4"/>
      <c r="N737" s="535"/>
      <c r="O737" s="4"/>
      <c r="P737" s="3"/>
      <c r="Q737" s="3"/>
      <c r="R737" s="3"/>
      <c r="S737" s="4"/>
      <c r="T737" s="56"/>
      <c r="U737" s="153"/>
      <c r="V737" s="153"/>
      <c r="W737" s="153"/>
      <c r="X737" s="153"/>
      <c r="Y737" s="153"/>
      <c r="Z737" s="153"/>
    </row>
    <row r="738" spans="1:26">
      <c r="A738" s="90"/>
      <c r="B738" s="3"/>
      <c r="C738" s="3"/>
      <c r="D738" s="191"/>
      <c r="E738" s="46"/>
      <c r="F738" s="3"/>
      <c r="G738" s="3"/>
      <c r="H738" s="3"/>
      <c r="I738" s="85"/>
      <c r="J738" s="4"/>
      <c r="K738" s="4"/>
      <c r="L738" s="4"/>
      <c r="M738" s="4"/>
      <c r="N738" s="535"/>
      <c r="O738" s="4"/>
      <c r="P738" s="3"/>
      <c r="Q738" s="3"/>
      <c r="R738" s="3"/>
      <c r="S738" s="4"/>
      <c r="T738" s="56"/>
      <c r="U738" s="153"/>
      <c r="V738" s="153"/>
      <c r="W738" s="153"/>
      <c r="X738" s="153"/>
      <c r="Y738" s="153"/>
      <c r="Z738" s="153"/>
    </row>
    <row r="739" spans="1:26">
      <c r="A739" s="90"/>
      <c r="B739" s="3"/>
      <c r="C739" s="3"/>
      <c r="D739" s="191"/>
      <c r="E739" s="46"/>
      <c r="F739" s="3"/>
      <c r="G739" s="3"/>
      <c r="H739" s="3"/>
      <c r="I739" s="85"/>
      <c r="J739" s="4"/>
      <c r="K739" s="4"/>
      <c r="L739" s="4"/>
      <c r="M739" s="4"/>
      <c r="N739" s="535"/>
      <c r="O739" s="4"/>
      <c r="P739" s="3"/>
      <c r="Q739" s="3"/>
      <c r="R739" s="3"/>
      <c r="S739" s="4"/>
      <c r="T739" s="56"/>
      <c r="U739" s="153"/>
      <c r="V739" s="153"/>
      <c r="W739" s="153"/>
      <c r="X739" s="153"/>
      <c r="Y739" s="153"/>
      <c r="Z739" s="153"/>
    </row>
    <row r="740" spans="1:26">
      <c r="A740" s="90"/>
      <c r="B740" s="3"/>
      <c r="C740" s="3"/>
      <c r="D740" s="191"/>
      <c r="E740" s="46"/>
      <c r="F740" s="3"/>
      <c r="G740" s="3"/>
      <c r="H740" s="3"/>
      <c r="I740" s="85"/>
      <c r="J740" s="4"/>
      <c r="K740" s="4"/>
      <c r="L740" s="4"/>
      <c r="M740" s="4"/>
      <c r="N740" s="535"/>
      <c r="O740" s="4"/>
      <c r="P740" s="3"/>
      <c r="Q740" s="3"/>
      <c r="R740" s="3"/>
      <c r="S740" s="4"/>
      <c r="T740" s="56"/>
      <c r="U740" s="153"/>
      <c r="V740" s="153"/>
      <c r="W740" s="153"/>
      <c r="X740" s="153"/>
      <c r="Y740" s="153"/>
      <c r="Z740" s="153"/>
    </row>
    <row r="741" spans="1:26">
      <c r="A741" s="90"/>
      <c r="B741" s="3"/>
      <c r="C741" s="3"/>
      <c r="D741" s="191"/>
      <c r="E741" s="46"/>
      <c r="F741" s="3"/>
      <c r="G741" s="3"/>
      <c r="H741" s="3"/>
      <c r="I741" s="85"/>
      <c r="J741" s="4"/>
      <c r="K741" s="4"/>
      <c r="L741" s="4"/>
      <c r="M741" s="4"/>
      <c r="N741" s="535"/>
      <c r="O741" s="4"/>
      <c r="P741" s="3"/>
      <c r="Q741" s="3"/>
      <c r="R741" s="3"/>
      <c r="S741" s="4"/>
      <c r="T741" s="56"/>
      <c r="U741" s="153"/>
      <c r="V741" s="153"/>
      <c r="W741" s="153"/>
      <c r="X741" s="153"/>
      <c r="Y741" s="153"/>
      <c r="Z741" s="153"/>
    </row>
    <row r="742" spans="1:26">
      <c r="A742" s="90"/>
      <c r="B742" s="3"/>
      <c r="C742" s="3"/>
      <c r="D742" s="191"/>
      <c r="E742" s="46"/>
      <c r="F742" s="3"/>
      <c r="G742" s="3"/>
      <c r="H742" s="3"/>
      <c r="I742" s="85"/>
      <c r="J742" s="4"/>
      <c r="K742" s="4"/>
      <c r="L742" s="4"/>
      <c r="M742" s="4"/>
      <c r="N742" s="535"/>
      <c r="O742" s="4"/>
      <c r="P742" s="3"/>
      <c r="Q742" s="3"/>
      <c r="R742" s="3"/>
      <c r="S742" s="4"/>
      <c r="T742" s="56"/>
      <c r="U742" s="153"/>
      <c r="V742" s="153"/>
      <c r="W742" s="153"/>
      <c r="X742" s="153"/>
      <c r="Y742" s="153"/>
      <c r="Z742" s="153"/>
    </row>
    <row r="743" spans="1:26">
      <c r="A743" s="90"/>
      <c r="B743" s="3"/>
      <c r="C743" s="3"/>
      <c r="D743" s="191"/>
      <c r="E743" s="46"/>
      <c r="F743" s="3"/>
      <c r="G743" s="3"/>
      <c r="H743" s="3"/>
      <c r="I743" s="85"/>
      <c r="J743" s="4"/>
      <c r="K743" s="4"/>
      <c r="L743" s="4"/>
      <c r="M743" s="4"/>
      <c r="N743" s="535"/>
      <c r="O743" s="4"/>
      <c r="P743" s="3"/>
      <c r="Q743" s="3"/>
      <c r="R743" s="3"/>
      <c r="S743" s="4"/>
      <c r="T743" s="56"/>
      <c r="U743" s="153"/>
      <c r="V743" s="153"/>
      <c r="W743" s="153"/>
      <c r="X743" s="153"/>
      <c r="Y743" s="153"/>
      <c r="Z743" s="153"/>
    </row>
    <row r="744" spans="1:26">
      <c r="A744" s="90"/>
      <c r="B744" s="3"/>
      <c r="C744" s="3"/>
      <c r="D744" s="191"/>
      <c r="E744" s="46"/>
      <c r="F744" s="3"/>
      <c r="G744" s="3"/>
      <c r="H744" s="3"/>
      <c r="I744" s="85"/>
      <c r="J744" s="4"/>
      <c r="K744" s="4"/>
      <c r="L744" s="4"/>
      <c r="M744" s="4"/>
      <c r="N744" s="535"/>
      <c r="O744" s="4"/>
      <c r="P744" s="3"/>
      <c r="Q744" s="3"/>
      <c r="R744" s="3"/>
      <c r="S744" s="4"/>
      <c r="T744" s="56"/>
      <c r="U744" s="153"/>
      <c r="V744" s="153"/>
      <c r="W744" s="153"/>
      <c r="X744" s="153"/>
      <c r="Y744" s="153"/>
      <c r="Z744" s="153"/>
    </row>
    <row r="745" spans="1:26">
      <c r="A745" s="90"/>
      <c r="B745" s="3"/>
      <c r="C745" s="3"/>
      <c r="D745" s="191"/>
      <c r="E745" s="46"/>
      <c r="F745" s="3"/>
      <c r="G745" s="3"/>
      <c r="H745" s="3"/>
      <c r="I745" s="85"/>
      <c r="J745" s="4"/>
      <c r="K745" s="4"/>
      <c r="L745" s="4"/>
      <c r="M745" s="4"/>
      <c r="N745" s="535"/>
      <c r="O745" s="4"/>
      <c r="P745" s="3"/>
      <c r="Q745" s="3"/>
      <c r="R745" s="3"/>
      <c r="S745" s="4"/>
      <c r="T745" s="56"/>
      <c r="U745" s="153"/>
      <c r="V745" s="153"/>
      <c r="W745" s="153"/>
      <c r="X745" s="153"/>
      <c r="Y745" s="153"/>
      <c r="Z745" s="153"/>
    </row>
    <row r="746" spans="1:26">
      <c r="A746" s="90"/>
      <c r="B746" s="3"/>
      <c r="C746" s="3"/>
      <c r="D746" s="191"/>
      <c r="E746" s="46"/>
      <c r="F746" s="3"/>
      <c r="G746" s="3"/>
      <c r="H746" s="3"/>
      <c r="I746" s="85"/>
      <c r="J746" s="4"/>
      <c r="K746" s="4"/>
      <c r="L746" s="4"/>
      <c r="M746" s="4"/>
      <c r="N746" s="535"/>
      <c r="O746" s="4"/>
      <c r="P746" s="3"/>
      <c r="Q746" s="3"/>
      <c r="R746" s="3"/>
      <c r="S746" s="4"/>
      <c r="T746" s="56"/>
      <c r="U746" s="153"/>
      <c r="V746" s="153"/>
      <c r="W746" s="153"/>
      <c r="X746" s="153"/>
      <c r="Y746" s="153"/>
      <c r="Z746" s="153"/>
    </row>
    <row r="747" spans="1:26">
      <c r="A747" s="90"/>
      <c r="B747" s="3"/>
      <c r="C747" s="3"/>
      <c r="D747" s="191"/>
      <c r="E747" s="46"/>
      <c r="F747" s="3"/>
      <c r="G747" s="3"/>
      <c r="H747" s="3"/>
      <c r="I747" s="85"/>
      <c r="J747" s="4"/>
      <c r="K747" s="4"/>
      <c r="L747" s="4"/>
      <c r="M747" s="4"/>
      <c r="N747" s="535"/>
      <c r="O747" s="4"/>
      <c r="P747" s="3"/>
      <c r="Q747" s="3"/>
      <c r="R747" s="3"/>
      <c r="S747" s="4"/>
      <c r="T747" s="56"/>
      <c r="U747" s="153"/>
      <c r="V747" s="153"/>
      <c r="W747" s="153"/>
      <c r="X747" s="153"/>
      <c r="Y747" s="153"/>
      <c r="Z747" s="153"/>
    </row>
    <row r="748" spans="1:26">
      <c r="A748" s="90"/>
      <c r="B748" s="3"/>
      <c r="C748" s="3"/>
      <c r="D748" s="191"/>
      <c r="E748" s="46"/>
      <c r="F748" s="3"/>
      <c r="G748" s="3"/>
      <c r="H748" s="3"/>
      <c r="I748" s="85"/>
      <c r="J748" s="4"/>
      <c r="K748" s="4"/>
      <c r="L748" s="4"/>
      <c r="M748" s="4"/>
      <c r="N748" s="535"/>
      <c r="O748" s="4"/>
      <c r="P748" s="3"/>
      <c r="Q748" s="3"/>
      <c r="R748" s="3"/>
      <c r="S748" s="4"/>
      <c r="T748" s="56"/>
      <c r="U748" s="153"/>
      <c r="V748" s="153"/>
      <c r="W748" s="153"/>
      <c r="X748" s="153"/>
      <c r="Y748" s="153"/>
      <c r="Z748" s="153"/>
    </row>
    <row r="749" spans="1:26">
      <c r="A749" s="90"/>
      <c r="B749" s="3"/>
      <c r="C749" s="3"/>
      <c r="D749" s="191"/>
      <c r="E749" s="46"/>
      <c r="F749" s="3"/>
      <c r="G749" s="3"/>
      <c r="H749" s="3"/>
      <c r="I749" s="85"/>
      <c r="J749" s="4"/>
      <c r="K749" s="4"/>
      <c r="L749" s="4"/>
      <c r="M749" s="4"/>
      <c r="N749" s="535"/>
      <c r="O749" s="4"/>
      <c r="P749" s="3"/>
      <c r="Q749" s="3"/>
      <c r="R749" s="3"/>
      <c r="S749" s="4"/>
      <c r="T749" s="56"/>
      <c r="U749" s="153"/>
      <c r="V749" s="153"/>
      <c r="W749" s="153"/>
      <c r="X749" s="153"/>
      <c r="Y749" s="153"/>
      <c r="Z749" s="153"/>
    </row>
    <row r="750" spans="1:26">
      <c r="A750" s="90"/>
      <c r="B750" s="3"/>
      <c r="C750" s="3"/>
      <c r="D750" s="191"/>
      <c r="E750" s="46"/>
      <c r="F750" s="3"/>
      <c r="G750" s="3"/>
      <c r="H750" s="3"/>
      <c r="I750" s="85"/>
      <c r="J750" s="4"/>
      <c r="K750" s="4"/>
      <c r="L750" s="4"/>
      <c r="M750" s="4"/>
      <c r="N750" s="535"/>
      <c r="O750" s="4"/>
      <c r="P750" s="3"/>
      <c r="Q750" s="3"/>
      <c r="R750" s="3"/>
      <c r="S750" s="4"/>
      <c r="T750" s="56"/>
      <c r="U750" s="153"/>
      <c r="V750" s="153"/>
      <c r="W750" s="153"/>
      <c r="X750" s="153"/>
      <c r="Y750" s="153"/>
      <c r="Z750" s="153"/>
    </row>
    <row r="751" spans="1:26">
      <c r="A751" s="90"/>
      <c r="B751" s="3"/>
      <c r="C751" s="3"/>
      <c r="D751" s="191"/>
      <c r="E751" s="46"/>
      <c r="F751" s="3"/>
      <c r="G751" s="3"/>
      <c r="H751" s="3"/>
      <c r="I751" s="85"/>
      <c r="J751" s="4"/>
      <c r="K751" s="4"/>
      <c r="L751" s="4"/>
      <c r="M751" s="4"/>
      <c r="N751" s="535"/>
      <c r="O751" s="4"/>
      <c r="P751" s="3"/>
      <c r="Q751" s="3"/>
      <c r="R751" s="3"/>
      <c r="S751" s="4"/>
      <c r="T751" s="56"/>
      <c r="U751" s="153"/>
      <c r="V751" s="153"/>
      <c r="W751" s="153"/>
      <c r="X751" s="153"/>
      <c r="Y751" s="153"/>
      <c r="Z751" s="153"/>
    </row>
    <row r="752" spans="1:26">
      <c r="A752" s="90"/>
      <c r="B752" s="3"/>
      <c r="C752" s="3"/>
      <c r="D752" s="191"/>
      <c r="E752" s="46"/>
      <c r="F752" s="3"/>
      <c r="G752" s="3"/>
      <c r="H752" s="3"/>
      <c r="I752" s="85"/>
      <c r="J752" s="4"/>
      <c r="K752" s="4"/>
      <c r="L752" s="4"/>
      <c r="M752" s="4"/>
      <c r="N752" s="535"/>
      <c r="O752" s="4"/>
      <c r="P752" s="3"/>
      <c r="Q752" s="3"/>
      <c r="R752" s="3"/>
      <c r="S752" s="4"/>
      <c r="T752" s="56"/>
      <c r="U752" s="153"/>
      <c r="V752" s="153"/>
      <c r="W752" s="153"/>
      <c r="X752" s="153"/>
      <c r="Y752" s="153"/>
      <c r="Z752" s="153"/>
    </row>
    <row r="753" spans="1:26">
      <c r="A753" s="90"/>
      <c r="B753" s="3"/>
      <c r="C753" s="3"/>
      <c r="D753" s="191"/>
      <c r="E753" s="46"/>
      <c r="F753" s="3"/>
      <c r="G753" s="3"/>
      <c r="H753" s="3"/>
      <c r="I753" s="85"/>
      <c r="J753" s="4"/>
      <c r="K753" s="4"/>
      <c r="L753" s="4"/>
      <c r="M753" s="4"/>
      <c r="N753" s="535"/>
      <c r="O753" s="4"/>
      <c r="P753" s="3"/>
      <c r="Q753" s="3"/>
      <c r="R753" s="3"/>
      <c r="S753" s="4"/>
      <c r="T753" s="56"/>
      <c r="U753" s="153"/>
      <c r="V753" s="153"/>
      <c r="W753" s="153"/>
      <c r="X753" s="153"/>
      <c r="Y753" s="153"/>
      <c r="Z753" s="153"/>
    </row>
    <row r="754" spans="1:26">
      <c r="A754" s="90"/>
      <c r="B754" s="3"/>
      <c r="C754" s="3"/>
      <c r="D754" s="191"/>
      <c r="E754" s="46"/>
      <c r="F754" s="3"/>
      <c r="G754" s="3"/>
      <c r="H754" s="3"/>
      <c r="I754" s="85"/>
      <c r="J754" s="4"/>
      <c r="K754" s="4"/>
      <c r="L754" s="4"/>
      <c r="M754" s="4"/>
      <c r="N754" s="535"/>
      <c r="O754" s="4"/>
      <c r="P754" s="3"/>
      <c r="Q754" s="3"/>
      <c r="R754" s="3"/>
      <c r="S754" s="4"/>
      <c r="T754" s="56"/>
      <c r="U754" s="153"/>
      <c r="V754" s="153"/>
      <c r="W754" s="153"/>
      <c r="X754" s="153"/>
      <c r="Y754" s="153"/>
      <c r="Z754" s="153"/>
    </row>
    <row r="755" spans="1:26">
      <c r="A755" s="90"/>
      <c r="B755" s="3"/>
      <c r="C755" s="3"/>
      <c r="D755" s="191"/>
      <c r="E755" s="46"/>
      <c r="F755" s="3"/>
      <c r="G755" s="3"/>
      <c r="H755" s="3"/>
      <c r="I755" s="85"/>
      <c r="J755" s="4"/>
      <c r="K755" s="4"/>
      <c r="L755" s="4"/>
      <c r="M755" s="4"/>
      <c r="N755" s="535"/>
      <c r="O755" s="4"/>
      <c r="P755" s="3"/>
      <c r="Q755" s="3"/>
      <c r="R755" s="3"/>
      <c r="S755" s="4"/>
      <c r="T755" s="56"/>
      <c r="U755" s="153"/>
      <c r="V755" s="153"/>
      <c r="W755" s="153"/>
      <c r="X755" s="153"/>
      <c r="Y755" s="153"/>
      <c r="Z755" s="153"/>
    </row>
    <row r="756" spans="1:26">
      <c r="A756" s="90"/>
      <c r="B756" s="3"/>
      <c r="C756" s="3"/>
      <c r="D756" s="191"/>
      <c r="E756" s="46"/>
      <c r="F756" s="3"/>
      <c r="G756" s="3"/>
      <c r="H756" s="3"/>
      <c r="I756" s="85"/>
      <c r="J756" s="4"/>
      <c r="K756" s="4"/>
      <c r="L756" s="4"/>
      <c r="M756" s="4"/>
      <c r="N756" s="535"/>
      <c r="O756" s="4"/>
      <c r="P756" s="3"/>
      <c r="Q756" s="3"/>
      <c r="R756" s="3"/>
      <c r="S756" s="4"/>
      <c r="T756" s="56"/>
      <c r="U756" s="153"/>
      <c r="V756" s="153"/>
      <c r="W756" s="153"/>
      <c r="X756" s="153"/>
      <c r="Y756" s="153"/>
      <c r="Z756" s="153"/>
    </row>
    <row r="757" spans="1:26">
      <c r="A757" s="90"/>
      <c r="B757" s="3"/>
      <c r="C757" s="3"/>
      <c r="D757" s="191"/>
      <c r="E757" s="46"/>
      <c r="F757" s="3"/>
      <c r="G757" s="3"/>
      <c r="H757" s="3"/>
      <c r="I757" s="85"/>
      <c r="J757" s="4"/>
      <c r="K757" s="4"/>
      <c r="L757" s="4"/>
      <c r="M757" s="4"/>
      <c r="N757" s="535"/>
      <c r="O757" s="4"/>
      <c r="P757" s="3"/>
      <c r="Q757" s="3"/>
      <c r="R757" s="3"/>
      <c r="S757" s="4"/>
      <c r="T757" s="56"/>
      <c r="U757" s="153"/>
      <c r="V757" s="153"/>
      <c r="W757" s="153"/>
      <c r="X757" s="153"/>
      <c r="Y757" s="153"/>
      <c r="Z757" s="153"/>
    </row>
    <row r="758" spans="1:26">
      <c r="A758" s="90"/>
      <c r="B758" s="3"/>
      <c r="C758" s="3"/>
      <c r="D758" s="191"/>
      <c r="E758" s="46"/>
      <c r="F758" s="3"/>
      <c r="G758" s="3"/>
      <c r="H758" s="3"/>
      <c r="I758" s="85"/>
      <c r="J758" s="4"/>
      <c r="K758" s="4"/>
      <c r="L758" s="4"/>
      <c r="M758" s="4"/>
      <c r="N758" s="535"/>
      <c r="O758" s="4"/>
      <c r="P758" s="3"/>
      <c r="Q758" s="3"/>
      <c r="R758" s="3"/>
      <c r="S758" s="4"/>
      <c r="T758" s="56"/>
      <c r="U758" s="153"/>
      <c r="V758" s="153"/>
      <c r="W758" s="153"/>
      <c r="X758" s="153"/>
      <c r="Y758" s="153"/>
      <c r="Z758" s="153"/>
    </row>
    <row r="759" spans="1:26">
      <c r="A759" s="90"/>
      <c r="B759" s="3"/>
      <c r="C759" s="3"/>
      <c r="D759" s="191"/>
      <c r="E759" s="46"/>
      <c r="F759" s="3"/>
      <c r="G759" s="3"/>
      <c r="H759" s="3"/>
      <c r="I759" s="85"/>
      <c r="J759" s="4"/>
      <c r="K759" s="4"/>
      <c r="L759" s="4"/>
      <c r="M759" s="4"/>
      <c r="N759" s="535"/>
      <c r="O759" s="4"/>
      <c r="P759" s="3"/>
      <c r="Q759" s="3"/>
      <c r="R759" s="3"/>
      <c r="S759" s="4"/>
      <c r="T759" s="56"/>
      <c r="U759" s="153"/>
      <c r="V759" s="153"/>
      <c r="W759" s="153"/>
      <c r="X759" s="153"/>
      <c r="Y759" s="153"/>
      <c r="Z759" s="153"/>
    </row>
    <row r="760" spans="1:26">
      <c r="A760" s="90"/>
      <c r="B760" s="3"/>
      <c r="C760" s="3"/>
      <c r="D760" s="191"/>
      <c r="E760" s="46"/>
      <c r="F760" s="3"/>
      <c r="G760" s="3"/>
      <c r="H760" s="3"/>
      <c r="I760" s="85"/>
      <c r="J760" s="4"/>
      <c r="K760" s="4"/>
      <c r="L760" s="4"/>
      <c r="M760" s="4"/>
      <c r="N760" s="535"/>
      <c r="O760" s="4"/>
      <c r="P760" s="3"/>
      <c r="Q760" s="3"/>
      <c r="R760" s="3"/>
      <c r="S760" s="4"/>
      <c r="T760" s="56"/>
      <c r="U760" s="153"/>
      <c r="V760" s="153"/>
      <c r="W760" s="153"/>
      <c r="X760" s="153"/>
      <c r="Y760" s="153"/>
      <c r="Z760" s="153"/>
    </row>
    <row r="761" spans="1:26">
      <c r="A761" s="90"/>
      <c r="B761" s="3"/>
      <c r="C761" s="3"/>
      <c r="D761" s="191"/>
      <c r="E761" s="46"/>
      <c r="F761" s="3"/>
      <c r="G761" s="3"/>
      <c r="H761" s="3"/>
      <c r="I761" s="85"/>
      <c r="J761" s="4"/>
      <c r="K761" s="4"/>
      <c r="L761" s="4"/>
      <c r="M761" s="4"/>
      <c r="N761" s="535"/>
      <c r="O761" s="4"/>
      <c r="P761" s="3"/>
      <c r="Q761" s="3"/>
      <c r="R761" s="3"/>
      <c r="S761" s="4"/>
      <c r="T761" s="56"/>
      <c r="U761" s="153"/>
      <c r="V761" s="153"/>
      <c r="W761" s="153"/>
      <c r="X761" s="153"/>
      <c r="Y761" s="153"/>
      <c r="Z761" s="153"/>
    </row>
    <row r="762" spans="1:26">
      <c r="A762" s="90"/>
      <c r="B762" s="3"/>
      <c r="C762" s="3"/>
      <c r="D762" s="191"/>
      <c r="E762" s="46"/>
      <c r="F762" s="3"/>
      <c r="G762" s="3"/>
      <c r="H762" s="3"/>
      <c r="I762" s="85"/>
      <c r="J762" s="4"/>
      <c r="K762" s="4"/>
      <c r="L762" s="4"/>
      <c r="M762" s="4"/>
      <c r="N762" s="535"/>
      <c r="O762" s="4"/>
      <c r="P762" s="3"/>
      <c r="Q762" s="3"/>
      <c r="R762" s="3"/>
      <c r="S762" s="4"/>
      <c r="T762" s="56"/>
      <c r="U762" s="153"/>
      <c r="V762" s="153"/>
      <c r="W762" s="153"/>
      <c r="X762" s="153"/>
      <c r="Y762" s="153"/>
      <c r="Z762" s="153"/>
    </row>
    <row r="763" spans="1:26">
      <c r="A763" s="90"/>
      <c r="B763" s="3"/>
      <c r="C763" s="3"/>
      <c r="D763" s="191"/>
      <c r="E763" s="46"/>
      <c r="F763" s="3"/>
      <c r="G763" s="3"/>
      <c r="H763" s="3"/>
      <c r="I763" s="85"/>
      <c r="J763" s="4"/>
      <c r="K763" s="4"/>
      <c r="L763" s="4"/>
      <c r="M763" s="4"/>
      <c r="N763" s="535"/>
      <c r="O763" s="4"/>
      <c r="P763" s="3"/>
      <c r="Q763" s="3"/>
      <c r="R763" s="3"/>
      <c r="S763" s="4"/>
      <c r="T763" s="56"/>
      <c r="U763" s="153"/>
      <c r="V763" s="153"/>
      <c r="W763" s="153"/>
      <c r="X763" s="153"/>
      <c r="Y763" s="153"/>
      <c r="Z763" s="153"/>
    </row>
    <row r="764" spans="1:26">
      <c r="A764" s="90"/>
      <c r="B764" s="3"/>
      <c r="C764" s="3"/>
      <c r="D764" s="191"/>
      <c r="E764" s="46"/>
      <c r="F764" s="3"/>
      <c r="G764" s="3"/>
      <c r="H764" s="3"/>
      <c r="I764" s="85"/>
      <c r="J764" s="4"/>
      <c r="K764" s="4"/>
      <c r="L764" s="4"/>
      <c r="M764" s="4"/>
      <c r="N764" s="535"/>
      <c r="O764" s="4"/>
      <c r="P764" s="3"/>
      <c r="Q764" s="3"/>
      <c r="R764" s="3"/>
      <c r="S764" s="4"/>
      <c r="T764" s="56"/>
      <c r="U764" s="153"/>
      <c r="V764" s="153"/>
      <c r="W764" s="153"/>
      <c r="X764" s="153"/>
      <c r="Y764" s="153"/>
      <c r="Z764" s="153"/>
    </row>
    <row r="765" spans="1:26">
      <c r="A765" s="90"/>
      <c r="B765" s="3"/>
      <c r="C765" s="3"/>
      <c r="D765" s="191"/>
      <c r="E765" s="46"/>
      <c r="F765" s="3"/>
      <c r="G765" s="3"/>
      <c r="H765" s="3"/>
      <c r="I765" s="85"/>
      <c r="J765" s="4"/>
      <c r="K765" s="4"/>
      <c r="L765" s="4"/>
      <c r="M765" s="4"/>
      <c r="N765" s="535"/>
      <c r="O765" s="4"/>
      <c r="P765" s="3"/>
      <c r="Q765" s="3"/>
      <c r="R765" s="3"/>
      <c r="S765" s="4"/>
      <c r="T765" s="56"/>
      <c r="U765" s="153"/>
      <c r="V765" s="153"/>
      <c r="W765" s="153"/>
      <c r="X765" s="153"/>
      <c r="Y765" s="153"/>
      <c r="Z765" s="153"/>
    </row>
    <row r="766" spans="1:26">
      <c r="A766" s="90"/>
      <c r="B766" s="3"/>
      <c r="C766" s="3"/>
      <c r="D766" s="191"/>
      <c r="E766" s="46"/>
      <c r="F766" s="3"/>
      <c r="G766" s="3"/>
      <c r="H766" s="3"/>
      <c r="I766" s="85"/>
      <c r="J766" s="4"/>
      <c r="K766" s="4"/>
      <c r="L766" s="4"/>
      <c r="M766" s="4"/>
      <c r="N766" s="535"/>
      <c r="O766" s="4"/>
      <c r="P766" s="3"/>
      <c r="Q766" s="3"/>
      <c r="R766" s="3"/>
      <c r="S766" s="4"/>
      <c r="T766" s="56"/>
      <c r="U766" s="153"/>
      <c r="V766" s="153"/>
      <c r="W766" s="153"/>
      <c r="X766" s="153"/>
      <c r="Y766" s="153"/>
      <c r="Z766" s="153"/>
    </row>
    <row r="767" spans="1:26">
      <c r="A767" s="90"/>
      <c r="B767" s="3"/>
      <c r="C767" s="3"/>
      <c r="D767" s="191"/>
      <c r="E767" s="46"/>
      <c r="F767" s="3"/>
      <c r="G767" s="3"/>
      <c r="H767" s="3"/>
      <c r="I767" s="85"/>
      <c r="J767" s="4"/>
      <c r="K767" s="4"/>
      <c r="L767" s="4"/>
      <c r="M767" s="4"/>
      <c r="N767" s="535"/>
      <c r="O767" s="4"/>
      <c r="P767" s="3"/>
      <c r="Q767" s="3"/>
      <c r="R767" s="3"/>
      <c r="S767" s="4"/>
      <c r="T767" s="56"/>
      <c r="U767" s="153"/>
      <c r="V767" s="153"/>
      <c r="W767" s="153"/>
      <c r="X767" s="153"/>
      <c r="Y767" s="153"/>
      <c r="Z767" s="153"/>
    </row>
    <row r="768" spans="1:26">
      <c r="A768" s="90"/>
      <c r="B768" s="3"/>
      <c r="C768" s="3"/>
      <c r="D768" s="191"/>
      <c r="E768" s="46"/>
      <c r="F768" s="3"/>
      <c r="G768" s="3"/>
      <c r="H768" s="3"/>
      <c r="I768" s="85"/>
      <c r="J768" s="4"/>
      <c r="K768" s="4"/>
      <c r="L768" s="4"/>
      <c r="M768" s="4"/>
      <c r="N768" s="535"/>
      <c r="O768" s="4"/>
      <c r="P768" s="3"/>
      <c r="Q768" s="3"/>
      <c r="R768" s="3"/>
      <c r="S768" s="4"/>
      <c r="T768" s="56"/>
      <c r="U768" s="153"/>
      <c r="V768" s="153"/>
      <c r="W768" s="153"/>
      <c r="X768" s="153"/>
      <c r="Y768" s="153"/>
      <c r="Z768" s="153"/>
    </row>
    <row r="769" spans="1:26">
      <c r="A769" s="90"/>
      <c r="B769" s="3"/>
      <c r="C769" s="3"/>
      <c r="D769" s="191"/>
      <c r="E769" s="46"/>
      <c r="F769" s="3"/>
      <c r="G769" s="3"/>
      <c r="H769" s="3"/>
      <c r="I769" s="85"/>
      <c r="J769" s="4"/>
      <c r="K769" s="4"/>
      <c r="L769" s="4"/>
      <c r="M769" s="4"/>
      <c r="N769" s="535"/>
      <c r="O769" s="4"/>
      <c r="P769" s="3"/>
      <c r="Q769" s="3"/>
      <c r="R769" s="3"/>
      <c r="S769" s="4"/>
      <c r="T769" s="56"/>
      <c r="U769" s="153"/>
      <c r="V769" s="153"/>
      <c r="W769" s="153"/>
      <c r="X769" s="153"/>
      <c r="Y769" s="153"/>
      <c r="Z769" s="153"/>
    </row>
    <row r="770" spans="1:26">
      <c r="A770" s="90"/>
      <c r="B770" s="3"/>
      <c r="C770" s="3"/>
      <c r="D770" s="191"/>
      <c r="E770" s="46"/>
      <c r="F770" s="3"/>
      <c r="G770" s="3"/>
      <c r="H770" s="3"/>
      <c r="I770" s="85"/>
      <c r="J770" s="4"/>
      <c r="K770" s="4"/>
      <c r="L770" s="4"/>
      <c r="M770" s="4"/>
      <c r="N770" s="535"/>
      <c r="O770" s="4"/>
      <c r="P770" s="3"/>
      <c r="Q770" s="3"/>
      <c r="R770" s="3"/>
      <c r="S770" s="4"/>
      <c r="T770" s="56"/>
      <c r="U770" s="153"/>
      <c r="V770" s="153"/>
      <c r="W770" s="153"/>
      <c r="X770" s="153"/>
      <c r="Y770" s="153"/>
      <c r="Z770" s="153"/>
    </row>
    <row r="771" spans="1:26">
      <c r="A771" s="90"/>
      <c r="B771" s="3"/>
      <c r="C771" s="3"/>
      <c r="D771" s="191"/>
      <c r="E771" s="46"/>
      <c r="F771" s="3"/>
      <c r="G771" s="3"/>
      <c r="H771" s="3"/>
      <c r="I771" s="85"/>
      <c r="J771" s="4"/>
      <c r="K771" s="4"/>
      <c r="L771" s="4"/>
      <c r="M771" s="4"/>
      <c r="N771" s="535"/>
      <c r="O771" s="4"/>
      <c r="P771" s="3"/>
      <c r="Q771" s="3"/>
      <c r="R771" s="3"/>
      <c r="S771" s="4"/>
      <c r="T771" s="56"/>
      <c r="U771" s="153"/>
      <c r="V771" s="153"/>
      <c r="W771" s="153"/>
      <c r="X771" s="153"/>
      <c r="Y771" s="153"/>
      <c r="Z771" s="153"/>
    </row>
    <row r="772" spans="1:26">
      <c r="A772" s="90"/>
      <c r="B772" s="3"/>
      <c r="C772" s="3"/>
      <c r="D772" s="191"/>
      <c r="E772" s="46"/>
      <c r="F772" s="3"/>
      <c r="G772" s="3"/>
      <c r="H772" s="3"/>
      <c r="I772" s="85"/>
      <c r="J772" s="4"/>
      <c r="K772" s="4"/>
      <c r="L772" s="4"/>
      <c r="M772" s="4"/>
      <c r="N772" s="535"/>
      <c r="O772" s="4"/>
      <c r="P772" s="3"/>
      <c r="Q772" s="3"/>
      <c r="R772" s="3"/>
      <c r="S772" s="4"/>
      <c r="T772" s="56"/>
      <c r="U772" s="153"/>
      <c r="V772" s="153"/>
      <c r="W772" s="153"/>
      <c r="X772" s="153"/>
      <c r="Y772" s="153"/>
      <c r="Z772" s="153"/>
    </row>
    <row r="773" spans="1:26">
      <c r="A773" s="90"/>
      <c r="B773" s="3"/>
      <c r="C773" s="3"/>
      <c r="D773" s="191"/>
      <c r="E773" s="46"/>
      <c r="F773" s="3"/>
      <c r="G773" s="3"/>
      <c r="H773" s="3"/>
      <c r="I773" s="85"/>
      <c r="J773" s="4"/>
      <c r="K773" s="4"/>
      <c r="L773" s="4"/>
      <c r="M773" s="4"/>
      <c r="N773" s="535"/>
      <c r="O773" s="4"/>
      <c r="P773" s="3"/>
      <c r="Q773" s="3"/>
      <c r="R773" s="3"/>
      <c r="S773" s="4"/>
      <c r="T773" s="56"/>
      <c r="U773" s="153"/>
      <c r="V773" s="153"/>
      <c r="W773" s="153"/>
      <c r="X773" s="153"/>
      <c r="Y773" s="153"/>
      <c r="Z773" s="153"/>
    </row>
    <row r="774" spans="1:26">
      <c r="A774" s="90"/>
      <c r="B774" s="3"/>
      <c r="C774" s="3"/>
      <c r="D774" s="191"/>
      <c r="E774" s="46"/>
      <c r="F774" s="3"/>
      <c r="G774" s="3"/>
      <c r="H774" s="3"/>
      <c r="I774" s="85"/>
      <c r="J774" s="4"/>
      <c r="K774" s="4"/>
      <c r="L774" s="4"/>
      <c r="M774" s="4"/>
      <c r="N774" s="535"/>
      <c r="O774" s="4"/>
      <c r="P774" s="3"/>
      <c r="Q774" s="3"/>
      <c r="R774" s="3"/>
      <c r="S774" s="4"/>
      <c r="T774" s="56"/>
      <c r="U774" s="153"/>
      <c r="V774" s="153"/>
      <c r="W774" s="153"/>
      <c r="X774" s="153"/>
      <c r="Y774" s="153"/>
      <c r="Z774" s="153"/>
    </row>
    <row r="775" spans="1:26">
      <c r="A775" s="90"/>
      <c r="B775" s="3"/>
      <c r="C775" s="3"/>
      <c r="D775" s="191"/>
      <c r="E775" s="46"/>
      <c r="F775" s="3"/>
      <c r="G775" s="3"/>
      <c r="H775" s="3"/>
      <c r="I775" s="85"/>
      <c r="J775" s="4"/>
      <c r="K775" s="4"/>
      <c r="L775" s="4"/>
      <c r="M775" s="4"/>
      <c r="N775" s="535"/>
      <c r="O775" s="4"/>
      <c r="P775" s="3"/>
      <c r="Q775" s="3"/>
      <c r="R775" s="3"/>
      <c r="S775" s="4"/>
      <c r="T775" s="56"/>
      <c r="U775" s="153"/>
      <c r="V775" s="153"/>
      <c r="W775" s="153"/>
      <c r="X775" s="153"/>
      <c r="Y775" s="153"/>
      <c r="Z775" s="153"/>
    </row>
    <row r="776" spans="1:26">
      <c r="A776" s="90"/>
      <c r="B776" s="3"/>
      <c r="C776" s="3"/>
      <c r="D776" s="191"/>
      <c r="E776" s="46"/>
      <c r="F776" s="3"/>
      <c r="G776" s="3"/>
      <c r="H776" s="3"/>
      <c r="I776" s="85"/>
      <c r="J776" s="4"/>
      <c r="K776" s="4"/>
      <c r="L776" s="4"/>
      <c r="M776" s="4"/>
      <c r="N776" s="535"/>
      <c r="O776" s="4"/>
      <c r="P776" s="3"/>
      <c r="Q776" s="3"/>
      <c r="R776" s="3"/>
      <c r="S776" s="4"/>
      <c r="T776" s="56"/>
      <c r="U776" s="153"/>
      <c r="V776" s="153"/>
      <c r="W776" s="153"/>
      <c r="X776" s="153"/>
      <c r="Y776" s="153"/>
      <c r="Z776" s="153"/>
    </row>
    <row r="777" spans="1:26">
      <c r="A777" s="90"/>
      <c r="B777" s="3"/>
      <c r="C777" s="3"/>
      <c r="D777" s="191"/>
      <c r="E777" s="46"/>
      <c r="F777" s="3"/>
      <c r="G777" s="3"/>
      <c r="H777" s="3"/>
      <c r="I777" s="85"/>
      <c r="J777" s="4"/>
      <c r="K777" s="4"/>
      <c r="L777" s="4"/>
      <c r="M777" s="4"/>
      <c r="N777" s="535"/>
      <c r="O777" s="4"/>
      <c r="P777" s="3"/>
      <c r="Q777" s="3"/>
      <c r="R777" s="3"/>
      <c r="S777" s="4"/>
      <c r="T777" s="56"/>
      <c r="U777" s="153"/>
      <c r="V777" s="153"/>
      <c r="W777" s="153"/>
      <c r="X777" s="153"/>
      <c r="Y777" s="153"/>
      <c r="Z777" s="153"/>
    </row>
    <row r="778" spans="1:26">
      <c r="A778" s="90"/>
      <c r="B778" s="3"/>
      <c r="C778" s="3"/>
      <c r="D778" s="191"/>
      <c r="E778" s="46"/>
      <c r="F778" s="3"/>
      <c r="G778" s="3"/>
      <c r="H778" s="3"/>
      <c r="I778" s="85"/>
      <c r="J778" s="4"/>
      <c r="K778" s="4"/>
      <c r="L778" s="4"/>
      <c r="M778" s="4"/>
      <c r="N778" s="535"/>
      <c r="O778" s="4"/>
      <c r="P778" s="3"/>
      <c r="Q778" s="3"/>
      <c r="R778" s="3"/>
      <c r="S778" s="4"/>
      <c r="T778" s="56"/>
      <c r="U778" s="153"/>
      <c r="V778" s="153"/>
      <c r="W778" s="153"/>
      <c r="X778" s="153"/>
      <c r="Y778" s="153"/>
      <c r="Z778" s="153"/>
    </row>
    <row r="779" spans="1:26">
      <c r="A779" s="90"/>
      <c r="B779" s="3"/>
      <c r="C779" s="3"/>
      <c r="D779" s="191"/>
      <c r="E779" s="46"/>
      <c r="F779" s="3"/>
      <c r="G779" s="3"/>
      <c r="H779" s="3"/>
      <c r="I779" s="85"/>
      <c r="J779" s="4"/>
      <c r="K779" s="4"/>
      <c r="L779" s="4"/>
      <c r="M779" s="4"/>
      <c r="N779" s="535"/>
      <c r="O779" s="4"/>
      <c r="P779" s="3"/>
      <c r="Q779" s="3"/>
      <c r="R779" s="3"/>
      <c r="S779" s="4"/>
      <c r="T779" s="56"/>
      <c r="U779" s="153"/>
      <c r="V779" s="153"/>
      <c r="W779" s="153"/>
      <c r="X779" s="153"/>
      <c r="Y779" s="153"/>
      <c r="Z779" s="153"/>
    </row>
    <row r="780" spans="1:26">
      <c r="A780" s="90"/>
      <c r="B780" s="3"/>
      <c r="C780" s="3"/>
      <c r="D780" s="191"/>
      <c r="E780" s="46"/>
      <c r="F780" s="3"/>
      <c r="G780" s="3"/>
      <c r="H780" s="3"/>
      <c r="I780" s="85"/>
      <c r="J780" s="4"/>
      <c r="K780" s="4"/>
      <c r="L780" s="4"/>
      <c r="M780" s="4"/>
      <c r="N780" s="535"/>
      <c r="O780" s="4"/>
      <c r="P780" s="3"/>
      <c r="Q780" s="3"/>
      <c r="R780" s="3"/>
      <c r="S780" s="4"/>
      <c r="T780" s="56"/>
      <c r="U780" s="153"/>
      <c r="V780" s="153"/>
      <c r="W780" s="153"/>
      <c r="X780" s="153"/>
      <c r="Y780" s="153"/>
      <c r="Z780" s="153"/>
    </row>
    <row r="781" spans="1:26">
      <c r="A781" s="90"/>
      <c r="B781" s="3"/>
      <c r="C781" s="3"/>
      <c r="D781" s="191"/>
      <c r="E781" s="46"/>
      <c r="F781" s="3"/>
      <c r="G781" s="3"/>
      <c r="H781" s="3"/>
      <c r="I781" s="85"/>
      <c r="J781" s="4"/>
      <c r="K781" s="4"/>
      <c r="L781" s="4"/>
      <c r="M781" s="4"/>
      <c r="N781" s="535"/>
      <c r="O781" s="4"/>
      <c r="P781" s="3"/>
      <c r="Q781" s="3"/>
      <c r="R781" s="3"/>
      <c r="S781" s="4"/>
      <c r="T781" s="56"/>
      <c r="U781" s="153"/>
      <c r="V781" s="153"/>
      <c r="W781" s="153"/>
      <c r="X781" s="153"/>
      <c r="Y781" s="153"/>
      <c r="Z781" s="153"/>
    </row>
    <row r="782" spans="1:26">
      <c r="A782" s="90"/>
      <c r="B782" s="3"/>
      <c r="C782" s="3"/>
      <c r="D782" s="191"/>
      <c r="E782" s="46"/>
      <c r="F782" s="3"/>
      <c r="G782" s="3"/>
      <c r="H782" s="3"/>
      <c r="I782" s="85"/>
      <c r="J782" s="4"/>
      <c r="K782" s="4"/>
      <c r="L782" s="4"/>
      <c r="M782" s="4"/>
      <c r="N782" s="535"/>
      <c r="O782" s="4"/>
      <c r="P782" s="3"/>
      <c r="Q782" s="3"/>
      <c r="R782" s="3"/>
      <c r="S782" s="4"/>
      <c r="T782" s="56"/>
      <c r="U782" s="153"/>
      <c r="V782" s="153"/>
      <c r="W782" s="153"/>
      <c r="X782" s="153"/>
      <c r="Y782" s="153"/>
      <c r="Z782" s="153"/>
    </row>
    <row r="783" spans="1:26">
      <c r="A783" s="90"/>
      <c r="B783" s="3"/>
      <c r="C783" s="3"/>
      <c r="D783" s="191"/>
      <c r="E783" s="46"/>
      <c r="F783" s="3"/>
      <c r="G783" s="3"/>
      <c r="H783" s="3"/>
      <c r="I783" s="85"/>
      <c r="J783" s="4"/>
      <c r="K783" s="4"/>
      <c r="L783" s="4"/>
      <c r="M783" s="4"/>
      <c r="N783" s="535"/>
      <c r="O783" s="4"/>
      <c r="P783" s="3"/>
      <c r="Q783" s="3"/>
      <c r="R783" s="3"/>
      <c r="S783" s="4"/>
      <c r="T783" s="56"/>
      <c r="U783" s="153"/>
      <c r="V783" s="153"/>
      <c r="W783" s="153"/>
      <c r="X783" s="153"/>
      <c r="Y783" s="153"/>
      <c r="Z783" s="153"/>
    </row>
    <row r="784" spans="1:26">
      <c r="A784" s="90"/>
      <c r="B784" s="3"/>
      <c r="C784" s="3"/>
      <c r="D784" s="191"/>
      <c r="E784" s="46"/>
      <c r="F784" s="3"/>
      <c r="G784" s="3"/>
      <c r="H784" s="3"/>
      <c r="I784" s="85"/>
      <c r="J784" s="4"/>
      <c r="K784" s="4"/>
      <c r="L784" s="4"/>
      <c r="M784" s="4"/>
      <c r="N784" s="535"/>
      <c r="O784" s="4"/>
      <c r="P784" s="3"/>
      <c r="Q784" s="3"/>
      <c r="R784" s="3"/>
      <c r="S784" s="4"/>
      <c r="T784" s="56"/>
      <c r="U784" s="153"/>
      <c r="V784" s="153"/>
      <c r="W784" s="153"/>
      <c r="X784" s="153"/>
      <c r="Y784" s="153"/>
      <c r="Z784" s="153"/>
    </row>
    <row r="785" spans="1:26">
      <c r="A785" s="90"/>
      <c r="B785" s="3"/>
      <c r="C785" s="3"/>
      <c r="D785" s="191"/>
      <c r="E785" s="46"/>
      <c r="F785" s="3"/>
      <c r="G785" s="3"/>
      <c r="H785" s="3"/>
      <c r="I785" s="85"/>
      <c r="J785" s="4"/>
      <c r="K785" s="4"/>
      <c r="L785" s="4"/>
      <c r="M785" s="4"/>
      <c r="N785" s="535"/>
      <c r="O785" s="4"/>
      <c r="P785" s="3"/>
      <c r="Q785" s="3"/>
      <c r="R785" s="3"/>
      <c r="S785" s="4"/>
      <c r="T785" s="56"/>
      <c r="U785" s="153"/>
      <c r="V785" s="153"/>
      <c r="W785" s="153"/>
      <c r="X785" s="153"/>
      <c r="Y785" s="153"/>
      <c r="Z785" s="153"/>
    </row>
    <row r="786" spans="1:26">
      <c r="A786" s="90"/>
      <c r="B786" s="3"/>
      <c r="C786" s="3"/>
      <c r="D786" s="191"/>
      <c r="E786" s="46"/>
      <c r="F786" s="3"/>
      <c r="G786" s="3"/>
      <c r="H786" s="3"/>
      <c r="I786" s="85"/>
      <c r="J786" s="4"/>
      <c r="K786" s="4"/>
      <c r="L786" s="4"/>
      <c r="M786" s="4"/>
      <c r="N786" s="535"/>
      <c r="O786" s="4"/>
      <c r="P786" s="3"/>
      <c r="Q786" s="3"/>
      <c r="R786" s="3"/>
      <c r="S786" s="4"/>
      <c r="T786" s="56"/>
      <c r="U786" s="153"/>
      <c r="V786" s="153"/>
      <c r="W786" s="153"/>
      <c r="X786" s="153"/>
      <c r="Y786" s="153"/>
      <c r="Z786" s="153"/>
    </row>
    <row r="787" spans="1:26">
      <c r="A787" s="90"/>
      <c r="B787" s="3"/>
      <c r="C787" s="3"/>
      <c r="D787" s="191"/>
      <c r="E787" s="46"/>
      <c r="F787" s="3"/>
      <c r="G787" s="3"/>
      <c r="H787" s="3"/>
      <c r="I787" s="85"/>
      <c r="J787" s="4"/>
      <c r="K787" s="4"/>
      <c r="L787" s="4"/>
      <c r="M787" s="4"/>
      <c r="N787" s="535"/>
      <c r="O787" s="4"/>
      <c r="P787" s="3"/>
      <c r="Q787" s="3"/>
      <c r="R787" s="3"/>
      <c r="S787" s="4"/>
      <c r="T787" s="56"/>
      <c r="U787" s="153"/>
      <c r="V787" s="153"/>
      <c r="W787" s="153"/>
      <c r="X787" s="153"/>
      <c r="Y787" s="153"/>
      <c r="Z787" s="153"/>
    </row>
    <row r="788" spans="1:26">
      <c r="A788" s="90"/>
      <c r="B788" s="3"/>
      <c r="C788" s="3"/>
      <c r="D788" s="191"/>
      <c r="E788" s="46"/>
      <c r="F788" s="3"/>
      <c r="G788" s="3"/>
      <c r="H788" s="3"/>
      <c r="I788" s="85"/>
      <c r="J788" s="4"/>
      <c r="K788" s="4"/>
      <c r="L788" s="4"/>
      <c r="M788" s="4"/>
      <c r="N788" s="535"/>
      <c r="O788" s="4"/>
      <c r="P788" s="3"/>
      <c r="Q788" s="3"/>
      <c r="R788" s="3"/>
      <c r="S788" s="4"/>
      <c r="T788" s="56"/>
      <c r="U788" s="153"/>
      <c r="V788" s="153"/>
      <c r="W788" s="153"/>
      <c r="X788" s="153"/>
      <c r="Y788" s="153"/>
      <c r="Z788" s="153"/>
    </row>
    <row r="789" spans="1:26">
      <c r="A789" s="90"/>
      <c r="B789" s="3"/>
      <c r="C789" s="3"/>
      <c r="D789" s="191"/>
      <c r="E789" s="46"/>
      <c r="F789" s="3"/>
      <c r="G789" s="3"/>
      <c r="H789" s="3"/>
      <c r="I789" s="85"/>
      <c r="J789" s="4"/>
      <c r="K789" s="4"/>
      <c r="L789" s="4"/>
      <c r="M789" s="4"/>
      <c r="N789" s="535"/>
      <c r="O789" s="4"/>
      <c r="P789" s="3"/>
      <c r="Q789" s="3"/>
      <c r="R789" s="3"/>
      <c r="S789" s="4"/>
      <c r="T789" s="56"/>
      <c r="U789" s="153"/>
      <c r="V789" s="153"/>
      <c r="W789" s="153"/>
      <c r="X789" s="153"/>
      <c r="Y789" s="153"/>
      <c r="Z789" s="153"/>
    </row>
    <row r="790" spans="1:26">
      <c r="A790" s="90"/>
      <c r="B790" s="3"/>
      <c r="C790" s="3"/>
      <c r="D790" s="191"/>
      <c r="E790" s="46"/>
      <c r="F790" s="3"/>
      <c r="G790" s="3"/>
      <c r="H790" s="3"/>
      <c r="I790" s="85"/>
      <c r="J790" s="4"/>
      <c r="K790" s="4"/>
      <c r="L790" s="4"/>
      <c r="M790" s="4"/>
      <c r="N790" s="535"/>
      <c r="O790" s="4"/>
      <c r="P790" s="3"/>
      <c r="Q790" s="3"/>
      <c r="R790" s="3"/>
      <c r="S790" s="4"/>
      <c r="T790" s="56"/>
      <c r="U790" s="153"/>
      <c r="V790" s="153"/>
      <c r="W790" s="153"/>
      <c r="X790" s="153"/>
      <c r="Y790" s="153"/>
      <c r="Z790" s="153"/>
    </row>
    <row r="791" spans="1:26">
      <c r="A791" s="90"/>
      <c r="B791" s="3"/>
      <c r="C791" s="3"/>
      <c r="D791" s="191"/>
      <c r="E791" s="46"/>
      <c r="F791" s="3"/>
      <c r="G791" s="3"/>
      <c r="H791" s="3"/>
      <c r="I791" s="85"/>
      <c r="J791" s="4"/>
      <c r="K791" s="4"/>
      <c r="L791" s="4"/>
      <c r="M791" s="4"/>
      <c r="N791" s="535"/>
      <c r="O791" s="4"/>
      <c r="P791" s="3"/>
      <c r="Q791" s="3"/>
      <c r="R791" s="3"/>
      <c r="S791" s="4"/>
      <c r="T791" s="56"/>
      <c r="U791" s="153"/>
      <c r="V791" s="153"/>
      <c r="W791" s="153"/>
      <c r="X791" s="153"/>
      <c r="Y791" s="153"/>
      <c r="Z791" s="153"/>
    </row>
    <row r="792" spans="1:26">
      <c r="A792" s="90"/>
      <c r="B792" s="3"/>
      <c r="C792" s="3"/>
      <c r="D792" s="191"/>
      <c r="E792" s="46"/>
      <c r="F792" s="3"/>
      <c r="G792" s="3"/>
      <c r="H792" s="3"/>
      <c r="I792" s="85"/>
      <c r="J792" s="4"/>
      <c r="K792" s="4"/>
      <c r="L792" s="4"/>
      <c r="M792" s="4"/>
      <c r="N792" s="535"/>
      <c r="O792" s="4"/>
      <c r="P792" s="3"/>
      <c r="Q792" s="3"/>
      <c r="R792" s="3"/>
      <c r="S792" s="4"/>
      <c r="T792" s="56"/>
      <c r="U792" s="153"/>
      <c r="V792" s="153"/>
      <c r="W792" s="153"/>
      <c r="X792" s="153"/>
      <c r="Y792" s="153"/>
      <c r="Z792" s="153"/>
    </row>
    <row r="793" spans="1:26">
      <c r="A793" s="90"/>
      <c r="B793" s="3"/>
      <c r="C793" s="3"/>
      <c r="D793" s="191"/>
      <c r="E793" s="46"/>
      <c r="F793" s="3"/>
      <c r="G793" s="3"/>
      <c r="H793" s="3"/>
      <c r="I793" s="85"/>
      <c r="J793" s="4"/>
      <c r="K793" s="4"/>
      <c r="L793" s="4"/>
      <c r="M793" s="4"/>
      <c r="N793" s="535"/>
      <c r="O793" s="4"/>
      <c r="P793" s="3"/>
      <c r="Q793" s="3"/>
      <c r="R793" s="3"/>
      <c r="S793" s="4"/>
      <c r="T793" s="56"/>
      <c r="U793" s="153"/>
      <c r="V793" s="153"/>
      <c r="W793" s="153"/>
      <c r="X793" s="153"/>
      <c r="Y793" s="153"/>
      <c r="Z793" s="153"/>
    </row>
    <row r="794" spans="1:26">
      <c r="A794" s="90"/>
      <c r="B794" s="3"/>
      <c r="C794" s="3"/>
      <c r="D794" s="191"/>
      <c r="E794" s="46"/>
      <c r="F794" s="3"/>
      <c r="G794" s="3"/>
      <c r="H794" s="3"/>
      <c r="I794" s="85"/>
      <c r="J794" s="4"/>
      <c r="K794" s="4"/>
      <c r="L794" s="4"/>
      <c r="M794" s="4"/>
      <c r="N794" s="535"/>
      <c r="O794" s="4"/>
      <c r="P794" s="3"/>
      <c r="Q794" s="3"/>
      <c r="R794" s="3"/>
      <c r="S794" s="4"/>
      <c r="T794" s="56"/>
      <c r="U794" s="153"/>
      <c r="V794" s="153"/>
      <c r="W794" s="153"/>
      <c r="X794" s="153"/>
      <c r="Y794" s="153"/>
      <c r="Z794" s="153"/>
    </row>
    <row r="795" spans="1:26">
      <c r="A795" s="90"/>
      <c r="B795" s="3"/>
      <c r="C795" s="3"/>
      <c r="D795" s="191"/>
      <c r="E795" s="46"/>
      <c r="F795" s="3"/>
      <c r="G795" s="3"/>
      <c r="H795" s="3"/>
      <c r="I795" s="85"/>
      <c r="J795" s="4"/>
      <c r="K795" s="4"/>
      <c r="L795" s="4"/>
      <c r="M795" s="4"/>
      <c r="N795" s="535"/>
      <c r="O795" s="4"/>
      <c r="P795" s="3"/>
      <c r="Q795" s="3"/>
      <c r="R795" s="3"/>
      <c r="S795" s="4"/>
      <c r="T795" s="56"/>
      <c r="U795" s="153"/>
      <c r="V795" s="153"/>
      <c r="W795" s="153"/>
      <c r="X795" s="153"/>
      <c r="Y795" s="153"/>
      <c r="Z795" s="153"/>
    </row>
    <row r="796" spans="1:26">
      <c r="A796" s="90"/>
      <c r="B796" s="3"/>
      <c r="C796" s="3"/>
      <c r="D796" s="191"/>
      <c r="E796" s="46"/>
      <c r="F796" s="3"/>
      <c r="G796" s="3"/>
      <c r="H796" s="3"/>
      <c r="I796" s="85"/>
      <c r="J796" s="4"/>
      <c r="K796" s="4"/>
      <c r="L796" s="4"/>
      <c r="M796" s="4"/>
      <c r="N796" s="535"/>
      <c r="O796" s="4"/>
      <c r="P796" s="3"/>
      <c r="Q796" s="3"/>
      <c r="R796" s="3"/>
      <c r="S796" s="4"/>
      <c r="T796" s="56"/>
      <c r="U796" s="153"/>
      <c r="V796" s="153"/>
      <c r="W796" s="153"/>
      <c r="X796" s="153"/>
      <c r="Y796" s="153"/>
      <c r="Z796" s="153"/>
    </row>
    <row r="797" spans="1:26">
      <c r="A797" s="90"/>
      <c r="B797" s="3"/>
      <c r="C797" s="3"/>
      <c r="D797" s="191"/>
      <c r="E797" s="46"/>
      <c r="F797" s="3"/>
      <c r="G797" s="3"/>
      <c r="H797" s="3"/>
      <c r="I797" s="85"/>
      <c r="J797" s="4"/>
      <c r="K797" s="4"/>
      <c r="L797" s="4"/>
      <c r="M797" s="4"/>
      <c r="N797" s="535"/>
      <c r="O797" s="4"/>
      <c r="P797" s="3"/>
      <c r="Q797" s="3"/>
      <c r="R797" s="3"/>
      <c r="S797" s="4"/>
      <c r="T797" s="56"/>
      <c r="U797" s="153"/>
      <c r="V797" s="153"/>
      <c r="W797" s="153"/>
      <c r="X797" s="153"/>
      <c r="Y797" s="153"/>
      <c r="Z797" s="153"/>
    </row>
    <row r="798" spans="1:26">
      <c r="A798" s="90"/>
      <c r="B798" s="3"/>
      <c r="C798" s="3"/>
      <c r="D798" s="191"/>
      <c r="E798" s="46"/>
      <c r="F798" s="3"/>
      <c r="G798" s="3"/>
      <c r="H798" s="3"/>
      <c r="I798" s="85"/>
      <c r="J798" s="4"/>
      <c r="K798" s="4"/>
      <c r="L798" s="4"/>
      <c r="M798" s="4"/>
      <c r="N798" s="535"/>
      <c r="O798" s="4"/>
      <c r="P798" s="3"/>
      <c r="Q798" s="3"/>
      <c r="R798" s="3"/>
      <c r="S798" s="4"/>
      <c r="T798" s="56"/>
      <c r="U798" s="153"/>
      <c r="V798" s="153"/>
      <c r="W798" s="153"/>
      <c r="X798" s="153"/>
      <c r="Y798" s="153"/>
      <c r="Z798" s="153"/>
    </row>
    <row r="799" spans="1:26">
      <c r="A799" s="200"/>
      <c r="B799" s="200"/>
      <c r="C799" s="200"/>
      <c r="D799" s="200"/>
      <c r="E799" s="200"/>
      <c r="F799" s="200"/>
      <c r="G799" s="200"/>
      <c r="H799" s="200"/>
      <c r="I799" s="201"/>
      <c r="J799" s="201"/>
      <c r="K799" s="201"/>
      <c r="L799" s="192"/>
      <c r="M799" s="202"/>
      <c r="N799" s="200"/>
      <c r="O799" s="192"/>
      <c r="P799" s="192"/>
      <c r="Q799" s="192"/>
      <c r="R799" s="192"/>
      <c r="S799" s="202"/>
      <c r="T799" s="203"/>
      <c r="U799" s="153"/>
      <c r="V799" s="153"/>
      <c r="W799" s="153"/>
      <c r="X799" s="153"/>
      <c r="Y799" s="153"/>
      <c r="Z799" s="153"/>
    </row>
    <row r="800" spans="1:26">
      <c r="N800" s="153"/>
      <c r="P800" s="83"/>
      <c r="Q800" s="83"/>
      <c r="R800" s="192"/>
      <c r="S800" s="202"/>
      <c r="T800" s="203"/>
      <c r="U800" s="153"/>
      <c r="V800" s="153"/>
      <c r="W800" s="153"/>
      <c r="X800" s="153"/>
      <c r="Y800" s="153"/>
      <c r="Z800" s="153"/>
    </row>
    <row r="801" spans="1:26">
      <c r="N801" s="153"/>
      <c r="P801" s="83"/>
      <c r="Q801" s="83"/>
      <c r="R801" s="192"/>
      <c r="S801" s="204"/>
      <c r="T801" s="203"/>
      <c r="U801" s="153"/>
      <c r="V801" s="153"/>
      <c r="W801" s="153"/>
      <c r="X801" s="153"/>
      <c r="Y801" s="153"/>
      <c r="Z801" s="153"/>
    </row>
    <row r="802" spans="1:26">
      <c r="N802" s="153"/>
      <c r="P802" s="83"/>
      <c r="Q802" s="83"/>
      <c r="R802" s="192"/>
      <c r="S802" s="204"/>
      <c r="T802" s="203"/>
      <c r="U802" s="153"/>
      <c r="V802" s="153"/>
      <c r="W802" s="153"/>
      <c r="X802" s="153"/>
      <c r="Y802" s="153"/>
      <c r="Z802" s="153"/>
    </row>
    <row r="803" spans="1:26">
      <c r="N803" s="153"/>
      <c r="P803" s="83"/>
      <c r="Q803" s="83"/>
      <c r="R803" s="192"/>
      <c r="S803" s="204"/>
      <c r="T803" s="203"/>
      <c r="U803" s="153"/>
      <c r="V803" s="153"/>
      <c r="W803" s="153"/>
      <c r="X803" s="153"/>
      <c r="Y803" s="153"/>
      <c r="Z803" s="153"/>
    </row>
    <row r="804" spans="1:26">
      <c r="N804" s="153"/>
      <c r="P804" s="83"/>
      <c r="Q804" s="83"/>
      <c r="R804" s="192"/>
      <c r="S804" s="204"/>
      <c r="T804" s="203"/>
      <c r="U804" s="153"/>
      <c r="V804" s="153"/>
      <c r="W804" s="153"/>
      <c r="X804" s="153"/>
      <c r="Y804" s="153"/>
      <c r="Z804" s="153"/>
    </row>
    <row r="805" spans="1:26">
      <c r="A805" s="676"/>
      <c r="B805" s="200"/>
      <c r="C805" s="200"/>
      <c r="D805" s="200"/>
      <c r="E805" s="200"/>
      <c r="F805" s="200"/>
      <c r="G805" s="200"/>
      <c r="H805" s="200"/>
      <c r="I805" s="201"/>
      <c r="J805" s="201"/>
      <c r="K805" s="201"/>
      <c r="L805" s="192"/>
      <c r="M805" s="202"/>
      <c r="N805" s="200"/>
      <c r="O805" s="192"/>
      <c r="P805" s="192"/>
      <c r="Q805" s="192"/>
      <c r="R805" s="192"/>
      <c r="S805" s="202"/>
      <c r="T805" s="203"/>
      <c r="U805" s="153"/>
      <c r="V805" s="153"/>
      <c r="W805" s="153"/>
      <c r="X805" s="153"/>
      <c r="Y805" s="153"/>
      <c r="Z805" s="153"/>
    </row>
    <row r="806" spans="1:26">
      <c r="A806" s="769"/>
      <c r="B806" s="200"/>
      <c r="C806" s="200"/>
      <c r="D806" s="200"/>
      <c r="E806" s="200"/>
      <c r="F806" s="200"/>
      <c r="G806" s="200"/>
      <c r="H806" s="200"/>
      <c r="I806" s="201"/>
      <c r="J806" s="201"/>
      <c r="K806" s="201"/>
      <c r="L806" s="192"/>
      <c r="M806" s="202"/>
      <c r="N806" s="200"/>
      <c r="O806" s="192"/>
      <c r="P806" s="192"/>
      <c r="Q806" s="192"/>
      <c r="R806" s="192"/>
      <c r="S806" s="202"/>
      <c r="T806" s="203"/>
      <c r="U806" s="153"/>
      <c r="V806" s="153"/>
      <c r="W806" s="153"/>
      <c r="X806" s="153"/>
      <c r="Y806" s="153"/>
      <c r="Z806" s="153"/>
    </row>
    <row r="807" spans="1:26">
      <c r="A807" s="769"/>
      <c r="B807" s="200"/>
      <c r="C807" s="200"/>
      <c r="D807" s="200"/>
      <c r="E807" s="200"/>
      <c r="F807" s="200"/>
      <c r="G807" s="200"/>
      <c r="H807" s="200"/>
      <c r="I807" s="201"/>
      <c r="J807" s="201"/>
      <c r="K807" s="201"/>
      <c r="L807" s="192"/>
      <c r="M807" s="202"/>
      <c r="N807" s="200"/>
      <c r="O807" s="192"/>
      <c r="P807" s="192"/>
      <c r="Q807" s="192"/>
      <c r="R807" s="192"/>
      <c r="S807" s="202"/>
      <c r="T807" s="203"/>
      <c r="U807" s="153"/>
      <c r="V807" s="153"/>
      <c r="W807" s="153"/>
      <c r="X807" s="153"/>
      <c r="Y807" s="153"/>
      <c r="Z807" s="153"/>
    </row>
    <row r="808" spans="1:26">
      <c r="A808" s="769"/>
      <c r="B808" s="200"/>
      <c r="C808" s="200"/>
      <c r="D808" s="200"/>
      <c r="E808" s="200"/>
      <c r="F808" s="200"/>
      <c r="G808" s="200"/>
      <c r="H808" s="200"/>
      <c r="I808" s="201"/>
      <c r="J808" s="201"/>
      <c r="K808" s="201"/>
      <c r="L808" s="192"/>
      <c r="M808" s="202"/>
      <c r="N808" s="200"/>
      <c r="O808" s="192"/>
      <c r="P808" s="192"/>
      <c r="Q808" s="192"/>
      <c r="R808" s="192"/>
      <c r="S808" s="202"/>
      <c r="T808" s="203"/>
      <c r="U808" s="153"/>
      <c r="V808" s="153"/>
      <c r="W808" s="153"/>
      <c r="X808" s="153"/>
      <c r="Y808" s="153"/>
      <c r="Z808" s="153"/>
    </row>
    <row r="809" spans="1:26">
      <c r="A809" s="200"/>
      <c r="B809" s="200"/>
      <c r="C809" s="200"/>
      <c r="D809" s="200"/>
      <c r="E809" s="200"/>
      <c r="F809" s="200"/>
      <c r="G809" s="200"/>
      <c r="H809" s="200"/>
      <c r="I809" s="201"/>
      <c r="J809" s="201"/>
      <c r="K809" s="201"/>
      <c r="L809" s="192"/>
      <c r="M809" s="204"/>
      <c r="N809" s="200"/>
      <c r="O809" s="192"/>
      <c r="P809" s="192"/>
      <c r="Q809" s="192"/>
      <c r="R809" s="192"/>
      <c r="S809" s="204"/>
      <c r="T809" s="203"/>
      <c r="U809" s="153"/>
      <c r="V809" s="153"/>
      <c r="W809" s="153"/>
      <c r="X809" s="153"/>
      <c r="Y809" s="153"/>
      <c r="Z809" s="153"/>
    </row>
    <row r="810" spans="1:26">
      <c r="A810" s="200"/>
      <c r="B810" s="200"/>
      <c r="C810" s="200"/>
      <c r="D810" s="200"/>
      <c r="E810" s="200"/>
      <c r="F810" s="200"/>
      <c r="G810" s="200"/>
      <c r="H810" s="200"/>
      <c r="I810" s="201"/>
      <c r="J810" s="201"/>
      <c r="K810" s="201"/>
      <c r="L810" s="192"/>
      <c r="M810" s="202"/>
      <c r="N810" s="200"/>
      <c r="O810" s="192"/>
      <c r="P810" s="192"/>
      <c r="Q810" s="192"/>
      <c r="R810" s="192"/>
      <c r="S810" s="202"/>
      <c r="T810" s="203"/>
      <c r="U810" s="153"/>
      <c r="V810" s="153"/>
      <c r="W810" s="153"/>
      <c r="X810" s="153"/>
      <c r="Y810" s="153"/>
      <c r="Z810" s="153"/>
    </row>
    <row r="811" spans="1:26">
      <c r="A811" s="676"/>
      <c r="B811" s="200"/>
      <c r="C811" s="200"/>
      <c r="D811" s="200"/>
      <c r="E811" s="200"/>
      <c r="F811" s="200"/>
      <c r="G811" s="200"/>
      <c r="H811" s="200"/>
      <c r="I811" s="201"/>
      <c r="J811" s="201"/>
      <c r="K811" s="201"/>
      <c r="L811" s="192"/>
      <c r="M811" s="204"/>
      <c r="N811" s="200"/>
      <c r="O811" s="192"/>
      <c r="P811" s="192"/>
      <c r="Q811" s="192"/>
      <c r="R811" s="192"/>
      <c r="S811" s="204"/>
      <c r="T811" s="203"/>
      <c r="U811" s="153"/>
      <c r="V811" s="153"/>
      <c r="W811" s="153"/>
      <c r="X811" s="153"/>
      <c r="Y811" s="153"/>
      <c r="Z811" s="153"/>
    </row>
    <row r="812" spans="1:26">
      <c r="A812" s="769"/>
      <c r="B812" s="200"/>
      <c r="C812" s="200"/>
      <c r="D812" s="200"/>
      <c r="E812" s="200"/>
      <c r="F812" s="200"/>
      <c r="G812" s="200"/>
      <c r="H812" s="200"/>
      <c r="I812" s="201"/>
      <c r="J812" s="201"/>
      <c r="K812" s="201"/>
      <c r="L812" s="192"/>
      <c r="M812" s="204"/>
      <c r="N812" s="200"/>
      <c r="O812" s="192"/>
      <c r="P812" s="192"/>
      <c r="Q812" s="192"/>
      <c r="R812" s="192"/>
      <c r="S812" s="204"/>
      <c r="T812" s="203"/>
      <c r="U812" s="153"/>
      <c r="V812" s="153"/>
      <c r="W812" s="153"/>
      <c r="X812" s="153"/>
      <c r="Y812" s="153"/>
      <c r="Z812" s="153"/>
    </row>
    <row r="813" spans="1:26">
      <c r="A813" s="769"/>
      <c r="B813" s="200"/>
      <c r="C813" s="200"/>
      <c r="D813" s="200"/>
      <c r="E813" s="200"/>
      <c r="F813" s="200"/>
      <c r="G813" s="200"/>
      <c r="H813" s="200"/>
      <c r="I813" s="201"/>
      <c r="J813" s="201"/>
      <c r="K813" s="201"/>
      <c r="L813" s="192"/>
      <c r="M813" s="204"/>
      <c r="N813" s="200"/>
      <c r="O813" s="192"/>
      <c r="P813" s="192"/>
      <c r="Q813" s="192"/>
      <c r="R813" s="192"/>
      <c r="S813" s="204"/>
      <c r="T813" s="203"/>
      <c r="U813" s="153"/>
      <c r="V813" s="153"/>
      <c r="W813" s="153"/>
      <c r="X813" s="153"/>
      <c r="Y813" s="153"/>
      <c r="Z813" s="153"/>
    </row>
    <row r="814" spans="1:26">
      <c r="A814" s="769"/>
      <c r="B814" s="200"/>
      <c r="C814" s="200"/>
      <c r="D814" s="200"/>
      <c r="E814" s="200"/>
      <c r="F814" s="200"/>
      <c r="G814" s="200"/>
      <c r="H814" s="200"/>
      <c r="I814" s="201"/>
      <c r="J814" s="201"/>
      <c r="K814" s="201"/>
      <c r="L814" s="192"/>
      <c r="M814" s="204"/>
      <c r="N814" s="200"/>
      <c r="O814" s="192"/>
      <c r="P814" s="192"/>
      <c r="Q814" s="192"/>
      <c r="R814" s="192"/>
      <c r="S814" s="204"/>
      <c r="T814" s="203"/>
      <c r="U814" s="153"/>
      <c r="V814" s="153"/>
      <c r="W814" s="153"/>
      <c r="X814" s="153"/>
      <c r="Y814" s="153"/>
      <c r="Z814" s="153"/>
    </row>
    <row r="815" spans="1:26">
      <c r="A815" s="769"/>
      <c r="B815" s="200"/>
      <c r="C815" s="200"/>
      <c r="D815" s="200"/>
      <c r="E815" s="200"/>
      <c r="F815" s="200"/>
      <c r="G815" s="200"/>
      <c r="H815" s="200"/>
      <c r="I815" s="201"/>
      <c r="J815" s="201"/>
      <c r="K815" s="201"/>
      <c r="L815" s="192"/>
      <c r="M815" s="204"/>
      <c r="N815" s="200"/>
      <c r="O815" s="192"/>
      <c r="P815" s="192"/>
      <c r="Q815" s="192"/>
      <c r="R815" s="192"/>
      <c r="S815" s="204"/>
      <c r="T815" s="203"/>
      <c r="U815" s="153"/>
      <c r="V815" s="153"/>
      <c r="W815" s="153"/>
      <c r="X815" s="153"/>
      <c r="Y815" s="153"/>
      <c r="Z815" s="153"/>
    </row>
    <row r="816" spans="1:26">
      <c r="A816" s="769"/>
      <c r="B816" s="200"/>
      <c r="C816" s="200"/>
      <c r="D816" s="200"/>
      <c r="E816" s="200"/>
      <c r="F816" s="200"/>
      <c r="G816" s="200"/>
      <c r="H816" s="200"/>
      <c r="I816" s="201"/>
      <c r="J816" s="201"/>
      <c r="K816" s="201"/>
      <c r="L816" s="192"/>
      <c r="M816" s="204"/>
      <c r="N816" s="200"/>
      <c r="O816" s="192"/>
      <c r="P816" s="192"/>
      <c r="Q816" s="192"/>
      <c r="R816" s="192"/>
      <c r="S816" s="204"/>
      <c r="T816" s="203"/>
      <c r="U816" s="153"/>
      <c r="V816" s="153"/>
      <c r="W816" s="153"/>
      <c r="X816" s="153"/>
      <c r="Y816" s="153"/>
      <c r="Z816" s="153"/>
    </row>
    <row r="817" spans="1:26">
      <c r="A817" s="769"/>
      <c r="B817" s="200"/>
      <c r="C817" s="200"/>
      <c r="D817" s="200"/>
      <c r="E817" s="200"/>
      <c r="F817" s="200"/>
      <c r="G817" s="200"/>
      <c r="H817" s="200"/>
      <c r="I817" s="201"/>
      <c r="J817" s="201"/>
      <c r="K817" s="201"/>
      <c r="L817" s="192"/>
      <c r="M817" s="204"/>
      <c r="N817" s="200"/>
      <c r="O817" s="192"/>
      <c r="P817" s="192"/>
      <c r="Q817" s="192"/>
      <c r="R817" s="192"/>
      <c r="S817" s="204"/>
      <c r="T817" s="203"/>
      <c r="U817" s="153"/>
      <c r="V817" s="153"/>
      <c r="W817" s="153"/>
      <c r="X817" s="153"/>
      <c r="Y817" s="153"/>
      <c r="Z817" s="153"/>
    </row>
    <row r="818" spans="1:26">
      <c r="A818" s="769"/>
      <c r="B818" s="200"/>
      <c r="C818" s="200"/>
      <c r="D818" s="200"/>
      <c r="E818" s="200"/>
      <c r="F818" s="200"/>
      <c r="G818" s="200"/>
      <c r="H818" s="200"/>
      <c r="I818" s="201"/>
      <c r="J818" s="201"/>
      <c r="K818" s="201"/>
      <c r="L818" s="192"/>
      <c r="M818" s="204"/>
      <c r="N818" s="200"/>
      <c r="O818" s="192"/>
      <c r="P818" s="192"/>
      <c r="Q818" s="192"/>
      <c r="R818" s="192"/>
      <c r="S818" s="204"/>
      <c r="T818" s="203"/>
      <c r="U818" s="153"/>
      <c r="V818" s="153"/>
      <c r="W818" s="153"/>
      <c r="X818" s="153"/>
      <c r="Y818" s="153"/>
      <c r="Z818" s="153"/>
    </row>
    <row r="819" spans="1:26">
      <c r="A819" s="769"/>
      <c r="B819" s="200"/>
      <c r="C819" s="200"/>
      <c r="D819" s="200"/>
      <c r="E819" s="200"/>
      <c r="F819" s="200"/>
      <c r="G819" s="200"/>
      <c r="H819" s="200"/>
      <c r="I819" s="201"/>
      <c r="J819" s="201"/>
      <c r="K819" s="201"/>
      <c r="L819" s="192"/>
      <c r="M819" s="204"/>
      <c r="N819" s="200"/>
      <c r="O819" s="192"/>
      <c r="P819" s="192"/>
      <c r="Q819" s="192"/>
      <c r="R819" s="192"/>
      <c r="S819" s="204"/>
      <c r="T819" s="203"/>
      <c r="U819" s="153"/>
      <c r="V819" s="153"/>
      <c r="W819" s="153"/>
      <c r="X819" s="153"/>
      <c r="Y819" s="153"/>
      <c r="Z819" s="153"/>
    </row>
    <row r="820" spans="1:26">
      <c r="A820" s="769"/>
      <c r="B820" s="200"/>
      <c r="C820" s="200"/>
      <c r="D820" s="200"/>
      <c r="E820" s="200"/>
      <c r="F820" s="200"/>
      <c r="G820" s="200"/>
      <c r="H820" s="200"/>
      <c r="I820" s="201"/>
      <c r="J820" s="201"/>
      <c r="K820" s="201"/>
      <c r="L820" s="192"/>
      <c r="M820" s="204"/>
      <c r="N820" s="200"/>
      <c r="O820" s="192"/>
      <c r="P820" s="192"/>
      <c r="Q820" s="192"/>
      <c r="R820" s="192"/>
      <c r="S820" s="204"/>
      <c r="T820" s="203"/>
      <c r="U820" s="153"/>
      <c r="V820" s="153"/>
      <c r="W820" s="153"/>
      <c r="X820" s="153"/>
      <c r="Y820" s="153"/>
      <c r="Z820" s="153"/>
    </row>
    <row r="821" spans="1:26">
      <c r="A821" s="769"/>
      <c r="B821" s="200"/>
      <c r="C821" s="200"/>
      <c r="D821" s="200"/>
      <c r="E821" s="200"/>
      <c r="F821" s="200"/>
      <c r="G821" s="200"/>
      <c r="H821" s="200"/>
      <c r="I821" s="201"/>
      <c r="J821" s="201"/>
      <c r="K821" s="201"/>
      <c r="L821" s="192"/>
      <c r="M821" s="204"/>
      <c r="N821" s="200"/>
      <c r="O821" s="192"/>
      <c r="P821" s="192"/>
      <c r="Q821" s="192"/>
      <c r="R821" s="192"/>
      <c r="S821" s="204"/>
      <c r="T821" s="203"/>
      <c r="U821" s="153"/>
      <c r="V821" s="153"/>
      <c r="W821" s="153"/>
      <c r="X821" s="153"/>
      <c r="Y821" s="153"/>
      <c r="Z821" s="153"/>
    </row>
    <row r="822" spans="1:26">
      <c r="A822" s="769"/>
      <c r="B822" s="200"/>
      <c r="C822" s="200"/>
      <c r="D822" s="200"/>
      <c r="E822" s="200"/>
      <c r="F822" s="200"/>
      <c r="G822" s="200"/>
      <c r="H822" s="200"/>
      <c r="I822" s="201"/>
      <c r="J822" s="201"/>
      <c r="K822" s="201"/>
      <c r="L822" s="192"/>
      <c r="M822" s="204"/>
      <c r="N822" s="200"/>
      <c r="O822" s="192"/>
      <c r="P822" s="192"/>
      <c r="Q822" s="192"/>
      <c r="R822" s="192"/>
      <c r="S822" s="204"/>
      <c r="T822" s="203"/>
      <c r="U822" s="153"/>
      <c r="V822" s="153"/>
      <c r="W822" s="153"/>
      <c r="X822" s="153"/>
      <c r="Y822" s="153"/>
      <c r="Z822" s="153"/>
    </row>
    <row r="823" spans="1:26">
      <c r="A823" s="769"/>
      <c r="B823" s="200"/>
      <c r="C823" s="200"/>
      <c r="D823" s="200"/>
      <c r="E823" s="200"/>
      <c r="F823" s="200"/>
      <c r="G823" s="200"/>
      <c r="H823" s="200"/>
      <c r="I823" s="201"/>
      <c r="J823" s="201"/>
      <c r="K823" s="201"/>
      <c r="L823" s="192"/>
      <c r="M823" s="204"/>
      <c r="N823" s="200"/>
      <c r="O823" s="192"/>
      <c r="P823" s="192"/>
      <c r="Q823" s="192"/>
      <c r="R823" s="192"/>
      <c r="S823" s="204"/>
      <c r="T823" s="203"/>
      <c r="U823" s="153"/>
      <c r="V823" s="153"/>
      <c r="W823" s="153"/>
      <c r="X823" s="153"/>
      <c r="Y823" s="153"/>
      <c r="Z823" s="153"/>
    </row>
    <row r="824" spans="1:26">
      <c r="A824" s="769"/>
      <c r="B824" s="200"/>
      <c r="C824" s="200"/>
      <c r="D824" s="200"/>
      <c r="E824" s="200"/>
      <c r="F824" s="200"/>
      <c r="G824" s="200"/>
      <c r="H824" s="200"/>
      <c r="I824" s="201"/>
      <c r="J824" s="201"/>
      <c r="K824" s="201"/>
      <c r="L824" s="192"/>
      <c r="M824" s="204"/>
      <c r="N824" s="200"/>
      <c r="O824" s="192"/>
      <c r="P824" s="192"/>
      <c r="Q824" s="192"/>
      <c r="R824" s="192"/>
      <c r="S824" s="204"/>
      <c r="T824" s="203"/>
      <c r="U824" s="153"/>
      <c r="V824" s="153"/>
      <c r="W824" s="153"/>
      <c r="X824" s="153"/>
      <c r="Y824" s="153"/>
      <c r="Z824" s="153"/>
    </row>
    <row r="825" spans="1:26">
      <c r="A825" s="769"/>
      <c r="B825" s="200"/>
      <c r="C825" s="200"/>
      <c r="D825" s="200"/>
      <c r="E825" s="200"/>
      <c r="F825" s="200"/>
      <c r="G825" s="200"/>
      <c r="H825" s="200"/>
      <c r="I825" s="201"/>
      <c r="J825" s="201"/>
      <c r="K825" s="201"/>
      <c r="L825" s="192"/>
      <c r="M825" s="204"/>
      <c r="N825" s="200"/>
      <c r="O825" s="192"/>
      <c r="P825" s="192"/>
      <c r="Q825" s="192"/>
      <c r="R825" s="192"/>
      <c r="S825" s="204"/>
      <c r="T825" s="203"/>
      <c r="U825" s="153"/>
      <c r="V825" s="153"/>
      <c r="W825" s="153"/>
      <c r="X825" s="153"/>
      <c r="Y825" s="153"/>
      <c r="Z825" s="153"/>
    </row>
    <row r="826" spans="1:26">
      <c r="A826" s="769"/>
      <c r="B826" s="200"/>
      <c r="C826" s="200"/>
      <c r="D826" s="200"/>
      <c r="E826" s="200"/>
      <c r="F826" s="200"/>
      <c r="G826" s="200"/>
      <c r="H826" s="200"/>
      <c r="I826" s="201"/>
      <c r="J826" s="201"/>
      <c r="K826" s="201"/>
      <c r="L826" s="192"/>
      <c r="M826" s="204"/>
      <c r="N826" s="200"/>
      <c r="O826" s="192"/>
      <c r="P826" s="192"/>
      <c r="Q826" s="192"/>
      <c r="R826" s="192"/>
      <c r="S826" s="204"/>
      <c r="T826" s="203"/>
      <c r="U826" s="153"/>
      <c r="V826" s="153"/>
      <c r="W826" s="153"/>
      <c r="X826" s="153"/>
      <c r="Y826" s="153"/>
      <c r="Z826" s="153"/>
    </row>
    <row r="827" spans="1:26">
      <c r="A827" s="769"/>
      <c r="B827" s="200"/>
      <c r="C827" s="200"/>
      <c r="D827" s="200"/>
      <c r="E827" s="200"/>
      <c r="F827" s="200"/>
      <c r="G827" s="200"/>
      <c r="H827" s="200"/>
      <c r="I827" s="201"/>
      <c r="J827" s="201"/>
      <c r="K827" s="201"/>
      <c r="L827" s="192"/>
      <c r="M827" s="204"/>
      <c r="N827" s="200"/>
      <c r="O827" s="192"/>
      <c r="P827" s="192"/>
      <c r="Q827" s="192"/>
      <c r="R827" s="192"/>
      <c r="S827" s="204"/>
      <c r="T827" s="203"/>
      <c r="U827" s="153"/>
      <c r="V827" s="153"/>
      <c r="W827" s="153"/>
      <c r="X827" s="153"/>
      <c r="Y827" s="153"/>
      <c r="Z827" s="153"/>
    </row>
    <row r="828" spans="1:26">
      <c r="A828" s="769"/>
      <c r="B828" s="200"/>
      <c r="C828" s="200"/>
      <c r="D828" s="200"/>
      <c r="E828" s="200"/>
      <c r="F828" s="200"/>
      <c r="G828" s="200"/>
      <c r="H828" s="200"/>
      <c r="I828" s="201"/>
      <c r="J828" s="201"/>
      <c r="K828" s="201"/>
      <c r="L828" s="192"/>
      <c r="M828" s="204"/>
      <c r="N828" s="200"/>
      <c r="O828" s="192"/>
      <c r="P828" s="192"/>
      <c r="Q828" s="192"/>
      <c r="R828" s="192"/>
      <c r="S828" s="204"/>
      <c r="T828" s="203"/>
      <c r="U828" s="153"/>
      <c r="V828" s="153"/>
      <c r="W828" s="153"/>
      <c r="X828" s="153"/>
      <c r="Y828" s="153"/>
      <c r="Z828" s="153"/>
    </row>
    <row r="829" spans="1:26">
      <c r="A829" s="769"/>
      <c r="B829" s="200"/>
      <c r="C829" s="200"/>
      <c r="D829" s="200"/>
      <c r="E829" s="200"/>
      <c r="F829" s="200"/>
      <c r="G829" s="200"/>
      <c r="H829" s="200"/>
      <c r="I829" s="201"/>
      <c r="J829" s="201"/>
      <c r="K829" s="201"/>
      <c r="L829" s="192"/>
      <c r="M829" s="204"/>
      <c r="N829" s="200"/>
      <c r="O829" s="192"/>
      <c r="P829" s="192"/>
      <c r="Q829" s="192"/>
      <c r="R829" s="192"/>
      <c r="S829" s="204"/>
      <c r="T829" s="203"/>
      <c r="U829" s="153"/>
      <c r="V829" s="153"/>
      <c r="W829" s="153"/>
      <c r="X829" s="153"/>
      <c r="Y829" s="153"/>
      <c r="Z829" s="153"/>
    </row>
    <row r="830" spans="1:26">
      <c r="A830" s="769"/>
      <c r="B830" s="200"/>
      <c r="C830" s="200"/>
      <c r="D830" s="200"/>
      <c r="E830" s="200"/>
      <c r="F830" s="200"/>
      <c r="G830" s="200"/>
      <c r="H830" s="200"/>
      <c r="I830" s="201"/>
      <c r="J830" s="201"/>
      <c r="K830" s="201"/>
      <c r="L830" s="192"/>
      <c r="M830" s="204"/>
      <c r="N830" s="200"/>
      <c r="O830" s="192"/>
      <c r="P830" s="192"/>
      <c r="Q830" s="192"/>
      <c r="R830" s="192"/>
      <c r="S830" s="204"/>
      <c r="T830" s="203"/>
      <c r="U830" s="153"/>
      <c r="V830" s="153"/>
      <c r="W830" s="153"/>
      <c r="X830" s="153"/>
      <c r="Y830" s="153"/>
      <c r="Z830" s="153"/>
    </row>
    <row r="831" spans="1:26">
      <c r="A831" s="769"/>
      <c r="B831" s="200"/>
      <c r="C831" s="200"/>
      <c r="D831" s="200"/>
      <c r="E831" s="200"/>
      <c r="F831" s="200"/>
      <c r="G831" s="200"/>
      <c r="H831" s="200"/>
      <c r="I831" s="201"/>
      <c r="J831" s="201"/>
      <c r="K831" s="201"/>
      <c r="L831" s="192"/>
      <c r="M831" s="204"/>
      <c r="N831" s="200"/>
      <c r="O831" s="192"/>
      <c r="P831" s="192"/>
      <c r="Q831" s="192"/>
      <c r="R831" s="192"/>
      <c r="S831" s="204"/>
      <c r="T831" s="203"/>
      <c r="U831" s="153"/>
      <c r="V831" s="153"/>
      <c r="W831" s="153"/>
      <c r="X831" s="153"/>
      <c r="Y831" s="153"/>
      <c r="Z831" s="153"/>
    </row>
    <row r="832" spans="1:26">
      <c r="A832" s="676"/>
      <c r="B832" s="200"/>
      <c r="C832" s="200"/>
      <c r="D832" s="200"/>
      <c r="E832" s="200"/>
      <c r="F832" s="200"/>
      <c r="G832" s="200"/>
      <c r="H832" s="200"/>
      <c r="I832" s="201"/>
      <c r="J832" s="201"/>
      <c r="K832" s="201"/>
      <c r="L832" s="192"/>
      <c r="M832" s="202"/>
      <c r="N832" s="200"/>
      <c r="O832" s="192"/>
      <c r="P832" s="192"/>
      <c r="Q832" s="192"/>
      <c r="R832" s="192"/>
      <c r="S832" s="202"/>
      <c r="T832" s="203"/>
      <c r="U832" s="153"/>
      <c r="V832" s="153"/>
      <c r="W832" s="153"/>
      <c r="X832" s="153"/>
      <c r="Y832" s="153"/>
      <c r="Z832" s="153"/>
    </row>
    <row r="833" spans="1:26">
      <c r="A833" s="769"/>
      <c r="B833" s="200"/>
      <c r="C833" s="200"/>
      <c r="D833" s="200"/>
      <c r="E833" s="200"/>
      <c r="F833" s="200"/>
      <c r="G833" s="200"/>
      <c r="H833" s="200"/>
      <c r="I833" s="201"/>
      <c r="J833" s="201"/>
      <c r="K833" s="201"/>
      <c r="L833" s="192"/>
      <c r="M833" s="202"/>
      <c r="N833" s="200"/>
      <c r="O833" s="192"/>
      <c r="P833" s="192"/>
      <c r="Q833" s="192"/>
      <c r="R833" s="192"/>
      <c r="S833" s="202"/>
      <c r="T833" s="203"/>
      <c r="U833" s="153"/>
      <c r="V833" s="153"/>
      <c r="W833" s="153"/>
      <c r="X833" s="153"/>
      <c r="Y833" s="153"/>
      <c r="Z833" s="153"/>
    </row>
    <row r="834" spans="1:26">
      <c r="A834" s="769"/>
      <c r="B834" s="200"/>
      <c r="C834" s="200"/>
      <c r="D834" s="200"/>
      <c r="E834" s="200"/>
      <c r="F834" s="200"/>
      <c r="G834" s="200"/>
      <c r="H834" s="200"/>
      <c r="I834" s="201"/>
      <c r="J834" s="201"/>
      <c r="K834" s="201"/>
      <c r="L834" s="192"/>
      <c r="M834" s="202"/>
      <c r="N834" s="200"/>
      <c r="O834" s="192"/>
      <c r="P834" s="192"/>
      <c r="Q834" s="192"/>
      <c r="R834" s="192"/>
      <c r="S834" s="202"/>
      <c r="T834" s="203"/>
      <c r="U834" s="153"/>
      <c r="V834" s="153"/>
      <c r="W834" s="153"/>
      <c r="X834" s="153"/>
      <c r="Y834" s="153"/>
      <c r="Z834" s="153"/>
    </row>
    <row r="835" spans="1:26">
      <c r="A835" s="769"/>
      <c r="B835" s="200"/>
      <c r="C835" s="200"/>
      <c r="D835" s="200"/>
      <c r="E835" s="200"/>
      <c r="F835" s="200"/>
      <c r="G835" s="200"/>
      <c r="H835" s="200"/>
      <c r="I835" s="201"/>
      <c r="J835" s="201"/>
      <c r="K835" s="201"/>
      <c r="L835" s="192"/>
      <c r="M835" s="202"/>
      <c r="N835" s="200"/>
      <c r="O835" s="192"/>
      <c r="P835" s="192"/>
      <c r="Q835" s="192"/>
      <c r="R835" s="192"/>
      <c r="S835" s="202"/>
      <c r="T835" s="203"/>
      <c r="U835" s="153"/>
      <c r="V835" s="153"/>
      <c r="W835" s="153"/>
      <c r="X835" s="153"/>
      <c r="Y835" s="153"/>
      <c r="Z835" s="153"/>
    </row>
    <row r="836" spans="1:26">
      <c r="A836" s="769"/>
      <c r="B836" s="200"/>
      <c r="C836" s="200"/>
      <c r="D836" s="200"/>
      <c r="E836" s="200"/>
      <c r="F836" s="200"/>
      <c r="G836" s="200"/>
      <c r="H836" s="200"/>
      <c r="I836" s="201"/>
      <c r="J836" s="201"/>
      <c r="K836" s="201"/>
      <c r="L836" s="192"/>
      <c r="M836" s="202"/>
      <c r="N836" s="200"/>
      <c r="O836" s="192"/>
      <c r="P836" s="192"/>
      <c r="Q836" s="192"/>
      <c r="R836" s="192"/>
      <c r="S836" s="202"/>
      <c r="T836" s="203"/>
      <c r="U836" s="153"/>
      <c r="V836" s="153"/>
      <c r="W836" s="153"/>
      <c r="X836" s="153"/>
      <c r="Y836" s="153"/>
      <c r="Z836" s="153"/>
    </row>
    <row r="837" spans="1:26">
      <c r="A837" s="769"/>
      <c r="B837" s="200"/>
      <c r="C837" s="200"/>
      <c r="D837" s="200"/>
      <c r="E837" s="200"/>
      <c r="F837" s="200"/>
      <c r="G837" s="200"/>
      <c r="H837" s="200"/>
      <c r="I837" s="201"/>
      <c r="J837" s="201"/>
      <c r="K837" s="201"/>
      <c r="L837" s="192"/>
      <c r="M837" s="202"/>
      <c r="N837" s="200"/>
      <c r="O837" s="192"/>
      <c r="P837" s="192"/>
      <c r="Q837" s="192"/>
      <c r="R837" s="192"/>
      <c r="S837" s="202"/>
      <c r="T837" s="203"/>
      <c r="U837" s="153"/>
      <c r="V837" s="153"/>
      <c r="W837" s="153"/>
      <c r="X837" s="153"/>
      <c r="Y837" s="153"/>
      <c r="Z837" s="153"/>
    </row>
    <row r="838" spans="1:26">
      <c r="A838" s="769"/>
      <c r="B838" s="200"/>
      <c r="C838" s="200"/>
      <c r="D838" s="200"/>
      <c r="E838" s="200"/>
      <c r="F838" s="200"/>
      <c r="G838" s="200"/>
      <c r="H838" s="200"/>
      <c r="I838" s="201"/>
      <c r="J838" s="201"/>
      <c r="K838" s="201"/>
      <c r="L838" s="192"/>
      <c r="M838" s="202"/>
      <c r="N838" s="200"/>
      <c r="O838" s="192"/>
      <c r="P838" s="192"/>
      <c r="Q838" s="192"/>
      <c r="R838" s="192"/>
      <c r="S838" s="202"/>
      <c r="T838" s="203"/>
      <c r="U838" s="153"/>
      <c r="V838" s="153"/>
      <c r="W838" s="153"/>
      <c r="X838" s="153"/>
      <c r="Y838" s="153"/>
      <c r="Z838" s="153"/>
    </row>
    <row r="839" spans="1:26">
      <c r="A839" s="769"/>
      <c r="B839" s="200"/>
      <c r="C839" s="200"/>
      <c r="D839" s="200"/>
      <c r="E839" s="200"/>
      <c r="F839" s="200"/>
      <c r="G839" s="200"/>
      <c r="H839" s="200"/>
      <c r="I839" s="201"/>
      <c r="J839" s="201"/>
      <c r="K839" s="201"/>
      <c r="L839" s="192"/>
      <c r="M839" s="202"/>
      <c r="N839" s="200"/>
      <c r="O839" s="192"/>
      <c r="P839" s="192"/>
      <c r="Q839" s="192"/>
      <c r="R839" s="192"/>
      <c r="S839" s="202"/>
      <c r="T839" s="203"/>
      <c r="U839" s="153"/>
      <c r="V839" s="153"/>
      <c r="W839" s="153"/>
      <c r="X839" s="153"/>
      <c r="Y839" s="153"/>
      <c r="Z839" s="153"/>
    </row>
    <row r="840" spans="1:26">
      <c r="A840" s="769"/>
      <c r="B840" s="200"/>
      <c r="C840" s="200"/>
      <c r="D840" s="200"/>
      <c r="E840" s="200"/>
      <c r="F840" s="200"/>
      <c r="G840" s="200"/>
      <c r="H840" s="200"/>
      <c r="I840" s="201"/>
      <c r="J840" s="201"/>
      <c r="K840" s="201"/>
      <c r="L840" s="192"/>
      <c r="M840" s="202"/>
      <c r="N840" s="200"/>
      <c r="O840" s="192"/>
      <c r="P840" s="192"/>
      <c r="Q840" s="192"/>
      <c r="R840" s="192"/>
      <c r="S840" s="202"/>
      <c r="T840" s="203"/>
      <c r="U840" s="153"/>
      <c r="V840" s="153"/>
      <c r="W840" s="153"/>
      <c r="X840" s="153"/>
      <c r="Y840" s="153"/>
      <c r="Z840" s="153"/>
    </row>
    <row r="841" spans="1:26">
      <c r="A841" s="769"/>
      <c r="B841" s="200"/>
      <c r="C841" s="200"/>
      <c r="D841" s="200"/>
      <c r="E841" s="200"/>
      <c r="F841" s="200"/>
      <c r="G841" s="200"/>
      <c r="H841" s="200"/>
      <c r="I841" s="201"/>
      <c r="J841" s="201"/>
      <c r="K841" s="201"/>
      <c r="L841" s="192"/>
      <c r="M841" s="202"/>
      <c r="N841" s="200"/>
      <c r="O841" s="192"/>
      <c r="P841" s="192"/>
      <c r="Q841" s="192"/>
      <c r="R841" s="192"/>
      <c r="S841" s="202"/>
      <c r="T841" s="203"/>
      <c r="U841" s="153"/>
      <c r="V841" s="153"/>
      <c r="W841" s="153"/>
      <c r="X841" s="153"/>
      <c r="Y841" s="153"/>
      <c r="Z841" s="153"/>
    </row>
    <row r="842" spans="1:26">
      <c r="A842" s="769"/>
      <c r="B842" s="200"/>
      <c r="C842" s="200"/>
      <c r="D842" s="200"/>
      <c r="E842" s="200"/>
      <c r="F842" s="200"/>
      <c r="G842" s="200"/>
      <c r="H842" s="200"/>
      <c r="I842" s="201"/>
      <c r="J842" s="201"/>
      <c r="K842" s="201"/>
      <c r="L842" s="192"/>
      <c r="M842" s="202"/>
      <c r="N842" s="200"/>
      <c r="O842" s="192"/>
      <c r="P842" s="192"/>
      <c r="Q842" s="192"/>
      <c r="R842" s="192"/>
      <c r="S842" s="202"/>
      <c r="T842" s="203"/>
      <c r="U842" s="153"/>
      <c r="V842" s="153"/>
      <c r="W842" s="153"/>
      <c r="X842" s="153"/>
      <c r="Y842" s="153"/>
      <c r="Z842" s="153"/>
    </row>
    <row r="843" spans="1:26">
      <c r="A843" s="769"/>
      <c r="B843" s="200"/>
      <c r="C843" s="200"/>
      <c r="D843" s="200"/>
      <c r="E843" s="200"/>
      <c r="F843" s="200"/>
      <c r="G843" s="200"/>
      <c r="H843" s="200"/>
      <c r="I843" s="201"/>
      <c r="J843" s="201"/>
      <c r="K843" s="201"/>
      <c r="L843" s="192"/>
      <c r="M843" s="202"/>
      <c r="N843" s="200"/>
      <c r="O843" s="192"/>
      <c r="P843" s="192"/>
      <c r="Q843" s="192"/>
      <c r="R843" s="192"/>
      <c r="S843" s="202"/>
      <c r="T843" s="203"/>
      <c r="U843" s="153"/>
      <c r="V843" s="153"/>
      <c r="W843" s="153"/>
      <c r="X843" s="153"/>
      <c r="Y843" s="153"/>
      <c r="Z843" s="153"/>
    </row>
    <row r="844" spans="1:26">
      <c r="A844" s="769"/>
      <c r="B844" s="200"/>
      <c r="C844" s="200"/>
      <c r="D844" s="200"/>
      <c r="E844" s="200"/>
      <c r="F844" s="200"/>
      <c r="G844" s="200"/>
      <c r="H844" s="200"/>
      <c r="I844" s="201"/>
      <c r="J844" s="201"/>
      <c r="K844" s="201"/>
      <c r="L844" s="192"/>
      <c r="M844" s="202"/>
      <c r="N844" s="200"/>
      <c r="O844" s="192"/>
      <c r="P844" s="192"/>
      <c r="Q844" s="192"/>
      <c r="R844" s="192"/>
      <c r="S844" s="202"/>
      <c r="T844" s="203"/>
      <c r="U844" s="153"/>
      <c r="V844" s="153"/>
      <c r="W844" s="153"/>
      <c r="X844" s="153"/>
      <c r="Y844" s="153"/>
      <c r="Z844" s="153"/>
    </row>
    <row r="845" spans="1:26">
      <c r="A845" s="769"/>
      <c r="B845" s="200"/>
      <c r="C845" s="200"/>
      <c r="D845" s="200"/>
      <c r="E845" s="200"/>
      <c r="F845" s="200"/>
      <c r="G845" s="200"/>
      <c r="H845" s="200"/>
      <c r="I845" s="201"/>
      <c r="J845" s="201"/>
      <c r="K845" s="201"/>
      <c r="L845" s="192"/>
      <c r="M845" s="202"/>
      <c r="N845" s="200"/>
      <c r="O845" s="192"/>
      <c r="P845" s="192"/>
      <c r="Q845" s="192"/>
      <c r="R845" s="192"/>
      <c r="S845" s="202"/>
      <c r="T845" s="203"/>
      <c r="U845" s="153"/>
      <c r="V845" s="153"/>
      <c r="W845" s="153"/>
      <c r="X845" s="153"/>
      <c r="Y845" s="153"/>
      <c r="Z845" s="153"/>
    </row>
    <row r="846" spans="1:26">
      <c r="A846" s="769"/>
      <c r="B846" s="200"/>
      <c r="C846" s="200"/>
      <c r="D846" s="200"/>
      <c r="E846" s="200"/>
      <c r="F846" s="200"/>
      <c r="G846" s="200"/>
      <c r="H846" s="200"/>
      <c r="I846" s="201"/>
      <c r="J846" s="201"/>
      <c r="K846" s="201"/>
      <c r="L846" s="192"/>
      <c r="M846" s="202"/>
      <c r="N846" s="200"/>
      <c r="O846" s="192"/>
      <c r="P846" s="192"/>
      <c r="Q846" s="192"/>
      <c r="R846" s="192"/>
      <c r="S846" s="202"/>
      <c r="T846" s="203"/>
      <c r="U846" s="153"/>
      <c r="V846" s="153"/>
      <c r="W846" s="153"/>
      <c r="X846" s="153"/>
      <c r="Y846" s="153"/>
      <c r="Z846" s="153"/>
    </row>
    <row r="847" spans="1:26">
      <c r="A847" s="769"/>
      <c r="B847" s="200"/>
      <c r="C847" s="200"/>
      <c r="D847" s="200"/>
      <c r="E847" s="200"/>
      <c r="F847" s="200"/>
      <c r="G847" s="200"/>
      <c r="H847" s="200"/>
      <c r="I847" s="201"/>
      <c r="J847" s="201"/>
      <c r="K847" s="201"/>
      <c r="L847" s="192"/>
      <c r="M847" s="202"/>
      <c r="N847" s="200"/>
      <c r="O847" s="192"/>
      <c r="P847" s="192"/>
      <c r="Q847" s="192"/>
      <c r="R847" s="192"/>
      <c r="S847" s="202"/>
      <c r="T847" s="203"/>
      <c r="U847" s="153"/>
      <c r="V847" s="153"/>
      <c r="W847" s="153"/>
      <c r="X847" s="153"/>
      <c r="Y847" s="153"/>
      <c r="Z847" s="153"/>
    </row>
    <row r="848" spans="1:26">
      <c r="A848" s="769"/>
      <c r="B848" s="200"/>
      <c r="C848" s="200"/>
      <c r="D848" s="200"/>
      <c r="E848" s="200"/>
      <c r="F848" s="200"/>
      <c r="G848" s="200"/>
      <c r="H848" s="200"/>
      <c r="I848" s="201"/>
      <c r="J848" s="201"/>
      <c r="K848" s="201"/>
      <c r="L848" s="192"/>
      <c r="M848" s="202"/>
      <c r="N848" s="200"/>
      <c r="O848" s="192"/>
      <c r="P848" s="192"/>
      <c r="Q848" s="192"/>
      <c r="R848" s="192"/>
      <c r="S848" s="202"/>
      <c r="T848" s="203"/>
      <c r="U848" s="153"/>
      <c r="V848" s="153"/>
      <c r="W848" s="153"/>
      <c r="X848" s="153"/>
      <c r="Y848" s="153"/>
      <c r="Z848" s="153"/>
    </row>
    <row r="849" spans="1:26">
      <c r="A849" s="769"/>
      <c r="B849" s="200"/>
      <c r="C849" s="200"/>
      <c r="D849" s="200"/>
      <c r="E849" s="200"/>
      <c r="F849" s="200"/>
      <c r="G849" s="200"/>
      <c r="H849" s="200"/>
      <c r="I849" s="201"/>
      <c r="J849" s="201"/>
      <c r="K849" s="201"/>
      <c r="L849" s="192"/>
      <c r="M849" s="202"/>
      <c r="N849" s="200"/>
      <c r="O849" s="192"/>
      <c r="P849" s="192"/>
      <c r="Q849" s="192"/>
      <c r="R849" s="192"/>
      <c r="S849" s="202"/>
      <c r="T849" s="203"/>
      <c r="U849" s="153"/>
      <c r="V849" s="153"/>
      <c r="W849" s="153"/>
      <c r="X849" s="153"/>
      <c r="Y849" s="153"/>
      <c r="Z849" s="153"/>
    </row>
    <row r="850" spans="1:26">
      <c r="A850" s="769"/>
      <c r="B850" s="200"/>
      <c r="C850" s="200"/>
      <c r="D850" s="200"/>
      <c r="E850" s="200"/>
      <c r="F850" s="200"/>
      <c r="G850" s="200"/>
      <c r="H850" s="200"/>
      <c r="I850" s="201"/>
      <c r="J850" s="201"/>
      <c r="K850" s="201"/>
      <c r="L850" s="192"/>
      <c r="M850" s="202"/>
      <c r="N850" s="200"/>
      <c r="O850" s="192"/>
      <c r="P850" s="192"/>
      <c r="Q850" s="192"/>
      <c r="R850" s="192"/>
      <c r="S850" s="202"/>
      <c r="T850" s="203"/>
      <c r="U850" s="153"/>
      <c r="V850" s="153"/>
      <c r="W850" s="153"/>
      <c r="X850" s="153"/>
      <c r="Y850" s="153"/>
      <c r="Z850" s="153"/>
    </row>
    <row r="851" spans="1:26">
      <c r="A851" s="769"/>
      <c r="B851" s="200"/>
      <c r="C851" s="200"/>
      <c r="D851" s="200"/>
      <c r="E851" s="200"/>
      <c r="F851" s="200"/>
      <c r="G851" s="200"/>
      <c r="H851" s="200"/>
      <c r="I851" s="201"/>
      <c r="J851" s="201"/>
      <c r="K851" s="201"/>
      <c r="L851" s="192"/>
      <c r="M851" s="202"/>
      <c r="N851" s="200"/>
      <c r="O851" s="192"/>
      <c r="P851" s="192"/>
      <c r="Q851" s="192"/>
      <c r="R851" s="192"/>
      <c r="S851" s="202"/>
      <c r="T851" s="203"/>
      <c r="U851" s="153"/>
      <c r="V851" s="153"/>
      <c r="W851" s="153"/>
      <c r="X851" s="153"/>
      <c r="Y851" s="153"/>
      <c r="Z851" s="153"/>
    </row>
    <row r="852" spans="1:26">
      <c r="A852" s="769"/>
      <c r="B852" s="200"/>
      <c r="C852" s="200"/>
      <c r="D852" s="200"/>
      <c r="E852" s="200"/>
      <c r="F852" s="200"/>
      <c r="G852" s="200"/>
      <c r="H852" s="200"/>
      <c r="I852" s="201"/>
      <c r="J852" s="201"/>
      <c r="K852" s="201"/>
      <c r="L852" s="192"/>
      <c r="M852" s="202"/>
      <c r="N852" s="200"/>
      <c r="O852" s="192"/>
      <c r="P852" s="192"/>
      <c r="Q852" s="192"/>
      <c r="R852" s="192"/>
      <c r="S852" s="202"/>
      <c r="T852" s="203"/>
      <c r="U852" s="153"/>
      <c r="V852" s="153"/>
      <c r="W852" s="153"/>
      <c r="X852" s="153"/>
      <c r="Y852" s="153"/>
      <c r="Z852" s="153"/>
    </row>
    <row r="853" spans="1:26">
      <c r="A853" s="676"/>
      <c r="B853" s="200"/>
      <c r="C853" s="200"/>
      <c r="D853" s="200"/>
      <c r="E853" s="200"/>
      <c r="F853" s="200"/>
      <c r="G853" s="200"/>
      <c r="H853" s="200"/>
      <c r="I853" s="201"/>
      <c r="J853" s="201"/>
      <c r="K853" s="201"/>
      <c r="L853" s="192"/>
      <c r="M853" s="204"/>
      <c r="N853" s="200"/>
      <c r="O853" s="192"/>
      <c r="P853" s="192"/>
      <c r="Q853" s="192"/>
      <c r="R853" s="192"/>
      <c r="S853" s="204"/>
      <c r="T853" s="203"/>
      <c r="U853" s="153"/>
      <c r="V853" s="153"/>
      <c r="W853" s="153"/>
      <c r="X853" s="153"/>
      <c r="Y853" s="153"/>
      <c r="Z853" s="153"/>
    </row>
    <row r="854" spans="1:26">
      <c r="A854" s="769"/>
      <c r="B854" s="200"/>
      <c r="C854" s="200"/>
      <c r="D854" s="200"/>
      <c r="E854" s="200"/>
      <c r="F854" s="200"/>
      <c r="G854" s="200"/>
      <c r="H854" s="200"/>
      <c r="I854" s="201"/>
      <c r="J854" s="201"/>
      <c r="K854" s="201"/>
      <c r="L854" s="192"/>
      <c r="M854" s="204"/>
      <c r="N854" s="200"/>
      <c r="O854" s="192"/>
      <c r="P854" s="192"/>
      <c r="Q854" s="192"/>
      <c r="R854" s="192"/>
      <c r="S854" s="204"/>
      <c r="T854" s="203"/>
      <c r="U854" s="153"/>
      <c r="V854" s="153"/>
      <c r="W854" s="153"/>
      <c r="X854" s="153"/>
      <c r="Y854" s="153"/>
      <c r="Z854" s="153"/>
    </row>
    <row r="855" spans="1:26">
      <c r="A855" s="769"/>
      <c r="B855" s="200"/>
      <c r="C855" s="200"/>
      <c r="D855" s="200"/>
      <c r="E855" s="200"/>
      <c r="F855" s="200"/>
      <c r="G855" s="200"/>
      <c r="H855" s="200"/>
      <c r="I855" s="201"/>
      <c r="J855" s="201"/>
      <c r="K855" s="201"/>
      <c r="L855" s="192"/>
      <c r="M855" s="204"/>
      <c r="N855" s="200"/>
      <c r="O855" s="192"/>
      <c r="P855" s="192"/>
      <c r="Q855" s="192"/>
      <c r="R855" s="192"/>
      <c r="S855" s="204"/>
      <c r="T855" s="203"/>
      <c r="U855" s="153"/>
      <c r="V855" s="153"/>
      <c r="W855" s="153"/>
      <c r="X855" s="153"/>
      <c r="Y855" s="153"/>
      <c r="Z855" s="153"/>
    </row>
    <row r="856" spans="1:26">
      <c r="A856" s="769"/>
      <c r="B856" s="200"/>
      <c r="C856" s="200"/>
      <c r="D856" s="200"/>
      <c r="E856" s="200"/>
      <c r="F856" s="200"/>
      <c r="G856" s="200"/>
      <c r="H856" s="200"/>
      <c r="I856" s="201"/>
      <c r="J856" s="201"/>
      <c r="K856" s="201"/>
      <c r="L856" s="192"/>
      <c r="M856" s="204"/>
      <c r="N856" s="200"/>
      <c r="O856" s="192"/>
      <c r="P856" s="192"/>
      <c r="Q856" s="192"/>
      <c r="R856" s="192"/>
      <c r="S856" s="204"/>
      <c r="T856" s="203"/>
      <c r="U856" s="153"/>
      <c r="V856" s="153"/>
      <c r="W856" s="153"/>
      <c r="X856" s="153"/>
      <c r="Y856" s="153"/>
      <c r="Z856" s="153"/>
    </row>
    <row r="857" spans="1:26">
      <c r="A857" s="769"/>
      <c r="B857" s="200"/>
      <c r="C857" s="200"/>
      <c r="D857" s="200"/>
      <c r="E857" s="200"/>
      <c r="F857" s="200"/>
      <c r="G857" s="200"/>
      <c r="H857" s="200"/>
      <c r="I857" s="201"/>
      <c r="J857" s="201"/>
      <c r="K857" s="201"/>
      <c r="L857" s="192"/>
      <c r="M857" s="204"/>
      <c r="N857" s="200"/>
      <c r="O857" s="192"/>
      <c r="P857" s="192"/>
      <c r="Q857" s="192"/>
      <c r="R857" s="192"/>
      <c r="S857" s="204"/>
      <c r="T857" s="203"/>
      <c r="U857" s="153"/>
      <c r="V857" s="153"/>
      <c r="W857" s="153"/>
      <c r="X857" s="153"/>
      <c r="Y857" s="153"/>
      <c r="Z857" s="153"/>
    </row>
    <row r="858" spans="1:26">
      <c r="A858" s="769"/>
      <c r="B858" s="200"/>
      <c r="C858" s="200"/>
      <c r="D858" s="200"/>
      <c r="E858" s="200"/>
      <c r="F858" s="200"/>
      <c r="G858" s="200"/>
      <c r="H858" s="200"/>
      <c r="I858" s="201"/>
      <c r="J858" s="201"/>
      <c r="K858" s="201"/>
      <c r="L858" s="192"/>
      <c r="M858" s="204"/>
      <c r="N858" s="200"/>
      <c r="O858" s="192"/>
      <c r="P858" s="192"/>
      <c r="Q858" s="192"/>
      <c r="R858" s="192"/>
      <c r="S858" s="204"/>
      <c r="T858" s="203"/>
      <c r="U858" s="153"/>
      <c r="V858" s="153"/>
      <c r="W858" s="153"/>
      <c r="X858" s="153"/>
      <c r="Y858" s="153"/>
      <c r="Z858" s="153"/>
    </row>
    <row r="859" spans="1:26">
      <c r="A859" s="769"/>
      <c r="B859" s="200"/>
      <c r="C859" s="200"/>
      <c r="D859" s="200"/>
      <c r="E859" s="200"/>
      <c r="F859" s="200"/>
      <c r="G859" s="200"/>
      <c r="H859" s="200"/>
      <c r="I859" s="201"/>
      <c r="J859" s="201"/>
      <c r="K859" s="201"/>
      <c r="L859" s="192"/>
      <c r="M859" s="204"/>
      <c r="N859" s="200"/>
      <c r="O859" s="192"/>
      <c r="P859" s="192"/>
      <c r="Q859" s="192"/>
      <c r="R859" s="192"/>
      <c r="S859" s="204"/>
      <c r="T859" s="203"/>
      <c r="U859" s="153"/>
      <c r="V859" s="153"/>
      <c r="W859" s="153"/>
      <c r="X859" s="153"/>
      <c r="Y859" s="153"/>
      <c r="Z859" s="153"/>
    </row>
    <row r="860" spans="1:26">
      <c r="A860" s="769"/>
      <c r="B860" s="200"/>
      <c r="C860" s="200"/>
      <c r="D860" s="200"/>
      <c r="E860" s="200"/>
      <c r="F860" s="200"/>
      <c r="G860" s="200"/>
      <c r="H860" s="200"/>
      <c r="I860" s="201"/>
      <c r="J860" s="201"/>
      <c r="K860" s="201"/>
      <c r="L860" s="192"/>
      <c r="M860" s="204"/>
      <c r="N860" s="200"/>
      <c r="O860" s="192"/>
      <c r="P860" s="192"/>
      <c r="Q860" s="192"/>
      <c r="R860" s="192"/>
      <c r="S860" s="204"/>
      <c r="T860" s="203"/>
      <c r="U860" s="153"/>
      <c r="V860" s="153"/>
      <c r="W860" s="153"/>
      <c r="X860" s="153"/>
      <c r="Y860" s="153"/>
      <c r="Z860" s="153"/>
    </row>
    <row r="861" spans="1:26">
      <c r="A861" s="769"/>
      <c r="B861" s="200"/>
      <c r="C861" s="200"/>
      <c r="D861" s="200"/>
      <c r="E861" s="200"/>
      <c r="F861" s="200"/>
      <c r="G861" s="200"/>
      <c r="H861" s="200"/>
      <c r="I861" s="201"/>
      <c r="J861" s="201"/>
      <c r="K861" s="201"/>
      <c r="L861" s="192"/>
      <c r="M861" s="204"/>
      <c r="N861" s="200"/>
      <c r="O861" s="192"/>
      <c r="P861" s="192"/>
      <c r="Q861" s="192"/>
      <c r="R861" s="192"/>
      <c r="S861" s="204"/>
      <c r="T861" s="203"/>
      <c r="U861" s="153"/>
      <c r="V861" s="153"/>
      <c r="W861" s="153"/>
      <c r="X861" s="153"/>
      <c r="Y861" s="153"/>
      <c r="Z861" s="153"/>
    </row>
    <row r="862" spans="1:26">
      <c r="A862" s="769"/>
      <c r="B862" s="200"/>
      <c r="C862" s="200"/>
      <c r="D862" s="200"/>
      <c r="E862" s="200"/>
      <c r="F862" s="200"/>
      <c r="G862" s="200"/>
      <c r="H862" s="200"/>
      <c r="I862" s="201"/>
      <c r="J862" s="201"/>
      <c r="K862" s="201"/>
      <c r="L862" s="192"/>
      <c r="M862" s="204"/>
      <c r="N862" s="200"/>
      <c r="O862" s="192"/>
      <c r="P862" s="192"/>
      <c r="Q862" s="192"/>
      <c r="R862" s="192"/>
      <c r="S862" s="204"/>
      <c r="T862" s="203"/>
      <c r="U862" s="153"/>
      <c r="V862" s="153"/>
      <c r="W862" s="153"/>
      <c r="X862" s="153"/>
      <c r="Y862" s="153"/>
      <c r="Z862" s="153"/>
    </row>
    <row r="863" spans="1:26">
      <c r="A863" s="769"/>
      <c r="B863" s="200"/>
      <c r="C863" s="200"/>
      <c r="D863" s="200"/>
      <c r="E863" s="200"/>
      <c r="F863" s="200"/>
      <c r="G863" s="200"/>
      <c r="H863" s="200"/>
      <c r="I863" s="201"/>
      <c r="J863" s="201"/>
      <c r="K863" s="201"/>
      <c r="L863" s="192"/>
      <c r="M863" s="204"/>
      <c r="N863" s="200"/>
      <c r="O863" s="192"/>
      <c r="P863" s="192"/>
      <c r="Q863" s="192"/>
      <c r="R863" s="192"/>
      <c r="S863" s="204"/>
      <c r="T863" s="203"/>
      <c r="U863" s="153"/>
      <c r="V863" s="153"/>
      <c r="W863" s="153"/>
      <c r="X863" s="153"/>
      <c r="Y863" s="153"/>
      <c r="Z863" s="153"/>
    </row>
    <row r="864" spans="1:26">
      <c r="A864" s="769"/>
      <c r="B864" s="200"/>
      <c r="C864" s="200"/>
      <c r="D864" s="200"/>
      <c r="E864" s="200"/>
      <c r="F864" s="200"/>
      <c r="G864" s="200"/>
      <c r="H864" s="200"/>
      <c r="I864" s="201"/>
      <c r="J864" s="201"/>
      <c r="K864" s="201"/>
      <c r="L864" s="192"/>
      <c r="M864" s="204"/>
      <c r="N864" s="200"/>
      <c r="O864" s="192"/>
      <c r="P864" s="192"/>
      <c r="Q864" s="192"/>
      <c r="R864" s="192"/>
      <c r="S864" s="204"/>
      <c r="T864" s="203"/>
      <c r="U864" s="153"/>
      <c r="V864" s="153"/>
      <c r="W864" s="153"/>
      <c r="X864" s="153"/>
      <c r="Y864" s="153"/>
      <c r="Z864" s="153"/>
    </row>
    <row r="865" spans="1:26">
      <c r="A865" s="769"/>
      <c r="B865" s="200"/>
      <c r="C865" s="200"/>
      <c r="D865" s="200"/>
      <c r="E865" s="200"/>
      <c r="F865" s="200"/>
      <c r="G865" s="200"/>
      <c r="H865" s="200"/>
      <c r="I865" s="201"/>
      <c r="J865" s="201"/>
      <c r="K865" s="201"/>
      <c r="L865" s="192"/>
      <c r="M865" s="204"/>
      <c r="N865" s="200"/>
      <c r="O865" s="192"/>
      <c r="P865" s="192"/>
      <c r="Q865" s="192"/>
      <c r="R865" s="192"/>
      <c r="S865" s="204"/>
      <c r="T865" s="203"/>
      <c r="U865" s="153"/>
      <c r="V865" s="153"/>
      <c r="W865" s="153"/>
      <c r="X865" s="153"/>
      <c r="Y865" s="153"/>
      <c r="Z865" s="153"/>
    </row>
    <row r="866" spans="1:26">
      <c r="A866" s="769"/>
      <c r="B866" s="200"/>
      <c r="C866" s="200"/>
      <c r="D866" s="200"/>
      <c r="E866" s="200"/>
      <c r="F866" s="200"/>
      <c r="G866" s="200"/>
      <c r="H866" s="200"/>
      <c r="I866" s="201"/>
      <c r="J866" s="201"/>
      <c r="K866" s="201"/>
      <c r="L866" s="192"/>
      <c r="M866" s="204"/>
      <c r="N866" s="200"/>
      <c r="O866" s="192"/>
      <c r="P866" s="192"/>
      <c r="Q866" s="192"/>
      <c r="R866" s="192"/>
      <c r="S866" s="204"/>
      <c r="T866" s="203"/>
      <c r="U866" s="153"/>
      <c r="V866" s="153"/>
      <c r="W866" s="153"/>
      <c r="X866" s="153"/>
      <c r="Y866" s="153"/>
      <c r="Z866" s="153"/>
    </row>
    <row r="867" spans="1:26">
      <c r="A867" s="769"/>
      <c r="B867" s="200"/>
      <c r="C867" s="200"/>
      <c r="D867" s="200"/>
      <c r="E867" s="200"/>
      <c r="F867" s="200"/>
      <c r="G867" s="200"/>
      <c r="H867" s="200"/>
      <c r="I867" s="201"/>
      <c r="J867" s="201"/>
      <c r="K867" s="201"/>
      <c r="L867" s="192"/>
      <c r="M867" s="204"/>
      <c r="N867" s="200"/>
      <c r="O867" s="192"/>
      <c r="P867" s="192"/>
      <c r="Q867" s="192"/>
      <c r="R867" s="192"/>
      <c r="S867" s="204"/>
      <c r="T867" s="203"/>
      <c r="U867" s="153"/>
      <c r="V867" s="153"/>
      <c r="W867" s="153"/>
      <c r="X867" s="153"/>
      <c r="Y867" s="153"/>
      <c r="Z867" s="153"/>
    </row>
    <row r="868" spans="1:26">
      <c r="A868" s="769"/>
      <c r="B868" s="200"/>
      <c r="C868" s="200"/>
      <c r="D868" s="200"/>
      <c r="E868" s="200"/>
      <c r="F868" s="200"/>
      <c r="G868" s="200"/>
      <c r="H868" s="200"/>
      <c r="I868" s="201"/>
      <c r="J868" s="201"/>
      <c r="K868" s="201"/>
      <c r="L868" s="192"/>
      <c r="M868" s="204"/>
      <c r="N868" s="200"/>
      <c r="O868" s="192"/>
      <c r="P868" s="192"/>
      <c r="Q868" s="192"/>
      <c r="R868" s="192"/>
      <c r="S868" s="204"/>
      <c r="T868" s="203"/>
      <c r="U868" s="153"/>
      <c r="V868" s="153"/>
      <c r="W868" s="153"/>
      <c r="X868" s="153"/>
      <c r="Y868" s="153"/>
      <c r="Z868" s="153"/>
    </row>
    <row r="869" spans="1:26">
      <c r="A869" s="769"/>
      <c r="B869" s="200"/>
      <c r="C869" s="200"/>
      <c r="D869" s="200"/>
      <c r="E869" s="200"/>
      <c r="F869" s="200"/>
      <c r="G869" s="200"/>
      <c r="H869" s="200"/>
      <c r="I869" s="201"/>
      <c r="J869" s="201"/>
      <c r="K869" s="201"/>
      <c r="L869" s="192"/>
      <c r="M869" s="204"/>
      <c r="N869" s="200"/>
      <c r="O869" s="192"/>
      <c r="P869" s="192"/>
      <c r="Q869" s="192"/>
      <c r="R869" s="192"/>
      <c r="S869" s="204"/>
      <c r="T869" s="203"/>
      <c r="U869" s="153"/>
      <c r="V869" s="153"/>
      <c r="W869" s="153"/>
      <c r="X869" s="153"/>
      <c r="Y869" s="153"/>
      <c r="Z869" s="153"/>
    </row>
    <row r="870" spans="1:26">
      <c r="A870" s="769"/>
      <c r="B870" s="200"/>
      <c r="C870" s="200"/>
      <c r="D870" s="200"/>
      <c r="E870" s="200"/>
      <c r="F870" s="200"/>
      <c r="G870" s="200"/>
      <c r="H870" s="200"/>
      <c r="I870" s="201"/>
      <c r="J870" s="201"/>
      <c r="K870" s="201"/>
      <c r="L870" s="192"/>
      <c r="M870" s="204"/>
      <c r="N870" s="200"/>
      <c r="O870" s="192"/>
      <c r="P870" s="192"/>
      <c r="Q870" s="192"/>
      <c r="R870" s="192"/>
      <c r="S870" s="204"/>
      <c r="T870" s="203"/>
      <c r="U870" s="153"/>
      <c r="V870" s="153"/>
      <c r="W870" s="153"/>
      <c r="X870" s="153"/>
      <c r="Y870" s="153"/>
      <c r="Z870" s="153"/>
    </row>
    <row r="871" spans="1:26">
      <c r="A871" s="769"/>
      <c r="B871" s="200"/>
      <c r="C871" s="200"/>
      <c r="D871" s="200"/>
      <c r="E871" s="200"/>
      <c r="F871" s="200"/>
      <c r="G871" s="200"/>
      <c r="H871" s="200"/>
      <c r="I871" s="201"/>
      <c r="J871" s="201"/>
      <c r="K871" s="201"/>
      <c r="L871" s="192"/>
      <c r="M871" s="204"/>
      <c r="N871" s="200"/>
      <c r="O871" s="192"/>
      <c r="P871" s="192"/>
      <c r="Q871" s="192"/>
      <c r="R871" s="192"/>
      <c r="S871" s="204"/>
      <c r="T871" s="203"/>
      <c r="U871" s="153"/>
      <c r="V871" s="153"/>
      <c r="W871" s="153"/>
      <c r="X871" s="153"/>
      <c r="Y871" s="153"/>
      <c r="Z871" s="153"/>
    </row>
    <row r="872" spans="1:26">
      <c r="A872" s="769"/>
      <c r="B872" s="200"/>
      <c r="C872" s="200"/>
      <c r="D872" s="200"/>
      <c r="E872" s="200"/>
      <c r="F872" s="200"/>
      <c r="G872" s="200"/>
      <c r="H872" s="200"/>
      <c r="I872" s="201"/>
      <c r="J872" s="201"/>
      <c r="K872" s="201"/>
      <c r="L872" s="192"/>
      <c r="M872" s="204"/>
      <c r="N872" s="200"/>
      <c r="O872" s="192"/>
      <c r="P872" s="192"/>
      <c r="Q872" s="192"/>
      <c r="R872" s="192"/>
      <c r="S872" s="204"/>
      <c r="T872" s="203"/>
      <c r="U872" s="153"/>
      <c r="V872" s="153"/>
      <c r="W872" s="153"/>
      <c r="X872" s="153"/>
      <c r="Y872" s="153"/>
      <c r="Z872" s="153"/>
    </row>
    <row r="873" spans="1:26">
      <c r="A873" s="769"/>
      <c r="B873" s="200"/>
      <c r="C873" s="200"/>
      <c r="D873" s="200"/>
      <c r="E873" s="200"/>
      <c r="F873" s="200"/>
      <c r="G873" s="200"/>
      <c r="H873" s="200"/>
      <c r="I873" s="201"/>
      <c r="J873" s="201"/>
      <c r="K873" s="201"/>
      <c r="L873" s="192"/>
      <c r="M873" s="204"/>
      <c r="N873" s="200"/>
      <c r="O873" s="192"/>
      <c r="P873" s="192"/>
      <c r="Q873" s="192"/>
      <c r="R873" s="192"/>
      <c r="S873" s="204"/>
      <c r="T873" s="203"/>
      <c r="U873" s="153"/>
      <c r="V873" s="153"/>
      <c r="W873" s="153"/>
      <c r="X873" s="153"/>
      <c r="Y873" s="153"/>
      <c r="Z873" s="153"/>
    </row>
    <row r="874" spans="1:26">
      <c r="A874" s="769"/>
      <c r="B874" s="200"/>
      <c r="C874" s="200"/>
      <c r="D874" s="200"/>
      <c r="E874" s="200"/>
      <c r="F874" s="200"/>
      <c r="G874" s="200"/>
      <c r="H874" s="200"/>
      <c r="I874" s="201"/>
      <c r="J874" s="201"/>
      <c r="K874" s="201"/>
      <c r="L874" s="192"/>
      <c r="M874" s="204"/>
      <c r="N874" s="200"/>
      <c r="O874" s="192"/>
      <c r="P874" s="192"/>
      <c r="Q874" s="192"/>
      <c r="R874" s="192"/>
      <c r="S874" s="204"/>
      <c r="T874" s="203"/>
      <c r="U874" s="153"/>
      <c r="V874" s="153"/>
      <c r="W874" s="153"/>
      <c r="X874" s="153"/>
      <c r="Y874" s="153"/>
      <c r="Z874" s="153"/>
    </row>
    <row r="875" spans="1:26">
      <c r="A875" s="769"/>
      <c r="B875" s="200"/>
      <c r="C875" s="200"/>
      <c r="D875" s="200"/>
      <c r="E875" s="200"/>
      <c r="F875" s="200"/>
      <c r="G875" s="200"/>
      <c r="H875" s="200"/>
      <c r="I875" s="201"/>
      <c r="J875" s="201"/>
      <c r="K875" s="201"/>
      <c r="L875" s="192"/>
      <c r="M875" s="204"/>
      <c r="N875" s="200"/>
      <c r="O875" s="192"/>
      <c r="P875" s="192"/>
      <c r="Q875" s="192"/>
      <c r="R875" s="192"/>
      <c r="S875" s="204"/>
      <c r="T875" s="203"/>
      <c r="U875" s="153"/>
      <c r="V875" s="153"/>
      <c r="W875" s="153"/>
      <c r="X875" s="153"/>
      <c r="Y875" s="153"/>
      <c r="Z875" s="153"/>
    </row>
    <row r="876" spans="1:26">
      <c r="A876" s="769"/>
      <c r="B876" s="200"/>
      <c r="C876" s="200"/>
      <c r="D876" s="200"/>
      <c r="E876" s="200"/>
      <c r="F876" s="200"/>
      <c r="G876" s="200"/>
      <c r="H876" s="200"/>
      <c r="I876" s="201"/>
      <c r="J876" s="201"/>
      <c r="K876" s="201"/>
      <c r="L876" s="192"/>
      <c r="M876" s="204"/>
      <c r="N876" s="200"/>
      <c r="O876" s="192"/>
      <c r="P876" s="192"/>
      <c r="Q876" s="192"/>
      <c r="R876" s="192"/>
      <c r="S876" s="204"/>
      <c r="T876" s="203"/>
      <c r="U876" s="153"/>
      <c r="V876" s="153"/>
      <c r="W876" s="153"/>
      <c r="X876" s="153"/>
      <c r="Y876" s="153"/>
      <c r="Z876" s="153"/>
    </row>
    <row r="877" spans="1:26">
      <c r="A877" s="769"/>
      <c r="B877" s="200"/>
      <c r="C877" s="200"/>
      <c r="D877" s="200"/>
      <c r="E877" s="200"/>
      <c r="F877" s="200"/>
      <c r="G877" s="200"/>
      <c r="H877" s="200"/>
      <c r="I877" s="201"/>
      <c r="J877" s="201"/>
      <c r="K877" s="201"/>
      <c r="L877" s="192"/>
      <c r="M877" s="204"/>
      <c r="N877" s="200"/>
      <c r="O877" s="192"/>
      <c r="P877" s="192"/>
      <c r="Q877" s="192"/>
      <c r="R877" s="192"/>
      <c r="S877" s="204"/>
      <c r="T877" s="203"/>
      <c r="U877" s="153"/>
      <c r="V877" s="153"/>
      <c r="W877" s="153"/>
      <c r="X877" s="153"/>
      <c r="Y877" s="153"/>
      <c r="Z877" s="153"/>
    </row>
    <row r="878" spans="1:26">
      <c r="A878" s="769"/>
      <c r="B878" s="200"/>
      <c r="C878" s="200"/>
      <c r="D878" s="200"/>
      <c r="E878" s="200"/>
      <c r="F878" s="200"/>
      <c r="G878" s="200"/>
      <c r="H878" s="200"/>
      <c r="I878" s="201"/>
      <c r="J878" s="201"/>
      <c r="K878" s="201"/>
      <c r="L878" s="192"/>
      <c r="M878" s="204"/>
      <c r="N878" s="200"/>
      <c r="O878" s="192"/>
      <c r="P878" s="192"/>
      <c r="Q878" s="192"/>
      <c r="R878" s="192"/>
      <c r="S878" s="204"/>
      <c r="T878" s="203"/>
      <c r="U878" s="153"/>
      <c r="V878" s="153"/>
      <c r="W878" s="153"/>
      <c r="X878" s="153"/>
      <c r="Y878" s="153"/>
      <c r="Z878" s="153"/>
    </row>
    <row r="879" spans="1:26">
      <c r="A879" s="769"/>
      <c r="B879" s="200"/>
      <c r="C879" s="200"/>
      <c r="D879" s="200"/>
      <c r="E879" s="200"/>
      <c r="F879" s="200"/>
      <c r="G879" s="200"/>
      <c r="H879" s="200"/>
      <c r="I879" s="201"/>
      <c r="J879" s="201"/>
      <c r="K879" s="201"/>
      <c r="L879" s="192"/>
      <c r="M879" s="204"/>
      <c r="N879" s="200"/>
      <c r="O879" s="192"/>
      <c r="P879" s="192"/>
      <c r="Q879" s="192"/>
      <c r="R879" s="192"/>
      <c r="S879" s="204"/>
      <c r="T879" s="203"/>
      <c r="U879" s="153"/>
      <c r="V879" s="153"/>
      <c r="W879" s="153"/>
      <c r="X879" s="153"/>
      <c r="Y879" s="153"/>
      <c r="Z879" s="153"/>
    </row>
    <row r="880" spans="1:26">
      <c r="A880" s="769"/>
      <c r="B880" s="200"/>
      <c r="C880" s="200"/>
      <c r="D880" s="200"/>
      <c r="E880" s="200"/>
      <c r="F880" s="200"/>
      <c r="G880" s="200"/>
      <c r="H880" s="200"/>
      <c r="I880" s="201"/>
      <c r="J880" s="201"/>
      <c r="K880" s="201"/>
      <c r="L880" s="192"/>
      <c r="M880" s="204"/>
      <c r="N880" s="200"/>
      <c r="O880" s="192"/>
      <c r="P880" s="192"/>
      <c r="Q880" s="192"/>
      <c r="R880" s="192"/>
      <c r="S880" s="204"/>
      <c r="T880" s="203"/>
      <c r="U880" s="153"/>
      <c r="V880" s="153"/>
      <c r="W880" s="153"/>
      <c r="X880" s="153"/>
      <c r="Y880" s="153"/>
      <c r="Z880" s="153"/>
    </row>
    <row r="881" spans="1:26">
      <c r="A881" s="769"/>
      <c r="B881" s="200"/>
      <c r="C881" s="200"/>
      <c r="D881" s="200"/>
      <c r="E881" s="200"/>
      <c r="F881" s="200"/>
      <c r="G881" s="200"/>
      <c r="H881" s="200"/>
      <c r="I881" s="201"/>
      <c r="J881" s="201"/>
      <c r="K881" s="201"/>
      <c r="L881" s="192"/>
      <c r="M881" s="204"/>
      <c r="N881" s="200"/>
      <c r="O881" s="192"/>
      <c r="P881" s="192"/>
      <c r="Q881" s="192"/>
      <c r="R881" s="192"/>
      <c r="S881" s="204"/>
      <c r="T881" s="203"/>
      <c r="U881" s="153"/>
      <c r="V881" s="153"/>
      <c r="W881" s="153"/>
      <c r="X881" s="153"/>
      <c r="Y881" s="153"/>
      <c r="Z881" s="153"/>
    </row>
    <row r="882" spans="1:26">
      <c r="A882" s="769"/>
      <c r="B882" s="200"/>
      <c r="C882" s="200"/>
      <c r="D882" s="200"/>
      <c r="E882" s="200"/>
      <c r="F882" s="200"/>
      <c r="G882" s="200"/>
      <c r="H882" s="200"/>
      <c r="I882" s="201"/>
      <c r="J882" s="201"/>
      <c r="K882" s="201"/>
      <c r="L882" s="192"/>
      <c r="M882" s="204"/>
      <c r="N882" s="200"/>
      <c r="O882" s="192"/>
      <c r="P882" s="192"/>
      <c r="Q882" s="192"/>
      <c r="R882" s="192"/>
      <c r="S882" s="204"/>
      <c r="T882" s="203"/>
      <c r="U882" s="153"/>
      <c r="V882" s="153"/>
      <c r="W882" s="153"/>
      <c r="X882" s="153"/>
      <c r="Y882" s="153"/>
      <c r="Z882" s="153"/>
    </row>
    <row r="883" spans="1:26">
      <c r="A883" s="769"/>
      <c r="B883" s="200"/>
      <c r="C883" s="200"/>
      <c r="D883" s="200"/>
      <c r="E883" s="200"/>
      <c r="F883" s="200"/>
      <c r="G883" s="200"/>
      <c r="H883" s="200"/>
      <c r="I883" s="201"/>
      <c r="J883" s="201"/>
      <c r="K883" s="201"/>
      <c r="L883" s="192"/>
      <c r="M883" s="204"/>
      <c r="N883" s="200"/>
      <c r="O883" s="192"/>
      <c r="P883" s="192"/>
      <c r="Q883" s="192"/>
      <c r="R883" s="192"/>
      <c r="S883" s="204"/>
      <c r="T883" s="203"/>
      <c r="U883" s="153"/>
      <c r="V883" s="153"/>
      <c r="W883" s="153"/>
      <c r="X883" s="153"/>
      <c r="Y883" s="153"/>
      <c r="Z883" s="153"/>
    </row>
    <row r="884" spans="1:26">
      <c r="A884" s="769"/>
      <c r="B884" s="200"/>
      <c r="C884" s="200"/>
      <c r="D884" s="200"/>
      <c r="E884" s="200"/>
      <c r="F884" s="200"/>
      <c r="G884" s="200"/>
      <c r="H884" s="200"/>
      <c r="I884" s="201"/>
      <c r="J884" s="201"/>
      <c r="K884" s="201"/>
      <c r="L884" s="192"/>
      <c r="M884" s="204"/>
      <c r="N884" s="200"/>
      <c r="O884" s="192"/>
      <c r="P884" s="192"/>
      <c r="Q884" s="192"/>
      <c r="R884" s="192"/>
      <c r="S884" s="204"/>
      <c r="T884" s="203"/>
      <c r="U884" s="153"/>
      <c r="V884" s="153"/>
      <c r="W884" s="153"/>
      <c r="X884" s="153"/>
      <c r="Y884" s="153"/>
      <c r="Z884" s="153"/>
    </row>
    <row r="885" spans="1:26">
      <c r="A885" s="769"/>
      <c r="B885" s="200"/>
      <c r="C885" s="200"/>
      <c r="D885" s="200"/>
      <c r="E885" s="200"/>
      <c r="F885" s="200"/>
      <c r="G885" s="200"/>
      <c r="H885" s="200"/>
      <c r="I885" s="201"/>
      <c r="J885" s="201"/>
      <c r="K885" s="201"/>
      <c r="L885" s="192"/>
      <c r="M885" s="204"/>
      <c r="N885" s="200"/>
      <c r="O885" s="192"/>
      <c r="P885" s="192"/>
      <c r="Q885" s="192"/>
      <c r="R885" s="192"/>
      <c r="S885" s="204"/>
      <c r="T885" s="203"/>
      <c r="U885" s="153"/>
      <c r="V885" s="153"/>
      <c r="W885" s="153"/>
      <c r="X885" s="153"/>
      <c r="Y885" s="153"/>
      <c r="Z885" s="153"/>
    </row>
    <row r="886" spans="1:26">
      <c r="A886" s="769"/>
      <c r="B886" s="200"/>
      <c r="C886" s="200"/>
      <c r="D886" s="200"/>
      <c r="E886" s="200"/>
      <c r="F886" s="200"/>
      <c r="G886" s="200"/>
      <c r="H886" s="200"/>
      <c r="I886" s="201"/>
      <c r="J886" s="201"/>
      <c r="K886" s="201"/>
      <c r="L886" s="192"/>
      <c r="M886" s="204"/>
      <c r="N886" s="200"/>
      <c r="O886" s="192"/>
      <c r="P886" s="192"/>
      <c r="Q886" s="192"/>
      <c r="R886" s="192"/>
      <c r="S886" s="204"/>
      <c r="T886" s="203"/>
      <c r="U886" s="153"/>
      <c r="V886" s="153"/>
      <c r="W886" s="153"/>
      <c r="X886" s="153"/>
      <c r="Y886" s="153"/>
      <c r="Z886" s="153"/>
    </row>
    <row r="887" spans="1:26">
      <c r="A887" s="769"/>
      <c r="B887" s="200"/>
      <c r="C887" s="200"/>
      <c r="D887" s="200"/>
      <c r="E887" s="200"/>
      <c r="F887" s="200"/>
      <c r="G887" s="200"/>
      <c r="H887" s="200"/>
      <c r="I887" s="201"/>
      <c r="J887" s="201"/>
      <c r="K887" s="201"/>
      <c r="L887" s="192"/>
      <c r="M887" s="204"/>
      <c r="N887" s="200"/>
      <c r="O887" s="192"/>
      <c r="P887" s="192"/>
      <c r="Q887" s="192"/>
      <c r="R887" s="192"/>
      <c r="S887" s="204"/>
      <c r="T887" s="203"/>
      <c r="U887" s="153"/>
      <c r="V887" s="153"/>
      <c r="W887" s="153"/>
      <c r="X887" s="153"/>
      <c r="Y887" s="153"/>
      <c r="Z887" s="153"/>
    </row>
    <row r="888" spans="1:26">
      <c r="A888" s="769"/>
      <c r="B888" s="200"/>
      <c r="C888" s="200"/>
      <c r="D888" s="200"/>
      <c r="E888" s="200"/>
      <c r="F888" s="200"/>
      <c r="G888" s="200"/>
      <c r="H888" s="200"/>
      <c r="I888" s="201"/>
      <c r="J888" s="201"/>
      <c r="K888" s="201"/>
      <c r="L888" s="192"/>
      <c r="M888" s="204"/>
      <c r="N888" s="200"/>
      <c r="O888" s="192"/>
      <c r="P888" s="192"/>
      <c r="Q888" s="192"/>
      <c r="R888" s="192"/>
      <c r="S888" s="204"/>
      <c r="T888" s="203"/>
      <c r="U888" s="153"/>
      <c r="V888" s="153"/>
      <c r="W888" s="153"/>
      <c r="X888" s="153"/>
      <c r="Y888" s="153"/>
      <c r="Z888" s="153"/>
    </row>
    <row r="889" spans="1:26">
      <c r="A889" s="769"/>
      <c r="B889" s="200"/>
      <c r="C889" s="200"/>
      <c r="D889" s="200"/>
      <c r="E889" s="200"/>
      <c r="F889" s="200"/>
      <c r="G889" s="200"/>
      <c r="H889" s="200"/>
      <c r="I889" s="201"/>
      <c r="J889" s="201"/>
      <c r="K889" s="201"/>
      <c r="L889" s="192"/>
      <c r="M889" s="204"/>
      <c r="N889" s="200"/>
      <c r="O889" s="192"/>
      <c r="P889" s="192"/>
      <c r="Q889" s="192"/>
      <c r="R889" s="192"/>
      <c r="S889" s="204"/>
      <c r="T889" s="203"/>
      <c r="U889" s="153"/>
      <c r="V889" s="153"/>
      <c r="W889" s="153"/>
      <c r="X889" s="153"/>
      <c r="Y889" s="153"/>
      <c r="Z889" s="153"/>
    </row>
    <row r="890" spans="1:26">
      <c r="A890" s="769"/>
      <c r="B890" s="200"/>
      <c r="C890" s="200"/>
      <c r="D890" s="200"/>
      <c r="E890" s="200"/>
      <c r="F890" s="200"/>
      <c r="G890" s="200"/>
      <c r="H890" s="200"/>
      <c r="I890" s="201"/>
      <c r="J890" s="201"/>
      <c r="K890" s="201"/>
      <c r="L890" s="192"/>
      <c r="M890" s="204"/>
      <c r="N890" s="200"/>
      <c r="O890" s="192"/>
      <c r="P890" s="192"/>
      <c r="Q890" s="192"/>
      <c r="R890" s="192"/>
      <c r="S890" s="204"/>
      <c r="T890" s="203"/>
      <c r="U890" s="153"/>
      <c r="V890" s="153"/>
      <c r="W890" s="153"/>
      <c r="X890" s="153"/>
      <c r="Y890" s="153"/>
      <c r="Z890" s="153"/>
    </row>
    <row r="891" spans="1:26">
      <c r="A891" s="769"/>
      <c r="B891" s="200"/>
      <c r="C891" s="200"/>
      <c r="D891" s="200"/>
      <c r="E891" s="200"/>
      <c r="F891" s="200"/>
      <c r="G891" s="200"/>
      <c r="H891" s="200"/>
      <c r="I891" s="201"/>
      <c r="J891" s="201"/>
      <c r="K891" s="201"/>
      <c r="L891" s="192"/>
      <c r="M891" s="204"/>
      <c r="N891" s="200"/>
      <c r="O891" s="192"/>
      <c r="P891" s="192"/>
      <c r="Q891" s="192"/>
      <c r="R891" s="192"/>
      <c r="S891" s="204"/>
      <c r="T891" s="203"/>
      <c r="U891" s="153"/>
      <c r="V891" s="153"/>
      <c r="W891" s="153"/>
      <c r="X891" s="153"/>
      <c r="Y891" s="153"/>
      <c r="Z891" s="153"/>
    </row>
    <row r="892" spans="1:26">
      <c r="A892" s="769"/>
      <c r="B892" s="200"/>
      <c r="C892" s="200"/>
      <c r="D892" s="200"/>
      <c r="E892" s="200"/>
      <c r="F892" s="200"/>
      <c r="G892" s="200"/>
      <c r="H892" s="200"/>
      <c r="I892" s="201"/>
      <c r="J892" s="201"/>
      <c r="K892" s="201"/>
      <c r="L892" s="192"/>
      <c r="M892" s="204"/>
      <c r="N892" s="200"/>
      <c r="O892" s="192"/>
      <c r="P892" s="192"/>
      <c r="Q892" s="192"/>
      <c r="R892" s="192"/>
      <c r="S892" s="204"/>
      <c r="T892" s="203"/>
      <c r="U892" s="153"/>
      <c r="V892" s="153"/>
      <c r="W892" s="153"/>
      <c r="X892" s="153"/>
      <c r="Y892" s="153"/>
      <c r="Z892" s="153"/>
    </row>
    <row r="893" spans="1:26">
      <c r="A893" s="769"/>
      <c r="B893" s="200"/>
      <c r="C893" s="200"/>
      <c r="D893" s="200"/>
      <c r="E893" s="200"/>
      <c r="F893" s="200"/>
      <c r="G893" s="200"/>
      <c r="H893" s="200"/>
      <c r="I893" s="201"/>
      <c r="J893" s="201"/>
      <c r="K893" s="201"/>
      <c r="L893" s="192"/>
      <c r="M893" s="204"/>
      <c r="N893" s="200"/>
      <c r="O893" s="192"/>
      <c r="P893" s="192"/>
      <c r="Q893" s="192"/>
      <c r="R893" s="192"/>
      <c r="S893" s="204"/>
      <c r="T893" s="203"/>
      <c r="U893" s="153"/>
      <c r="V893" s="153"/>
      <c r="W893" s="153"/>
      <c r="X893" s="153"/>
      <c r="Y893" s="153"/>
      <c r="Z893" s="153"/>
    </row>
    <row r="894" spans="1:26">
      <c r="A894" s="769"/>
      <c r="B894" s="200"/>
      <c r="C894" s="200"/>
      <c r="D894" s="200"/>
      <c r="E894" s="200"/>
      <c r="F894" s="200"/>
      <c r="G894" s="200"/>
      <c r="H894" s="200"/>
      <c r="I894" s="201"/>
      <c r="J894" s="201"/>
      <c r="K894" s="201"/>
      <c r="L894" s="192"/>
      <c r="M894" s="204"/>
      <c r="N894" s="200"/>
      <c r="O894" s="192"/>
      <c r="P894" s="192"/>
      <c r="Q894" s="192"/>
      <c r="R894" s="192"/>
      <c r="S894" s="204"/>
      <c r="T894" s="203"/>
      <c r="U894" s="153"/>
      <c r="V894" s="153"/>
      <c r="W894" s="153"/>
      <c r="X894" s="153"/>
      <c r="Y894" s="153"/>
      <c r="Z894" s="153"/>
    </row>
    <row r="895" spans="1:26">
      <c r="A895" s="769"/>
      <c r="B895" s="200"/>
      <c r="C895" s="200"/>
      <c r="D895" s="200"/>
      <c r="E895" s="200"/>
      <c r="F895" s="200"/>
      <c r="G895" s="200"/>
      <c r="H895" s="200"/>
      <c r="I895" s="201"/>
      <c r="J895" s="201"/>
      <c r="K895" s="201"/>
      <c r="L895" s="192"/>
      <c r="M895" s="204"/>
      <c r="N895" s="200"/>
      <c r="O895" s="192"/>
      <c r="P895" s="192"/>
      <c r="Q895" s="192"/>
      <c r="R895" s="192"/>
      <c r="S895" s="204"/>
      <c r="T895" s="203"/>
      <c r="U895" s="153"/>
      <c r="V895" s="153"/>
      <c r="W895" s="153"/>
      <c r="X895" s="153"/>
      <c r="Y895" s="153"/>
      <c r="Z895" s="153"/>
    </row>
    <row r="896" spans="1:26">
      <c r="A896" s="769"/>
      <c r="B896" s="200"/>
      <c r="C896" s="200"/>
      <c r="D896" s="200"/>
      <c r="E896" s="200"/>
      <c r="F896" s="200"/>
      <c r="G896" s="200"/>
      <c r="H896" s="200"/>
      <c r="I896" s="201"/>
      <c r="J896" s="201"/>
      <c r="K896" s="201"/>
      <c r="L896" s="192"/>
      <c r="M896" s="204"/>
      <c r="N896" s="200"/>
      <c r="O896" s="192"/>
      <c r="P896" s="192"/>
      <c r="Q896" s="192"/>
      <c r="R896" s="192"/>
      <c r="S896" s="204"/>
      <c r="T896" s="203"/>
      <c r="U896" s="153"/>
      <c r="V896" s="153"/>
      <c r="W896" s="153"/>
      <c r="X896" s="153"/>
      <c r="Y896" s="153"/>
      <c r="Z896" s="153"/>
    </row>
    <row r="897" spans="1:26">
      <c r="A897" s="769"/>
      <c r="B897" s="200"/>
      <c r="C897" s="200"/>
      <c r="D897" s="200"/>
      <c r="E897" s="200"/>
      <c r="F897" s="200"/>
      <c r="G897" s="200"/>
      <c r="H897" s="200"/>
      <c r="I897" s="201"/>
      <c r="J897" s="201"/>
      <c r="K897" s="201"/>
      <c r="L897" s="192"/>
      <c r="M897" s="204"/>
      <c r="N897" s="200"/>
      <c r="O897" s="192"/>
      <c r="P897" s="192"/>
      <c r="Q897" s="192"/>
      <c r="R897" s="192"/>
      <c r="S897" s="204"/>
      <c r="T897" s="203"/>
      <c r="U897" s="153"/>
      <c r="V897" s="153"/>
      <c r="W897" s="153"/>
      <c r="X897" s="153"/>
      <c r="Y897" s="153"/>
      <c r="Z897" s="153"/>
    </row>
    <row r="898" spans="1:26">
      <c r="A898" s="769"/>
      <c r="B898" s="200"/>
      <c r="C898" s="200"/>
      <c r="D898" s="200"/>
      <c r="E898" s="200"/>
      <c r="F898" s="200"/>
      <c r="G898" s="200"/>
      <c r="H898" s="200"/>
      <c r="I898" s="201"/>
      <c r="J898" s="201"/>
      <c r="K898" s="201"/>
      <c r="L898" s="192"/>
      <c r="M898" s="204"/>
      <c r="N898" s="200"/>
      <c r="O898" s="192"/>
      <c r="P898" s="192"/>
      <c r="Q898" s="192"/>
      <c r="R898" s="192"/>
      <c r="S898" s="204"/>
      <c r="T898" s="203"/>
      <c r="U898" s="153"/>
      <c r="V898" s="153"/>
      <c r="W898" s="153"/>
      <c r="X898" s="153"/>
      <c r="Y898" s="153"/>
      <c r="Z898" s="153"/>
    </row>
    <row r="899" spans="1:26">
      <c r="A899" s="769"/>
      <c r="B899" s="200"/>
      <c r="C899" s="200"/>
      <c r="D899" s="200"/>
      <c r="E899" s="200"/>
      <c r="F899" s="200"/>
      <c r="G899" s="200"/>
      <c r="H899" s="200"/>
      <c r="I899" s="201"/>
      <c r="J899" s="201"/>
      <c r="K899" s="201"/>
      <c r="L899" s="192"/>
      <c r="M899" s="204"/>
      <c r="N899" s="200"/>
      <c r="O899" s="192"/>
      <c r="P899" s="192"/>
      <c r="Q899" s="192"/>
      <c r="R899" s="192"/>
      <c r="S899" s="204"/>
      <c r="T899" s="203"/>
      <c r="U899" s="153"/>
      <c r="V899" s="153"/>
      <c r="W899" s="153"/>
      <c r="X899" s="153"/>
      <c r="Y899" s="153"/>
      <c r="Z899" s="153"/>
    </row>
    <row r="900" spans="1:26">
      <c r="A900" s="769"/>
      <c r="B900" s="200"/>
      <c r="C900" s="200"/>
      <c r="D900" s="200"/>
      <c r="E900" s="200"/>
      <c r="F900" s="200"/>
      <c r="G900" s="200"/>
      <c r="H900" s="200"/>
      <c r="I900" s="201"/>
      <c r="J900" s="201"/>
      <c r="K900" s="201"/>
      <c r="L900" s="192"/>
      <c r="M900" s="204"/>
      <c r="N900" s="200"/>
      <c r="O900" s="192"/>
      <c r="P900" s="192"/>
      <c r="Q900" s="192"/>
      <c r="R900" s="192"/>
      <c r="S900" s="204"/>
      <c r="T900" s="203"/>
      <c r="U900" s="153"/>
      <c r="V900" s="153"/>
      <c r="W900" s="153"/>
      <c r="X900" s="153"/>
      <c r="Y900" s="153"/>
      <c r="Z900" s="153"/>
    </row>
    <row r="901" spans="1:26">
      <c r="A901" s="769"/>
      <c r="B901" s="200"/>
      <c r="C901" s="200"/>
      <c r="D901" s="200"/>
      <c r="E901" s="200"/>
      <c r="F901" s="200"/>
      <c r="G901" s="200"/>
      <c r="H901" s="200"/>
      <c r="I901" s="201"/>
      <c r="J901" s="201"/>
      <c r="K901" s="201"/>
      <c r="L901" s="192"/>
      <c r="M901" s="204"/>
      <c r="N901" s="200"/>
      <c r="O901" s="192"/>
      <c r="P901" s="192"/>
      <c r="Q901" s="192"/>
      <c r="R901" s="192"/>
      <c r="S901" s="204"/>
      <c r="T901" s="203"/>
      <c r="U901" s="153"/>
      <c r="V901" s="153"/>
      <c r="W901" s="153"/>
      <c r="X901" s="153"/>
      <c r="Y901" s="153"/>
      <c r="Z901" s="153"/>
    </row>
    <row r="902" spans="1:26">
      <c r="A902" s="769"/>
      <c r="B902" s="200"/>
      <c r="C902" s="200"/>
      <c r="D902" s="200"/>
      <c r="E902" s="200"/>
      <c r="F902" s="200"/>
      <c r="G902" s="200"/>
      <c r="H902" s="200"/>
      <c r="I902" s="201"/>
      <c r="J902" s="201"/>
      <c r="K902" s="201"/>
      <c r="L902" s="192"/>
      <c r="M902" s="204"/>
      <c r="N902" s="200"/>
      <c r="O902" s="192"/>
      <c r="P902" s="192"/>
      <c r="Q902" s="192"/>
      <c r="R902" s="192"/>
      <c r="S902" s="204"/>
      <c r="T902" s="203"/>
      <c r="U902" s="153"/>
      <c r="V902" s="153"/>
      <c r="W902" s="153"/>
      <c r="X902" s="153"/>
      <c r="Y902" s="153"/>
      <c r="Z902" s="153"/>
    </row>
    <row r="903" spans="1:26">
      <c r="A903" s="769"/>
      <c r="B903" s="200"/>
      <c r="C903" s="200"/>
      <c r="D903" s="200"/>
      <c r="E903" s="200"/>
      <c r="F903" s="200"/>
      <c r="G903" s="200"/>
      <c r="H903" s="200"/>
      <c r="I903" s="201"/>
      <c r="J903" s="201"/>
      <c r="K903" s="201"/>
      <c r="L903" s="192"/>
      <c r="M903" s="204"/>
      <c r="N903" s="200"/>
      <c r="O903" s="192"/>
      <c r="P903" s="192"/>
      <c r="Q903" s="192"/>
      <c r="R903" s="192"/>
      <c r="S903" s="204"/>
      <c r="T903" s="203"/>
      <c r="U903" s="153"/>
      <c r="V903" s="153"/>
      <c r="W903" s="153"/>
      <c r="X903" s="153"/>
      <c r="Y903" s="153"/>
      <c r="Z903" s="153"/>
    </row>
    <row r="904" spans="1:26">
      <c r="A904" s="769"/>
      <c r="B904" s="200"/>
      <c r="C904" s="200"/>
      <c r="D904" s="200"/>
      <c r="E904" s="200"/>
      <c r="F904" s="200"/>
      <c r="G904" s="200"/>
      <c r="H904" s="200"/>
      <c r="I904" s="201"/>
      <c r="J904" s="201"/>
      <c r="K904" s="201"/>
      <c r="L904" s="192"/>
      <c r="M904" s="204"/>
      <c r="N904" s="200"/>
      <c r="O904" s="192"/>
      <c r="P904" s="192"/>
      <c r="Q904" s="192"/>
      <c r="R904" s="192"/>
      <c r="S904" s="204"/>
      <c r="T904" s="203"/>
      <c r="U904" s="153"/>
      <c r="V904" s="153"/>
      <c r="W904" s="153"/>
      <c r="X904" s="153"/>
      <c r="Y904" s="153"/>
      <c r="Z904" s="153"/>
    </row>
    <row r="905" spans="1:26">
      <c r="A905" s="769"/>
      <c r="B905" s="200"/>
      <c r="C905" s="200"/>
      <c r="D905" s="200"/>
      <c r="E905" s="200"/>
      <c r="F905" s="200"/>
      <c r="G905" s="200"/>
      <c r="H905" s="200"/>
      <c r="I905" s="201"/>
      <c r="J905" s="201"/>
      <c r="K905" s="201"/>
      <c r="L905" s="192"/>
      <c r="M905" s="204"/>
      <c r="N905" s="200"/>
      <c r="O905" s="192"/>
      <c r="P905" s="192"/>
      <c r="Q905" s="192"/>
      <c r="R905" s="192"/>
      <c r="S905" s="204"/>
      <c r="T905" s="203"/>
      <c r="U905" s="153"/>
      <c r="V905" s="153"/>
      <c r="W905" s="153"/>
      <c r="X905" s="153"/>
      <c r="Y905" s="153"/>
      <c r="Z905" s="153"/>
    </row>
    <row r="906" spans="1:26">
      <c r="A906" s="769"/>
      <c r="B906" s="200"/>
      <c r="C906" s="200"/>
      <c r="D906" s="200"/>
      <c r="E906" s="200"/>
      <c r="F906" s="200"/>
      <c r="G906" s="200"/>
      <c r="H906" s="200"/>
      <c r="I906" s="201"/>
      <c r="J906" s="201"/>
      <c r="K906" s="201"/>
      <c r="L906" s="192"/>
      <c r="M906" s="204"/>
      <c r="N906" s="200"/>
      <c r="O906" s="192"/>
      <c r="P906" s="192"/>
      <c r="Q906" s="192"/>
      <c r="R906" s="192"/>
      <c r="S906" s="204"/>
      <c r="T906" s="203"/>
      <c r="U906" s="153"/>
      <c r="V906" s="153"/>
      <c r="W906" s="153"/>
      <c r="X906" s="153"/>
      <c r="Y906" s="153"/>
      <c r="Z906" s="153"/>
    </row>
    <row r="907" spans="1:26">
      <c r="A907" s="769"/>
      <c r="B907" s="200"/>
      <c r="C907" s="200"/>
      <c r="D907" s="200"/>
      <c r="E907" s="200"/>
      <c r="F907" s="200"/>
      <c r="G907" s="200"/>
      <c r="H907" s="200"/>
      <c r="I907" s="201"/>
      <c r="J907" s="201"/>
      <c r="K907" s="201"/>
      <c r="L907" s="192"/>
      <c r="M907" s="204"/>
      <c r="N907" s="200"/>
      <c r="O907" s="192"/>
      <c r="P907" s="192"/>
      <c r="Q907" s="192"/>
      <c r="R907" s="192"/>
      <c r="S907" s="204"/>
      <c r="T907" s="203"/>
      <c r="U907" s="153"/>
      <c r="V907" s="153"/>
      <c r="W907" s="153"/>
      <c r="X907" s="153"/>
      <c r="Y907" s="153"/>
      <c r="Z907" s="153"/>
    </row>
    <row r="908" spans="1:26">
      <c r="A908" s="769"/>
      <c r="B908" s="200"/>
      <c r="C908" s="200"/>
      <c r="D908" s="200"/>
      <c r="E908" s="200"/>
      <c r="F908" s="200"/>
      <c r="G908" s="200"/>
      <c r="H908" s="200"/>
      <c r="I908" s="201"/>
      <c r="J908" s="201"/>
      <c r="K908" s="201"/>
      <c r="L908" s="192"/>
      <c r="M908" s="204"/>
      <c r="N908" s="200"/>
      <c r="O908" s="192"/>
      <c r="P908" s="192"/>
      <c r="Q908" s="192"/>
      <c r="R908" s="192"/>
      <c r="S908" s="204"/>
      <c r="T908" s="203"/>
      <c r="U908" s="153"/>
      <c r="V908" s="153"/>
      <c r="W908" s="153"/>
      <c r="X908" s="153"/>
      <c r="Y908" s="153"/>
      <c r="Z908" s="153"/>
    </row>
    <row r="909" spans="1:26">
      <c r="A909" s="769"/>
      <c r="B909" s="200"/>
      <c r="C909" s="200"/>
      <c r="D909" s="200"/>
      <c r="E909" s="200"/>
      <c r="F909" s="200"/>
      <c r="G909" s="200"/>
      <c r="H909" s="200"/>
      <c r="I909" s="201"/>
      <c r="J909" s="201"/>
      <c r="K909" s="201"/>
      <c r="L909" s="192"/>
      <c r="M909" s="204"/>
      <c r="N909" s="200"/>
      <c r="O909" s="192"/>
      <c r="P909" s="192"/>
      <c r="Q909" s="192"/>
      <c r="R909" s="192"/>
      <c r="S909" s="204"/>
      <c r="T909" s="203"/>
      <c r="U909" s="153"/>
      <c r="V909" s="153"/>
      <c r="W909" s="153"/>
      <c r="X909" s="153"/>
      <c r="Y909" s="153"/>
      <c r="Z909" s="153"/>
    </row>
    <row r="910" spans="1:26">
      <c r="A910" s="769"/>
      <c r="B910" s="200"/>
      <c r="C910" s="200"/>
      <c r="D910" s="200"/>
      <c r="E910" s="200"/>
      <c r="F910" s="200"/>
      <c r="G910" s="200"/>
      <c r="H910" s="200"/>
      <c r="I910" s="201"/>
      <c r="J910" s="201"/>
      <c r="K910" s="201"/>
      <c r="L910" s="192"/>
      <c r="M910" s="204"/>
      <c r="N910" s="200"/>
      <c r="O910" s="192"/>
      <c r="P910" s="192"/>
      <c r="Q910" s="192"/>
      <c r="R910" s="192"/>
      <c r="S910" s="204"/>
      <c r="T910" s="203"/>
      <c r="U910" s="153"/>
      <c r="V910" s="153"/>
      <c r="W910" s="153"/>
      <c r="X910" s="153"/>
      <c r="Y910" s="153"/>
      <c r="Z910" s="153"/>
    </row>
    <row r="911" spans="1:26">
      <c r="A911" s="769"/>
      <c r="B911" s="200"/>
      <c r="C911" s="200"/>
      <c r="D911" s="200"/>
      <c r="E911" s="200"/>
      <c r="F911" s="200"/>
      <c r="G911" s="200"/>
      <c r="H911" s="200"/>
      <c r="I911" s="201"/>
      <c r="J911" s="201"/>
      <c r="K911" s="201"/>
      <c r="L911" s="192"/>
      <c r="M911" s="204"/>
      <c r="N911" s="200"/>
      <c r="O911" s="192"/>
      <c r="P911" s="192"/>
      <c r="Q911" s="192"/>
      <c r="R911" s="192"/>
      <c r="S911" s="204"/>
      <c r="T911" s="203"/>
      <c r="U911" s="153"/>
      <c r="V911" s="153"/>
      <c r="W911" s="153"/>
      <c r="X911" s="153"/>
      <c r="Y911" s="153"/>
      <c r="Z911" s="153"/>
    </row>
    <row r="912" spans="1:26">
      <c r="A912" s="769"/>
      <c r="B912" s="200"/>
      <c r="C912" s="200"/>
      <c r="D912" s="200"/>
      <c r="E912" s="200"/>
      <c r="F912" s="200"/>
      <c r="G912" s="200"/>
      <c r="H912" s="200"/>
      <c r="I912" s="201"/>
      <c r="J912" s="201"/>
      <c r="K912" s="201"/>
      <c r="L912" s="192"/>
      <c r="M912" s="204"/>
      <c r="N912" s="200"/>
      <c r="O912" s="192"/>
      <c r="P912" s="192"/>
      <c r="Q912" s="192"/>
      <c r="R912" s="192"/>
      <c r="S912" s="204"/>
      <c r="T912" s="203"/>
      <c r="U912" s="153"/>
      <c r="V912" s="153"/>
      <c r="W912" s="153"/>
      <c r="X912" s="153"/>
      <c r="Y912" s="153"/>
      <c r="Z912" s="153"/>
    </row>
    <row r="913" spans="1:26">
      <c r="A913" s="769"/>
      <c r="B913" s="200"/>
      <c r="C913" s="200"/>
      <c r="D913" s="200"/>
      <c r="E913" s="200"/>
      <c r="F913" s="200"/>
      <c r="G913" s="200"/>
      <c r="H913" s="200"/>
      <c r="I913" s="201"/>
      <c r="J913" s="201"/>
      <c r="K913" s="201"/>
      <c r="L913" s="192"/>
      <c r="M913" s="204"/>
      <c r="N913" s="200"/>
      <c r="O913" s="192"/>
      <c r="P913" s="192"/>
      <c r="Q913" s="192"/>
      <c r="R913" s="192"/>
      <c r="S913" s="204"/>
      <c r="T913" s="203"/>
      <c r="U913" s="153"/>
      <c r="V913" s="153"/>
      <c r="W913" s="153"/>
      <c r="X913" s="153"/>
      <c r="Y913" s="153"/>
      <c r="Z913" s="153"/>
    </row>
    <row r="914" spans="1:26">
      <c r="A914" s="769"/>
      <c r="B914" s="200"/>
      <c r="C914" s="200"/>
      <c r="D914" s="200"/>
      <c r="E914" s="200"/>
      <c r="F914" s="200"/>
      <c r="G914" s="200"/>
      <c r="H914" s="200"/>
      <c r="I914" s="201"/>
      <c r="J914" s="201"/>
      <c r="K914" s="201"/>
      <c r="L914" s="192"/>
      <c r="M914" s="204"/>
      <c r="N914" s="200"/>
      <c r="O914" s="192"/>
      <c r="P914" s="192"/>
      <c r="Q914" s="192"/>
      <c r="R914" s="192"/>
      <c r="S914" s="204"/>
      <c r="T914" s="203"/>
      <c r="U914" s="153"/>
      <c r="V914" s="153"/>
      <c r="W914" s="153"/>
      <c r="X914" s="153"/>
      <c r="Y914" s="153"/>
      <c r="Z914" s="153"/>
    </row>
    <row r="915" spans="1:26">
      <c r="A915" s="769"/>
      <c r="B915" s="200"/>
      <c r="C915" s="200"/>
      <c r="D915" s="200"/>
      <c r="E915" s="200"/>
      <c r="F915" s="200"/>
      <c r="G915" s="200"/>
      <c r="H915" s="200"/>
      <c r="I915" s="201"/>
      <c r="J915" s="201"/>
      <c r="K915" s="201"/>
      <c r="L915" s="192"/>
      <c r="M915" s="204"/>
      <c r="N915" s="200"/>
      <c r="O915" s="192"/>
      <c r="P915" s="192"/>
      <c r="Q915" s="192"/>
      <c r="R915" s="192"/>
      <c r="S915" s="204"/>
      <c r="T915" s="203"/>
      <c r="U915" s="153"/>
      <c r="V915" s="153"/>
      <c r="W915" s="153"/>
      <c r="X915" s="153"/>
      <c r="Y915" s="153"/>
      <c r="Z915" s="153"/>
    </row>
    <row r="916" spans="1:26">
      <c r="A916" s="769"/>
      <c r="B916" s="200"/>
      <c r="C916" s="200"/>
      <c r="D916" s="200"/>
      <c r="E916" s="200"/>
      <c r="F916" s="200"/>
      <c r="G916" s="200"/>
      <c r="H916" s="200"/>
      <c r="I916" s="201"/>
      <c r="J916" s="201"/>
      <c r="K916" s="201"/>
      <c r="L916" s="192"/>
      <c r="M916" s="204"/>
      <c r="N916" s="200"/>
      <c r="O916" s="192"/>
      <c r="P916" s="192"/>
      <c r="Q916" s="192"/>
      <c r="R916" s="192"/>
      <c r="S916" s="204"/>
      <c r="T916" s="203"/>
      <c r="U916" s="153"/>
      <c r="V916" s="153"/>
      <c r="W916" s="153"/>
      <c r="X916" s="153"/>
      <c r="Y916" s="153"/>
      <c r="Z916" s="153"/>
    </row>
    <row r="917" spans="1:26">
      <c r="A917" s="769"/>
      <c r="B917" s="200"/>
      <c r="C917" s="200"/>
      <c r="D917" s="200"/>
      <c r="E917" s="200"/>
      <c r="F917" s="200"/>
      <c r="G917" s="200"/>
      <c r="H917" s="200"/>
      <c r="I917" s="201"/>
      <c r="J917" s="201"/>
      <c r="K917" s="201"/>
      <c r="L917" s="192"/>
      <c r="M917" s="204"/>
      <c r="N917" s="200"/>
      <c r="O917" s="192"/>
      <c r="P917" s="192"/>
      <c r="Q917" s="192"/>
      <c r="R917" s="192"/>
      <c r="S917" s="204"/>
      <c r="T917" s="203"/>
      <c r="U917" s="153"/>
      <c r="V917" s="153"/>
      <c r="W917" s="153"/>
      <c r="X917" s="153"/>
      <c r="Y917" s="153"/>
      <c r="Z917" s="153"/>
    </row>
    <row r="918" spans="1:26">
      <c r="A918" s="769"/>
      <c r="B918" s="200"/>
      <c r="C918" s="200"/>
      <c r="D918" s="200"/>
      <c r="E918" s="200"/>
      <c r="F918" s="200"/>
      <c r="G918" s="200"/>
      <c r="H918" s="200"/>
      <c r="I918" s="201"/>
      <c r="J918" s="201"/>
      <c r="K918" s="201"/>
      <c r="L918" s="192"/>
      <c r="M918" s="204"/>
      <c r="N918" s="200"/>
      <c r="O918" s="192"/>
      <c r="P918" s="192"/>
      <c r="Q918" s="192"/>
      <c r="R918" s="192"/>
      <c r="S918" s="204"/>
      <c r="T918" s="203"/>
      <c r="U918" s="153"/>
      <c r="V918" s="153"/>
      <c r="W918" s="153"/>
      <c r="X918" s="153"/>
      <c r="Y918" s="153"/>
      <c r="Z918" s="153"/>
    </row>
    <row r="919" spans="1:26">
      <c r="A919" s="769"/>
      <c r="B919" s="200"/>
      <c r="C919" s="200"/>
      <c r="D919" s="200"/>
      <c r="E919" s="200"/>
      <c r="F919" s="200"/>
      <c r="G919" s="200"/>
      <c r="H919" s="200"/>
      <c r="I919" s="201"/>
      <c r="J919" s="201"/>
      <c r="K919" s="201"/>
      <c r="L919" s="192"/>
      <c r="M919" s="204"/>
      <c r="N919" s="200"/>
      <c r="O919" s="192"/>
      <c r="P919" s="192"/>
      <c r="Q919" s="192"/>
      <c r="R919" s="192"/>
      <c r="S919" s="204"/>
      <c r="T919" s="203"/>
      <c r="U919" s="153"/>
      <c r="V919" s="153"/>
      <c r="W919" s="153"/>
      <c r="X919" s="153"/>
      <c r="Y919" s="153"/>
      <c r="Z919" s="153"/>
    </row>
    <row r="920" spans="1:26">
      <c r="A920" s="769"/>
      <c r="B920" s="200"/>
      <c r="C920" s="200"/>
      <c r="D920" s="200"/>
      <c r="E920" s="200"/>
      <c r="F920" s="200"/>
      <c r="G920" s="200"/>
      <c r="H920" s="200"/>
      <c r="I920" s="201"/>
      <c r="J920" s="201"/>
      <c r="K920" s="201"/>
      <c r="L920" s="192"/>
      <c r="M920" s="204"/>
      <c r="N920" s="200"/>
      <c r="O920" s="192"/>
      <c r="P920" s="192"/>
      <c r="Q920" s="192"/>
      <c r="R920" s="192"/>
      <c r="S920" s="204"/>
      <c r="T920" s="203"/>
      <c r="U920" s="153"/>
      <c r="V920" s="153"/>
      <c r="W920" s="153"/>
      <c r="X920" s="153"/>
      <c r="Y920" s="153"/>
      <c r="Z920" s="153"/>
    </row>
    <row r="921" spans="1:26">
      <c r="A921" s="769"/>
      <c r="B921" s="200"/>
      <c r="C921" s="200"/>
      <c r="D921" s="200"/>
      <c r="E921" s="200"/>
      <c r="F921" s="200"/>
      <c r="G921" s="200"/>
      <c r="H921" s="200"/>
      <c r="I921" s="201"/>
      <c r="J921" s="201"/>
      <c r="K921" s="201"/>
      <c r="L921" s="192"/>
      <c r="M921" s="204"/>
      <c r="N921" s="200"/>
      <c r="O921" s="192"/>
      <c r="P921" s="192"/>
      <c r="Q921" s="192"/>
      <c r="R921" s="192"/>
      <c r="S921" s="204"/>
      <c r="T921" s="203"/>
      <c r="U921" s="153"/>
      <c r="V921" s="153"/>
      <c r="W921" s="153"/>
      <c r="X921" s="153"/>
      <c r="Y921" s="153"/>
      <c r="Z921" s="153"/>
    </row>
    <row r="922" spans="1:26">
      <c r="A922" s="769"/>
      <c r="B922" s="200"/>
      <c r="C922" s="200"/>
      <c r="D922" s="200"/>
      <c r="E922" s="200"/>
      <c r="F922" s="200"/>
      <c r="G922" s="200"/>
      <c r="H922" s="200"/>
      <c r="I922" s="201"/>
      <c r="J922" s="201"/>
      <c r="K922" s="201"/>
      <c r="L922" s="192"/>
      <c r="M922" s="204"/>
      <c r="N922" s="200"/>
      <c r="O922" s="192"/>
      <c r="P922" s="192"/>
      <c r="Q922" s="192"/>
      <c r="R922" s="192"/>
      <c r="S922" s="204"/>
      <c r="T922" s="203"/>
      <c r="U922" s="153"/>
      <c r="V922" s="153"/>
      <c r="W922" s="153"/>
      <c r="X922" s="153"/>
      <c r="Y922" s="153"/>
      <c r="Z922" s="153"/>
    </row>
    <row r="923" spans="1:26">
      <c r="A923" s="769"/>
      <c r="B923" s="200"/>
      <c r="C923" s="200"/>
      <c r="D923" s="200"/>
      <c r="E923" s="200"/>
      <c r="F923" s="200"/>
      <c r="G923" s="200"/>
      <c r="H923" s="200"/>
      <c r="I923" s="201"/>
      <c r="J923" s="201"/>
      <c r="K923" s="201"/>
      <c r="L923" s="192"/>
      <c r="M923" s="204"/>
      <c r="N923" s="200"/>
      <c r="O923" s="192"/>
      <c r="P923" s="192"/>
      <c r="Q923" s="192"/>
      <c r="R923" s="192"/>
      <c r="S923" s="204"/>
      <c r="T923" s="203"/>
      <c r="U923" s="153"/>
      <c r="V923" s="153"/>
      <c r="W923" s="153"/>
      <c r="X923" s="153"/>
      <c r="Y923" s="153"/>
      <c r="Z923" s="153"/>
    </row>
    <row r="924" spans="1:26">
      <c r="A924" s="769"/>
      <c r="B924" s="200"/>
      <c r="C924" s="200"/>
      <c r="D924" s="200"/>
      <c r="E924" s="200"/>
      <c r="F924" s="200"/>
      <c r="G924" s="200"/>
      <c r="H924" s="200"/>
      <c r="I924" s="201"/>
      <c r="J924" s="201"/>
      <c r="K924" s="201"/>
      <c r="L924" s="192"/>
      <c r="M924" s="204"/>
      <c r="N924" s="200"/>
      <c r="O924" s="192"/>
      <c r="P924" s="192"/>
      <c r="Q924" s="192"/>
      <c r="R924" s="192"/>
      <c r="S924" s="204"/>
      <c r="T924" s="203"/>
      <c r="U924" s="153"/>
      <c r="V924" s="153"/>
      <c r="W924" s="153"/>
      <c r="X924" s="153"/>
      <c r="Y924" s="153"/>
      <c r="Z924" s="153"/>
    </row>
    <row r="925" spans="1:26">
      <c r="A925" s="769"/>
      <c r="B925" s="200"/>
      <c r="C925" s="200"/>
      <c r="D925" s="200"/>
      <c r="E925" s="200"/>
      <c r="F925" s="200"/>
      <c r="G925" s="200"/>
      <c r="H925" s="200"/>
      <c r="I925" s="201"/>
      <c r="J925" s="201"/>
      <c r="K925" s="201"/>
      <c r="L925" s="192"/>
      <c r="M925" s="204"/>
      <c r="N925" s="200"/>
      <c r="O925" s="192"/>
      <c r="P925" s="192"/>
      <c r="Q925" s="192"/>
      <c r="R925" s="192"/>
      <c r="S925" s="204"/>
      <c r="T925" s="203"/>
      <c r="U925" s="153"/>
      <c r="V925" s="153"/>
      <c r="W925" s="153"/>
      <c r="X925" s="153"/>
      <c r="Y925" s="153"/>
      <c r="Z925" s="153"/>
    </row>
    <row r="926" spans="1:26">
      <c r="A926" s="769"/>
      <c r="B926" s="200"/>
      <c r="C926" s="200"/>
      <c r="D926" s="200"/>
      <c r="E926" s="200"/>
      <c r="F926" s="200"/>
      <c r="G926" s="200"/>
      <c r="H926" s="200"/>
      <c r="I926" s="201"/>
      <c r="J926" s="201"/>
      <c r="K926" s="201"/>
      <c r="L926" s="192"/>
      <c r="M926" s="204"/>
      <c r="N926" s="200"/>
      <c r="O926" s="192"/>
      <c r="P926" s="192"/>
      <c r="Q926" s="192"/>
      <c r="R926" s="192"/>
      <c r="S926" s="204"/>
      <c r="T926" s="203"/>
      <c r="U926" s="153"/>
      <c r="V926" s="153"/>
      <c r="W926" s="153"/>
      <c r="X926" s="153"/>
      <c r="Y926" s="153"/>
      <c r="Z926" s="153"/>
    </row>
    <row r="927" spans="1:26">
      <c r="A927" s="769"/>
      <c r="B927" s="200"/>
      <c r="C927" s="200"/>
      <c r="D927" s="200"/>
      <c r="E927" s="200"/>
      <c r="F927" s="200"/>
      <c r="G927" s="200"/>
      <c r="H927" s="200"/>
      <c r="I927" s="201"/>
      <c r="J927" s="201"/>
      <c r="K927" s="201"/>
      <c r="L927" s="192"/>
      <c r="M927" s="204"/>
      <c r="N927" s="200"/>
      <c r="O927" s="192"/>
      <c r="P927" s="192"/>
      <c r="Q927" s="192"/>
      <c r="R927" s="192"/>
      <c r="S927" s="204"/>
      <c r="T927" s="203"/>
      <c r="U927" s="153"/>
      <c r="V927" s="153"/>
      <c r="W927" s="153"/>
      <c r="X927" s="153"/>
      <c r="Y927" s="153"/>
      <c r="Z927" s="153"/>
    </row>
    <row r="928" spans="1:26">
      <c r="A928" s="769"/>
      <c r="B928" s="200"/>
      <c r="C928" s="200"/>
      <c r="D928" s="200"/>
      <c r="E928" s="200"/>
      <c r="F928" s="200"/>
      <c r="G928" s="200"/>
      <c r="H928" s="200"/>
      <c r="I928" s="201"/>
      <c r="J928" s="201"/>
      <c r="K928" s="201"/>
      <c r="L928" s="192"/>
      <c r="M928" s="204"/>
      <c r="N928" s="200"/>
      <c r="O928" s="192"/>
      <c r="P928" s="192"/>
      <c r="Q928" s="192"/>
      <c r="R928" s="192"/>
      <c r="S928" s="204"/>
      <c r="T928" s="203"/>
      <c r="U928" s="153"/>
      <c r="V928" s="153"/>
      <c r="W928" s="153"/>
      <c r="X928" s="153"/>
      <c r="Y928" s="153"/>
      <c r="Z928" s="153"/>
    </row>
    <row r="929" spans="1:26">
      <c r="A929" s="769"/>
      <c r="B929" s="200"/>
      <c r="C929" s="200"/>
      <c r="D929" s="200"/>
      <c r="E929" s="200"/>
      <c r="F929" s="200"/>
      <c r="G929" s="200"/>
      <c r="H929" s="200"/>
      <c r="I929" s="201"/>
      <c r="J929" s="201"/>
      <c r="K929" s="201"/>
      <c r="L929" s="192"/>
      <c r="M929" s="204"/>
      <c r="N929" s="200"/>
      <c r="O929" s="192"/>
      <c r="P929" s="192"/>
      <c r="Q929" s="192"/>
      <c r="R929" s="192"/>
      <c r="S929" s="204"/>
      <c r="T929" s="203"/>
      <c r="U929" s="153"/>
      <c r="V929" s="153"/>
      <c r="W929" s="153"/>
      <c r="X929" s="153"/>
      <c r="Y929" s="153"/>
      <c r="Z929" s="153"/>
    </row>
    <row r="930" spans="1:26">
      <c r="A930" s="769"/>
      <c r="B930" s="200"/>
      <c r="C930" s="200"/>
      <c r="D930" s="200"/>
      <c r="E930" s="200"/>
      <c r="F930" s="200"/>
      <c r="G930" s="200"/>
      <c r="H930" s="200"/>
      <c r="I930" s="201"/>
      <c r="J930" s="201"/>
      <c r="K930" s="201"/>
      <c r="L930" s="192"/>
      <c r="M930" s="204"/>
      <c r="N930" s="200"/>
      <c r="O930" s="192"/>
      <c r="P930" s="192"/>
      <c r="Q930" s="192"/>
      <c r="R930" s="192"/>
      <c r="S930" s="204"/>
      <c r="T930" s="203"/>
      <c r="U930" s="153"/>
      <c r="V930" s="153"/>
      <c r="W930" s="153"/>
      <c r="X930" s="153"/>
      <c r="Y930" s="153"/>
      <c r="Z930" s="153"/>
    </row>
    <row r="931" spans="1:26">
      <c r="A931" s="769"/>
      <c r="B931" s="200"/>
      <c r="C931" s="200"/>
      <c r="D931" s="200"/>
      <c r="E931" s="200"/>
      <c r="F931" s="200"/>
      <c r="G931" s="200"/>
      <c r="H931" s="200"/>
      <c r="I931" s="201"/>
      <c r="J931" s="201"/>
      <c r="K931" s="201"/>
      <c r="L931" s="192"/>
      <c r="M931" s="204"/>
      <c r="N931" s="200"/>
      <c r="O931" s="192"/>
      <c r="P931" s="192"/>
      <c r="Q931" s="192"/>
      <c r="R931" s="192"/>
      <c r="S931" s="204"/>
      <c r="T931" s="203"/>
      <c r="U931" s="153"/>
      <c r="V931" s="153"/>
      <c r="W931" s="153"/>
      <c r="X931" s="153"/>
      <c r="Y931" s="153"/>
      <c r="Z931" s="153"/>
    </row>
    <row r="932" spans="1:26">
      <c r="A932" s="769"/>
      <c r="B932" s="200"/>
      <c r="C932" s="200"/>
      <c r="D932" s="200"/>
      <c r="E932" s="200"/>
      <c r="F932" s="200"/>
      <c r="G932" s="200"/>
      <c r="H932" s="200"/>
      <c r="I932" s="201"/>
      <c r="J932" s="201"/>
      <c r="K932" s="201"/>
      <c r="L932" s="192"/>
      <c r="M932" s="204"/>
      <c r="N932" s="200"/>
      <c r="O932" s="192"/>
      <c r="P932" s="192"/>
      <c r="Q932" s="192"/>
      <c r="R932" s="192"/>
      <c r="S932" s="204"/>
      <c r="T932" s="203"/>
      <c r="U932" s="153"/>
      <c r="V932" s="153"/>
      <c r="W932" s="153"/>
      <c r="X932" s="153"/>
      <c r="Y932" s="153"/>
      <c r="Z932" s="153"/>
    </row>
    <row r="933" spans="1:26">
      <c r="A933" s="769"/>
      <c r="B933" s="200"/>
      <c r="C933" s="200"/>
      <c r="D933" s="200"/>
      <c r="E933" s="200"/>
      <c r="F933" s="200"/>
      <c r="G933" s="200"/>
      <c r="H933" s="200"/>
      <c r="I933" s="201"/>
      <c r="J933" s="201"/>
      <c r="K933" s="201"/>
      <c r="L933" s="192"/>
      <c r="M933" s="204"/>
      <c r="N933" s="200"/>
      <c r="O933" s="192"/>
      <c r="P933" s="192"/>
      <c r="Q933" s="192"/>
      <c r="R933" s="192"/>
      <c r="S933" s="204"/>
      <c r="T933" s="203"/>
      <c r="U933" s="153"/>
      <c r="V933" s="153"/>
      <c r="W933" s="153"/>
      <c r="X933" s="153"/>
      <c r="Y933" s="153"/>
      <c r="Z933" s="153"/>
    </row>
    <row r="934" spans="1:26">
      <c r="A934" s="769"/>
      <c r="B934" s="200"/>
      <c r="C934" s="200"/>
      <c r="D934" s="200"/>
      <c r="E934" s="200"/>
      <c r="F934" s="200"/>
      <c r="G934" s="200"/>
      <c r="H934" s="200"/>
      <c r="I934" s="201"/>
      <c r="J934" s="201"/>
      <c r="K934" s="201"/>
      <c r="L934" s="192"/>
      <c r="M934" s="204"/>
      <c r="N934" s="200"/>
      <c r="O934" s="192"/>
      <c r="P934" s="192"/>
      <c r="Q934" s="192"/>
      <c r="R934" s="192"/>
      <c r="S934" s="204"/>
      <c r="T934" s="203"/>
      <c r="U934" s="153"/>
      <c r="V934" s="153"/>
      <c r="W934" s="153"/>
      <c r="X934" s="153"/>
      <c r="Y934" s="153"/>
      <c r="Z934" s="153"/>
    </row>
    <row r="935" spans="1:26">
      <c r="A935" s="769"/>
      <c r="B935" s="200"/>
      <c r="C935" s="200"/>
      <c r="D935" s="200"/>
      <c r="E935" s="200"/>
      <c r="F935" s="200"/>
      <c r="G935" s="200"/>
      <c r="H935" s="200"/>
      <c r="I935" s="201"/>
      <c r="J935" s="201"/>
      <c r="K935" s="201"/>
      <c r="L935" s="192"/>
      <c r="M935" s="204"/>
      <c r="N935" s="200"/>
      <c r="O935" s="192"/>
      <c r="P935" s="192"/>
      <c r="Q935" s="192"/>
      <c r="R935" s="192"/>
      <c r="S935" s="204"/>
      <c r="T935" s="203"/>
      <c r="U935" s="153"/>
      <c r="V935" s="153"/>
      <c r="W935" s="153"/>
      <c r="X935" s="153"/>
      <c r="Y935" s="153"/>
      <c r="Z935" s="153"/>
    </row>
    <row r="936" spans="1:26">
      <c r="A936" s="769"/>
      <c r="B936" s="200"/>
      <c r="C936" s="200"/>
      <c r="D936" s="200"/>
      <c r="E936" s="200"/>
      <c r="F936" s="200"/>
      <c r="G936" s="200"/>
      <c r="H936" s="200"/>
      <c r="I936" s="201"/>
      <c r="J936" s="201"/>
      <c r="K936" s="201"/>
      <c r="L936" s="192"/>
      <c r="M936" s="204"/>
      <c r="N936" s="200"/>
      <c r="O936" s="192"/>
      <c r="P936" s="192"/>
      <c r="Q936" s="192"/>
      <c r="R936" s="192"/>
      <c r="S936" s="204"/>
      <c r="T936" s="203"/>
      <c r="U936" s="153"/>
      <c r="V936" s="153"/>
      <c r="W936" s="153"/>
      <c r="X936" s="153"/>
      <c r="Y936" s="153"/>
      <c r="Z936" s="153"/>
    </row>
    <row r="937" spans="1:26">
      <c r="A937" s="769"/>
      <c r="B937" s="200"/>
      <c r="C937" s="200"/>
      <c r="D937" s="200"/>
      <c r="E937" s="200"/>
      <c r="F937" s="200"/>
      <c r="G937" s="200"/>
      <c r="H937" s="200"/>
      <c r="I937" s="201"/>
      <c r="J937" s="201"/>
      <c r="K937" s="201"/>
      <c r="L937" s="192"/>
      <c r="M937" s="204"/>
      <c r="N937" s="200"/>
      <c r="O937" s="192"/>
      <c r="P937" s="192"/>
      <c r="Q937" s="192"/>
      <c r="R937" s="192"/>
      <c r="S937" s="204"/>
      <c r="T937" s="203"/>
      <c r="U937" s="153"/>
      <c r="V937" s="153"/>
      <c r="W937" s="153"/>
      <c r="X937" s="153"/>
      <c r="Y937" s="153"/>
      <c r="Z937" s="153"/>
    </row>
    <row r="938" spans="1:26">
      <c r="A938" s="769"/>
      <c r="B938" s="200"/>
      <c r="C938" s="200"/>
      <c r="D938" s="200"/>
      <c r="E938" s="200"/>
      <c r="F938" s="200"/>
      <c r="G938" s="200"/>
      <c r="H938" s="200"/>
      <c r="I938" s="201"/>
      <c r="J938" s="201"/>
      <c r="K938" s="201"/>
      <c r="L938" s="192"/>
      <c r="M938" s="204"/>
      <c r="N938" s="200"/>
      <c r="O938" s="192"/>
      <c r="P938" s="192"/>
      <c r="Q938" s="192"/>
      <c r="R938" s="192"/>
      <c r="S938" s="204"/>
      <c r="T938" s="203"/>
      <c r="U938" s="153"/>
      <c r="V938" s="153"/>
      <c r="W938" s="153"/>
      <c r="X938" s="153"/>
      <c r="Y938" s="153"/>
      <c r="Z938" s="153"/>
    </row>
    <row r="939" spans="1:26">
      <c r="A939" s="769"/>
      <c r="B939" s="200"/>
      <c r="C939" s="200"/>
      <c r="D939" s="200"/>
      <c r="E939" s="200"/>
      <c r="F939" s="200"/>
      <c r="G939" s="200"/>
      <c r="H939" s="200"/>
      <c r="I939" s="201"/>
      <c r="J939" s="201"/>
      <c r="K939" s="201"/>
      <c r="L939" s="192"/>
      <c r="M939" s="204"/>
      <c r="N939" s="200"/>
      <c r="O939" s="192"/>
      <c r="P939" s="192"/>
      <c r="Q939" s="192"/>
      <c r="R939" s="192"/>
      <c r="S939" s="204"/>
      <c r="T939" s="203"/>
      <c r="U939" s="153"/>
      <c r="V939" s="153"/>
      <c r="W939" s="153"/>
      <c r="X939" s="153"/>
      <c r="Y939" s="153"/>
      <c r="Z939" s="153"/>
    </row>
    <row r="940" spans="1:26">
      <c r="A940" s="769"/>
      <c r="B940" s="200"/>
      <c r="C940" s="200"/>
      <c r="D940" s="200"/>
      <c r="E940" s="200"/>
      <c r="F940" s="200"/>
      <c r="G940" s="200"/>
      <c r="H940" s="200"/>
      <c r="I940" s="201"/>
      <c r="J940" s="201"/>
      <c r="K940" s="201"/>
      <c r="L940" s="192"/>
      <c r="M940" s="204"/>
      <c r="N940" s="200"/>
      <c r="O940" s="192"/>
      <c r="P940" s="192"/>
      <c r="Q940" s="192"/>
      <c r="R940" s="192"/>
      <c r="S940" s="204"/>
      <c r="T940" s="203"/>
      <c r="U940" s="153"/>
      <c r="V940" s="153"/>
      <c r="W940" s="153"/>
      <c r="X940" s="153"/>
      <c r="Y940" s="153"/>
      <c r="Z940" s="153"/>
    </row>
    <row r="941" spans="1:26">
      <c r="A941" s="769"/>
      <c r="B941" s="200"/>
      <c r="C941" s="200"/>
      <c r="D941" s="200"/>
      <c r="E941" s="200"/>
      <c r="F941" s="200"/>
      <c r="G941" s="200"/>
      <c r="H941" s="200"/>
      <c r="I941" s="201"/>
      <c r="J941" s="201"/>
      <c r="K941" s="201"/>
      <c r="L941" s="192"/>
      <c r="M941" s="204"/>
      <c r="N941" s="200"/>
      <c r="O941" s="192"/>
      <c r="P941" s="192"/>
      <c r="Q941" s="192"/>
      <c r="R941" s="192"/>
      <c r="S941" s="204"/>
      <c r="T941" s="203"/>
      <c r="U941" s="153"/>
      <c r="V941" s="153"/>
      <c r="W941" s="153"/>
      <c r="X941" s="153"/>
      <c r="Y941" s="153"/>
      <c r="Z941" s="153"/>
    </row>
    <row r="942" spans="1:26">
      <c r="A942" s="769"/>
      <c r="B942" s="200"/>
      <c r="C942" s="200"/>
      <c r="D942" s="200"/>
      <c r="E942" s="200"/>
      <c r="F942" s="200"/>
      <c r="G942" s="200"/>
      <c r="H942" s="200"/>
      <c r="I942" s="201"/>
      <c r="J942" s="201"/>
      <c r="K942" s="201"/>
      <c r="L942" s="192"/>
      <c r="M942" s="204"/>
      <c r="N942" s="200"/>
      <c r="O942" s="192"/>
      <c r="P942" s="192"/>
      <c r="Q942" s="192"/>
      <c r="R942" s="192"/>
      <c r="S942" s="204"/>
      <c r="T942" s="203"/>
      <c r="U942" s="153"/>
      <c r="V942" s="153"/>
      <c r="W942" s="153"/>
      <c r="X942" s="153"/>
      <c r="Y942" s="153"/>
      <c r="Z942" s="153"/>
    </row>
    <row r="943" spans="1:26">
      <c r="A943" s="769"/>
      <c r="B943" s="200"/>
      <c r="C943" s="200"/>
      <c r="D943" s="200"/>
      <c r="E943" s="200"/>
      <c r="F943" s="200"/>
      <c r="G943" s="200"/>
      <c r="H943" s="200"/>
      <c r="I943" s="201"/>
      <c r="J943" s="201"/>
      <c r="K943" s="201"/>
      <c r="L943" s="192"/>
      <c r="M943" s="204"/>
      <c r="N943" s="200"/>
      <c r="O943" s="192"/>
      <c r="P943" s="192"/>
      <c r="Q943" s="192"/>
      <c r="R943" s="192"/>
      <c r="S943" s="204"/>
      <c r="T943" s="203"/>
      <c r="U943" s="153"/>
      <c r="V943" s="153"/>
      <c r="W943" s="153"/>
      <c r="X943" s="153"/>
      <c r="Y943" s="153"/>
      <c r="Z943" s="153"/>
    </row>
    <row r="944" spans="1:26">
      <c r="A944" s="769"/>
      <c r="B944" s="200"/>
      <c r="C944" s="200"/>
      <c r="D944" s="200"/>
      <c r="E944" s="200"/>
      <c r="F944" s="200"/>
      <c r="G944" s="200"/>
      <c r="H944" s="200"/>
      <c r="I944" s="201"/>
      <c r="J944" s="201"/>
      <c r="K944" s="201"/>
      <c r="L944" s="192"/>
      <c r="M944" s="204"/>
      <c r="N944" s="200"/>
      <c r="O944" s="192"/>
      <c r="P944" s="192"/>
      <c r="Q944" s="192"/>
      <c r="R944" s="192"/>
      <c r="S944" s="204"/>
      <c r="T944" s="203"/>
      <c r="U944" s="153"/>
      <c r="V944" s="153"/>
      <c r="W944" s="153"/>
      <c r="X944" s="153"/>
      <c r="Y944" s="153"/>
      <c r="Z944" s="153"/>
    </row>
    <row r="945" spans="1:26">
      <c r="A945" s="769"/>
      <c r="B945" s="200"/>
      <c r="C945" s="200"/>
      <c r="D945" s="200"/>
      <c r="E945" s="200"/>
      <c r="F945" s="200"/>
      <c r="G945" s="200"/>
      <c r="H945" s="200"/>
      <c r="I945" s="201"/>
      <c r="J945" s="201"/>
      <c r="K945" s="201"/>
      <c r="L945" s="192"/>
      <c r="M945" s="204"/>
      <c r="N945" s="200"/>
      <c r="O945" s="192"/>
      <c r="P945" s="192"/>
      <c r="Q945" s="192"/>
      <c r="R945" s="192"/>
      <c r="S945" s="204"/>
      <c r="T945" s="203"/>
      <c r="U945" s="153"/>
      <c r="V945" s="153"/>
      <c r="W945" s="153"/>
      <c r="X945" s="153"/>
      <c r="Y945" s="153"/>
      <c r="Z945" s="153"/>
    </row>
    <row r="946" spans="1:26">
      <c r="A946" s="769"/>
      <c r="B946" s="200"/>
      <c r="C946" s="200"/>
      <c r="D946" s="200"/>
      <c r="E946" s="200"/>
      <c r="F946" s="200"/>
      <c r="G946" s="200"/>
      <c r="H946" s="200"/>
      <c r="I946" s="201"/>
      <c r="J946" s="201"/>
      <c r="K946" s="201"/>
      <c r="L946" s="192"/>
      <c r="M946" s="204"/>
      <c r="N946" s="200"/>
      <c r="O946" s="192"/>
      <c r="P946" s="192"/>
      <c r="Q946" s="192"/>
      <c r="R946" s="192"/>
      <c r="S946" s="204"/>
      <c r="T946" s="203"/>
      <c r="U946" s="153"/>
      <c r="V946" s="153"/>
      <c r="W946" s="153"/>
      <c r="X946" s="153"/>
      <c r="Y946" s="153"/>
      <c r="Z946" s="153"/>
    </row>
    <row r="947" spans="1:26">
      <c r="A947" s="769"/>
      <c r="B947" s="200"/>
      <c r="C947" s="200"/>
      <c r="D947" s="200"/>
      <c r="E947" s="200"/>
      <c r="F947" s="200"/>
      <c r="G947" s="200"/>
      <c r="H947" s="200"/>
      <c r="I947" s="201"/>
      <c r="J947" s="201"/>
      <c r="K947" s="201"/>
      <c r="L947" s="192"/>
      <c r="M947" s="204"/>
      <c r="N947" s="200"/>
      <c r="O947" s="192"/>
      <c r="P947" s="192"/>
      <c r="Q947" s="192"/>
      <c r="R947" s="192"/>
      <c r="S947" s="204"/>
      <c r="T947" s="203"/>
      <c r="U947" s="153"/>
      <c r="V947" s="153"/>
      <c r="W947" s="153"/>
      <c r="X947" s="153"/>
      <c r="Y947" s="153"/>
      <c r="Z947" s="153"/>
    </row>
    <row r="948" spans="1:26">
      <c r="A948" s="769"/>
      <c r="B948" s="200"/>
      <c r="C948" s="200"/>
      <c r="D948" s="200"/>
      <c r="E948" s="200"/>
      <c r="F948" s="200"/>
      <c r="G948" s="200"/>
      <c r="H948" s="200"/>
      <c r="I948" s="201"/>
      <c r="J948" s="201"/>
      <c r="K948" s="201"/>
      <c r="L948" s="192"/>
      <c r="M948" s="204"/>
      <c r="N948" s="200"/>
      <c r="O948" s="192"/>
      <c r="P948" s="192"/>
      <c r="Q948" s="192"/>
      <c r="R948" s="192"/>
      <c r="S948" s="204"/>
      <c r="T948" s="203"/>
      <c r="U948" s="153"/>
      <c r="V948" s="153"/>
      <c r="W948" s="153"/>
      <c r="X948" s="153"/>
      <c r="Y948" s="153"/>
      <c r="Z948" s="153"/>
    </row>
    <row r="949" spans="1:26">
      <c r="A949" s="769"/>
      <c r="B949" s="200"/>
      <c r="C949" s="200"/>
      <c r="D949" s="200"/>
      <c r="E949" s="200"/>
      <c r="F949" s="200"/>
      <c r="G949" s="200"/>
      <c r="H949" s="200"/>
      <c r="I949" s="201"/>
      <c r="J949" s="201"/>
      <c r="K949" s="201"/>
      <c r="L949" s="192"/>
      <c r="M949" s="204"/>
      <c r="N949" s="200"/>
      <c r="O949" s="192"/>
      <c r="P949" s="192"/>
      <c r="Q949" s="192"/>
      <c r="R949" s="192"/>
      <c r="S949" s="204"/>
      <c r="T949" s="203"/>
      <c r="U949" s="153"/>
      <c r="V949" s="153"/>
      <c r="W949" s="153"/>
      <c r="X949" s="153"/>
      <c r="Y949" s="153"/>
      <c r="Z949" s="153"/>
    </row>
    <row r="950" spans="1:26">
      <c r="A950" s="769"/>
      <c r="B950" s="200"/>
      <c r="C950" s="200"/>
      <c r="D950" s="200"/>
      <c r="E950" s="200"/>
      <c r="F950" s="200"/>
      <c r="G950" s="200"/>
      <c r="H950" s="200"/>
      <c r="I950" s="201"/>
      <c r="J950" s="201"/>
      <c r="K950" s="201"/>
      <c r="L950" s="192"/>
      <c r="M950" s="204"/>
      <c r="N950" s="200"/>
      <c r="O950" s="192"/>
      <c r="P950" s="192"/>
      <c r="Q950" s="192"/>
      <c r="R950" s="192"/>
      <c r="S950" s="204"/>
      <c r="T950" s="203"/>
      <c r="U950" s="153"/>
      <c r="V950" s="153"/>
      <c r="W950" s="153"/>
      <c r="X950" s="153"/>
      <c r="Y950" s="153"/>
      <c r="Z950" s="153"/>
    </row>
    <row r="951" spans="1:26">
      <c r="A951" s="769"/>
      <c r="B951" s="200"/>
      <c r="C951" s="200"/>
      <c r="D951" s="200"/>
      <c r="E951" s="200"/>
      <c r="F951" s="200"/>
      <c r="G951" s="200"/>
      <c r="H951" s="200"/>
      <c r="I951" s="201"/>
      <c r="J951" s="201"/>
      <c r="K951" s="201"/>
      <c r="L951" s="192"/>
      <c r="M951" s="204"/>
      <c r="N951" s="200"/>
      <c r="O951" s="192"/>
      <c r="P951" s="192"/>
      <c r="Q951" s="192"/>
      <c r="R951" s="192"/>
      <c r="S951" s="204"/>
      <c r="T951" s="203"/>
      <c r="U951" s="153"/>
      <c r="V951" s="153"/>
      <c r="W951" s="153"/>
      <c r="X951" s="153"/>
      <c r="Y951" s="153"/>
      <c r="Z951" s="153"/>
    </row>
    <row r="952" spans="1:26">
      <c r="A952" s="769"/>
      <c r="B952" s="200"/>
      <c r="C952" s="200"/>
      <c r="D952" s="200"/>
      <c r="E952" s="200"/>
      <c r="F952" s="200"/>
      <c r="G952" s="200"/>
      <c r="H952" s="200"/>
      <c r="I952" s="201"/>
      <c r="J952" s="201"/>
      <c r="K952" s="201"/>
      <c r="L952" s="192"/>
      <c r="M952" s="204"/>
      <c r="N952" s="200"/>
      <c r="O952" s="192"/>
      <c r="P952" s="192"/>
      <c r="Q952" s="192"/>
      <c r="R952" s="192"/>
      <c r="S952" s="204"/>
      <c r="T952" s="203"/>
      <c r="U952" s="153"/>
      <c r="V952" s="153"/>
      <c r="W952" s="153"/>
      <c r="X952" s="153"/>
      <c r="Y952" s="153"/>
      <c r="Z952" s="153"/>
    </row>
    <row r="953" spans="1:26">
      <c r="A953" s="769"/>
      <c r="B953" s="200"/>
      <c r="C953" s="200"/>
      <c r="D953" s="200"/>
      <c r="E953" s="200"/>
      <c r="F953" s="200"/>
      <c r="G953" s="200"/>
      <c r="H953" s="200"/>
      <c r="I953" s="201"/>
      <c r="J953" s="201"/>
      <c r="K953" s="201"/>
      <c r="L953" s="192"/>
      <c r="M953" s="204"/>
      <c r="N953" s="200"/>
      <c r="O953" s="192"/>
      <c r="P953" s="192"/>
      <c r="Q953" s="192"/>
      <c r="R953" s="192"/>
      <c r="S953" s="204"/>
      <c r="T953" s="203"/>
      <c r="U953" s="153"/>
      <c r="V953" s="153"/>
      <c r="W953" s="153"/>
      <c r="X953" s="153"/>
      <c r="Y953" s="153"/>
      <c r="Z953" s="153"/>
    </row>
    <row r="954" spans="1:26">
      <c r="A954" s="769"/>
      <c r="B954" s="200"/>
      <c r="C954" s="200"/>
      <c r="D954" s="200"/>
      <c r="E954" s="200"/>
      <c r="F954" s="200"/>
      <c r="G954" s="200"/>
      <c r="H954" s="200"/>
      <c r="I954" s="201"/>
      <c r="J954" s="201"/>
      <c r="K954" s="201"/>
      <c r="L954" s="192"/>
      <c r="M954" s="204"/>
      <c r="N954" s="200"/>
      <c r="O954" s="192"/>
      <c r="P954" s="192"/>
      <c r="Q954" s="192"/>
      <c r="R954" s="192"/>
      <c r="S954" s="204"/>
      <c r="T954" s="203"/>
      <c r="U954" s="153"/>
      <c r="V954" s="153"/>
      <c r="W954" s="153"/>
      <c r="X954" s="153"/>
      <c r="Y954" s="153"/>
      <c r="Z954" s="153"/>
    </row>
    <row r="955" spans="1:26">
      <c r="A955" s="769"/>
      <c r="B955" s="200"/>
      <c r="C955" s="200"/>
      <c r="D955" s="200"/>
      <c r="E955" s="200"/>
      <c r="F955" s="200"/>
      <c r="G955" s="200"/>
      <c r="H955" s="200"/>
      <c r="I955" s="201"/>
      <c r="J955" s="201"/>
      <c r="K955" s="201"/>
      <c r="L955" s="192"/>
      <c r="M955" s="204"/>
      <c r="N955" s="200"/>
      <c r="O955" s="192"/>
      <c r="P955" s="192"/>
      <c r="Q955" s="192"/>
      <c r="R955" s="192"/>
      <c r="S955" s="204"/>
      <c r="T955" s="203"/>
      <c r="U955" s="153"/>
      <c r="V955" s="153"/>
      <c r="W955" s="153"/>
      <c r="X955" s="153"/>
      <c r="Y955" s="153"/>
      <c r="Z955" s="153"/>
    </row>
    <row r="956" spans="1:26">
      <c r="A956" s="769"/>
      <c r="B956" s="200"/>
      <c r="C956" s="200"/>
      <c r="D956" s="200"/>
      <c r="E956" s="200"/>
      <c r="F956" s="200"/>
      <c r="G956" s="200"/>
      <c r="H956" s="200"/>
      <c r="I956" s="201"/>
      <c r="J956" s="201"/>
      <c r="K956" s="201"/>
      <c r="L956" s="192"/>
      <c r="M956" s="204"/>
      <c r="N956" s="200"/>
      <c r="O956" s="192"/>
      <c r="P956" s="192"/>
      <c r="Q956" s="192"/>
      <c r="R956" s="192"/>
      <c r="S956" s="204"/>
      <c r="T956" s="203"/>
      <c r="U956" s="153"/>
      <c r="V956" s="153"/>
      <c r="W956" s="153"/>
      <c r="X956" s="153"/>
      <c r="Y956" s="153"/>
      <c r="Z956" s="153"/>
    </row>
    <row r="957" spans="1:26">
      <c r="A957" s="769"/>
      <c r="B957" s="200"/>
      <c r="C957" s="200"/>
      <c r="D957" s="200"/>
      <c r="E957" s="200"/>
      <c r="F957" s="200"/>
      <c r="G957" s="200"/>
      <c r="H957" s="200"/>
      <c r="I957" s="201"/>
      <c r="J957" s="201"/>
      <c r="K957" s="201"/>
      <c r="L957" s="192"/>
      <c r="M957" s="204"/>
      <c r="N957" s="200"/>
      <c r="O957" s="192"/>
      <c r="P957" s="192"/>
      <c r="Q957" s="192"/>
      <c r="R957" s="192"/>
      <c r="S957" s="204"/>
      <c r="T957" s="203"/>
      <c r="U957" s="153"/>
      <c r="V957" s="153"/>
      <c r="W957" s="153"/>
      <c r="X957" s="153"/>
      <c r="Y957" s="153"/>
      <c r="Z957" s="153"/>
    </row>
    <row r="958" spans="1:26">
      <c r="A958" s="769"/>
      <c r="B958" s="200"/>
      <c r="C958" s="200"/>
      <c r="D958" s="200"/>
      <c r="E958" s="200"/>
      <c r="F958" s="200"/>
      <c r="G958" s="200"/>
      <c r="H958" s="200"/>
      <c r="I958" s="201"/>
      <c r="J958" s="201"/>
      <c r="K958" s="201"/>
      <c r="L958" s="192"/>
      <c r="M958" s="204"/>
      <c r="N958" s="200"/>
      <c r="O958" s="192"/>
      <c r="P958" s="192"/>
      <c r="Q958" s="192"/>
      <c r="R958" s="192"/>
      <c r="S958" s="204"/>
      <c r="T958" s="203"/>
      <c r="U958" s="153"/>
      <c r="V958" s="153"/>
      <c r="W958" s="153"/>
      <c r="X958" s="153"/>
      <c r="Y958" s="153"/>
      <c r="Z958" s="153"/>
    </row>
    <row r="959" spans="1:26">
      <c r="A959" s="769"/>
      <c r="B959" s="200"/>
      <c r="C959" s="200"/>
      <c r="D959" s="200"/>
      <c r="E959" s="200"/>
      <c r="F959" s="200"/>
      <c r="G959" s="200"/>
      <c r="H959" s="200"/>
      <c r="I959" s="201"/>
      <c r="J959" s="201"/>
      <c r="K959" s="201"/>
      <c r="L959" s="192"/>
      <c r="M959" s="204"/>
      <c r="N959" s="200"/>
      <c r="O959" s="192"/>
      <c r="P959" s="192"/>
      <c r="Q959" s="192"/>
      <c r="R959" s="192"/>
      <c r="S959" s="204"/>
      <c r="T959" s="203"/>
      <c r="U959" s="153"/>
      <c r="V959" s="153"/>
      <c r="W959" s="153"/>
      <c r="X959" s="153"/>
      <c r="Y959" s="153"/>
      <c r="Z959" s="153"/>
    </row>
    <row r="960" spans="1:26">
      <c r="A960" s="769"/>
      <c r="B960" s="200"/>
      <c r="C960" s="200"/>
      <c r="D960" s="200"/>
      <c r="E960" s="200"/>
      <c r="F960" s="200"/>
      <c r="G960" s="200"/>
      <c r="H960" s="200"/>
      <c r="I960" s="201"/>
      <c r="J960" s="201"/>
      <c r="K960" s="201"/>
      <c r="L960" s="192"/>
      <c r="M960" s="204"/>
      <c r="N960" s="200"/>
      <c r="O960" s="192"/>
      <c r="P960" s="192"/>
      <c r="Q960" s="192"/>
      <c r="R960" s="192"/>
      <c r="S960" s="204"/>
      <c r="T960" s="203"/>
      <c r="U960" s="153"/>
      <c r="V960" s="153"/>
      <c r="W960" s="153"/>
      <c r="X960" s="153"/>
      <c r="Y960" s="153"/>
      <c r="Z960" s="153"/>
    </row>
    <row r="961" spans="1:26">
      <c r="A961" s="769"/>
      <c r="B961" s="200"/>
      <c r="C961" s="200"/>
      <c r="D961" s="200"/>
      <c r="E961" s="200"/>
      <c r="F961" s="200"/>
      <c r="G961" s="200"/>
      <c r="H961" s="200"/>
      <c r="I961" s="201"/>
      <c r="J961" s="201"/>
      <c r="K961" s="201"/>
      <c r="L961" s="192"/>
      <c r="M961" s="204"/>
      <c r="N961" s="200"/>
      <c r="O961" s="192"/>
      <c r="P961" s="192"/>
      <c r="Q961" s="192"/>
      <c r="R961" s="192"/>
      <c r="S961" s="204"/>
      <c r="T961" s="203"/>
      <c r="U961" s="153"/>
      <c r="V961" s="153"/>
      <c r="W961" s="153"/>
      <c r="X961" s="153"/>
      <c r="Y961" s="153"/>
      <c r="Z961" s="153"/>
    </row>
    <row r="962" spans="1:26">
      <c r="A962" s="769"/>
      <c r="B962" s="200"/>
      <c r="C962" s="200"/>
      <c r="D962" s="200"/>
      <c r="E962" s="200"/>
      <c r="F962" s="200"/>
      <c r="G962" s="200"/>
      <c r="H962" s="200"/>
      <c r="I962" s="201"/>
      <c r="J962" s="201"/>
      <c r="K962" s="201"/>
      <c r="L962" s="192"/>
      <c r="M962" s="204"/>
      <c r="N962" s="200"/>
      <c r="O962" s="192"/>
      <c r="P962" s="192"/>
      <c r="Q962" s="192"/>
      <c r="R962" s="192"/>
      <c r="S962" s="204"/>
      <c r="T962" s="203"/>
      <c r="U962" s="153"/>
      <c r="V962" s="153"/>
      <c r="W962" s="153"/>
      <c r="X962" s="153"/>
      <c r="Y962" s="153"/>
      <c r="Z962" s="153"/>
    </row>
    <row r="963" spans="1:26">
      <c r="A963" s="769"/>
      <c r="B963" s="200"/>
      <c r="C963" s="200"/>
      <c r="D963" s="200"/>
      <c r="E963" s="200"/>
      <c r="F963" s="200"/>
      <c r="G963" s="200"/>
      <c r="H963" s="200"/>
      <c r="I963" s="201"/>
      <c r="J963" s="201"/>
      <c r="K963" s="201"/>
      <c r="L963" s="192"/>
      <c r="M963" s="204"/>
      <c r="N963" s="200"/>
      <c r="O963" s="192"/>
      <c r="P963" s="192"/>
      <c r="Q963" s="192"/>
      <c r="R963" s="192"/>
      <c r="S963" s="204"/>
      <c r="T963" s="203"/>
      <c r="U963" s="153"/>
      <c r="V963" s="153"/>
      <c r="W963" s="153"/>
      <c r="X963" s="153"/>
      <c r="Y963" s="153"/>
      <c r="Z963" s="153"/>
    </row>
    <row r="964" spans="1:26">
      <c r="A964" s="769"/>
      <c r="B964" s="200"/>
      <c r="C964" s="200"/>
      <c r="D964" s="200"/>
      <c r="E964" s="200"/>
      <c r="F964" s="200"/>
      <c r="G964" s="200"/>
      <c r="H964" s="200"/>
      <c r="I964" s="201"/>
      <c r="J964" s="201"/>
      <c r="K964" s="201"/>
      <c r="L964" s="192"/>
      <c r="M964" s="204"/>
      <c r="N964" s="200"/>
      <c r="O964" s="192"/>
      <c r="P964" s="192"/>
      <c r="Q964" s="192"/>
      <c r="R964" s="192"/>
      <c r="S964" s="204"/>
      <c r="T964" s="203"/>
      <c r="U964" s="153"/>
      <c r="V964" s="153"/>
      <c r="W964" s="153"/>
      <c r="X964" s="153"/>
      <c r="Y964" s="153"/>
      <c r="Z964" s="153"/>
    </row>
    <row r="965" spans="1:26">
      <c r="A965" s="769"/>
      <c r="B965" s="200"/>
      <c r="C965" s="200"/>
      <c r="D965" s="200"/>
      <c r="E965" s="200"/>
      <c r="F965" s="200"/>
      <c r="G965" s="200"/>
      <c r="H965" s="200"/>
      <c r="I965" s="201"/>
      <c r="J965" s="201"/>
      <c r="K965" s="201"/>
      <c r="L965" s="192"/>
      <c r="M965" s="204"/>
      <c r="N965" s="200"/>
      <c r="O965" s="192"/>
      <c r="P965" s="192"/>
      <c r="Q965" s="192"/>
      <c r="R965" s="192"/>
      <c r="S965" s="204"/>
      <c r="T965" s="203"/>
      <c r="U965" s="153"/>
      <c r="V965" s="153"/>
      <c r="W965" s="153"/>
      <c r="X965" s="153"/>
      <c r="Y965" s="153"/>
      <c r="Z965" s="153"/>
    </row>
    <row r="966" spans="1:26">
      <c r="A966" s="769"/>
      <c r="B966" s="200"/>
      <c r="C966" s="200"/>
      <c r="D966" s="200"/>
      <c r="E966" s="200"/>
      <c r="F966" s="200"/>
      <c r="G966" s="200"/>
      <c r="H966" s="200"/>
      <c r="I966" s="201"/>
      <c r="J966" s="201"/>
      <c r="K966" s="201"/>
      <c r="L966" s="192"/>
      <c r="M966" s="204"/>
      <c r="N966" s="200"/>
      <c r="O966" s="192"/>
      <c r="P966" s="192"/>
      <c r="Q966" s="192"/>
      <c r="R966" s="192"/>
      <c r="S966" s="204"/>
      <c r="T966" s="203"/>
      <c r="U966" s="153"/>
      <c r="V966" s="153"/>
      <c r="W966" s="153"/>
      <c r="X966" s="153"/>
      <c r="Y966" s="153"/>
      <c r="Z966" s="153"/>
    </row>
    <row r="967" spans="1:26">
      <c r="A967" s="769"/>
      <c r="B967" s="200"/>
      <c r="C967" s="200"/>
      <c r="D967" s="200"/>
      <c r="E967" s="200"/>
      <c r="F967" s="200"/>
      <c r="G967" s="200"/>
      <c r="H967" s="200"/>
      <c r="I967" s="201"/>
      <c r="J967" s="201"/>
      <c r="K967" s="201"/>
      <c r="L967" s="192"/>
      <c r="M967" s="204"/>
      <c r="N967" s="200"/>
      <c r="O967" s="192"/>
      <c r="P967" s="192"/>
      <c r="Q967" s="192"/>
      <c r="R967" s="192"/>
      <c r="S967" s="204"/>
      <c r="T967" s="203"/>
      <c r="U967" s="153"/>
      <c r="V967" s="153"/>
      <c r="W967" s="153"/>
      <c r="X967" s="153"/>
      <c r="Y967" s="153"/>
      <c r="Z967" s="153"/>
    </row>
    <row r="968" spans="1:26">
      <c r="A968" s="769"/>
      <c r="B968" s="200"/>
      <c r="C968" s="200"/>
      <c r="D968" s="200"/>
      <c r="E968" s="200"/>
      <c r="F968" s="200"/>
      <c r="G968" s="200"/>
      <c r="H968" s="200"/>
      <c r="I968" s="201"/>
      <c r="J968" s="201"/>
      <c r="K968" s="201"/>
      <c r="L968" s="192"/>
      <c r="M968" s="204"/>
      <c r="N968" s="200"/>
      <c r="O968" s="192"/>
      <c r="P968" s="192"/>
      <c r="Q968" s="192"/>
      <c r="R968" s="192"/>
      <c r="S968" s="204"/>
      <c r="T968" s="203"/>
      <c r="U968" s="153"/>
      <c r="V968" s="153"/>
      <c r="W968" s="153"/>
      <c r="X968" s="153"/>
      <c r="Y968" s="153"/>
      <c r="Z968" s="153"/>
    </row>
    <row r="969" spans="1:26">
      <c r="A969" s="769"/>
      <c r="B969" s="200"/>
      <c r="C969" s="200"/>
      <c r="D969" s="200"/>
      <c r="E969" s="200"/>
      <c r="F969" s="200"/>
      <c r="G969" s="200"/>
      <c r="H969" s="200"/>
      <c r="I969" s="201"/>
      <c r="J969" s="201"/>
      <c r="K969" s="201"/>
      <c r="L969" s="192"/>
      <c r="M969" s="204"/>
      <c r="N969" s="200"/>
      <c r="O969" s="192"/>
      <c r="P969" s="192"/>
      <c r="Q969" s="192"/>
      <c r="R969" s="192"/>
      <c r="S969" s="204"/>
      <c r="T969" s="203"/>
      <c r="U969" s="153"/>
      <c r="V969" s="153"/>
      <c r="W969" s="153"/>
      <c r="X969" s="153"/>
      <c r="Y969" s="153"/>
      <c r="Z969" s="153"/>
    </row>
    <row r="970" spans="1:26">
      <c r="A970" s="769"/>
      <c r="B970" s="200"/>
      <c r="C970" s="200"/>
      <c r="D970" s="200"/>
      <c r="E970" s="200"/>
      <c r="F970" s="200"/>
      <c r="G970" s="200"/>
      <c r="H970" s="200"/>
      <c r="I970" s="201"/>
      <c r="J970" s="201"/>
      <c r="K970" s="201"/>
      <c r="L970" s="192"/>
      <c r="M970" s="204"/>
      <c r="N970" s="200"/>
      <c r="O970" s="192"/>
      <c r="P970" s="192"/>
      <c r="Q970" s="192"/>
      <c r="R970" s="192"/>
      <c r="S970" s="204"/>
      <c r="T970" s="203"/>
      <c r="U970" s="153"/>
      <c r="V970" s="153"/>
      <c r="W970" s="153"/>
      <c r="X970" s="153"/>
      <c r="Y970" s="153"/>
      <c r="Z970" s="153"/>
    </row>
    <row r="971" spans="1:26">
      <c r="A971" s="769"/>
      <c r="B971" s="200"/>
      <c r="C971" s="200"/>
      <c r="D971" s="200"/>
      <c r="E971" s="200"/>
      <c r="F971" s="200"/>
      <c r="G971" s="200"/>
      <c r="H971" s="200"/>
      <c r="I971" s="201"/>
      <c r="J971" s="201"/>
      <c r="K971" s="201"/>
      <c r="L971" s="192"/>
      <c r="M971" s="204"/>
      <c r="N971" s="200"/>
      <c r="O971" s="192"/>
      <c r="P971" s="192"/>
      <c r="Q971" s="192"/>
      <c r="R971" s="192"/>
      <c r="S971" s="204"/>
      <c r="T971" s="203"/>
      <c r="U971" s="153"/>
      <c r="V971" s="153"/>
      <c r="W971" s="153"/>
      <c r="X971" s="153"/>
      <c r="Y971" s="153"/>
      <c r="Z971" s="153"/>
    </row>
    <row r="972" spans="1:26">
      <c r="A972" s="769"/>
      <c r="B972" s="200"/>
      <c r="C972" s="200"/>
      <c r="D972" s="200"/>
      <c r="E972" s="200"/>
      <c r="F972" s="200"/>
      <c r="G972" s="200"/>
      <c r="H972" s="200"/>
      <c r="I972" s="201"/>
      <c r="J972" s="201"/>
      <c r="K972" s="201"/>
      <c r="L972" s="192"/>
      <c r="M972" s="204"/>
      <c r="N972" s="200"/>
      <c r="O972" s="192"/>
      <c r="P972" s="192"/>
      <c r="Q972" s="192"/>
      <c r="R972" s="192"/>
      <c r="S972" s="204"/>
      <c r="T972" s="203"/>
      <c r="U972" s="153"/>
      <c r="V972" s="153"/>
      <c r="W972" s="153"/>
      <c r="X972" s="153"/>
      <c r="Y972" s="153"/>
      <c r="Z972" s="153"/>
    </row>
    <row r="973" spans="1:26">
      <c r="A973" s="769"/>
      <c r="B973" s="200"/>
      <c r="C973" s="200"/>
      <c r="D973" s="200"/>
      <c r="E973" s="200"/>
      <c r="F973" s="200"/>
      <c r="G973" s="200"/>
      <c r="H973" s="200"/>
      <c r="I973" s="201"/>
      <c r="J973" s="201"/>
      <c r="K973" s="201"/>
      <c r="L973" s="192"/>
      <c r="M973" s="204"/>
      <c r="N973" s="200"/>
      <c r="O973" s="192"/>
      <c r="P973" s="192"/>
      <c r="Q973" s="192"/>
      <c r="R973" s="192"/>
      <c r="S973" s="204"/>
      <c r="T973" s="203"/>
      <c r="U973" s="153"/>
      <c r="V973" s="153"/>
      <c r="W973" s="153"/>
      <c r="X973" s="153"/>
      <c r="Y973" s="153"/>
      <c r="Z973" s="153"/>
    </row>
    <row r="974" spans="1:26">
      <c r="A974" s="769"/>
      <c r="B974" s="200"/>
      <c r="C974" s="200"/>
      <c r="D974" s="200"/>
      <c r="E974" s="200"/>
      <c r="F974" s="200"/>
      <c r="G974" s="200"/>
      <c r="H974" s="200"/>
      <c r="I974" s="201"/>
      <c r="J974" s="201"/>
      <c r="K974" s="201"/>
      <c r="L974" s="192"/>
      <c r="M974" s="204"/>
      <c r="N974" s="200"/>
      <c r="O974" s="192"/>
      <c r="P974" s="192"/>
      <c r="Q974" s="192"/>
      <c r="R974" s="192"/>
      <c r="S974" s="204"/>
      <c r="T974" s="203"/>
      <c r="U974" s="153"/>
      <c r="V974" s="153"/>
      <c r="W974" s="153"/>
      <c r="X974" s="153"/>
      <c r="Y974" s="153"/>
      <c r="Z974" s="153"/>
    </row>
    <row r="975" spans="1:26">
      <c r="A975" s="769"/>
      <c r="B975" s="200"/>
      <c r="C975" s="200"/>
      <c r="D975" s="200"/>
      <c r="E975" s="200"/>
      <c r="F975" s="200"/>
      <c r="G975" s="200"/>
      <c r="H975" s="200"/>
      <c r="I975" s="201"/>
      <c r="J975" s="201"/>
      <c r="K975" s="201"/>
      <c r="L975" s="192"/>
      <c r="M975" s="204"/>
      <c r="N975" s="200"/>
      <c r="O975" s="192"/>
      <c r="P975" s="192"/>
      <c r="Q975" s="192"/>
      <c r="R975" s="192"/>
      <c r="S975" s="204"/>
      <c r="T975" s="203"/>
      <c r="U975" s="153"/>
      <c r="V975" s="153"/>
      <c r="W975" s="153"/>
      <c r="X975" s="153"/>
      <c r="Y975" s="153"/>
      <c r="Z975" s="153"/>
    </row>
    <row r="976" spans="1:26">
      <c r="A976" s="769"/>
      <c r="B976" s="200"/>
      <c r="C976" s="200"/>
      <c r="D976" s="200"/>
      <c r="E976" s="200"/>
      <c r="F976" s="200"/>
      <c r="G976" s="200"/>
      <c r="H976" s="200"/>
      <c r="I976" s="201"/>
      <c r="J976" s="201"/>
      <c r="K976" s="201"/>
      <c r="L976" s="192"/>
      <c r="M976" s="204"/>
      <c r="N976" s="200"/>
      <c r="O976" s="192"/>
      <c r="P976" s="192"/>
      <c r="Q976" s="192"/>
      <c r="R976" s="192"/>
      <c r="S976" s="204"/>
      <c r="T976" s="203"/>
      <c r="U976" s="153"/>
      <c r="V976" s="153"/>
      <c r="W976" s="153"/>
      <c r="X976" s="153"/>
      <c r="Y976" s="153"/>
      <c r="Z976" s="153"/>
    </row>
    <row r="977" spans="1:26">
      <c r="A977" s="769"/>
      <c r="B977" s="200"/>
      <c r="C977" s="200"/>
      <c r="D977" s="200"/>
      <c r="E977" s="200"/>
      <c r="F977" s="200"/>
      <c r="G977" s="200"/>
      <c r="H977" s="200"/>
      <c r="I977" s="201"/>
      <c r="J977" s="201"/>
      <c r="K977" s="201"/>
      <c r="L977" s="192"/>
      <c r="M977" s="204"/>
      <c r="N977" s="200"/>
      <c r="O977" s="192"/>
      <c r="P977" s="192"/>
      <c r="Q977" s="192"/>
      <c r="R977" s="192"/>
      <c r="S977" s="204"/>
      <c r="T977" s="203"/>
      <c r="U977" s="153"/>
      <c r="V977" s="153"/>
      <c r="W977" s="153"/>
      <c r="X977" s="153"/>
      <c r="Y977" s="153"/>
      <c r="Z977" s="153"/>
    </row>
    <row r="978" spans="1:26">
      <c r="A978" s="769"/>
      <c r="B978" s="200"/>
      <c r="C978" s="200"/>
      <c r="D978" s="200"/>
      <c r="E978" s="200"/>
      <c r="F978" s="200"/>
      <c r="G978" s="200"/>
      <c r="H978" s="200"/>
      <c r="I978" s="201"/>
      <c r="J978" s="201"/>
      <c r="K978" s="201"/>
      <c r="L978" s="192"/>
      <c r="M978" s="204"/>
      <c r="N978" s="200"/>
      <c r="O978" s="192"/>
      <c r="P978" s="192"/>
      <c r="Q978" s="192"/>
      <c r="R978" s="192"/>
      <c r="S978" s="204"/>
      <c r="T978" s="203"/>
      <c r="U978" s="153"/>
      <c r="V978" s="153"/>
      <c r="W978" s="153"/>
      <c r="X978" s="153"/>
      <c r="Y978" s="153"/>
      <c r="Z978" s="153"/>
    </row>
    <row r="979" spans="1:26">
      <c r="A979" s="769"/>
      <c r="B979" s="200"/>
      <c r="C979" s="200"/>
      <c r="D979" s="200"/>
      <c r="E979" s="200"/>
      <c r="F979" s="200"/>
      <c r="G979" s="200"/>
      <c r="H979" s="200"/>
      <c r="I979" s="201"/>
      <c r="J979" s="201"/>
      <c r="K979" s="201"/>
      <c r="L979" s="192"/>
      <c r="M979" s="204"/>
      <c r="N979" s="200"/>
      <c r="O979" s="192"/>
      <c r="P979" s="192"/>
      <c r="Q979" s="192"/>
      <c r="R979" s="192"/>
      <c r="S979" s="204"/>
      <c r="T979" s="203"/>
      <c r="U979" s="153"/>
      <c r="V979" s="153"/>
      <c r="W979" s="153"/>
      <c r="X979" s="153"/>
      <c r="Y979" s="153"/>
      <c r="Z979" s="153"/>
    </row>
    <row r="980" spans="1:26">
      <c r="A980" s="769"/>
      <c r="B980" s="200"/>
      <c r="C980" s="200"/>
      <c r="D980" s="200"/>
      <c r="E980" s="200"/>
      <c r="F980" s="200"/>
      <c r="G980" s="200"/>
      <c r="H980" s="200"/>
      <c r="I980" s="201"/>
      <c r="J980" s="201"/>
      <c r="K980" s="201"/>
      <c r="L980" s="192"/>
      <c r="M980" s="204"/>
      <c r="N980" s="200"/>
      <c r="O980" s="192"/>
      <c r="P980" s="192"/>
      <c r="Q980" s="192"/>
      <c r="R980" s="192"/>
      <c r="S980" s="204"/>
      <c r="T980" s="203"/>
      <c r="U980" s="153"/>
      <c r="V980" s="153"/>
      <c r="W980" s="153"/>
      <c r="X980" s="153"/>
      <c r="Y980" s="153"/>
      <c r="Z980" s="153"/>
    </row>
    <row r="981" spans="1:26">
      <c r="A981" s="769"/>
      <c r="B981" s="200"/>
      <c r="C981" s="200"/>
      <c r="D981" s="200"/>
      <c r="E981" s="200"/>
      <c r="F981" s="200"/>
      <c r="G981" s="200"/>
      <c r="H981" s="200"/>
      <c r="I981" s="201"/>
      <c r="J981" s="201"/>
      <c r="K981" s="201"/>
      <c r="L981" s="192"/>
      <c r="M981" s="204"/>
      <c r="N981" s="200"/>
      <c r="O981" s="192"/>
      <c r="P981" s="192"/>
      <c r="Q981" s="192"/>
      <c r="R981" s="192"/>
      <c r="S981" s="204"/>
      <c r="T981" s="203"/>
      <c r="U981" s="153"/>
      <c r="V981" s="153"/>
      <c r="W981" s="153"/>
      <c r="X981" s="153"/>
      <c r="Y981" s="153"/>
      <c r="Z981" s="153"/>
    </row>
    <row r="982" spans="1:26">
      <c r="A982" s="769"/>
      <c r="B982" s="200"/>
      <c r="C982" s="200"/>
      <c r="D982" s="200"/>
      <c r="E982" s="200"/>
      <c r="F982" s="200"/>
      <c r="G982" s="200"/>
      <c r="H982" s="200"/>
      <c r="I982" s="201"/>
      <c r="J982" s="201"/>
      <c r="K982" s="201"/>
      <c r="L982" s="192"/>
      <c r="M982" s="204"/>
      <c r="N982" s="200"/>
      <c r="O982" s="192"/>
      <c r="P982" s="192"/>
      <c r="Q982" s="192"/>
      <c r="R982" s="192"/>
      <c r="S982" s="204"/>
      <c r="T982" s="203"/>
      <c r="U982" s="153"/>
      <c r="V982" s="153"/>
      <c r="W982" s="153"/>
      <c r="X982" s="153"/>
      <c r="Y982" s="153"/>
      <c r="Z982" s="153"/>
    </row>
    <row r="983" spans="1:26">
      <c r="A983" s="769"/>
      <c r="B983" s="200"/>
      <c r="C983" s="200"/>
      <c r="D983" s="200"/>
      <c r="E983" s="200"/>
      <c r="F983" s="200"/>
      <c r="G983" s="200"/>
      <c r="H983" s="200"/>
      <c r="I983" s="201"/>
      <c r="J983" s="201"/>
      <c r="K983" s="201"/>
      <c r="L983" s="192"/>
      <c r="M983" s="204"/>
      <c r="N983" s="200"/>
      <c r="O983" s="192"/>
      <c r="P983" s="192"/>
      <c r="Q983" s="192"/>
      <c r="R983" s="192"/>
      <c r="S983" s="204"/>
      <c r="T983" s="203"/>
      <c r="U983" s="153"/>
      <c r="V983" s="153"/>
      <c r="W983" s="153"/>
      <c r="X983" s="153"/>
      <c r="Y983" s="153"/>
      <c r="Z983" s="153"/>
    </row>
    <row r="984" spans="1:26">
      <c r="A984" s="769"/>
      <c r="B984" s="200"/>
      <c r="C984" s="200"/>
      <c r="D984" s="200"/>
      <c r="E984" s="200"/>
      <c r="F984" s="200"/>
      <c r="G984" s="200"/>
      <c r="H984" s="200"/>
      <c r="I984" s="201"/>
      <c r="J984" s="201"/>
      <c r="K984" s="201"/>
      <c r="L984" s="192"/>
      <c r="M984" s="204"/>
      <c r="N984" s="200"/>
      <c r="O984" s="192"/>
      <c r="P984" s="192"/>
      <c r="Q984" s="192"/>
      <c r="R984" s="192"/>
      <c r="S984" s="204"/>
      <c r="T984" s="203"/>
      <c r="U984" s="153"/>
      <c r="V984" s="153"/>
      <c r="W984" s="153"/>
      <c r="X984" s="153"/>
      <c r="Y984" s="153"/>
      <c r="Z984" s="153"/>
    </row>
    <row r="985" spans="1:26">
      <c r="A985" s="769"/>
      <c r="B985" s="200"/>
      <c r="C985" s="200"/>
      <c r="D985" s="200"/>
      <c r="E985" s="200"/>
      <c r="F985" s="200"/>
      <c r="G985" s="200"/>
      <c r="H985" s="200"/>
      <c r="I985" s="201"/>
      <c r="J985" s="201"/>
      <c r="K985" s="201"/>
      <c r="L985" s="192"/>
      <c r="M985" s="204"/>
      <c r="N985" s="200"/>
      <c r="O985" s="192"/>
      <c r="P985" s="192"/>
      <c r="Q985" s="192"/>
      <c r="R985" s="192"/>
      <c r="S985" s="204"/>
      <c r="T985" s="203"/>
      <c r="U985" s="153"/>
      <c r="V985" s="153"/>
      <c r="W985" s="153"/>
      <c r="X985" s="153"/>
      <c r="Y985" s="153"/>
      <c r="Z985" s="153"/>
    </row>
    <row r="986" spans="1:26">
      <c r="A986" s="769"/>
      <c r="B986" s="200"/>
      <c r="C986" s="200"/>
      <c r="D986" s="200"/>
      <c r="E986" s="200"/>
      <c r="F986" s="200"/>
      <c r="G986" s="200"/>
      <c r="H986" s="200"/>
      <c r="I986" s="201"/>
      <c r="J986" s="201"/>
      <c r="K986" s="201"/>
      <c r="L986" s="192"/>
      <c r="M986" s="204"/>
      <c r="N986" s="200"/>
      <c r="O986" s="192"/>
      <c r="P986" s="192"/>
      <c r="Q986" s="192"/>
      <c r="R986" s="192"/>
      <c r="S986" s="204"/>
      <c r="T986" s="203"/>
      <c r="U986" s="153"/>
      <c r="V986" s="153"/>
      <c r="W986" s="153"/>
      <c r="X986" s="153"/>
      <c r="Y986" s="153"/>
      <c r="Z986" s="153"/>
    </row>
    <row r="987" spans="1:26">
      <c r="A987" s="769"/>
      <c r="B987" s="200"/>
      <c r="C987" s="200"/>
      <c r="D987" s="200"/>
      <c r="E987" s="200"/>
      <c r="F987" s="200"/>
      <c r="G987" s="200"/>
      <c r="H987" s="200"/>
      <c r="I987" s="201"/>
      <c r="J987" s="201"/>
      <c r="K987" s="201"/>
      <c r="L987" s="192"/>
      <c r="M987" s="204"/>
      <c r="N987" s="200"/>
      <c r="O987" s="192"/>
      <c r="P987" s="192"/>
      <c r="Q987" s="192"/>
      <c r="R987" s="192"/>
      <c r="S987" s="204"/>
      <c r="T987" s="203"/>
      <c r="U987" s="153"/>
      <c r="V987" s="153"/>
      <c r="W987" s="153"/>
      <c r="X987" s="153"/>
      <c r="Y987" s="153"/>
      <c r="Z987" s="153"/>
    </row>
    <row r="988" spans="1:26">
      <c r="A988" s="769"/>
      <c r="B988" s="200"/>
      <c r="C988" s="200"/>
      <c r="D988" s="200"/>
      <c r="E988" s="200"/>
      <c r="F988" s="200"/>
      <c r="G988" s="200"/>
      <c r="H988" s="200"/>
      <c r="I988" s="201"/>
      <c r="J988" s="201"/>
      <c r="K988" s="201"/>
      <c r="L988" s="192"/>
      <c r="M988" s="204"/>
      <c r="N988" s="200"/>
      <c r="O988" s="192"/>
      <c r="P988" s="192"/>
      <c r="Q988" s="192"/>
      <c r="R988" s="192"/>
      <c r="S988" s="204"/>
      <c r="T988" s="203"/>
      <c r="U988" s="153"/>
      <c r="V988" s="153"/>
      <c r="W988" s="153"/>
      <c r="X988" s="153"/>
      <c r="Y988" s="153"/>
      <c r="Z988" s="153"/>
    </row>
    <row r="989" spans="1:26">
      <c r="A989" s="769"/>
      <c r="B989" s="200"/>
      <c r="C989" s="200"/>
      <c r="D989" s="200"/>
      <c r="E989" s="200"/>
      <c r="F989" s="200"/>
      <c r="G989" s="200"/>
      <c r="H989" s="200"/>
      <c r="I989" s="201"/>
      <c r="J989" s="201"/>
      <c r="K989" s="201"/>
      <c r="L989" s="192"/>
      <c r="M989" s="204"/>
      <c r="N989" s="200"/>
      <c r="O989" s="192"/>
      <c r="P989" s="192"/>
      <c r="Q989" s="192"/>
      <c r="R989" s="192"/>
      <c r="S989" s="204"/>
      <c r="T989" s="203"/>
      <c r="U989" s="153"/>
      <c r="V989" s="153"/>
      <c r="W989" s="153"/>
      <c r="X989" s="153"/>
      <c r="Y989" s="153"/>
      <c r="Z989" s="153"/>
    </row>
    <row r="990" spans="1:26">
      <c r="A990" s="769"/>
      <c r="B990" s="200"/>
      <c r="C990" s="200"/>
      <c r="D990" s="200"/>
      <c r="E990" s="200"/>
      <c r="F990" s="200"/>
      <c r="G990" s="200"/>
      <c r="H990" s="200"/>
      <c r="I990" s="201"/>
      <c r="J990" s="201"/>
      <c r="K990" s="201"/>
      <c r="L990" s="192"/>
      <c r="M990" s="204"/>
      <c r="N990" s="200"/>
      <c r="O990" s="192"/>
      <c r="P990" s="192"/>
      <c r="Q990" s="192"/>
      <c r="R990" s="192"/>
      <c r="S990" s="204"/>
      <c r="T990" s="203"/>
      <c r="U990" s="153"/>
      <c r="V990" s="153"/>
      <c r="W990" s="153"/>
      <c r="X990" s="153"/>
      <c r="Y990" s="153"/>
      <c r="Z990" s="153"/>
    </row>
    <row r="991" spans="1:26">
      <c r="A991" s="769"/>
      <c r="B991" s="200"/>
      <c r="C991" s="200"/>
      <c r="D991" s="200"/>
      <c r="E991" s="200"/>
      <c r="F991" s="200"/>
      <c r="G991" s="200"/>
      <c r="H991" s="200"/>
      <c r="I991" s="201"/>
      <c r="J991" s="201"/>
      <c r="K991" s="201"/>
      <c r="L991" s="192"/>
      <c r="M991" s="204"/>
      <c r="N991" s="200"/>
      <c r="O991" s="192"/>
      <c r="P991" s="192"/>
      <c r="Q991" s="192"/>
      <c r="R991" s="192"/>
      <c r="S991" s="204"/>
      <c r="T991" s="203"/>
      <c r="U991" s="153"/>
      <c r="V991" s="153"/>
      <c r="W991" s="153"/>
      <c r="X991" s="153"/>
      <c r="Y991" s="153"/>
      <c r="Z991" s="153"/>
    </row>
    <row r="992" spans="1:26">
      <c r="A992" s="769"/>
      <c r="B992" s="200"/>
      <c r="C992" s="200"/>
      <c r="D992" s="200"/>
      <c r="E992" s="200"/>
      <c r="F992" s="200"/>
      <c r="G992" s="200"/>
      <c r="H992" s="200"/>
      <c r="I992" s="201"/>
      <c r="J992" s="201"/>
      <c r="K992" s="201"/>
      <c r="L992" s="192"/>
      <c r="M992" s="204"/>
      <c r="N992" s="200"/>
      <c r="O992" s="192"/>
      <c r="P992" s="192"/>
      <c r="Q992" s="192"/>
      <c r="R992" s="192"/>
      <c r="S992" s="204"/>
      <c r="T992" s="203"/>
      <c r="U992" s="153"/>
      <c r="V992" s="153"/>
      <c r="W992" s="153"/>
      <c r="X992" s="153"/>
      <c r="Y992" s="153"/>
      <c r="Z992" s="153"/>
    </row>
    <row r="993" spans="1:26">
      <c r="A993" s="769"/>
      <c r="B993" s="200"/>
      <c r="C993" s="200"/>
      <c r="D993" s="200"/>
      <c r="E993" s="200"/>
      <c r="F993" s="200"/>
      <c r="G993" s="200"/>
      <c r="H993" s="200"/>
      <c r="I993" s="201"/>
      <c r="J993" s="201"/>
      <c r="K993" s="201"/>
      <c r="L993" s="192"/>
      <c r="M993" s="204"/>
      <c r="N993" s="200"/>
      <c r="O993" s="192"/>
      <c r="P993" s="192"/>
      <c r="Q993" s="192"/>
      <c r="R993" s="192"/>
      <c r="S993" s="204"/>
      <c r="T993" s="203"/>
      <c r="U993" s="153"/>
      <c r="V993" s="153"/>
      <c r="W993" s="153"/>
      <c r="X993" s="153"/>
      <c r="Y993" s="153"/>
      <c r="Z993" s="153"/>
    </row>
    <row r="994" spans="1:26">
      <c r="A994" s="769"/>
      <c r="B994" s="200"/>
      <c r="C994" s="200"/>
      <c r="D994" s="200"/>
      <c r="E994" s="200"/>
      <c r="F994" s="200"/>
      <c r="G994" s="200"/>
      <c r="H994" s="200"/>
      <c r="I994" s="201"/>
      <c r="J994" s="201"/>
      <c r="K994" s="201"/>
      <c r="L994" s="192"/>
      <c r="M994" s="204"/>
      <c r="N994" s="200"/>
      <c r="O994" s="192"/>
      <c r="P994" s="192"/>
      <c r="Q994" s="192"/>
      <c r="R994" s="192"/>
      <c r="S994" s="204"/>
      <c r="T994" s="203"/>
      <c r="U994" s="153"/>
      <c r="V994" s="153"/>
      <c r="W994" s="153"/>
      <c r="X994" s="153"/>
      <c r="Y994" s="153"/>
      <c r="Z994" s="153"/>
    </row>
    <row r="995" spans="1:26">
      <c r="A995" s="769"/>
      <c r="B995" s="200"/>
      <c r="C995" s="200"/>
      <c r="D995" s="200"/>
      <c r="E995" s="200"/>
      <c r="F995" s="200"/>
      <c r="G995" s="200"/>
      <c r="H995" s="200"/>
      <c r="I995" s="201"/>
      <c r="J995" s="201"/>
      <c r="K995" s="201"/>
      <c r="L995" s="192"/>
      <c r="M995" s="204"/>
      <c r="N995" s="200"/>
      <c r="O995" s="192"/>
      <c r="P995" s="192"/>
      <c r="Q995" s="192"/>
      <c r="R995" s="192"/>
      <c r="S995" s="204"/>
      <c r="T995" s="203"/>
      <c r="U995" s="153"/>
      <c r="V995" s="153"/>
      <c r="W995" s="153"/>
      <c r="X995" s="153"/>
      <c r="Y995" s="153"/>
      <c r="Z995" s="153"/>
    </row>
    <row r="996" spans="1:26">
      <c r="A996" s="769"/>
      <c r="B996" s="200"/>
      <c r="C996" s="200"/>
      <c r="D996" s="200"/>
      <c r="E996" s="200"/>
      <c r="F996" s="200"/>
      <c r="G996" s="200"/>
      <c r="H996" s="200"/>
      <c r="I996" s="201"/>
      <c r="J996" s="201"/>
      <c r="K996" s="201"/>
      <c r="L996" s="192"/>
      <c r="M996" s="204"/>
      <c r="N996" s="200"/>
      <c r="O996" s="192"/>
      <c r="P996" s="192"/>
      <c r="Q996" s="192"/>
      <c r="R996" s="192"/>
      <c r="S996" s="204"/>
      <c r="T996" s="203"/>
      <c r="U996" s="153"/>
      <c r="V996" s="153"/>
      <c r="W996" s="153"/>
      <c r="X996" s="153"/>
      <c r="Y996" s="153"/>
      <c r="Z996" s="153"/>
    </row>
    <row r="997" spans="1:26">
      <c r="A997" s="769"/>
      <c r="B997" s="200"/>
      <c r="C997" s="200"/>
      <c r="D997" s="200"/>
      <c r="E997" s="200"/>
      <c r="F997" s="200"/>
      <c r="G997" s="200"/>
      <c r="H997" s="200"/>
      <c r="I997" s="201"/>
      <c r="J997" s="201"/>
      <c r="K997" s="201"/>
      <c r="L997" s="192"/>
      <c r="M997" s="204"/>
      <c r="N997" s="200"/>
      <c r="O997" s="192"/>
      <c r="P997" s="192"/>
      <c r="Q997" s="192"/>
      <c r="R997" s="192"/>
      <c r="S997" s="204"/>
      <c r="T997" s="203"/>
      <c r="U997" s="153"/>
      <c r="V997" s="153"/>
      <c r="W997" s="153"/>
      <c r="X997" s="153"/>
      <c r="Y997" s="153"/>
      <c r="Z997" s="153"/>
    </row>
    <row r="998" spans="1:26">
      <c r="A998" s="769"/>
      <c r="B998" s="200"/>
      <c r="C998" s="200"/>
      <c r="D998" s="200"/>
      <c r="E998" s="200"/>
      <c r="F998" s="200"/>
      <c r="G998" s="200"/>
      <c r="H998" s="200"/>
      <c r="I998" s="201"/>
      <c r="J998" s="201"/>
      <c r="K998" s="201"/>
      <c r="L998" s="192"/>
      <c r="M998" s="204"/>
      <c r="N998" s="200"/>
      <c r="O998" s="192"/>
      <c r="P998" s="192"/>
      <c r="Q998" s="192"/>
      <c r="R998" s="192"/>
      <c r="S998" s="204"/>
      <c r="T998" s="203"/>
      <c r="U998" s="153"/>
      <c r="V998" s="153"/>
      <c r="W998" s="153"/>
      <c r="X998" s="153"/>
      <c r="Y998" s="153"/>
      <c r="Z998" s="153"/>
    </row>
    <row r="999" spans="1:26">
      <c r="A999" s="769"/>
      <c r="B999" s="200"/>
      <c r="C999" s="200"/>
      <c r="D999" s="200"/>
      <c r="E999" s="200"/>
      <c r="F999" s="200"/>
      <c r="G999" s="200"/>
      <c r="H999" s="200"/>
      <c r="I999" s="201"/>
      <c r="J999" s="201"/>
      <c r="K999" s="201"/>
      <c r="L999" s="192"/>
      <c r="M999" s="204"/>
      <c r="N999" s="200"/>
      <c r="O999" s="192"/>
      <c r="P999" s="192"/>
      <c r="Q999" s="192"/>
      <c r="R999" s="192"/>
      <c r="S999" s="204"/>
      <c r="T999" s="203"/>
      <c r="U999" s="153"/>
      <c r="V999" s="153"/>
      <c r="W999" s="153"/>
      <c r="X999" s="153"/>
      <c r="Y999" s="153"/>
      <c r="Z999" s="153"/>
    </row>
    <row r="1000" spans="1:26">
      <c r="A1000" s="769"/>
      <c r="B1000" s="200"/>
      <c r="C1000" s="200"/>
      <c r="D1000" s="200"/>
      <c r="E1000" s="200"/>
      <c r="F1000" s="200"/>
      <c r="G1000" s="200"/>
      <c r="H1000" s="200"/>
      <c r="I1000" s="201"/>
      <c r="J1000" s="201"/>
      <c r="K1000" s="201"/>
      <c r="L1000" s="192"/>
      <c r="M1000" s="204"/>
      <c r="N1000" s="200"/>
      <c r="O1000" s="192"/>
      <c r="P1000" s="192"/>
      <c r="Q1000" s="192"/>
      <c r="R1000" s="192"/>
      <c r="S1000" s="204"/>
      <c r="T1000" s="203"/>
      <c r="U1000" s="153"/>
      <c r="V1000" s="153"/>
      <c r="W1000" s="153"/>
      <c r="X1000" s="153"/>
      <c r="Y1000" s="153"/>
      <c r="Z1000" s="153"/>
    </row>
    <row r="1001" spans="1:26">
      <c r="A1001" s="769"/>
      <c r="B1001" s="200"/>
      <c r="C1001" s="200"/>
      <c r="D1001" s="200"/>
      <c r="E1001" s="200"/>
      <c r="F1001" s="200"/>
      <c r="G1001" s="200"/>
      <c r="H1001" s="200"/>
      <c r="I1001" s="201"/>
      <c r="J1001" s="201"/>
      <c r="K1001" s="201"/>
      <c r="L1001" s="192"/>
      <c r="M1001" s="204"/>
      <c r="N1001" s="200"/>
      <c r="O1001" s="192"/>
      <c r="P1001" s="192"/>
      <c r="Q1001" s="192"/>
      <c r="R1001" s="192"/>
      <c r="S1001" s="204"/>
      <c r="T1001" s="203"/>
      <c r="U1001" s="153"/>
      <c r="V1001" s="153"/>
      <c r="W1001" s="153"/>
      <c r="X1001" s="153"/>
      <c r="Y1001" s="153"/>
      <c r="Z1001" s="153"/>
    </row>
    <row r="1002" spans="1:26">
      <c r="A1002" s="769"/>
      <c r="B1002" s="200"/>
      <c r="C1002" s="200"/>
      <c r="D1002" s="200"/>
      <c r="E1002" s="200"/>
      <c r="F1002" s="200"/>
      <c r="G1002" s="200"/>
      <c r="H1002" s="200"/>
      <c r="I1002" s="201"/>
      <c r="J1002" s="201"/>
      <c r="K1002" s="201"/>
      <c r="L1002" s="192"/>
      <c r="M1002" s="204"/>
      <c r="N1002" s="200"/>
      <c r="O1002" s="192"/>
      <c r="P1002" s="192"/>
      <c r="Q1002" s="192"/>
      <c r="R1002" s="192"/>
      <c r="S1002" s="204"/>
      <c r="T1002" s="203"/>
      <c r="U1002" s="153"/>
      <c r="V1002" s="153"/>
      <c r="W1002" s="153"/>
      <c r="X1002" s="153"/>
      <c r="Y1002" s="153"/>
      <c r="Z1002" s="153"/>
    </row>
    <row r="1003" spans="1:26">
      <c r="A1003" s="769"/>
      <c r="B1003" s="200"/>
      <c r="C1003" s="200"/>
      <c r="D1003" s="200"/>
      <c r="E1003" s="200"/>
      <c r="F1003" s="200"/>
      <c r="G1003" s="200"/>
      <c r="H1003" s="200"/>
      <c r="I1003" s="201"/>
      <c r="J1003" s="201"/>
      <c r="K1003" s="201"/>
      <c r="L1003" s="192"/>
      <c r="M1003" s="204"/>
      <c r="N1003" s="200"/>
      <c r="O1003" s="192"/>
      <c r="P1003" s="192"/>
      <c r="Q1003" s="192"/>
      <c r="R1003" s="192"/>
      <c r="S1003" s="204"/>
      <c r="T1003" s="203"/>
      <c r="U1003" s="153"/>
      <c r="V1003" s="153"/>
      <c r="W1003" s="153"/>
      <c r="X1003" s="153"/>
      <c r="Y1003" s="153"/>
      <c r="Z1003" s="153"/>
    </row>
    <row r="1004" spans="1:26">
      <c r="A1004" s="769"/>
      <c r="B1004" s="200"/>
      <c r="C1004" s="200"/>
      <c r="D1004" s="200"/>
      <c r="E1004" s="200"/>
      <c r="F1004" s="200"/>
      <c r="G1004" s="200"/>
      <c r="H1004" s="200"/>
      <c r="I1004" s="201"/>
      <c r="J1004" s="201"/>
      <c r="K1004" s="201"/>
      <c r="L1004" s="192"/>
      <c r="M1004" s="204"/>
      <c r="N1004" s="200"/>
      <c r="O1004" s="192"/>
      <c r="P1004" s="192"/>
      <c r="Q1004" s="192"/>
      <c r="R1004" s="192"/>
      <c r="S1004" s="204"/>
      <c r="T1004" s="203"/>
      <c r="U1004" s="153"/>
      <c r="V1004" s="153"/>
      <c r="W1004" s="153"/>
      <c r="X1004" s="153"/>
      <c r="Y1004" s="153"/>
      <c r="Z1004" s="153"/>
    </row>
    <row r="1005" spans="1:26">
      <c r="A1005" s="769"/>
      <c r="B1005" s="200"/>
      <c r="C1005" s="200"/>
      <c r="D1005" s="200"/>
      <c r="E1005" s="200"/>
      <c r="F1005" s="200"/>
      <c r="G1005" s="200"/>
      <c r="H1005" s="200"/>
      <c r="I1005" s="201"/>
      <c r="J1005" s="201"/>
      <c r="K1005" s="201"/>
      <c r="L1005" s="192"/>
      <c r="M1005" s="204"/>
      <c r="N1005" s="200"/>
      <c r="O1005" s="192"/>
      <c r="P1005" s="192"/>
      <c r="Q1005" s="192"/>
      <c r="R1005" s="192"/>
      <c r="S1005" s="204"/>
      <c r="T1005" s="203"/>
      <c r="U1005" s="153"/>
      <c r="V1005" s="153"/>
      <c r="W1005" s="153"/>
      <c r="X1005" s="153"/>
      <c r="Y1005" s="153"/>
      <c r="Z1005" s="153"/>
    </row>
    <row r="1006" spans="1:26">
      <c r="A1006" s="769"/>
      <c r="B1006" s="200"/>
      <c r="C1006" s="200"/>
      <c r="D1006" s="200"/>
      <c r="E1006" s="200"/>
      <c r="F1006" s="200"/>
      <c r="G1006" s="200"/>
      <c r="H1006" s="200"/>
      <c r="I1006" s="201"/>
      <c r="J1006" s="201"/>
      <c r="K1006" s="201"/>
      <c r="L1006" s="192"/>
      <c r="M1006" s="204"/>
      <c r="N1006" s="200"/>
      <c r="O1006" s="192"/>
      <c r="P1006" s="192"/>
      <c r="Q1006" s="192"/>
      <c r="R1006" s="192"/>
      <c r="S1006" s="204"/>
      <c r="T1006" s="203"/>
      <c r="U1006" s="153"/>
      <c r="V1006" s="153"/>
      <c r="W1006" s="153"/>
      <c r="X1006" s="153"/>
      <c r="Y1006" s="153"/>
      <c r="Z1006" s="153"/>
    </row>
    <row r="1007" spans="1:26">
      <c r="A1007" s="769"/>
      <c r="B1007" s="200"/>
      <c r="C1007" s="200"/>
      <c r="D1007" s="200"/>
      <c r="E1007" s="200"/>
      <c r="F1007" s="200"/>
      <c r="G1007" s="200"/>
      <c r="H1007" s="200"/>
      <c r="I1007" s="201"/>
      <c r="J1007" s="201"/>
      <c r="K1007" s="201"/>
      <c r="L1007" s="192"/>
      <c r="M1007" s="204"/>
      <c r="N1007" s="200"/>
      <c r="O1007" s="192"/>
      <c r="P1007" s="192"/>
      <c r="Q1007" s="192"/>
      <c r="R1007" s="192"/>
      <c r="S1007" s="204"/>
      <c r="T1007" s="203"/>
      <c r="U1007" s="153"/>
      <c r="V1007" s="153"/>
      <c r="W1007" s="153"/>
      <c r="X1007" s="153"/>
      <c r="Y1007" s="153"/>
      <c r="Z1007" s="153"/>
    </row>
    <row r="1008" spans="1:26">
      <c r="A1008" s="769"/>
      <c r="B1008" s="200"/>
      <c r="C1008" s="200"/>
      <c r="D1008" s="200"/>
      <c r="E1008" s="200"/>
      <c r="F1008" s="200"/>
      <c r="G1008" s="200"/>
      <c r="H1008" s="200"/>
      <c r="I1008" s="201"/>
      <c r="J1008" s="201"/>
      <c r="K1008" s="201"/>
      <c r="L1008" s="192"/>
      <c r="M1008" s="204"/>
      <c r="N1008" s="200"/>
      <c r="O1008" s="192"/>
      <c r="P1008" s="192"/>
      <c r="Q1008" s="192"/>
      <c r="R1008" s="192"/>
      <c r="S1008" s="204"/>
      <c r="T1008" s="203"/>
      <c r="U1008" s="153"/>
      <c r="V1008" s="153"/>
      <c r="W1008" s="153"/>
      <c r="X1008" s="153"/>
      <c r="Y1008" s="153"/>
      <c r="Z1008" s="153"/>
    </row>
    <row r="1009" spans="1:26">
      <c r="A1009" s="769"/>
      <c r="B1009" s="200"/>
      <c r="C1009" s="200"/>
      <c r="D1009" s="200"/>
      <c r="E1009" s="200"/>
      <c r="F1009" s="200"/>
      <c r="G1009" s="200"/>
      <c r="H1009" s="200"/>
      <c r="I1009" s="201"/>
      <c r="J1009" s="201"/>
      <c r="K1009" s="201"/>
      <c r="L1009" s="192"/>
      <c r="M1009" s="204"/>
      <c r="N1009" s="200"/>
      <c r="O1009" s="192"/>
      <c r="P1009" s="192"/>
      <c r="Q1009" s="192"/>
      <c r="R1009" s="192"/>
      <c r="S1009" s="204"/>
      <c r="T1009" s="203"/>
      <c r="U1009" s="153"/>
      <c r="V1009" s="153"/>
      <c r="W1009" s="153"/>
      <c r="X1009" s="153"/>
      <c r="Y1009" s="153"/>
      <c r="Z1009" s="153"/>
    </row>
    <row r="1010" spans="1:26">
      <c r="A1010" s="769"/>
      <c r="B1010" s="200"/>
      <c r="C1010" s="200"/>
      <c r="D1010" s="200"/>
      <c r="E1010" s="200"/>
      <c r="F1010" s="200"/>
      <c r="G1010" s="200"/>
      <c r="H1010" s="200"/>
      <c r="I1010" s="201"/>
      <c r="J1010" s="201"/>
      <c r="K1010" s="201"/>
      <c r="L1010" s="192"/>
      <c r="M1010" s="204"/>
      <c r="N1010" s="200"/>
      <c r="O1010" s="192"/>
      <c r="P1010" s="192"/>
      <c r="Q1010" s="192"/>
      <c r="R1010" s="192"/>
      <c r="S1010" s="204"/>
      <c r="T1010" s="203"/>
      <c r="U1010" s="153"/>
      <c r="V1010" s="153"/>
      <c r="W1010" s="153"/>
      <c r="X1010" s="153"/>
      <c r="Y1010" s="153"/>
      <c r="Z1010" s="153"/>
    </row>
    <row r="1011" spans="1:26">
      <c r="A1011" s="769"/>
      <c r="B1011" s="200"/>
      <c r="C1011" s="200"/>
      <c r="D1011" s="200"/>
      <c r="E1011" s="200"/>
      <c r="F1011" s="200"/>
      <c r="G1011" s="200"/>
      <c r="H1011" s="200"/>
      <c r="I1011" s="201"/>
      <c r="J1011" s="201"/>
      <c r="K1011" s="201"/>
      <c r="L1011" s="192"/>
      <c r="M1011" s="204"/>
      <c r="N1011" s="200"/>
      <c r="O1011" s="192"/>
      <c r="P1011" s="192"/>
      <c r="Q1011" s="192"/>
      <c r="R1011" s="192"/>
      <c r="S1011" s="204"/>
      <c r="T1011" s="203"/>
      <c r="U1011" s="153"/>
      <c r="V1011" s="153"/>
      <c r="W1011" s="153"/>
      <c r="X1011" s="153"/>
      <c r="Y1011" s="153"/>
      <c r="Z1011" s="153"/>
    </row>
    <row r="1012" spans="1:26">
      <c r="A1012" s="769"/>
      <c r="B1012" s="200"/>
      <c r="C1012" s="200"/>
      <c r="D1012" s="200"/>
      <c r="E1012" s="200"/>
      <c r="F1012" s="200"/>
      <c r="G1012" s="200"/>
      <c r="H1012" s="200"/>
      <c r="I1012" s="201"/>
      <c r="J1012" s="201"/>
      <c r="K1012" s="201"/>
      <c r="L1012" s="192"/>
      <c r="M1012" s="204"/>
      <c r="N1012" s="200"/>
      <c r="O1012" s="192"/>
      <c r="P1012" s="192"/>
      <c r="Q1012" s="192"/>
      <c r="R1012" s="192"/>
      <c r="S1012" s="204"/>
      <c r="T1012" s="203"/>
      <c r="U1012" s="153"/>
      <c r="V1012" s="153"/>
      <c r="W1012" s="153"/>
      <c r="X1012" s="153"/>
      <c r="Y1012" s="153"/>
      <c r="Z1012" s="153"/>
    </row>
    <row r="1013" spans="1:26">
      <c r="A1013" s="769"/>
      <c r="B1013" s="200"/>
      <c r="C1013" s="200"/>
      <c r="D1013" s="200"/>
      <c r="E1013" s="200"/>
      <c r="F1013" s="200"/>
      <c r="G1013" s="200"/>
      <c r="H1013" s="200"/>
      <c r="I1013" s="201"/>
      <c r="J1013" s="201"/>
      <c r="K1013" s="201"/>
      <c r="L1013" s="192"/>
      <c r="M1013" s="204"/>
      <c r="N1013" s="200"/>
      <c r="O1013" s="192"/>
      <c r="P1013" s="192"/>
      <c r="Q1013" s="192"/>
      <c r="R1013" s="192"/>
      <c r="S1013" s="204"/>
      <c r="T1013" s="203"/>
      <c r="U1013" s="153"/>
      <c r="V1013" s="153"/>
      <c r="W1013" s="153"/>
      <c r="X1013" s="153"/>
      <c r="Y1013" s="153"/>
      <c r="Z1013" s="153"/>
    </row>
    <row r="1014" spans="1:26">
      <c r="A1014" s="769"/>
      <c r="B1014" s="200"/>
      <c r="C1014" s="200"/>
      <c r="D1014" s="200"/>
      <c r="E1014" s="200"/>
      <c r="F1014" s="200"/>
      <c r="G1014" s="200"/>
      <c r="H1014" s="200"/>
      <c r="I1014" s="201"/>
      <c r="J1014" s="201"/>
      <c r="K1014" s="201"/>
      <c r="L1014" s="192"/>
      <c r="M1014" s="204"/>
      <c r="N1014" s="200"/>
      <c r="O1014" s="192"/>
      <c r="P1014" s="192"/>
      <c r="Q1014" s="192"/>
      <c r="R1014" s="192"/>
      <c r="S1014" s="204"/>
      <c r="T1014" s="203"/>
      <c r="U1014" s="153"/>
      <c r="V1014" s="153"/>
      <c r="W1014" s="153"/>
      <c r="X1014" s="153"/>
      <c r="Y1014" s="153"/>
      <c r="Z1014" s="153"/>
    </row>
    <row r="1015" spans="1:26">
      <c r="A1015" s="769"/>
      <c r="B1015" s="200"/>
      <c r="C1015" s="200"/>
      <c r="D1015" s="200"/>
      <c r="E1015" s="200"/>
      <c r="F1015" s="200"/>
      <c r="G1015" s="200"/>
      <c r="H1015" s="200"/>
      <c r="I1015" s="201"/>
      <c r="J1015" s="201"/>
      <c r="K1015" s="201"/>
      <c r="L1015" s="192"/>
      <c r="M1015" s="204"/>
      <c r="N1015" s="200"/>
      <c r="O1015" s="192"/>
      <c r="P1015" s="192"/>
      <c r="Q1015" s="192"/>
      <c r="R1015" s="192"/>
      <c r="S1015" s="204"/>
      <c r="T1015" s="203"/>
      <c r="U1015" s="153"/>
      <c r="V1015" s="153"/>
      <c r="W1015" s="153"/>
      <c r="X1015" s="153"/>
      <c r="Y1015" s="153"/>
      <c r="Z1015" s="153"/>
    </row>
    <row r="1016" spans="1:26">
      <c r="A1016" s="769"/>
      <c r="B1016" s="200"/>
      <c r="C1016" s="200"/>
      <c r="D1016" s="200"/>
      <c r="E1016" s="200"/>
      <c r="F1016" s="200"/>
      <c r="G1016" s="200"/>
      <c r="H1016" s="200"/>
      <c r="I1016" s="201"/>
      <c r="J1016" s="201"/>
      <c r="K1016" s="201"/>
      <c r="L1016" s="192"/>
      <c r="M1016" s="204"/>
      <c r="N1016" s="200"/>
      <c r="O1016" s="192"/>
      <c r="P1016" s="192"/>
      <c r="Q1016" s="192"/>
      <c r="R1016" s="192"/>
      <c r="S1016" s="204"/>
      <c r="T1016" s="203"/>
      <c r="U1016" s="153"/>
      <c r="V1016" s="153"/>
      <c r="W1016" s="153"/>
      <c r="X1016" s="153"/>
      <c r="Y1016" s="153"/>
      <c r="Z1016" s="153"/>
    </row>
    <row r="1017" spans="1:26">
      <c r="A1017" s="769"/>
      <c r="B1017" s="200"/>
      <c r="C1017" s="200"/>
      <c r="D1017" s="200"/>
      <c r="E1017" s="200"/>
      <c r="F1017" s="200"/>
      <c r="G1017" s="200"/>
      <c r="H1017" s="200"/>
      <c r="I1017" s="201"/>
      <c r="J1017" s="201"/>
      <c r="K1017" s="201"/>
      <c r="L1017" s="192"/>
      <c r="M1017" s="204"/>
      <c r="N1017" s="200"/>
      <c r="O1017" s="192"/>
      <c r="P1017" s="192"/>
      <c r="Q1017" s="192"/>
      <c r="R1017" s="192"/>
      <c r="S1017" s="204"/>
      <c r="T1017" s="203"/>
      <c r="U1017" s="153"/>
      <c r="V1017" s="153"/>
      <c r="W1017" s="153"/>
      <c r="X1017" s="153"/>
      <c r="Y1017" s="153"/>
      <c r="Z1017" s="153"/>
    </row>
    <row r="1018" spans="1:26">
      <c r="A1018" s="769"/>
      <c r="B1018" s="200"/>
      <c r="C1018" s="200"/>
      <c r="D1018" s="200"/>
      <c r="E1018" s="200"/>
      <c r="F1018" s="200"/>
      <c r="G1018" s="200"/>
      <c r="H1018" s="200"/>
      <c r="I1018" s="201"/>
      <c r="J1018" s="201"/>
      <c r="K1018" s="201"/>
      <c r="L1018" s="192"/>
      <c r="M1018" s="204"/>
      <c r="N1018" s="200"/>
      <c r="O1018" s="192"/>
      <c r="P1018" s="192"/>
      <c r="Q1018" s="192"/>
      <c r="R1018" s="192"/>
      <c r="S1018" s="204"/>
      <c r="T1018" s="203"/>
      <c r="U1018" s="153"/>
      <c r="V1018" s="153"/>
      <c r="W1018" s="153"/>
      <c r="X1018" s="153"/>
      <c r="Y1018" s="153"/>
      <c r="Z1018" s="153"/>
    </row>
    <row r="1019" spans="1:26">
      <c r="A1019" s="769"/>
      <c r="B1019" s="200"/>
      <c r="C1019" s="200"/>
      <c r="D1019" s="200"/>
      <c r="E1019" s="200"/>
      <c r="F1019" s="200"/>
      <c r="G1019" s="200"/>
      <c r="H1019" s="200"/>
      <c r="I1019" s="201"/>
      <c r="J1019" s="201"/>
      <c r="K1019" s="201"/>
      <c r="L1019" s="192"/>
      <c r="M1019" s="204"/>
      <c r="N1019" s="200"/>
      <c r="O1019" s="192"/>
      <c r="P1019" s="192"/>
      <c r="Q1019" s="192"/>
      <c r="R1019" s="192"/>
      <c r="S1019" s="204"/>
      <c r="T1019" s="203"/>
      <c r="U1019" s="153"/>
      <c r="V1019" s="153"/>
      <c r="W1019" s="153"/>
      <c r="X1019" s="153"/>
      <c r="Y1019" s="153"/>
      <c r="Z1019" s="153"/>
    </row>
    <row r="1020" spans="1:26">
      <c r="A1020" s="769"/>
      <c r="B1020" s="200"/>
      <c r="C1020" s="200"/>
      <c r="D1020" s="200"/>
      <c r="E1020" s="200"/>
      <c r="F1020" s="200"/>
      <c r="G1020" s="200"/>
      <c r="H1020" s="200"/>
      <c r="I1020" s="201"/>
      <c r="J1020" s="201"/>
      <c r="K1020" s="201"/>
      <c r="L1020" s="192"/>
      <c r="M1020" s="204"/>
      <c r="N1020" s="200"/>
      <c r="O1020" s="192"/>
      <c r="P1020" s="192"/>
      <c r="Q1020" s="192"/>
      <c r="R1020" s="192"/>
      <c r="S1020" s="204"/>
      <c r="T1020" s="203"/>
      <c r="U1020" s="153"/>
      <c r="V1020" s="153"/>
      <c r="W1020" s="153"/>
      <c r="X1020" s="153"/>
      <c r="Y1020" s="153"/>
      <c r="Z1020" s="153"/>
    </row>
    <row r="1021" spans="1:26">
      <c r="A1021" s="769"/>
      <c r="B1021" s="200"/>
      <c r="C1021" s="200"/>
      <c r="D1021" s="200"/>
      <c r="E1021" s="200"/>
      <c r="F1021" s="200"/>
      <c r="G1021" s="200"/>
      <c r="H1021" s="200"/>
      <c r="I1021" s="201"/>
      <c r="J1021" s="201"/>
      <c r="K1021" s="201"/>
      <c r="L1021" s="192"/>
      <c r="M1021" s="204"/>
      <c r="N1021" s="200"/>
      <c r="O1021" s="192"/>
      <c r="P1021" s="192"/>
      <c r="Q1021" s="192"/>
      <c r="R1021" s="192"/>
      <c r="S1021" s="204"/>
      <c r="T1021" s="203"/>
      <c r="U1021" s="153"/>
      <c r="V1021" s="153"/>
      <c r="W1021" s="153"/>
      <c r="X1021" s="153"/>
      <c r="Y1021" s="153"/>
      <c r="Z1021" s="153"/>
    </row>
    <row r="1022" spans="1:26">
      <c r="A1022" s="769"/>
      <c r="B1022" s="200"/>
      <c r="C1022" s="200"/>
      <c r="D1022" s="200"/>
      <c r="E1022" s="200"/>
      <c r="F1022" s="200"/>
      <c r="G1022" s="200"/>
      <c r="H1022" s="200"/>
      <c r="I1022" s="201"/>
      <c r="J1022" s="201"/>
      <c r="K1022" s="201"/>
      <c r="L1022" s="192"/>
      <c r="M1022" s="204"/>
      <c r="N1022" s="200"/>
      <c r="O1022" s="192"/>
      <c r="P1022" s="192"/>
      <c r="Q1022" s="192"/>
      <c r="R1022" s="192"/>
      <c r="S1022" s="204"/>
      <c r="T1022" s="203"/>
      <c r="U1022" s="153"/>
      <c r="V1022" s="153"/>
      <c r="W1022" s="153"/>
      <c r="X1022" s="153"/>
      <c r="Y1022" s="153"/>
      <c r="Z1022" s="153"/>
    </row>
    <row r="1023" spans="1:26">
      <c r="A1023" s="769"/>
      <c r="B1023" s="200"/>
      <c r="C1023" s="200"/>
      <c r="D1023" s="200"/>
      <c r="E1023" s="200"/>
      <c r="F1023" s="200"/>
      <c r="G1023" s="200"/>
      <c r="H1023" s="200"/>
      <c r="I1023" s="201"/>
      <c r="J1023" s="201"/>
      <c r="K1023" s="201"/>
      <c r="L1023" s="192"/>
      <c r="M1023" s="204"/>
      <c r="N1023" s="200"/>
      <c r="O1023" s="192"/>
      <c r="P1023" s="192"/>
      <c r="Q1023" s="192"/>
      <c r="R1023" s="192"/>
      <c r="S1023" s="204"/>
      <c r="T1023" s="203"/>
      <c r="U1023" s="153"/>
      <c r="V1023" s="153"/>
      <c r="W1023" s="153"/>
      <c r="X1023" s="153"/>
      <c r="Y1023" s="153"/>
      <c r="Z1023" s="153"/>
    </row>
    <row r="1024" spans="1:26">
      <c r="A1024" s="769"/>
      <c r="B1024" s="200"/>
      <c r="C1024" s="200"/>
      <c r="D1024" s="200"/>
      <c r="E1024" s="200"/>
      <c r="F1024" s="200"/>
      <c r="G1024" s="200"/>
      <c r="H1024" s="200"/>
      <c r="I1024" s="201"/>
      <c r="J1024" s="201"/>
      <c r="K1024" s="201"/>
      <c r="L1024" s="192"/>
      <c r="M1024" s="204"/>
      <c r="N1024" s="200"/>
      <c r="O1024" s="192"/>
      <c r="P1024" s="192"/>
      <c r="Q1024" s="192"/>
      <c r="R1024" s="192"/>
      <c r="S1024" s="204"/>
      <c r="T1024" s="203"/>
      <c r="U1024" s="153"/>
      <c r="V1024" s="153"/>
      <c r="W1024" s="153"/>
      <c r="X1024" s="153"/>
      <c r="Y1024" s="153"/>
      <c r="Z1024" s="153"/>
    </row>
    <row r="1025" spans="1:26">
      <c r="A1025" s="769"/>
      <c r="B1025" s="200"/>
      <c r="C1025" s="200"/>
      <c r="D1025" s="200"/>
      <c r="E1025" s="200"/>
      <c r="F1025" s="200"/>
      <c r="G1025" s="200"/>
      <c r="H1025" s="200"/>
      <c r="I1025" s="201"/>
      <c r="J1025" s="201"/>
      <c r="K1025" s="201"/>
      <c r="L1025" s="192"/>
      <c r="M1025" s="204"/>
      <c r="N1025" s="200"/>
      <c r="O1025" s="192"/>
      <c r="P1025" s="192"/>
      <c r="Q1025" s="192"/>
      <c r="R1025" s="192"/>
      <c r="S1025" s="204"/>
      <c r="T1025" s="203"/>
      <c r="U1025" s="153"/>
      <c r="V1025" s="153"/>
      <c r="W1025" s="153"/>
      <c r="X1025" s="153"/>
      <c r="Y1025" s="153"/>
      <c r="Z1025" s="153"/>
    </row>
    <row r="1026" spans="1:26">
      <c r="A1026" s="769"/>
      <c r="B1026" s="200"/>
      <c r="C1026" s="200"/>
      <c r="D1026" s="200"/>
      <c r="E1026" s="200"/>
      <c r="F1026" s="200"/>
      <c r="G1026" s="200"/>
      <c r="H1026" s="200"/>
      <c r="I1026" s="201"/>
      <c r="J1026" s="201"/>
      <c r="K1026" s="201"/>
      <c r="L1026" s="192"/>
      <c r="M1026" s="204"/>
      <c r="N1026" s="200"/>
      <c r="O1026" s="192"/>
      <c r="P1026" s="192"/>
      <c r="Q1026" s="192"/>
      <c r="R1026" s="192"/>
      <c r="S1026" s="204"/>
      <c r="T1026" s="203"/>
      <c r="U1026" s="153"/>
      <c r="V1026" s="153"/>
      <c r="W1026" s="153"/>
      <c r="X1026" s="153"/>
      <c r="Y1026" s="153"/>
      <c r="Z1026" s="153"/>
    </row>
    <row r="1027" spans="1:26">
      <c r="A1027" s="769"/>
      <c r="B1027" s="200"/>
      <c r="C1027" s="200"/>
      <c r="D1027" s="200"/>
      <c r="E1027" s="200"/>
      <c r="F1027" s="200"/>
      <c r="G1027" s="200"/>
      <c r="H1027" s="200"/>
      <c r="I1027" s="201"/>
      <c r="J1027" s="201"/>
      <c r="K1027" s="201"/>
      <c r="L1027" s="192"/>
      <c r="M1027" s="204"/>
      <c r="N1027" s="200"/>
      <c r="O1027" s="192"/>
      <c r="P1027" s="192"/>
      <c r="Q1027" s="192"/>
      <c r="R1027" s="192"/>
      <c r="S1027" s="204"/>
      <c r="T1027" s="203"/>
      <c r="U1027" s="153"/>
      <c r="V1027" s="153"/>
      <c r="W1027" s="153"/>
      <c r="X1027" s="153"/>
      <c r="Y1027" s="153"/>
      <c r="Z1027" s="153"/>
    </row>
    <row r="1028" spans="1:26">
      <c r="A1028" s="769"/>
      <c r="B1028" s="200"/>
      <c r="C1028" s="200"/>
      <c r="D1028" s="200"/>
      <c r="E1028" s="200"/>
      <c r="F1028" s="200"/>
      <c r="G1028" s="200"/>
      <c r="H1028" s="200"/>
      <c r="I1028" s="201"/>
      <c r="J1028" s="201"/>
      <c r="K1028" s="201"/>
      <c r="L1028" s="192"/>
      <c r="M1028" s="204"/>
      <c r="N1028" s="200"/>
      <c r="O1028" s="192"/>
      <c r="P1028" s="192"/>
      <c r="Q1028" s="192"/>
      <c r="R1028" s="192"/>
      <c r="S1028" s="204"/>
      <c r="T1028" s="203"/>
      <c r="U1028" s="153"/>
      <c r="V1028" s="153"/>
      <c r="W1028" s="153"/>
      <c r="X1028" s="153"/>
      <c r="Y1028" s="153"/>
      <c r="Z1028" s="153"/>
    </row>
    <row r="1029" spans="1:26">
      <c r="A1029" s="769"/>
      <c r="B1029" s="200"/>
      <c r="C1029" s="200"/>
      <c r="D1029" s="200"/>
      <c r="E1029" s="200"/>
      <c r="F1029" s="200"/>
      <c r="G1029" s="200"/>
      <c r="H1029" s="200"/>
      <c r="I1029" s="201"/>
      <c r="J1029" s="201"/>
      <c r="K1029" s="201"/>
      <c r="L1029" s="192"/>
      <c r="M1029" s="204"/>
      <c r="N1029" s="200"/>
      <c r="O1029" s="192"/>
      <c r="P1029" s="192"/>
      <c r="Q1029" s="192"/>
      <c r="R1029" s="192"/>
      <c r="S1029" s="204"/>
      <c r="T1029" s="203"/>
      <c r="U1029" s="153"/>
      <c r="V1029" s="153"/>
      <c r="W1029" s="153"/>
      <c r="X1029" s="153"/>
      <c r="Y1029" s="153"/>
      <c r="Z1029" s="153"/>
    </row>
    <row r="1030" spans="1:26">
      <c r="A1030" s="769"/>
      <c r="B1030" s="200"/>
      <c r="C1030" s="200"/>
      <c r="D1030" s="200"/>
      <c r="E1030" s="200"/>
      <c r="F1030" s="200"/>
      <c r="G1030" s="200"/>
      <c r="H1030" s="200"/>
      <c r="I1030" s="201"/>
      <c r="J1030" s="201"/>
      <c r="K1030" s="201"/>
      <c r="L1030" s="192"/>
      <c r="M1030" s="204"/>
      <c r="N1030" s="200"/>
      <c r="O1030" s="192"/>
      <c r="P1030" s="192"/>
      <c r="Q1030" s="192"/>
      <c r="R1030" s="192"/>
      <c r="S1030" s="204"/>
      <c r="T1030" s="203"/>
      <c r="U1030" s="153"/>
      <c r="V1030" s="153"/>
      <c r="W1030" s="153"/>
      <c r="X1030" s="153"/>
      <c r="Y1030" s="153"/>
      <c r="Z1030" s="153"/>
    </row>
    <row r="1031" spans="1:26">
      <c r="A1031" s="676"/>
      <c r="B1031" s="200"/>
      <c r="C1031" s="200"/>
      <c r="D1031" s="200"/>
      <c r="E1031" s="200"/>
      <c r="F1031" s="200"/>
      <c r="G1031" s="200"/>
      <c r="H1031" s="200"/>
      <c r="I1031" s="201"/>
      <c r="J1031" s="201"/>
      <c r="K1031" s="201"/>
      <c r="L1031" s="192"/>
      <c r="M1031" s="202"/>
      <c r="N1031" s="200"/>
      <c r="O1031" s="192"/>
      <c r="P1031" s="192"/>
      <c r="Q1031" s="192"/>
      <c r="R1031" s="192"/>
      <c r="S1031" s="202"/>
      <c r="T1031" s="203"/>
      <c r="U1031" s="153"/>
      <c r="V1031" s="153"/>
      <c r="W1031" s="153"/>
      <c r="X1031" s="153"/>
      <c r="Y1031" s="153"/>
      <c r="Z1031" s="153"/>
    </row>
    <row r="1032" spans="1:26">
      <c r="A1032" s="769"/>
      <c r="B1032" s="200"/>
      <c r="C1032" s="200"/>
      <c r="D1032" s="200"/>
      <c r="E1032" s="200"/>
      <c r="F1032" s="200"/>
      <c r="G1032" s="200"/>
      <c r="H1032" s="200"/>
      <c r="I1032" s="201"/>
      <c r="J1032" s="201"/>
      <c r="K1032" s="201"/>
      <c r="L1032" s="192"/>
      <c r="M1032" s="202"/>
      <c r="N1032" s="200"/>
      <c r="O1032" s="192"/>
      <c r="P1032" s="192"/>
      <c r="Q1032" s="192"/>
      <c r="R1032" s="192"/>
      <c r="S1032" s="202"/>
      <c r="T1032" s="203"/>
      <c r="U1032" s="153"/>
      <c r="V1032" s="153"/>
      <c r="W1032" s="153"/>
      <c r="X1032" s="153"/>
      <c r="Y1032" s="153"/>
      <c r="Z1032" s="153"/>
    </row>
    <row r="1033" spans="1:26">
      <c r="A1033" s="769"/>
      <c r="B1033" s="200"/>
      <c r="C1033" s="200"/>
      <c r="D1033" s="200"/>
      <c r="E1033" s="200"/>
      <c r="F1033" s="200"/>
      <c r="G1033" s="200"/>
      <c r="H1033" s="200"/>
      <c r="I1033" s="201"/>
      <c r="J1033" s="201"/>
      <c r="K1033" s="201"/>
      <c r="L1033" s="192"/>
      <c r="M1033" s="202"/>
      <c r="N1033" s="200"/>
      <c r="O1033" s="192"/>
      <c r="P1033" s="192"/>
      <c r="Q1033" s="192"/>
      <c r="R1033" s="192"/>
      <c r="S1033" s="202"/>
      <c r="T1033" s="203"/>
      <c r="U1033" s="153"/>
      <c r="V1033" s="153"/>
      <c r="W1033" s="153"/>
      <c r="X1033" s="153"/>
      <c r="Y1033" s="153"/>
      <c r="Z1033" s="153"/>
    </row>
    <row r="1034" spans="1:26">
      <c r="A1034" s="769"/>
      <c r="B1034" s="200"/>
      <c r="C1034" s="200"/>
      <c r="D1034" s="200"/>
      <c r="E1034" s="200"/>
      <c r="F1034" s="200"/>
      <c r="G1034" s="200"/>
      <c r="H1034" s="200"/>
      <c r="I1034" s="201"/>
      <c r="J1034" s="201"/>
      <c r="K1034" s="201"/>
      <c r="L1034" s="192"/>
      <c r="M1034" s="202"/>
      <c r="N1034" s="200"/>
      <c r="O1034" s="192"/>
      <c r="P1034" s="192"/>
      <c r="Q1034" s="192"/>
      <c r="R1034" s="192"/>
      <c r="S1034" s="202"/>
      <c r="T1034" s="203"/>
      <c r="U1034" s="153"/>
      <c r="V1034" s="153"/>
      <c r="W1034" s="153"/>
      <c r="X1034" s="153"/>
      <c r="Y1034" s="153"/>
      <c r="Z1034" s="153"/>
    </row>
    <row r="1035" spans="1:26">
      <c r="A1035" s="769"/>
      <c r="B1035" s="200"/>
      <c r="C1035" s="200"/>
      <c r="D1035" s="200"/>
      <c r="E1035" s="200"/>
      <c r="F1035" s="200"/>
      <c r="G1035" s="200"/>
      <c r="H1035" s="200"/>
      <c r="I1035" s="201"/>
      <c r="J1035" s="201"/>
      <c r="K1035" s="201"/>
      <c r="L1035" s="192"/>
      <c r="M1035" s="202"/>
      <c r="N1035" s="200"/>
      <c r="O1035" s="192"/>
      <c r="P1035" s="192"/>
      <c r="Q1035" s="192"/>
      <c r="R1035" s="192"/>
      <c r="S1035" s="202"/>
      <c r="T1035" s="203"/>
      <c r="U1035" s="153"/>
      <c r="V1035" s="153"/>
      <c r="W1035" s="153"/>
      <c r="X1035" s="153"/>
      <c r="Y1035" s="153"/>
      <c r="Z1035" s="153"/>
    </row>
    <row r="1036" spans="1:26">
      <c r="A1036" s="769"/>
      <c r="B1036" s="200"/>
      <c r="C1036" s="200"/>
      <c r="D1036" s="200"/>
      <c r="E1036" s="200"/>
      <c r="F1036" s="200"/>
      <c r="G1036" s="200"/>
      <c r="H1036" s="200"/>
      <c r="I1036" s="201"/>
      <c r="J1036" s="201"/>
      <c r="K1036" s="201"/>
      <c r="L1036" s="192"/>
      <c r="M1036" s="202"/>
      <c r="N1036" s="200"/>
      <c r="O1036" s="192"/>
      <c r="P1036" s="192"/>
      <c r="Q1036" s="192"/>
      <c r="R1036" s="192"/>
      <c r="S1036" s="202"/>
      <c r="T1036" s="203"/>
      <c r="U1036" s="153"/>
      <c r="V1036" s="153"/>
      <c r="W1036" s="153"/>
      <c r="X1036" s="153"/>
      <c r="Y1036" s="153"/>
      <c r="Z1036" s="153"/>
    </row>
    <row r="1037" spans="1:26">
      <c r="A1037" s="769"/>
      <c r="B1037" s="200"/>
      <c r="C1037" s="200"/>
      <c r="D1037" s="200"/>
      <c r="E1037" s="200"/>
      <c r="F1037" s="200"/>
      <c r="G1037" s="200"/>
      <c r="H1037" s="200"/>
      <c r="I1037" s="201"/>
      <c r="J1037" s="201"/>
      <c r="K1037" s="201"/>
      <c r="L1037" s="192"/>
      <c r="M1037" s="202"/>
      <c r="N1037" s="200"/>
      <c r="O1037" s="192"/>
      <c r="P1037" s="192"/>
      <c r="Q1037" s="192"/>
      <c r="R1037" s="192"/>
      <c r="S1037" s="202"/>
      <c r="T1037" s="203"/>
      <c r="U1037" s="153"/>
      <c r="V1037" s="153"/>
      <c r="W1037" s="153"/>
      <c r="X1037" s="153"/>
      <c r="Y1037" s="153"/>
      <c r="Z1037" s="153"/>
    </row>
    <row r="1038" spans="1:26">
      <c r="A1038" s="769"/>
      <c r="B1038" s="200"/>
      <c r="C1038" s="200"/>
      <c r="D1038" s="200"/>
      <c r="E1038" s="200"/>
      <c r="F1038" s="200"/>
      <c r="G1038" s="200"/>
      <c r="H1038" s="200"/>
      <c r="I1038" s="201"/>
      <c r="J1038" s="201"/>
      <c r="K1038" s="201"/>
      <c r="L1038" s="192"/>
      <c r="M1038" s="202"/>
      <c r="N1038" s="200"/>
      <c r="O1038" s="192"/>
      <c r="P1038" s="192"/>
      <c r="Q1038" s="192"/>
      <c r="R1038" s="192"/>
      <c r="S1038" s="202"/>
      <c r="T1038" s="203"/>
      <c r="U1038" s="153"/>
      <c r="V1038" s="153"/>
      <c r="W1038" s="153"/>
      <c r="X1038" s="153"/>
      <c r="Y1038" s="153"/>
      <c r="Z1038" s="153"/>
    </row>
    <row r="1039" spans="1:26">
      <c r="A1039" s="769"/>
      <c r="B1039" s="200"/>
      <c r="C1039" s="200"/>
      <c r="D1039" s="200"/>
      <c r="E1039" s="200"/>
      <c r="F1039" s="200"/>
      <c r="G1039" s="200"/>
      <c r="H1039" s="200"/>
      <c r="I1039" s="201"/>
      <c r="J1039" s="201"/>
      <c r="K1039" s="201"/>
      <c r="L1039" s="192"/>
      <c r="M1039" s="202"/>
      <c r="N1039" s="200"/>
      <c r="O1039" s="192"/>
      <c r="P1039" s="192"/>
      <c r="Q1039" s="192"/>
      <c r="R1039" s="192"/>
      <c r="S1039" s="202"/>
      <c r="T1039" s="203"/>
      <c r="U1039" s="153"/>
      <c r="V1039" s="153"/>
      <c r="W1039" s="153"/>
      <c r="X1039" s="153"/>
      <c r="Y1039" s="153"/>
      <c r="Z1039" s="153"/>
    </row>
    <row r="1040" spans="1:26">
      <c r="A1040" s="769"/>
      <c r="B1040" s="200"/>
      <c r="C1040" s="200"/>
      <c r="D1040" s="200"/>
      <c r="E1040" s="200"/>
      <c r="F1040" s="200"/>
      <c r="G1040" s="200"/>
      <c r="H1040" s="200"/>
      <c r="I1040" s="201"/>
      <c r="J1040" s="201"/>
      <c r="K1040" s="201"/>
      <c r="L1040" s="192"/>
      <c r="M1040" s="202"/>
      <c r="N1040" s="200"/>
      <c r="O1040" s="192"/>
      <c r="P1040" s="192"/>
      <c r="Q1040" s="192"/>
      <c r="R1040" s="192"/>
      <c r="S1040" s="202"/>
      <c r="T1040" s="203"/>
      <c r="U1040" s="153"/>
      <c r="V1040" s="153"/>
      <c r="W1040" s="153"/>
      <c r="X1040" s="153"/>
      <c r="Y1040" s="153"/>
      <c r="Z1040" s="153"/>
    </row>
    <row r="1041" spans="1:26">
      <c r="A1041" s="769"/>
      <c r="B1041" s="200"/>
      <c r="C1041" s="200"/>
      <c r="D1041" s="200"/>
      <c r="E1041" s="200"/>
      <c r="F1041" s="200"/>
      <c r="G1041" s="200"/>
      <c r="H1041" s="200"/>
      <c r="I1041" s="201"/>
      <c r="J1041" s="201"/>
      <c r="K1041" s="201"/>
      <c r="L1041" s="192"/>
      <c r="M1041" s="202"/>
      <c r="N1041" s="200"/>
      <c r="O1041" s="192"/>
      <c r="P1041" s="192"/>
      <c r="Q1041" s="192"/>
      <c r="R1041" s="192"/>
      <c r="S1041" s="202"/>
      <c r="T1041" s="203"/>
      <c r="U1041" s="153"/>
      <c r="V1041" s="153"/>
      <c r="W1041" s="153"/>
      <c r="X1041" s="153"/>
      <c r="Y1041" s="153"/>
      <c r="Z1041" s="153"/>
    </row>
    <row r="1042" spans="1:26">
      <c r="A1042" s="769"/>
      <c r="B1042" s="200"/>
      <c r="C1042" s="200"/>
      <c r="D1042" s="200"/>
      <c r="E1042" s="200"/>
      <c r="F1042" s="200"/>
      <c r="G1042" s="200"/>
      <c r="H1042" s="200"/>
      <c r="I1042" s="201"/>
      <c r="J1042" s="201"/>
      <c r="K1042" s="201"/>
      <c r="L1042" s="192"/>
      <c r="M1042" s="202"/>
      <c r="N1042" s="200"/>
      <c r="O1042" s="192"/>
      <c r="P1042" s="192"/>
      <c r="Q1042" s="192"/>
      <c r="R1042" s="192"/>
      <c r="S1042" s="202"/>
      <c r="T1042" s="203"/>
      <c r="U1042" s="153"/>
      <c r="V1042" s="153"/>
      <c r="W1042" s="153"/>
      <c r="X1042" s="153"/>
      <c r="Y1042" s="153"/>
      <c r="Z1042" s="153"/>
    </row>
    <row r="1043" spans="1:26">
      <c r="A1043" s="769"/>
      <c r="B1043" s="200"/>
      <c r="C1043" s="200"/>
      <c r="D1043" s="200"/>
      <c r="E1043" s="200"/>
      <c r="F1043" s="200"/>
      <c r="G1043" s="200"/>
      <c r="H1043" s="200"/>
      <c r="I1043" s="201"/>
      <c r="J1043" s="201"/>
      <c r="K1043" s="201"/>
      <c r="L1043" s="192"/>
      <c r="M1043" s="202"/>
      <c r="N1043" s="200"/>
      <c r="O1043" s="192"/>
      <c r="P1043" s="192"/>
      <c r="Q1043" s="192"/>
      <c r="R1043" s="192"/>
      <c r="S1043" s="202"/>
      <c r="T1043" s="203"/>
      <c r="U1043" s="153"/>
      <c r="V1043" s="153"/>
      <c r="W1043" s="153"/>
      <c r="X1043" s="153"/>
      <c r="Y1043" s="153"/>
      <c r="Z1043" s="153"/>
    </row>
    <row r="1044" spans="1:26">
      <c r="A1044" s="769"/>
      <c r="B1044" s="200"/>
      <c r="C1044" s="200"/>
      <c r="D1044" s="200"/>
      <c r="E1044" s="200"/>
      <c r="F1044" s="200"/>
      <c r="G1044" s="200"/>
      <c r="H1044" s="200"/>
      <c r="I1044" s="201"/>
      <c r="J1044" s="201"/>
      <c r="K1044" s="201"/>
      <c r="L1044" s="192"/>
      <c r="M1044" s="202"/>
      <c r="N1044" s="200"/>
      <c r="O1044" s="192"/>
      <c r="P1044" s="192"/>
      <c r="Q1044" s="192"/>
      <c r="R1044" s="192"/>
      <c r="S1044" s="202"/>
      <c r="T1044" s="203"/>
      <c r="U1044" s="153"/>
      <c r="V1044" s="153"/>
      <c r="W1044" s="153"/>
      <c r="X1044" s="153"/>
      <c r="Y1044" s="153"/>
      <c r="Z1044" s="153"/>
    </row>
    <row r="1045" spans="1:26">
      <c r="A1045" s="769"/>
      <c r="B1045" s="200"/>
      <c r="C1045" s="200"/>
      <c r="D1045" s="200"/>
      <c r="E1045" s="200"/>
      <c r="F1045" s="200"/>
      <c r="G1045" s="200"/>
      <c r="H1045" s="200"/>
      <c r="I1045" s="201"/>
      <c r="J1045" s="201"/>
      <c r="K1045" s="201"/>
      <c r="L1045" s="192"/>
      <c r="M1045" s="202"/>
      <c r="N1045" s="200"/>
      <c r="O1045" s="192"/>
      <c r="P1045" s="192"/>
      <c r="Q1045" s="192"/>
      <c r="R1045" s="192"/>
      <c r="S1045" s="202"/>
      <c r="T1045" s="203"/>
      <c r="U1045" s="153"/>
      <c r="V1045" s="153"/>
      <c r="W1045" s="153"/>
      <c r="X1045" s="153"/>
      <c r="Y1045" s="153"/>
      <c r="Z1045" s="153"/>
    </row>
    <row r="1046" spans="1:26">
      <c r="A1046" s="769"/>
      <c r="B1046" s="200"/>
      <c r="C1046" s="200"/>
      <c r="D1046" s="200"/>
      <c r="E1046" s="200"/>
      <c r="F1046" s="200"/>
      <c r="G1046" s="200"/>
      <c r="H1046" s="200"/>
      <c r="I1046" s="201"/>
      <c r="J1046" s="201"/>
      <c r="K1046" s="201"/>
      <c r="L1046" s="192"/>
      <c r="M1046" s="202"/>
      <c r="N1046" s="200"/>
      <c r="O1046" s="192"/>
      <c r="P1046" s="192"/>
      <c r="Q1046" s="192"/>
      <c r="R1046" s="192"/>
      <c r="S1046" s="202"/>
      <c r="T1046" s="203"/>
      <c r="U1046" s="153"/>
      <c r="V1046" s="153"/>
      <c r="W1046" s="153"/>
      <c r="X1046" s="153"/>
      <c r="Y1046" s="153"/>
      <c r="Z1046" s="153"/>
    </row>
    <row r="1047" spans="1:26">
      <c r="A1047" s="769"/>
      <c r="B1047" s="200"/>
      <c r="C1047" s="200"/>
      <c r="D1047" s="200"/>
      <c r="E1047" s="200"/>
      <c r="F1047" s="200"/>
      <c r="G1047" s="200"/>
      <c r="H1047" s="200"/>
      <c r="I1047" s="201"/>
      <c r="J1047" s="201"/>
      <c r="K1047" s="201"/>
      <c r="L1047" s="192"/>
      <c r="M1047" s="202"/>
      <c r="N1047" s="200"/>
      <c r="O1047" s="192"/>
      <c r="P1047" s="192"/>
      <c r="Q1047" s="192"/>
      <c r="R1047" s="192"/>
      <c r="S1047" s="202"/>
      <c r="T1047" s="203"/>
      <c r="U1047" s="153"/>
      <c r="V1047" s="153"/>
      <c r="W1047" s="153"/>
      <c r="X1047" s="153"/>
      <c r="Y1047" s="153"/>
      <c r="Z1047" s="153"/>
    </row>
    <row r="1048" spans="1:26">
      <c r="A1048" s="769"/>
      <c r="B1048" s="200"/>
      <c r="C1048" s="200"/>
      <c r="D1048" s="200"/>
      <c r="E1048" s="200"/>
      <c r="F1048" s="200"/>
      <c r="G1048" s="200"/>
      <c r="H1048" s="200"/>
      <c r="I1048" s="201"/>
      <c r="J1048" s="201"/>
      <c r="K1048" s="201"/>
      <c r="L1048" s="192"/>
      <c r="M1048" s="202"/>
      <c r="N1048" s="200"/>
      <c r="O1048" s="192"/>
      <c r="P1048" s="192"/>
      <c r="Q1048" s="192"/>
      <c r="R1048" s="192"/>
      <c r="S1048" s="202"/>
      <c r="T1048" s="203"/>
      <c r="U1048" s="153"/>
      <c r="V1048" s="153"/>
      <c r="W1048" s="153"/>
      <c r="X1048" s="153"/>
      <c r="Y1048" s="153"/>
      <c r="Z1048" s="153"/>
    </row>
    <row r="1049" spans="1:26">
      <c r="A1049" s="769"/>
      <c r="B1049" s="200"/>
      <c r="C1049" s="200"/>
      <c r="D1049" s="200"/>
      <c r="E1049" s="200"/>
      <c r="F1049" s="200"/>
      <c r="G1049" s="200"/>
      <c r="H1049" s="200"/>
      <c r="I1049" s="201"/>
      <c r="J1049" s="201"/>
      <c r="K1049" s="201"/>
      <c r="L1049" s="192"/>
      <c r="M1049" s="202"/>
      <c r="N1049" s="200"/>
      <c r="O1049" s="192"/>
      <c r="P1049" s="192"/>
      <c r="Q1049" s="192"/>
      <c r="R1049" s="192"/>
      <c r="S1049" s="202"/>
      <c r="T1049" s="203"/>
      <c r="U1049" s="153"/>
      <c r="V1049" s="153"/>
      <c r="W1049" s="153"/>
      <c r="X1049" s="153"/>
      <c r="Y1049" s="153"/>
      <c r="Z1049" s="153"/>
    </row>
    <row r="1050" spans="1:26">
      <c r="A1050" s="769"/>
      <c r="B1050" s="200"/>
      <c r="C1050" s="200"/>
      <c r="D1050" s="200"/>
      <c r="E1050" s="200"/>
      <c r="F1050" s="200"/>
      <c r="G1050" s="200"/>
      <c r="H1050" s="200"/>
      <c r="I1050" s="201"/>
      <c r="J1050" s="201"/>
      <c r="K1050" s="201"/>
      <c r="L1050" s="192"/>
      <c r="M1050" s="202"/>
      <c r="N1050" s="200"/>
      <c r="O1050" s="192"/>
      <c r="P1050" s="192"/>
      <c r="Q1050" s="192"/>
      <c r="R1050" s="192"/>
      <c r="S1050" s="202"/>
      <c r="T1050" s="203"/>
      <c r="U1050" s="153"/>
      <c r="V1050" s="153"/>
      <c r="W1050" s="153"/>
      <c r="X1050" s="153"/>
      <c r="Y1050" s="153"/>
      <c r="Z1050" s="153"/>
    </row>
    <row r="1051" spans="1:26">
      <c r="A1051" s="769"/>
      <c r="B1051" s="200"/>
      <c r="C1051" s="200"/>
      <c r="D1051" s="200"/>
      <c r="E1051" s="200"/>
      <c r="F1051" s="200"/>
      <c r="G1051" s="200"/>
      <c r="H1051" s="200"/>
      <c r="I1051" s="201"/>
      <c r="J1051" s="201"/>
      <c r="K1051" s="201"/>
      <c r="L1051" s="192"/>
      <c r="M1051" s="202"/>
      <c r="N1051" s="200"/>
      <c r="O1051" s="192"/>
      <c r="P1051" s="192"/>
      <c r="Q1051" s="192"/>
      <c r="R1051" s="192"/>
      <c r="S1051" s="202"/>
      <c r="T1051" s="203"/>
      <c r="U1051" s="153"/>
      <c r="V1051" s="153"/>
      <c r="W1051" s="153"/>
      <c r="X1051" s="153"/>
      <c r="Y1051" s="153"/>
      <c r="Z1051" s="153"/>
    </row>
    <row r="1052" spans="1:26">
      <c r="A1052" s="769"/>
      <c r="B1052" s="200"/>
      <c r="C1052" s="200"/>
      <c r="D1052" s="200"/>
      <c r="E1052" s="200"/>
      <c r="F1052" s="200"/>
      <c r="G1052" s="200"/>
      <c r="H1052" s="200"/>
      <c r="I1052" s="201"/>
      <c r="J1052" s="201"/>
      <c r="K1052" s="201"/>
      <c r="L1052" s="192"/>
      <c r="M1052" s="202"/>
      <c r="N1052" s="200"/>
      <c r="O1052" s="192"/>
      <c r="P1052" s="192"/>
      <c r="Q1052" s="192"/>
      <c r="R1052" s="192"/>
      <c r="S1052" s="202"/>
      <c r="T1052" s="203"/>
      <c r="U1052" s="153"/>
      <c r="V1052" s="153"/>
      <c r="W1052" s="153"/>
      <c r="X1052" s="153"/>
      <c r="Y1052" s="153"/>
      <c r="Z1052" s="153"/>
    </row>
    <row r="1053" spans="1:26">
      <c r="A1053" s="769"/>
      <c r="B1053" s="200"/>
      <c r="C1053" s="200"/>
      <c r="D1053" s="200"/>
      <c r="E1053" s="200"/>
      <c r="F1053" s="200"/>
      <c r="G1053" s="200"/>
      <c r="H1053" s="200"/>
      <c r="I1053" s="201"/>
      <c r="J1053" s="201"/>
      <c r="K1053" s="201"/>
      <c r="L1053" s="192"/>
      <c r="M1053" s="202"/>
      <c r="N1053" s="200"/>
      <c r="O1053" s="192"/>
      <c r="P1053" s="192"/>
      <c r="Q1053" s="192"/>
      <c r="R1053" s="192"/>
      <c r="S1053" s="202"/>
      <c r="T1053" s="203"/>
      <c r="U1053" s="153"/>
      <c r="V1053" s="153"/>
      <c r="W1053" s="153"/>
      <c r="X1053" s="153"/>
      <c r="Y1053" s="153"/>
      <c r="Z1053" s="153"/>
    </row>
    <row r="1054" spans="1:26">
      <c r="A1054" s="769"/>
      <c r="B1054" s="200"/>
      <c r="C1054" s="200"/>
      <c r="D1054" s="200"/>
      <c r="E1054" s="200"/>
      <c r="F1054" s="200"/>
      <c r="G1054" s="200"/>
      <c r="H1054" s="200"/>
      <c r="I1054" s="201"/>
      <c r="J1054" s="201"/>
      <c r="K1054" s="201"/>
      <c r="L1054" s="192"/>
      <c r="M1054" s="202"/>
      <c r="N1054" s="200"/>
      <c r="O1054" s="192"/>
      <c r="P1054" s="192"/>
      <c r="Q1054" s="192"/>
      <c r="R1054" s="192"/>
      <c r="S1054" s="202"/>
      <c r="T1054" s="203"/>
      <c r="U1054" s="153"/>
      <c r="V1054" s="153"/>
      <c r="W1054" s="153"/>
      <c r="X1054" s="153"/>
      <c r="Y1054" s="153"/>
      <c r="Z1054" s="153"/>
    </row>
    <row r="1055" spans="1:26">
      <c r="A1055" s="769"/>
      <c r="B1055" s="200"/>
      <c r="C1055" s="200"/>
      <c r="D1055" s="200"/>
      <c r="E1055" s="200"/>
      <c r="F1055" s="200"/>
      <c r="G1055" s="200"/>
      <c r="H1055" s="200"/>
      <c r="I1055" s="201"/>
      <c r="J1055" s="201"/>
      <c r="K1055" s="201"/>
      <c r="L1055" s="192"/>
      <c r="M1055" s="202"/>
      <c r="N1055" s="200"/>
      <c r="O1055" s="192"/>
      <c r="P1055" s="192"/>
      <c r="Q1055" s="192"/>
      <c r="R1055" s="192"/>
      <c r="S1055" s="202"/>
      <c r="T1055" s="203"/>
      <c r="U1055" s="153"/>
      <c r="V1055" s="153"/>
      <c r="W1055" s="153"/>
      <c r="X1055" s="153"/>
      <c r="Y1055" s="153"/>
      <c r="Z1055" s="153"/>
    </row>
    <row r="1056" spans="1:26">
      <c r="A1056" s="769"/>
      <c r="B1056" s="200"/>
      <c r="C1056" s="200"/>
      <c r="D1056" s="200"/>
      <c r="E1056" s="200"/>
      <c r="F1056" s="200"/>
      <c r="G1056" s="200"/>
      <c r="H1056" s="200"/>
      <c r="I1056" s="201"/>
      <c r="J1056" s="201"/>
      <c r="K1056" s="201"/>
      <c r="L1056" s="192"/>
      <c r="M1056" s="202"/>
      <c r="N1056" s="200"/>
      <c r="O1056" s="192"/>
      <c r="P1056" s="192"/>
      <c r="Q1056" s="192"/>
      <c r="R1056" s="192"/>
      <c r="S1056" s="202"/>
      <c r="T1056" s="203"/>
      <c r="U1056" s="153"/>
      <c r="V1056" s="153"/>
      <c r="W1056" s="153"/>
      <c r="X1056" s="153"/>
      <c r="Y1056" s="153"/>
      <c r="Z1056" s="153"/>
    </row>
    <row r="1057" spans="1:26">
      <c r="A1057" s="769"/>
      <c r="B1057" s="200"/>
      <c r="C1057" s="200"/>
      <c r="D1057" s="200"/>
      <c r="E1057" s="200"/>
      <c r="F1057" s="200"/>
      <c r="G1057" s="200"/>
      <c r="H1057" s="200"/>
      <c r="I1057" s="201"/>
      <c r="J1057" s="201"/>
      <c r="K1057" s="201"/>
      <c r="L1057" s="192"/>
      <c r="M1057" s="202"/>
      <c r="N1057" s="200"/>
      <c r="O1057" s="192"/>
      <c r="P1057" s="192"/>
      <c r="Q1057" s="192"/>
      <c r="R1057" s="192"/>
      <c r="S1057" s="202"/>
      <c r="T1057" s="203"/>
      <c r="U1057" s="153"/>
      <c r="V1057" s="153"/>
      <c r="W1057" s="153"/>
      <c r="X1057" s="153"/>
      <c r="Y1057" s="153"/>
      <c r="Z1057" s="153"/>
    </row>
    <row r="1058" spans="1:26">
      <c r="A1058" s="769"/>
      <c r="B1058" s="200"/>
      <c r="C1058" s="200"/>
      <c r="D1058" s="200"/>
      <c r="E1058" s="200"/>
      <c r="F1058" s="200"/>
      <c r="G1058" s="200"/>
      <c r="H1058" s="200"/>
      <c r="I1058" s="201"/>
      <c r="J1058" s="201"/>
      <c r="K1058" s="201"/>
      <c r="L1058" s="192"/>
      <c r="M1058" s="202"/>
      <c r="N1058" s="200"/>
      <c r="O1058" s="192"/>
      <c r="P1058" s="192"/>
      <c r="Q1058" s="192"/>
      <c r="R1058" s="192"/>
      <c r="S1058" s="202"/>
      <c r="T1058" s="203"/>
      <c r="U1058" s="153"/>
      <c r="V1058" s="153"/>
      <c r="W1058" s="153"/>
      <c r="X1058" s="153"/>
      <c r="Y1058" s="153"/>
      <c r="Z1058" s="153"/>
    </row>
    <row r="1059" spans="1:26">
      <c r="A1059" s="769"/>
      <c r="B1059" s="200"/>
      <c r="C1059" s="200"/>
      <c r="D1059" s="200"/>
      <c r="E1059" s="200"/>
      <c r="F1059" s="200"/>
      <c r="G1059" s="200"/>
      <c r="H1059" s="200"/>
      <c r="I1059" s="201"/>
      <c r="J1059" s="201"/>
      <c r="K1059" s="201"/>
      <c r="L1059" s="192"/>
      <c r="M1059" s="202"/>
      <c r="N1059" s="200"/>
      <c r="O1059" s="192"/>
      <c r="P1059" s="192"/>
      <c r="Q1059" s="192"/>
      <c r="R1059" s="192"/>
      <c r="S1059" s="202"/>
      <c r="T1059" s="203"/>
      <c r="U1059" s="153"/>
      <c r="V1059" s="153"/>
      <c r="W1059" s="153"/>
      <c r="X1059" s="153"/>
      <c r="Y1059" s="153"/>
      <c r="Z1059" s="153"/>
    </row>
    <row r="1060" spans="1:26">
      <c r="A1060" s="769"/>
      <c r="B1060" s="200"/>
      <c r="C1060" s="200"/>
      <c r="D1060" s="200"/>
      <c r="E1060" s="200"/>
      <c r="F1060" s="200"/>
      <c r="G1060" s="200"/>
      <c r="H1060" s="200"/>
      <c r="I1060" s="201"/>
      <c r="J1060" s="201"/>
      <c r="K1060" s="201"/>
      <c r="L1060" s="192"/>
      <c r="M1060" s="202"/>
      <c r="N1060" s="200"/>
      <c r="O1060" s="192"/>
      <c r="P1060" s="192"/>
      <c r="Q1060" s="192"/>
      <c r="R1060" s="192"/>
      <c r="S1060" s="202"/>
      <c r="T1060" s="203"/>
      <c r="U1060" s="153"/>
      <c r="V1060" s="153"/>
      <c r="W1060" s="153"/>
      <c r="X1060" s="153"/>
      <c r="Y1060" s="153"/>
      <c r="Z1060" s="153"/>
    </row>
    <row r="1061" spans="1:26">
      <c r="A1061" s="769"/>
      <c r="B1061" s="200"/>
      <c r="C1061" s="200"/>
      <c r="D1061" s="200"/>
      <c r="E1061" s="200"/>
      <c r="F1061" s="200"/>
      <c r="G1061" s="200"/>
      <c r="H1061" s="200"/>
      <c r="I1061" s="201"/>
      <c r="J1061" s="201"/>
      <c r="K1061" s="201"/>
      <c r="L1061" s="192"/>
      <c r="M1061" s="202"/>
      <c r="N1061" s="200"/>
      <c r="O1061" s="192"/>
      <c r="P1061" s="192"/>
      <c r="Q1061" s="192"/>
      <c r="R1061" s="192"/>
      <c r="S1061" s="202"/>
      <c r="T1061" s="203"/>
      <c r="U1061" s="153"/>
      <c r="V1061" s="153"/>
      <c r="W1061" s="153"/>
      <c r="X1061" s="153"/>
      <c r="Y1061" s="153"/>
      <c r="Z1061" s="153"/>
    </row>
    <row r="1062" spans="1:26">
      <c r="A1062" s="769"/>
      <c r="B1062" s="200"/>
      <c r="C1062" s="200"/>
      <c r="D1062" s="200"/>
      <c r="E1062" s="200"/>
      <c r="F1062" s="200"/>
      <c r="G1062" s="200"/>
      <c r="H1062" s="200"/>
      <c r="I1062" s="201"/>
      <c r="J1062" s="201"/>
      <c r="K1062" s="201"/>
      <c r="L1062" s="192"/>
      <c r="M1062" s="202"/>
      <c r="N1062" s="200"/>
      <c r="O1062" s="192"/>
      <c r="P1062" s="192"/>
      <c r="Q1062" s="192"/>
      <c r="R1062" s="192"/>
      <c r="S1062" s="202"/>
      <c r="T1062" s="203"/>
      <c r="U1062" s="153"/>
      <c r="V1062" s="153"/>
      <c r="W1062" s="153"/>
      <c r="X1062" s="153"/>
      <c r="Y1062" s="153"/>
      <c r="Z1062" s="153"/>
    </row>
    <row r="1063" spans="1:26">
      <c r="A1063" s="769"/>
      <c r="B1063" s="200"/>
      <c r="C1063" s="200"/>
      <c r="D1063" s="200"/>
      <c r="E1063" s="200"/>
      <c r="F1063" s="200"/>
      <c r="G1063" s="200"/>
      <c r="H1063" s="200"/>
      <c r="I1063" s="201"/>
      <c r="J1063" s="201"/>
      <c r="K1063" s="201"/>
      <c r="L1063" s="192"/>
      <c r="M1063" s="202"/>
      <c r="N1063" s="200"/>
      <c r="O1063" s="192"/>
      <c r="P1063" s="192"/>
      <c r="Q1063" s="192"/>
      <c r="R1063" s="192"/>
      <c r="S1063" s="202"/>
      <c r="T1063" s="203"/>
      <c r="U1063" s="153"/>
      <c r="V1063" s="153"/>
      <c r="W1063" s="153"/>
      <c r="X1063" s="153"/>
      <c r="Y1063" s="153"/>
      <c r="Z1063" s="153"/>
    </row>
    <row r="1064" spans="1:26">
      <c r="A1064" s="769"/>
      <c r="B1064" s="200"/>
      <c r="C1064" s="200"/>
      <c r="D1064" s="200"/>
      <c r="E1064" s="200"/>
      <c r="F1064" s="200"/>
      <c r="G1064" s="200"/>
      <c r="H1064" s="200"/>
      <c r="I1064" s="201"/>
      <c r="J1064" s="201"/>
      <c r="K1064" s="201"/>
      <c r="L1064" s="192"/>
      <c r="M1064" s="202"/>
      <c r="N1064" s="200"/>
      <c r="O1064" s="192"/>
      <c r="P1064" s="192"/>
      <c r="Q1064" s="192"/>
      <c r="R1064" s="192"/>
      <c r="S1064" s="202"/>
      <c r="T1064" s="203"/>
      <c r="U1064" s="153"/>
      <c r="V1064" s="153"/>
      <c r="W1064" s="153"/>
      <c r="X1064" s="153"/>
      <c r="Y1064" s="153"/>
      <c r="Z1064" s="153"/>
    </row>
    <row r="1065" spans="1:26">
      <c r="A1065" s="769"/>
      <c r="B1065" s="200"/>
      <c r="C1065" s="200"/>
      <c r="D1065" s="200"/>
      <c r="E1065" s="200"/>
      <c r="F1065" s="200"/>
      <c r="G1065" s="200"/>
      <c r="H1065" s="200"/>
      <c r="I1065" s="201"/>
      <c r="J1065" s="201"/>
      <c r="K1065" s="201"/>
      <c r="L1065" s="192"/>
      <c r="M1065" s="202"/>
      <c r="N1065" s="200"/>
      <c r="O1065" s="192"/>
      <c r="P1065" s="192"/>
      <c r="Q1065" s="192"/>
      <c r="R1065" s="192"/>
      <c r="S1065" s="202"/>
      <c r="T1065" s="203"/>
      <c r="U1065" s="153"/>
      <c r="V1065" s="153"/>
      <c r="W1065" s="153"/>
      <c r="X1065" s="153"/>
      <c r="Y1065" s="153"/>
      <c r="Z1065" s="153"/>
    </row>
    <row r="1066" spans="1:26">
      <c r="A1066" s="769"/>
      <c r="B1066" s="200"/>
      <c r="C1066" s="200"/>
      <c r="D1066" s="200"/>
      <c r="E1066" s="200"/>
      <c r="F1066" s="200"/>
      <c r="G1066" s="200"/>
      <c r="H1066" s="200"/>
      <c r="I1066" s="201"/>
      <c r="J1066" s="201"/>
      <c r="K1066" s="201"/>
      <c r="L1066" s="192"/>
      <c r="M1066" s="202"/>
      <c r="N1066" s="200"/>
      <c r="O1066" s="192"/>
      <c r="P1066" s="192"/>
      <c r="Q1066" s="192"/>
      <c r="R1066" s="192"/>
      <c r="S1066" s="202"/>
      <c r="T1066" s="203"/>
      <c r="U1066" s="153"/>
      <c r="V1066" s="153"/>
      <c r="W1066" s="153"/>
      <c r="X1066" s="153"/>
      <c r="Y1066" s="153"/>
      <c r="Z1066" s="153"/>
    </row>
    <row r="1067" spans="1:26">
      <c r="A1067" s="769"/>
      <c r="B1067" s="200"/>
      <c r="C1067" s="200"/>
      <c r="D1067" s="200"/>
      <c r="E1067" s="200"/>
      <c r="F1067" s="200"/>
      <c r="G1067" s="200"/>
      <c r="H1067" s="200"/>
      <c r="I1067" s="201"/>
      <c r="J1067" s="201"/>
      <c r="K1067" s="201"/>
      <c r="L1067" s="192"/>
      <c r="M1067" s="202"/>
      <c r="N1067" s="200"/>
      <c r="O1067" s="192"/>
      <c r="P1067" s="192"/>
      <c r="Q1067" s="192"/>
      <c r="R1067" s="192"/>
      <c r="S1067" s="202"/>
      <c r="T1067" s="203"/>
      <c r="U1067" s="153"/>
      <c r="V1067" s="153"/>
      <c r="W1067" s="153"/>
      <c r="X1067" s="153"/>
      <c r="Y1067" s="153"/>
      <c r="Z1067" s="153"/>
    </row>
    <row r="1068" spans="1:26">
      <c r="A1068" s="769"/>
      <c r="B1068" s="200"/>
      <c r="C1068" s="200"/>
      <c r="D1068" s="200"/>
      <c r="E1068" s="200"/>
      <c r="F1068" s="200"/>
      <c r="G1068" s="200"/>
      <c r="H1068" s="200"/>
      <c r="I1068" s="201"/>
      <c r="J1068" s="201"/>
      <c r="K1068" s="201"/>
      <c r="L1068" s="192"/>
      <c r="M1068" s="202"/>
      <c r="N1068" s="200"/>
      <c r="O1068" s="192"/>
      <c r="P1068" s="192"/>
      <c r="Q1068" s="192"/>
      <c r="R1068" s="192"/>
      <c r="S1068" s="202"/>
      <c r="T1068" s="203"/>
      <c r="U1068" s="153"/>
      <c r="V1068" s="153"/>
      <c r="W1068" s="153"/>
      <c r="X1068" s="153"/>
      <c r="Y1068" s="153"/>
      <c r="Z1068" s="153"/>
    </row>
    <row r="1069" spans="1:26">
      <c r="A1069" s="769"/>
      <c r="B1069" s="200"/>
      <c r="C1069" s="200"/>
      <c r="D1069" s="200"/>
      <c r="E1069" s="200"/>
      <c r="F1069" s="200"/>
      <c r="G1069" s="200"/>
      <c r="H1069" s="200"/>
      <c r="I1069" s="201"/>
      <c r="J1069" s="201"/>
      <c r="K1069" s="201"/>
      <c r="L1069" s="192"/>
      <c r="M1069" s="202"/>
      <c r="N1069" s="200"/>
      <c r="O1069" s="192"/>
      <c r="P1069" s="192"/>
      <c r="Q1069" s="192"/>
      <c r="R1069" s="192"/>
      <c r="S1069" s="202"/>
      <c r="T1069" s="203"/>
      <c r="U1069" s="153"/>
      <c r="V1069" s="153"/>
      <c r="W1069" s="153"/>
      <c r="X1069" s="153"/>
      <c r="Y1069" s="153"/>
      <c r="Z1069" s="153"/>
    </row>
    <row r="1070" spans="1:26">
      <c r="A1070" s="769"/>
      <c r="B1070" s="200"/>
      <c r="C1070" s="200"/>
      <c r="D1070" s="200"/>
      <c r="E1070" s="200"/>
      <c r="F1070" s="200"/>
      <c r="G1070" s="200"/>
      <c r="H1070" s="200"/>
      <c r="I1070" s="201"/>
      <c r="J1070" s="201"/>
      <c r="K1070" s="201"/>
      <c r="L1070" s="192"/>
      <c r="M1070" s="202"/>
      <c r="N1070" s="200"/>
      <c r="O1070" s="192"/>
      <c r="P1070" s="192"/>
      <c r="Q1070" s="192"/>
      <c r="R1070" s="192"/>
      <c r="S1070" s="202"/>
      <c r="T1070" s="203"/>
      <c r="U1070" s="153"/>
      <c r="V1070" s="153"/>
      <c r="W1070" s="153"/>
      <c r="X1070" s="153"/>
      <c r="Y1070" s="153"/>
      <c r="Z1070" s="153"/>
    </row>
    <row r="1071" spans="1:26">
      <c r="A1071" s="769"/>
      <c r="B1071" s="200"/>
      <c r="C1071" s="200"/>
      <c r="D1071" s="200"/>
      <c r="E1071" s="200"/>
      <c r="F1071" s="200"/>
      <c r="G1071" s="200"/>
      <c r="H1071" s="200"/>
      <c r="I1071" s="201"/>
      <c r="J1071" s="201"/>
      <c r="K1071" s="201"/>
      <c r="L1071" s="192"/>
      <c r="M1071" s="202"/>
      <c r="N1071" s="200"/>
      <c r="O1071" s="192"/>
      <c r="P1071" s="192"/>
      <c r="Q1071" s="192"/>
      <c r="R1071" s="192"/>
      <c r="S1071" s="202"/>
      <c r="T1071" s="203"/>
      <c r="U1071" s="153"/>
      <c r="V1071" s="153"/>
      <c r="W1071" s="153"/>
      <c r="X1071" s="153"/>
      <c r="Y1071" s="153"/>
      <c r="Z1071" s="153"/>
    </row>
    <row r="1072" spans="1:26">
      <c r="A1072" s="769"/>
      <c r="B1072" s="200"/>
      <c r="C1072" s="200"/>
      <c r="D1072" s="200"/>
      <c r="E1072" s="200"/>
      <c r="F1072" s="200"/>
      <c r="G1072" s="200"/>
      <c r="H1072" s="200"/>
      <c r="I1072" s="201"/>
      <c r="J1072" s="201"/>
      <c r="K1072" s="201"/>
      <c r="L1072" s="192"/>
      <c r="M1072" s="202"/>
      <c r="N1072" s="200"/>
      <c r="O1072" s="192"/>
      <c r="P1072" s="192"/>
      <c r="Q1072" s="192"/>
      <c r="R1072" s="192"/>
      <c r="S1072" s="202"/>
      <c r="T1072" s="203"/>
      <c r="U1072" s="153"/>
      <c r="V1072" s="153"/>
      <c r="W1072" s="153"/>
      <c r="X1072" s="153"/>
      <c r="Y1072" s="153"/>
      <c r="Z1072" s="153"/>
    </row>
    <row r="1073" spans="1:26">
      <c r="A1073" s="769"/>
      <c r="B1073" s="200"/>
      <c r="C1073" s="200"/>
      <c r="D1073" s="200"/>
      <c r="E1073" s="200"/>
      <c r="F1073" s="200"/>
      <c r="G1073" s="200"/>
      <c r="H1073" s="200"/>
      <c r="I1073" s="201"/>
      <c r="J1073" s="201"/>
      <c r="K1073" s="201"/>
      <c r="L1073" s="192"/>
      <c r="M1073" s="202"/>
      <c r="N1073" s="200"/>
      <c r="O1073" s="192"/>
      <c r="P1073" s="192"/>
      <c r="Q1073" s="192"/>
      <c r="R1073" s="192"/>
      <c r="S1073" s="202"/>
      <c r="T1073" s="203"/>
      <c r="U1073" s="153"/>
      <c r="V1073" s="153"/>
      <c r="W1073" s="153"/>
      <c r="X1073" s="153"/>
      <c r="Y1073" s="153"/>
      <c r="Z1073" s="153"/>
    </row>
    <row r="1074" spans="1:26">
      <c r="A1074" s="769"/>
      <c r="B1074" s="200"/>
      <c r="C1074" s="200"/>
      <c r="D1074" s="200"/>
      <c r="E1074" s="200"/>
      <c r="F1074" s="200"/>
      <c r="G1074" s="200"/>
      <c r="H1074" s="200"/>
      <c r="I1074" s="201"/>
      <c r="J1074" s="201"/>
      <c r="K1074" s="201"/>
      <c r="L1074" s="192"/>
      <c r="M1074" s="202"/>
      <c r="N1074" s="200"/>
      <c r="O1074" s="192"/>
      <c r="P1074" s="192"/>
      <c r="Q1074" s="192"/>
      <c r="R1074" s="192"/>
      <c r="S1074" s="202"/>
      <c r="T1074" s="203"/>
      <c r="U1074" s="153"/>
      <c r="V1074" s="153"/>
      <c r="W1074" s="153"/>
      <c r="X1074" s="153"/>
      <c r="Y1074" s="153"/>
      <c r="Z1074" s="153"/>
    </row>
    <row r="1075" spans="1:26">
      <c r="A1075" s="769"/>
      <c r="B1075" s="200"/>
      <c r="C1075" s="200"/>
      <c r="D1075" s="200"/>
      <c r="E1075" s="200"/>
      <c r="F1075" s="200"/>
      <c r="G1075" s="200"/>
      <c r="H1075" s="200"/>
      <c r="I1075" s="201"/>
      <c r="J1075" s="201"/>
      <c r="K1075" s="201"/>
      <c r="L1075" s="192"/>
      <c r="M1075" s="202"/>
      <c r="N1075" s="200"/>
      <c r="O1075" s="192"/>
      <c r="P1075" s="192"/>
      <c r="Q1075" s="192"/>
      <c r="R1075" s="192"/>
      <c r="S1075" s="202"/>
      <c r="T1075" s="203"/>
      <c r="U1075" s="153"/>
      <c r="V1075" s="153"/>
      <c r="W1075" s="153"/>
      <c r="X1075" s="153"/>
      <c r="Y1075" s="153"/>
      <c r="Z1075" s="153"/>
    </row>
    <row r="1076" spans="1:26">
      <c r="A1076" s="769"/>
      <c r="B1076" s="200"/>
      <c r="C1076" s="200"/>
      <c r="D1076" s="200"/>
      <c r="E1076" s="200"/>
      <c r="F1076" s="200"/>
      <c r="G1076" s="200"/>
      <c r="H1076" s="200"/>
      <c r="I1076" s="201"/>
      <c r="J1076" s="201"/>
      <c r="K1076" s="201"/>
      <c r="L1076" s="192"/>
      <c r="M1076" s="202"/>
      <c r="N1076" s="200"/>
      <c r="O1076" s="192"/>
      <c r="P1076" s="192"/>
      <c r="Q1076" s="192"/>
      <c r="R1076" s="192"/>
      <c r="S1076" s="202"/>
      <c r="T1076" s="203"/>
      <c r="U1076" s="153"/>
      <c r="V1076" s="153"/>
      <c r="W1076" s="153"/>
      <c r="X1076" s="153"/>
      <c r="Y1076" s="153"/>
      <c r="Z1076" s="153"/>
    </row>
    <row r="1077" spans="1:26">
      <c r="A1077" s="769"/>
      <c r="B1077" s="200"/>
      <c r="C1077" s="200"/>
      <c r="D1077" s="200"/>
      <c r="E1077" s="200"/>
      <c r="F1077" s="200"/>
      <c r="G1077" s="200"/>
      <c r="H1077" s="200"/>
      <c r="I1077" s="201"/>
      <c r="J1077" s="201"/>
      <c r="K1077" s="201"/>
      <c r="L1077" s="192"/>
      <c r="M1077" s="202"/>
      <c r="N1077" s="200"/>
      <c r="O1077" s="192"/>
      <c r="P1077" s="192"/>
      <c r="Q1077" s="192"/>
      <c r="R1077" s="192"/>
      <c r="S1077" s="202"/>
      <c r="T1077" s="203"/>
      <c r="U1077" s="153"/>
      <c r="V1077" s="153"/>
      <c r="W1077" s="153"/>
      <c r="X1077" s="153"/>
      <c r="Y1077" s="153"/>
      <c r="Z1077" s="153"/>
    </row>
    <row r="1078" spans="1:26">
      <c r="A1078" s="769"/>
      <c r="B1078" s="200"/>
      <c r="C1078" s="200"/>
      <c r="D1078" s="200"/>
      <c r="E1078" s="200"/>
      <c r="F1078" s="200"/>
      <c r="G1078" s="200"/>
      <c r="H1078" s="200"/>
      <c r="I1078" s="201"/>
      <c r="J1078" s="201"/>
      <c r="K1078" s="201"/>
      <c r="L1078" s="192"/>
      <c r="M1078" s="202"/>
      <c r="N1078" s="200"/>
      <c r="O1078" s="192"/>
      <c r="P1078" s="192"/>
      <c r="Q1078" s="192"/>
      <c r="R1078" s="192"/>
      <c r="S1078" s="202"/>
      <c r="T1078" s="203"/>
      <c r="U1078" s="153"/>
      <c r="V1078" s="153"/>
      <c r="W1078" s="153"/>
      <c r="X1078" s="153"/>
      <c r="Y1078" s="153"/>
      <c r="Z1078" s="153"/>
    </row>
    <row r="1079" spans="1:26">
      <c r="A1079" s="769"/>
      <c r="B1079" s="200"/>
      <c r="C1079" s="200"/>
      <c r="D1079" s="200"/>
      <c r="E1079" s="200"/>
      <c r="F1079" s="200"/>
      <c r="G1079" s="200"/>
      <c r="H1079" s="200"/>
      <c r="I1079" s="201"/>
      <c r="J1079" s="201"/>
      <c r="K1079" s="201"/>
      <c r="L1079" s="192"/>
      <c r="M1079" s="202"/>
      <c r="N1079" s="200"/>
      <c r="O1079" s="192"/>
      <c r="P1079" s="192"/>
      <c r="Q1079" s="192"/>
      <c r="R1079" s="192"/>
      <c r="S1079" s="202"/>
      <c r="T1079" s="203"/>
      <c r="U1079" s="153"/>
      <c r="V1079" s="153"/>
      <c r="W1079" s="153"/>
      <c r="X1079" s="153"/>
      <c r="Y1079" s="153"/>
      <c r="Z1079" s="153"/>
    </row>
    <row r="1080" spans="1:26">
      <c r="A1080" s="769"/>
      <c r="B1080" s="200"/>
      <c r="C1080" s="200"/>
      <c r="D1080" s="200"/>
      <c r="E1080" s="200"/>
      <c r="F1080" s="200"/>
      <c r="G1080" s="200"/>
      <c r="H1080" s="200"/>
      <c r="I1080" s="201"/>
      <c r="J1080" s="201"/>
      <c r="K1080" s="201"/>
      <c r="L1080" s="192"/>
      <c r="M1080" s="202"/>
      <c r="N1080" s="200"/>
      <c r="O1080" s="192"/>
      <c r="P1080" s="192"/>
      <c r="Q1080" s="192"/>
      <c r="R1080" s="192"/>
      <c r="S1080" s="202"/>
      <c r="T1080" s="203"/>
      <c r="U1080" s="153"/>
      <c r="V1080" s="153"/>
      <c r="W1080" s="153"/>
      <c r="X1080" s="153"/>
      <c r="Y1080" s="153"/>
      <c r="Z1080" s="153"/>
    </row>
    <row r="1081" spans="1:26">
      <c r="A1081" s="769"/>
      <c r="B1081" s="200"/>
      <c r="C1081" s="200"/>
      <c r="D1081" s="200"/>
      <c r="E1081" s="200"/>
      <c r="F1081" s="200"/>
      <c r="G1081" s="200"/>
      <c r="H1081" s="200"/>
      <c r="I1081" s="201"/>
      <c r="J1081" s="201"/>
      <c r="K1081" s="201"/>
      <c r="L1081" s="192"/>
      <c r="M1081" s="202"/>
      <c r="N1081" s="200"/>
      <c r="O1081" s="192"/>
      <c r="P1081" s="192"/>
      <c r="Q1081" s="192"/>
      <c r="R1081" s="192"/>
      <c r="S1081" s="202"/>
      <c r="T1081" s="203"/>
      <c r="U1081" s="153"/>
      <c r="V1081" s="153"/>
      <c r="W1081" s="153"/>
      <c r="X1081" s="153"/>
      <c r="Y1081" s="153"/>
      <c r="Z1081" s="153"/>
    </row>
    <row r="1082" spans="1:26">
      <c r="A1082" s="769"/>
      <c r="B1082" s="200"/>
      <c r="C1082" s="200"/>
      <c r="D1082" s="200"/>
      <c r="E1082" s="200"/>
      <c r="F1082" s="200"/>
      <c r="G1082" s="200"/>
      <c r="H1082" s="200"/>
      <c r="I1082" s="201"/>
      <c r="J1082" s="201"/>
      <c r="K1082" s="201"/>
      <c r="L1082" s="192"/>
      <c r="M1082" s="202"/>
      <c r="N1082" s="200"/>
      <c r="O1082" s="192"/>
      <c r="P1082" s="192"/>
      <c r="Q1082" s="192"/>
      <c r="R1082" s="192"/>
      <c r="S1082" s="202"/>
      <c r="T1082" s="203"/>
      <c r="U1082" s="153"/>
      <c r="V1082" s="153"/>
      <c r="W1082" s="153"/>
      <c r="X1082" s="153"/>
      <c r="Y1082" s="153"/>
      <c r="Z1082" s="153"/>
    </row>
    <row r="1083" spans="1:26">
      <c r="A1083" s="769"/>
      <c r="B1083" s="200"/>
      <c r="C1083" s="200"/>
      <c r="D1083" s="200"/>
      <c r="E1083" s="200"/>
      <c r="F1083" s="200"/>
      <c r="G1083" s="200"/>
      <c r="H1083" s="200"/>
      <c r="I1083" s="201"/>
      <c r="J1083" s="201"/>
      <c r="K1083" s="201"/>
      <c r="L1083" s="192"/>
      <c r="M1083" s="202"/>
      <c r="N1083" s="200"/>
      <c r="O1083" s="192"/>
      <c r="P1083" s="192"/>
      <c r="Q1083" s="192"/>
      <c r="R1083" s="192"/>
      <c r="S1083" s="202"/>
      <c r="T1083" s="203"/>
      <c r="U1083" s="153"/>
      <c r="V1083" s="153"/>
      <c r="W1083" s="153"/>
      <c r="X1083" s="153"/>
      <c r="Y1083" s="153"/>
      <c r="Z1083" s="153"/>
    </row>
    <row r="1084" spans="1:26">
      <c r="A1084" s="769"/>
      <c r="B1084" s="200"/>
      <c r="C1084" s="200"/>
      <c r="D1084" s="200"/>
      <c r="E1084" s="200"/>
      <c r="F1084" s="200"/>
      <c r="G1084" s="200"/>
      <c r="H1084" s="200"/>
      <c r="I1084" s="201"/>
      <c r="J1084" s="201"/>
      <c r="K1084" s="201"/>
      <c r="L1084" s="192"/>
      <c r="M1084" s="202"/>
      <c r="N1084" s="200"/>
      <c r="O1084" s="192"/>
      <c r="P1084" s="192"/>
      <c r="Q1084" s="192"/>
      <c r="R1084" s="192"/>
      <c r="S1084" s="202"/>
      <c r="T1084" s="203"/>
      <c r="U1084" s="153"/>
      <c r="V1084" s="153"/>
      <c r="W1084" s="153"/>
      <c r="X1084" s="153"/>
      <c r="Y1084" s="153"/>
      <c r="Z1084" s="153"/>
    </row>
    <row r="1085" spans="1:26">
      <c r="A1085" s="769"/>
      <c r="B1085" s="200"/>
      <c r="C1085" s="200"/>
      <c r="D1085" s="200"/>
      <c r="E1085" s="200"/>
      <c r="F1085" s="200"/>
      <c r="G1085" s="200"/>
      <c r="H1085" s="200"/>
      <c r="I1085" s="201"/>
      <c r="J1085" s="201"/>
      <c r="K1085" s="201"/>
      <c r="L1085" s="192"/>
      <c r="M1085" s="202"/>
      <c r="N1085" s="200"/>
      <c r="O1085" s="192"/>
      <c r="P1085" s="192"/>
      <c r="Q1085" s="192"/>
      <c r="R1085" s="192"/>
      <c r="S1085" s="202"/>
      <c r="T1085" s="203"/>
      <c r="U1085" s="153"/>
      <c r="V1085" s="153"/>
      <c r="W1085" s="153"/>
      <c r="X1085" s="153"/>
      <c r="Y1085" s="153"/>
      <c r="Z1085" s="153"/>
    </row>
    <row r="1086" spans="1:26">
      <c r="A1086" s="769"/>
      <c r="B1086" s="200"/>
      <c r="C1086" s="200"/>
      <c r="D1086" s="200"/>
      <c r="E1086" s="200"/>
      <c r="F1086" s="200"/>
      <c r="G1086" s="200"/>
      <c r="H1086" s="200"/>
      <c r="I1086" s="201"/>
      <c r="J1086" s="201"/>
      <c r="K1086" s="201"/>
      <c r="L1086" s="192"/>
      <c r="M1086" s="202"/>
      <c r="N1086" s="200"/>
      <c r="O1086" s="192"/>
      <c r="P1086" s="192"/>
      <c r="Q1086" s="192"/>
      <c r="R1086" s="192"/>
      <c r="S1086" s="202"/>
      <c r="T1086" s="203"/>
      <c r="U1086" s="153"/>
      <c r="V1086" s="153"/>
      <c r="W1086" s="153"/>
      <c r="X1086" s="153"/>
      <c r="Y1086" s="153"/>
      <c r="Z1086" s="153"/>
    </row>
    <row r="1087" spans="1:26">
      <c r="A1087" s="769"/>
      <c r="B1087" s="200"/>
      <c r="C1087" s="200"/>
      <c r="D1087" s="200"/>
      <c r="E1087" s="200"/>
      <c r="F1087" s="200"/>
      <c r="G1087" s="200"/>
      <c r="H1087" s="200"/>
      <c r="I1087" s="201"/>
      <c r="J1087" s="201"/>
      <c r="K1087" s="201"/>
      <c r="L1087" s="192"/>
      <c r="M1087" s="202"/>
      <c r="N1087" s="200"/>
      <c r="O1087" s="192"/>
      <c r="P1087" s="192"/>
      <c r="Q1087" s="192"/>
      <c r="R1087" s="192"/>
      <c r="S1087" s="202"/>
      <c r="T1087" s="203"/>
      <c r="U1087" s="153"/>
      <c r="V1087" s="153"/>
      <c r="W1087" s="153"/>
      <c r="X1087" s="153"/>
      <c r="Y1087" s="153"/>
      <c r="Z1087" s="153"/>
    </row>
    <row r="1088" spans="1:26">
      <c r="A1088" s="769"/>
      <c r="B1088" s="200"/>
      <c r="C1088" s="200"/>
      <c r="D1088" s="200"/>
      <c r="E1088" s="200"/>
      <c r="F1088" s="200"/>
      <c r="G1088" s="200"/>
      <c r="H1088" s="200"/>
      <c r="I1088" s="201"/>
      <c r="J1088" s="201"/>
      <c r="K1088" s="201"/>
      <c r="L1088" s="192"/>
      <c r="M1088" s="202"/>
      <c r="N1088" s="200"/>
      <c r="O1088" s="192"/>
      <c r="P1088" s="192"/>
      <c r="Q1088" s="192"/>
      <c r="R1088" s="192"/>
      <c r="S1088" s="202"/>
      <c r="T1088" s="203"/>
      <c r="U1088" s="153"/>
      <c r="V1088" s="153"/>
      <c r="W1088" s="153"/>
      <c r="X1088" s="153"/>
      <c r="Y1088" s="153"/>
      <c r="Z1088" s="153"/>
    </row>
    <row r="1089" spans="1:26">
      <c r="A1089" s="769"/>
      <c r="B1089" s="200"/>
      <c r="C1089" s="200"/>
      <c r="D1089" s="200"/>
      <c r="E1089" s="200"/>
      <c r="F1089" s="200"/>
      <c r="G1089" s="200"/>
      <c r="H1089" s="200"/>
      <c r="I1089" s="201"/>
      <c r="J1089" s="201"/>
      <c r="K1089" s="201"/>
      <c r="L1089" s="192"/>
      <c r="M1089" s="202"/>
      <c r="N1089" s="200"/>
      <c r="O1089" s="192"/>
      <c r="P1089" s="192"/>
      <c r="Q1089" s="192"/>
      <c r="R1089" s="192"/>
      <c r="S1089" s="202"/>
      <c r="T1089" s="203"/>
      <c r="U1089" s="153"/>
      <c r="V1089" s="153"/>
      <c r="W1089" s="153"/>
      <c r="X1089" s="153"/>
      <c r="Y1089" s="153"/>
      <c r="Z1089" s="153"/>
    </row>
    <row r="1090" spans="1:26">
      <c r="A1090" s="769"/>
      <c r="B1090" s="200"/>
      <c r="C1090" s="200"/>
      <c r="D1090" s="200"/>
      <c r="E1090" s="200"/>
      <c r="F1090" s="200"/>
      <c r="G1090" s="200"/>
      <c r="H1090" s="200"/>
      <c r="I1090" s="201"/>
      <c r="J1090" s="201"/>
      <c r="K1090" s="201"/>
      <c r="L1090" s="192"/>
      <c r="M1090" s="202"/>
      <c r="N1090" s="200"/>
      <c r="O1090" s="192"/>
      <c r="P1090" s="192"/>
      <c r="Q1090" s="192"/>
      <c r="R1090" s="192"/>
      <c r="S1090" s="202"/>
      <c r="T1090" s="203"/>
      <c r="U1090" s="153"/>
      <c r="V1090" s="153"/>
      <c r="W1090" s="153"/>
      <c r="X1090" s="153"/>
      <c r="Y1090" s="153"/>
      <c r="Z1090" s="153"/>
    </row>
    <row r="1091" spans="1:26">
      <c r="A1091" s="769"/>
      <c r="B1091" s="200"/>
      <c r="C1091" s="200"/>
      <c r="D1091" s="200"/>
      <c r="E1091" s="200"/>
      <c r="F1091" s="200"/>
      <c r="G1091" s="200"/>
      <c r="H1091" s="200"/>
      <c r="I1091" s="201"/>
      <c r="J1091" s="201"/>
      <c r="K1091" s="201"/>
      <c r="L1091" s="192"/>
      <c r="M1091" s="202"/>
      <c r="N1091" s="200"/>
      <c r="O1091" s="192"/>
      <c r="P1091" s="192"/>
      <c r="Q1091" s="192"/>
      <c r="R1091" s="192"/>
      <c r="S1091" s="202"/>
      <c r="T1091" s="203"/>
      <c r="U1091" s="153"/>
      <c r="V1091" s="153"/>
      <c r="W1091" s="153"/>
      <c r="X1091" s="153"/>
      <c r="Y1091" s="153"/>
      <c r="Z1091" s="153"/>
    </row>
    <row r="1092" spans="1:26">
      <c r="A1092" s="769"/>
      <c r="B1092" s="200"/>
      <c r="C1092" s="200"/>
      <c r="D1092" s="200"/>
      <c r="E1092" s="200"/>
      <c r="F1092" s="200"/>
      <c r="G1092" s="200"/>
      <c r="H1092" s="200"/>
      <c r="I1092" s="201"/>
      <c r="J1092" s="201"/>
      <c r="K1092" s="201"/>
      <c r="L1092" s="192"/>
      <c r="M1092" s="202"/>
      <c r="N1092" s="200"/>
      <c r="O1092" s="192"/>
      <c r="P1092" s="192"/>
      <c r="Q1092" s="192"/>
      <c r="R1092" s="192"/>
      <c r="S1092" s="202"/>
      <c r="T1092" s="203"/>
      <c r="U1092" s="153"/>
      <c r="V1092" s="153"/>
      <c r="W1092" s="153"/>
      <c r="X1092" s="153"/>
      <c r="Y1092" s="153"/>
      <c r="Z1092" s="153"/>
    </row>
    <row r="1093" spans="1:26">
      <c r="A1093" s="769"/>
      <c r="B1093" s="200"/>
      <c r="C1093" s="200"/>
      <c r="D1093" s="200"/>
      <c r="E1093" s="200"/>
      <c r="F1093" s="200"/>
      <c r="G1093" s="200"/>
      <c r="H1093" s="200"/>
      <c r="I1093" s="201"/>
      <c r="J1093" s="201"/>
      <c r="K1093" s="201"/>
      <c r="L1093" s="192"/>
      <c r="M1093" s="202"/>
      <c r="N1093" s="200"/>
      <c r="O1093" s="192"/>
      <c r="P1093" s="192"/>
      <c r="Q1093" s="192"/>
      <c r="R1093" s="192"/>
      <c r="S1093" s="202"/>
      <c r="T1093" s="203"/>
      <c r="U1093" s="153"/>
      <c r="V1093" s="153"/>
      <c r="W1093" s="153"/>
      <c r="X1093" s="153"/>
      <c r="Y1093" s="153"/>
      <c r="Z1093" s="153"/>
    </row>
    <row r="1094" spans="1:26">
      <c r="A1094" s="769"/>
      <c r="B1094" s="200"/>
      <c r="C1094" s="200"/>
      <c r="D1094" s="200"/>
      <c r="E1094" s="200"/>
      <c r="F1094" s="200"/>
      <c r="G1094" s="200"/>
      <c r="H1094" s="200"/>
      <c r="I1094" s="201"/>
      <c r="J1094" s="201"/>
      <c r="K1094" s="201"/>
      <c r="L1094" s="192"/>
      <c r="M1094" s="202"/>
      <c r="N1094" s="200"/>
      <c r="O1094" s="192"/>
      <c r="P1094" s="192"/>
      <c r="Q1094" s="192"/>
      <c r="R1094" s="192"/>
      <c r="S1094" s="202"/>
      <c r="T1094" s="203"/>
      <c r="U1094" s="153"/>
      <c r="V1094" s="153"/>
      <c r="W1094" s="153"/>
      <c r="X1094" s="153"/>
      <c r="Y1094" s="153"/>
      <c r="Z1094" s="153"/>
    </row>
    <row r="1095" spans="1:26">
      <c r="A1095" s="769"/>
      <c r="B1095" s="200"/>
      <c r="C1095" s="200"/>
      <c r="D1095" s="200"/>
      <c r="E1095" s="200"/>
      <c r="F1095" s="200"/>
      <c r="G1095" s="200"/>
      <c r="H1095" s="200"/>
      <c r="I1095" s="201"/>
      <c r="J1095" s="201"/>
      <c r="K1095" s="201"/>
      <c r="L1095" s="192"/>
      <c r="M1095" s="202"/>
      <c r="N1095" s="200"/>
      <c r="O1095" s="192"/>
      <c r="P1095" s="192"/>
      <c r="Q1095" s="192"/>
      <c r="R1095" s="192"/>
      <c r="S1095" s="202"/>
      <c r="T1095" s="203"/>
      <c r="U1095" s="153"/>
      <c r="V1095" s="153"/>
      <c r="W1095" s="153"/>
      <c r="X1095" s="153"/>
      <c r="Y1095" s="153"/>
      <c r="Z1095" s="153"/>
    </row>
    <row r="1096" spans="1:26">
      <c r="A1096" s="769"/>
      <c r="B1096" s="200"/>
      <c r="C1096" s="200"/>
      <c r="D1096" s="200"/>
      <c r="E1096" s="200"/>
      <c r="F1096" s="200"/>
      <c r="G1096" s="200"/>
      <c r="H1096" s="200"/>
      <c r="I1096" s="201"/>
      <c r="J1096" s="201"/>
      <c r="K1096" s="201"/>
      <c r="L1096" s="192"/>
      <c r="M1096" s="202"/>
      <c r="N1096" s="200"/>
      <c r="O1096" s="192"/>
      <c r="P1096" s="192"/>
      <c r="Q1096" s="192"/>
      <c r="R1096" s="192"/>
      <c r="S1096" s="202"/>
      <c r="T1096" s="203"/>
      <c r="U1096" s="153"/>
      <c r="V1096" s="153"/>
      <c r="W1096" s="153"/>
      <c r="X1096" s="153"/>
      <c r="Y1096" s="153"/>
      <c r="Z1096" s="153"/>
    </row>
    <row r="1097" spans="1:26">
      <c r="A1097" s="769"/>
      <c r="B1097" s="200"/>
      <c r="C1097" s="200"/>
      <c r="D1097" s="200"/>
      <c r="E1097" s="200"/>
      <c r="F1097" s="200"/>
      <c r="G1097" s="200"/>
      <c r="H1097" s="200"/>
      <c r="I1097" s="201"/>
      <c r="J1097" s="201"/>
      <c r="K1097" s="201"/>
      <c r="L1097" s="192"/>
      <c r="M1097" s="202"/>
      <c r="N1097" s="200"/>
      <c r="O1097" s="192"/>
      <c r="P1097" s="192"/>
      <c r="Q1097" s="192"/>
      <c r="R1097" s="192"/>
      <c r="S1097" s="202"/>
      <c r="T1097" s="203"/>
      <c r="U1097" s="153"/>
      <c r="V1097" s="153"/>
      <c r="W1097" s="153"/>
      <c r="X1097" s="153"/>
      <c r="Y1097" s="153"/>
      <c r="Z1097" s="153"/>
    </row>
    <row r="1098" spans="1:26">
      <c r="A1098" s="769"/>
      <c r="B1098" s="200"/>
      <c r="C1098" s="200"/>
      <c r="D1098" s="200"/>
      <c r="E1098" s="200"/>
      <c r="F1098" s="200"/>
      <c r="G1098" s="200"/>
      <c r="H1098" s="200"/>
      <c r="I1098" s="201"/>
      <c r="J1098" s="201"/>
      <c r="K1098" s="201"/>
      <c r="L1098" s="192"/>
      <c r="M1098" s="202"/>
      <c r="N1098" s="200"/>
      <c r="O1098" s="192"/>
      <c r="P1098" s="192"/>
      <c r="Q1098" s="192"/>
      <c r="R1098" s="192"/>
      <c r="S1098" s="202"/>
      <c r="T1098" s="203"/>
      <c r="U1098" s="153"/>
      <c r="V1098" s="153"/>
      <c r="W1098" s="153"/>
      <c r="X1098" s="153"/>
      <c r="Y1098" s="153"/>
      <c r="Z1098" s="153"/>
    </row>
    <row r="1099" spans="1:26">
      <c r="A1099" s="769"/>
      <c r="B1099" s="200"/>
      <c r="C1099" s="200"/>
      <c r="D1099" s="200"/>
      <c r="E1099" s="200"/>
      <c r="F1099" s="200"/>
      <c r="G1099" s="200"/>
      <c r="H1099" s="200"/>
      <c r="I1099" s="201"/>
      <c r="J1099" s="201"/>
      <c r="K1099" s="201"/>
      <c r="L1099" s="192"/>
      <c r="M1099" s="202"/>
      <c r="N1099" s="200"/>
      <c r="O1099" s="192"/>
      <c r="P1099" s="192"/>
      <c r="Q1099" s="192"/>
      <c r="R1099" s="192"/>
      <c r="S1099" s="202"/>
      <c r="T1099" s="203"/>
      <c r="U1099" s="153"/>
      <c r="V1099" s="153"/>
      <c r="W1099" s="153"/>
      <c r="X1099" s="153"/>
      <c r="Y1099" s="153"/>
      <c r="Z1099" s="153"/>
    </row>
    <row r="1100" spans="1:26">
      <c r="A1100" s="769"/>
      <c r="B1100" s="200"/>
      <c r="C1100" s="200"/>
      <c r="D1100" s="200"/>
      <c r="E1100" s="200"/>
      <c r="F1100" s="200"/>
      <c r="G1100" s="200"/>
      <c r="H1100" s="200"/>
      <c r="I1100" s="201"/>
      <c r="J1100" s="201"/>
      <c r="K1100" s="201"/>
      <c r="L1100" s="192"/>
      <c r="M1100" s="202"/>
      <c r="N1100" s="200"/>
      <c r="O1100" s="192"/>
      <c r="P1100" s="192"/>
      <c r="Q1100" s="192"/>
      <c r="R1100" s="192"/>
      <c r="S1100" s="202"/>
      <c r="T1100" s="203"/>
      <c r="U1100" s="153"/>
      <c r="V1100" s="153"/>
      <c r="W1100" s="153"/>
      <c r="X1100" s="153"/>
      <c r="Y1100" s="153"/>
      <c r="Z1100" s="153"/>
    </row>
    <row r="1101" spans="1:26">
      <c r="A1101" s="769"/>
      <c r="B1101" s="200"/>
      <c r="C1101" s="200"/>
      <c r="D1101" s="200"/>
      <c r="E1101" s="200"/>
      <c r="F1101" s="200"/>
      <c r="G1101" s="200"/>
      <c r="H1101" s="200"/>
      <c r="I1101" s="201"/>
      <c r="J1101" s="201"/>
      <c r="K1101" s="201"/>
      <c r="L1101" s="192"/>
      <c r="M1101" s="202"/>
      <c r="N1101" s="200"/>
      <c r="O1101" s="192"/>
      <c r="P1101" s="192"/>
      <c r="Q1101" s="192"/>
      <c r="R1101" s="192"/>
      <c r="S1101" s="202"/>
      <c r="T1101" s="203"/>
      <c r="U1101" s="153"/>
      <c r="V1101" s="153"/>
      <c r="W1101" s="153"/>
      <c r="X1101" s="153"/>
      <c r="Y1101" s="153"/>
      <c r="Z1101" s="153"/>
    </row>
    <row r="1102" spans="1:26">
      <c r="A1102" s="769"/>
      <c r="B1102" s="200"/>
      <c r="C1102" s="200"/>
      <c r="D1102" s="200"/>
      <c r="E1102" s="200"/>
      <c r="F1102" s="200"/>
      <c r="G1102" s="200"/>
      <c r="H1102" s="200"/>
      <c r="I1102" s="201"/>
      <c r="J1102" s="201"/>
      <c r="K1102" s="201"/>
      <c r="L1102" s="192"/>
      <c r="M1102" s="202"/>
      <c r="N1102" s="200"/>
      <c r="O1102" s="192"/>
      <c r="P1102" s="192"/>
      <c r="Q1102" s="192"/>
      <c r="R1102" s="192"/>
      <c r="S1102" s="202"/>
      <c r="T1102" s="203"/>
      <c r="U1102" s="153"/>
      <c r="V1102" s="153"/>
      <c r="W1102" s="153"/>
      <c r="X1102" s="153"/>
      <c r="Y1102" s="153"/>
      <c r="Z1102" s="153"/>
    </row>
    <row r="1103" spans="1:26">
      <c r="A1103" s="769"/>
      <c r="B1103" s="200"/>
      <c r="C1103" s="200"/>
      <c r="D1103" s="200"/>
      <c r="E1103" s="200"/>
      <c r="F1103" s="200"/>
      <c r="G1103" s="200"/>
      <c r="H1103" s="200"/>
      <c r="I1103" s="201"/>
      <c r="J1103" s="201"/>
      <c r="K1103" s="201"/>
      <c r="L1103" s="192"/>
      <c r="M1103" s="202"/>
      <c r="N1103" s="200"/>
      <c r="O1103" s="192"/>
      <c r="P1103" s="192"/>
      <c r="Q1103" s="192"/>
      <c r="R1103" s="192"/>
      <c r="S1103" s="202"/>
      <c r="T1103" s="203"/>
      <c r="U1103" s="153"/>
      <c r="V1103" s="153"/>
      <c r="W1103" s="153"/>
      <c r="X1103" s="153"/>
      <c r="Y1103" s="153"/>
      <c r="Z1103" s="153"/>
    </row>
    <row r="1104" spans="1:26">
      <c r="A1104" s="769"/>
      <c r="B1104" s="200"/>
      <c r="C1104" s="200"/>
      <c r="D1104" s="200"/>
      <c r="E1104" s="200"/>
      <c r="F1104" s="200"/>
      <c r="G1104" s="200"/>
      <c r="H1104" s="200"/>
      <c r="I1104" s="201"/>
      <c r="J1104" s="201"/>
      <c r="K1104" s="201"/>
      <c r="L1104" s="192"/>
      <c r="M1104" s="202"/>
      <c r="N1104" s="200"/>
      <c r="O1104" s="192"/>
      <c r="P1104" s="192"/>
      <c r="Q1104" s="192"/>
      <c r="R1104" s="192"/>
      <c r="S1104" s="202"/>
      <c r="T1104" s="203"/>
      <c r="U1104" s="153"/>
      <c r="V1104" s="153"/>
      <c r="W1104" s="153"/>
      <c r="X1104" s="153"/>
      <c r="Y1104" s="153"/>
      <c r="Z1104" s="153"/>
    </row>
    <row r="1105" spans="1:26">
      <c r="A1105" s="769"/>
      <c r="B1105" s="200"/>
      <c r="C1105" s="200"/>
      <c r="D1105" s="200"/>
      <c r="E1105" s="200"/>
      <c r="F1105" s="200"/>
      <c r="G1105" s="200"/>
      <c r="H1105" s="200"/>
      <c r="I1105" s="201"/>
      <c r="J1105" s="201"/>
      <c r="K1105" s="201"/>
      <c r="L1105" s="192"/>
      <c r="M1105" s="202"/>
      <c r="N1105" s="200"/>
      <c r="O1105" s="192"/>
      <c r="P1105" s="192"/>
      <c r="Q1105" s="192"/>
      <c r="R1105" s="192"/>
      <c r="S1105" s="202"/>
      <c r="T1105" s="203"/>
      <c r="U1105" s="153"/>
      <c r="V1105" s="153"/>
      <c r="W1105" s="153"/>
      <c r="X1105" s="153"/>
      <c r="Y1105" s="153"/>
      <c r="Z1105" s="153"/>
    </row>
    <row r="1106" spans="1:26">
      <c r="A1106" s="769"/>
      <c r="B1106" s="200"/>
      <c r="C1106" s="200"/>
      <c r="D1106" s="200"/>
      <c r="E1106" s="200"/>
      <c r="F1106" s="200"/>
      <c r="G1106" s="200"/>
      <c r="H1106" s="200"/>
      <c r="I1106" s="201"/>
      <c r="J1106" s="201"/>
      <c r="K1106" s="201"/>
      <c r="L1106" s="192"/>
      <c r="M1106" s="202"/>
      <c r="N1106" s="200"/>
      <c r="O1106" s="192"/>
      <c r="P1106" s="192"/>
      <c r="Q1106" s="192"/>
      <c r="R1106" s="192"/>
      <c r="S1106" s="202"/>
      <c r="T1106" s="203"/>
      <c r="U1106" s="153"/>
      <c r="V1106" s="153"/>
      <c r="W1106" s="153"/>
      <c r="X1106" s="153"/>
      <c r="Y1106" s="153"/>
      <c r="Z1106" s="153"/>
    </row>
    <row r="1107" spans="1:26">
      <c r="A1107" s="769"/>
      <c r="B1107" s="200"/>
      <c r="C1107" s="200"/>
      <c r="D1107" s="200"/>
      <c r="E1107" s="200"/>
      <c r="F1107" s="200"/>
      <c r="G1107" s="200"/>
      <c r="H1107" s="200"/>
      <c r="I1107" s="201"/>
      <c r="J1107" s="201"/>
      <c r="K1107" s="201"/>
      <c r="L1107" s="192"/>
      <c r="M1107" s="202"/>
      <c r="N1107" s="200"/>
      <c r="O1107" s="192"/>
      <c r="P1107" s="192"/>
      <c r="Q1107" s="192"/>
      <c r="R1107" s="192"/>
      <c r="S1107" s="202"/>
      <c r="T1107" s="203"/>
      <c r="U1107" s="153"/>
      <c r="V1107" s="153"/>
      <c r="W1107" s="153"/>
      <c r="X1107" s="153"/>
      <c r="Y1107" s="153"/>
      <c r="Z1107" s="153"/>
    </row>
    <row r="1108" spans="1:26">
      <c r="A1108" s="769"/>
      <c r="B1108" s="200"/>
      <c r="C1108" s="200"/>
      <c r="D1108" s="200"/>
      <c r="E1108" s="200"/>
      <c r="F1108" s="200"/>
      <c r="G1108" s="200"/>
      <c r="H1108" s="200"/>
      <c r="I1108" s="201"/>
      <c r="J1108" s="201"/>
      <c r="K1108" s="201"/>
      <c r="L1108" s="192"/>
      <c r="M1108" s="202"/>
      <c r="N1108" s="200"/>
      <c r="O1108" s="192"/>
      <c r="P1108" s="192"/>
      <c r="Q1108" s="192"/>
      <c r="R1108" s="192"/>
      <c r="S1108" s="202"/>
      <c r="T1108" s="203"/>
      <c r="U1108" s="153"/>
      <c r="V1108" s="153"/>
      <c r="W1108" s="153"/>
      <c r="X1108" s="153"/>
      <c r="Y1108" s="153"/>
      <c r="Z1108" s="153"/>
    </row>
    <row r="1109" spans="1:26">
      <c r="A1109" s="769"/>
      <c r="B1109" s="200"/>
      <c r="C1109" s="200"/>
      <c r="D1109" s="200"/>
      <c r="E1109" s="200"/>
      <c r="F1109" s="200"/>
      <c r="G1109" s="200"/>
      <c r="H1109" s="200"/>
      <c r="I1109" s="201"/>
      <c r="J1109" s="201"/>
      <c r="K1109" s="201"/>
      <c r="L1109" s="192"/>
      <c r="M1109" s="202"/>
      <c r="N1109" s="200"/>
      <c r="O1109" s="192"/>
      <c r="P1109" s="192"/>
      <c r="Q1109" s="192"/>
      <c r="R1109" s="192"/>
      <c r="S1109" s="202"/>
      <c r="T1109" s="203"/>
      <c r="U1109" s="153"/>
      <c r="V1109" s="153"/>
      <c r="W1109" s="153"/>
      <c r="X1109" s="153"/>
      <c r="Y1109" s="153"/>
      <c r="Z1109" s="153"/>
    </row>
    <row r="1110" spans="1:26">
      <c r="A1110" s="769"/>
      <c r="B1110" s="200"/>
      <c r="C1110" s="200"/>
      <c r="D1110" s="200"/>
      <c r="E1110" s="200"/>
      <c r="F1110" s="200"/>
      <c r="G1110" s="200"/>
      <c r="H1110" s="200"/>
      <c r="I1110" s="201"/>
      <c r="J1110" s="201"/>
      <c r="K1110" s="201"/>
      <c r="L1110" s="192"/>
      <c r="M1110" s="202"/>
      <c r="N1110" s="200"/>
      <c r="O1110" s="192"/>
      <c r="P1110" s="192"/>
      <c r="Q1110" s="192"/>
      <c r="R1110" s="192"/>
      <c r="S1110" s="202"/>
      <c r="T1110" s="203"/>
      <c r="U1110" s="153"/>
      <c r="V1110" s="153"/>
      <c r="W1110" s="153"/>
      <c r="X1110" s="153"/>
      <c r="Y1110" s="153"/>
      <c r="Z1110" s="153"/>
    </row>
    <row r="1111" spans="1:26">
      <c r="A1111" s="769"/>
      <c r="B1111" s="200"/>
      <c r="C1111" s="200"/>
      <c r="D1111" s="200"/>
      <c r="E1111" s="200"/>
      <c r="F1111" s="200"/>
      <c r="G1111" s="200"/>
      <c r="H1111" s="200"/>
      <c r="I1111" s="201"/>
      <c r="J1111" s="201"/>
      <c r="K1111" s="201"/>
      <c r="L1111" s="192"/>
      <c r="M1111" s="202"/>
      <c r="N1111" s="200"/>
      <c r="O1111" s="192"/>
      <c r="P1111" s="192"/>
      <c r="Q1111" s="192"/>
      <c r="R1111" s="192"/>
      <c r="S1111" s="202"/>
      <c r="T1111" s="203"/>
      <c r="U1111" s="153"/>
      <c r="V1111" s="153"/>
      <c r="W1111" s="153"/>
      <c r="X1111" s="153"/>
      <c r="Y1111" s="153"/>
      <c r="Z1111" s="153"/>
    </row>
    <row r="1112" spans="1:26">
      <c r="A1112" s="769"/>
      <c r="B1112" s="200"/>
      <c r="C1112" s="200"/>
      <c r="D1112" s="200"/>
      <c r="E1112" s="200"/>
      <c r="F1112" s="200"/>
      <c r="G1112" s="200"/>
      <c r="H1112" s="200"/>
      <c r="I1112" s="201"/>
      <c r="J1112" s="201"/>
      <c r="K1112" s="201"/>
      <c r="L1112" s="192"/>
      <c r="M1112" s="202"/>
      <c r="N1112" s="200"/>
      <c r="O1112" s="192"/>
      <c r="P1112" s="192"/>
      <c r="Q1112" s="192"/>
      <c r="R1112" s="192"/>
      <c r="S1112" s="202"/>
      <c r="T1112" s="203"/>
      <c r="U1112" s="153"/>
      <c r="V1112" s="153"/>
      <c r="W1112" s="153"/>
      <c r="X1112" s="153"/>
      <c r="Y1112" s="153"/>
      <c r="Z1112" s="153"/>
    </row>
    <row r="1113" spans="1:26">
      <c r="A1113" s="769"/>
      <c r="B1113" s="200"/>
      <c r="C1113" s="200"/>
      <c r="D1113" s="200"/>
      <c r="E1113" s="200"/>
      <c r="F1113" s="200"/>
      <c r="G1113" s="200"/>
      <c r="H1113" s="200"/>
      <c r="I1113" s="201"/>
      <c r="J1113" s="201"/>
      <c r="K1113" s="201"/>
      <c r="L1113" s="192"/>
      <c r="M1113" s="202"/>
      <c r="N1113" s="200"/>
      <c r="O1113" s="192"/>
      <c r="P1113" s="192"/>
      <c r="Q1113" s="192"/>
      <c r="R1113" s="192"/>
      <c r="S1113" s="202"/>
      <c r="T1113" s="203"/>
      <c r="U1113" s="153"/>
      <c r="V1113" s="153"/>
      <c r="W1113" s="153"/>
      <c r="X1113" s="153"/>
      <c r="Y1113" s="153"/>
      <c r="Z1113" s="153"/>
    </row>
    <row r="1114" spans="1:26">
      <c r="A1114" s="769"/>
      <c r="B1114" s="200"/>
      <c r="C1114" s="200"/>
      <c r="D1114" s="200"/>
      <c r="E1114" s="200"/>
      <c r="F1114" s="200"/>
      <c r="G1114" s="200"/>
      <c r="H1114" s="200"/>
      <c r="I1114" s="201"/>
      <c r="J1114" s="201"/>
      <c r="K1114" s="201"/>
      <c r="L1114" s="192"/>
      <c r="M1114" s="202"/>
      <c r="N1114" s="200"/>
      <c r="O1114" s="192"/>
      <c r="P1114" s="192"/>
      <c r="Q1114" s="192"/>
      <c r="R1114" s="192"/>
      <c r="S1114" s="202"/>
      <c r="T1114" s="203"/>
      <c r="U1114" s="153"/>
      <c r="V1114" s="153"/>
      <c r="W1114" s="153"/>
      <c r="X1114" s="153"/>
      <c r="Y1114" s="153"/>
      <c r="Z1114" s="153"/>
    </row>
    <row r="1115" spans="1:26">
      <c r="A1115" s="769"/>
      <c r="B1115" s="200"/>
      <c r="C1115" s="200"/>
      <c r="D1115" s="200"/>
      <c r="E1115" s="200"/>
      <c r="F1115" s="200"/>
      <c r="G1115" s="200"/>
      <c r="H1115" s="200"/>
      <c r="I1115" s="201"/>
      <c r="J1115" s="201"/>
      <c r="K1115" s="201"/>
      <c r="L1115" s="192"/>
      <c r="M1115" s="202"/>
      <c r="N1115" s="200"/>
      <c r="O1115" s="192"/>
      <c r="P1115" s="192"/>
      <c r="Q1115" s="192"/>
      <c r="R1115" s="192"/>
      <c r="S1115" s="202"/>
      <c r="T1115" s="203"/>
      <c r="U1115" s="153"/>
      <c r="V1115" s="153"/>
      <c r="W1115" s="153"/>
      <c r="X1115" s="153"/>
      <c r="Y1115" s="153"/>
      <c r="Z1115" s="153"/>
    </row>
    <row r="1116" spans="1:26">
      <c r="A1116" s="769"/>
      <c r="B1116" s="200"/>
      <c r="C1116" s="200"/>
      <c r="D1116" s="200"/>
      <c r="E1116" s="200"/>
      <c r="F1116" s="200"/>
      <c r="G1116" s="200"/>
      <c r="H1116" s="200"/>
      <c r="I1116" s="201"/>
      <c r="J1116" s="201"/>
      <c r="K1116" s="201"/>
      <c r="L1116" s="192"/>
      <c r="M1116" s="202"/>
      <c r="N1116" s="200"/>
      <c r="O1116" s="192"/>
      <c r="P1116" s="192"/>
      <c r="Q1116" s="192"/>
      <c r="R1116" s="192"/>
      <c r="S1116" s="202"/>
      <c r="T1116" s="203"/>
      <c r="U1116" s="153"/>
      <c r="V1116" s="153"/>
      <c r="W1116" s="153"/>
      <c r="X1116" s="153"/>
      <c r="Y1116" s="153"/>
      <c r="Z1116" s="153"/>
    </row>
    <row r="1117" spans="1:26">
      <c r="A1117" s="769"/>
      <c r="B1117" s="200"/>
      <c r="C1117" s="200"/>
      <c r="D1117" s="200"/>
      <c r="E1117" s="200"/>
      <c r="F1117" s="200"/>
      <c r="G1117" s="200"/>
      <c r="H1117" s="200"/>
      <c r="I1117" s="201"/>
      <c r="J1117" s="201"/>
      <c r="K1117" s="201"/>
      <c r="L1117" s="192"/>
      <c r="M1117" s="202"/>
      <c r="N1117" s="200"/>
      <c r="O1117" s="192"/>
      <c r="P1117" s="192"/>
      <c r="Q1117" s="192"/>
      <c r="R1117" s="192"/>
      <c r="S1117" s="202"/>
      <c r="T1117" s="203"/>
      <c r="U1117" s="153"/>
      <c r="V1117" s="153"/>
      <c r="W1117" s="153"/>
      <c r="X1117" s="153"/>
      <c r="Y1117" s="153"/>
      <c r="Z1117" s="153"/>
    </row>
    <row r="1118" spans="1:26">
      <c r="A1118" s="769"/>
      <c r="B1118" s="200"/>
      <c r="C1118" s="200"/>
      <c r="D1118" s="200"/>
      <c r="E1118" s="200"/>
      <c r="F1118" s="200"/>
      <c r="G1118" s="200"/>
      <c r="H1118" s="200"/>
      <c r="I1118" s="201"/>
      <c r="J1118" s="201"/>
      <c r="K1118" s="201"/>
      <c r="L1118" s="192"/>
      <c r="M1118" s="202"/>
      <c r="N1118" s="200"/>
      <c r="O1118" s="192"/>
      <c r="P1118" s="192"/>
      <c r="Q1118" s="192"/>
      <c r="R1118" s="192"/>
      <c r="S1118" s="202"/>
      <c r="T1118" s="203"/>
      <c r="U1118" s="153"/>
      <c r="V1118" s="153"/>
      <c r="W1118" s="153"/>
      <c r="X1118" s="153"/>
      <c r="Y1118" s="153"/>
      <c r="Z1118" s="153"/>
    </row>
    <row r="1119" spans="1:26">
      <c r="A1119" s="769"/>
      <c r="B1119" s="200"/>
      <c r="C1119" s="200"/>
      <c r="D1119" s="200"/>
      <c r="E1119" s="200"/>
      <c r="F1119" s="200"/>
      <c r="G1119" s="200"/>
      <c r="H1119" s="200"/>
      <c r="I1119" s="201"/>
      <c r="J1119" s="201"/>
      <c r="K1119" s="201"/>
      <c r="L1119" s="192"/>
      <c r="M1119" s="202"/>
      <c r="N1119" s="200"/>
      <c r="O1119" s="192"/>
      <c r="P1119" s="192"/>
      <c r="Q1119" s="192"/>
      <c r="R1119" s="192"/>
      <c r="S1119" s="202"/>
      <c r="T1119" s="203"/>
      <c r="U1119" s="153"/>
      <c r="V1119" s="153"/>
      <c r="W1119" s="153"/>
      <c r="X1119" s="153"/>
      <c r="Y1119" s="153"/>
      <c r="Z1119" s="153"/>
    </row>
    <row r="1120" spans="1:26">
      <c r="A1120" s="769"/>
      <c r="B1120" s="200"/>
      <c r="C1120" s="200"/>
      <c r="D1120" s="200"/>
      <c r="E1120" s="200"/>
      <c r="F1120" s="200"/>
      <c r="G1120" s="200"/>
      <c r="H1120" s="200"/>
      <c r="I1120" s="201"/>
      <c r="J1120" s="201"/>
      <c r="K1120" s="201"/>
      <c r="L1120" s="192"/>
      <c r="M1120" s="202"/>
      <c r="N1120" s="200"/>
      <c r="O1120" s="192"/>
      <c r="P1120" s="192"/>
      <c r="Q1120" s="192"/>
      <c r="R1120" s="192"/>
      <c r="S1120" s="202"/>
      <c r="T1120" s="203"/>
      <c r="U1120" s="153"/>
      <c r="V1120" s="153"/>
      <c r="W1120" s="153"/>
      <c r="X1120" s="153"/>
      <c r="Y1120" s="153"/>
      <c r="Z1120" s="153"/>
    </row>
    <row r="1121" spans="1:26">
      <c r="A1121" s="769"/>
      <c r="B1121" s="200"/>
      <c r="C1121" s="200"/>
      <c r="D1121" s="200"/>
      <c r="E1121" s="200"/>
      <c r="F1121" s="200"/>
      <c r="G1121" s="200"/>
      <c r="H1121" s="200"/>
      <c r="I1121" s="201"/>
      <c r="J1121" s="201"/>
      <c r="K1121" s="201"/>
      <c r="L1121" s="192"/>
      <c r="M1121" s="202"/>
      <c r="N1121" s="200"/>
      <c r="O1121" s="192"/>
      <c r="P1121" s="192"/>
      <c r="Q1121" s="192"/>
      <c r="R1121" s="192"/>
      <c r="S1121" s="202"/>
      <c r="T1121" s="203"/>
      <c r="U1121" s="153"/>
      <c r="V1121" s="153"/>
      <c r="W1121" s="153"/>
      <c r="X1121" s="153"/>
      <c r="Y1121" s="153"/>
      <c r="Z1121" s="153"/>
    </row>
    <row r="1122" spans="1:26">
      <c r="A1122" s="769"/>
      <c r="B1122" s="200"/>
      <c r="C1122" s="200"/>
      <c r="D1122" s="200"/>
      <c r="E1122" s="200"/>
      <c r="F1122" s="200"/>
      <c r="G1122" s="200"/>
      <c r="H1122" s="200"/>
      <c r="I1122" s="201"/>
      <c r="J1122" s="201"/>
      <c r="K1122" s="201"/>
      <c r="L1122" s="192"/>
      <c r="M1122" s="202"/>
      <c r="N1122" s="200"/>
      <c r="O1122" s="192"/>
      <c r="P1122" s="192"/>
      <c r="Q1122" s="192"/>
      <c r="R1122" s="192"/>
      <c r="S1122" s="202"/>
      <c r="T1122" s="203"/>
      <c r="U1122" s="153"/>
      <c r="V1122" s="153"/>
      <c r="W1122" s="153"/>
      <c r="X1122" s="153"/>
      <c r="Y1122" s="153"/>
      <c r="Z1122" s="153"/>
    </row>
    <row r="1123" spans="1:26">
      <c r="A1123" s="769"/>
      <c r="B1123" s="200"/>
      <c r="C1123" s="200"/>
      <c r="D1123" s="200"/>
      <c r="E1123" s="200"/>
      <c r="F1123" s="200"/>
      <c r="G1123" s="200"/>
      <c r="H1123" s="200"/>
      <c r="I1123" s="201"/>
      <c r="J1123" s="201"/>
      <c r="K1123" s="201"/>
      <c r="L1123" s="192"/>
      <c r="M1123" s="202"/>
      <c r="N1123" s="200"/>
      <c r="O1123" s="192"/>
      <c r="P1123" s="192"/>
      <c r="Q1123" s="192"/>
      <c r="R1123" s="192"/>
      <c r="S1123" s="202"/>
      <c r="T1123" s="203"/>
      <c r="U1123" s="153"/>
      <c r="V1123" s="153"/>
      <c r="W1123" s="153"/>
      <c r="X1123" s="153"/>
      <c r="Y1123" s="153"/>
      <c r="Z1123" s="153"/>
    </row>
    <row r="1124" spans="1:26">
      <c r="A1124" s="769"/>
      <c r="B1124" s="200"/>
      <c r="C1124" s="200"/>
      <c r="D1124" s="200"/>
      <c r="E1124" s="200"/>
      <c r="F1124" s="200"/>
      <c r="G1124" s="200"/>
      <c r="H1124" s="200"/>
      <c r="I1124" s="201"/>
      <c r="J1124" s="201"/>
      <c r="K1124" s="201"/>
      <c r="L1124" s="192"/>
      <c r="M1124" s="202"/>
      <c r="N1124" s="200"/>
      <c r="O1124" s="192"/>
      <c r="P1124" s="192"/>
      <c r="Q1124" s="192"/>
      <c r="R1124" s="192"/>
      <c r="S1124" s="202"/>
      <c r="T1124" s="203"/>
      <c r="U1124" s="153"/>
      <c r="V1124" s="153"/>
      <c r="W1124" s="153"/>
      <c r="X1124" s="153"/>
      <c r="Y1124" s="153"/>
      <c r="Z1124" s="153"/>
    </row>
    <row r="1125" spans="1:26">
      <c r="A1125" s="769"/>
      <c r="B1125" s="200"/>
      <c r="C1125" s="200"/>
      <c r="D1125" s="200"/>
      <c r="E1125" s="200"/>
      <c r="F1125" s="200"/>
      <c r="G1125" s="200"/>
      <c r="H1125" s="200"/>
      <c r="I1125" s="201"/>
      <c r="J1125" s="201"/>
      <c r="K1125" s="201"/>
      <c r="L1125" s="192"/>
      <c r="M1125" s="202"/>
      <c r="N1125" s="200"/>
      <c r="O1125" s="192"/>
      <c r="P1125" s="192"/>
      <c r="Q1125" s="192"/>
      <c r="R1125" s="192"/>
      <c r="S1125" s="202"/>
      <c r="T1125" s="203"/>
      <c r="U1125" s="153"/>
      <c r="V1125" s="153"/>
      <c r="W1125" s="153"/>
      <c r="X1125" s="153"/>
      <c r="Y1125" s="153"/>
      <c r="Z1125" s="153"/>
    </row>
    <row r="1126" spans="1:26">
      <c r="A1126" s="769"/>
      <c r="B1126" s="200"/>
      <c r="C1126" s="200"/>
      <c r="D1126" s="200"/>
      <c r="E1126" s="200"/>
      <c r="F1126" s="200"/>
      <c r="G1126" s="200"/>
      <c r="H1126" s="200"/>
      <c r="I1126" s="201"/>
      <c r="J1126" s="201"/>
      <c r="K1126" s="201"/>
      <c r="L1126" s="192"/>
      <c r="M1126" s="202"/>
      <c r="N1126" s="200"/>
      <c r="O1126" s="192"/>
      <c r="P1126" s="192"/>
      <c r="Q1126" s="192"/>
      <c r="R1126" s="192"/>
      <c r="S1126" s="202"/>
      <c r="T1126" s="203"/>
      <c r="U1126" s="153"/>
      <c r="V1126" s="153"/>
      <c r="W1126" s="153"/>
      <c r="X1126" s="153"/>
      <c r="Y1126" s="153"/>
      <c r="Z1126" s="153"/>
    </row>
    <row r="1127" spans="1:26">
      <c r="A1127" s="769"/>
      <c r="B1127" s="200"/>
      <c r="C1127" s="200"/>
      <c r="D1127" s="200"/>
      <c r="E1127" s="200"/>
      <c r="F1127" s="200"/>
      <c r="G1127" s="200"/>
      <c r="H1127" s="200"/>
      <c r="I1127" s="201"/>
      <c r="J1127" s="201"/>
      <c r="K1127" s="201"/>
      <c r="L1127" s="192"/>
      <c r="M1127" s="202"/>
      <c r="N1127" s="200"/>
      <c r="O1127" s="192"/>
      <c r="P1127" s="192"/>
      <c r="Q1127" s="192"/>
      <c r="R1127" s="192"/>
      <c r="S1127" s="202"/>
      <c r="T1127" s="203"/>
      <c r="U1127" s="153"/>
      <c r="V1127" s="153"/>
      <c r="W1127" s="153"/>
      <c r="X1127" s="153"/>
      <c r="Y1127" s="153"/>
      <c r="Z1127" s="153"/>
    </row>
    <row r="1128" spans="1:26">
      <c r="A1128" s="769"/>
      <c r="B1128" s="200"/>
      <c r="C1128" s="200"/>
      <c r="D1128" s="200"/>
      <c r="E1128" s="200"/>
      <c r="F1128" s="200"/>
      <c r="G1128" s="200"/>
      <c r="H1128" s="200"/>
      <c r="I1128" s="201"/>
      <c r="J1128" s="201"/>
      <c r="K1128" s="201"/>
      <c r="L1128" s="192"/>
      <c r="M1128" s="202"/>
      <c r="N1128" s="200"/>
      <c r="O1128" s="192"/>
      <c r="P1128" s="192"/>
      <c r="Q1128" s="192"/>
      <c r="R1128" s="192"/>
      <c r="S1128" s="202"/>
      <c r="T1128" s="203"/>
      <c r="U1128" s="153"/>
      <c r="V1128" s="153"/>
      <c r="W1128" s="153"/>
      <c r="X1128" s="153"/>
      <c r="Y1128" s="153"/>
      <c r="Z1128" s="153"/>
    </row>
    <row r="1129" spans="1:26">
      <c r="A1129" s="769"/>
      <c r="B1129" s="200"/>
      <c r="C1129" s="200"/>
      <c r="D1129" s="200"/>
      <c r="E1129" s="200"/>
      <c r="F1129" s="200"/>
      <c r="G1129" s="200"/>
      <c r="H1129" s="200"/>
      <c r="I1129" s="201"/>
      <c r="J1129" s="201"/>
      <c r="K1129" s="201"/>
      <c r="L1129" s="192"/>
      <c r="M1129" s="202"/>
      <c r="N1129" s="200"/>
      <c r="O1129" s="192"/>
      <c r="P1129" s="192"/>
      <c r="Q1129" s="192"/>
      <c r="R1129" s="192"/>
      <c r="S1129" s="202"/>
      <c r="T1129" s="203"/>
      <c r="U1129" s="153"/>
      <c r="V1129" s="153"/>
      <c r="W1129" s="153"/>
      <c r="X1129" s="153"/>
      <c r="Y1129" s="153"/>
      <c r="Z1129" s="153"/>
    </row>
    <row r="1130" spans="1:26">
      <c r="A1130" s="769"/>
      <c r="B1130" s="200"/>
      <c r="C1130" s="200"/>
      <c r="D1130" s="200"/>
      <c r="E1130" s="200"/>
      <c r="F1130" s="200"/>
      <c r="G1130" s="200"/>
      <c r="H1130" s="200"/>
      <c r="I1130" s="201"/>
      <c r="J1130" s="201"/>
      <c r="K1130" s="201"/>
      <c r="L1130" s="192"/>
      <c r="M1130" s="202"/>
      <c r="N1130" s="200"/>
      <c r="O1130" s="192"/>
      <c r="P1130" s="192"/>
      <c r="Q1130" s="192"/>
      <c r="R1130" s="192"/>
      <c r="S1130" s="202"/>
      <c r="T1130" s="203"/>
      <c r="U1130" s="153"/>
      <c r="V1130" s="153"/>
      <c r="W1130" s="153"/>
      <c r="X1130" s="153"/>
      <c r="Y1130" s="153"/>
      <c r="Z1130" s="153"/>
    </row>
    <row r="1131" spans="1:26">
      <c r="A1131" s="769"/>
      <c r="B1131" s="200"/>
      <c r="C1131" s="200"/>
      <c r="D1131" s="200"/>
      <c r="E1131" s="200"/>
      <c r="F1131" s="200"/>
      <c r="G1131" s="200"/>
      <c r="H1131" s="200"/>
      <c r="I1131" s="201"/>
      <c r="J1131" s="201"/>
      <c r="K1131" s="201"/>
      <c r="L1131" s="192"/>
      <c r="M1131" s="202"/>
      <c r="N1131" s="200"/>
      <c r="O1131" s="192"/>
      <c r="P1131" s="192"/>
      <c r="Q1131" s="192"/>
      <c r="R1131" s="192"/>
      <c r="S1131" s="202"/>
      <c r="T1131" s="203"/>
      <c r="U1131" s="153"/>
      <c r="V1131" s="153"/>
      <c r="W1131" s="153"/>
      <c r="X1131" s="153"/>
      <c r="Y1131" s="153"/>
      <c r="Z1131" s="153"/>
    </row>
    <row r="1132" spans="1:26">
      <c r="A1132" s="769"/>
      <c r="B1132" s="200"/>
      <c r="C1132" s="200"/>
      <c r="D1132" s="200"/>
      <c r="E1132" s="200"/>
      <c r="F1132" s="200"/>
      <c r="G1132" s="200"/>
      <c r="H1132" s="200"/>
      <c r="I1132" s="201"/>
      <c r="J1132" s="201"/>
      <c r="K1132" s="201"/>
      <c r="L1132" s="192"/>
      <c r="M1132" s="202"/>
      <c r="N1132" s="200"/>
      <c r="O1132" s="192"/>
      <c r="P1132" s="192"/>
      <c r="Q1132" s="192"/>
      <c r="R1132" s="192"/>
      <c r="S1132" s="202"/>
      <c r="T1132" s="203"/>
      <c r="U1132" s="153"/>
      <c r="V1132" s="153"/>
      <c r="W1132" s="153"/>
      <c r="X1132" s="153"/>
      <c r="Y1132" s="153"/>
      <c r="Z1132" s="153"/>
    </row>
    <row r="1133" spans="1:26">
      <c r="A1133" s="769"/>
      <c r="B1133" s="200"/>
      <c r="C1133" s="200"/>
      <c r="D1133" s="200"/>
      <c r="E1133" s="200"/>
      <c r="F1133" s="200"/>
      <c r="G1133" s="200"/>
      <c r="H1133" s="200"/>
      <c r="I1133" s="201"/>
      <c r="J1133" s="201"/>
      <c r="K1133" s="201"/>
      <c r="L1133" s="192"/>
      <c r="M1133" s="202"/>
      <c r="N1133" s="200"/>
      <c r="O1133" s="192"/>
      <c r="P1133" s="192"/>
      <c r="Q1133" s="192"/>
      <c r="R1133" s="192"/>
      <c r="S1133" s="202"/>
      <c r="T1133" s="203"/>
      <c r="U1133" s="153"/>
      <c r="V1133" s="153"/>
      <c r="W1133" s="153"/>
      <c r="X1133" s="153"/>
      <c r="Y1133" s="153"/>
      <c r="Z1133" s="153"/>
    </row>
    <row r="1134" spans="1:26">
      <c r="A1134" s="769"/>
      <c r="B1134" s="200"/>
      <c r="C1134" s="200"/>
      <c r="D1134" s="200"/>
      <c r="E1134" s="200"/>
      <c r="F1134" s="200"/>
      <c r="G1134" s="200"/>
      <c r="H1134" s="200"/>
      <c r="I1134" s="201"/>
      <c r="J1134" s="201"/>
      <c r="K1134" s="201"/>
      <c r="L1134" s="192"/>
      <c r="M1134" s="202"/>
      <c r="N1134" s="200"/>
      <c r="O1134" s="192"/>
      <c r="P1134" s="192"/>
      <c r="Q1134" s="192"/>
      <c r="R1134" s="192"/>
      <c r="S1134" s="202"/>
      <c r="T1134" s="203"/>
      <c r="U1134" s="153"/>
      <c r="V1134" s="153"/>
      <c r="W1134" s="153"/>
      <c r="X1134" s="153"/>
      <c r="Y1134" s="153"/>
      <c r="Z1134" s="153"/>
    </row>
    <row r="1135" spans="1:26">
      <c r="A1135" s="769"/>
      <c r="B1135" s="200"/>
      <c r="C1135" s="200"/>
      <c r="D1135" s="200"/>
      <c r="E1135" s="200"/>
      <c r="F1135" s="200"/>
      <c r="G1135" s="200"/>
      <c r="H1135" s="200"/>
      <c r="I1135" s="201"/>
      <c r="J1135" s="201"/>
      <c r="K1135" s="201"/>
      <c r="L1135" s="192"/>
      <c r="M1135" s="202"/>
      <c r="N1135" s="200"/>
      <c r="O1135" s="192"/>
      <c r="P1135" s="192"/>
      <c r="Q1135" s="192"/>
      <c r="R1135" s="192"/>
      <c r="S1135" s="202"/>
      <c r="T1135" s="203"/>
      <c r="U1135" s="153"/>
      <c r="V1135" s="153"/>
      <c r="W1135" s="153"/>
      <c r="X1135" s="153"/>
      <c r="Y1135" s="153"/>
      <c r="Z1135" s="153"/>
    </row>
    <row r="1136" spans="1:26">
      <c r="A1136" s="769"/>
      <c r="B1136" s="200"/>
      <c r="C1136" s="200"/>
      <c r="D1136" s="200"/>
      <c r="E1136" s="200"/>
      <c r="F1136" s="200"/>
      <c r="G1136" s="200"/>
      <c r="H1136" s="200"/>
      <c r="I1136" s="201"/>
      <c r="J1136" s="201"/>
      <c r="K1136" s="201"/>
      <c r="L1136" s="192"/>
      <c r="M1136" s="202"/>
      <c r="N1136" s="200"/>
      <c r="O1136" s="192"/>
      <c r="P1136" s="192"/>
      <c r="Q1136" s="192"/>
      <c r="R1136" s="192"/>
      <c r="S1136" s="202"/>
      <c r="T1136" s="203"/>
      <c r="U1136" s="153"/>
      <c r="V1136" s="153"/>
      <c r="W1136" s="153"/>
      <c r="X1136" s="153"/>
      <c r="Y1136" s="153"/>
      <c r="Z1136" s="153"/>
    </row>
    <row r="1137" spans="1:26">
      <c r="A1137" s="769"/>
      <c r="B1137" s="200"/>
      <c r="C1137" s="200"/>
      <c r="D1137" s="200"/>
      <c r="E1137" s="200"/>
      <c r="F1137" s="200"/>
      <c r="G1137" s="200"/>
      <c r="H1137" s="200"/>
      <c r="I1137" s="201"/>
      <c r="J1137" s="201"/>
      <c r="K1137" s="201"/>
      <c r="L1137" s="192"/>
      <c r="M1137" s="202"/>
      <c r="N1137" s="200"/>
      <c r="O1137" s="192"/>
      <c r="P1137" s="192"/>
      <c r="Q1137" s="192"/>
      <c r="R1137" s="192"/>
      <c r="S1137" s="202"/>
      <c r="T1137" s="203"/>
      <c r="U1137" s="153"/>
      <c r="V1137" s="153"/>
      <c r="W1137" s="153"/>
      <c r="X1137" s="153"/>
      <c r="Y1137" s="153"/>
      <c r="Z1137" s="153"/>
    </row>
    <row r="1138" spans="1:26">
      <c r="A1138" s="769"/>
      <c r="B1138" s="200"/>
      <c r="C1138" s="200"/>
      <c r="D1138" s="200"/>
      <c r="E1138" s="200"/>
      <c r="F1138" s="200"/>
      <c r="G1138" s="200"/>
      <c r="H1138" s="200"/>
      <c r="I1138" s="201"/>
      <c r="J1138" s="201"/>
      <c r="K1138" s="201"/>
      <c r="L1138" s="192"/>
      <c r="M1138" s="202"/>
      <c r="N1138" s="200"/>
      <c r="O1138" s="192"/>
      <c r="P1138" s="192"/>
      <c r="Q1138" s="192"/>
      <c r="R1138" s="192"/>
      <c r="S1138" s="202"/>
      <c r="T1138" s="203"/>
      <c r="U1138" s="153"/>
      <c r="V1138" s="153"/>
      <c r="W1138" s="153"/>
      <c r="X1138" s="153"/>
      <c r="Y1138" s="153"/>
      <c r="Z1138" s="153"/>
    </row>
    <row r="1139" spans="1:26">
      <c r="A1139" s="769"/>
      <c r="B1139" s="200"/>
      <c r="C1139" s="200"/>
      <c r="D1139" s="200"/>
      <c r="E1139" s="200"/>
      <c r="F1139" s="200"/>
      <c r="G1139" s="200"/>
      <c r="H1139" s="200"/>
      <c r="I1139" s="201"/>
      <c r="J1139" s="201"/>
      <c r="K1139" s="201"/>
      <c r="L1139" s="192"/>
      <c r="M1139" s="202"/>
      <c r="N1139" s="200"/>
      <c r="O1139" s="192"/>
      <c r="P1139" s="192"/>
      <c r="Q1139" s="192"/>
      <c r="R1139" s="192"/>
      <c r="S1139" s="202"/>
      <c r="T1139" s="203"/>
      <c r="U1139" s="153"/>
      <c r="V1139" s="153"/>
      <c r="W1139" s="153"/>
      <c r="X1139" s="153"/>
      <c r="Y1139" s="153"/>
      <c r="Z1139" s="153"/>
    </row>
    <row r="1140" spans="1:26">
      <c r="A1140" s="769"/>
      <c r="B1140" s="200"/>
      <c r="C1140" s="200"/>
      <c r="D1140" s="200"/>
      <c r="E1140" s="200"/>
      <c r="F1140" s="200"/>
      <c r="G1140" s="200"/>
      <c r="H1140" s="200"/>
      <c r="I1140" s="201"/>
      <c r="J1140" s="201"/>
      <c r="K1140" s="201"/>
      <c r="L1140" s="192"/>
      <c r="M1140" s="202"/>
      <c r="N1140" s="200"/>
      <c r="O1140" s="192"/>
      <c r="P1140" s="192"/>
      <c r="Q1140" s="192"/>
      <c r="R1140" s="192"/>
      <c r="S1140" s="202"/>
      <c r="T1140" s="203"/>
      <c r="U1140" s="153"/>
      <c r="V1140" s="153"/>
      <c r="W1140" s="153"/>
      <c r="X1140" s="153"/>
      <c r="Y1140" s="153"/>
      <c r="Z1140" s="153"/>
    </row>
    <row r="1141" spans="1:26">
      <c r="A1141" s="769"/>
      <c r="B1141" s="200"/>
      <c r="C1141" s="200"/>
      <c r="D1141" s="200"/>
      <c r="E1141" s="200"/>
      <c r="F1141" s="200"/>
      <c r="G1141" s="200"/>
      <c r="H1141" s="200"/>
      <c r="I1141" s="201"/>
      <c r="J1141" s="201"/>
      <c r="K1141" s="201"/>
      <c r="L1141" s="192"/>
      <c r="M1141" s="202"/>
      <c r="N1141" s="200"/>
      <c r="O1141" s="192"/>
      <c r="P1141" s="192"/>
      <c r="Q1141" s="192"/>
      <c r="R1141" s="192"/>
      <c r="S1141" s="202"/>
      <c r="T1141" s="203"/>
      <c r="U1141" s="153"/>
      <c r="V1141" s="153"/>
      <c r="W1141" s="153"/>
      <c r="X1141" s="153"/>
      <c r="Y1141" s="153"/>
      <c r="Z1141" s="153"/>
    </row>
    <row r="1142" spans="1:26">
      <c r="A1142" s="769"/>
      <c r="B1142" s="200"/>
      <c r="C1142" s="200"/>
      <c r="D1142" s="200"/>
      <c r="E1142" s="200"/>
      <c r="F1142" s="200"/>
      <c r="G1142" s="200"/>
      <c r="H1142" s="200"/>
      <c r="I1142" s="201"/>
      <c r="J1142" s="201"/>
      <c r="K1142" s="201"/>
      <c r="L1142" s="192"/>
      <c r="M1142" s="202"/>
      <c r="N1142" s="200"/>
      <c r="O1142" s="192"/>
      <c r="P1142" s="192"/>
      <c r="Q1142" s="192"/>
      <c r="R1142" s="192"/>
      <c r="S1142" s="202"/>
      <c r="T1142" s="203"/>
      <c r="U1142" s="153"/>
      <c r="V1142" s="153"/>
      <c r="W1142" s="153"/>
      <c r="X1142" s="153"/>
      <c r="Y1142" s="153"/>
      <c r="Z1142" s="153"/>
    </row>
    <row r="1143" spans="1:26">
      <c r="A1143" s="769"/>
      <c r="B1143" s="200"/>
      <c r="C1143" s="200"/>
      <c r="D1143" s="200"/>
      <c r="E1143" s="200"/>
      <c r="F1143" s="200"/>
      <c r="G1143" s="200"/>
      <c r="H1143" s="200"/>
      <c r="I1143" s="201"/>
      <c r="J1143" s="201"/>
      <c r="K1143" s="201"/>
      <c r="L1143" s="192"/>
      <c r="M1143" s="202"/>
      <c r="N1143" s="200"/>
      <c r="O1143" s="192"/>
      <c r="P1143" s="192"/>
      <c r="Q1143" s="192"/>
      <c r="R1143" s="192"/>
      <c r="S1143" s="202"/>
      <c r="T1143" s="203"/>
      <c r="U1143" s="153"/>
      <c r="V1143" s="153"/>
      <c r="W1143" s="153"/>
      <c r="X1143" s="153"/>
      <c r="Y1143" s="153"/>
      <c r="Z1143" s="153"/>
    </row>
    <row r="1144" spans="1:26">
      <c r="A1144" s="769"/>
      <c r="B1144" s="200"/>
      <c r="C1144" s="200"/>
      <c r="D1144" s="200"/>
      <c r="E1144" s="200"/>
      <c r="F1144" s="200"/>
      <c r="G1144" s="200"/>
      <c r="H1144" s="200"/>
      <c r="I1144" s="201"/>
      <c r="J1144" s="201"/>
      <c r="K1144" s="201"/>
      <c r="L1144" s="192"/>
      <c r="M1144" s="202"/>
      <c r="N1144" s="200"/>
      <c r="O1144" s="192"/>
      <c r="P1144" s="192"/>
      <c r="Q1144" s="192"/>
      <c r="R1144" s="192"/>
      <c r="S1144" s="202"/>
      <c r="T1144" s="203"/>
      <c r="U1144" s="153"/>
      <c r="V1144" s="153"/>
      <c r="W1144" s="153"/>
      <c r="X1144" s="153"/>
      <c r="Y1144" s="153"/>
      <c r="Z1144" s="153"/>
    </row>
    <row r="1145" spans="1:26">
      <c r="A1145" s="769"/>
      <c r="B1145" s="200"/>
      <c r="C1145" s="200"/>
      <c r="D1145" s="200"/>
      <c r="E1145" s="200"/>
      <c r="F1145" s="200"/>
      <c r="G1145" s="200"/>
      <c r="H1145" s="200"/>
      <c r="I1145" s="201"/>
      <c r="J1145" s="201"/>
      <c r="K1145" s="201"/>
      <c r="L1145" s="192"/>
      <c r="M1145" s="202"/>
      <c r="N1145" s="200"/>
      <c r="O1145" s="192"/>
      <c r="P1145" s="192"/>
      <c r="Q1145" s="192"/>
      <c r="R1145" s="192"/>
      <c r="S1145" s="202"/>
      <c r="T1145" s="203"/>
      <c r="U1145" s="153"/>
      <c r="V1145" s="153"/>
      <c r="W1145" s="153"/>
      <c r="X1145" s="153"/>
      <c r="Y1145" s="153"/>
      <c r="Z1145" s="153"/>
    </row>
    <row r="1146" spans="1:26">
      <c r="A1146" s="769"/>
      <c r="B1146" s="200"/>
      <c r="C1146" s="200"/>
      <c r="D1146" s="200"/>
      <c r="E1146" s="200"/>
      <c r="F1146" s="200"/>
      <c r="G1146" s="200"/>
      <c r="H1146" s="200"/>
      <c r="I1146" s="201"/>
      <c r="J1146" s="201"/>
      <c r="K1146" s="201"/>
      <c r="L1146" s="192"/>
      <c r="M1146" s="202"/>
      <c r="N1146" s="200"/>
      <c r="O1146" s="192"/>
      <c r="P1146" s="192"/>
      <c r="Q1146" s="192"/>
      <c r="R1146" s="192"/>
      <c r="S1146" s="202"/>
      <c r="T1146" s="203"/>
      <c r="U1146" s="153"/>
      <c r="V1146" s="153"/>
      <c r="W1146" s="153"/>
      <c r="X1146" s="153"/>
      <c r="Y1146" s="153"/>
      <c r="Z1146" s="153"/>
    </row>
    <row r="1147" spans="1:26">
      <c r="A1147" s="769"/>
      <c r="B1147" s="200"/>
      <c r="C1147" s="200"/>
      <c r="D1147" s="200"/>
      <c r="E1147" s="200"/>
      <c r="F1147" s="200"/>
      <c r="G1147" s="200"/>
      <c r="H1147" s="200"/>
      <c r="I1147" s="201"/>
      <c r="J1147" s="201"/>
      <c r="K1147" s="201"/>
      <c r="L1147" s="192"/>
      <c r="M1147" s="202"/>
      <c r="N1147" s="200"/>
      <c r="O1147" s="192"/>
      <c r="P1147" s="192"/>
      <c r="Q1147" s="192"/>
      <c r="R1147" s="192"/>
      <c r="S1147" s="202"/>
      <c r="T1147" s="203"/>
      <c r="U1147" s="153"/>
      <c r="V1147" s="153"/>
      <c r="W1147" s="153"/>
      <c r="X1147" s="153"/>
      <c r="Y1147" s="153"/>
      <c r="Z1147" s="153"/>
    </row>
    <row r="1148" spans="1:26">
      <c r="A1148" s="769"/>
      <c r="B1148" s="200"/>
      <c r="C1148" s="200"/>
      <c r="D1148" s="200"/>
      <c r="E1148" s="200"/>
      <c r="F1148" s="200"/>
      <c r="G1148" s="200"/>
      <c r="H1148" s="200"/>
      <c r="I1148" s="201"/>
      <c r="J1148" s="201"/>
      <c r="K1148" s="201"/>
      <c r="L1148" s="192"/>
      <c r="M1148" s="202"/>
      <c r="N1148" s="200"/>
      <c r="O1148" s="192"/>
      <c r="P1148" s="192"/>
      <c r="Q1148" s="192"/>
      <c r="R1148" s="192"/>
      <c r="S1148" s="202"/>
      <c r="T1148" s="203"/>
      <c r="U1148" s="153"/>
      <c r="V1148" s="153"/>
      <c r="W1148" s="153"/>
      <c r="X1148" s="153"/>
      <c r="Y1148" s="153"/>
      <c r="Z1148" s="153"/>
    </row>
    <row r="1149" spans="1:26">
      <c r="A1149" s="769"/>
      <c r="B1149" s="200"/>
      <c r="C1149" s="200"/>
      <c r="D1149" s="200"/>
      <c r="E1149" s="200"/>
      <c r="F1149" s="200"/>
      <c r="G1149" s="200"/>
      <c r="H1149" s="200"/>
      <c r="I1149" s="201"/>
      <c r="J1149" s="201"/>
      <c r="K1149" s="201"/>
      <c r="L1149" s="192"/>
      <c r="M1149" s="202"/>
      <c r="N1149" s="200"/>
      <c r="O1149" s="192"/>
      <c r="P1149" s="192"/>
      <c r="Q1149" s="192"/>
      <c r="R1149" s="192"/>
      <c r="S1149" s="202"/>
      <c r="T1149" s="203"/>
      <c r="U1149" s="153"/>
      <c r="V1149" s="153"/>
      <c r="W1149" s="153"/>
      <c r="X1149" s="153"/>
      <c r="Y1149" s="153"/>
      <c r="Z1149" s="153"/>
    </row>
    <row r="1150" spans="1:26">
      <c r="A1150" s="769"/>
      <c r="B1150" s="200"/>
      <c r="C1150" s="200"/>
      <c r="D1150" s="200"/>
      <c r="E1150" s="200"/>
      <c r="F1150" s="200"/>
      <c r="G1150" s="200"/>
      <c r="H1150" s="200"/>
      <c r="I1150" s="201"/>
      <c r="J1150" s="201"/>
      <c r="K1150" s="201"/>
      <c r="L1150" s="192"/>
      <c r="M1150" s="202"/>
      <c r="N1150" s="200"/>
      <c r="O1150" s="192"/>
      <c r="P1150" s="192"/>
      <c r="Q1150" s="192"/>
      <c r="R1150" s="192"/>
      <c r="S1150" s="202"/>
      <c r="T1150" s="203"/>
      <c r="U1150" s="153"/>
      <c r="V1150" s="153"/>
      <c r="W1150" s="153"/>
      <c r="X1150" s="153"/>
      <c r="Y1150" s="153"/>
      <c r="Z1150" s="153"/>
    </row>
    <row r="1151" spans="1:26">
      <c r="A1151" s="769"/>
      <c r="B1151" s="200"/>
      <c r="C1151" s="200"/>
      <c r="D1151" s="200"/>
      <c r="E1151" s="200"/>
      <c r="F1151" s="200"/>
      <c r="G1151" s="200"/>
      <c r="H1151" s="200"/>
      <c r="I1151" s="201"/>
      <c r="J1151" s="201"/>
      <c r="K1151" s="201"/>
      <c r="L1151" s="192"/>
      <c r="M1151" s="202"/>
      <c r="N1151" s="200"/>
      <c r="O1151" s="192"/>
      <c r="P1151" s="192"/>
      <c r="Q1151" s="192"/>
      <c r="R1151" s="192"/>
      <c r="S1151" s="202"/>
      <c r="T1151" s="203"/>
      <c r="U1151" s="153"/>
      <c r="V1151" s="153"/>
      <c r="W1151" s="153"/>
      <c r="X1151" s="153"/>
      <c r="Y1151" s="153"/>
      <c r="Z1151" s="153"/>
    </row>
    <row r="1152" spans="1:26">
      <c r="A1152" s="769"/>
      <c r="B1152" s="200"/>
      <c r="C1152" s="200"/>
      <c r="D1152" s="200"/>
      <c r="E1152" s="200"/>
      <c r="F1152" s="200"/>
      <c r="G1152" s="200"/>
      <c r="H1152" s="200"/>
      <c r="I1152" s="201"/>
      <c r="J1152" s="201"/>
      <c r="K1152" s="201"/>
      <c r="L1152" s="192"/>
      <c r="M1152" s="202"/>
      <c r="N1152" s="200"/>
      <c r="O1152" s="192"/>
      <c r="P1152" s="192"/>
      <c r="Q1152" s="192"/>
      <c r="R1152" s="192"/>
      <c r="S1152" s="202"/>
      <c r="T1152" s="203"/>
      <c r="U1152" s="153"/>
      <c r="V1152" s="153"/>
      <c r="W1152" s="153"/>
      <c r="X1152" s="153"/>
      <c r="Y1152" s="153"/>
      <c r="Z1152" s="153"/>
    </row>
    <row r="1153" spans="1:26">
      <c r="A1153" s="769"/>
      <c r="B1153" s="200"/>
      <c r="C1153" s="200"/>
      <c r="D1153" s="200"/>
      <c r="E1153" s="200"/>
      <c r="F1153" s="200"/>
      <c r="G1153" s="200"/>
      <c r="H1153" s="200"/>
      <c r="I1153" s="201"/>
      <c r="J1153" s="201"/>
      <c r="K1153" s="201"/>
      <c r="L1153" s="192"/>
      <c r="M1153" s="202"/>
      <c r="N1153" s="200"/>
      <c r="O1153" s="192"/>
      <c r="P1153" s="192"/>
      <c r="Q1153" s="192"/>
      <c r="R1153" s="192"/>
      <c r="S1153" s="202"/>
      <c r="T1153" s="203"/>
      <c r="U1153" s="153"/>
      <c r="V1153" s="153"/>
      <c r="W1153" s="153"/>
      <c r="X1153" s="153"/>
      <c r="Y1153" s="153"/>
      <c r="Z1153" s="153"/>
    </row>
    <row r="1154" spans="1:26">
      <c r="A1154" s="769"/>
      <c r="B1154" s="200"/>
      <c r="C1154" s="200"/>
      <c r="D1154" s="200"/>
      <c r="E1154" s="200"/>
      <c r="F1154" s="200"/>
      <c r="G1154" s="200"/>
      <c r="H1154" s="200"/>
      <c r="I1154" s="201"/>
      <c r="J1154" s="201"/>
      <c r="K1154" s="201"/>
      <c r="L1154" s="192"/>
      <c r="M1154" s="202"/>
      <c r="N1154" s="200"/>
      <c r="O1154" s="192"/>
      <c r="P1154" s="192"/>
      <c r="Q1154" s="192"/>
      <c r="R1154" s="192"/>
      <c r="S1154" s="202"/>
      <c r="T1154" s="203"/>
      <c r="U1154" s="153"/>
      <c r="V1154" s="153"/>
      <c r="W1154" s="153"/>
      <c r="X1154" s="153"/>
      <c r="Y1154" s="153"/>
      <c r="Z1154" s="153"/>
    </row>
    <row r="1155" spans="1:26">
      <c r="A1155" s="769"/>
      <c r="B1155" s="200"/>
      <c r="C1155" s="200"/>
      <c r="D1155" s="200"/>
      <c r="E1155" s="200"/>
      <c r="F1155" s="200"/>
      <c r="G1155" s="200"/>
      <c r="H1155" s="200"/>
      <c r="I1155" s="201"/>
      <c r="J1155" s="201"/>
      <c r="K1155" s="201"/>
      <c r="L1155" s="192"/>
      <c r="M1155" s="202"/>
      <c r="N1155" s="200"/>
      <c r="O1155" s="192"/>
      <c r="P1155" s="192"/>
      <c r="Q1155" s="192"/>
      <c r="R1155" s="192"/>
      <c r="S1155" s="202"/>
      <c r="T1155" s="203"/>
      <c r="U1155" s="153"/>
      <c r="V1155" s="153"/>
      <c r="W1155" s="153"/>
      <c r="X1155" s="153"/>
      <c r="Y1155" s="153"/>
      <c r="Z1155" s="153"/>
    </row>
    <row r="1156" spans="1:26">
      <c r="A1156" s="769"/>
      <c r="B1156" s="200"/>
      <c r="C1156" s="200"/>
      <c r="D1156" s="200"/>
      <c r="E1156" s="200"/>
      <c r="F1156" s="200"/>
      <c r="G1156" s="200"/>
      <c r="H1156" s="200"/>
      <c r="I1156" s="201"/>
      <c r="J1156" s="201"/>
      <c r="K1156" s="201"/>
      <c r="L1156" s="192"/>
      <c r="M1156" s="202"/>
      <c r="N1156" s="200"/>
      <c r="O1156" s="192"/>
      <c r="P1156" s="192"/>
      <c r="Q1156" s="192"/>
      <c r="R1156" s="192"/>
      <c r="S1156" s="202"/>
      <c r="T1156" s="203"/>
      <c r="U1156" s="153"/>
      <c r="V1156" s="153"/>
      <c r="W1156" s="153"/>
      <c r="X1156" s="153"/>
      <c r="Y1156" s="153"/>
      <c r="Z1156" s="153"/>
    </row>
    <row r="1157" spans="1:26">
      <c r="A1157" s="769"/>
      <c r="B1157" s="200"/>
      <c r="C1157" s="200"/>
      <c r="D1157" s="200"/>
      <c r="E1157" s="200"/>
      <c r="F1157" s="200"/>
      <c r="G1157" s="200"/>
      <c r="H1157" s="200"/>
      <c r="I1157" s="201"/>
      <c r="J1157" s="201"/>
      <c r="K1157" s="201"/>
      <c r="L1157" s="192"/>
      <c r="M1157" s="202"/>
      <c r="N1157" s="200"/>
      <c r="O1157" s="192"/>
      <c r="P1157" s="192"/>
      <c r="Q1157" s="192"/>
      <c r="R1157" s="192"/>
      <c r="S1157" s="202"/>
      <c r="T1157" s="203"/>
      <c r="U1157" s="153"/>
      <c r="V1157" s="153"/>
      <c r="W1157" s="153"/>
      <c r="X1157" s="153"/>
      <c r="Y1157" s="153"/>
      <c r="Z1157" s="153"/>
    </row>
    <row r="1158" spans="1:26">
      <c r="A1158" s="769"/>
      <c r="B1158" s="200"/>
      <c r="C1158" s="200"/>
      <c r="D1158" s="200"/>
      <c r="E1158" s="200"/>
      <c r="F1158" s="200"/>
      <c r="G1158" s="200"/>
      <c r="H1158" s="200"/>
      <c r="I1158" s="201"/>
      <c r="J1158" s="201"/>
      <c r="K1158" s="201"/>
      <c r="L1158" s="192"/>
      <c r="M1158" s="202"/>
      <c r="N1158" s="200"/>
      <c r="O1158" s="192"/>
      <c r="P1158" s="192"/>
      <c r="Q1158" s="192"/>
      <c r="R1158" s="192"/>
      <c r="S1158" s="202"/>
      <c r="T1158" s="203"/>
      <c r="U1158" s="153"/>
      <c r="V1158" s="153"/>
      <c r="W1158" s="153"/>
      <c r="X1158" s="153"/>
      <c r="Y1158" s="153"/>
      <c r="Z1158" s="153"/>
    </row>
    <row r="1159" spans="1:26">
      <c r="A1159" s="769"/>
      <c r="B1159" s="200"/>
      <c r="C1159" s="200"/>
      <c r="D1159" s="200"/>
      <c r="E1159" s="200"/>
      <c r="F1159" s="200"/>
      <c r="G1159" s="200"/>
      <c r="H1159" s="200"/>
      <c r="I1159" s="201"/>
      <c r="J1159" s="201"/>
      <c r="K1159" s="201"/>
      <c r="L1159" s="192"/>
      <c r="M1159" s="202"/>
      <c r="N1159" s="200"/>
      <c r="O1159" s="192"/>
      <c r="P1159" s="192"/>
      <c r="Q1159" s="192"/>
      <c r="R1159" s="192"/>
      <c r="S1159" s="202"/>
      <c r="T1159" s="203"/>
      <c r="U1159" s="153"/>
      <c r="V1159" s="153"/>
      <c r="W1159" s="153"/>
      <c r="X1159" s="153"/>
      <c r="Y1159" s="153"/>
      <c r="Z1159" s="153"/>
    </row>
    <row r="1160" spans="1:26">
      <c r="A1160" s="769"/>
      <c r="B1160" s="200"/>
      <c r="C1160" s="200"/>
      <c r="D1160" s="200"/>
      <c r="E1160" s="200"/>
      <c r="F1160" s="200"/>
      <c r="G1160" s="200"/>
      <c r="H1160" s="200"/>
      <c r="I1160" s="201"/>
      <c r="J1160" s="201"/>
      <c r="K1160" s="201"/>
      <c r="L1160" s="192"/>
      <c r="M1160" s="202"/>
      <c r="N1160" s="200"/>
      <c r="O1160" s="192"/>
      <c r="P1160" s="192"/>
      <c r="Q1160" s="192"/>
      <c r="R1160" s="192"/>
      <c r="S1160" s="202"/>
      <c r="T1160" s="203"/>
      <c r="U1160" s="153"/>
      <c r="V1160" s="153"/>
      <c r="W1160" s="153"/>
      <c r="X1160" s="153"/>
      <c r="Y1160" s="153"/>
      <c r="Z1160" s="153"/>
    </row>
    <row r="1161" spans="1:26">
      <c r="A1161" s="769"/>
      <c r="B1161" s="200"/>
      <c r="C1161" s="200"/>
      <c r="D1161" s="200"/>
      <c r="E1161" s="200"/>
      <c r="F1161" s="200"/>
      <c r="G1161" s="200"/>
      <c r="H1161" s="200"/>
      <c r="I1161" s="201"/>
      <c r="J1161" s="201"/>
      <c r="K1161" s="201"/>
      <c r="L1161" s="192"/>
      <c r="M1161" s="202"/>
      <c r="N1161" s="200"/>
      <c r="O1161" s="192"/>
      <c r="P1161" s="192"/>
      <c r="Q1161" s="192"/>
      <c r="R1161" s="192"/>
      <c r="S1161" s="202"/>
      <c r="T1161" s="203"/>
      <c r="U1161" s="153"/>
      <c r="V1161" s="153"/>
      <c r="W1161" s="153"/>
      <c r="X1161" s="153"/>
      <c r="Y1161" s="153"/>
      <c r="Z1161" s="153"/>
    </row>
    <row r="1162" spans="1:26">
      <c r="A1162" s="769"/>
      <c r="B1162" s="200"/>
      <c r="C1162" s="200"/>
      <c r="D1162" s="200"/>
      <c r="E1162" s="200"/>
      <c r="F1162" s="200"/>
      <c r="G1162" s="200"/>
      <c r="H1162" s="200"/>
      <c r="I1162" s="201"/>
      <c r="J1162" s="201"/>
      <c r="K1162" s="201"/>
      <c r="L1162" s="192"/>
      <c r="M1162" s="202"/>
      <c r="N1162" s="200"/>
      <c r="O1162" s="192"/>
      <c r="P1162" s="192"/>
      <c r="Q1162" s="192"/>
      <c r="R1162" s="192"/>
      <c r="S1162" s="202"/>
      <c r="T1162" s="203"/>
      <c r="U1162" s="153"/>
      <c r="V1162" s="153"/>
      <c r="W1162" s="153"/>
      <c r="X1162" s="153"/>
      <c r="Y1162" s="153"/>
      <c r="Z1162" s="153"/>
    </row>
    <row r="1163" spans="1:26">
      <c r="A1163" s="769"/>
      <c r="B1163" s="200"/>
      <c r="C1163" s="200"/>
      <c r="D1163" s="200"/>
      <c r="E1163" s="200"/>
      <c r="F1163" s="200"/>
      <c r="G1163" s="200"/>
      <c r="H1163" s="200"/>
      <c r="I1163" s="201"/>
      <c r="J1163" s="201"/>
      <c r="K1163" s="201"/>
      <c r="L1163" s="192"/>
      <c r="M1163" s="202"/>
      <c r="N1163" s="200"/>
      <c r="O1163" s="192"/>
      <c r="P1163" s="192"/>
      <c r="Q1163" s="192"/>
      <c r="R1163" s="192"/>
      <c r="S1163" s="202"/>
      <c r="T1163" s="203"/>
      <c r="U1163" s="153"/>
      <c r="V1163" s="153"/>
      <c r="W1163" s="153"/>
      <c r="X1163" s="153"/>
      <c r="Y1163" s="153"/>
      <c r="Z1163" s="153"/>
    </row>
    <row r="1164" spans="1:26">
      <c r="A1164" s="769"/>
      <c r="B1164" s="200"/>
      <c r="C1164" s="200"/>
      <c r="D1164" s="200"/>
      <c r="E1164" s="200"/>
      <c r="F1164" s="200"/>
      <c r="G1164" s="200"/>
      <c r="H1164" s="200"/>
      <c r="I1164" s="201"/>
      <c r="J1164" s="201"/>
      <c r="K1164" s="201"/>
      <c r="L1164" s="192"/>
      <c r="M1164" s="202"/>
      <c r="N1164" s="200"/>
      <c r="O1164" s="192"/>
      <c r="P1164" s="192"/>
      <c r="Q1164" s="192"/>
      <c r="R1164" s="192"/>
      <c r="S1164" s="202"/>
      <c r="T1164" s="203"/>
      <c r="U1164" s="153"/>
      <c r="V1164" s="153"/>
      <c r="W1164" s="153"/>
      <c r="X1164" s="153"/>
      <c r="Y1164" s="153"/>
      <c r="Z1164" s="153"/>
    </row>
    <row r="1165" spans="1:26">
      <c r="A1165" s="769"/>
      <c r="B1165" s="200"/>
      <c r="C1165" s="200"/>
      <c r="D1165" s="200"/>
      <c r="E1165" s="200"/>
      <c r="F1165" s="200"/>
      <c r="G1165" s="200"/>
      <c r="H1165" s="200"/>
      <c r="I1165" s="201"/>
      <c r="J1165" s="201"/>
      <c r="K1165" s="201"/>
      <c r="L1165" s="192"/>
      <c r="M1165" s="202"/>
      <c r="N1165" s="200"/>
      <c r="O1165" s="192"/>
      <c r="P1165" s="192"/>
      <c r="Q1165" s="192"/>
      <c r="R1165" s="192"/>
      <c r="S1165" s="202"/>
      <c r="T1165" s="203"/>
      <c r="U1165" s="153"/>
      <c r="V1165" s="153"/>
      <c r="W1165" s="153"/>
      <c r="X1165" s="153"/>
      <c r="Y1165" s="153"/>
      <c r="Z1165" s="153"/>
    </row>
    <row r="1166" spans="1:26">
      <c r="A1166" s="769"/>
      <c r="B1166" s="200"/>
      <c r="C1166" s="200"/>
      <c r="D1166" s="200"/>
      <c r="E1166" s="200"/>
      <c r="F1166" s="200"/>
      <c r="G1166" s="200"/>
      <c r="H1166" s="200"/>
      <c r="I1166" s="201"/>
      <c r="J1166" s="201"/>
      <c r="K1166" s="201"/>
      <c r="L1166" s="192"/>
      <c r="M1166" s="202"/>
      <c r="N1166" s="200"/>
      <c r="O1166" s="192"/>
      <c r="P1166" s="192"/>
      <c r="Q1166" s="192"/>
      <c r="R1166" s="192"/>
      <c r="S1166" s="202"/>
      <c r="T1166" s="203"/>
      <c r="U1166" s="153"/>
      <c r="V1166" s="153"/>
      <c r="W1166" s="153"/>
      <c r="X1166" s="153"/>
      <c r="Y1166" s="153"/>
      <c r="Z1166" s="153"/>
    </row>
    <row r="1167" spans="1:26">
      <c r="A1167" s="769"/>
      <c r="B1167" s="200"/>
      <c r="C1167" s="200"/>
      <c r="D1167" s="200"/>
      <c r="E1167" s="200"/>
      <c r="F1167" s="200"/>
      <c r="G1167" s="200"/>
      <c r="H1167" s="200"/>
      <c r="I1167" s="201"/>
      <c r="J1167" s="201"/>
      <c r="K1167" s="201"/>
      <c r="L1167" s="192"/>
      <c r="M1167" s="202"/>
      <c r="N1167" s="200"/>
      <c r="O1167" s="192"/>
      <c r="P1167" s="192"/>
      <c r="Q1167" s="192"/>
      <c r="R1167" s="192"/>
      <c r="S1167" s="202"/>
      <c r="T1167" s="203"/>
      <c r="U1167" s="153"/>
      <c r="V1167" s="153"/>
      <c r="W1167" s="153"/>
      <c r="X1167" s="153"/>
      <c r="Y1167" s="153"/>
      <c r="Z1167" s="153"/>
    </row>
    <row r="1168" spans="1:26">
      <c r="A1168" s="769"/>
      <c r="B1168" s="200"/>
      <c r="C1168" s="200"/>
      <c r="D1168" s="200"/>
      <c r="E1168" s="200"/>
      <c r="F1168" s="200"/>
      <c r="G1168" s="200"/>
      <c r="H1168" s="200"/>
      <c r="I1168" s="201"/>
      <c r="J1168" s="201"/>
      <c r="K1168" s="201"/>
      <c r="L1168" s="192"/>
      <c r="M1168" s="202"/>
      <c r="N1168" s="200"/>
      <c r="O1168" s="192"/>
      <c r="P1168" s="192"/>
      <c r="Q1168" s="192"/>
      <c r="R1168" s="192"/>
      <c r="S1168" s="202"/>
      <c r="T1168" s="203"/>
      <c r="U1168" s="153"/>
      <c r="V1168" s="153"/>
      <c r="W1168" s="153"/>
      <c r="X1168" s="153"/>
      <c r="Y1168" s="153"/>
      <c r="Z1168" s="153"/>
    </row>
    <row r="1169" spans="1:26">
      <c r="A1169" s="769"/>
      <c r="B1169" s="200"/>
      <c r="C1169" s="200"/>
      <c r="D1169" s="200"/>
      <c r="E1169" s="200"/>
      <c r="F1169" s="200"/>
      <c r="G1169" s="200"/>
      <c r="H1169" s="200"/>
      <c r="I1169" s="201"/>
      <c r="J1169" s="201"/>
      <c r="K1169" s="201"/>
      <c r="L1169" s="192"/>
      <c r="M1169" s="202"/>
      <c r="N1169" s="200"/>
      <c r="O1169" s="192"/>
      <c r="P1169" s="192"/>
      <c r="Q1169" s="192"/>
      <c r="R1169" s="192"/>
      <c r="S1169" s="202"/>
      <c r="T1169" s="203"/>
      <c r="U1169" s="153"/>
      <c r="V1169" s="153"/>
      <c r="W1169" s="153"/>
      <c r="X1169" s="153"/>
      <c r="Y1169" s="153"/>
      <c r="Z1169" s="153"/>
    </row>
    <row r="1170" spans="1:26">
      <c r="A1170" s="769"/>
      <c r="B1170" s="200"/>
      <c r="C1170" s="200"/>
      <c r="D1170" s="200"/>
      <c r="E1170" s="200"/>
      <c r="F1170" s="200"/>
      <c r="G1170" s="200"/>
      <c r="H1170" s="200"/>
      <c r="I1170" s="201"/>
      <c r="J1170" s="201"/>
      <c r="K1170" s="201"/>
      <c r="L1170" s="192"/>
      <c r="M1170" s="202"/>
      <c r="N1170" s="200"/>
      <c r="O1170" s="192"/>
      <c r="P1170" s="192"/>
      <c r="Q1170" s="192"/>
      <c r="R1170" s="192"/>
      <c r="S1170" s="202"/>
      <c r="T1170" s="203"/>
      <c r="U1170" s="153"/>
      <c r="V1170" s="153"/>
      <c r="W1170" s="153"/>
      <c r="X1170" s="153"/>
      <c r="Y1170" s="153"/>
      <c r="Z1170" s="153"/>
    </row>
    <row r="1171" spans="1:26">
      <c r="A1171" s="769"/>
      <c r="B1171" s="200"/>
      <c r="C1171" s="200"/>
      <c r="D1171" s="200"/>
      <c r="E1171" s="200"/>
      <c r="F1171" s="200"/>
      <c r="G1171" s="200"/>
      <c r="H1171" s="200"/>
      <c r="I1171" s="201"/>
      <c r="J1171" s="201"/>
      <c r="K1171" s="201"/>
      <c r="L1171" s="192"/>
      <c r="M1171" s="202"/>
      <c r="N1171" s="200"/>
      <c r="O1171" s="192"/>
      <c r="P1171" s="192"/>
      <c r="Q1171" s="192"/>
      <c r="R1171" s="192"/>
      <c r="S1171" s="202"/>
      <c r="T1171" s="203"/>
      <c r="U1171" s="153"/>
      <c r="V1171" s="153"/>
      <c r="W1171" s="153"/>
      <c r="X1171" s="153"/>
      <c r="Y1171" s="153"/>
      <c r="Z1171" s="153"/>
    </row>
    <row r="1172" spans="1:26">
      <c r="A1172" s="769"/>
      <c r="B1172" s="200"/>
      <c r="C1172" s="200"/>
      <c r="D1172" s="200"/>
      <c r="E1172" s="200"/>
      <c r="F1172" s="200"/>
      <c r="G1172" s="200"/>
      <c r="H1172" s="200"/>
      <c r="I1172" s="201"/>
      <c r="J1172" s="201"/>
      <c r="K1172" s="201"/>
      <c r="L1172" s="192"/>
      <c r="M1172" s="202"/>
      <c r="N1172" s="200"/>
      <c r="O1172" s="192"/>
      <c r="P1172" s="192"/>
      <c r="Q1172" s="192"/>
      <c r="R1172" s="192"/>
      <c r="S1172" s="202"/>
      <c r="T1172" s="203"/>
      <c r="U1172" s="153"/>
      <c r="V1172" s="153"/>
      <c r="W1172" s="153"/>
      <c r="X1172" s="153"/>
      <c r="Y1172" s="153"/>
      <c r="Z1172" s="153"/>
    </row>
    <row r="1173" spans="1:26">
      <c r="A1173" s="769"/>
      <c r="B1173" s="200"/>
      <c r="C1173" s="200"/>
      <c r="D1173" s="200"/>
      <c r="E1173" s="200"/>
      <c r="F1173" s="200"/>
      <c r="G1173" s="200"/>
      <c r="H1173" s="200"/>
      <c r="I1173" s="201"/>
      <c r="J1173" s="201"/>
      <c r="K1173" s="201"/>
      <c r="L1173" s="192"/>
      <c r="M1173" s="202"/>
      <c r="N1173" s="200"/>
      <c r="O1173" s="192"/>
      <c r="P1173" s="192"/>
      <c r="Q1173" s="192"/>
      <c r="R1173" s="192"/>
      <c r="S1173" s="202"/>
      <c r="T1173" s="203"/>
      <c r="U1173" s="153"/>
      <c r="V1173" s="153"/>
      <c r="W1173" s="153"/>
      <c r="X1173" s="153"/>
      <c r="Y1173" s="153"/>
      <c r="Z1173" s="153"/>
    </row>
    <row r="1174" spans="1:26">
      <c r="A1174" s="769"/>
      <c r="B1174" s="200"/>
      <c r="C1174" s="200"/>
      <c r="D1174" s="200"/>
      <c r="E1174" s="200"/>
      <c r="F1174" s="200"/>
      <c r="G1174" s="200"/>
      <c r="H1174" s="200"/>
      <c r="I1174" s="201"/>
      <c r="J1174" s="201"/>
      <c r="K1174" s="201"/>
      <c r="L1174" s="192"/>
      <c r="M1174" s="202"/>
      <c r="N1174" s="200"/>
      <c r="O1174" s="192"/>
      <c r="P1174" s="192"/>
      <c r="Q1174" s="192"/>
      <c r="R1174" s="192"/>
      <c r="S1174" s="202"/>
      <c r="T1174" s="203"/>
      <c r="U1174" s="153"/>
      <c r="V1174" s="153"/>
      <c r="W1174" s="153"/>
      <c r="X1174" s="153"/>
      <c r="Y1174" s="153"/>
      <c r="Z1174" s="153"/>
    </row>
    <row r="1175" spans="1:26">
      <c r="A1175" s="769"/>
      <c r="B1175" s="200"/>
      <c r="C1175" s="200"/>
      <c r="D1175" s="200"/>
      <c r="E1175" s="200"/>
      <c r="F1175" s="200"/>
      <c r="G1175" s="200"/>
      <c r="H1175" s="200"/>
      <c r="I1175" s="201"/>
      <c r="J1175" s="201"/>
      <c r="K1175" s="201"/>
      <c r="L1175" s="192"/>
      <c r="M1175" s="202"/>
      <c r="N1175" s="200"/>
      <c r="O1175" s="192"/>
      <c r="P1175" s="192"/>
      <c r="Q1175" s="192"/>
      <c r="R1175" s="192"/>
      <c r="S1175" s="202"/>
      <c r="T1175" s="203"/>
      <c r="U1175" s="153"/>
      <c r="V1175" s="153"/>
      <c r="W1175" s="153"/>
      <c r="X1175" s="153"/>
      <c r="Y1175" s="153"/>
      <c r="Z1175" s="153"/>
    </row>
    <row r="1176" spans="1:26">
      <c r="A1176" s="769"/>
      <c r="B1176" s="200"/>
      <c r="C1176" s="200"/>
      <c r="D1176" s="200"/>
      <c r="E1176" s="200"/>
      <c r="F1176" s="200"/>
      <c r="G1176" s="200"/>
      <c r="H1176" s="200"/>
      <c r="I1176" s="201"/>
      <c r="J1176" s="201"/>
      <c r="K1176" s="201"/>
      <c r="L1176" s="192"/>
      <c r="M1176" s="202"/>
      <c r="N1176" s="200"/>
      <c r="O1176" s="192"/>
      <c r="P1176" s="192"/>
      <c r="Q1176" s="192"/>
      <c r="R1176" s="192"/>
      <c r="S1176" s="202"/>
      <c r="T1176" s="203"/>
      <c r="U1176" s="153"/>
      <c r="V1176" s="153"/>
      <c r="W1176" s="153"/>
      <c r="X1176" s="153"/>
      <c r="Y1176" s="153"/>
      <c r="Z1176" s="153"/>
    </row>
    <row r="1177" spans="1:26">
      <c r="A1177" s="769"/>
      <c r="B1177" s="200"/>
      <c r="C1177" s="200"/>
      <c r="D1177" s="200"/>
      <c r="E1177" s="200"/>
      <c r="F1177" s="200"/>
      <c r="G1177" s="200"/>
      <c r="H1177" s="200"/>
      <c r="I1177" s="201"/>
      <c r="J1177" s="201"/>
      <c r="K1177" s="201"/>
      <c r="L1177" s="192"/>
      <c r="M1177" s="202"/>
      <c r="N1177" s="200"/>
      <c r="O1177" s="192"/>
      <c r="P1177" s="192"/>
      <c r="Q1177" s="192"/>
      <c r="R1177" s="192"/>
      <c r="S1177" s="202"/>
      <c r="T1177" s="203"/>
      <c r="U1177" s="153"/>
      <c r="V1177" s="153"/>
      <c r="W1177" s="153"/>
      <c r="X1177" s="153"/>
      <c r="Y1177" s="153"/>
      <c r="Z1177" s="153"/>
    </row>
    <row r="1178" spans="1:26">
      <c r="A1178" s="769"/>
      <c r="B1178" s="200"/>
      <c r="C1178" s="200"/>
      <c r="D1178" s="200"/>
      <c r="E1178" s="200"/>
      <c r="F1178" s="200"/>
      <c r="G1178" s="200"/>
      <c r="H1178" s="200"/>
      <c r="I1178" s="201"/>
      <c r="J1178" s="201"/>
      <c r="K1178" s="201"/>
      <c r="L1178" s="192"/>
      <c r="M1178" s="202"/>
      <c r="N1178" s="200"/>
      <c r="O1178" s="192"/>
      <c r="P1178" s="192"/>
      <c r="Q1178" s="192"/>
      <c r="R1178" s="192"/>
      <c r="S1178" s="202"/>
      <c r="T1178" s="203"/>
      <c r="U1178" s="153"/>
      <c r="V1178" s="153"/>
      <c r="W1178" s="153"/>
      <c r="X1178" s="153"/>
      <c r="Y1178" s="153"/>
      <c r="Z1178" s="153"/>
    </row>
    <row r="1179" spans="1:26">
      <c r="A1179" s="769"/>
      <c r="B1179" s="200"/>
      <c r="C1179" s="200"/>
      <c r="D1179" s="200"/>
      <c r="E1179" s="200"/>
      <c r="F1179" s="200"/>
      <c r="G1179" s="200"/>
      <c r="H1179" s="200"/>
      <c r="I1179" s="201"/>
      <c r="J1179" s="201"/>
      <c r="K1179" s="201"/>
      <c r="L1179" s="192"/>
      <c r="M1179" s="202"/>
      <c r="N1179" s="200"/>
      <c r="O1179" s="192"/>
      <c r="P1179" s="192"/>
      <c r="Q1179" s="192"/>
      <c r="R1179" s="192"/>
      <c r="S1179" s="202"/>
      <c r="T1179" s="203"/>
      <c r="U1179" s="153"/>
      <c r="V1179" s="153"/>
      <c r="W1179" s="153"/>
      <c r="X1179" s="153"/>
      <c r="Y1179" s="153"/>
      <c r="Z1179" s="153"/>
    </row>
    <row r="1180" spans="1:26">
      <c r="A1180" s="769"/>
      <c r="B1180" s="200"/>
      <c r="C1180" s="200"/>
      <c r="D1180" s="200"/>
      <c r="E1180" s="200"/>
      <c r="F1180" s="200"/>
      <c r="G1180" s="200"/>
      <c r="H1180" s="200"/>
      <c r="I1180" s="201"/>
      <c r="J1180" s="201"/>
      <c r="K1180" s="201"/>
      <c r="L1180" s="192"/>
      <c r="M1180" s="202"/>
      <c r="N1180" s="200"/>
      <c r="O1180" s="192"/>
      <c r="P1180" s="192"/>
      <c r="Q1180" s="192"/>
      <c r="R1180" s="192"/>
      <c r="S1180" s="202"/>
      <c r="T1180" s="203"/>
      <c r="U1180" s="153"/>
      <c r="V1180" s="153"/>
      <c r="W1180" s="153"/>
      <c r="X1180" s="153"/>
      <c r="Y1180" s="153"/>
      <c r="Z1180" s="153"/>
    </row>
    <row r="1181" spans="1:26">
      <c r="A1181" s="769"/>
      <c r="B1181" s="200"/>
      <c r="C1181" s="200"/>
      <c r="D1181" s="200"/>
      <c r="E1181" s="200"/>
      <c r="F1181" s="200"/>
      <c r="G1181" s="200"/>
      <c r="H1181" s="200"/>
      <c r="I1181" s="201"/>
      <c r="J1181" s="201"/>
      <c r="K1181" s="201"/>
      <c r="L1181" s="192"/>
      <c r="M1181" s="202"/>
      <c r="N1181" s="200"/>
      <c r="O1181" s="192"/>
      <c r="P1181" s="192"/>
      <c r="Q1181" s="192"/>
      <c r="R1181" s="192"/>
      <c r="S1181" s="202"/>
      <c r="T1181" s="203"/>
      <c r="U1181" s="153"/>
      <c r="V1181" s="153"/>
      <c r="W1181" s="153"/>
      <c r="X1181" s="153"/>
      <c r="Y1181" s="153"/>
      <c r="Z1181" s="153"/>
    </row>
    <row r="1182" spans="1:26">
      <c r="A1182" s="769"/>
      <c r="B1182" s="200"/>
      <c r="C1182" s="200"/>
      <c r="D1182" s="200"/>
      <c r="E1182" s="200"/>
      <c r="F1182" s="200"/>
      <c r="G1182" s="200"/>
      <c r="H1182" s="200"/>
      <c r="I1182" s="201"/>
      <c r="J1182" s="201"/>
      <c r="K1182" s="201"/>
      <c r="L1182" s="192"/>
      <c r="M1182" s="202"/>
      <c r="N1182" s="200"/>
      <c r="O1182" s="192"/>
      <c r="P1182" s="192"/>
      <c r="Q1182" s="192"/>
      <c r="R1182" s="192"/>
      <c r="S1182" s="202"/>
      <c r="T1182" s="203"/>
      <c r="U1182" s="153"/>
      <c r="V1182" s="153"/>
      <c r="W1182" s="153"/>
      <c r="X1182" s="153"/>
      <c r="Y1182" s="153"/>
      <c r="Z1182" s="153"/>
    </row>
    <row r="1183" spans="1:26">
      <c r="A1183" s="769"/>
      <c r="B1183" s="200"/>
      <c r="C1183" s="200"/>
      <c r="D1183" s="200"/>
      <c r="E1183" s="200"/>
      <c r="F1183" s="200"/>
      <c r="G1183" s="200"/>
      <c r="H1183" s="200"/>
      <c r="I1183" s="201"/>
      <c r="J1183" s="201"/>
      <c r="K1183" s="201"/>
      <c r="L1183" s="192"/>
      <c r="M1183" s="202"/>
      <c r="N1183" s="200"/>
      <c r="O1183" s="192"/>
      <c r="P1183" s="192"/>
      <c r="Q1183" s="192"/>
      <c r="R1183" s="192"/>
      <c r="S1183" s="202"/>
      <c r="T1183" s="203"/>
      <c r="U1183" s="153"/>
      <c r="V1183" s="153"/>
      <c r="W1183" s="153"/>
      <c r="X1183" s="153"/>
      <c r="Y1183" s="153"/>
      <c r="Z1183" s="153"/>
    </row>
    <row r="1184" spans="1:26">
      <c r="A1184" s="769"/>
      <c r="B1184" s="200"/>
      <c r="C1184" s="200"/>
      <c r="D1184" s="200"/>
      <c r="E1184" s="200"/>
      <c r="F1184" s="200"/>
      <c r="G1184" s="200"/>
      <c r="H1184" s="200"/>
      <c r="I1184" s="201"/>
      <c r="J1184" s="201"/>
      <c r="K1184" s="201"/>
      <c r="L1184" s="192"/>
      <c r="M1184" s="202"/>
      <c r="N1184" s="200"/>
      <c r="O1184" s="192"/>
      <c r="P1184" s="192"/>
      <c r="Q1184" s="192"/>
      <c r="R1184" s="192"/>
      <c r="S1184" s="202"/>
      <c r="T1184" s="203"/>
      <c r="U1184" s="153"/>
      <c r="V1184" s="153"/>
      <c r="W1184" s="153"/>
      <c r="X1184" s="153"/>
      <c r="Y1184" s="153"/>
      <c r="Z1184" s="153"/>
    </row>
    <row r="1185" spans="1:26">
      <c r="A1185" s="769"/>
      <c r="B1185" s="200"/>
      <c r="C1185" s="200"/>
      <c r="D1185" s="200"/>
      <c r="E1185" s="200"/>
      <c r="F1185" s="200"/>
      <c r="G1185" s="200"/>
      <c r="H1185" s="200"/>
      <c r="I1185" s="201"/>
      <c r="J1185" s="201"/>
      <c r="K1185" s="201"/>
      <c r="L1185" s="192"/>
      <c r="M1185" s="202"/>
      <c r="N1185" s="200"/>
      <c r="O1185" s="192"/>
      <c r="P1185" s="192"/>
      <c r="Q1185" s="192"/>
      <c r="R1185" s="192"/>
      <c r="S1185" s="202"/>
      <c r="T1185" s="203"/>
      <c r="U1185" s="153"/>
      <c r="V1185" s="153"/>
      <c r="W1185" s="153"/>
      <c r="X1185" s="153"/>
      <c r="Y1185" s="153"/>
      <c r="Z1185" s="153"/>
    </row>
    <row r="1186" spans="1:26">
      <c r="A1186" s="769"/>
      <c r="B1186" s="200"/>
      <c r="C1186" s="200"/>
      <c r="D1186" s="200"/>
      <c r="E1186" s="200"/>
      <c r="F1186" s="200"/>
      <c r="G1186" s="200"/>
      <c r="H1186" s="200"/>
      <c r="I1186" s="201"/>
      <c r="J1186" s="201"/>
      <c r="K1186" s="201"/>
      <c r="L1186" s="192"/>
      <c r="M1186" s="202"/>
      <c r="N1186" s="200"/>
      <c r="O1186" s="192"/>
      <c r="P1186" s="192"/>
      <c r="Q1186" s="192"/>
      <c r="R1186" s="192"/>
      <c r="S1186" s="202"/>
      <c r="T1186" s="203"/>
      <c r="U1186" s="153"/>
      <c r="V1186" s="153"/>
      <c r="W1186" s="153"/>
      <c r="X1186" s="153"/>
      <c r="Y1186" s="153"/>
      <c r="Z1186" s="153"/>
    </row>
    <row r="1187" spans="1:26">
      <c r="A1187" s="769"/>
      <c r="B1187" s="200"/>
      <c r="C1187" s="200"/>
      <c r="D1187" s="200"/>
      <c r="E1187" s="200"/>
      <c r="F1187" s="200"/>
      <c r="G1187" s="200"/>
      <c r="H1187" s="200"/>
      <c r="I1187" s="201"/>
      <c r="J1187" s="201"/>
      <c r="K1187" s="201"/>
      <c r="L1187" s="192"/>
      <c r="M1187" s="202"/>
      <c r="N1187" s="200"/>
      <c r="O1187" s="192"/>
      <c r="P1187" s="192"/>
      <c r="Q1187" s="192"/>
      <c r="R1187" s="192"/>
      <c r="S1187" s="202"/>
      <c r="T1187" s="203"/>
      <c r="U1187" s="153"/>
      <c r="V1187" s="153"/>
      <c r="W1187" s="153"/>
      <c r="X1187" s="153"/>
      <c r="Y1187" s="153"/>
      <c r="Z1187" s="153"/>
    </row>
    <row r="1188" spans="1:26">
      <c r="A1188" s="769"/>
      <c r="B1188" s="200"/>
      <c r="C1188" s="200"/>
      <c r="D1188" s="200"/>
      <c r="E1188" s="200"/>
      <c r="F1188" s="200"/>
      <c r="G1188" s="200"/>
      <c r="H1188" s="200"/>
      <c r="I1188" s="201"/>
      <c r="J1188" s="201"/>
      <c r="K1188" s="201"/>
      <c r="L1188" s="192"/>
      <c r="M1188" s="202"/>
      <c r="N1188" s="200"/>
      <c r="O1188" s="192"/>
      <c r="P1188" s="192"/>
      <c r="Q1188" s="192"/>
      <c r="R1188" s="192"/>
      <c r="S1188" s="202"/>
      <c r="T1188" s="203"/>
      <c r="U1188" s="153"/>
      <c r="V1188" s="153"/>
      <c r="W1188" s="153"/>
      <c r="X1188" s="153"/>
      <c r="Y1188" s="153"/>
      <c r="Z1188" s="153"/>
    </row>
    <row r="1189" spans="1:26">
      <c r="A1189" s="769"/>
      <c r="B1189" s="200"/>
      <c r="C1189" s="200"/>
      <c r="D1189" s="200"/>
      <c r="E1189" s="200"/>
      <c r="F1189" s="200"/>
      <c r="G1189" s="200"/>
      <c r="H1189" s="200"/>
      <c r="I1189" s="201"/>
      <c r="J1189" s="201"/>
      <c r="K1189" s="201"/>
      <c r="L1189" s="192"/>
      <c r="M1189" s="202"/>
      <c r="N1189" s="200"/>
      <c r="O1189" s="192"/>
      <c r="P1189" s="192"/>
      <c r="Q1189" s="192"/>
      <c r="R1189" s="192"/>
      <c r="S1189" s="202"/>
      <c r="T1189" s="203"/>
      <c r="U1189" s="153"/>
      <c r="V1189" s="153"/>
      <c r="W1189" s="153"/>
      <c r="X1189" s="153"/>
      <c r="Y1189" s="153"/>
      <c r="Z1189" s="153"/>
    </row>
    <row r="1190" spans="1:26">
      <c r="A1190" s="769"/>
      <c r="B1190" s="200"/>
      <c r="C1190" s="200"/>
      <c r="D1190" s="200"/>
      <c r="E1190" s="200"/>
      <c r="F1190" s="200"/>
      <c r="G1190" s="200"/>
      <c r="H1190" s="200"/>
      <c r="I1190" s="201"/>
      <c r="J1190" s="201"/>
      <c r="K1190" s="201"/>
      <c r="L1190" s="192"/>
      <c r="M1190" s="202"/>
      <c r="N1190" s="200"/>
      <c r="O1190" s="192"/>
      <c r="P1190" s="192"/>
      <c r="Q1190" s="192"/>
      <c r="R1190" s="192"/>
      <c r="S1190" s="202"/>
      <c r="T1190" s="203"/>
      <c r="U1190" s="153"/>
      <c r="V1190" s="153"/>
      <c r="W1190" s="153"/>
      <c r="X1190" s="153"/>
      <c r="Y1190" s="153"/>
      <c r="Z1190" s="153"/>
    </row>
    <row r="1191" spans="1:26">
      <c r="A1191" s="769"/>
      <c r="B1191" s="200"/>
      <c r="C1191" s="200"/>
      <c r="D1191" s="200"/>
      <c r="E1191" s="200"/>
      <c r="F1191" s="200"/>
      <c r="G1191" s="200"/>
      <c r="H1191" s="200"/>
      <c r="I1191" s="201"/>
      <c r="J1191" s="201"/>
      <c r="K1191" s="201"/>
      <c r="L1191" s="192"/>
      <c r="M1191" s="202"/>
      <c r="N1191" s="200"/>
      <c r="O1191" s="192"/>
      <c r="P1191" s="192"/>
      <c r="Q1191" s="192"/>
      <c r="R1191" s="192"/>
      <c r="S1191" s="202"/>
      <c r="T1191" s="203"/>
      <c r="U1191" s="153"/>
      <c r="V1191" s="153"/>
      <c r="W1191" s="153"/>
      <c r="X1191" s="153"/>
      <c r="Y1191" s="153"/>
      <c r="Z1191" s="153"/>
    </row>
    <row r="1192" spans="1:26">
      <c r="A1192" s="769"/>
      <c r="B1192" s="200"/>
      <c r="C1192" s="200"/>
      <c r="D1192" s="200"/>
      <c r="E1192" s="200"/>
      <c r="F1192" s="200"/>
      <c r="G1192" s="200"/>
      <c r="H1192" s="200"/>
      <c r="I1192" s="201"/>
      <c r="J1192" s="201"/>
      <c r="K1192" s="201"/>
      <c r="L1192" s="192"/>
      <c r="M1192" s="202"/>
      <c r="N1192" s="200"/>
      <c r="O1192" s="192"/>
      <c r="P1192" s="192"/>
      <c r="Q1192" s="192"/>
      <c r="R1192" s="192"/>
      <c r="S1192" s="202"/>
      <c r="T1192" s="203"/>
      <c r="U1192" s="153"/>
      <c r="V1192" s="153"/>
      <c r="W1192" s="153"/>
      <c r="X1192" s="153"/>
      <c r="Y1192" s="153"/>
      <c r="Z1192" s="153"/>
    </row>
    <row r="1193" spans="1:26">
      <c r="A1193" s="769"/>
      <c r="B1193" s="200"/>
      <c r="C1193" s="200"/>
      <c r="D1193" s="200"/>
      <c r="E1193" s="200"/>
      <c r="F1193" s="200"/>
      <c r="G1193" s="200"/>
      <c r="H1193" s="200"/>
      <c r="I1193" s="201"/>
      <c r="J1193" s="201"/>
      <c r="K1193" s="201"/>
      <c r="L1193" s="192"/>
      <c r="M1193" s="202"/>
      <c r="N1193" s="200"/>
      <c r="O1193" s="192"/>
      <c r="P1193" s="192"/>
      <c r="Q1193" s="192"/>
      <c r="R1193" s="192"/>
      <c r="S1193" s="202"/>
      <c r="T1193" s="203"/>
      <c r="U1193" s="153"/>
      <c r="V1193" s="153"/>
      <c r="W1193" s="153"/>
      <c r="X1193" s="153"/>
      <c r="Y1193" s="153"/>
      <c r="Z1193" s="153"/>
    </row>
    <row r="1194" spans="1:26">
      <c r="A1194" s="769"/>
      <c r="B1194" s="200"/>
      <c r="C1194" s="200"/>
      <c r="D1194" s="200"/>
      <c r="E1194" s="200"/>
      <c r="F1194" s="200"/>
      <c r="G1194" s="200"/>
      <c r="H1194" s="200"/>
      <c r="I1194" s="201"/>
      <c r="J1194" s="201"/>
      <c r="K1194" s="201"/>
      <c r="L1194" s="192"/>
      <c r="M1194" s="202"/>
      <c r="N1194" s="200"/>
      <c r="O1194" s="192"/>
      <c r="P1194" s="192"/>
      <c r="Q1194" s="192"/>
      <c r="R1194" s="192"/>
      <c r="S1194" s="202"/>
      <c r="T1194" s="203"/>
      <c r="U1194" s="153"/>
      <c r="V1194" s="153"/>
      <c r="W1194" s="153"/>
      <c r="X1194" s="153"/>
      <c r="Y1194" s="153"/>
      <c r="Z1194" s="153"/>
    </row>
    <row r="1195" spans="1:26">
      <c r="A1195" s="769"/>
      <c r="B1195" s="200"/>
      <c r="C1195" s="200"/>
      <c r="D1195" s="200"/>
      <c r="E1195" s="200"/>
      <c r="F1195" s="200"/>
      <c r="G1195" s="200"/>
      <c r="H1195" s="200"/>
      <c r="I1195" s="201"/>
      <c r="J1195" s="201"/>
      <c r="K1195" s="201"/>
      <c r="L1195" s="192"/>
      <c r="M1195" s="202"/>
      <c r="N1195" s="200"/>
      <c r="O1195" s="192"/>
      <c r="P1195" s="192"/>
      <c r="Q1195" s="192"/>
      <c r="R1195" s="192"/>
      <c r="S1195" s="202"/>
      <c r="T1195" s="203"/>
      <c r="U1195" s="153"/>
      <c r="V1195" s="153"/>
      <c r="W1195" s="153"/>
      <c r="X1195" s="153"/>
      <c r="Y1195" s="153"/>
      <c r="Z1195" s="153"/>
    </row>
    <row r="1196" spans="1:26">
      <c r="A1196" s="769"/>
      <c r="B1196" s="200"/>
      <c r="C1196" s="200"/>
      <c r="D1196" s="200"/>
      <c r="E1196" s="200"/>
      <c r="F1196" s="200"/>
      <c r="G1196" s="200"/>
      <c r="H1196" s="200"/>
      <c r="I1196" s="201"/>
      <c r="J1196" s="201"/>
      <c r="K1196" s="201"/>
      <c r="L1196" s="192"/>
      <c r="M1196" s="202"/>
      <c r="N1196" s="200"/>
      <c r="O1196" s="192"/>
      <c r="P1196" s="192"/>
      <c r="Q1196" s="192"/>
      <c r="R1196" s="192"/>
      <c r="S1196" s="202"/>
      <c r="T1196" s="203"/>
      <c r="U1196" s="153"/>
      <c r="V1196" s="153"/>
      <c r="W1196" s="153"/>
      <c r="X1196" s="153"/>
      <c r="Y1196" s="153"/>
      <c r="Z1196" s="153"/>
    </row>
    <row r="1197" spans="1:26">
      <c r="A1197" s="769"/>
      <c r="B1197" s="200"/>
      <c r="C1197" s="200"/>
      <c r="D1197" s="200"/>
      <c r="E1197" s="200"/>
      <c r="F1197" s="200"/>
      <c r="G1197" s="200"/>
      <c r="H1197" s="200"/>
      <c r="I1197" s="201"/>
      <c r="J1197" s="201"/>
      <c r="K1197" s="201"/>
      <c r="L1197" s="192"/>
      <c r="M1197" s="202"/>
      <c r="N1197" s="200"/>
      <c r="O1197" s="192"/>
      <c r="P1197" s="192"/>
      <c r="Q1197" s="192"/>
      <c r="R1197" s="192"/>
      <c r="S1197" s="202"/>
      <c r="T1197" s="203"/>
      <c r="U1197" s="153"/>
      <c r="V1197" s="153"/>
      <c r="W1197" s="153"/>
      <c r="X1197" s="153"/>
      <c r="Y1197" s="153"/>
      <c r="Z1197" s="153"/>
    </row>
    <row r="1198" spans="1:26">
      <c r="A1198" s="769"/>
      <c r="B1198" s="200"/>
      <c r="C1198" s="200"/>
      <c r="D1198" s="200"/>
      <c r="E1198" s="200"/>
      <c r="F1198" s="200"/>
      <c r="G1198" s="200"/>
      <c r="H1198" s="200"/>
      <c r="I1198" s="201"/>
      <c r="J1198" s="201"/>
      <c r="K1198" s="201"/>
      <c r="L1198" s="192"/>
      <c r="M1198" s="202"/>
      <c r="N1198" s="200"/>
      <c r="O1198" s="192"/>
      <c r="P1198" s="192"/>
      <c r="Q1198" s="192"/>
      <c r="R1198" s="192"/>
      <c r="S1198" s="202"/>
      <c r="T1198" s="203"/>
      <c r="U1198" s="153"/>
      <c r="V1198" s="153"/>
      <c r="W1198" s="153"/>
      <c r="X1198" s="153"/>
      <c r="Y1198" s="153"/>
      <c r="Z1198" s="153"/>
    </row>
    <row r="1199" spans="1:26">
      <c r="A1199" s="769"/>
      <c r="B1199" s="200"/>
      <c r="C1199" s="200"/>
      <c r="D1199" s="200"/>
      <c r="E1199" s="200"/>
      <c r="F1199" s="200"/>
      <c r="G1199" s="200"/>
      <c r="H1199" s="200"/>
      <c r="I1199" s="201"/>
      <c r="J1199" s="201"/>
      <c r="K1199" s="201"/>
      <c r="L1199" s="192"/>
      <c r="M1199" s="202"/>
      <c r="N1199" s="200"/>
      <c r="O1199" s="192"/>
      <c r="P1199" s="192"/>
      <c r="Q1199" s="192"/>
      <c r="R1199" s="192"/>
      <c r="S1199" s="202"/>
      <c r="T1199" s="203"/>
      <c r="U1199" s="153"/>
      <c r="V1199" s="153"/>
      <c r="W1199" s="153"/>
      <c r="X1199" s="153"/>
      <c r="Y1199" s="153"/>
      <c r="Z1199" s="153"/>
    </row>
    <row r="1200" spans="1:26">
      <c r="A1200" s="769"/>
      <c r="B1200" s="200"/>
      <c r="C1200" s="200"/>
      <c r="D1200" s="200"/>
      <c r="E1200" s="200"/>
      <c r="F1200" s="200"/>
      <c r="G1200" s="200"/>
      <c r="H1200" s="200"/>
      <c r="I1200" s="201"/>
      <c r="J1200" s="201"/>
      <c r="K1200" s="201"/>
      <c r="L1200" s="192"/>
      <c r="M1200" s="202"/>
      <c r="N1200" s="200"/>
      <c r="O1200" s="192"/>
      <c r="P1200" s="192"/>
      <c r="Q1200" s="192"/>
      <c r="R1200" s="192"/>
      <c r="S1200" s="202"/>
      <c r="T1200" s="203"/>
      <c r="U1200" s="153"/>
      <c r="V1200" s="153"/>
      <c r="W1200" s="153"/>
      <c r="X1200" s="153"/>
      <c r="Y1200" s="153"/>
      <c r="Z1200" s="153"/>
    </row>
    <row r="1201" spans="1:26">
      <c r="A1201" s="769"/>
      <c r="B1201" s="200"/>
      <c r="C1201" s="200"/>
      <c r="D1201" s="200"/>
      <c r="E1201" s="200"/>
      <c r="F1201" s="200"/>
      <c r="G1201" s="200"/>
      <c r="H1201" s="200"/>
      <c r="I1201" s="201"/>
      <c r="J1201" s="201"/>
      <c r="K1201" s="201"/>
      <c r="L1201" s="192"/>
      <c r="M1201" s="202"/>
      <c r="N1201" s="200"/>
      <c r="O1201" s="192"/>
      <c r="P1201" s="192"/>
      <c r="Q1201" s="192"/>
      <c r="R1201" s="192"/>
      <c r="S1201" s="202"/>
      <c r="T1201" s="203"/>
      <c r="U1201" s="153"/>
      <c r="V1201" s="153"/>
      <c r="W1201" s="153"/>
      <c r="X1201" s="153"/>
      <c r="Y1201" s="153"/>
      <c r="Z1201" s="153"/>
    </row>
    <row r="1202" spans="1:26">
      <c r="A1202" s="769"/>
      <c r="B1202" s="200"/>
      <c r="C1202" s="200"/>
      <c r="D1202" s="200"/>
      <c r="E1202" s="200"/>
      <c r="F1202" s="200"/>
      <c r="G1202" s="200"/>
      <c r="H1202" s="200"/>
      <c r="I1202" s="201"/>
      <c r="J1202" s="201"/>
      <c r="K1202" s="201"/>
      <c r="L1202" s="192"/>
      <c r="M1202" s="202"/>
      <c r="N1202" s="200"/>
      <c r="O1202" s="192"/>
      <c r="P1202" s="192"/>
      <c r="Q1202" s="192"/>
      <c r="R1202" s="192"/>
      <c r="S1202" s="202"/>
      <c r="T1202" s="203"/>
      <c r="U1202" s="153"/>
      <c r="V1202" s="153"/>
      <c r="W1202" s="153"/>
      <c r="X1202" s="153"/>
      <c r="Y1202" s="153"/>
      <c r="Z1202" s="153"/>
    </row>
    <row r="1203" spans="1:26">
      <c r="A1203" s="769"/>
      <c r="B1203" s="200"/>
      <c r="C1203" s="200"/>
      <c r="D1203" s="200"/>
      <c r="E1203" s="200"/>
      <c r="F1203" s="200"/>
      <c r="G1203" s="200"/>
      <c r="H1203" s="200"/>
      <c r="I1203" s="201"/>
      <c r="J1203" s="201"/>
      <c r="K1203" s="201"/>
      <c r="L1203" s="192"/>
      <c r="M1203" s="202"/>
      <c r="N1203" s="200"/>
      <c r="O1203" s="192"/>
      <c r="P1203" s="192"/>
      <c r="Q1203" s="192"/>
      <c r="R1203" s="192"/>
      <c r="S1203" s="202"/>
      <c r="T1203" s="203"/>
      <c r="U1203" s="153"/>
      <c r="V1203" s="153"/>
      <c r="W1203" s="153"/>
      <c r="X1203" s="153"/>
      <c r="Y1203" s="153"/>
      <c r="Z1203" s="153"/>
    </row>
    <row r="1204" spans="1:26">
      <c r="A1204" s="769"/>
      <c r="B1204" s="200"/>
      <c r="C1204" s="200"/>
      <c r="D1204" s="200"/>
      <c r="E1204" s="200"/>
      <c r="F1204" s="200"/>
      <c r="G1204" s="200"/>
      <c r="H1204" s="200"/>
      <c r="I1204" s="201"/>
      <c r="J1204" s="201"/>
      <c r="K1204" s="201"/>
      <c r="L1204" s="192"/>
      <c r="M1204" s="202"/>
      <c r="N1204" s="200"/>
      <c r="O1204" s="192"/>
      <c r="P1204" s="192"/>
      <c r="Q1204" s="192"/>
      <c r="R1204" s="192"/>
      <c r="S1204" s="202"/>
      <c r="T1204" s="203"/>
      <c r="U1204" s="153"/>
      <c r="V1204" s="153"/>
      <c r="W1204" s="153"/>
      <c r="X1204" s="153"/>
      <c r="Y1204" s="153"/>
      <c r="Z1204" s="153"/>
    </row>
    <row r="1205" spans="1:26">
      <c r="A1205" s="769"/>
      <c r="B1205" s="200"/>
      <c r="C1205" s="200"/>
      <c r="D1205" s="200"/>
      <c r="E1205" s="200"/>
      <c r="F1205" s="200"/>
      <c r="G1205" s="200"/>
      <c r="H1205" s="200"/>
      <c r="I1205" s="201"/>
      <c r="J1205" s="201"/>
      <c r="K1205" s="201"/>
      <c r="L1205" s="192"/>
      <c r="M1205" s="202"/>
      <c r="N1205" s="200"/>
      <c r="O1205" s="192"/>
      <c r="P1205" s="192"/>
      <c r="Q1205" s="192"/>
      <c r="R1205" s="192"/>
      <c r="S1205" s="202"/>
      <c r="T1205" s="203"/>
      <c r="U1205" s="153"/>
      <c r="V1205" s="153"/>
      <c r="W1205" s="153"/>
      <c r="X1205" s="153"/>
      <c r="Y1205" s="153"/>
      <c r="Z1205" s="153"/>
    </row>
    <row r="1206" spans="1:26">
      <c r="A1206" s="769"/>
      <c r="B1206" s="200"/>
      <c r="C1206" s="200"/>
      <c r="D1206" s="200"/>
      <c r="E1206" s="200"/>
      <c r="F1206" s="200"/>
      <c r="G1206" s="200"/>
      <c r="H1206" s="200"/>
      <c r="I1206" s="201"/>
      <c r="J1206" s="201"/>
      <c r="K1206" s="201"/>
      <c r="L1206" s="192"/>
      <c r="M1206" s="202"/>
      <c r="N1206" s="200"/>
      <c r="O1206" s="192"/>
      <c r="P1206" s="192"/>
      <c r="Q1206" s="192"/>
      <c r="R1206" s="192"/>
      <c r="S1206" s="202"/>
      <c r="T1206" s="203"/>
      <c r="U1206" s="153"/>
      <c r="V1206" s="153"/>
      <c r="W1206" s="153"/>
      <c r="X1206" s="153"/>
      <c r="Y1206" s="153"/>
      <c r="Z1206" s="153"/>
    </row>
    <row r="1207" spans="1:26">
      <c r="A1207" s="769"/>
      <c r="B1207" s="200"/>
      <c r="C1207" s="200"/>
      <c r="D1207" s="200"/>
      <c r="E1207" s="200"/>
      <c r="F1207" s="200"/>
      <c r="G1207" s="200"/>
      <c r="H1207" s="200"/>
      <c r="I1207" s="201"/>
      <c r="J1207" s="201"/>
      <c r="K1207" s="201"/>
      <c r="L1207" s="192"/>
      <c r="M1207" s="202"/>
      <c r="N1207" s="200"/>
      <c r="O1207" s="192"/>
      <c r="P1207" s="192"/>
      <c r="Q1207" s="192"/>
      <c r="R1207" s="192"/>
      <c r="S1207" s="202"/>
      <c r="T1207" s="203"/>
      <c r="U1207" s="153"/>
      <c r="V1207" s="153"/>
      <c r="W1207" s="153"/>
      <c r="X1207" s="153"/>
      <c r="Y1207" s="153"/>
      <c r="Z1207" s="153"/>
    </row>
    <row r="1208" spans="1:26">
      <c r="A1208" s="769"/>
      <c r="B1208" s="200"/>
      <c r="C1208" s="200"/>
      <c r="D1208" s="200"/>
      <c r="E1208" s="200"/>
      <c r="F1208" s="200"/>
      <c r="G1208" s="200"/>
      <c r="H1208" s="200"/>
      <c r="I1208" s="201"/>
      <c r="J1208" s="201"/>
      <c r="K1208" s="201"/>
      <c r="L1208" s="192"/>
      <c r="M1208" s="202"/>
      <c r="N1208" s="200"/>
      <c r="O1208" s="192"/>
      <c r="P1208" s="192"/>
      <c r="Q1208" s="192"/>
      <c r="R1208" s="192"/>
      <c r="S1208" s="202"/>
      <c r="T1208" s="203"/>
      <c r="U1208" s="153"/>
      <c r="V1208" s="153"/>
      <c r="W1208" s="153"/>
      <c r="X1208" s="153"/>
      <c r="Y1208" s="153"/>
      <c r="Z1208" s="153"/>
    </row>
    <row r="1209" spans="1:26">
      <c r="A1209" s="676"/>
      <c r="B1209" s="200"/>
      <c r="C1209" s="200"/>
      <c r="D1209" s="200"/>
      <c r="E1209" s="200"/>
      <c r="F1209" s="200"/>
      <c r="G1209" s="200"/>
      <c r="H1209" s="200"/>
      <c r="I1209" s="201"/>
      <c r="J1209" s="201"/>
      <c r="K1209" s="201"/>
      <c r="L1209" s="192"/>
      <c r="M1209" s="204"/>
      <c r="N1209" s="200"/>
      <c r="O1209" s="192"/>
      <c r="P1209" s="192"/>
      <c r="Q1209" s="192"/>
      <c r="R1209" s="192"/>
      <c r="S1209" s="204"/>
      <c r="T1209" s="203"/>
      <c r="U1209" s="153"/>
      <c r="V1209" s="153"/>
      <c r="W1209" s="153"/>
      <c r="X1209" s="153"/>
      <c r="Y1209" s="153"/>
      <c r="Z1209" s="153"/>
    </row>
    <row r="1210" spans="1:26">
      <c r="A1210" s="769"/>
      <c r="B1210" s="200"/>
      <c r="C1210" s="200"/>
      <c r="D1210" s="200"/>
      <c r="E1210" s="200"/>
      <c r="F1210" s="200"/>
      <c r="G1210" s="200"/>
      <c r="H1210" s="200"/>
      <c r="I1210" s="201"/>
      <c r="J1210" s="201"/>
      <c r="K1210" s="201"/>
      <c r="L1210" s="192"/>
      <c r="M1210" s="204"/>
      <c r="N1210" s="200"/>
      <c r="O1210" s="192"/>
      <c r="P1210" s="192"/>
      <c r="Q1210" s="192"/>
      <c r="R1210" s="192"/>
      <c r="S1210" s="204"/>
      <c r="T1210" s="203"/>
      <c r="U1210" s="153"/>
      <c r="V1210" s="153"/>
      <c r="W1210" s="153"/>
      <c r="X1210" s="153"/>
      <c r="Y1210" s="153"/>
      <c r="Z1210" s="153"/>
    </row>
    <row r="1211" spans="1:26">
      <c r="A1211" s="769"/>
      <c r="B1211" s="200"/>
      <c r="C1211" s="200"/>
      <c r="D1211" s="200"/>
      <c r="E1211" s="200"/>
      <c r="F1211" s="200"/>
      <c r="G1211" s="200"/>
      <c r="H1211" s="200"/>
      <c r="I1211" s="201"/>
      <c r="J1211" s="201"/>
      <c r="K1211" s="201"/>
      <c r="L1211" s="192"/>
      <c r="M1211" s="204"/>
      <c r="N1211" s="200"/>
      <c r="O1211" s="192"/>
      <c r="P1211" s="192"/>
      <c r="Q1211" s="192"/>
      <c r="R1211" s="192"/>
      <c r="S1211" s="204"/>
      <c r="T1211" s="203"/>
      <c r="U1211" s="153"/>
      <c r="V1211" s="153"/>
      <c r="W1211" s="153"/>
      <c r="X1211" s="153"/>
      <c r="Y1211" s="153"/>
      <c r="Z1211" s="153"/>
    </row>
    <row r="1212" spans="1:26">
      <c r="A1212" s="769"/>
      <c r="B1212" s="200"/>
      <c r="C1212" s="200"/>
      <c r="D1212" s="200"/>
      <c r="E1212" s="200"/>
      <c r="F1212" s="200"/>
      <c r="G1212" s="200"/>
      <c r="H1212" s="200"/>
      <c r="I1212" s="201"/>
      <c r="J1212" s="201"/>
      <c r="K1212" s="201"/>
      <c r="L1212" s="192"/>
      <c r="M1212" s="204"/>
      <c r="N1212" s="200"/>
      <c r="O1212" s="192"/>
      <c r="P1212" s="192"/>
      <c r="Q1212" s="192"/>
      <c r="R1212" s="192"/>
      <c r="S1212" s="204"/>
      <c r="T1212" s="203"/>
      <c r="U1212" s="153"/>
      <c r="V1212" s="153"/>
      <c r="W1212" s="153"/>
      <c r="X1212" s="153"/>
      <c r="Y1212" s="153"/>
      <c r="Z1212" s="153"/>
    </row>
    <row r="1213" spans="1:26">
      <c r="A1213" s="769"/>
      <c r="B1213" s="200"/>
      <c r="C1213" s="200"/>
      <c r="D1213" s="200"/>
      <c r="E1213" s="200"/>
      <c r="F1213" s="200"/>
      <c r="G1213" s="200"/>
      <c r="H1213" s="200"/>
      <c r="I1213" s="201"/>
      <c r="J1213" s="201"/>
      <c r="K1213" s="201"/>
      <c r="L1213" s="192"/>
      <c r="M1213" s="204"/>
      <c r="N1213" s="200"/>
      <c r="O1213" s="192"/>
      <c r="P1213" s="192"/>
      <c r="Q1213" s="192"/>
      <c r="R1213" s="192"/>
      <c r="S1213" s="204"/>
      <c r="T1213" s="203"/>
      <c r="U1213" s="153"/>
      <c r="V1213" s="153"/>
      <c r="W1213" s="153"/>
      <c r="X1213" s="153"/>
      <c r="Y1213" s="153"/>
      <c r="Z1213" s="153"/>
    </row>
    <row r="1214" spans="1:26">
      <c r="A1214" s="769"/>
      <c r="B1214" s="200"/>
      <c r="C1214" s="200"/>
      <c r="D1214" s="200"/>
      <c r="E1214" s="200"/>
      <c r="F1214" s="200"/>
      <c r="G1214" s="200"/>
      <c r="H1214" s="200"/>
      <c r="I1214" s="201"/>
      <c r="J1214" s="201"/>
      <c r="K1214" s="201"/>
      <c r="L1214" s="192"/>
      <c r="M1214" s="204"/>
      <c r="N1214" s="200"/>
      <c r="O1214" s="192"/>
      <c r="P1214" s="192"/>
      <c r="Q1214" s="192"/>
      <c r="R1214" s="192"/>
      <c r="S1214" s="204"/>
      <c r="T1214" s="203"/>
      <c r="U1214" s="153"/>
      <c r="V1214" s="153"/>
      <c r="W1214" s="153"/>
      <c r="X1214" s="153"/>
      <c r="Y1214" s="153"/>
      <c r="Z1214" s="153"/>
    </row>
    <row r="1215" spans="1:26">
      <c r="A1215" s="769"/>
      <c r="B1215" s="200"/>
      <c r="C1215" s="200"/>
      <c r="D1215" s="200"/>
      <c r="E1215" s="200"/>
      <c r="F1215" s="200"/>
      <c r="G1215" s="200"/>
      <c r="H1215" s="200"/>
      <c r="I1215" s="201"/>
      <c r="J1215" s="201"/>
      <c r="K1215" s="201"/>
      <c r="L1215" s="192"/>
      <c r="M1215" s="204"/>
      <c r="N1215" s="200"/>
      <c r="O1215" s="192"/>
      <c r="P1215" s="192"/>
      <c r="Q1215" s="192"/>
      <c r="R1215" s="192"/>
      <c r="S1215" s="204"/>
      <c r="T1215" s="203"/>
      <c r="U1215" s="153"/>
      <c r="V1215" s="153"/>
      <c r="W1215" s="153"/>
      <c r="X1215" s="153"/>
      <c r="Y1215" s="153"/>
      <c r="Z1215" s="153"/>
    </row>
    <row r="1216" spans="1:26">
      <c r="A1216" s="769"/>
      <c r="B1216" s="200"/>
      <c r="C1216" s="200"/>
      <c r="D1216" s="200"/>
      <c r="E1216" s="200"/>
      <c r="F1216" s="200"/>
      <c r="G1216" s="200"/>
      <c r="H1216" s="200"/>
      <c r="I1216" s="201"/>
      <c r="J1216" s="201"/>
      <c r="K1216" s="201"/>
      <c r="L1216" s="192"/>
      <c r="M1216" s="204"/>
      <c r="N1216" s="200"/>
      <c r="O1216" s="192"/>
      <c r="P1216" s="192"/>
      <c r="Q1216" s="192"/>
      <c r="R1216" s="192"/>
      <c r="S1216" s="204"/>
      <c r="T1216" s="203"/>
      <c r="U1216" s="153"/>
      <c r="V1216" s="153"/>
      <c r="W1216" s="153"/>
      <c r="X1216" s="153"/>
      <c r="Y1216" s="153"/>
      <c r="Z1216" s="153"/>
    </row>
    <row r="1217" spans="1:26">
      <c r="A1217" s="769"/>
      <c r="B1217" s="200"/>
      <c r="C1217" s="200"/>
      <c r="D1217" s="200"/>
      <c r="E1217" s="200"/>
      <c r="F1217" s="200"/>
      <c r="G1217" s="200"/>
      <c r="H1217" s="200"/>
      <c r="I1217" s="201"/>
      <c r="J1217" s="201"/>
      <c r="K1217" s="201"/>
      <c r="L1217" s="192"/>
      <c r="M1217" s="204"/>
      <c r="N1217" s="200"/>
      <c r="O1217" s="192"/>
      <c r="P1217" s="192"/>
      <c r="Q1217" s="192"/>
      <c r="R1217" s="192"/>
      <c r="S1217" s="204"/>
      <c r="T1217" s="203"/>
      <c r="U1217" s="153"/>
      <c r="V1217" s="153"/>
      <c r="W1217" s="153"/>
      <c r="X1217" s="153"/>
      <c r="Y1217" s="153"/>
      <c r="Z1217" s="153"/>
    </row>
    <row r="1218" spans="1:26">
      <c r="A1218" s="676"/>
      <c r="B1218" s="200"/>
      <c r="C1218" s="200"/>
      <c r="D1218" s="200"/>
      <c r="E1218" s="200"/>
      <c r="F1218" s="200"/>
      <c r="G1218" s="200"/>
      <c r="H1218" s="200"/>
      <c r="I1218" s="201"/>
      <c r="J1218" s="201"/>
      <c r="K1218" s="201"/>
      <c r="L1218" s="192"/>
      <c r="M1218" s="202"/>
      <c r="N1218" s="200"/>
      <c r="O1218" s="192"/>
      <c r="P1218" s="192"/>
      <c r="Q1218" s="192"/>
      <c r="R1218" s="192"/>
      <c r="S1218" s="202"/>
      <c r="T1218" s="203"/>
      <c r="U1218" s="153"/>
      <c r="V1218" s="153"/>
      <c r="W1218" s="153"/>
      <c r="X1218" s="153"/>
      <c r="Y1218" s="153"/>
      <c r="Z1218" s="153"/>
    </row>
    <row r="1219" spans="1:26">
      <c r="A1219" s="769"/>
      <c r="B1219" s="200"/>
      <c r="C1219" s="200"/>
      <c r="D1219" s="200"/>
      <c r="E1219" s="200"/>
      <c r="F1219" s="200"/>
      <c r="G1219" s="200"/>
      <c r="H1219" s="200"/>
      <c r="I1219" s="201"/>
      <c r="J1219" s="201"/>
      <c r="K1219" s="201"/>
      <c r="L1219" s="192"/>
      <c r="M1219" s="202"/>
      <c r="N1219" s="200"/>
      <c r="O1219" s="192"/>
      <c r="P1219" s="192"/>
      <c r="Q1219" s="192"/>
      <c r="R1219" s="192"/>
      <c r="S1219" s="202"/>
      <c r="T1219" s="203"/>
      <c r="U1219" s="153"/>
      <c r="V1219" s="153"/>
      <c r="W1219" s="153"/>
      <c r="X1219" s="153"/>
      <c r="Y1219" s="153"/>
      <c r="Z1219" s="153"/>
    </row>
    <row r="1220" spans="1:26">
      <c r="A1220" s="769"/>
      <c r="B1220" s="200"/>
      <c r="C1220" s="200"/>
      <c r="D1220" s="200"/>
      <c r="E1220" s="200"/>
      <c r="F1220" s="200"/>
      <c r="G1220" s="200"/>
      <c r="H1220" s="200"/>
      <c r="I1220" s="201"/>
      <c r="J1220" s="201"/>
      <c r="K1220" s="201"/>
      <c r="L1220" s="192"/>
      <c r="M1220" s="202"/>
      <c r="N1220" s="200"/>
      <c r="O1220" s="192"/>
      <c r="P1220" s="192"/>
      <c r="Q1220" s="192"/>
      <c r="R1220" s="192"/>
      <c r="S1220" s="202"/>
      <c r="T1220" s="203"/>
      <c r="U1220" s="153"/>
      <c r="V1220" s="153"/>
      <c r="W1220" s="153"/>
      <c r="X1220" s="153"/>
      <c r="Y1220" s="153"/>
      <c r="Z1220" s="153"/>
    </row>
    <row r="1221" spans="1:26">
      <c r="A1221" s="769"/>
      <c r="B1221" s="200"/>
      <c r="C1221" s="200"/>
      <c r="D1221" s="200"/>
      <c r="E1221" s="200"/>
      <c r="F1221" s="200"/>
      <c r="G1221" s="200"/>
      <c r="H1221" s="200"/>
      <c r="I1221" s="201"/>
      <c r="J1221" s="201"/>
      <c r="K1221" s="201"/>
      <c r="L1221" s="192"/>
      <c r="M1221" s="202"/>
      <c r="N1221" s="200"/>
      <c r="O1221" s="192"/>
      <c r="P1221" s="192"/>
      <c r="Q1221" s="192"/>
      <c r="R1221" s="192"/>
      <c r="S1221" s="202"/>
      <c r="T1221" s="203"/>
      <c r="U1221" s="153"/>
      <c r="V1221" s="153"/>
      <c r="W1221" s="153"/>
      <c r="X1221" s="153"/>
      <c r="Y1221" s="153"/>
      <c r="Z1221" s="153"/>
    </row>
    <row r="1222" spans="1:26">
      <c r="A1222" s="769"/>
      <c r="B1222" s="200"/>
      <c r="C1222" s="200"/>
      <c r="D1222" s="200"/>
      <c r="E1222" s="200"/>
      <c r="F1222" s="200"/>
      <c r="G1222" s="200"/>
      <c r="H1222" s="200"/>
      <c r="I1222" s="201"/>
      <c r="J1222" s="201"/>
      <c r="K1222" s="201"/>
      <c r="L1222" s="192"/>
      <c r="M1222" s="202"/>
      <c r="N1222" s="200"/>
      <c r="O1222" s="192"/>
      <c r="P1222" s="192"/>
      <c r="Q1222" s="192"/>
      <c r="R1222" s="192"/>
      <c r="S1222" s="202"/>
      <c r="T1222" s="203"/>
      <c r="U1222" s="153"/>
      <c r="V1222" s="153"/>
      <c r="W1222" s="153"/>
      <c r="X1222" s="153"/>
      <c r="Y1222" s="153"/>
      <c r="Z1222" s="153"/>
    </row>
    <row r="1223" spans="1:26">
      <c r="A1223" s="769"/>
      <c r="B1223" s="200"/>
      <c r="C1223" s="200"/>
      <c r="D1223" s="200"/>
      <c r="E1223" s="200"/>
      <c r="F1223" s="200"/>
      <c r="G1223" s="200"/>
      <c r="H1223" s="200"/>
      <c r="I1223" s="201"/>
      <c r="J1223" s="201"/>
      <c r="K1223" s="201"/>
      <c r="L1223" s="192"/>
      <c r="M1223" s="202"/>
      <c r="N1223" s="200"/>
      <c r="O1223" s="192"/>
      <c r="P1223" s="192"/>
      <c r="Q1223" s="192"/>
      <c r="R1223" s="192"/>
      <c r="S1223" s="202"/>
      <c r="T1223" s="203"/>
      <c r="U1223" s="153"/>
      <c r="V1223" s="153"/>
      <c r="W1223" s="153"/>
      <c r="X1223" s="153"/>
      <c r="Y1223" s="153"/>
      <c r="Z1223" s="153"/>
    </row>
    <row r="1224" spans="1:26">
      <c r="A1224" s="769"/>
      <c r="B1224" s="200"/>
      <c r="C1224" s="200"/>
      <c r="D1224" s="200"/>
      <c r="E1224" s="200"/>
      <c r="F1224" s="200"/>
      <c r="G1224" s="200"/>
      <c r="H1224" s="200"/>
      <c r="I1224" s="201"/>
      <c r="J1224" s="201"/>
      <c r="K1224" s="201"/>
      <c r="L1224" s="192"/>
      <c r="M1224" s="202"/>
      <c r="N1224" s="200"/>
      <c r="O1224" s="192"/>
      <c r="P1224" s="192"/>
      <c r="Q1224" s="192"/>
      <c r="R1224" s="192"/>
      <c r="S1224" s="202"/>
      <c r="T1224" s="203"/>
      <c r="U1224" s="153"/>
      <c r="V1224" s="153"/>
      <c r="W1224" s="153"/>
      <c r="X1224" s="153"/>
      <c r="Y1224" s="153"/>
      <c r="Z1224" s="153"/>
    </row>
    <row r="1225" spans="1:26">
      <c r="A1225" s="769"/>
      <c r="B1225" s="200"/>
      <c r="C1225" s="200"/>
      <c r="D1225" s="200"/>
      <c r="E1225" s="200"/>
      <c r="F1225" s="200"/>
      <c r="G1225" s="200"/>
      <c r="H1225" s="200"/>
      <c r="I1225" s="201"/>
      <c r="J1225" s="201"/>
      <c r="K1225" s="201"/>
      <c r="L1225" s="192"/>
      <c r="M1225" s="202"/>
      <c r="N1225" s="200"/>
      <c r="O1225" s="192"/>
      <c r="P1225" s="192"/>
      <c r="Q1225" s="192"/>
      <c r="R1225" s="192"/>
      <c r="S1225" s="202"/>
      <c r="T1225" s="203"/>
      <c r="U1225" s="153"/>
      <c r="V1225" s="153"/>
      <c r="W1225" s="153"/>
      <c r="X1225" s="153"/>
      <c r="Y1225" s="153"/>
      <c r="Z1225" s="153"/>
    </row>
    <row r="1226" spans="1:26">
      <c r="A1226" s="769"/>
      <c r="B1226" s="200"/>
      <c r="C1226" s="200"/>
      <c r="D1226" s="200"/>
      <c r="E1226" s="200"/>
      <c r="F1226" s="200"/>
      <c r="G1226" s="200"/>
      <c r="H1226" s="200"/>
      <c r="I1226" s="201"/>
      <c r="J1226" s="201"/>
      <c r="K1226" s="201"/>
      <c r="L1226" s="192"/>
      <c r="M1226" s="202"/>
      <c r="N1226" s="200"/>
      <c r="O1226" s="192"/>
      <c r="P1226" s="192"/>
      <c r="Q1226" s="192"/>
      <c r="R1226" s="192"/>
      <c r="S1226" s="202"/>
      <c r="T1226" s="203"/>
      <c r="U1226" s="153"/>
      <c r="V1226" s="153"/>
      <c r="W1226" s="153"/>
      <c r="X1226" s="153"/>
      <c r="Y1226" s="153"/>
      <c r="Z1226" s="153"/>
    </row>
    <row r="1227" spans="1:26">
      <c r="A1227" s="676"/>
      <c r="B1227" s="200"/>
      <c r="C1227" s="200"/>
      <c r="D1227" s="200"/>
      <c r="E1227" s="200"/>
      <c r="F1227" s="200"/>
      <c r="G1227" s="200"/>
      <c r="H1227" s="200"/>
      <c r="I1227" s="201"/>
      <c r="J1227" s="201"/>
      <c r="K1227" s="201"/>
      <c r="L1227" s="192"/>
      <c r="M1227" s="204"/>
      <c r="N1227" s="200"/>
      <c r="O1227" s="192"/>
      <c r="P1227" s="192"/>
      <c r="Q1227" s="192"/>
      <c r="R1227" s="192"/>
      <c r="S1227" s="204"/>
      <c r="T1227" s="203"/>
      <c r="U1227" s="153"/>
      <c r="V1227" s="153"/>
      <c r="W1227" s="153"/>
      <c r="X1227" s="153"/>
      <c r="Y1227" s="153"/>
      <c r="Z1227" s="153"/>
    </row>
    <row r="1228" spans="1:26">
      <c r="A1228" s="769"/>
      <c r="B1228" s="200"/>
      <c r="C1228" s="200"/>
      <c r="D1228" s="200"/>
      <c r="E1228" s="200"/>
      <c r="F1228" s="200"/>
      <c r="G1228" s="200"/>
      <c r="H1228" s="200"/>
      <c r="I1228" s="201"/>
      <c r="J1228" s="201"/>
      <c r="K1228" s="201"/>
      <c r="L1228" s="192"/>
      <c r="M1228" s="204"/>
      <c r="N1228" s="200"/>
      <c r="O1228" s="192"/>
      <c r="P1228" s="192"/>
      <c r="Q1228" s="192"/>
      <c r="R1228" s="192"/>
      <c r="S1228" s="204"/>
      <c r="T1228" s="203"/>
      <c r="U1228" s="153"/>
      <c r="V1228" s="153"/>
      <c r="W1228" s="153"/>
      <c r="X1228" s="153"/>
      <c r="Y1228" s="153"/>
      <c r="Z1228" s="153"/>
    </row>
    <row r="1229" spans="1:26">
      <c r="A1229" s="769"/>
      <c r="B1229" s="200"/>
      <c r="C1229" s="200"/>
      <c r="D1229" s="200"/>
      <c r="E1229" s="200"/>
      <c r="F1229" s="200"/>
      <c r="G1229" s="200"/>
      <c r="H1229" s="200"/>
      <c r="I1229" s="201"/>
      <c r="J1229" s="201"/>
      <c r="K1229" s="201"/>
      <c r="L1229" s="192"/>
      <c r="M1229" s="204"/>
      <c r="N1229" s="200"/>
      <c r="O1229" s="192"/>
      <c r="P1229" s="192"/>
      <c r="Q1229" s="192"/>
      <c r="R1229" s="192"/>
      <c r="S1229" s="204"/>
      <c r="T1229" s="203"/>
      <c r="U1229" s="153"/>
      <c r="V1229" s="153"/>
      <c r="W1229" s="153"/>
      <c r="X1229" s="153"/>
      <c r="Y1229" s="153"/>
      <c r="Z1229" s="153"/>
    </row>
    <row r="1230" spans="1:26">
      <c r="A1230" s="769"/>
      <c r="B1230" s="200"/>
      <c r="C1230" s="200"/>
      <c r="D1230" s="200"/>
      <c r="E1230" s="200"/>
      <c r="F1230" s="200"/>
      <c r="G1230" s="200"/>
      <c r="H1230" s="200"/>
      <c r="I1230" s="201"/>
      <c r="J1230" s="201"/>
      <c r="K1230" s="201"/>
      <c r="L1230" s="192"/>
      <c r="M1230" s="204"/>
      <c r="N1230" s="200"/>
      <c r="O1230" s="192"/>
      <c r="P1230" s="192"/>
      <c r="Q1230" s="192"/>
      <c r="R1230" s="192"/>
      <c r="S1230" s="204"/>
      <c r="T1230" s="203"/>
      <c r="U1230" s="153"/>
      <c r="V1230" s="153"/>
      <c r="W1230" s="153"/>
      <c r="X1230" s="153"/>
      <c r="Y1230" s="153"/>
      <c r="Z1230" s="153"/>
    </row>
    <row r="1231" spans="1:26">
      <c r="A1231" s="676"/>
      <c r="B1231" s="200"/>
      <c r="C1231" s="200"/>
      <c r="D1231" s="200"/>
      <c r="E1231" s="200"/>
      <c r="F1231" s="200"/>
      <c r="G1231" s="200"/>
      <c r="H1231" s="200"/>
      <c r="I1231" s="201"/>
      <c r="J1231" s="201"/>
      <c r="K1231" s="201"/>
      <c r="L1231" s="192"/>
      <c r="M1231" s="202"/>
      <c r="N1231" s="200"/>
      <c r="O1231" s="192"/>
      <c r="P1231" s="192"/>
      <c r="Q1231" s="192"/>
      <c r="R1231" s="192"/>
      <c r="S1231" s="202"/>
      <c r="T1231" s="203"/>
      <c r="U1231" s="153"/>
      <c r="V1231" s="153"/>
      <c r="W1231" s="153"/>
      <c r="X1231" s="153"/>
      <c r="Y1231" s="153"/>
      <c r="Z1231" s="153"/>
    </row>
    <row r="1232" spans="1:26">
      <c r="A1232" s="769"/>
      <c r="B1232" s="200"/>
      <c r="C1232" s="200"/>
      <c r="D1232" s="200"/>
      <c r="E1232" s="200"/>
      <c r="F1232" s="200"/>
      <c r="G1232" s="200"/>
      <c r="H1232" s="200"/>
      <c r="I1232" s="201"/>
      <c r="J1232" s="201"/>
      <c r="K1232" s="201"/>
      <c r="L1232" s="192"/>
      <c r="M1232" s="202"/>
      <c r="N1232" s="200"/>
      <c r="O1232" s="192"/>
      <c r="P1232" s="192"/>
      <c r="Q1232" s="192"/>
      <c r="R1232" s="192"/>
      <c r="S1232" s="202"/>
      <c r="T1232" s="203"/>
      <c r="U1232" s="153"/>
      <c r="V1232" s="153"/>
      <c r="W1232" s="153"/>
      <c r="X1232" s="153"/>
      <c r="Y1232" s="153"/>
      <c r="Z1232" s="153"/>
    </row>
    <row r="1233" spans="1:26">
      <c r="A1233" s="769"/>
      <c r="B1233" s="200"/>
      <c r="C1233" s="200"/>
      <c r="D1233" s="200"/>
      <c r="E1233" s="200"/>
      <c r="F1233" s="200"/>
      <c r="G1233" s="200"/>
      <c r="H1233" s="200"/>
      <c r="I1233" s="201"/>
      <c r="J1233" s="201"/>
      <c r="K1233" s="201"/>
      <c r="L1233" s="192"/>
      <c r="M1233" s="202"/>
      <c r="N1233" s="200"/>
      <c r="O1233" s="192"/>
      <c r="P1233" s="192"/>
      <c r="Q1233" s="192"/>
      <c r="R1233" s="192"/>
      <c r="S1233" s="202"/>
      <c r="T1233" s="203"/>
      <c r="U1233" s="153"/>
      <c r="V1233" s="153"/>
      <c r="W1233" s="153"/>
      <c r="X1233" s="153"/>
      <c r="Y1233" s="153"/>
      <c r="Z1233" s="153"/>
    </row>
    <row r="1234" spans="1:26">
      <c r="A1234" s="769"/>
      <c r="B1234" s="200"/>
      <c r="C1234" s="200"/>
      <c r="D1234" s="200"/>
      <c r="E1234" s="200"/>
      <c r="F1234" s="200"/>
      <c r="G1234" s="200"/>
      <c r="H1234" s="200"/>
      <c r="I1234" s="201"/>
      <c r="J1234" s="201"/>
      <c r="K1234" s="201"/>
      <c r="L1234" s="192"/>
      <c r="M1234" s="202"/>
      <c r="N1234" s="200"/>
      <c r="O1234" s="192"/>
      <c r="P1234" s="192"/>
      <c r="Q1234" s="192"/>
      <c r="R1234" s="192"/>
      <c r="S1234" s="202"/>
      <c r="T1234" s="203"/>
      <c r="U1234" s="153"/>
      <c r="V1234" s="153"/>
      <c r="W1234" s="153"/>
      <c r="X1234" s="153"/>
      <c r="Y1234" s="153"/>
      <c r="Z1234" s="153"/>
    </row>
    <row r="1235" spans="1:26">
      <c r="A1235" s="676"/>
      <c r="B1235" s="200"/>
      <c r="C1235" s="200"/>
      <c r="D1235" s="200"/>
      <c r="E1235" s="200"/>
      <c r="F1235" s="200"/>
      <c r="G1235" s="200"/>
      <c r="H1235" s="200"/>
      <c r="I1235" s="201"/>
      <c r="J1235" s="201"/>
      <c r="K1235" s="201"/>
      <c r="L1235" s="192"/>
      <c r="M1235" s="204"/>
      <c r="N1235" s="200"/>
      <c r="O1235" s="192"/>
      <c r="P1235" s="192"/>
      <c r="Q1235" s="192"/>
      <c r="R1235" s="192"/>
      <c r="S1235" s="204"/>
      <c r="T1235" s="203"/>
      <c r="U1235" s="153"/>
      <c r="V1235" s="153"/>
      <c r="W1235" s="153"/>
      <c r="X1235" s="153"/>
      <c r="Y1235" s="153"/>
      <c r="Z1235" s="153"/>
    </row>
    <row r="1236" spans="1:26">
      <c r="A1236" s="769"/>
      <c r="B1236" s="200"/>
      <c r="C1236" s="200"/>
      <c r="D1236" s="200"/>
      <c r="E1236" s="200"/>
      <c r="F1236" s="200"/>
      <c r="G1236" s="200"/>
      <c r="H1236" s="200"/>
      <c r="I1236" s="201"/>
      <c r="J1236" s="201"/>
      <c r="K1236" s="201"/>
      <c r="L1236" s="192"/>
      <c r="M1236" s="204"/>
      <c r="N1236" s="200"/>
      <c r="O1236" s="192"/>
      <c r="P1236" s="192"/>
      <c r="Q1236" s="192"/>
      <c r="R1236" s="192"/>
      <c r="S1236" s="204"/>
      <c r="T1236" s="203"/>
      <c r="U1236" s="153"/>
      <c r="V1236" s="153"/>
      <c r="W1236" s="153"/>
      <c r="X1236" s="153"/>
      <c r="Y1236" s="153"/>
      <c r="Z1236" s="153"/>
    </row>
    <row r="1237" spans="1:26">
      <c r="A1237" s="769"/>
      <c r="B1237" s="200"/>
      <c r="C1237" s="200"/>
      <c r="D1237" s="200"/>
      <c r="E1237" s="200"/>
      <c r="F1237" s="200"/>
      <c r="G1237" s="200"/>
      <c r="H1237" s="200"/>
      <c r="I1237" s="201"/>
      <c r="J1237" s="201"/>
      <c r="K1237" s="201"/>
      <c r="L1237" s="192"/>
      <c r="M1237" s="204"/>
      <c r="N1237" s="200"/>
      <c r="O1237" s="192"/>
      <c r="P1237" s="192"/>
      <c r="Q1237" s="192"/>
      <c r="R1237" s="192"/>
      <c r="S1237" s="204"/>
      <c r="T1237" s="203"/>
      <c r="U1237" s="153"/>
      <c r="V1237" s="153"/>
      <c r="W1237" s="153"/>
      <c r="X1237" s="153"/>
      <c r="Y1237" s="153"/>
      <c r="Z1237" s="153"/>
    </row>
    <row r="1238" spans="1:26">
      <c r="A1238" s="769"/>
      <c r="B1238" s="200"/>
      <c r="C1238" s="200"/>
      <c r="D1238" s="200"/>
      <c r="E1238" s="200"/>
      <c r="F1238" s="200"/>
      <c r="G1238" s="200"/>
      <c r="H1238" s="200"/>
      <c r="I1238" s="201"/>
      <c r="J1238" s="201"/>
      <c r="K1238" s="201"/>
      <c r="L1238" s="192"/>
      <c r="M1238" s="204"/>
      <c r="N1238" s="200"/>
      <c r="O1238" s="192"/>
      <c r="P1238" s="192"/>
      <c r="Q1238" s="192"/>
      <c r="R1238" s="192"/>
      <c r="S1238" s="204"/>
      <c r="T1238" s="203"/>
      <c r="U1238" s="153"/>
      <c r="V1238" s="153"/>
      <c r="W1238" s="153"/>
      <c r="X1238" s="153"/>
      <c r="Y1238" s="153"/>
      <c r="Z1238" s="153"/>
    </row>
    <row r="1239" spans="1:26">
      <c r="A1239" s="769"/>
      <c r="B1239" s="200"/>
      <c r="C1239" s="200"/>
      <c r="D1239" s="200"/>
      <c r="E1239" s="200"/>
      <c r="F1239" s="200"/>
      <c r="G1239" s="200"/>
      <c r="H1239" s="200"/>
      <c r="I1239" s="201"/>
      <c r="J1239" s="201"/>
      <c r="K1239" s="201"/>
      <c r="L1239" s="192"/>
      <c r="M1239" s="204"/>
      <c r="N1239" s="200"/>
      <c r="O1239" s="192"/>
      <c r="P1239" s="192"/>
      <c r="Q1239" s="192"/>
      <c r="R1239" s="192"/>
      <c r="S1239" s="204"/>
      <c r="T1239" s="203"/>
      <c r="U1239" s="153"/>
      <c r="V1239" s="153"/>
      <c r="W1239" s="153"/>
      <c r="X1239" s="153"/>
      <c r="Y1239" s="153"/>
      <c r="Z1239" s="153"/>
    </row>
    <row r="1240" spans="1:26">
      <c r="A1240" s="769"/>
      <c r="B1240" s="200"/>
      <c r="C1240" s="200"/>
      <c r="D1240" s="200"/>
      <c r="E1240" s="200"/>
      <c r="F1240" s="200"/>
      <c r="G1240" s="200"/>
      <c r="H1240" s="200"/>
      <c r="I1240" s="201"/>
      <c r="J1240" s="201"/>
      <c r="K1240" s="201"/>
      <c r="L1240" s="192"/>
      <c r="M1240" s="204"/>
      <c r="N1240" s="200"/>
      <c r="O1240" s="192"/>
      <c r="P1240" s="192"/>
      <c r="Q1240" s="192"/>
      <c r="R1240" s="192"/>
      <c r="S1240" s="204"/>
      <c r="T1240" s="203"/>
      <c r="U1240" s="153"/>
      <c r="V1240" s="153"/>
      <c r="W1240" s="153"/>
      <c r="X1240" s="153"/>
      <c r="Y1240" s="153"/>
      <c r="Z1240" s="153"/>
    </row>
    <row r="1241" spans="1:26">
      <c r="A1241" s="769"/>
      <c r="B1241" s="200"/>
      <c r="C1241" s="200"/>
      <c r="D1241" s="200"/>
      <c r="E1241" s="200"/>
      <c r="F1241" s="200"/>
      <c r="G1241" s="200"/>
      <c r="H1241" s="200"/>
      <c r="I1241" s="201"/>
      <c r="J1241" s="201"/>
      <c r="K1241" s="201"/>
      <c r="L1241" s="192"/>
      <c r="M1241" s="204"/>
      <c r="N1241" s="200"/>
      <c r="O1241" s="192"/>
      <c r="P1241" s="192"/>
      <c r="Q1241" s="192"/>
      <c r="R1241" s="192"/>
      <c r="S1241" s="204"/>
      <c r="T1241" s="203"/>
      <c r="U1241" s="153"/>
      <c r="V1241" s="153"/>
      <c r="W1241" s="153"/>
      <c r="X1241" s="153"/>
      <c r="Y1241" s="153"/>
      <c r="Z1241" s="153"/>
    </row>
    <row r="1242" spans="1:26">
      <c r="A1242" s="769"/>
      <c r="B1242" s="200"/>
      <c r="C1242" s="200"/>
      <c r="D1242" s="200"/>
      <c r="E1242" s="200"/>
      <c r="F1242" s="200"/>
      <c r="G1242" s="200"/>
      <c r="H1242" s="200"/>
      <c r="I1242" s="201"/>
      <c r="J1242" s="201"/>
      <c r="K1242" s="201"/>
      <c r="L1242" s="192"/>
      <c r="M1242" s="204"/>
      <c r="N1242" s="200"/>
      <c r="O1242" s="192"/>
      <c r="P1242" s="192"/>
      <c r="Q1242" s="192"/>
      <c r="R1242" s="192"/>
      <c r="S1242" s="204"/>
      <c r="T1242" s="203"/>
      <c r="U1242" s="153"/>
      <c r="V1242" s="153"/>
      <c r="W1242" s="153"/>
      <c r="X1242" s="153"/>
      <c r="Y1242" s="153"/>
      <c r="Z1242" s="153"/>
    </row>
    <row r="1243" spans="1:26">
      <c r="A1243" s="676"/>
      <c r="B1243" s="200"/>
      <c r="C1243" s="200"/>
      <c r="D1243" s="200"/>
      <c r="E1243" s="200"/>
      <c r="F1243" s="200"/>
      <c r="G1243" s="200"/>
      <c r="H1243" s="200"/>
      <c r="I1243" s="201"/>
      <c r="J1243" s="201"/>
      <c r="K1243" s="201"/>
      <c r="L1243" s="192"/>
      <c r="M1243" s="202"/>
      <c r="N1243" s="200"/>
      <c r="O1243" s="192"/>
      <c r="P1243" s="192"/>
      <c r="Q1243" s="192"/>
      <c r="R1243" s="192"/>
      <c r="S1243" s="202"/>
      <c r="T1243" s="203"/>
      <c r="U1243" s="153"/>
      <c r="V1243" s="153"/>
      <c r="W1243" s="153"/>
      <c r="X1243" s="153"/>
      <c r="Y1243" s="153"/>
      <c r="Z1243" s="153"/>
    </row>
    <row r="1244" spans="1:26">
      <c r="A1244" s="769"/>
      <c r="B1244" s="200"/>
      <c r="C1244" s="200"/>
      <c r="D1244" s="200"/>
      <c r="E1244" s="200"/>
      <c r="F1244" s="200"/>
      <c r="G1244" s="200"/>
      <c r="H1244" s="200"/>
      <c r="I1244" s="201"/>
      <c r="J1244" s="201"/>
      <c r="K1244" s="201"/>
      <c r="L1244" s="192"/>
      <c r="M1244" s="202"/>
      <c r="N1244" s="200"/>
      <c r="O1244" s="192"/>
      <c r="P1244" s="192"/>
      <c r="Q1244" s="192"/>
      <c r="R1244" s="192"/>
      <c r="S1244" s="202"/>
      <c r="T1244" s="203"/>
      <c r="U1244" s="153"/>
      <c r="V1244" s="153"/>
      <c r="W1244" s="153"/>
      <c r="X1244" s="153"/>
      <c r="Y1244" s="153"/>
      <c r="Z1244" s="153"/>
    </row>
    <row r="1245" spans="1:26">
      <c r="A1245" s="769"/>
      <c r="B1245" s="200"/>
      <c r="C1245" s="200"/>
      <c r="D1245" s="200"/>
      <c r="E1245" s="200"/>
      <c r="F1245" s="200"/>
      <c r="G1245" s="200"/>
      <c r="H1245" s="200"/>
      <c r="I1245" s="201"/>
      <c r="J1245" s="201"/>
      <c r="K1245" s="201"/>
      <c r="L1245" s="192"/>
      <c r="M1245" s="202"/>
      <c r="N1245" s="200"/>
      <c r="O1245" s="192"/>
      <c r="P1245" s="192"/>
      <c r="Q1245" s="192"/>
      <c r="R1245" s="192"/>
      <c r="S1245" s="202"/>
      <c r="T1245" s="203"/>
      <c r="U1245" s="153"/>
      <c r="V1245" s="153"/>
      <c r="W1245" s="153"/>
      <c r="X1245" s="153"/>
      <c r="Y1245" s="153"/>
      <c r="Z1245" s="153"/>
    </row>
    <row r="1246" spans="1:26">
      <c r="A1246" s="769"/>
      <c r="B1246" s="200"/>
      <c r="C1246" s="200"/>
      <c r="D1246" s="200"/>
      <c r="E1246" s="200"/>
      <c r="F1246" s="200"/>
      <c r="G1246" s="200"/>
      <c r="H1246" s="200"/>
      <c r="I1246" s="201"/>
      <c r="J1246" s="201"/>
      <c r="K1246" s="201"/>
      <c r="L1246" s="192"/>
      <c r="M1246" s="202"/>
      <c r="N1246" s="200"/>
      <c r="O1246" s="192"/>
      <c r="P1246" s="192"/>
      <c r="Q1246" s="192"/>
      <c r="R1246" s="192"/>
      <c r="S1246" s="202"/>
      <c r="T1246" s="203"/>
      <c r="U1246" s="153"/>
      <c r="V1246" s="153"/>
      <c r="W1246" s="153"/>
      <c r="X1246" s="153"/>
      <c r="Y1246" s="153"/>
      <c r="Z1246" s="153"/>
    </row>
    <row r="1247" spans="1:26">
      <c r="A1247" s="769"/>
      <c r="B1247" s="200"/>
      <c r="C1247" s="200"/>
      <c r="D1247" s="200"/>
      <c r="E1247" s="200"/>
      <c r="F1247" s="200"/>
      <c r="G1247" s="200"/>
      <c r="H1247" s="200"/>
      <c r="I1247" s="201"/>
      <c r="J1247" s="201"/>
      <c r="K1247" s="201"/>
      <c r="L1247" s="192"/>
      <c r="M1247" s="202"/>
      <c r="N1247" s="200"/>
      <c r="O1247" s="192"/>
      <c r="P1247" s="192"/>
      <c r="Q1247" s="192"/>
      <c r="R1247" s="192"/>
      <c r="S1247" s="202"/>
      <c r="T1247" s="203"/>
      <c r="U1247" s="153"/>
      <c r="V1247" s="153"/>
      <c r="W1247" s="153"/>
      <c r="X1247" s="153"/>
      <c r="Y1247" s="153"/>
      <c r="Z1247" s="153"/>
    </row>
    <row r="1248" spans="1:26">
      <c r="A1248" s="769"/>
      <c r="B1248" s="200"/>
      <c r="C1248" s="200"/>
      <c r="D1248" s="200"/>
      <c r="E1248" s="200"/>
      <c r="F1248" s="200"/>
      <c r="G1248" s="200"/>
      <c r="H1248" s="200"/>
      <c r="I1248" s="201"/>
      <c r="J1248" s="201"/>
      <c r="K1248" s="201"/>
      <c r="L1248" s="192"/>
      <c r="M1248" s="202"/>
      <c r="N1248" s="200"/>
      <c r="O1248" s="192"/>
      <c r="P1248" s="192"/>
      <c r="Q1248" s="192"/>
      <c r="R1248" s="192"/>
      <c r="S1248" s="202"/>
      <c r="T1248" s="203"/>
      <c r="U1248" s="153"/>
      <c r="V1248" s="153"/>
      <c r="W1248" s="153"/>
      <c r="X1248" s="153"/>
      <c r="Y1248" s="153"/>
      <c r="Z1248" s="153"/>
    </row>
    <row r="1249" spans="1:26">
      <c r="A1249" s="769"/>
      <c r="B1249" s="200"/>
      <c r="C1249" s="200"/>
      <c r="D1249" s="200"/>
      <c r="E1249" s="200"/>
      <c r="F1249" s="200"/>
      <c r="G1249" s="200"/>
      <c r="H1249" s="200"/>
      <c r="I1249" s="201"/>
      <c r="J1249" s="201"/>
      <c r="K1249" s="201"/>
      <c r="L1249" s="192"/>
      <c r="M1249" s="202"/>
      <c r="N1249" s="200"/>
      <c r="O1249" s="192"/>
      <c r="P1249" s="192"/>
      <c r="Q1249" s="192"/>
      <c r="R1249" s="192"/>
      <c r="S1249" s="202"/>
      <c r="T1249" s="203"/>
      <c r="U1249" s="153"/>
      <c r="V1249" s="153"/>
      <c r="W1249" s="153"/>
      <c r="X1249" s="153"/>
      <c r="Y1249" s="153"/>
      <c r="Z1249" s="153"/>
    </row>
    <row r="1250" spans="1:26">
      <c r="A1250" s="769"/>
      <c r="B1250" s="200"/>
      <c r="C1250" s="200"/>
      <c r="D1250" s="200"/>
      <c r="E1250" s="200"/>
      <c r="F1250" s="200"/>
      <c r="G1250" s="200"/>
      <c r="H1250" s="200"/>
      <c r="I1250" s="201"/>
      <c r="J1250" s="201"/>
      <c r="K1250" s="201"/>
      <c r="L1250" s="192"/>
      <c r="M1250" s="202"/>
      <c r="N1250" s="200"/>
      <c r="O1250" s="192"/>
      <c r="P1250" s="192"/>
      <c r="Q1250" s="192"/>
      <c r="R1250" s="192"/>
      <c r="S1250" s="202"/>
      <c r="T1250" s="203"/>
      <c r="U1250" s="153"/>
      <c r="V1250" s="153"/>
      <c r="W1250" s="153"/>
      <c r="X1250" s="153"/>
      <c r="Y1250" s="153"/>
      <c r="Z1250" s="153"/>
    </row>
    <row r="1251" spans="1:26">
      <c r="A1251" s="676"/>
      <c r="B1251" s="200"/>
      <c r="C1251" s="200"/>
      <c r="D1251" s="200"/>
      <c r="E1251" s="200"/>
      <c r="F1251" s="200"/>
      <c r="H1251" s="200"/>
      <c r="I1251" s="201"/>
      <c r="J1251" s="201"/>
      <c r="K1251" s="201"/>
      <c r="L1251" s="192"/>
      <c r="M1251" s="204"/>
      <c r="N1251" s="200"/>
      <c r="O1251" s="192"/>
      <c r="P1251" s="192"/>
      <c r="Q1251" s="192"/>
      <c r="R1251" s="192"/>
      <c r="S1251" s="204"/>
      <c r="T1251" s="203"/>
      <c r="U1251" s="153"/>
      <c r="V1251" s="153"/>
      <c r="W1251" s="153"/>
      <c r="X1251" s="153"/>
      <c r="Y1251" s="153"/>
      <c r="Z1251" s="153"/>
    </row>
    <row r="1252" spans="1:26">
      <c r="A1252" s="769"/>
      <c r="B1252" s="200"/>
      <c r="C1252" s="200"/>
      <c r="D1252" s="200"/>
      <c r="E1252" s="200"/>
      <c r="F1252" s="200"/>
      <c r="H1252" s="200"/>
      <c r="I1252" s="201"/>
      <c r="J1252" s="201"/>
      <c r="K1252" s="201"/>
      <c r="L1252" s="192"/>
      <c r="M1252" s="204"/>
      <c r="N1252" s="200"/>
      <c r="O1252" s="192"/>
      <c r="P1252" s="192"/>
      <c r="Q1252" s="192"/>
      <c r="R1252" s="192"/>
      <c r="S1252" s="204"/>
      <c r="T1252" s="203"/>
      <c r="U1252" s="153"/>
      <c r="V1252" s="153"/>
      <c r="W1252" s="153"/>
      <c r="X1252" s="153"/>
      <c r="Y1252" s="153"/>
      <c r="Z1252" s="153"/>
    </row>
    <row r="1253" spans="1:26">
      <c r="A1253" s="676"/>
      <c r="B1253" s="200"/>
      <c r="C1253" s="200"/>
      <c r="D1253" s="200"/>
      <c r="E1253" s="200"/>
      <c r="F1253" s="200"/>
      <c r="H1253" s="200"/>
      <c r="I1253" s="201"/>
      <c r="J1253" s="201"/>
      <c r="K1253" s="201"/>
      <c r="L1253" s="192"/>
      <c r="M1253" s="202"/>
      <c r="N1253" s="200"/>
      <c r="O1253" s="192"/>
      <c r="P1253" s="192"/>
      <c r="Q1253" s="192"/>
      <c r="R1253" s="192"/>
      <c r="S1253" s="202"/>
      <c r="T1253" s="203"/>
      <c r="U1253" s="153"/>
      <c r="V1253" s="153"/>
      <c r="W1253" s="153"/>
      <c r="X1253" s="153"/>
      <c r="Y1253" s="153"/>
      <c r="Z1253" s="153"/>
    </row>
    <row r="1254" spans="1:26">
      <c r="A1254" s="769"/>
      <c r="B1254" s="200"/>
      <c r="C1254" s="200"/>
      <c r="D1254" s="200"/>
      <c r="E1254" s="200"/>
      <c r="F1254" s="200"/>
      <c r="H1254" s="200"/>
      <c r="I1254" s="201"/>
      <c r="J1254" s="201"/>
      <c r="K1254" s="201"/>
      <c r="L1254" s="192"/>
      <c r="M1254" s="202"/>
      <c r="N1254" s="200"/>
      <c r="O1254" s="192"/>
      <c r="P1254" s="192"/>
      <c r="Q1254" s="192"/>
      <c r="R1254" s="192"/>
      <c r="S1254" s="202"/>
      <c r="T1254" s="203"/>
      <c r="U1254" s="153"/>
      <c r="V1254" s="153"/>
      <c r="W1254" s="153"/>
      <c r="X1254" s="153"/>
      <c r="Y1254" s="153"/>
      <c r="Z1254" s="153"/>
    </row>
    <row r="1255" spans="1:26">
      <c r="A1255" s="676"/>
      <c r="B1255" s="200"/>
      <c r="C1255" s="200"/>
      <c r="D1255" s="200"/>
      <c r="E1255" s="200"/>
      <c r="F1255" s="200"/>
      <c r="G1255" s="200"/>
      <c r="H1255" s="200"/>
      <c r="I1255" s="201"/>
      <c r="J1255" s="201"/>
      <c r="K1255" s="201"/>
      <c r="L1255" s="192"/>
      <c r="M1255" s="204"/>
      <c r="N1255" s="200"/>
      <c r="O1255" s="192"/>
      <c r="P1255" s="192"/>
      <c r="Q1255" s="192"/>
      <c r="R1255" s="192"/>
      <c r="S1255" s="204"/>
      <c r="T1255" s="203"/>
      <c r="U1255" s="153"/>
      <c r="V1255" s="153"/>
      <c r="W1255" s="153"/>
      <c r="X1255" s="153"/>
      <c r="Y1255" s="153"/>
      <c r="Z1255" s="153"/>
    </row>
    <row r="1256" spans="1:26">
      <c r="A1256" s="769"/>
      <c r="B1256" s="200"/>
      <c r="C1256" s="200"/>
      <c r="D1256" s="200"/>
      <c r="E1256" s="200"/>
      <c r="F1256" s="200"/>
      <c r="G1256" s="200"/>
      <c r="H1256" s="200"/>
      <c r="I1256" s="201"/>
      <c r="J1256" s="201"/>
      <c r="K1256" s="201"/>
      <c r="L1256" s="192"/>
      <c r="M1256" s="204"/>
      <c r="N1256" s="200"/>
      <c r="O1256" s="192"/>
      <c r="P1256" s="192"/>
      <c r="Q1256" s="192"/>
      <c r="R1256" s="192"/>
      <c r="S1256" s="204"/>
      <c r="T1256" s="203"/>
      <c r="U1256" s="153"/>
      <c r="V1256" s="153"/>
      <c r="W1256" s="153"/>
      <c r="X1256" s="153"/>
      <c r="Y1256" s="153"/>
      <c r="Z1256" s="153"/>
    </row>
    <row r="1257" spans="1:26">
      <c r="A1257" s="769"/>
      <c r="B1257" s="200"/>
      <c r="C1257" s="200"/>
      <c r="D1257" s="200"/>
      <c r="E1257" s="200"/>
      <c r="F1257" s="200"/>
      <c r="G1257" s="200"/>
      <c r="H1257" s="200"/>
      <c r="I1257" s="201"/>
      <c r="J1257" s="201"/>
      <c r="K1257" s="201"/>
      <c r="L1257" s="192"/>
      <c r="M1257" s="204"/>
      <c r="N1257" s="200"/>
      <c r="O1257" s="192"/>
      <c r="P1257" s="192"/>
      <c r="Q1257" s="192"/>
      <c r="R1257" s="192"/>
      <c r="S1257" s="204"/>
      <c r="T1257" s="203"/>
      <c r="U1257" s="153"/>
      <c r="V1257" s="153"/>
      <c r="W1257" s="153"/>
      <c r="X1257" s="153"/>
      <c r="Y1257" s="153"/>
      <c r="Z1257" s="153"/>
    </row>
    <row r="1258" spans="1:26">
      <c r="A1258" s="769"/>
      <c r="B1258" s="200"/>
      <c r="C1258" s="200"/>
      <c r="D1258" s="200"/>
      <c r="E1258" s="200"/>
      <c r="F1258" s="200"/>
      <c r="G1258" s="200"/>
      <c r="H1258" s="200"/>
      <c r="I1258" s="201"/>
      <c r="J1258" s="201"/>
      <c r="K1258" s="201"/>
      <c r="L1258" s="192"/>
      <c r="M1258" s="204"/>
      <c r="N1258" s="200"/>
      <c r="O1258" s="192"/>
      <c r="P1258" s="192"/>
      <c r="Q1258" s="192"/>
      <c r="R1258" s="192"/>
      <c r="S1258" s="204"/>
      <c r="T1258" s="203"/>
      <c r="U1258" s="153"/>
      <c r="V1258" s="153"/>
      <c r="W1258" s="153"/>
      <c r="X1258" s="153"/>
      <c r="Y1258" s="153"/>
      <c r="Z1258" s="153"/>
    </row>
    <row r="1259" spans="1:26">
      <c r="A1259" s="769"/>
      <c r="B1259" s="200"/>
      <c r="C1259" s="200"/>
      <c r="D1259" s="200"/>
      <c r="E1259" s="200"/>
      <c r="F1259" s="200"/>
      <c r="G1259" s="200"/>
      <c r="H1259" s="200"/>
      <c r="I1259" s="201"/>
      <c r="J1259" s="201"/>
      <c r="K1259" s="201"/>
      <c r="L1259" s="192"/>
      <c r="M1259" s="204"/>
      <c r="N1259" s="200"/>
      <c r="O1259" s="192"/>
      <c r="P1259" s="192"/>
      <c r="Q1259" s="192"/>
      <c r="R1259" s="192"/>
      <c r="S1259" s="204"/>
      <c r="T1259" s="203"/>
      <c r="U1259" s="153"/>
      <c r="V1259" s="153"/>
      <c r="W1259" s="153"/>
      <c r="X1259" s="153"/>
      <c r="Y1259" s="153"/>
      <c r="Z1259" s="153"/>
    </row>
    <row r="1260" spans="1:26">
      <c r="A1260" s="769"/>
      <c r="B1260" s="200"/>
      <c r="C1260" s="200"/>
      <c r="D1260" s="200"/>
      <c r="E1260" s="200"/>
      <c r="F1260" s="200"/>
      <c r="G1260" s="200"/>
      <c r="H1260" s="200"/>
      <c r="I1260" s="201"/>
      <c r="J1260" s="201"/>
      <c r="K1260" s="201"/>
      <c r="L1260" s="192"/>
      <c r="M1260" s="204"/>
      <c r="N1260" s="200"/>
      <c r="O1260" s="192"/>
      <c r="P1260" s="192"/>
      <c r="Q1260" s="192"/>
      <c r="R1260" s="192"/>
      <c r="S1260" s="204"/>
      <c r="T1260" s="203"/>
      <c r="U1260" s="153"/>
      <c r="V1260" s="153"/>
      <c r="W1260" s="153"/>
      <c r="X1260" s="153"/>
      <c r="Y1260" s="153"/>
      <c r="Z1260" s="153"/>
    </row>
    <row r="1261" spans="1:26">
      <c r="A1261" s="769"/>
      <c r="B1261" s="200"/>
      <c r="C1261" s="200"/>
      <c r="D1261" s="200"/>
      <c r="E1261" s="200"/>
      <c r="F1261" s="200"/>
      <c r="G1261" s="200"/>
      <c r="H1261" s="200"/>
      <c r="I1261" s="201"/>
      <c r="J1261" s="201"/>
      <c r="K1261" s="201"/>
      <c r="L1261" s="192"/>
      <c r="M1261" s="204"/>
      <c r="N1261" s="200"/>
      <c r="O1261" s="192"/>
      <c r="P1261" s="192"/>
      <c r="Q1261" s="192"/>
      <c r="R1261" s="192"/>
      <c r="S1261" s="204"/>
      <c r="T1261" s="203"/>
      <c r="U1261" s="153"/>
      <c r="V1261" s="153"/>
      <c r="W1261" s="153"/>
      <c r="X1261" s="153"/>
      <c r="Y1261" s="153"/>
      <c r="Z1261" s="153"/>
    </row>
    <row r="1262" spans="1:26">
      <c r="A1262" s="769"/>
      <c r="B1262" s="200"/>
      <c r="C1262" s="200"/>
      <c r="D1262" s="200"/>
      <c r="E1262" s="200"/>
      <c r="F1262" s="200"/>
      <c r="G1262" s="200"/>
      <c r="H1262" s="200"/>
      <c r="I1262" s="201"/>
      <c r="J1262" s="201"/>
      <c r="K1262" s="201"/>
      <c r="L1262" s="192"/>
      <c r="M1262" s="204"/>
      <c r="N1262" s="200"/>
      <c r="O1262" s="192"/>
      <c r="P1262" s="192"/>
      <c r="Q1262" s="192"/>
      <c r="R1262" s="192"/>
      <c r="S1262" s="204"/>
      <c r="T1262" s="203"/>
      <c r="U1262" s="153"/>
      <c r="V1262" s="153"/>
      <c r="W1262" s="153"/>
      <c r="X1262" s="153"/>
      <c r="Y1262" s="153"/>
      <c r="Z1262" s="153"/>
    </row>
    <row r="1263" spans="1:26">
      <c r="A1263" s="769"/>
      <c r="B1263" s="200"/>
      <c r="C1263" s="200"/>
      <c r="D1263" s="200"/>
      <c r="E1263" s="200"/>
      <c r="F1263" s="200"/>
      <c r="G1263" s="200"/>
      <c r="H1263" s="200"/>
      <c r="I1263" s="201"/>
      <c r="J1263" s="201"/>
      <c r="K1263" s="201"/>
      <c r="L1263" s="192"/>
      <c r="M1263" s="204"/>
      <c r="N1263" s="200"/>
      <c r="O1263" s="192"/>
      <c r="P1263" s="192"/>
      <c r="Q1263" s="192"/>
      <c r="R1263" s="192"/>
      <c r="S1263" s="204"/>
      <c r="T1263" s="203"/>
      <c r="U1263" s="153"/>
      <c r="V1263" s="153"/>
      <c r="W1263" s="153"/>
      <c r="X1263" s="153"/>
      <c r="Y1263" s="153"/>
      <c r="Z1263" s="153"/>
    </row>
    <row r="1264" spans="1:26">
      <c r="A1264" s="769"/>
      <c r="B1264" s="200"/>
      <c r="C1264" s="200"/>
      <c r="D1264" s="200"/>
      <c r="E1264" s="200"/>
      <c r="F1264" s="200"/>
      <c r="G1264" s="200"/>
      <c r="H1264" s="200"/>
      <c r="I1264" s="201"/>
      <c r="J1264" s="201"/>
      <c r="K1264" s="201"/>
      <c r="L1264" s="192"/>
      <c r="M1264" s="204"/>
      <c r="N1264" s="200"/>
      <c r="O1264" s="192"/>
      <c r="P1264" s="192"/>
      <c r="Q1264" s="192"/>
      <c r="R1264" s="192"/>
      <c r="S1264" s="204"/>
      <c r="T1264" s="203"/>
      <c r="U1264" s="153"/>
      <c r="V1264" s="153"/>
      <c r="W1264" s="153"/>
      <c r="X1264" s="153"/>
      <c r="Y1264" s="153"/>
      <c r="Z1264" s="153"/>
    </row>
    <row r="1265" spans="1:26">
      <c r="A1265" s="769"/>
      <c r="B1265" s="200"/>
      <c r="C1265" s="200"/>
      <c r="D1265" s="200"/>
      <c r="E1265" s="200"/>
      <c r="F1265" s="200"/>
      <c r="G1265" s="200"/>
      <c r="H1265" s="200"/>
      <c r="I1265" s="201"/>
      <c r="J1265" s="201"/>
      <c r="K1265" s="201"/>
      <c r="L1265" s="192"/>
      <c r="M1265" s="204"/>
      <c r="N1265" s="200"/>
      <c r="O1265" s="192"/>
      <c r="P1265" s="192"/>
      <c r="Q1265" s="192"/>
      <c r="R1265" s="192"/>
      <c r="S1265" s="204"/>
      <c r="T1265" s="203"/>
      <c r="U1265" s="153"/>
      <c r="V1265" s="153"/>
      <c r="W1265" s="153"/>
      <c r="X1265" s="153"/>
      <c r="Y1265" s="153"/>
      <c r="Z1265" s="153"/>
    </row>
    <row r="1266" spans="1:26">
      <c r="A1266" s="769"/>
      <c r="B1266" s="200"/>
      <c r="C1266" s="200"/>
      <c r="D1266" s="200"/>
      <c r="E1266" s="200"/>
      <c r="F1266" s="200"/>
      <c r="G1266" s="200"/>
      <c r="H1266" s="200"/>
      <c r="I1266" s="201"/>
      <c r="J1266" s="201"/>
      <c r="K1266" s="201"/>
      <c r="L1266" s="192"/>
      <c r="M1266" s="204"/>
      <c r="N1266" s="200"/>
      <c r="O1266" s="192"/>
      <c r="P1266" s="192"/>
      <c r="Q1266" s="192"/>
      <c r="R1266" s="192"/>
      <c r="S1266" s="204"/>
      <c r="T1266" s="203"/>
      <c r="U1266" s="153"/>
      <c r="V1266" s="153"/>
      <c r="W1266" s="153"/>
      <c r="X1266" s="153"/>
      <c r="Y1266" s="153"/>
      <c r="Z1266" s="153"/>
    </row>
    <row r="1267" spans="1:26">
      <c r="A1267" s="769"/>
      <c r="B1267" s="200"/>
      <c r="C1267" s="200"/>
      <c r="D1267" s="200"/>
      <c r="E1267" s="200"/>
      <c r="F1267" s="200"/>
      <c r="G1267" s="200"/>
      <c r="H1267" s="200"/>
      <c r="I1267" s="201"/>
      <c r="J1267" s="201"/>
      <c r="K1267" s="201"/>
      <c r="L1267" s="192"/>
      <c r="M1267" s="204"/>
      <c r="N1267" s="200"/>
      <c r="O1267" s="192"/>
      <c r="P1267" s="192"/>
      <c r="Q1267" s="192"/>
      <c r="R1267" s="192"/>
      <c r="S1267" s="204"/>
      <c r="T1267" s="203"/>
      <c r="U1267" s="153"/>
      <c r="V1267" s="153"/>
      <c r="W1267" s="153"/>
      <c r="X1267" s="153"/>
      <c r="Y1267" s="153"/>
      <c r="Z1267" s="153"/>
    </row>
    <row r="1268" spans="1:26">
      <c r="A1268" s="676"/>
      <c r="B1268" s="200"/>
      <c r="C1268" s="200"/>
      <c r="D1268" s="200"/>
      <c r="E1268" s="200"/>
      <c r="F1268" s="200"/>
      <c r="G1268" s="200"/>
      <c r="H1268" s="200"/>
      <c r="I1268" s="201"/>
      <c r="J1268" s="201"/>
      <c r="K1268" s="201"/>
      <c r="L1268" s="192"/>
      <c r="M1268" s="202"/>
      <c r="N1268" s="200"/>
      <c r="O1268" s="192"/>
      <c r="P1268" s="192"/>
      <c r="Q1268" s="192"/>
      <c r="R1268" s="192"/>
      <c r="S1268" s="202"/>
      <c r="T1268" s="203"/>
      <c r="U1268" s="153"/>
      <c r="V1268" s="153"/>
      <c r="W1268" s="153"/>
      <c r="X1268" s="153"/>
      <c r="Y1268" s="153"/>
      <c r="Z1268" s="153"/>
    </row>
    <row r="1269" spans="1:26">
      <c r="A1269" s="769"/>
      <c r="B1269" s="200"/>
      <c r="C1269" s="200"/>
      <c r="D1269" s="200"/>
      <c r="E1269" s="200"/>
      <c r="F1269" s="200"/>
      <c r="G1269" s="200"/>
      <c r="H1269" s="200"/>
      <c r="I1269" s="201"/>
      <c r="J1269" s="201"/>
      <c r="K1269" s="201"/>
      <c r="L1269" s="192"/>
      <c r="M1269" s="202"/>
      <c r="N1269" s="200"/>
      <c r="O1269" s="192"/>
      <c r="P1269" s="192"/>
      <c r="Q1269" s="192"/>
      <c r="R1269" s="192"/>
      <c r="S1269" s="202"/>
      <c r="T1269" s="203"/>
      <c r="U1269" s="153"/>
      <c r="V1269" s="153"/>
      <c r="W1269" s="153"/>
      <c r="X1269" s="153"/>
      <c r="Y1269" s="153"/>
      <c r="Z1269" s="153"/>
    </row>
    <row r="1270" spans="1:26">
      <c r="A1270" s="769"/>
      <c r="B1270" s="200"/>
      <c r="C1270" s="200"/>
      <c r="D1270" s="200"/>
      <c r="E1270" s="200"/>
      <c r="F1270" s="200"/>
      <c r="G1270" s="200"/>
      <c r="H1270" s="200"/>
      <c r="I1270" s="201"/>
      <c r="J1270" s="201"/>
      <c r="K1270" s="201"/>
      <c r="L1270" s="192"/>
      <c r="M1270" s="202"/>
      <c r="N1270" s="200"/>
      <c r="O1270" s="192"/>
      <c r="P1270" s="192"/>
      <c r="Q1270" s="192"/>
      <c r="R1270" s="192"/>
      <c r="S1270" s="202"/>
      <c r="T1270" s="203"/>
      <c r="U1270" s="153"/>
      <c r="V1270" s="153"/>
      <c r="W1270" s="153"/>
      <c r="X1270" s="153"/>
      <c r="Y1270" s="153"/>
      <c r="Z1270" s="153"/>
    </row>
    <row r="1271" spans="1:26">
      <c r="A1271" s="769"/>
      <c r="B1271" s="200"/>
      <c r="C1271" s="200"/>
      <c r="D1271" s="200"/>
      <c r="E1271" s="200"/>
      <c r="F1271" s="200"/>
      <c r="G1271" s="200"/>
      <c r="H1271" s="200"/>
      <c r="I1271" s="201"/>
      <c r="J1271" s="201"/>
      <c r="K1271" s="201"/>
      <c r="L1271" s="192"/>
      <c r="M1271" s="202"/>
      <c r="N1271" s="200"/>
      <c r="O1271" s="192"/>
      <c r="P1271" s="192"/>
      <c r="Q1271" s="192"/>
      <c r="R1271" s="192"/>
      <c r="S1271" s="202"/>
      <c r="T1271" s="203"/>
      <c r="U1271" s="153"/>
      <c r="V1271" s="153"/>
      <c r="W1271" s="153"/>
      <c r="X1271" s="153"/>
      <c r="Y1271" s="153"/>
      <c r="Z1271" s="153"/>
    </row>
    <row r="1272" spans="1:26">
      <c r="A1272" s="769"/>
      <c r="B1272" s="200"/>
      <c r="C1272" s="200"/>
      <c r="D1272" s="200"/>
      <c r="E1272" s="200"/>
      <c r="F1272" s="200"/>
      <c r="G1272" s="200"/>
      <c r="H1272" s="200"/>
      <c r="I1272" s="201"/>
      <c r="J1272" s="201"/>
      <c r="K1272" s="201"/>
      <c r="L1272" s="192"/>
      <c r="M1272" s="202"/>
      <c r="N1272" s="200"/>
      <c r="O1272" s="192"/>
      <c r="P1272" s="192"/>
      <c r="Q1272" s="192"/>
      <c r="R1272" s="192"/>
      <c r="S1272" s="202"/>
      <c r="T1272" s="203"/>
      <c r="U1272" s="153"/>
      <c r="V1272" s="153"/>
      <c r="W1272" s="153"/>
      <c r="X1272" s="153"/>
      <c r="Y1272" s="153"/>
      <c r="Z1272" s="153"/>
    </row>
    <row r="1273" spans="1:26">
      <c r="A1273" s="769"/>
      <c r="B1273" s="200"/>
      <c r="C1273" s="200"/>
      <c r="D1273" s="200"/>
      <c r="E1273" s="200"/>
      <c r="F1273" s="200"/>
      <c r="G1273" s="200"/>
      <c r="H1273" s="200"/>
      <c r="I1273" s="201"/>
      <c r="J1273" s="201"/>
      <c r="K1273" s="201"/>
      <c r="L1273" s="192"/>
      <c r="M1273" s="202"/>
      <c r="N1273" s="200"/>
      <c r="O1273" s="192"/>
      <c r="P1273" s="192"/>
      <c r="Q1273" s="192"/>
      <c r="R1273" s="192"/>
      <c r="S1273" s="202"/>
      <c r="T1273" s="203"/>
      <c r="U1273" s="153"/>
      <c r="V1273" s="153"/>
      <c r="W1273" s="153"/>
      <c r="X1273" s="153"/>
      <c r="Y1273" s="153"/>
      <c r="Z1273" s="153"/>
    </row>
    <row r="1274" spans="1:26">
      <c r="A1274" s="769"/>
      <c r="B1274" s="200"/>
      <c r="C1274" s="200"/>
      <c r="D1274" s="200"/>
      <c r="E1274" s="200"/>
      <c r="F1274" s="200"/>
      <c r="G1274" s="200"/>
      <c r="H1274" s="200"/>
      <c r="I1274" s="201"/>
      <c r="J1274" s="201"/>
      <c r="K1274" s="201"/>
      <c r="L1274" s="192"/>
      <c r="M1274" s="202"/>
      <c r="N1274" s="200"/>
      <c r="O1274" s="192"/>
      <c r="P1274" s="192"/>
      <c r="Q1274" s="192"/>
      <c r="R1274" s="192"/>
      <c r="S1274" s="202"/>
      <c r="T1274" s="203"/>
      <c r="U1274" s="153"/>
      <c r="V1274" s="153"/>
      <c r="W1274" s="153"/>
      <c r="X1274" s="153"/>
      <c r="Y1274" s="153"/>
      <c r="Z1274" s="153"/>
    </row>
    <row r="1275" spans="1:26">
      <c r="A1275" s="769"/>
      <c r="B1275" s="200"/>
      <c r="C1275" s="200"/>
      <c r="D1275" s="200"/>
      <c r="E1275" s="200"/>
      <c r="F1275" s="200"/>
      <c r="G1275" s="200"/>
      <c r="H1275" s="200"/>
      <c r="I1275" s="201"/>
      <c r="J1275" s="201"/>
      <c r="K1275" s="201"/>
      <c r="L1275" s="192"/>
      <c r="M1275" s="202"/>
      <c r="N1275" s="200"/>
      <c r="O1275" s="192"/>
      <c r="P1275" s="192"/>
      <c r="Q1275" s="192"/>
      <c r="R1275" s="192"/>
      <c r="S1275" s="202"/>
      <c r="T1275" s="203"/>
      <c r="U1275" s="153"/>
      <c r="V1275" s="153"/>
      <c r="W1275" s="153"/>
      <c r="X1275" s="153"/>
      <c r="Y1275" s="153"/>
      <c r="Z1275" s="153"/>
    </row>
    <row r="1276" spans="1:26">
      <c r="A1276" s="769"/>
      <c r="B1276" s="200"/>
      <c r="C1276" s="200"/>
      <c r="D1276" s="200"/>
      <c r="E1276" s="200"/>
      <c r="F1276" s="200"/>
      <c r="G1276" s="200"/>
      <c r="H1276" s="200"/>
      <c r="I1276" s="201"/>
      <c r="J1276" s="201"/>
      <c r="K1276" s="201"/>
      <c r="L1276" s="192"/>
      <c r="M1276" s="202"/>
      <c r="N1276" s="200"/>
      <c r="O1276" s="192"/>
      <c r="P1276" s="192"/>
      <c r="Q1276" s="192"/>
      <c r="R1276" s="192"/>
      <c r="S1276" s="202"/>
      <c r="T1276" s="203"/>
      <c r="U1276" s="153"/>
      <c r="V1276" s="153"/>
      <c r="W1276" s="153"/>
      <c r="X1276" s="153"/>
      <c r="Y1276" s="153"/>
      <c r="Z1276" s="153"/>
    </row>
    <row r="1277" spans="1:26">
      <c r="A1277" s="769"/>
      <c r="B1277" s="200"/>
      <c r="C1277" s="200"/>
      <c r="D1277" s="200"/>
      <c r="E1277" s="200"/>
      <c r="F1277" s="200"/>
      <c r="G1277" s="200"/>
      <c r="H1277" s="200"/>
      <c r="I1277" s="201"/>
      <c r="J1277" s="201"/>
      <c r="K1277" s="201"/>
      <c r="L1277" s="192"/>
      <c r="M1277" s="202"/>
      <c r="N1277" s="200"/>
      <c r="O1277" s="192"/>
      <c r="P1277" s="192"/>
      <c r="Q1277" s="192"/>
      <c r="R1277" s="192"/>
      <c r="S1277" s="202"/>
      <c r="T1277" s="203"/>
      <c r="U1277" s="153"/>
      <c r="V1277" s="153"/>
      <c r="W1277" s="153"/>
      <c r="X1277" s="153"/>
      <c r="Y1277" s="153"/>
      <c r="Z1277" s="153"/>
    </row>
    <row r="1278" spans="1:26">
      <c r="A1278" s="769"/>
      <c r="B1278" s="200"/>
      <c r="C1278" s="200"/>
      <c r="D1278" s="200"/>
      <c r="E1278" s="200"/>
      <c r="F1278" s="200"/>
      <c r="G1278" s="200"/>
      <c r="H1278" s="200"/>
      <c r="I1278" s="201"/>
      <c r="J1278" s="201"/>
      <c r="K1278" s="201"/>
      <c r="L1278" s="192"/>
      <c r="M1278" s="202"/>
      <c r="N1278" s="200"/>
      <c r="O1278" s="192"/>
      <c r="P1278" s="192"/>
      <c r="Q1278" s="192"/>
      <c r="R1278" s="192"/>
      <c r="S1278" s="202"/>
      <c r="T1278" s="203"/>
      <c r="U1278" s="153"/>
      <c r="V1278" s="153"/>
      <c r="W1278" s="153"/>
      <c r="X1278" s="153"/>
      <c r="Y1278" s="153"/>
      <c r="Z1278" s="153"/>
    </row>
    <row r="1279" spans="1:26">
      <c r="A1279" s="769"/>
      <c r="B1279" s="200"/>
      <c r="C1279" s="200"/>
      <c r="D1279" s="200"/>
      <c r="E1279" s="200"/>
      <c r="F1279" s="200"/>
      <c r="G1279" s="200"/>
      <c r="H1279" s="200"/>
      <c r="I1279" s="201"/>
      <c r="J1279" s="201"/>
      <c r="K1279" s="201"/>
      <c r="L1279" s="192"/>
      <c r="M1279" s="202"/>
      <c r="N1279" s="200"/>
      <c r="O1279" s="192"/>
      <c r="P1279" s="192"/>
      <c r="Q1279" s="192"/>
      <c r="R1279" s="192"/>
      <c r="S1279" s="202"/>
      <c r="T1279" s="203"/>
      <c r="U1279" s="153"/>
      <c r="V1279" s="153"/>
      <c r="W1279" s="153"/>
      <c r="X1279" s="153"/>
      <c r="Y1279" s="153"/>
      <c r="Z1279" s="153"/>
    </row>
    <row r="1280" spans="1:26">
      <c r="A1280" s="769"/>
      <c r="B1280" s="200"/>
      <c r="C1280" s="200"/>
      <c r="D1280" s="200"/>
      <c r="E1280" s="200"/>
      <c r="F1280" s="200"/>
      <c r="G1280" s="200"/>
      <c r="H1280" s="200"/>
      <c r="I1280" s="201"/>
      <c r="J1280" s="201"/>
      <c r="K1280" s="201"/>
      <c r="L1280" s="192"/>
      <c r="M1280" s="202"/>
      <c r="N1280" s="200"/>
      <c r="O1280" s="192"/>
      <c r="P1280" s="192"/>
      <c r="Q1280" s="192"/>
      <c r="R1280" s="192"/>
      <c r="S1280" s="202"/>
      <c r="T1280" s="203"/>
      <c r="U1280" s="153"/>
      <c r="V1280" s="153"/>
      <c r="W1280" s="153"/>
      <c r="X1280" s="153"/>
      <c r="Y1280" s="153"/>
      <c r="Z1280" s="153"/>
    </row>
    <row r="1281" spans="1:26">
      <c r="A1281" s="676"/>
      <c r="B1281" s="200"/>
      <c r="C1281" s="200"/>
      <c r="D1281" s="200"/>
      <c r="E1281" s="200"/>
      <c r="F1281" s="200"/>
      <c r="G1281" s="200"/>
      <c r="H1281" s="200"/>
      <c r="I1281" s="201"/>
      <c r="J1281" s="201"/>
      <c r="K1281" s="201"/>
      <c r="L1281" s="192"/>
      <c r="M1281" s="204"/>
      <c r="N1281" s="200"/>
      <c r="O1281" s="192"/>
      <c r="P1281" s="192"/>
      <c r="Q1281" s="192"/>
      <c r="R1281" s="192"/>
      <c r="S1281" s="204"/>
      <c r="T1281" s="203"/>
      <c r="U1281" s="153"/>
      <c r="V1281" s="153"/>
      <c r="W1281" s="153"/>
      <c r="X1281" s="153"/>
      <c r="Y1281" s="153"/>
      <c r="Z1281" s="153"/>
    </row>
    <row r="1282" spans="1:26">
      <c r="A1282" s="769"/>
      <c r="B1282" s="200"/>
      <c r="C1282" s="200"/>
      <c r="D1282" s="200"/>
      <c r="E1282" s="200"/>
      <c r="F1282" s="200"/>
      <c r="G1282" s="200"/>
      <c r="H1282" s="200"/>
      <c r="I1282" s="201"/>
      <c r="J1282" s="201"/>
      <c r="K1282" s="201"/>
      <c r="L1282" s="192"/>
      <c r="M1282" s="204"/>
      <c r="N1282" s="200"/>
      <c r="O1282" s="192"/>
      <c r="P1282" s="192"/>
      <c r="Q1282" s="192"/>
      <c r="R1282" s="192"/>
      <c r="S1282" s="204"/>
      <c r="T1282" s="203"/>
      <c r="U1282" s="153"/>
      <c r="V1282" s="153"/>
      <c r="W1282" s="153"/>
      <c r="X1282" s="153"/>
      <c r="Y1282" s="153"/>
      <c r="Z1282" s="153"/>
    </row>
    <row r="1283" spans="1:26">
      <c r="A1283" s="676"/>
      <c r="B1283" s="200"/>
      <c r="C1283" s="200"/>
      <c r="D1283" s="200"/>
      <c r="E1283" s="200"/>
      <c r="F1283" s="200"/>
      <c r="G1283" s="200"/>
      <c r="H1283" s="200"/>
      <c r="I1283" s="201"/>
      <c r="J1283" s="201"/>
      <c r="K1283" s="201"/>
      <c r="L1283" s="192"/>
      <c r="M1283" s="202"/>
      <c r="N1283" s="200"/>
      <c r="O1283" s="192"/>
      <c r="P1283" s="192"/>
      <c r="Q1283" s="192"/>
      <c r="R1283" s="192"/>
      <c r="S1283" s="202"/>
      <c r="T1283" s="203"/>
      <c r="U1283" s="153"/>
      <c r="V1283" s="153"/>
      <c r="W1283" s="153"/>
      <c r="X1283" s="153"/>
      <c r="Y1283" s="153"/>
      <c r="Z1283" s="153"/>
    </row>
    <row r="1284" spans="1:26">
      <c r="A1284" s="769"/>
      <c r="B1284" s="200"/>
      <c r="C1284" s="200"/>
      <c r="D1284" s="200"/>
      <c r="E1284" s="200"/>
      <c r="F1284" s="200"/>
      <c r="G1284" s="200"/>
      <c r="H1284" s="200"/>
      <c r="I1284" s="201"/>
      <c r="J1284" s="201"/>
      <c r="K1284" s="201"/>
      <c r="L1284" s="192"/>
      <c r="M1284" s="202"/>
      <c r="N1284" s="200"/>
      <c r="O1284" s="192"/>
      <c r="P1284" s="192"/>
      <c r="Q1284" s="192"/>
      <c r="R1284" s="192"/>
      <c r="S1284" s="202"/>
      <c r="T1284" s="203"/>
      <c r="U1284" s="153"/>
      <c r="V1284" s="153"/>
      <c r="W1284" s="153"/>
      <c r="X1284" s="153"/>
      <c r="Y1284" s="153"/>
      <c r="Z1284" s="153"/>
    </row>
    <row r="1285" spans="1:26">
      <c r="A1285" s="676"/>
      <c r="B1285" s="200"/>
      <c r="C1285" s="200"/>
      <c r="D1285" s="200"/>
      <c r="E1285" s="200"/>
      <c r="F1285" s="200"/>
      <c r="G1285" s="200"/>
      <c r="H1285" s="200"/>
      <c r="I1285" s="201"/>
      <c r="J1285" s="201"/>
      <c r="K1285" s="201"/>
      <c r="L1285" s="192"/>
      <c r="M1285" s="204"/>
      <c r="N1285" s="200"/>
      <c r="O1285" s="192"/>
      <c r="P1285" s="192"/>
      <c r="Q1285" s="192"/>
      <c r="R1285" s="192"/>
      <c r="S1285" s="204"/>
      <c r="T1285" s="203"/>
      <c r="U1285" s="153"/>
      <c r="V1285" s="153"/>
      <c r="W1285" s="153"/>
      <c r="X1285" s="153"/>
      <c r="Y1285" s="153"/>
      <c r="Z1285" s="153"/>
    </row>
    <row r="1286" spans="1:26">
      <c r="A1286" s="769"/>
      <c r="B1286" s="200"/>
      <c r="C1286" s="200"/>
      <c r="D1286" s="200"/>
      <c r="E1286" s="200"/>
      <c r="F1286" s="200"/>
      <c r="G1286" s="200"/>
      <c r="H1286" s="200"/>
      <c r="I1286" s="201"/>
      <c r="J1286" s="201"/>
      <c r="K1286" s="201"/>
      <c r="L1286" s="192"/>
      <c r="M1286" s="204"/>
      <c r="N1286" s="200"/>
      <c r="O1286" s="192"/>
      <c r="P1286" s="192"/>
      <c r="Q1286" s="192"/>
      <c r="R1286" s="192"/>
      <c r="S1286" s="204"/>
      <c r="T1286" s="203"/>
      <c r="U1286" s="153"/>
      <c r="V1286" s="153"/>
      <c r="W1286" s="153"/>
      <c r="X1286" s="153"/>
      <c r="Y1286" s="153"/>
      <c r="Z1286" s="153"/>
    </row>
    <row r="1287" spans="1:26">
      <c r="A1287" s="769"/>
      <c r="B1287" s="200"/>
      <c r="C1287" s="200"/>
      <c r="D1287" s="200"/>
      <c r="E1287" s="200"/>
      <c r="F1287" s="200"/>
      <c r="G1287" s="200"/>
      <c r="H1287" s="200"/>
      <c r="I1287" s="201"/>
      <c r="J1287" s="201"/>
      <c r="K1287" s="201"/>
      <c r="L1287" s="192"/>
      <c r="M1287" s="204"/>
      <c r="N1287" s="200"/>
      <c r="O1287" s="192"/>
      <c r="P1287" s="192"/>
      <c r="Q1287" s="192"/>
      <c r="R1287" s="192"/>
      <c r="S1287" s="204"/>
      <c r="T1287" s="203"/>
      <c r="U1287" s="153"/>
      <c r="V1287" s="153"/>
      <c r="W1287" s="153"/>
      <c r="X1287" s="153"/>
      <c r="Y1287" s="153"/>
      <c r="Z1287" s="153"/>
    </row>
    <row r="1288" spans="1:26">
      <c r="A1288" s="769"/>
      <c r="B1288" s="200"/>
      <c r="C1288" s="200"/>
      <c r="D1288" s="200"/>
      <c r="E1288" s="200"/>
      <c r="F1288" s="200"/>
      <c r="G1288" s="200"/>
      <c r="H1288" s="200"/>
      <c r="I1288" s="201"/>
      <c r="J1288" s="201"/>
      <c r="K1288" s="201"/>
      <c r="L1288" s="192"/>
      <c r="M1288" s="204"/>
      <c r="N1288" s="200"/>
      <c r="O1288" s="192"/>
      <c r="P1288" s="192"/>
      <c r="Q1288" s="192"/>
      <c r="R1288" s="192"/>
      <c r="S1288" s="204"/>
      <c r="T1288" s="203"/>
      <c r="U1288" s="153"/>
      <c r="V1288" s="153"/>
      <c r="W1288" s="153"/>
      <c r="X1288" s="153"/>
      <c r="Y1288" s="153"/>
      <c r="Z1288" s="153"/>
    </row>
    <row r="1289" spans="1:26">
      <c r="A1289" s="769"/>
      <c r="B1289" s="200"/>
      <c r="C1289" s="200"/>
      <c r="D1289" s="200"/>
      <c r="E1289" s="200"/>
      <c r="F1289" s="200"/>
      <c r="G1289" s="200"/>
      <c r="H1289" s="200"/>
      <c r="I1289" s="201"/>
      <c r="J1289" s="201"/>
      <c r="K1289" s="201"/>
      <c r="L1289" s="192"/>
      <c r="M1289" s="204"/>
      <c r="N1289" s="200"/>
      <c r="O1289" s="192"/>
      <c r="P1289" s="192"/>
      <c r="Q1289" s="192"/>
      <c r="R1289" s="192"/>
      <c r="S1289" s="204"/>
      <c r="T1289" s="203"/>
      <c r="U1289" s="153"/>
      <c r="V1289" s="153"/>
      <c r="W1289" s="153"/>
      <c r="X1289" s="153"/>
      <c r="Y1289" s="153"/>
      <c r="Z1289" s="153"/>
    </row>
    <row r="1290" spans="1:26">
      <c r="A1290" s="769"/>
      <c r="B1290" s="200"/>
      <c r="C1290" s="200"/>
      <c r="D1290" s="200"/>
      <c r="E1290" s="200"/>
      <c r="F1290" s="200"/>
      <c r="G1290" s="200"/>
      <c r="H1290" s="200"/>
      <c r="I1290" s="201"/>
      <c r="J1290" s="201"/>
      <c r="K1290" s="201"/>
      <c r="L1290" s="192"/>
      <c r="M1290" s="204"/>
      <c r="N1290" s="200"/>
      <c r="O1290" s="192"/>
      <c r="P1290" s="192"/>
      <c r="Q1290" s="192"/>
      <c r="R1290" s="192"/>
      <c r="S1290" s="204"/>
      <c r="T1290" s="203"/>
      <c r="U1290" s="153"/>
      <c r="V1290" s="153"/>
      <c r="W1290" s="153"/>
      <c r="X1290" s="153"/>
      <c r="Y1290" s="153"/>
      <c r="Z1290" s="153"/>
    </row>
    <row r="1291" spans="1:26">
      <c r="A1291" s="769"/>
      <c r="B1291" s="200"/>
      <c r="C1291" s="200"/>
      <c r="D1291" s="200"/>
      <c r="E1291" s="200"/>
      <c r="F1291" s="200"/>
      <c r="G1291" s="200"/>
      <c r="H1291" s="200"/>
      <c r="I1291" s="201"/>
      <c r="J1291" s="201"/>
      <c r="K1291" s="201"/>
      <c r="L1291" s="192"/>
      <c r="M1291" s="204"/>
      <c r="N1291" s="200"/>
      <c r="O1291" s="192"/>
      <c r="P1291" s="192"/>
      <c r="Q1291" s="192"/>
      <c r="R1291" s="192"/>
      <c r="S1291" s="204"/>
      <c r="T1291" s="203"/>
      <c r="U1291" s="153"/>
      <c r="V1291" s="153"/>
      <c r="W1291" s="153"/>
      <c r="X1291" s="153"/>
      <c r="Y1291" s="153"/>
      <c r="Z1291" s="153"/>
    </row>
    <row r="1292" spans="1:26">
      <c r="A1292" s="676"/>
      <c r="B1292" s="200"/>
      <c r="C1292" s="200"/>
      <c r="D1292" s="200"/>
      <c r="E1292" s="200"/>
      <c r="F1292" s="200"/>
      <c r="G1292" s="200"/>
      <c r="H1292" s="200"/>
      <c r="I1292" s="201"/>
      <c r="J1292" s="201"/>
      <c r="K1292" s="201"/>
      <c r="L1292" s="192"/>
      <c r="M1292" s="202"/>
      <c r="N1292" s="200"/>
      <c r="O1292" s="192"/>
      <c r="P1292" s="192"/>
      <c r="Q1292" s="192"/>
      <c r="R1292" s="192"/>
      <c r="S1292" s="202"/>
      <c r="T1292" s="203"/>
      <c r="U1292" s="153"/>
      <c r="V1292" s="153"/>
      <c r="W1292" s="153"/>
      <c r="X1292" s="153"/>
      <c r="Y1292" s="153"/>
      <c r="Z1292" s="153"/>
    </row>
    <row r="1293" spans="1:26">
      <c r="A1293" s="769"/>
      <c r="B1293" s="200"/>
      <c r="C1293" s="200"/>
      <c r="D1293" s="200"/>
      <c r="E1293" s="200"/>
      <c r="F1293" s="200"/>
      <c r="G1293" s="200"/>
      <c r="H1293" s="200"/>
      <c r="I1293" s="201"/>
      <c r="J1293" s="201"/>
      <c r="K1293" s="201"/>
      <c r="L1293" s="192"/>
      <c r="M1293" s="202"/>
      <c r="N1293" s="200"/>
      <c r="O1293" s="192"/>
      <c r="P1293" s="192"/>
      <c r="Q1293" s="192"/>
      <c r="R1293" s="192"/>
      <c r="S1293" s="202"/>
      <c r="T1293" s="203"/>
      <c r="U1293" s="153"/>
      <c r="V1293" s="153"/>
      <c r="W1293" s="153"/>
      <c r="X1293" s="153"/>
      <c r="Y1293" s="153"/>
      <c r="Z1293" s="153"/>
    </row>
    <row r="1294" spans="1:26">
      <c r="A1294" s="769"/>
      <c r="B1294" s="200"/>
      <c r="C1294" s="200"/>
      <c r="D1294" s="200"/>
      <c r="E1294" s="200"/>
      <c r="F1294" s="200"/>
      <c r="G1294" s="200"/>
      <c r="H1294" s="200"/>
      <c r="I1294" s="201"/>
      <c r="J1294" s="201"/>
      <c r="K1294" s="201"/>
      <c r="L1294" s="192"/>
      <c r="M1294" s="202"/>
      <c r="N1294" s="200"/>
      <c r="O1294" s="192"/>
      <c r="P1294" s="192"/>
      <c r="Q1294" s="192"/>
      <c r="R1294" s="192"/>
      <c r="S1294" s="202"/>
      <c r="T1294" s="203"/>
      <c r="U1294" s="153"/>
      <c r="V1294" s="153"/>
      <c r="W1294" s="153"/>
      <c r="X1294" s="153"/>
      <c r="Y1294" s="153"/>
      <c r="Z1294" s="153"/>
    </row>
    <row r="1295" spans="1:26">
      <c r="A1295" s="769"/>
      <c r="B1295" s="200"/>
      <c r="C1295" s="200"/>
      <c r="D1295" s="200"/>
      <c r="E1295" s="200"/>
      <c r="F1295" s="200"/>
      <c r="G1295" s="200"/>
      <c r="H1295" s="200"/>
      <c r="I1295" s="201"/>
      <c r="J1295" s="201"/>
      <c r="K1295" s="201"/>
      <c r="L1295" s="192"/>
      <c r="M1295" s="202"/>
      <c r="N1295" s="200"/>
      <c r="O1295" s="192"/>
      <c r="P1295" s="192"/>
      <c r="Q1295" s="192"/>
      <c r="R1295" s="192"/>
      <c r="S1295" s="202"/>
      <c r="T1295" s="203"/>
      <c r="U1295" s="153"/>
      <c r="V1295" s="153"/>
      <c r="W1295" s="153"/>
      <c r="X1295" s="153"/>
      <c r="Y1295" s="153"/>
      <c r="Z1295" s="153"/>
    </row>
    <row r="1296" spans="1:26">
      <c r="A1296" s="769"/>
      <c r="B1296" s="200"/>
      <c r="C1296" s="200"/>
      <c r="D1296" s="200"/>
      <c r="E1296" s="200"/>
      <c r="F1296" s="200"/>
      <c r="G1296" s="200"/>
      <c r="H1296" s="200"/>
      <c r="I1296" s="201"/>
      <c r="J1296" s="201"/>
      <c r="K1296" s="201"/>
      <c r="L1296" s="192"/>
      <c r="M1296" s="202"/>
      <c r="N1296" s="200"/>
      <c r="O1296" s="192"/>
      <c r="P1296" s="192"/>
      <c r="Q1296" s="192"/>
      <c r="R1296" s="192"/>
      <c r="S1296" s="202"/>
      <c r="T1296" s="203"/>
      <c r="U1296" s="153"/>
      <c r="V1296" s="153"/>
      <c r="W1296" s="153"/>
      <c r="X1296" s="153"/>
      <c r="Y1296" s="153"/>
      <c r="Z1296" s="153"/>
    </row>
    <row r="1297" spans="1:26">
      <c r="A1297" s="769"/>
      <c r="B1297" s="200"/>
      <c r="C1297" s="200"/>
      <c r="D1297" s="200"/>
      <c r="E1297" s="200"/>
      <c r="F1297" s="200"/>
      <c r="G1297" s="200"/>
      <c r="H1297" s="200"/>
      <c r="I1297" s="201"/>
      <c r="J1297" s="201"/>
      <c r="K1297" s="201"/>
      <c r="L1297" s="192"/>
      <c r="M1297" s="202"/>
      <c r="N1297" s="200"/>
      <c r="O1297" s="192"/>
      <c r="P1297" s="192"/>
      <c r="Q1297" s="192"/>
      <c r="R1297" s="192"/>
      <c r="S1297" s="202"/>
      <c r="T1297" s="203"/>
      <c r="U1297" s="153"/>
      <c r="V1297" s="153"/>
      <c r="W1297" s="153"/>
      <c r="X1297" s="153"/>
      <c r="Y1297" s="153"/>
      <c r="Z1297" s="153"/>
    </row>
    <row r="1298" spans="1:26">
      <c r="A1298" s="769"/>
      <c r="B1298" s="200"/>
      <c r="C1298" s="200"/>
      <c r="D1298" s="200"/>
      <c r="E1298" s="200"/>
      <c r="F1298" s="200"/>
      <c r="G1298" s="200"/>
      <c r="H1298" s="200"/>
      <c r="I1298" s="201"/>
      <c r="J1298" s="201"/>
      <c r="K1298" s="201"/>
      <c r="L1298" s="192"/>
      <c r="M1298" s="202"/>
      <c r="N1298" s="200"/>
      <c r="O1298" s="192"/>
      <c r="P1298" s="192"/>
      <c r="Q1298" s="192"/>
      <c r="R1298" s="192"/>
      <c r="S1298" s="202"/>
      <c r="T1298" s="203"/>
      <c r="U1298" s="153"/>
      <c r="V1298" s="153"/>
      <c r="W1298" s="153"/>
      <c r="X1298" s="153"/>
      <c r="Y1298" s="153"/>
      <c r="Z1298" s="153"/>
    </row>
    <row r="1299" spans="1:26">
      <c r="A1299" s="676"/>
      <c r="B1299" s="200"/>
      <c r="C1299" s="200"/>
      <c r="D1299" s="200"/>
      <c r="E1299" s="200"/>
      <c r="F1299" s="200"/>
      <c r="G1299" s="200"/>
      <c r="H1299" s="200"/>
      <c r="I1299" s="201"/>
      <c r="J1299" s="201"/>
      <c r="K1299" s="201"/>
      <c r="L1299" s="192"/>
      <c r="M1299" s="204"/>
      <c r="N1299" s="200"/>
      <c r="O1299" s="192"/>
      <c r="P1299" s="192"/>
      <c r="Q1299" s="192"/>
      <c r="R1299" s="192"/>
      <c r="S1299" s="204"/>
      <c r="T1299" s="203"/>
      <c r="U1299" s="153"/>
      <c r="V1299" s="153"/>
      <c r="W1299" s="153"/>
      <c r="X1299" s="153"/>
      <c r="Y1299" s="153"/>
      <c r="Z1299" s="153"/>
    </row>
    <row r="1300" spans="1:26">
      <c r="A1300" s="769"/>
      <c r="B1300" s="200"/>
      <c r="C1300" s="200"/>
      <c r="D1300" s="200"/>
      <c r="E1300" s="200"/>
      <c r="F1300" s="200"/>
      <c r="G1300" s="200"/>
      <c r="H1300" s="200"/>
      <c r="I1300" s="201"/>
      <c r="J1300" s="201"/>
      <c r="K1300" s="201"/>
      <c r="L1300" s="192"/>
      <c r="M1300" s="204"/>
      <c r="N1300" s="200"/>
      <c r="O1300" s="192"/>
      <c r="P1300" s="192"/>
      <c r="Q1300" s="192"/>
      <c r="R1300" s="192"/>
      <c r="S1300" s="204"/>
      <c r="T1300" s="203"/>
      <c r="U1300" s="153"/>
      <c r="V1300" s="153"/>
      <c r="W1300" s="153"/>
      <c r="X1300" s="153"/>
      <c r="Y1300" s="153"/>
      <c r="Z1300" s="153"/>
    </row>
    <row r="1301" spans="1:26">
      <c r="A1301" s="769"/>
      <c r="B1301" s="200"/>
      <c r="C1301" s="200"/>
      <c r="D1301" s="200"/>
      <c r="E1301" s="200"/>
      <c r="F1301" s="200"/>
      <c r="G1301" s="200"/>
      <c r="H1301" s="200"/>
      <c r="I1301" s="201"/>
      <c r="J1301" s="201"/>
      <c r="K1301" s="201"/>
      <c r="L1301" s="192"/>
      <c r="M1301" s="204"/>
      <c r="N1301" s="200"/>
      <c r="O1301" s="192"/>
      <c r="P1301" s="192"/>
      <c r="Q1301" s="192"/>
      <c r="R1301" s="192"/>
      <c r="S1301" s="204"/>
      <c r="T1301" s="203"/>
      <c r="U1301" s="153"/>
      <c r="V1301" s="153"/>
      <c r="W1301" s="153"/>
      <c r="X1301" s="153"/>
      <c r="Y1301" s="153"/>
      <c r="Z1301" s="153"/>
    </row>
    <row r="1302" spans="1:26">
      <c r="A1302" s="769"/>
      <c r="B1302" s="200"/>
      <c r="C1302" s="200"/>
      <c r="D1302" s="200"/>
      <c r="E1302" s="200"/>
      <c r="F1302" s="200"/>
      <c r="G1302" s="200"/>
      <c r="H1302" s="200"/>
      <c r="I1302" s="201"/>
      <c r="J1302" s="201"/>
      <c r="K1302" s="201"/>
      <c r="L1302" s="192"/>
      <c r="M1302" s="204"/>
      <c r="N1302" s="200"/>
      <c r="O1302" s="192"/>
      <c r="P1302" s="192"/>
      <c r="Q1302" s="192"/>
      <c r="R1302" s="192"/>
      <c r="S1302" s="204"/>
      <c r="T1302" s="203"/>
      <c r="U1302" s="153"/>
      <c r="V1302" s="153"/>
      <c r="W1302" s="153"/>
      <c r="X1302" s="153"/>
      <c r="Y1302" s="153"/>
      <c r="Z1302" s="153"/>
    </row>
    <row r="1303" spans="1:26">
      <c r="A1303" s="676"/>
      <c r="B1303" s="200"/>
      <c r="C1303" s="200"/>
      <c r="D1303" s="200"/>
      <c r="E1303" s="200"/>
      <c r="F1303" s="200"/>
      <c r="G1303" s="200"/>
      <c r="H1303" s="200"/>
      <c r="I1303" s="201"/>
      <c r="J1303" s="201"/>
      <c r="K1303" s="201"/>
      <c r="L1303" s="192"/>
      <c r="M1303" s="202"/>
      <c r="N1303" s="200"/>
      <c r="O1303" s="192"/>
      <c r="P1303" s="192"/>
      <c r="Q1303" s="192"/>
      <c r="R1303" s="192"/>
      <c r="S1303" s="202"/>
      <c r="T1303" s="203"/>
      <c r="U1303" s="153"/>
      <c r="V1303" s="153"/>
      <c r="W1303" s="153"/>
      <c r="X1303" s="153"/>
      <c r="Y1303" s="153"/>
      <c r="Z1303" s="153"/>
    </row>
    <row r="1304" spans="1:26">
      <c r="A1304" s="769"/>
      <c r="B1304" s="200"/>
      <c r="C1304" s="200"/>
      <c r="D1304" s="200"/>
      <c r="E1304" s="200"/>
      <c r="F1304" s="200"/>
      <c r="G1304" s="200"/>
      <c r="H1304" s="200"/>
      <c r="I1304" s="201"/>
      <c r="J1304" s="201"/>
      <c r="K1304" s="201"/>
      <c r="L1304" s="192"/>
      <c r="M1304" s="202"/>
      <c r="N1304" s="200"/>
      <c r="O1304" s="192"/>
      <c r="P1304" s="192"/>
      <c r="Q1304" s="192"/>
      <c r="R1304" s="192"/>
      <c r="S1304" s="202"/>
      <c r="T1304" s="203"/>
      <c r="U1304" s="153"/>
      <c r="V1304" s="153"/>
      <c r="W1304" s="153"/>
      <c r="X1304" s="153"/>
      <c r="Y1304" s="153"/>
      <c r="Z1304" s="153"/>
    </row>
    <row r="1305" spans="1:26">
      <c r="A1305" s="769"/>
      <c r="B1305" s="200"/>
      <c r="C1305" s="200"/>
      <c r="D1305" s="200"/>
      <c r="E1305" s="200"/>
      <c r="F1305" s="200"/>
      <c r="G1305" s="200"/>
      <c r="H1305" s="200"/>
      <c r="I1305" s="201"/>
      <c r="J1305" s="201"/>
      <c r="K1305" s="201"/>
      <c r="L1305" s="192"/>
      <c r="M1305" s="202"/>
      <c r="N1305" s="200"/>
      <c r="O1305" s="192"/>
      <c r="P1305" s="192"/>
      <c r="Q1305" s="192"/>
      <c r="R1305" s="192"/>
      <c r="S1305" s="202"/>
      <c r="T1305" s="203"/>
      <c r="U1305" s="153"/>
      <c r="V1305" s="153"/>
      <c r="W1305" s="153"/>
      <c r="X1305" s="153"/>
      <c r="Y1305" s="153"/>
      <c r="Z1305" s="153"/>
    </row>
    <row r="1306" spans="1:26">
      <c r="A1306" s="769"/>
      <c r="B1306" s="200"/>
      <c r="C1306" s="200"/>
      <c r="D1306" s="200"/>
      <c r="E1306" s="200"/>
      <c r="F1306" s="200"/>
      <c r="G1306" s="200"/>
      <c r="H1306" s="200"/>
      <c r="I1306" s="201"/>
      <c r="J1306" s="201"/>
      <c r="K1306" s="201"/>
      <c r="L1306" s="192"/>
      <c r="M1306" s="202"/>
      <c r="N1306" s="200"/>
      <c r="O1306" s="192"/>
      <c r="P1306" s="192"/>
      <c r="Q1306" s="192"/>
      <c r="R1306" s="192"/>
      <c r="S1306" s="202"/>
      <c r="T1306" s="203"/>
      <c r="U1306" s="153"/>
      <c r="V1306" s="153"/>
      <c r="W1306" s="153"/>
      <c r="X1306" s="153"/>
      <c r="Y1306" s="153"/>
      <c r="Z1306" s="153"/>
    </row>
    <row r="1307" spans="1:26">
      <c r="A1307" s="676"/>
      <c r="B1307" s="200"/>
      <c r="C1307" s="200"/>
      <c r="D1307" s="200"/>
      <c r="E1307" s="200"/>
      <c r="F1307" s="200"/>
      <c r="G1307" s="200"/>
      <c r="H1307" s="200"/>
      <c r="I1307" s="201"/>
      <c r="J1307" s="201"/>
      <c r="K1307" s="201"/>
      <c r="L1307" s="192"/>
      <c r="M1307" s="204"/>
      <c r="N1307" s="200"/>
      <c r="O1307" s="192"/>
      <c r="P1307" s="192"/>
      <c r="Q1307" s="192"/>
      <c r="R1307" s="192"/>
      <c r="S1307" s="204"/>
      <c r="T1307" s="203"/>
      <c r="U1307" s="153"/>
      <c r="V1307" s="153"/>
      <c r="W1307" s="153"/>
      <c r="X1307" s="153"/>
      <c r="Y1307" s="153"/>
      <c r="Z1307" s="153"/>
    </row>
    <row r="1308" spans="1:26">
      <c r="A1308" s="769"/>
      <c r="B1308" s="200"/>
      <c r="C1308" s="200"/>
      <c r="D1308" s="200"/>
      <c r="E1308" s="200"/>
      <c r="F1308" s="200"/>
      <c r="G1308" s="200"/>
      <c r="H1308" s="200"/>
      <c r="I1308" s="201"/>
      <c r="J1308" s="201"/>
      <c r="K1308" s="201"/>
      <c r="L1308" s="192"/>
      <c r="M1308" s="204"/>
      <c r="N1308" s="200"/>
      <c r="O1308" s="192"/>
      <c r="P1308" s="192"/>
      <c r="Q1308" s="192"/>
      <c r="R1308" s="192"/>
      <c r="S1308" s="204"/>
      <c r="T1308" s="203"/>
      <c r="U1308" s="153"/>
      <c r="V1308" s="153"/>
      <c r="W1308" s="153"/>
      <c r="X1308" s="153"/>
      <c r="Y1308" s="153"/>
      <c r="Z1308" s="153"/>
    </row>
    <row r="1309" spans="1:26">
      <c r="A1309" s="676"/>
      <c r="B1309" s="200"/>
      <c r="C1309" s="200"/>
      <c r="D1309" s="200"/>
      <c r="E1309" s="200"/>
      <c r="F1309" s="200"/>
      <c r="G1309" s="200"/>
      <c r="H1309" s="200"/>
      <c r="I1309" s="201"/>
      <c r="J1309" s="201"/>
      <c r="K1309" s="201"/>
      <c r="L1309" s="192"/>
      <c r="M1309" s="202"/>
      <c r="N1309" s="200"/>
      <c r="O1309" s="192"/>
      <c r="P1309" s="192"/>
      <c r="Q1309" s="192"/>
      <c r="R1309" s="192"/>
      <c r="S1309" s="202"/>
      <c r="T1309" s="203"/>
      <c r="U1309" s="153"/>
      <c r="V1309" s="153"/>
      <c r="W1309" s="153"/>
      <c r="X1309" s="153"/>
      <c r="Y1309" s="153"/>
      <c r="Z1309" s="153"/>
    </row>
    <row r="1310" spans="1:26">
      <c r="A1310" s="769"/>
      <c r="B1310" s="200"/>
      <c r="C1310" s="200"/>
      <c r="D1310" s="200"/>
      <c r="E1310" s="200"/>
      <c r="F1310" s="200"/>
      <c r="G1310" s="200"/>
      <c r="H1310" s="200"/>
      <c r="I1310" s="201"/>
      <c r="J1310" s="201"/>
      <c r="K1310" s="201"/>
      <c r="L1310" s="192"/>
      <c r="M1310" s="202"/>
      <c r="N1310" s="200"/>
      <c r="O1310" s="192"/>
      <c r="P1310" s="192"/>
      <c r="Q1310" s="192"/>
      <c r="R1310" s="192"/>
      <c r="S1310" s="202"/>
      <c r="T1310" s="203"/>
      <c r="U1310" s="153"/>
      <c r="V1310" s="153"/>
      <c r="W1310" s="153"/>
      <c r="X1310" s="153"/>
      <c r="Y1310" s="153"/>
      <c r="Z1310" s="153"/>
    </row>
    <row r="1311" spans="1:26">
      <c r="A1311" s="200"/>
      <c r="B1311" s="200"/>
      <c r="C1311" s="200"/>
      <c r="D1311" s="200"/>
      <c r="E1311" s="200"/>
      <c r="F1311" s="200"/>
      <c r="G1311" s="200"/>
      <c r="H1311" s="200"/>
      <c r="I1311" s="201"/>
      <c r="J1311" s="201"/>
      <c r="K1311" s="201"/>
      <c r="L1311" s="192"/>
      <c r="M1311" s="204"/>
      <c r="N1311" s="200"/>
      <c r="O1311" s="192"/>
      <c r="P1311" s="192"/>
      <c r="Q1311" s="192"/>
      <c r="R1311" s="192"/>
      <c r="S1311" s="204"/>
      <c r="T1311" s="203"/>
      <c r="U1311" s="153"/>
      <c r="V1311" s="153"/>
      <c r="W1311" s="153"/>
      <c r="X1311" s="153"/>
      <c r="Y1311" s="153"/>
      <c r="Z1311" s="153"/>
    </row>
    <row r="1312" spans="1:26">
      <c r="A1312" s="200"/>
      <c r="B1312" s="200"/>
      <c r="C1312" s="200"/>
      <c r="D1312" s="200"/>
      <c r="E1312" s="200"/>
      <c r="F1312" s="200"/>
      <c r="G1312" s="200"/>
      <c r="H1312" s="200"/>
      <c r="I1312" s="201"/>
      <c r="J1312" s="201"/>
      <c r="K1312" s="201"/>
      <c r="L1312" s="192"/>
      <c r="M1312" s="202"/>
      <c r="N1312" s="200"/>
      <c r="O1312" s="192"/>
      <c r="P1312" s="192"/>
      <c r="Q1312" s="192"/>
      <c r="R1312" s="192"/>
      <c r="S1312" s="202"/>
      <c r="T1312" s="203"/>
      <c r="U1312" s="153"/>
      <c r="V1312" s="153"/>
      <c r="W1312" s="153"/>
      <c r="X1312" s="153"/>
      <c r="Y1312" s="153"/>
      <c r="Z1312" s="153"/>
    </row>
    <row r="1313" spans="1:26">
      <c r="A1313" s="676"/>
      <c r="B1313" s="200"/>
      <c r="C1313" s="200"/>
      <c r="D1313" s="200"/>
      <c r="E1313" s="200"/>
      <c r="F1313" s="200"/>
      <c r="G1313" s="200"/>
      <c r="H1313" s="200"/>
      <c r="I1313" s="201"/>
      <c r="J1313" s="201"/>
      <c r="K1313" s="201"/>
      <c r="L1313" s="192"/>
      <c r="M1313" s="204"/>
      <c r="N1313" s="200"/>
      <c r="O1313" s="192"/>
      <c r="P1313" s="192"/>
      <c r="Q1313" s="192"/>
      <c r="R1313" s="192"/>
      <c r="S1313" s="204"/>
      <c r="T1313" s="203"/>
      <c r="U1313" s="153"/>
      <c r="V1313" s="153"/>
      <c r="W1313" s="153"/>
      <c r="X1313" s="153"/>
      <c r="Y1313" s="153"/>
      <c r="Z1313" s="153"/>
    </row>
    <row r="1314" spans="1:26">
      <c r="A1314" s="769"/>
      <c r="B1314" s="200"/>
      <c r="C1314" s="200"/>
      <c r="D1314" s="200"/>
      <c r="E1314" s="200"/>
      <c r="F1314" s="200"/>
      <c r="G1314" s="200"/>
      <c r="H1314" s="200"/>
      <c r="I1314" s="201"/>
      <c r="J1314" s="201"/>
      <c r="K1314" s="201"/>
      <c r="L1314" s="192"/>
      <c r="M1314" s="204"/>
      <c r="N1314" s="200"/>
      <c r="O1314" s="192"/>
      <c r="P1314" s="192"/>
      <c r="Q1314" s="192"/>
      <c r="R1314" s="192"/>
      <c r="S1314" s="204"/>
      <c r="T1314" s="203"/>
      <c r="U1314" s="153"/>
      <c r="V1314" s="153"/>
      <c r="W1314" s="153"/>
      <c r="X1314" s="153"/>
      <c r="Y1314" s="153"/>
      <c r="Z1314" s="153"/>
    </row>
    <row r="1315" spans="1:26">
      <c r="A1315" s="769"/>
      <c r="B1315" s="200"/>
      <c r="C1315" s="200"/>
      <c r="D1315" s="200"/>
      <c r="E1315" s="200"/>
      <c r="F1315" s="200"/>
      <c r="G1315" s="200"/>
      <c r="H1315" s="200"/>
      <c r="I1315" s="201"/>
      <c r="J1315" s="201"/>
      <c r="K1315" s="201"/>
      <c r="L1315" s="192"/>
      <c r="M1315" s="204"/>
      <c r="N1315" s="200"/>
      <c r="O1315" s="192"/>
      <c r="P1315" s="192"/>
      <c r="Q1315" s="192"/>
      <c r="R1315" s="192"/>
      <c r="S1315" s="204"/>
      <c r="T1315" s="203"/>
      <c r="U1315" s="153"/>
      <c r="V1315" s="153"/>
      <c r="W1315" s="153"/>
      <c r="X1315" s="153"/>
      <c r="Y1315" s="153"/>
      <c r="Z1315" s="153"/>
    </row>
    <row r="1316" spans="1:26">
      <c r="A1316" s="769"/>
      <c r="B1316" s="200"/>
      <c r="C1316" s="200"/>
      <c r="D1316" s="200"/>
      <c r="E1316" s="200"/>
      <c r="F1316" s="200"/>
      <c r="G1316" s="200"/>
      <c r="H1316" s="200"/>
      <c r="I1316" s="201"/>
      <c r="J1316" s="201"/>
      <c r="K1316" s="201"/>
      <c r="L1316" s="192"/>
      <c r="M1316" s="204"/>
      <c r="N1316" s="200"/>
      <c r="O1316" s="192"/>
      <c r="P1316" s="192"/>
      <c r="Q1316" s="192"/>
      <c r="R1316" s="192"/>
      <c r="S1316" s="204"/>
      <c r="T1316" s="203"/>
      <c r="U1316" s="153"/>
      <c r="V1316" s="153"/>
      <c r="W1316" s="153"/>
      <c r="X1316" s="153"/>
      <c r="Y1316" s="153"/>
      <c r="Z1316" s="153"/>
    </row>
    <row r="1317" spans="1:26">
      <c r="A1317" s="769"/>
      <c r="B1317" s="200"/>
      <c r="C1317" s="200"/>
      <c r="D1317" s="200"/>
      <c r="E1317" s="200"/>
      <c r="F1317" s="200"/>
      <c r="G1317" s="200"/>
      <c r="H1317" s="200"/>
      <c r="I1317" s="201"/>
      <c r="J1317" s="201"/>
      <c r="K1317" s="201"/>
      <c r="L1317" s="192"/>
      <c r="M1317" s="204"/>
      <c r="N1317" s="200"/>
      <c r="O1317" s="192"/>
      <c r="P1317" s="192"/>
      <c r="Q1317" s="192"/>
      <c r="R1317" s="192"/>
      <c r="S1317" s="204"/>
      <c r="T1317" s="203"/>
      <c r="U1317" s="153"/>
      <c r="V1317" s="153"/>
      <c r="W1317" s="153"/>
      <c r="X1317" s="153"/>
      <c r="Y1317" s="153"/>
      <c r="Z1317" s="153"/>
    </row>
    <row r="1318" spans="1:26">
      <c r="A1318" s="769"/>
      <c r="B1318" s="200"/>
      <c r="C1318" s="200"/>
      <c r="D1318" s="200"/>
      <c r="E1318" s="200"/>
      <c r="F1318" s="200"/>
      <c r="G1318" s="200"/>
      <c r="H1318" s="200"/>
      <c r="I1318" s="201"/>
      <c r="J1318" s="201"/>
      <c r="K1318" s="201"/>
      <c r="L1318" s="192"/>
      <c r="M1318" s="204"/>
      <c r="N1318" s="200"/>
      <c r="O1318" s="192"/>
      <c r="P1318" s="192"/>
      <c r="Q1318" s="192"/>
      <c r="R1318" s="192"/>
      <c r="S1318" s="204"/>
      <c r="T1318" s="203"/>
      <c r="U1318" s="153"/>
      <c r="V1318" s="153"/>
      <c r="W1318" s="153"/>
      <c r="X1318" s="153"/>
      <c r="Y1318" s="153"/>
      <c r="Z1318" s="153"/>
    </row>
    <row r="1319" spans="1:26">
      <c r="A1319" s="676"/>
      <c r="B1319" s="200"/>
      <c r="C1319" s="200"/>
      <c r="D1319" s="200"/>
      <c r="E1319" s="200"/>
      <c r="F1319" s="200"/>
      <c r="G1319" s="200"/>
      <c r="H1319" s="200"/>
      <c r="I1319" s="201"/>
      <c r="J1319" s="201"/>
      <c r="K1319" s="201"/>
      <c r="L1319" s="192"/>
      <c r="M1319" s="202"/>
      <c r="N1319" s="200"/>
      <c r="O1319" s="192"/>
      <c r="P1319" s="192"/>
      <c r="Q1319" s="192"/>
      <c r="R1319" s="192"/>
      <c r="S1319" s="202"/>
      <c r="T1319" s="203"/>
      <c r="U1319" s="153"/>
      <c r="V1319" s="153"/>
      <c r="W1319" s="153"/>
      <c r="X1319" s="153"/>
      <c r="Y1319" s="153"/>
      <c r="Z1319" s="153"/>
    </row>
    <row r="1320" spans="1:26">
      <c r="A1320" s="769"/>
      <c r="B1320" s="200"/>
      <c r="C1320" s="200"/>
      <c r="D1320" s="200"/>
      <c r="E1320" s="200"/>
      <c r="F1320" s="200"/>
      <c r="G1320" s="200"/>
      <c r="H1320" s="200"/>
      <c r="I1320" s="201"/>
      <c r="J1320" s="201"/>
      <c r="K1320" s="201"/>
      <c r="L1320" s="192"/>
      <c r="M1320" s="202"/>
      <c r="N1320" s="200"/>
      <c r="O1320" s="192"/>
      <c r="P1320" s="192"/>
      <c r="Q1320" s="192"/>
      <c r="R1320" s="192"/>
      <c r="S1320" s="202"/>
      <c r="T1320" s="203"/>
      <c r="U1320" s="153"/>
      <c r="V1320" s="153"/>
      <c r="W1320" s="153"/>
      <c r="X1320" s="153"/>
      <c r="Y1320" s="153"/>
      <c r="Z1320" s="153"/>
    </row>
    <row r="1321" spans="1:26">
      <c r="A1321" s="769"/>
      <c r="B1321" s="200"/>
      <c r="C1321" s="200"/>
      <c r="D1321" s="200"/>
      <c r="E1321" s="200"/>
      <c r="F1321" s="200"/>
      <c r="G1321" s="200"/>
      <c r="H1321" s="200"/>
      <c r="I1321" s="201"/>
      <c r="J1321" s="201"/>
      <c r="K1321" s="201"/>
      <c r="L1321" s="192"/>
      <c r="M1321" s="202"/>
      <c r="N1321" s="200"/>
      <c r="O1321" s="192"/>
      <c r="P1321" s="192"/>
      <c r="Q1321" s="192"/>
      <c r="R1321" s="192"/>
      <c r="S1321" s="202"/>
      <c r="T1321" s="203"/>
      <c r="U1321" s="153"/>
      <c r="V1321" s="153"/>
      <c r="W1321" s="153"/>
      <c r="X1321" s="153"/>
      <c r="Y1321" s="153"/>
      <c r="Z1321" s="153"/>
    </row>
    <row r="1322" spans="1:26">
      <c r="A1322" s="769"/>
      <c r="B1322" s="200"/>
      <c r="C1322" s="200"/>
      <c r="D1322" s="200"/>
      <c r="E1322" s="200"/>
      <c r="F1322" s="200"/>
      <c r="G1322" s="200"/>
      <c r="H1322" s="200"/>
      <c r="I1322" s="201"/>
      <c r="J1322" s="201"/>
      <c r="K1322" s="201"/>
      <c r="L1322" s="192"/>
      <c r="M1322" s="202"/>
      <c r="N1322" s="200"/>
      <c r="O1322" s="192"/>
      <c r="P1322" s="192"/>
      <c r="Q1322" s="192"/>
      <c r="R1322" s="192"/>
      <c r="S1322" s="202"/>
      <c r="T1322" s="203"/>
      <c r="U1322" s="153"/>
      <c r="V1322" s="153"/>
      <c r="W1322" s="153"/>
      <c r="X1322" s="153"/>
      <c r="Y1322" s="153"/>
      <c r="Z1322" s="153"/>
    </row>
    <row r="1323" spans="1:26">
      <c r="A1323" s="769"/>
      <c r="B1323" s="200"/>
      <c r="C1323" s="200"/>
      <c r="D1323" s="200"/>
      <c r="E1323" s="200"/>
      <c r="F1323" s="200"/>
      <c r="G1323" s="200"/>
      <c r="H1323" s="200"/>
      <c r="I1323" s="201"/>
      <c r="J1323" s="201"/>
      <c r="K1323" s="201"/>
      <c r="L1323" s="192"/>
      <c r="M1323" s="202"/>
      <c r="N1323" s="200"/>
      <c r="O1323" s="192"/>
      <c r="P1323" s="192"/>
      <c r="Q1323" s="192"/>
      <c r="R1323" s="192"/>
      <c r="S1323" s="202"/>
      <c r="T1323" s="203"/>
      <c r="U1323" s="153"/>
      <c r="V1323" s="153"/>
      <c r="W1323" s="153"/>
      <c r="X1323" s="153"/>
      <c r="Y1323" s="153"/>
      <c r="Z1323" s="153"/>
    </row>
    <row r="1324" spans="1:26">
      <c r="A1324" s="769"/>
      <c r="B1324" s="200"/>
      <c r="C1324" s="200"/>
      <c r="D1324" s="200"/>
      <c r="E1324" s="200"/>
      <c r="F1324" s="200"/>
      <c r="G1324" s="200"/>
      <c r="H1324" s="200"/>
      <c r="I1324" s="201"/>
      <c r="J1324" s="201"/>
      <c r="K1324" s="201"/>
      <c r="L1324" s="192"/>
      <c r="M1324" s="202"/>
      <c r="N1324" s="200"/>
      <c r="O1324" s="192"/>
      <c r="P1324" s="192"/>
      <c r="Q1324" s="192"/>
      <c r="R1324" s="192"/>
      <c r="S1324" s="202"/>
      <c r="T1324" s="203"/>
      <c r="U1324" s="153"/>
      <c r="V1324" s="153"/>
      <c r="W1324" s="153"/>
      <c r="X1324" s="153"/>
      <c r="Y1324" s="153"/>
      <c r="Z1324" s="153"/>
    </row>
    <row r="1325" spans="1:26">
      <c r="A1325" s="676"/>
      <c r="B1325" s="200"/>
      <c r="C1325" s="200"/>
      <c r="D1325" s="200"/>
      <c r="E1325" s="200"/>
      <c r="F1325" s="200"/>
      <c r="G1325" s="200"/>
      <c r="H1325" s="200"/>
      <c r="I1325" s="201"/>
      <c r="J1325" s="201"/>
      <c r="K1325" s="201"/>
      <c r="L1325" s="192"/>
      <c r="M1325" s="204"/>
      <c r="N1325" s="200"/>
      <c r="O1325" s="192"/>
      <c r="P1325" s="192"/>
      <c r="Q1325" s="192"/>
      <c r="R1325" s="192"/>
      <c r="S1325" s="204"/>
      <c r="T1325" s="203"/>
      <c r="U1325" s="153"/>
      <c r="V1325" s="153"/>
      <c r="W1325" s="153"/>
      <c r="X1325" s="153"/>
      <c r="Y1325" s="153"/>
      <c r="Z1325" s="153"/>
    </row>
    <row r="1326" spans="1:26">
      <c r="A1326" s="769"/>
      <c r="B1326" s="200"/>
      <c r="C1326" s="200"/>
      <c r="D1326" s="200"/>
      <c r="E1326" s="200"/>
      <c r="F1326" s="200"/>
      <c r="G1326" s="200"/>
      <c r="H1326" s="200"/>
      <c r="I1326" s="201"/>
      <c r="J1326" s="201"/>
      <c r="K1326" s="201"/>
      <c r="L1326" s="192"/>
      <c r="M1326" s="204"/>
      <c r="N1326" s="200"/>
      <c r="O1326" s="192"/>
      <c r="P1326" s="192"/>
      <c r="Q1326" s="192"/>
      <c r="R1326" s="192"/>
      <c r="S1326" s="204"/>
      <c r="T1326" s="203"/>
      <c r="U1326" s="153"/>
      <c r="V1326" s="153"/>
      <c r="W1326" s="153"/>
      <c r="X1326" s="153"/>
      <c r="Y1326" s="153"/>
      <c r="Z1326" s="153"/>
    </row>
    <row r="1327" spans="1:26">
      <c r="A1327" s="769"/>
      <c r="B1327" s="200"/>
      <c r="C1327" s="200"/>
      <c r="D1327" s="200"/>
      <c r="E1327" s="200"/>
      <c r="F1327" s="200"/>
      <c r="G1327" s="200"/>
      <c r="H1327" s="200"/>
      <c r="I1327" s="201"/>
      <c r="J1327" s="201"/>
      <c r="K1327" s="201"/>
      <c r="L1327" s="192"/>
      <c r="M1327" s="204"/>
      <c r="N1327" s="200"/>
      <c r="O1327" s="192"/>
      <c r="P1327" s="192"/>
      <c r="Q1327" s="192"/>
      <c r="R1327" s="192"/>
      <c r="S1327" s="204"/>
      <c r="T1327" s="203"/>
      <c r="U1327" s="153"/>
      <c r="V1327" s="153"/>
      <c r="W1327" s="153"/>
      <c r="X1327" s="153"/>
      <c r="Y1327" s="153"/>
      <c r="Z1327" s="153"/>
    </row>
    <row r="1328" spans="1:26">
      <c r="A1328" s="676"/>
      <c r="B1328" s="200"/>
      <c r="C1328" s="200"/>
      <c r="D1328" s="200"/>
      <c r="E1328" s="200"/>
      <c r="F1328" s="200"/>
      <c r="G1328" s="200"/>
      <c r="H1328" s="200"/>
      <c r="I1328" s="201"/>
      <c r="J1328" s="201"/>
      <c r="K1328" s="201"/>
      <c r="L1328" s="192"/>
      <c r="M1328" s="202"/>
      <c r="N1328" s="200"/>
      <c r="O1328" s="192"/>
      <c r="P1328" s="192"/>
      <c r="Q1328" s="192"/>
      <c r="R1328" s="192"/>
      <c r="S1328" s="202"/>
      <c r="T1328" s="203"/>
      <c r="U1328" s="153"/>
      <c r="V1328" s="153"/>
      <c r="W1328" s="153"/>
      <c r="X1328" s="153"/>
      <c r="Y1328" s="153"/>
      <c r="Z1328" s="153"/>
    </row>
    <row r="1329" spans="1:26">
      <c r="A1329" s="769"/>
      <c r="B1329" s="200"/>
      <c r="C1329" s="200"/>
      <c r="D1329" s="200"/>
      <c r="E1329" s="200"/>
      <c r="F1329" s="200"/>
      <c r="G1329" s="200"/>
      <c r="H1329" s="200"/>
      <c r="I1329" s="201"/>
      <c r="J1329" s="201"/>
      <c r="K1329" s="201"/>
      <c r="L1329" s="192"/>
      <c r="M1329" s="202"/>
      <c r="N1329" s="200"/>
      <c r="O1329" s="192"/>
      <c r="P1329" s="192"/>
      <c r="Q1329" s="192"/>
      <c r="R1329" s="192"/>
      <c r="S1329" s="202"/>
      <c r="T1329" s="203"/>
      <c r="U1329" s="153"/>
      <c r="V1329" s="153"/>
      <c r="W1329" s="153"/>
      <c r="X1329" s="153"/>
      <c r="Y1329" s="153"/>
      <c r="Z1329" s="153"/>
    </row>
    <row r="1330" spans="1:26">
      <c r="A1330" s="769"/>
      <c r="B1330" s="200"/>
      <c r="C1330" s="200"/>
      <c r="D1330" s="200"/>
      <c r="E1330" s="200"/>
      <c r="F1330" s="200"/>
      <c r="G1330" s="200"/>
      <c r="H1330" s="200"/>
      <c r="I1330" s="201"/>
      <c r="J1330" s="201"/>
      <c r="K1330" s="201"/>
      <c r="L1330" s="192"/>
      <c r="M1330" s="202"/>
      <c r="N1330" s="200"/>
      <c r="O1330" s="192"/>
      <c r="P1330" s="192"/>
      <c r="Q1330" s="192"/>
      <c r="R1330" s="192"/>
      <c r="S1330" s="202"/>
      <c r="T1330" s="203"/>
      <c r="U1330" s="153"/>
      <c r="V1330" s="153"/>
      <c r="W1330" s="153"/>
      <c r="X1330" s="153"/>
      <c r="Y1330" s="153"/>
      <c r="Z1330" s="153"/>
    </row>
    <row r="1331" spans="1:26">
      <c r="A1331" s="676"/>
      <c r="B1331" s="200"/>
      <c r="C1331" s="200"/>
      <c r="D1331" s="200"/>
      <c r="E1331" s="200"/>
      <c r="F1331" s="200"/>
      <c r="G1331" s="200"/>
      <c r="H1331" s="200"/>
      <c r="I1331" s="201"/>
      <c r="J1331" s="201"/>
      <c r="K1331" s="201"/>
      <c r="L1331" s="192"/>
      <c r="M1331" s="204"/>
      <c r="N1331" s="200"/>
      <c r="O1331" s="192"/>
      <c r="P1331" s="192"/>
      <c r="Q1331" s="192"/>
      <c r="R1331" s="192"/>
      <c r="S1331" s="204"/>
      <c r="T1331" s="203"/>
      <c r="U1331" s="153"/>
      <c r="V1331" s="153"/>
      <c r="W1331" s="153"/>
      <c r="X1331" s="153"/>
      <c r="Y1331" s="153"/>
      <c r="Z1331" s="153"/>
    </row>
    <row r="1332" spans="1:26">
      <c r="A1332" s="769"/>
      <c r="B1332" s="200"/>
      <c r="C1332" s="200"/>
      <c r="D1332" s="200"/>
      <c r="E1332" s="200"/>
      <c r="F1332" s="200"/>
      <c r="G1332" s="200"/>
      <c r="H1332" s="200"/>
      <c r="I1332" s="201"/>
      <c r="J1332" s="201"/>
      <c r="K1332" s="201"/>
      <c r="L1332" s="192"/>
      <c r="M1332" s="204"/>
      <c r="N1332" s="200"/>
      <c r="O1332" s="192"/>
      <c r="P1332" s="192"/>
      <c r="Q1332" s="192"/>
      <c r="R1332" s="192"/>
      <c r="S1332" s="204"/>
      <c r="T1332" s="203"/>
      <c r="U1332" s="153"/>
      <c r="V1332" s="153"/>
      <c r="W1332" s="153"/>
      <c r="X1332" s="153"/>
      <c r="Y1332" s="153"/>
      <c r="Z1332" s="153"/>
    </row>
    <row r="1333" spans="1:26">
      <c r="A1333" s="769"/>
      <c r="B1333" s="200"/>
      <c r="C1333" s="200"/>
      <c r="D1333" s="200"/>
      <c r="E1333" s="200"/>
      <c r="F1333" s="200"/>
      <c r="G1333" s="200"/>
      <c r="H1333" s="200"/>
      <c r="I1333" s="201"/>
      <c r="J1333" s="201"/>
      <c r="K1333" s="201"/>
      <c r="L1333" s="192"/>
      <c r="M1333" s="204"/>
      <c r="N1333" s="200"/>
      <c r="O1333" s="192"/>
      <c r="P1333" s="192"/>
      <c r="Q1333" s="192"/>
      <c r="R1333" s="192"/>
      <c r="S1333" s="204"/>
      <c r="T1333" s="203"/>
      <c r="U1333" s="153"/>
      <c r="V1333" s="153"/>
      <c r="W1333" s="153"/>
      <c r="X1333" s="153"/>
      <c r="Y1333" s="153"/>
      <c r="Z1333" s="153"/>
    </row>
    <row r="1334" spans="1:26">
      <c r="A1334" s="769"/>
      <c r="B1334" s="200"/>
      <c r="C1334" s="200"/>
      <c r="D1334" s="200"/>
      <c r="E1334" s="200"/>
      <c r="F1334" s="200"/>
      <c r="G1334" s="200"/>
      <c r="H1334" s="200"/>
      <c r="I1334" s="201"/>
      <c r="J1334" s="201"/>
      <c r="K1334" s="201"/>
      <c r="L1334" s="192"/>
      <c r="M1334" s="204"/>
      <c r="N1334" s="200"/>
      <c r="O1334" s="192"/>
      <c r="P1334" s="192"/>
      <c r="Q1334" s="192"/>
      <c r="R1334" s="192"/>
      <c r="S1334" s="204"/>
      <c r="T1334" s="203"/>
      <c r="U1334" s="153"/>
      <c r="V1334" s="153"/>
      <c r="W1334" s="153"/>
      <c r="X1334" s="153"/>
      <c r="Y1334" s="153"/>
      <c r="Z1334" s="153"/>
    </row>
    <row r="1335" spans="1:26">
      <c r="A1335" s="676"/>
      <c r="B1335" s="200"/>
      <c r="C1335" s="200"/>
      <c r="D1335" s="200"/>
      <c r="E1335" s="200"/>
      <c r="F1335" s="200"/>
      <c r="G1335" s="200"/>
      <c r="H1335" s="200"/>
      <c r="I1335" s="201"/>
      <c r="J1335" s="201"/>
      <c r="K1335" s="201"/>
      <c r="L1335" s="192"/>
      <c r="M1335" s="202"/>
      <c r="N1335" s="200"/>
      <c r="O1335" s="192"/>
      <c r="P1335" s="192"/>
      <c r="Q1335" s="192"/>
      <c r="R1335" s="192"/>
      <c r="S1335" s="202"/>
      <c r="T1335" s="203"/>
      <c r="U1335" s="153"/>
      <c r="V1335" s="153"/>
      <c r="W1335" s="153"/>
      <c r="X1335" s="153"/>
      <c r="Y1335" s="153"/>
      <c r="Z1335" s="153"/>
    </row>
    <row r="1336" spans="1:26">
      <c r="A1336" s="769"/>
      <c r="B1336" s="200"/>
      <c r="C1336" s="200"/>
      <c r="D1336" s="200"/>
      <c r="E1336" s="200"/>
      <c r="F1336" s="200"/>
      <c r="G1336" s="200"/>
      <c r="H1336" s="200"/>
      <c r="I1336" s="201"/>
      <c r="J1336" s="201"/>
      <c r="K1336" s="201"/>
      <c r="L1336" s="192"/>
      <c r="M1336" s="202"/>
      <c r="N1336" s="200"/>
      <c r="O1336" s="192"/>
      <c r="P1336" s="192"/>
      <c r="Q1336" s="192"/>
      <c r="R1336" s="192"/>
      <c r="S1336" s="202"/>
      <c r="T1336" s="203"/>
      <c r="U1336" s="153"/>
      <c r="V1336" s="153"/>
      <c r="W1336" s="153"/>
      <c r="X1336" s="153"/>
      <c r="Y1336" s="153"/>
      <c r="Z1336" s="153"/>
    </row>
    <row r="1337" spans="1:26">
      <c r="A1337" s="769"/>
      <c r="B1337" s="200"/>
      <c r="C1337" s="200"/>
      <c r="D1337" s="200"/>
      <c r="E1337" s="200"/>
      <c r="F1337" s="200"/>
      <c r="G1337" s="200"/>
      <c r="H1337" s="200"/>
      <c r="I1337" s="201"/>
      <c r="J1337" s="201"/>
      <c r="K1337" s="201"/>
      <c r="L1337" s="192"/>
      <c r="M1337" s="202"/>
      <c r="N1337" s="200"/>
      <c r="O1337" s="192"/>
      <c r="P1337" s="192"/>
      <c r="Q1337" s="192"/>
      <c r="R1337" s="192"/>
      <c r="S1337" s="202"/>
      <c r="T1337" s="203"/>
      <c r="U1337" s="153"/>
      <c r="V1337" s="153"/>
      <c r="W1337" s="153"/>
      <c r="X1337" s="153"/>
      <c r="Y1337" s="153"/>
      <c r="Z1337" s="153"/>
    </row>
    <row r="1338" spans="1:26">
      <c r="A1338" s="769"/>
      <c r="B1338" s="200"/>
      <c r="C1338" s="200"/>
      <c r="D1338" s="200"/>
      <c r="E1338" s="200"/>
      <c r="F1338" s="200"/>
      <c r="G1338" s="200"/>
      <c r="H1338" s="200"/>
      <c r="I1338" s="201"/>
      <c r="J1338" s="201"/>
      <c r="K1338" s="201"/>
      <c r="L1338" s="192"/>
      <c r="M1338" s="202"/>
      <c r="N1338" s="200"/>
      <c r="O1338" s="192"/>
      <c r="P1338" s="192"/>
      <c r="Q1338" s="192"/>
      <c r="R1338" s="192"/>
      <c r="S1338" s="202"/>
      <c r="T1338" s="203"/>
      <c r="U1338" s="153"/>
      <c r="V1338" s="153"/>
      <c r="W1338" s="153"/>
      <c r="X1338" s="153"/>
      <c r="Y1338" s="153"/>
      <c r="Z1338" s="153"/>
    </row>
    <row r="1339" spans="1:26">
      <c r="A1339" s="200"/>
      <c r="B1339" s="200"/>
      <c r="C1339" s="200"/>
      <c r="D1339" s="200"/>
      <c r="E1339" s="200"/>
      <c r="F1339" s="200"/>
      <c r="G1339" s="200"/>
      <c r="H1339" s="200"/>
      <c r="I1339" s="201"/>
      <c r="J1339" s="201"/>
      <c r="K1339" s="201"/>
      <c r="L1339" s="192"/>
      <c r="M1339" s="204"/>
      <c r="N1339" s="200"/>
      <c r="O1339" s="192"/>
      <c r="P1339" s="192"/>
      <c r="Q1339" s="192"/>
      <c r="R1339" s="192"/>
      <c r="S1339" s="204"/>
      <c r="T1339" s="203"/>
      <c r="U1339" s="153"/>
      <c r="V1339" s="153"/>
      <c r="W1339" s="153"/>
      <c r="X1339" s="153"/>
      <c r="Y1339" s="153"/>
      <c r="Z1339" s="153"/>
    </row>
    <row r="1340" spans="1:26">
      <c r="A1340" s="200"/>
      <c r="B1340" s="200"/>
      <c r="C1340" s="200"/>
      <c r="D1340" s="200"/>
      <c r="E1340" s="200"/>
      <c r="F1340" s="200"/>
      <c r="G1340" s="200"/>
      <c r="H1340" s="200"/>
      <c r="I1340" s="201"/>
      <c r="J1340" s="201"/>
      <c r="K1340" s="201"/>
      <c r="L1340" s="192"/>
      <c r="M1340" s="202"/>
      <c r="N1340" s="200"/>
      <c r="O1340" s="192"/>
      <c r="P1340" s="192"/>
      <c r="Q1340" s="192"/>
      <c r="R1340" s="192"/>
      <c r="S1340" s="202"/>
      <c r="T1340" s="203"/>
      <c r="U1340" s="153"/>
      <c r="V1340" s="153"/>
      <c r="W1340" s="153"/>
      <c r="X1340" s="153"/>
      <c r="Y1340" s="153"/>
      <c r="Z1340" s="153"/>
    </row>
    <row r="1341" spans="1:26">
      <c r="A1341" s="200"/>
      <c r="B1341" s="200"/>
      <c r="C1341" s="200"/>
      <c r="D1341" s="200"/>
      <c r="E1341" s="200"/>
      <c r="F1341" s="200"/>
      <c r="H1341" s="200"/>
      <c r="I1341" s="201"/>
      <c r="J1341" s="201"/>
      <c r="K1341" s="201"/>
      <c r="L1341" s="192"/>
      <c r="M1341" s="204"/>
      <c r="N1341" s="200"/>
      <c r="O1341" s="192"/>
      <c r="P1341" s="192"/>
      <c r="Q1341" s="192"/>
      <c r="R1341" s="192"/>
      <c r="S1341" s="204"/>
      <c r="T1341" s="203"/>
      <c r="U1341" s="153"/>
      <c r="V1341" s="153"/>
      <c r="W1341" s="153"/>
      <c r="X1341" s="153"/>
      <c r="Y1341" s="153"/>
      <c r="Z1341" s="153"/>
    </row>
    <row r="1342" spans="1:26">
      <c r="A1342" s="200"/>
      <c r="B1342" s="200"/>
      <c r="C1342" s="200"/>
      <c r="D1342" s="200"/>
      <c r="E1342" s="200"/>
      <c r="F1342" s="200"/>
      <c r="H1342" s="200"/>
      <c r="I1342" s="201"/>
      <c r="J1342" s="201"/>
      <c r="K1342" s="201"/>
      <c r="L1342" s="192"/>
      <c r="M1342" s="202"/>
      <c r="N1342" s="200"/>
      <c r="O1342" s="192"/>
      <c r="P1342" s="192"/>
      <c r="Q1342" s="192"/>
      <c r="R1342" s="192"/>
      <c r="S1342" s="202"/>
      <c r="T1342" s="203"/>
      <c r="U1342" s="153"/>
      <c r="V1342" s="153"/>
      <c r="W1342" s="153"/>
      <c r="X1342" s="153"/>
      <c r="Y1342" s="153"/>
      <c r="Z1342" s="153"/>
    </row>
    <row r="1343" spans="1:26">
      <c r="A1343" s="200"/>
      <c r="B1343" s="200"/>
      <c r="C1343" s="200"/>
      <c r="D1343" s="200"/>
      <c r="E1343" s="200"/>
      <c r="F1343" s="200"/>
      <c r="G1343" s="200"/>
      <c r="H1343" s="200"/>
      <c r="I1343" s="201"/>
      <c r="J1343" s="201"/>
      <c r="K1343" s="201"/>
      <c r="L1343" s="192"/>
      <c r="M1343" s="204"/>
      <c r="N1343" s="200"/>
      <c r="O1343" s="192"/>
      <c r="P1343" s="192"/>
      <c r="Q1343" s="192"/>
      <c r="R1343" s="192"/>
      <c r="S1343" s="204"/>
      <c r="T1343" s="203"/>
      <c r="U1343" s="153"/>
      <c r="V1343" s="153"/>
      <c r="W1343" s="153"/>
      <c r="X1343" s="153"/>
      <c r="Y1343" s="153"/>
      <c r="Z1343" s="153"/>
    </row>
    <row r="1344" spans="1:26">
      <c r="A1344" s="200"/>
      <c r="B1344" s="200"/>
      <c r="C1344" s="200"/>
      <c r="D1344" s="200"/>
      <c r="E1344" s="200"/>
      <c r="F1344" s="200"/>
      <c r="G1344" s="200"/>
      <c r="H1344" s="200"/>
      <c r="I1344" s="201"/>
      <c r="J1344" s="201"/>
      <c r="K1344" s="201"/>
      <c r="L1344" s="192"/>
      <c r="M1344" s="202"/>
      <c r="N1344" s="200"/>
      <c r="O1344" s="192"/>
      <c r="P1344" s="192"/>
      <c r="Q1344" s="192"/>
      <c r="R1344" s="192"/>
      <c r="S1344" s="202"/>
      <c r="T1344" s="203"/>
      <c r="U1344" s="153"/>
      <c r="V1344" s="153"/>
      <c r="W1344" s="153"/>
      <c r="X1344" s="153"/>
      <c r="Y1344" s="153"/>
      <c r="Z1344" s="153"/>
    </row>
    <row r="1345" spans="1:26">
      <c r="A1345" s="200"/>
      <c r="B1345" s="200"/>
      <c r="C1345" s="200"/>
      <c r="D1345" s="200"/>
      <c r="E1345" s="200"/>
      <c r="F1345" s="200"/>
      <c r="G1345" s="200"/>
      <c r="H1345" s="200"/>
      <c r="I1345" s="201"/>
      <c r="J1345" s="201"/>
      <c r="K1345" s="201"/>
      <c r="L1345" s="192"/>
      <c r="M1345" s="204"/>
      <c r="N1345" s="200"/>
      <c r="O1345" s="192"/>
      <c r="P1345" s="192"/>
      <c r="Q1345" s="192"/>
      <c r="R1345" s="192"/>
      <c r="S1345" s="204"/>
      <c r="T1345" s="203"/>
      <c r="U1345" s="153"/>
      <c r="V1345" s="153"/>
      <c r="W1345" s="153"/>
      <c r="X1345" s="153"/>
      <c r="Y1345" s="153"/>
      <c r="Z1345" s="153"/>
    </row>
    <row r="1346" spans="1:26">
      <c r="A1346" s="200"/>
      <c r="B1346" s="200"/>
      <c r="C1346" s="200"/>
      <c r="D1346" s="200"/>
      <c r="E1346" s="200"/>
      <c r="F1346" s="200"/>
      <c r="G1346" s="200"/>
      <c r="H1346" s="200"/>
      <c r="I1346" s="201"/>
      <c r="J1346" s="201"/>
      <c r="K1346" s="201"/>
      <c r="L1346" s="192"/>
      <c r="M1346" s="202"/>
      <c r="N1346" s="200"/>
      <c r="O1346" s="192"/>
      <c r="P1346" s="192"/>
      <c r="Q1346" s="192"/>
      <c r="R1346" s="192"/>
      <c r="S1346" s="202"/>
      <c r="T1346" s="203"/>
      <c r="U1346" s="153"/>
      <c r="V1346" s="153"/>
      <c r="W1346" s="153"/>
      <c r="X1346" s="153"/>
      <c r="Y1346" s="153"/>
      <c r="Z1346" s="153"/>
    </row>
    <row r="1347" spans="1:26">
      <c r="A1347" s="200"/>
      <c r="B1347" s="200"/>
      <c r="C1347" s="200"/>
      <c r="D1347" s="200"/>
      <c r="E1347" s="200"/>
      <c r="F1347" s="200"/>
      <c r="G1347" s="200"/>
      <c r="H1347" s="200"/>
      <c r="I1347" s="201"/>
      <c r="J1347" s="201"/>
      <c r="K1347" s="201"/>
      <c r="L1347" s="192"/>
      <c r="M1347" s="204"/>
      <c r="N1347" s="200"/>
      <c r="O1347" s="192"/>
      <c r="P1347" s="192"/>
      <c r="Q1347" s="192"/>
      <c r="R1347" s="192"/>
      <c r="S1347" s="204"/>
      <c r="T1347" s="203"/>
      <c r="U1347" s="153"/>
      <c r="V1347" s="153"/>
      <c r="W1347" s="153"/>
      <c r="X1347" s="153"/>
      <c r="Y1347" s="153"/>
      <c r="Z1347" s="153"/>
    </row>
    <row r="1348" spans="1:26">
      <c r="A1348" s="200"/>
      <c r="B1348" s="200"/>
      <c r="C1348" s="200"/>
      <c r="D1348" s="200"/>
      <c r="E1348" s="200"/>
      <c r="F1348" s="200"/>
      <c r="G1348" s="200"/>
      <c r="H1348" s="200"/>
      <c r="I1348" s="201"/>
      <c r="J1348" s="201"/>
      <c r="K1348" s="201"/>
      <c r="L1348" s="192"/>
      <c r="M1348" s="202"/>
      <c r="N1348" s="200"/>
      <c r="O1348" s="192"/>
      <c r="P1348" s="192"/>
      <c r="Q1348" s="192"/>
      <c r="R1348" s="192"/>
      <c r="S1348" s="202"/>
      <c r="T1348" s="203"/>
      <c r="U1348" s="153"/>
      <c r="V1348" s="153"/>
      <c r="W1348" s="153"/>
      <c r="X1348" s="153"/>
      <c r="Y1348" s="153"/>
      <c r="Z1348" s="153"/>
    </row>
    <row r="1349" spans="1:26">
      <c r="A1349" s="676"/>
      <c r="B1349" s="200"/>
      <c r="C1349" s="200"/>
      <c r="D1349" s="200"/>
      <c r="E1349" s="200"/>
      <c r="F1349" s="200"/>
      <c r="G1349" s="200"/>
      <c r="H1349" s="200"/>
      <c r="I1349" s="201"/>
      <c r="J1349" s="201"/>
      <c r="K1349" s="201"/>
      <c r="L1349" s="192"/>
      <c r="M1349" s="204"/>
      <c r="N1349" s="200"/>
      <c r="O1349" s="192"/>
      <c r="P1349" s="192"/>
      <c r="Q1349" s="192"/>
      <c r="R1349" s="192"/>
      <c r="S1349" s="204"/>
      <c r="T1349" s="203"/>
      <c r="U1349" s="153"/>
      <c r="V1349" s="153"/>
      <c r="W1349" s="153"/>
      <c r="X1349" s="153"/>
      <c r="Y1349" s="153"/>
      <c r="Z1349" s="153"/>
    </row>
    <row r="1350" spans="1:26">
      <c r="A1350" s="769"/>
      <c r="B1350" s="200"/>
      <c r="C1350" s="200"/>
      <c r="D1350" s="200"/>
      <c r="E1350" s="200"/>
      <c r="F1350" s="200"/>
      <c r="G1350" s="200"/>
      <c r="H1350" s="200"/>
      <c r="I1350" s="201"/>
      <c r="J1350" s="201"/>
      <c r="K1350" s="201"/>
      <c r="L1350" s="192"/>
      <c r="M1350" s="204"/>
      <c r="N1350" s="200"/>
      <c r="O1350" s="192"/>
      <c r="P1350" s="192"/>
      <c r="Q1350" s="192"/>
      <c r="R1350" s="192"/>
      <c r="S1350" s="204"/>
      <c r="T1350" s="203"/>
      <c r="U1350" s="153"/>
      <c r="V1350" s="153"/>
      <c r="W1350" s="153"/>
      <c r="X1350" s="153"/>
      <c r="Y1350" s="153"/>
      <c r="Z1350" s="153"/>
    </row>
    <row r="1351" spans="1:26">
      <c r="A1351" s="769"/>
      <c r="B1351" s="200"/>
      <c r="C1351" s="200"/>
      <c r="D1351" s="200"/>
      <c r="E1351" s="200"/>
      <c r="F1351" s="200"/>
      <c r="G1351" s="200"/>
      <c r="H1351" s="200"/>
      <c r="I1351" s="201"/>
      <c r="J1351" s="201"/>
      <c r="K1351" s="201"/>
      <c r="L1351" s="192"/>
      <c r="M1351" s="204"/>
      <c r="N1351" s="200"/>
      <c r="O1351" s="192"/>
      <c r="P1351" s="192"/>
      <c r="Q1351" s="192"/>
      <c r="R1351" s="192"/>
      <c r="S1351" s="204"/>
      <c r="T1351" s="203"/>
      <c r="U1351" s="153"/>
      <c r="V1351" s="153"/>
      <c r="W1351" s="153"/>
      <c r="X1351" s="153"/>
      <c r="Y1351" s="153"/>
      <c r="Z1351" s="153"/>
    </row>
    <row r="1352" spans="1:26">
      <c r="A1352" s="769"/>
      <c r="B1352" s="200"/>
      <c r="C1352" s="200"/>
      <c r="D1352" s="200"/>
      <c r="E1352" s="200"/>
      <c r="F1352" s="200"/>
      <c r="G1352" s="200"/>
      <c r="H1352" s="200"/>
      <c r="I1352" s="201"/>
      <c r="J1352" s="201"/>
      <c r="K1352" s="201"/>
      <c r="L1352" s="192"/>
      <c r="M1352" s="204"/>
      <c r="N1352" s="200"/>
      <c r="O1352" s="192"/>
      <c r="P1352" s="192"/>
      <c r="Q1352" s="192"/>
      <c r="R1352" s="192"/>
      <c r="S1352" s="204"/>
      <c r="T1352" s="203"/>
      <c r="U1352" s="153"/>
      <c r="V1352" s="153"/>
      <c r="W1352" s="153"/>
      <c r="X1352" s="153"/>
      <c r="Y1352" s="153"/>
      <c r="Z1352" s="153"/>
    </row>
    <row r="1353" spans="1:26">
      <c r="A1353" s="769"/>
      <c r="B1353" s="200"/>
      <c r="C1353" s="200"/>
      <c r="D1353" s="200"/>
      <c r="E1353" s="200"/>
      <c r="F1353" s="200"/>
      <c r="G1353" s="200"/>
      <c r="H1353" s="200"/>
      <c r="I1353" s="201"/>
      <c r="J1353" s="201"/>
      <c r="K1353" s="201"/>
      <c r="L1353" s="192"/>
      <c r="M1353" s="204"/>
      <c r="N1353" s="200"/>
      <c r="O1353" s="192"/>
      <c r="P1353" s="192"/>
      <c r="Q1353" s="192"/>
      <c r="R1353" s="192"/>
      <c r="S1353" s="204"/>
      <c r="T1353" s="203"/>
      <c r="U1353" s="153"/>
      <c r="V1353" s="153"/>
      <c r="W1353" s="153"/>
      <c r="X1353" s="153"/>
      <c r="Y1353" s="153"/>
      <c r="Z1353" s="153"/>
    </row>
    <row r="1354" spans="1:26">
      <c r="A1354" s="769"/>
      <c r="B1354" s="200"/>
      <c r="C1354" s="200"/>
      <c r="D1354" s="200"/>
      <c r="E1354" s="200"/>
      <c r="F1354" s="200"/>
      <c r="G1354" s="200"/>
      <c r="H1354" s="200"/>
      <c r="I1354" s="201"/>
      <c r="J1354" s="201"/>
      <c r="K1354" s="201"/>
      <c r="L1354" s="192"/>
      <c r="M1354" s="204"/>
      <c r="N1354" s="200"/>
      <c r="O1354" s="192"/>
      <c r="P1354" s="192"/>
      <c r="Q1354" s="192"/>
      <c r="R1354" s="192"/>
      <c r="S1354" s="204"/>
      <c r="T1354" s="203"/>
      <c r="U1354" s="153"/>
      <c r="V1354" s="153"/>
      <c r="W1354" s="153"/>
      <c r="X1354" s="153"/>
      <c r="Y1354" s="153"/>
      <c r="Z1354" s="153"/>
    </row>
    <row r="1355" spans="1:26">
      <c r="A1355" s="769"/>
      <c r="B1355" s="200"/>
      <c r="C1355" s="200"/>
      <c r="D1355" s="200"/>
      <c r="E1355" s="200"/>
      <c r="F1355" s="200"/>
      <c r="G1355" s="200"/>
      <c r="H1355" s="200"/>
      <c r="I1355" s="201"/>
      <c r="J1355" s="201"/>
      <c r="K1355" s="201"/>
      <c r="L1355" s="192"/>
      <c r="M1355" s="204"/>
      <c r="N1355" s="200"/>
      <c r="O1355" s="192"/>
      <c r="P1355" s="192"/>
      <c r="Q1355" s="192"/>
      <c r="R1355" s="192"/>
      <c r="S1355" s="204"/>
      <c r="T1355" s="203"/>
      <c r="U1355" s="153"/>
      <c r="V1355" s="153"/>
      <c r="W1355" s="153"/>
      <c r="X1355" s="153"/>
      <c r="Y1355" s="153"/>
      <c r="Z1355" s="153"/>
    </row>
    <row r="1356" spans="1:26">
      <c r="A1356" s="769"/>
      <c r="B1356" s="200"/>
      <c r="C1356" s="200"/>
      <c r="D1356" s="200"/>
      <c r="E1356" s="200"/>
      <c r="F1356" s="200"/>
      <c r="G1356" s="200"/>
      <c r="H1356" s="200"/>
      <c r="I1356" s="201"/>
      <c r="J1356" s="201"/>
      <c r="K1356" s="201"/>
      <c r="L1356" s="192"/>
      <c r="M1356" s="204"/>
      <c r="N1356" s="200"/>
      <c r="O1356" s="192"/>
      <c r="P1356" s="192"/>
      <c r="Q1356" s="192"/>
      <c r="R1356" s="192"/>
      <c r="S1356" s="204"/>
      <c r="T1356" s="203"/>
      <c r="U1356" s="153"/>
      <c r="V1356" s="153"/>
      <c r="W1356" s="153"/>
      <c r="X1356" s="153"/>
      <c r="Y1356" s="153"/>
      <c r="Z1356" s="153"/>
    </row>
    <row r="1357" spans="1:26">
      <c r="A1357" s="769"/>
      <c r="B1357" s="200"/>
      <c r="C1357" s="200"/>
      <c r="D1357" s="200"/>
      <c r="E1357" s="200"/>
      <c r="F1357" s="200"/>
      <c r="G1357" s="200"/>
      <c r="H1357" s="200"/>
      <c r="I1357" s="201"/>
      <c r="J1357" s="201"/>
      <c r="K1357" s="201"/>
      <c r="L1357" s="192"/>
      <c r="M1357" s="204"/>
      <c r="N1357" s="200"/>
      <c r="O1357" s="192"/>
      <c r="P1357" s="192"/>
      <c r="Q1357" s="192"/>
      <c r="R1357" s="192"/>
      <c r="S1357" s="204"/>
      <c r="T1357" s="203"/>
      <c r="U1357" s="153"/>
      <c r="V1357" s="153"/>
      <c r="W1357" s="153"/>
      <c r="X1357" s="153"/>
      <c r="Y1357" s="153"/>
      <c r="Z1357" s="153"/>
    </row>
    <row r="1358" spans="1:26">
      <c r="A1358" s="769"/>
      <c r="B1358" s="200"/>
      <c r="C1358" s="200"/>
      <c r="D1358" s="200"/>
      <c r="E1358" s="200"/>
      <c r="F1358" s="200"/>
      <c r="G1358" s="200"/>
      <c r="H1358" s="200"/>
      <c r="I1358" s="201"/>
      <c r="J1358" s="201"/>
      <c r="K1358" s="201"/>
      <c r="L1358" s="192"/>
      <c r="M1358" s="204"/>
      <c r="N1358" s="200"/>
      <c r="O1358" s="192"/>
      <c r="P1358" s="192"/>
      <c r="Q1358" s="192"/>
      <c r="R1358" s="192"/>
      <c r="S1358" s="204"/>
      <c r="T1358" s="203"/>
      <c r="U1358" s="153"/>
      <c r="V1358" s="153"/>
      <c r="W1358" s="153"/>
      <c r="X1358" s="153"/>
      <c r="Y1358" s="153"/>
      <c r="Z1358" s="153"/>
    </row>
    <row r="1359" spans="1:26">
      <c r="A1359" s="769"/>
      <c r="B1359" s="200"/>
      <c r="C1359" s="200"/>
      <c r="D1359" s="200"/>
      <c r="E1359" s="200"/>
      <c r="F1359" s="200"/>
      <c r="G1359" s="200"/>
      <c r="H1359" s="200"/>
      <c r="I1359" s="201"/>
      <c r="J1359" s="201"/>
      <c r="K1359" s="201"/>
      <c r="L1359" s="192"/>
      <c r="M1359" s="204"/>
      <c r="N1359" s="200"/>
      <c r="O1359" s="192"/>
      <c r="P1359" s="192"/>
      <c r="Q1359" s="192"/>
      <c r="R1359" s="192"/>
      <c r="S1359" s="204"/>
      <c r="T1359" s="203"/>
      <c r="U1359" s="153"/>
      <c r="V1359" s="153"/>
      <c r="W1359" s="153"/>
      <c r="X1359" s="153"/>
      <c r="Y1359" s="153"/>
      <c r="Z1359" s="153"/>
    </row>
    <row r="1360" spans="1:26">
      <c r="A1360" s="769"/>
      <c r="B1360" s="200"/>
      <c r="C1360" s="200"/>
      <c r="D1360" s="200"/>
      <c r="E1360" s="200"/>
      <c r="F1360" s="200"/>
      <c r="G1360" s="200"/>
      <c r="H1360" s="200"/>
      <c r="I1360" s="201"/>
      <c r="J1360" s="201"/>
      <c r="K1360" s="201"/>
      <c r="L1360" s="192"/>
      <c r="M1360" s="204"/>
      <c r="N1360" s="200"/>
      <c r="O1360" s="192"/>
      <c r="P1360" s="192"/>
      <c r="Q1360" s="192"/>
      <c r="R1360" s="192"/>
      <c r="S1360" s="204"/>
      <c r="T1360" s="203"/>
      <c r="U1360" s="153"/>
      <c r="V1360" s="153"/>
      <c r="W1360" s="153"/>
      <c r="X1360" s="153"/>
      <c r="Y1360" s="153"/>
      <c r="Z1360" s="153"/>
    </row>
    <row r="1361" spans="1:26">
      <c r="A1361" s="769"/>
      <c r="B1361" s="200"/>
      <c r="C1361" s="200"/>
      <c r="D1361" s="200"/>
      <c r="E1361" s="200"/>
      <c r="F1361" s="200"/>
      <c r="G1361" s="200"/>
      <c r="H1361" s="200"/>
      <c r="I1361" s="201"/>
      <c r="J1361" s="201"/>
      <c r="K1361" s="201"/>
      <c r="L1361" s="192"/>
      <c r="M1361" s="204"/>
      <c r="N1361" s="200"/>
      <c r="O1361" s="192"/>
      <c r="P1361" s="192"/>
      <c r="Q1361" s="192"/>
      <c r="R1361" s="192"/>
      <c r="S1361" s="204"/>
      <c r="T1361" s="203"/>
      <c r="U1361" s="153"/>
      <c r="V1361" s="153"/>
      <c r="W1361" s="153"/>
      <c r="X1361" s="153"/>
      <c r="Y1361" s="153"/>
      <c r="Z1361" s="153"/>
    </row>
    <row r="1362" spans="1:26">
      <c r="A1362" s="769"/>
      <c r="B1362" s="200"/>
      <c r="C1362" s="200"/>
      <c r="D1362" s="200"/>
      <c r="E1362" s="200"/>
      <c r="F1362" s="200"/>
      <c r="G1362" s="200"/>
      <c r="H1362" s="200"/>
      <c r="I1362" s="201"/>
      <c r="J1362" s="201"/>
      <c r="K1362" s="201"/>
      <c r="L1362" s="192"/>
      <c r="M1362" s="204"/>
      <c r="N1362" s="200"/>
      <c r="O1362" s="192"/>
      <c r="P1362" s="192"/>
      <c r="Q1362" s="192"/>
      <c r="R1362" s="192"/>
      <c r="S1362" s="204"/>
      <c r="T1362" s="203"/>
      <c r="U1362" s="153"/>
      <c r="V1362" s="153"/>
      <c r="W1362" s="153"/>
      <c r="X1362" s="153"/>
      <c r="Y1362" s="153"/>
      <c r="Z1362" s="153"/>
    </row>
    <row r="1363" spans="1:26">
      <c r="A1363" s="769"/>
      <c r="B1363" s="200"/>
      <c r="C1363" s="200"/>
      <c r="D1363" s="200"/>
      <c r="E1363" s="200"/>
      <c r="F1363" s="200"/>
      <c r="G1363" s="200"/>
      <c r="H1363" s="200"/>
      <c r="I1363" s="201"/>
      <c r="J1363" s="201"/>
      <c r="K1363" s="201"/>
      <c r="L1363" s="192"/>
      <c r="M1363" s="204"/>
      <c r="N1363" s="200"/>
      <c r="O1363" s="192"/>
      <c r="P1363" s="192"/>
      <c r="Q1363" s="192"/>
      <c r="R1363" s="192"/>
      <c r="S1363" s="204"/>
      <c r="T1363" s="203"/>
      <c r="U1363" s="153"/>
      <c r="V1363" s="153"/>
      <c r="W1363" s="153"/>
      <c r="X1363" s="153"/>
      <c r="Y1363" s="153"/>
      <c r="Z1363" s="153"/>
    </row>
    <row r="1364" spans="1:26">
      <c r="A1364" s="769"/>
      <c r="B1364" s="200"/>
      <c r="C1364" s="200"/>
      <c r="D1364" s="200"/>
      <c r="E1364" s="200"/>
      <c r="F1364" s="200"/>
      <c r="G1364" s="200"/>
      <c r="H1364" s="200"/>
      <c r="I1364" s="201"/>
      <c r="J1364" s="201"/>
      <c r="K1364" s="201"/>
      <c r="L1364" s="192"/>
      <c r="M1364" s="204"/>
      <c r="N1364" s="200"/>
      <c r="O1364" s="192"/>
      <c r="P1364" s="192"/>
      <c r="Q1364" s="192"/>
      <c r="R1364" s="192"/>
      <c r="S1364" s="204"/>
      <c r="T1364" s="203"/>
      <c r="U1364" s="153"/>
      <c r="V1364" s="153"/>
      <c r="W1364" s="153"/>
      <c r="X1364" s="153"/>
      <c r="Y1364" s="153"/>
      <c r="Z1364" s="153"/>
    </row>
    <row r="1365" spans="1:26">
      <c r="A1365" s="769"/>
      <c r="B1365" s="200"/>
      <c r="C1365" s="200"/>
      <c r="D1365" s="200"/>
      <c r="E1365" s="200"/>
      <c r="F1365" s="200"/>
      <c r="G1365" s="200"/>
      <c r="H1365" s="200"/>
      <c r="I1365" s="201"/>
      <c r="J1365" s="201"/>
      <c r="K1365" s="201"/>
      <c r="L1365" s="192"/>
      <c r="M1365" s="204"/>
      <c r="N1365" s="200"/>
      <c r="O1365" s="192"/>
      <c r="P1365" s="192"/>
      <c r="Q1365" s="192"/>
      <c r="R1365" s="192"/>
      <c r="S1365" s="204"/>
      <c r="T1365" s="203"/>
      <c r="U1365" s="153"/>
      <c r="V1365" s="153"/>
      <c r="W1365" s="153"/>
      <c r="X1365" s="153"/>
      <c r="Y1365" s="153"/>
      <c r="Z1365" s="153"/>
    </row>
    <row r="1366" spans="1:26">
      <c r="A1366" s="769"/>
      <c r="B1366" s="200"/>
      <c r="C1366" s="200"/>
      <c r="D1366" s="200"/>
      <c r="E1366" s="200"/>
      <c r="F1366" s="200"/>
      <c r="G1366" s="200"/>
      <c r="H1366" s="200"/>
      <c r="I1366" s="201"/>
      <c r="J1366" s="201"/>
      <c r="K1366" s="201"/>
      <c r="L1366" s="192"/>
      <c r="M1366" s="204"/>
      <c r="N1366" s="200"/>
      <c r="O1366" s="192"/>
      <c r="P1366" s="192"/>
      <c r="Q1366" s="192"/>
      <c r="R1366" s="192"/>
      <c r="S1366" s="204"/>
      <c r="T1366" s="203"/>
      <c r="U1366" s="153"/>
      <c r="V1366" s="153"/>
      <c r="W1366" s="153"/>
      <c r="X1366" s="153"/>
      <c r="Y1366" s="153"/>
      <c r="Z1366" s="153"/>
    </row>
    <row r="1367" spans="1:26">
      <c r="A1367" s="769"/>
      <c r="B1367" s="200"/>
      <c r="C1367" s="200"/>
      <c r="D1367" s="200"/>
      <c r="E1367" s="200"/>
      <c r="F1367" s="200"/>
      <c r="G1367" s="200"/>
      <c r="H1367" s="200"/>
      <c r="I1367" s="201"/>
      <c r="J1367" s="201"/>
      <c r="K1367" s="201"/>
      <c r="L1367" s="192"/>
      <c r="M1367" s="204"/>
      <c r="N1367" s="200"/>
      <c r="O1367" s="192"/>
      <c r="P1367" s="192"/>
      <c r="Q1367" s="192"/>
      <c r="R1367" s="192"/>
      <c r="S1367" s="204"/>
      <c r="T1367" s="203"/>
      <c r="U1367" s="153"/>
      <c r="V1367" s="153"/>
      <c r="W1367" s="153"/>
      <c r="X1367" s="153"/>
      <c r="Y1367" s="153"/>
      <c r="Z1367" s="153"/>
    </row>
    <row r="1368" spans="1:26">
      <c r="A1368" s="769"/>
      <c r="B1368" s="200"/>
      <c r="C1368" s="200"/>
      <c r="D1368" s="200"/>
      <c r="E1368" s="200"/>
      <c r="F1368" s="200"/>
      <c r="G1368" s="200"/>
      <c r="H1368" s="200"/>
      <c r="I1368" s="201"/>
      <c r="J1368" s="201"/>
      <c r="K1368" s="201"/>
      <c r="L1368" s="192"/>
      <c r="M1368" s="204"/>
      <c r="N1368" s="200"/>
      <c r="O1368" s="192"/>
      <c r="P1368" s="192"/>
      <c r="Q1368" s="192"/>
      <c r="R1368" s="192"/>
      <c r="S1368" s="204"/>
      <c r="T1368" s="203"/>
      <c r="U1368" s="153"/>
      <c r="V1368" s="153"/>
      <c r="W1368" s="153"/>
      <c r="X1368" s="153"/>
      <c r="Y1368" s="153"/>
      <c r="Z1368" s="153"/>
    </row>
    <row r="1369" spans="1:26">
      <c r="A1369" s="769"/>
      <c r="B1369" s="200"/>
      <c r="C1369" s="200"/>
      <c r="D1369" s="200"/>
      <c r="E1369" s="200"/>
      <c r="F1369" s="200"/>
      <c r="G1369" s="200"/>
      <c r="H1369" s="200"/>
      <c r="I1369" s="201"/>
      <c r="J1369" s="201"/>
      <c r="K1369" s="201"/>
      <c r="L1369" s="192"/>
      <c r="M1369" s="204"/>
      <c r="N1369" s="200"/>
      <c r="O1369" s="192"/>
      <c r="P1369" s="192"/>
      <c r="Q1369" s="192"/>
      <c r="R1369" s="192"/>
      <c r="S1369" s="204"/>
      <c r="T1369" s="203"/>
      <c r="U1369" s="153"/>
      <c r="V1369" s="153"/>
      <c r="W1369" s="153"/>
      <c r="X1369" s="153"/>
      <c r="Y1369" s="153"/>
      <c r="Z1369" s="153"/>
    </row>
    <row r="1370" spans="1:26">
      <c r="A1370" s="769"/>
      <c r="B1370" s="200"/>
      <c r="C1370" s="200"/>
      <c r="D1370" s="200"/>
      <c r="E1370" s="200"/>
      <c r="F1370" s="200"/>
      <c r="G1370" s="200"/>
      <c r="H1370" s="200"/>
      <c r="I1370" s="201"/>
      <c r="J1370" s="201"/>
      <c r="K1370" s="201"/>
      <c r="L1370" s="192"/>
      <c r="M1370" s="204"/>
      <c r="N1370" s="200"/>
      <c r="O1370" s="192"/>
      <c r="P1370" s="192"/>
      <c r="Q1370" s="192"/>
      <c r="R1370" s="192"/>
      <c r="S1370" s="204"/>
      <c r="T1370" s="203"/>
      <c r="U1370" s="153"/>
      <c r="V1370" s="153"/>
      <c r="W1370" s="153"/>
      <c r="X1370" s="153"/>
      <c r="Y1370" s="153"/>
      <c r="Z1370" s="153"/>
    </row>
    <row r="1371" spans="1:26">
      <c r="A1371" s="769"/>
      <c r="B1371" s="200"/>
      <c r="C1371" s="200"/>
      <c r="D1371" s="200"/>
      <c r="E1371" s="200"/>
      <c r="F1371" s="200"/>
      <c r="G1371" s="200"/>
      <c r="H1371" s="200"/>
      <c r="I1371" s="201"/>
      <c r="J1371" s="201"/>
      <c r="K1371" s="201"/>
      <c r="L1371" s="192"/>
      <c r="M1371" s="204"/>
      <c r="N1371" s="200"/>
      <c r="O1371" s="192"/>
      <c r="P1371" s="192"/>
      <c r="Q1371" s="192"/>
      <c r="R1371" s="192"/>
      <c r="S1371" s="204"/>
      <c r="T1371" s="203"/>
      <c r="U1371" s="153"/>
      <c r="V1371" s="153"/>
      <c r="W1371" s="153"/>
      <c r="X1371" s="153"/>
      <c r="Y1371" s="153"/>
      <c r="Z1371" s="153"/>
    </row>
    <row r="1372" spans="1:26">
      <c r="A1372" s="769"/>
      <c r="B1372" s="200"/>
      <c r="C1372" s="200"/>
      <c r="D1372" s="200"/>
      <c r="E1372" s="200"/>
      <c r="F1372" s="200"/>
      <c r="G1372" s="200"/>
      <c r="H1372" s="200"/>
      <c r="I1372" s="201"/>
      <c r="J1372" s="201"/>
      <c r="K1372" s="201"/>
      <c r="L1372" s="192"/>
      <c r="M1372" s="204"/>
      <c r="N1372" s="200"/>
      <c r="O1372" s="192"/>
      <c r="P1372" s="192"/>
      <c r="Q1372" s="192"/>
      <c r="R1372" s="192"/>
      <c r="S1372" s="204"/>
      <c r="T1372" s="203"/>
      <c r="U1372" s="153"/>
      <c r="V1372" s="153"/>
      <c r="W1372" s="153"/>
      <c r="X1372" s="153"/>
      <c r="Y1372" s="153"/>
      <c r="Z1372" s="153"/>
    </row>
    <row r="1373" spans="1:26">
      <c r="A1373" s="769"/>
      <c r="B1373" s="200"/>
      <c r="C1373" s="200"/>
      <c r="D1373" s="200"/>
      <c r="E1373" s="200"/>
      <c r="F1373" s="200"/>
      <c r="G1373" s="200"/>
      <c r="H1373" s="200"/>
      <c r="I1373" s="201"/>
      <c r="J1373" s="201"/>
      <c r="K1373" s="201"/>
      <c r="L1373" s="192"/>
      <c r="M1373" s="204"/>
      <c r="N1373" s="200"/>
      <c r="O1373" s="192"/>
      <c r="P1373" s="192"/>
      <c r="Q1373" s="192"/>
      <c r="R1373" s="192"/>
      <c r="S1373" s="204"/>
      <c r="T1373" s="203"/>
      <c r="U1373" s="153"/>
      <c r="V1373" s="153"/>
      <c r="W1373" s="153"/>
      <c r="X1373" s="153"/>
      <c r="Y1373" s="153"/>
      <c r="Z1373" s="153"/>
    </row>
    <row r="1374" spans="1:26">
      <c r="A1374" s="676"/>
      <c r="B1374" s="200"/>
      <c r="C1374" s="200"/>
      <c r="D1374" s="200"/>
      <c r="E1374" s="200"/>
      <c r="F1374" s="200"/>
      <c r="G1374" s="200"/>
      <c r="H1374" s="200"/>
      <c r="I1374" s="201"/>
      <c r="J1374" s="201"/>
      <c r="K1374" s="201"/>
      <c r="L1374" s="192"/>
      <c r="M1374" s="202"/>
      <c r="N1374" s="200"/>
      <c r="O1374" s="192"/>
      <c r="P1374" s="192"/>
      <c r="Q1374" s="192"/>
      <c r="R1374" s="192"/>
      <c r="S1374" s="202"/>
      <c r="T1374" s="203"/>
      <c r="U1374" s="153"/>
      <c r="V1374" s="153"/>
      <c r="W1374" s="153"/>
      <c r="X1374" s="153"/>
      <c r="Y1374" s="153"/>
      <c r="Z1374" s="153"/>
    </row>
    <row r="1375" spans="1:26">
      <c r="A1375" s="769"/>
      <c r="B1375" s="200"/>
      <c r="C1375" s="200"/>
      <c r="D1375" s="200"/>
      <c r="E1375" s="200"/>
      <c r="F1375" s="200"/>
      <c r="G1375" s="200"/>
      <c r="H1375" s="200"/>
      <c r="I1375" s="201"/>
      <c r="J1375" s="201"/>
      <c r="K1375" s="201"/>
      <c r="L1375" s="192"/>
      <c r="M1375" s="202"/>
      <c r="N1375" s="200"/>
      <c r="O1375" s="192"/>
      <c r="P1375" s="192"/>
      <c r="Q1375" s="192"/>
      <c r="R1375" s="192"/>
      <c r="S1375" s="202"/>
      <c r="T1375" s="203"/>
      <c r="U1375" s="153"/>
      <c r="V1375" s="153"/>
      <c r="W1375" s="153"/>
      <c r="X1375" s="153"/>
      <c r="Y1375" s="153"/>
      <c r="Z1375" s="153"/>
    </row>
    <row r="1376" spans="1:26">
      <c r="A1376" s="769"/>
      <c r="B1376" s="200"/>
      <c r="C1376" s="200"/>
      <c r="D1376" s="200"/>
      <c r="E1376" s="200"/>
      <c r="F1376" s="200"/>
      <c r="G1376" s="200"/>
      <c r="H1376" s="200"/>
      <c r="I1376" s="201"/>
      <c r="J1376" s="201"/>
      <c r="K1376" s="201"/>
      <c r="L1376" s="192"/>
      <c r="M1376" s="202"/>
      <c r="N1376" s="200"/>
      <c r="O1376" s="192"/>
      <c r="P1376" s="192"/>
      <c r="Q1376" s="192"/>
      <c r="R1376" s="192"/>
      <c r="S1376" s="202"/>
      <c r="T1376" s="203"/>
      <c r="U1376" s="153"/>
      <c r="V1376" s="153"/>
      <c r="W1376" s="153"/>
      <c r="X1376" s="153"/>
      <c r="Y1376" s="153"/>
      <c r="Z1376" s="153"/>
    </row>
    <row r="1377" spans="1:26">
      <c r="A1377" s="769"/>
      <c r="B1377" s="200"/>
      <c r="C1377" s="200"/>
      <c r="D1377" s="200"/>
      <c r="E1377" s="200"/>
      <c r="F1377" s="200"/>
      <c r="G1377" s="200"/>
      <c r="H1377" s="200"/>
      <c r="I1377" s="201"/>
      <c r="J1377" s="201"/>
      <c r="K1377" s="201"/>
      <c r="L1377" s="192"/>
      <c r="M1377" s="202"/>
      <c r="N1377" s="200"/>
      <c r="O1377" s="192"/>
      <c r="P1377" s="192"/>
      <c r="Q1377" s="192"/>
      <c r="R1377" s="192"/>
      <c r="S1377" s="202"/>
      <c r="T1377" s="203"/>
      <c r="U1377" s="153"/>
      <c r="V1377" s="153"/>
      <c r="W1377" s="153"/>
      <c r="X1377" s="153"/>
      <c r="Y1377" s="153"/>
      <c r="Z1377" s="153"/>
    </row>
    <row r="1378" spans="1:26">
      <c r="A1378" s="769"/>
      <c r="B1378" s="200"/>
      <c r="C1378" s="200"/>
      <c r="D1378" s="200"/>
      <c r="E1378" s="200"/>
      <c r="F1378" s="200"/>
      <c r="G1378" s="200"/>
      <c r="H1378" s="200"/>
      <c r="I1378" s="201"/>
      <c r="J1378" s="201"/>
      <c r="K1378" s="201"/>
      <c r="L1378" s="192"/>
      <c r="M1378" s="202"/>
      <c r="N1378" s="200"/>
      <c r="O1378" s="192"/>
      <c r="P1378" s="192"/>
      <c r="Q1378" s="192"/>
      <c r="R1378" s="192"/>
      <c r="S1378" s="202"/>
      <c r="T1378" s="203"/>
      <c r="U1378" s="153"/>
      <c r="V1378" s="153"/>
      <c r="W1378" s="153"/>
      <c r="X1378" s="153"/>
      <c r="Y1378" s="153"/>
      <c r="Z1378" s="153"/>
    </row>
    <row r="1379" spans="1:26">
      <c r="A1379" s="769"/>
      <c r="B1379" s="200"/>
      <c r="C1379" s="200"/>
      <c r="D1379" s="200"/>
      <c r="E1379" s="200"/>
      <c r="F1379" s="200"/>
      <c r="G1379" s="200"/>
      <c r="H1379" s="200"/>
      <c r="I1379" s="201"/>
      <c r="J1379" s="201"/>
      <c r="K1379" s="201"/>
      <c r="L1379" s="192"/>
      <c r="M1379" s="202"/>
      <c r="N1379" s="200"/>
      <c r="O1379" s="192"/>
      <c r="P1379" s="192"/>
      <c r="Q1379" s="192"/>
      <c r="R1379" s="192"/>
      <c r="S1379" s="202"/>
      <c r="T1379" s="203"/>
      <c r="U1379" s="153"/>
      <c r="V1379" s="153"/>
      <c r="W1379" s="153"/>
      <c r="X1379" s="153"/>
      <c r="Y1379" s="153"/>
      <c r="Z1379" s="153"/>
    </row>
    <row r="1380" spans="1:26">
      <c r="A1380" s="769"/>
      <c r="B1380" s="200"/>
      <c r="C1380" s="200"/>
      <c r="D1380" s="200"/>
      <c r="E1380" s="200"/>
      <c r="F1380" s="200"/>
      <c r="G1380" s="200"/>
      <c r="H1380" s="200"/>
      <c r="I1380" s="201"/>
      <c r="J1380" s="201"/>
      <c r="K1380" s="201"/>
      <c r="L1380" s="192"/>
      <c r="M1380" s="202"/>
      <c r="N1380" s="200"/>
      <c r="O1380" s="192"/>
      <c r="P1380" s="192"/>
      <c r="Q1380" s="192"/>
      <c r="R1380" s="192"/>
      <c r="S1380" s="202"/>
      <c r="T1380" s="203"/>
      <c r="U1380" s="153"/>
      <c r="V1380" s="153"/>
      <c r="W1380" s="153"/>
      <c r="X1380" s="153"/>
      <c r="Y1380" s="153"/>
      <c r="Z1380" s="153"/>
    </row>
    <row r="1381" spans="1:26">
      <c r="A1381" s="769"/>
      <c r="B1381" s="200"/>
      <c r="C1381" s="200"/>
      <c r="D1381" s="200"/>
      <c r="E1381" s="200"/>
      <c r="F1381" s="200"/>
      <c r="G1381" s="200"/>
      <c r="H1381" s="200"/>
      <c r="I1381" s="201"/>
      <c r="J1381" s="201"/>
      <c r="K1381" s="201"/>
      <c r="L1381" s="192"/>
      <c r="M1381" s="202"/>
      <c r="N1381" s="200"/>
      <c r="O1381" s="192"/>
      <c r="P1381" s="192"/>
      <c r="Q1381" s="192"/>
      <c r="R1381" s="192"/>
      <c r="S1381" s="202"/>
      <c r="T1381" s="203"/>
      <c r="U1381" s="153"/>
      <c r="V1381" s="153"/>
      <c r="W1381" s="153"/>
      <c r="X1381" s="153"/>
      <c r="Y1381" s="153"/>
      <c r="Z1381" s="153"/>
    </row>
    <row r="1382" spans="1:26">
      <c r="A1382" s="769"/>
      <c r="B1382" s="200"/>
      <c r="C1382" s="200"/>
      <c r="D1382" s="200"/>
      <c r="E1382" s="200"/>
      <c r="F1382" s="200"/>
      <c r="G1382" s="200"/>
      <c r="H1382" s="200"/>
      <c r="I1382" s="201"/>
      <c r="J1382" s="201"/>
      <c r="K1382" s="201"/>
      <c r="L1382" s="192"/>
      <c r="M1382" s="202"/>
      <c r="N1382" s="200"/>
      <c r="O1382" s="192"/>
      <c r="P1382" s="192"/>
      <c r="Q1382" s="192"/>
      <c r="R1382" s="192"/>
      <c r="S1382" s="202"/>
      <c r="T1382" s="203"/>
      <c r="U1382" s="153"/>
      <c r="V1382" s="153"/>
      <c r="W1382" s="153"/>
      <c r="X1382" s="153"/>
      <c r="Y1382" s="153"/>
      <c r="Z1382" s="153"/>
    </row>
    <row r="1383" spans="1:26">
      <c r="A1383" s="769"/>
      <c r="B1383" s="200"/>
      <c r="C1383" s="200"/>
      <c r="D1383" s="200"/>
      <c r="E1383" s="200"/>
      <c r="F1383" s="200"/>
      <c r="G1383" s="200"/>
      <c r="H1383" s="200"/>
      <c r="I1383" s="201"/>
      <c r="J1383" s="201"/>
      <c r="K1383" s="201"/>
      <c r="L1383" s="192"/>
      <c r="M1383" s="202"/>
      <c r="N1383" s="200"/>
      <c r="O1383" s="192"/>
      <c r="P1383" s="192"/>
      <c r="Q1383" s="192"/>
      <c r="R1383" s="192"/>
      <c r="S1383" s="202"/>
      <c r="T1383" s="203"/>
      <c r="U1383" s="153"/>
      <c r="V1383" s="153"/>
      <c r="W1383" s="153"/>
      <c r="X1383" s="153"/>
      <c r="Y1383" s="153"/>
      <c r="Z1383" s="153"/>
    </row>
    <row r="1384" spans="1:26">
      <c r="A1384" s="769"/>
      <c r="B1384" s="200"/>
      <c r="C1384" s="200"/>
      <c r="D1384" s="200"/>
      <c r="E1384" s="200"/>
      <c r="F1384" s="200"/>
      <c r="G1384" s="200"/>
      <c r="H1384" s="200"/>
      <c r="I1384" s="201"/>
      <c r="J1384" s="201"/>
      <c r="K1384" s="201"/>
      <c r="L1384" s="192"/>
      <c r="M1384" s="202"/>
      <c r="N1384" s="200"/>
      <c r="O1384" s="192"/>
      <c r="P1384" s="192"/>
      <c r="Q1384" s="192"/>
      <c r="R1384" s="192"/>
      <c r="S1384" s="202"/>
      <c r="T1384" s="203"/>
      <c r="U1384" s="153"/>
      <c r="V1384" s="153"/>
      <c r="W1384" s="153"/>
      <c r="X1384" s="153"/>
      <c r="Y1384" s="153"/>
      <c r="Z1384" s="153"/>
    </row>
    <row r="1385" spans="1:26">
      <c r="A1385" s="769"/>
      <c r="B1385" s="200"/>
      <c r="C1385" s="200"/>
      <c r="D1385" s="200"/>
      <c r="E1385" s="200"/>
      <c r="F1385" s="200"/>
      <c r="G1385" s="200"/>
      <c r="H1385" s="200"/>
      <c r="I1385" s="201"/>
      <c r="J1385" s="201"/>
      <c r="K1385" s="201"/>
      <c r="L1385" s="192"/>
      <c r="M1385" s="202"/>
      <c r="N1385" s="200"/>
      <c r="O1385" s="192"/>
      <c r="P1385" s="192"/>
      <c r="Q1385" s="192"/>
      <c r="R1385" s="192"/>
      <c r="S1385" s="202"/>
      <c r="T1385" s="203"/>
      <c r="U1385" s="153"/>
      <c r="V1385" s="153"/>
      <c r="W1385" s="153"/>
      <c r="X1385" s="153"/>
      <c r="Y1385" s="153"/>
      <c r="Z1385" s="153"/>
    </row>
    <row r="1386" spans="1:26">
      <c r="A1386" s="769"/>
      <c r="B1386" s="200"/>
      <c r="C1386" s="200"/>
      <c r="D1386" s="200"/>
      <c r="E1386" s="200"/>
      <c r="F1386" s="200"/>
      <c r="G1386" s="200"/>
      <c r="H1386" s="200"/>
      <c r="I1386" s="201"/>
      <c r="J1386" s="201"/>
      <c r="K1386" s="201"/>
      <c r="L1386" s="192"/>
      <c r="M1386" s="202"/>
      <c r="N1386" s="200"/>
      <c r="O1386" s="192"/>
      <c r="P1386" s="192"/>
      <c r="Q1386" s="192"/>
      <c r="R1386" s="192"/>
      <c r="S1386" s="202"/>
      <c r="T1386" s="203"/>
      <c r="U1386" s="153"/>
      <c r="V1386" s="153"/>
      <c r="W1386" s="153"/>
      <c r="X1386" s="153"/>
      <c r="Y1386" s="153"/>
      <c r="Z1386" s="153"/>
    </row>
    <row r="1387" spans="1:26">
      <c r="A1387" s="769"/>
      <c r="B1387" s="200"/>
      <c r="C1387" s="200"/>
      <c r="D1387" s="200"/>
      <c r="E1387" s="200"/>
      <c r="F1387" s="200"/>
      <c r="G1387" s="200"/>
      <c r="H1387" s="200"/>
      <c r="I1387" s="201"/>
      <c r="J1387" s="201"/>
      <c r="K1387" s="201"/>
      <c r="L1387" s="192"/>
      <c r="M1387" s="202"/>
      <c r="N1387" s="200"/>
      <c r="O1387" s="192"/>
      <c r="P1387" s="192"/>
      <c r="Q1387" s="192"/>
      <c r="R1387" s="192"/>
      <c r="S1387" s="202"/>
      <c r="T1387" s="203"/>
      <c r="U1387" s="153"/>
      <c r="V1387" s="153"/>
      <c r="W1387" s="153"/>
      <c r="X1387" s="153"/>
      <c r="Y1387" s="153"/>
      <c r="Z1387" s="153"/>
    </row>
    <row r="1388" spans="1:26">
      <c r="A1388" s="769"/>
      <c r="B1388" s="200"/>
      <c r="C1388" s="200"/>
      <c r="D1388" s="200"/>
      <c r="E1388" s="200"/>
      <c r="F1388" s="200"/>
      <c r="G1388" s="200"/>
      <c r="H1388" s="200"/>
      <c r="I1388" s="201"/>
      <c r="J1388" s="201"/>
      <c r="K1388" s="201"/>
      <c r="L1388" s="192"/>
      <c r="M1388" s="202"/>
      <c r="N1388" s="200"/>
      <c r="O1388" s="192"/>
      <c r="P1388" s="192"/>
      <c r="Q1388" s="192"/>
      <c r="R1388" s="192"/>
      <c r="S1388" s="202"/>
      <c r="T1388" s="203"/>
      <c r="U1388" s="153"/>
      <c r="V1388" s="153"/>
      <c r="W1388" s="153"/>
      <c r="X1388" s="153"/>
      <c r="Y1388" s="153"/>
      <c r="Z1388" s="153"/>
    </row>
    <row r="1389" spans="1:26">
      <c r="A1389" s="769"/>
      <c r="B1389" s="200"/>
      <c r="C1389" s="200"/>
      <c r="D1389" s="200"/>
      <c r="E1389" s="200"/>
      <c r="F1389" s="200"/>
      <c r="G1389" s="200"/>
      <c r="H1389" s="200"/>
      <c r="I1389" s="201"/>
      <c r="J1389" s="201"/>
      <c r="K1389" s="201"/>
      <c r="L1389" s="192"/>
      <c r="M1389" s="202"/>
      <c r="N1389" s="200"/>
      <c r="O1389" s="192"/>
      <c r="P1389" s="192"/>
      <c r="Q1389" s="192"/>
      <c r="R1389" s="192"/>
      <c r="S1389" s="202"/>
      <c r="T1389" s="203"/>
      <c r="U1389" s="153"/>
      <c r="V1389" s="153"/>
      <c r="W1389" s="153"/>
      <c r="X1389" s="153"/>
      <c r="Y1389" s="153"/>
      <c r="Z1389" s="153"/>
    </row>
    <row r="1390" spans="1:26">
      <c r="A1390" s="769"/>
      <c r="B1390" s="200"/>
      <c r="C1390" s="200"/>
      <c r="D1390" s="200"/>
      <c r="E1390" s="200"/>
      <c r="F1390" s="200"/>
      <c r="G1390" s="200"/>
      <c r="H1390" s="200"/>
      <c r="I1390" s="201"/>
      <c r="J1390" s="201"/>
      <c r="K1390" s="201"/>
      <c r="L1390" s="192"/>
      <c r="M1390" s="202"/>
      <c r="N1390" s="200"/>
      <c r="O1390" s="192"/>
      <c r="P1390" s="192"/>
      <c r="Q1390" s="192"/>
      <c r="R1390" s="192"/>
      <c r="S1390" s="202"/>
      <c r="T1390" s="203"/>
      <c r="U1390" s="153"/>
      <c r="V1390" s="153"/>
      <c r="W1390" s="153"/>
      <c r="X1390" s="153"/>
      <c r="Y1390" s="153"/>
      <c r="Z1390" s="153"/>
    </row>
    <row r="1391" spans="1:26">
      <c r="A1391" s="769"/>
      <c r="B1391" s="200"/>
      <c r="C1391" s="200"/>
      <c r="D1391" s="200"/>
      <c r="E1391" s="200"/>
      <c r="F1391" s="200"/>
      <c r="G1391" s="200"/>
      <c r="H1391" s="200"/>
      <c r="I1391" s="201"/>
      <c r="J1391" s="201"/>
      <c r="K1391" s="201"/>
      <c r="L1391" s="192"/>
      <c r="M1391" s="202"/>
      <c r="N1391" s="200"/>
      <c r="O1391" s="192"/>
      <c r="P1391" s="192"/>
      <c r="Q1391" s="192"/>
      <c r="R1391" s="192"/>
      <c r="S1391" s="202"/>
      <c r="T1391" s="203"/>
      <c r="U1391" s="153"/>
      <c r="V1391" s="153"/>
      <c r="W1391" s="153"/>
      <c r="X1391" s="153"/>
      <c r="Y1391" s="153"/>
      <c r="Z1391" s="153"/>
    </row>
    <row r="1392" spans="1:26">
      <c r="A1392" s="769"/>
      <c r="B1392" s="200"/>
      <c r="C1392" s="200"/>
      <c r="D1392" s="200"/>
      <c r="E1392" s="200"/>
      <c r="F1392" s="200"/>
      <c r="G1392" s="200"/>
      <c r="H1392" s="200"/>
      <c r="I1392" s="201"/>
      <c r="J1392" s="201"/>
      <c r="K1392" s="201"/>
      <c r="L1392" s="192"/>
      <c r="M1392" s="202"/>
      <c r="N1392" s="200"/>
      <c r="O1392" s="192"/>
      <c r="P1392" s="192"/>
      <c r="Q1392" s="192"/>
      <c r="R1392" s="192"/>
      <c r="S1392" s="202"/>
      <c r="T1392" s="203"/>
      <c r="U1392" s="153"/>
      <c r="V1392" s="153"/>
      <c r="W1392" s="153"/>
      <c r="X1392" s="153"/>
      <c r="Y1392" s="153"/>
      <c r="Z1392" s="153"/>
    </row>
    <row r="1393" spans="1:26">
      <c r="A1393" s="769"/>
      <c r="B1393" s="200"/>
      <c r="C1393" s="200"/>
      <c r="D1393" s="200"/>
      <c r="E1393" s="200"/>
      <c r="F1393" s="200"/>
      <c r="G1393" s="200"/>
      <c r="H1393" s="200"/>
      <c r="I1393" s="201"/>
      <c r="J1393" s="201"/>
      <c r="K1393" s="201"/>
      <c r="L1393" s="192"/>
      <c r="M1393" s="202"/>
      <c r="N1393" s="200"/>
      <c r="O1393" s="192"/>
      <c r="P1393" s="192"/>
      <c r="Q1393" s="192"/>
      <c r="R1393" s="192"/>
      <c r="S1393" s="202"/>
      <c r="T1393" s="203"/>
      <c r="U1393" s="153"/>
      <c r="V1393" s="153"/>
      <c r="W1393" s="153"/>
      <c r="X1393" s="153"/>
      <c r="Y1393" s="153"/>
      <c r="Z1393" s="153"/>
    </row>
    <row r="1394" spans="1:26">
      <c r="A1394" s="769"/>
      <c r="B1394" s="200"/>
      <c r="C1394" s="200"/>
      <c r="D1394" s="200"/>
      <c r="E1394" s="200"/>
      <c r="F1394" s="200"/>
      <c r="G1394" s="200"/>
      <c r="H1394" s="200"/>
      <c r="I1394" s="201"/>
      <c r="J1394" s="201"/>
      <c r="K1394" s="201"/>
      <c r="L1394" s="192"/>
      <c r="M1394" s="202"/>
      <c r="N1394" s="200"/>
      <c r="O1394" s="192"/>
      <c r="P1394" s="192"/>
      <c r="Q1394" s="192"/>
      <c r="R1394" s="192"/>
      <c r="S1394" s="202"/>
      <c r="T1394" s="203"/>
      <c r="U1394" s="153"/>
      <c r="V1394" s="153"/>
      <c r="W1394" s="153"/>
      <c r="X1394" s="153"/>
      <c r="Y1394" s="153"/>
      <c r="Z1394" s="153"/>
    </row>
    <row r="1395" spans="1:26">
      <c r="A1395" s="769"/>
      <c r="B1395" s="200"/>
      <c r="C1395" s="200"/>
      <c r="D1395" s="200"/>
      <c r="E1395" s="200"/>
      <c r="F1395" s="200"/>
      <c r="G1395" s="200"/>
      <c r="H1395" s="200"/>
      <c r="I1395" s="201"/>
      <c r="J1395" s="201"/>
      <c r="K1395" s="201"/>
      <c r="L1395" s="192"/>
      <c r="M1395" s="202"/>
      <c r="N1395" s="200"/>
      <c r="O1395" s="192"/>
      <c r="P1395" s="192"/>
      <c r="Q1395" s="192"/>
      <c r="R1395" s="192"/>
      <c r="S1395" s="202"/>
      <c r="T1395" s="203"/>
      <c r="U1395" s="153"/>
      <c r="V1395" s="153"/>
      <c r="W1395" s="153"/>
      <c r="X1395" s="153"/>
      <c r="Y1395" s="153"/>
      <c r="Z1395" s="153"/>
    </row>
    <row r="1396" spans="1:26">
      <c r="A1396" s="769"/>
      <c r="B1396" s="200"/>
      <c r="C1396" s="200"/>
      <c r="D1396" s="200"/>
      <c r="E1396" s="200"/>
      <c r="F1396" s="200"/>
      <c r="G1396" s="200"/>
      <c r="H1396" s="200"/>
      <c r="I1396" s="201"/>
      <c r="J1396" s="201"/>
      <c r="K1396" s="201"/>
      <c r="L1396" s="192"/>
      <c r="M1396" s="202"/>
      <c r="N1396" s="200"/>
      <c r="O1396" s="192"/>
      <c r="P1396" s="192"/>
      <c r="Q1396" s="192"/>
      <c r="R1396" s="192"/>
      <c r="S1396" s="202"/>
      <c r="T1396" s="203"/>
      <c r="U1396" s="153"/>
      <c r="V1396" s="153"/>
      <c r="W1396" s="153"/>
      <c r="X1396" s="153"/>
      <c r="Y1396" s="153"/>
      <c r="Z1396" s="153"/>
    </row>
    <row r="1397" spans="1:26">
      <c r="A1397" s="769"/>
      <c r="B1397" s="200"/>
      <c r="C1397" s="200"/>
      <c r="D1397" s="200"/>
      <c r="E1397" s="200"/>
      <c r="F1397" s="200"/>
      <c r="G1397" s="200"/>
      <c r="H1397" s="200"/>
      <c r="I1397" s="201"/>
      <c r="J1397" s="201"/>
      <c r="K1397" s="201"/>
      <c r="L1397" s="192"/>
      <c r="M1397" s="202"/>
      <c r="N1397" s="200"/>
      <c r="O1397" s="192"/>
      <c r="P1397" s="192"/>
      <c r="Q1397" s="192"/>
      <c r="R1397" s="192"/>
      <c r="S1397" s="202"/>
      <c r="T1397" s="203"/>
      <c r="U1397" s="153"/>
      <c r="V1397" s="153"/>
      <c r="W1397" s="153"/>
      <c r="X1397" s="153"/>
      <c r="Y1397" s="153"/>
      <c r="Z1397" s="153"/>
    </row>
    <row r="1398" spans="1:26">
      <c r="A1398" s="769"/>
      <c r="B1398" s="200"/>
      <c r="C1398" s="200"/>
      <c r="D1398" s="200"/>
      <c r="E1398" s="200"/>
      <c r="F1398" s="200"/>
      <c r="G1398" s="200"/>
      <c r="H1398" s="200"/>
      <c r="I1398" s="201"/>
      <c r="J1398" s="201"/>
      <c r="K1398" s="201"/>
      <c r="L1398" s="192"/>
      <c r="M1398" s="202"/>
      <c r="N1398" s="200"/>
      <c r="O1398" s="192"/>
      <c r="P1398" s="192"/>
      <c r="Q1398" s="192"/>
      <c r="R1398" s="192"/>
      <c r="S1398" s="202"/>
      <c r="T1398" s="203"/>
      <c r="U1398" s="153"/>
      <c r="V1398" s="153"/>
      <c r="W1398" s="153"/>
      <c r="X1398" s="153"/>
      <c r="Y1398" s="153"/>
      <c r="Z1398" s="153"/>
    </row>
    <row r="1399" spans="1:26">
      <c r="A1399" s="200"/>
      <c r="B1399" s="200"/>
      <c r="C1399" s="200"/>
      <c r="D1399" s="200"/>
      <c r="E1399" s="200"/>
      <c r="F1399" s="200"/>
      <c r="G1399" s="200"/>
      <c r="H1399" s="200"/>
      <c r="I1399" s="201"/>
      <c r="J1399" s="201"/>
      <c r="K1399" s="201"/>
      <c r="L1399" s="192"/>
      <c r="M1399" s="204"/>
      <c r="N1399" s="200"/>
      <c r="O1399" s="192"/>
      <c r="P1399" s="192"/>
      <c r="Q1399" s="192"/>
      <c r="R1399" s="192"/>
      <c r="S1399" s="204"/>
      <c r="T1399" s="203"/>
      <c r="U1399" s="153"/>
      <c r="V1399" s="153"/>
      <c r="W1399" s="153"/>
      <c r="X1399" s="153"/>
      <c r="Y1399" s="153"/>
      <c r="Z1399" s="153"/>
    </row>
    <row r="1400" spans="1:26">
      <c r="A1400" s="200"/>
      <c r="B1400" s="200"/>
      <c r="C1400" s="200"/>
      <c r="D1400" s="200"/>
      <c r="E1400" s="200"/>
      <c r="F1400" s="200"/>
      <c r="G1400" s="200"/>
      <c r="H1400" s="200"/>
      <c r="I1400" s="201"/>
      <c r="J1400" s="201"/>
      <c r="K1400" s="201"/>
      <c r="L1400" s="192"/>
      <c r="M1400" s="202"/>
      <c r="N1400" s="200"/>
      <c r="O1400" s="192"/>
      <c r="P1400" s="192"/>
      <c r="Q1400" s="192"/>
      <c r="R1400" s="192"/>
      <c r="S1400" s="202"/>
      <c r="T1400" s="203"/>
      <c r="U1400" s="153"/>
      <c r="V1400" s="153"/>
      <c r="W1400" s="153"/>
      <c r="X1400" s="153"/>
      <c r="Y1400" s="153"/>
      <c r="Z1400" s="153"/>
    </row>
    <row r="1401" spans="1:26">
      <c r="A1401" s="200"/>
      <c r="B1401" s="200"/>
      <c r="C1401" s="200"/>
      <c r="D1401" s="200"/>
      <c r="E1401" s="200"/>
      <c r="F1401" s="200"/>
      <c r="G1401" s="200"/>
      <c r="H1401" s="200"/>
      <c r="I1401" s="201"/>
      <c r="J1401" s="201"/>
      <c r="K1401" s="201"/>
      <c r="L1401" s="192"/>
      <c r="M1401" s="204"/>
      <c r="N1401" s="200"/>
      <c r="O1401" s="192"/>
      <c r="P1401" s="192"/>
      <c r="Q1401" s="192"/>
      <c r="R1401" s="192"/>
      <c r="S1401" s="204"/>
      <c r="T1401" s="203"/>
      <c r="U1401" s="153"/>
      <c r="V1401" s="153"/>
      <c r="W1401" s="153"/>
      <c r="X1401" s="153"/>
      <c r="Y1401" s="153"/>
      <c r="Z1401" s="153"/>
    </row>
    <row r="1402" spans="1:26">
      <c r="A1402" s="200"/>
      <c r="B1402" s="200"/>
      <c r="C1402" s="200"/>
      <c r="D1402" s="200"/>
      <c r="E1402" s="200"/>
      <c r="F1402" s="200"/>
      <c r="G1402" s="200"/>
      <c r="H1402" s="200"/>
      <c r="I1402" s="201"/>
      <c r="J1402" s="201"/>
      <c r="K1402" s="201"/>
      <c r="L1402" s="192"/>
      <c r="M1402" s="202"/>
      <c r="N1402" s="200"/>
      <c r="O1402" s="192"/>
      <c r="P1402" s="192"/>
      <c r="Q1402" s="192"/>
      <c r="R1402" s="192"/>
      <c r="S1402" s="202"/>
      <c r="T1402" s="203"/>
      <c r="U1402" s="153"/>
      <c r="V1402" s="153"/>
      <c r="W1402" s="153"/>
      <c r="X1402" s="153"/>
      <c r="Y1402" s="153"/>
      <c r="Z1402" s="153"/>
    </row>
    <row r="1403" spans="1:26">
      <c r="A1403" s="200"/>
      <c r="B1403" s="200"/>
      <c r="C1403" s="200"/>
      <c r="D1403" s="200"/>
      <c r="E1403" s="200"/>
      <c r="F1403" s="200"/>
      <c r="G1403" s="200"/>
      <c r="H1403" s="200"/>
      <c r="I1403" s="201"/>
      <c r="J1403" s="201"/>
      <c r="K1403" s="201"/>
      <c r="L1403" s="192"/>
      <c r="M1403" s="204"/>
      <c r="N1403" s="200"/>
      <c r="O1403" s="192"/>
      <c r="P1403" s="192"/>
      <c r="Q1403" s="192"/>
      <c r="R1403" s="192"/>
      <c r="S1403" s="204"/>
      <c r="T1403" s="203"/>
      <c r="U1403" s="153"/>
      <c r="V1403" s="153"/>
      <c r="W1403" s="153"/>
      <c r="X1403" s="153"/>
      <c r="Y1403" s="153"/>
      <c r="Z1403" s="153"/>
    </row>
    <row r="1404" spans="1:26">
      <c r="A1404" s="200"/>
      <c r="B1404" s="200"/>
      <c r="C1404" s="200"/>
      <c r="D1404" s="200"/>
      <c r="E1404" s="200"/>
      <c r="F1404" s="200"/>
      <c r="H1404" s="200"/>
      <c r="I1404" s="201"/>
      <c r="J1404" s="201"/>
      <c r="K1404" s="201"/>
      <c r="L1404" s="192"/>
      <c r="M1404" s="202"/>
      <c r="N1404" s="200"/>
      <c r="O1404" s="192"/>
      <c r="P1404" s="192"/>
      <c r="Q1404" s="192"/>
      <c r="R1404" s="192"/>
      <c r="S1404" s="202"/>
      <c r="T1404" s="203"/>
      <c r="U1404" s="153"/>
      <c r="V1404" s="153"/>
      <c r="W1404" s="153"/>
      <c r="X1404" s="153"/>
      <c r="Y1404" s="153"/>
      <c r="Z1404" s="153"/>
    </row>
    <row r="1405" spans="1:26">
      <c r="A1405" s="200"/>
      <c r="B1405" s="200"/>
      <c r="C1405" s="200"/>
      <c r="D1405" s="200"/>
      <c r="E1405" s="200"/>
      <c r="F1405" s="200"/>
      <c r="G1405" s="200"/>
      <c r="H1405" s="200"/>
      <c r="I1405" s="201"/>
      <c r="J1405" s="201"/>
      <c r="K1405" s="201"/>
      <c r="L1405" s="192"/>
      <c r="M1405" s="204"/>
      <c r="N1405" s="200"/>
      <c r="O1405" s="192"/>
      <c r="P1405" s="192"/>
      <c r="Q1405" s="192"/>
      <c r="R1405" s="192"/>
      <c r="S1405" s="204"/>
      <c r="T1405" s="203"/>
      <c r="U1405" s="153"/>
      <c r="V1405" s="153"/>
      <c r="W1405" s="153"/>
      <c r="X1405" s="153"/>
      <c r="Y1405" s="153"/>
      <c r="Z1405" s="153"/>
    </row>
    <row r="1406" spans="1:26">
      <c r="A1406" s="200"/>
      <c r="B1406" s="200"/>
      <c r="C1406" s="200"/>
      <c r="D1406" s="200"/>
      <c r="E1406" s="200"/>
      <c r="F1406" s="200"/>
      <c r="G1406" s="200"/>
      <c r="H1406" s="200"/>
      <c r="I1406" s="201"/>
      <c r="J1406" s="201"/>
      <c r="K1406" s="201"/>
      <c r="L1406" s="192"/>
      <c r="M1406" s="202"/>
      <c r="N1406" s="200"/>
      <c r="O1406" s="192"/>
      <c r="P1406" s="192"/>
      <c r="Q1406" s="192"/>
      <c r="R1406" s="192"/>
      <c r="S1406" s="202"/>
      <c r="T1406" s="203"/>
      <c r="U1406" s="153"/>
      <c r="V1406" s="153"/>
      <c r="W1406" s="153"/>
      <c r="X1406" s="153"/>
      <c r="Y1406" s="153"/>
      <c r="Z1406" s="153"/>
    </row>
    <row r="1407" spans="1:26">
      <c r="A1407" s="676"/>
      <c r="B1407" s="200"/>
      <c r="C1407" s="200"/>
      <c r="D1407" s="200"/>
      <c r="E1407" s="200"/>
      <c r="F1407" s="200"/>
      <c r="G1407" s="200"/>
      <c r="H1407" s="200"/>
      <c r="I1407" s="201"/>
      <c r="J1407" s="201"/>
      <c r="K1407" s="201"/>
      <c r="L1407" s="192"/>
      <c r="M1407" s="204"/>
      <c r="N1407" s="200"/>
      <c r="O1407" s="192"/>
      <c r="P1407" s="192"/>
      <c r="Q1407" s="192"/>
      <c r="R1407" s="192"/>
      <c r="S1407" s="204"/>
      <c r="T1407" s="203"/>
      <c r="U1407" s="153"/>
      <c r="V1407" s="153"/>
      <c r="W1407" s="153"/>
      <c r="X1407" s="153"/>
      <c r="Y1407" s="153"/>
      <c r="Z1407" s="153"/>
    </row>
    <row r="1408" spans="1:26">
      <c r="A1408" s="769"/>
      <c r="B1408" s="200"/>
      <c r="C1408" s="200"/>
      <c r="D1408" s="200"/>
      <c r="E1408" s="200"/>
      <c r="F1408" s="200"/>
      <c r="G1408" s="200"/>
      <c r="H1408" s="200"/>
      <c r="I1408" s="201"/>
      <c r="J1408" s="201"/>
      <c r="K1408" s="201"/>
      <c r="L1408" s="192"/>
      <c r="M1408" s="204"/>
      <c r="N1408" s="200"/>
      <c r="O1408" s="192"/>
      <c r="P1408" s="192"/>
      <c r="Q1408" s="192"/>
      <c r="R1408" s="192"/>
      <c r="S1408" s="204"/>
      <c r="T1408" s="203"/>
      <c r="U1408" s="153"/>
      <c r="V1408" s="153"/>
      <c r="W1408" s="153"/>
      <c r="X1408" s="153"/>
      <c r="Y1408" s="153"/>
      <c r="Z1408" s="153"/>
    </row>
    <row r="1409" spans="1:26">
      <c r="A1409" s="769"/>
      <c r="B1409" s="200"/>
      <c r="C1409" s="200"/>
      <c r="D1409" s="200"/>
      <c r="E1409" s="200"/>
      <c r="F1409" s="200"/>
      <c r="G1409" s="200"/>
      <c r="H1409" s="200"/>
      <c r="I1409" s="201"/>
      <c r="J1409" s="201"/>
      <c r="K1409" s="201"/>
      <c r="L1409" s="192"/>
      <c r="M1409" s="204"/>
      <c r="N1409" s="200"/>
      <c r="O1409" s="192"/>
      <c r="P1409" s="192"/>
      <c r="Q1409" s="192"/>
      <c r="R1409" s="192"/>
      <c r="S1409" s="204"/>
      <c r="T1409" s="203"/>
      <c r="U1409" s="153"/>
      <c r="V1409" s="153"/>
      <c r="W1409" s="153"/>
      <c r="X1409" s="153"/>
      <c r="Y1409" s="153"/>
      <c r="Z1409" s="153"/>
    </row>
    <row r="1410" spans="1:26">
      <c r="A1410" s="769"/>
      <c r="B1410" s="200"/>
      <c r="C1410" s="200"/>
      <c r="D1410" s="200"/>
      <c r="E1410" s="200"/>
      <c r="F1410" s="200"/>
      <c r="G1410" s="200"/>
      <c r="H1410" s="200"/>
      <c r="I1410" s="201"/>
      <c r="J1410" s="201"/>
      <c r="K1410" s="201"/>
      <c r="L1410" s="192"/>
      <c r="M1410" s="204"/>
      <c r="N1410" s="200"/>
      <c r="O1410" s="192"/>
      <c r="P1410" s="192"/>
      <c r="Q1410" s="192"/>
      <c r="R1410" s="192"/>
      <c r="S1410" s="204"/>
      <c r="T1410" s="203"/>
      <c r="U1410" s="153"/>
      <c r="V1410" s="153"/>
      <c r="W1410" s="153"/>
      <c r="X1410" s="153"/>
      <c r="Y1410" s="153"/>
      <c r="Z1410" s="153"/>
    </row>
    <row r="1411" spans="1:26">
      <c r="A1411" s="769"/>
      <c r="B1411" s="200"/>
      <c r="C1411" s="200"/>
      <c r="D1411" s="200"/>
      <c r="E1411" s="200"/>
      <c r="F1411" s="200"/>
      <c r="G1411" s="200"/>
      <c r="H1411" s="200"/>
      <c r="I1411" s="201"/>
      <c r="J1411" s="201"/>
      <c r="K1411" s="201"/>
      <c r="L1411" s="192"/>
      <c r="M1411" s="204"/>
      <c r="N1411" s="200"/>
      <c r="O1411" s="192"/>
      <c r="P1411" s="192"/>
      <c r="Q1411" s="192"/>
      <c r="R1411" s="192"/>
      <c r="S1411" s="204"/>
      <c r="T1411" s="203"/>
      <c r="U1411" s="153"/>
      <c r="V1411" s="153"/>
      <c r="W1411" s="153"/>
      <c r="X1411" s="153"/>
      <c r="Y1411" s="153"/>
      <c r="Z1411" s="153"/>
    </row>
    <row r="1412" spans="1:26">
      <c r="A1412" s="769"/>
      <c r="B1412" s="200"/>
      <c r="C1412" s="200"/>
      <c r="D1412" s="200"/>
      <c r="E1412" s="200"/>
      <c r="F1412" s="200"/>
      <c r="G1412" s="200"/>
      <c r="H1412" s="200"/>
      <c r="I1412" s="201"/>
      <c r="J1412" s="201"/>
      <c r="K1412" s="201"/>
      <c r="L1412" s="192"/>
      <c r="M1412" s="204"/>
      <c r="N1412" s="200"/>
      <c r="O1412" s="192"/>
      <c r="P1412" s="192"/>
      <c r="Q1412" s="192"/>
      <c r="R1412" s="192"/>
      <c r="S1412" s="204"/>
      <c r="T1412" s="203"/>
      <c r="U1412" s="153"/>
      <c r="V1412" s="153"/>
      <c r="W1412" s="153"/>
      <c r="X1412" s="153"/>
      <c r="Y1412" s="153"/>
      <c r="Z1412" s="153"/>
    </row>
    <row r="1413" spans="1:26">
      <c r="A1413" s="769"/>
      <c r="B1413" s="200"/>
      <c r="C1413" s="200"/>
      <c r="D1413" s="200"/>
      <c r="E1413" s="200"/>
      <c r="F1413" s="200"/>
      <c r="G1413" s="200"/>
      <c r="H1413" s="200"/>
      <c r="I1413" s="201"/>
      <c r="J1413" s="201"/>
      <c r="K1413" s="201"/>
      <c r="L1413" s="192"/>
      <c r="M1413" s="204"/>
      <c r="N1413" s="200"/>
      <c r="O1413" s="192"/>
      <c r="P1413" s="192"/>
      <c r="Q1413" s="192"/>
      <c r="R1413" s="192"/>
      <c r="S1413" s="204"/>
      <c r="T1413" s="203"/>
      <c r="U1413" s="153"/>
      <c r="V1413" s="153"/>
      <c r="W1413" s="153"/>
      <c r="X1413" s="153"/>
      <c r="Y1413" s="153"/>
      <c r="Z1413" s="153"/>
    </row>
    <row r="1414" spans="1:26">
      <c r="A1414" s="769"/>
      <c r="B1414" s="200"/>
      <c r="C1414" s="200"/>
      <c r="D1414" s="200"/>
      <c r="E1414" s="200"/>
      <c r="F1414" s="200"/>
      <c r="G1414" s="200"/>
      <c r="H1414" s="200"/>
      <c r="I1414" s="201"/>
      <c r="J1414" s="201"/>
      <c r="K1414" s="201"/>
      <c r="L1414" s="192"/>
      <c r="M1414" s="204"/>
      <c r="N1414" s="200"/>
      <c r="O1414" s="192"/>
      <c r="P1414" s="192"/>
      <c r="Q1414" s="192"/>
      <c r="R1414" s="192"/>
      <c r="S1414" s="204"/>
      <c r="T1414" s="203"/>
      <c r="U1414" s="153"/>
      <c r="V1414" s="153"/>
      <c r="W1414" s="153"/>
      <c r="X1414" s="153"/>
      <c r="Y1414" s="153"/>
      <c r="Z1414" s="153"/>
    </row>
    <row r="1415" spans="1:26">
      <c r="A1415" s="769"/>
      <c r="B1415" s="200"/>
      <c r="C1415" s="200"/>
      <c r="D1415" s="200"/>
      <c r="E1415" s="200"/>
      <c r="F1415" s="200"/>
      <c r="G1415" s="200"/>
      <c r="H1415" s="200"/>
      <c r="I1415" s="201"/>
      <c r="J1415" s="201"/>
      <c r="K1415" s="201"/>
      <c r="L1415" s="192"/>
      <c r="M1415" s="204"/>
      <c r="N1415" s="200"/>
      <c r="O1415" s="192"/>
      <c r="P1415" s="192"/>
      <c r="Q1415" s="192"/>
      <c r="R1415" s="192"/>
      <c r="S1415" s="204"/>
      <c r="T1415" s="203"/>
      <c r="U1415" s="153"/>
      <c r="V1415" s="153"/>
      <c r="W1415" s="153"/>
      <c r="X1415" s="153"/>
      <c r="Y1415" s="153"/>
      <c r="Z1415" s="153"/>
    </row>
    <row r="1416" spans="1:26">
      <c r="A1416" s="769"/>
      <c r="B1416" s="200"/>
      <c r="C1416" s="200"/>
      <c r="D1416" s="200"/>
      <c r="E1416" s="200"/>
      <c r="F1416" s="200"/>
      <c r="G1416" s="200"/>
      <c r="H1416" s="200"/>
      <c r="I1416" s="201"/>
      <c r="J1416" s="201"/>
      <c r="K1416" s="201"/>
      <c r="L1416" s="192"/>
      <c r="M1416" s="204"/>
      <c r="N1416" s="200"/>
      <c r="O1416" s="192"/>
      <c r="P1416" s="192"/>
      <c r="Q1416" s="192"/>
      <c r="R1416" s="192"/>
      <c r="S1416" s="204"/>
      <c r="T1416" s="203"/>
      <c r="U1416" s="153"/>
      <c r="V1416" s="153"/>
      <c r="W1416" s="153"/>
      <c r="X1416" s="153"/>
      <c r="Y1416" s="153"/>
      <c r="Z1416" s="153"/>
    </row>
    <row r="1417" spans="1:26">
      <c r="A1417" s="769"/>
      <c r="B1417" s="200"/>
      <c r="C1417" s="200"/>
      <c r="D1417" s="200"/>
      <c r="E1417" s="200"/>
      <c r="F1417" s="200"/>
      <c r="G1417" s="200"/>
      <c r="H1417" s="200"/>
      <c r="I1417" s="201"/>
      <c r="J1417" s="201"/>
      <c r="K1417" s="201"/>
      <c r="L1417" s="192"/>
      <c r="M1417" s="204"/>
      <c r="N1417" s="200"/>
      <c r="O1417" s="192"/>
      <c r="P1417" s="192"/>
      <c r="Q1417" s="192"/>
      <c r="R1417" s="192"/>
      <c r="S1417" s="204"/>
      <c r="T1417" s="203"/>
      <c r="U1417" s="153"/>
      <c r="V1417" s="153"/>
      <c r="W1417" s="153"/>
      <c r="X1417" s="153"/>
      <c r="Y1417" s="153"/>
      <c r="Z1417" s="153"/>
    </row>
    <row r="1418" spans="1:26">
      <c r="A1418" s="769"/>
      <c r="B1418" s="200"/>
      <c r="C1418" s="200"/>
      <c r="D1418" s="200"/>
      <c r="E1418" s="200"/>
      <c r="F1418" s="200"/>
      <c r="G1418" s="200"/>
      <c r="H1418" s="200"/>
      <c r="I1418" s="201"/>
      <c r="J1418" s="201"/>
      <c r="K1418" s="201"/>
      <c r="L1418" s="192"/>
      <c r="M1418" s="204"/>
      <c r="N1418" s="200"/>
      <c r="O1418" s="192"/>
      <c r="P1418" s="192"/>
      <c r="Q1418" s="192"/>
      <c r="R1418" s="192"/>
      <c r="S1418" s="204"/>
      <c r="T1418" s="203"/>
      <c r="U1418" s="153"/>
      <c r="V1418" s="153"/>
      <c r="W1418" s="153"/>
      <c r="X1418" s="153"/>
      <c r="Y1418" s="153"/>
      <c r="Z1418" s="153"/>
    </row>
    <row r="1419" spans="1:26">
      <c r="A1419" s="769"/>
      <c r="B1419" s="200"/>
      <c r="C1419" s="200"/>
      <c r="D1419" s="200"/>
      <c r="E1419" s="200"/>
      <c r="F1419" s="200"/>
      <c r="G1419" s="200"/>
      <c r="H1419" s="200"/>
      <c r="I1419" s="201"/>
      <c r="J1419" s="201"/>
      <c r="K1419" s="201"/>
      <c r="L1419" s="192"/>
      <c r="M1419" s="204"/>
      <c r="N1419" s="200"/>
      <c r="O1419" s="192"/>
      <c r="P1419" s="192"/>
      <c r="Q1419" s="192"/>
      <c r="R1419" s="192"/>
      <c r="S1419" s="204"/>
      <c r="T1419" s="203"/>
      <c r="U1419" s="153"/>
      <c r="V1419" s="153"/>
      <c r="W1419" s="153"/>
      <c r="X1419" s="153"/>
      <c r="Y1419" s="153"/>
      <c r="Z1419" s="153"/>
    </row>
    <row r="1420" spans="1:26">
      <c r="A1420" s="769"/>
      <c r="B1420" s="200"/>
      <c r="C1420" s="200"/>
      <c r="D1420" s="200"/>
      <c r="E1420" s="200"/>
      <c r="F1420" s="200"/>
      <c r="G1420" s="200"/>
      <c r="H1420" s="200"/>
      <c r="I1420" s="201"/>
      <c r="J1420" s="201"/>
      <c r="K1420" s="201"/>
      <c r="L1420" s="192"/>
      <c r="M1420" s="204"/>
      <c r="N1420" s="200"/>
      <c r="O1420" s="192"/>
      <c r="P1420" s="192"/>
      <c r="Q1420" s="192"/>
      <c r="R1420" s="192"/>
      <c r="S1420" s="204"/>
      <c r="T1420" s="203"/>
      <c r="U1420" s="153"/>
      <c r="V1420" s="153"/>
      <c r="W1420" s="153"/>
      <c r="X1420" s="153"/>
      <c r="Y1420" s="153"/>
      <c r="Z1420" s="153"/>
    </row>
    <row r="1421" spans="1:26">
      <c r="A1421" s="769"/>
      <c r="B1421" s="200"/>
      <c r="C1421" s="200"/>
      <c r="D1421" s="200"/>
      <c r="E1421" s="200"/>
      <c r="F1421" s="200"/>
      <c r="G1421" s="200"/>
      <c r="H1421" s="200"/>
      <c r="I1421" s="201"/>
      <c r="J1421" s="201"/>
      <c r="K1421" s="201"/>
      <c r="L1421" s="192"/>
      <c r="M1421" s="204"/>
      <c r="N1421" s="200"/>
      <c r="O1421" s="192"/>
      <c r="P1421" s="192"/>
      <c r="Q1421" s="192"/>
      <c r="R1421" s="192"/>
      <c r="S1421" s="204"/>
      <c r="T1421" s="203"/>
      <c r="U1421" s="153"/>
      <c r="V1421" s="153"/>
      <c r="W1421" s="153"/>
      <c r="X1421" s="153"/>
      <c r="Y1421" s="153"/>
      <c r="Z1421" s="153"/>
    </row>
    <row r="1422" spans="1:26">
      <c r="A1422" s="769"/>
      <c r="B1422" s="200"/>
      <c r="C1422" s="200"/>
      <c r="D1422" s="200"/>
      <c r="E1422" s="200"/>
      <c r="F1422" s="200"/>
      <c r="G1422" s="200"/>
      <c r="H1422" s="200"/>
      <c r="I1422" s="201"/>
      <c r="J1422" s="201"/>
      <c r="K1422" s="201"/>
      <c r="L1422" s="192"/>
      <c r="M1422" s="204"/>
      <c r="N1422" s="200"/>
      <c r="O1422" s="192"/>
      <c r="P1422" s="192"/>
      <c r="Q1422" s="192"/>
      <c r="R1422" s="192"/>
      <c r="S1422" s="204"/>
      <c r="T1422" s="203"/>
      <c r="U1422" s="153"/>
      <c r="V1422" s="153"/>
      <c r="W1422" s="153"/>
      <c r="X1422" s="153"/>
      <c r="Y1422" s="153"/>
      <c r="Z1422" s="153"/>
    </row>
    <row r="1423" spans="1:26">
      <c r="A1423" s="769"/>
      <c r="B1423" s="200"/>
      <c r="C1423" s="200"/>
      <c r="D1423" s="200"/>
      <c r="E1423" s="200"/>
      <c r="F1423" s="200"/>
      <c r="G1423" s="200"/>
      <c r="H1423" s="200"/>
      <c r="I1423" s="201"/>
      <c r="J1423" s="201"/>
      <c r="K1423" s="201"/>
      <c r="L1423" s="192"/>
      <c r="M1423" s="204"/>
      <c r="N1423" s="200"/>
      <c r="O1423" s="192"/>
      <c r="P1423" s="192"/>
      <c r="Q1423" s="192"/>
      <c r="R1423" s="192"/>
      <c r="S1423" s="204"/>
      <c r="T1423" s="203"/>
      <c r="U1423" s="153"/>
      <c r="V1423" s="153"/>
      <c r="W1423" s="153"/>
      <c r="X1423" s="153"/>
      <c r="Y1423" s="153"/>
      <c r="Z1423" s="153"/>
    </row>
    <row r="1424" spans="1:26">
      <c r="A1424" s="676"/>
      <c r="B1424" s="200"/>
      <c r="C1424" s="200"/>
      <c r="D1424" s="200"/>
      <c r="E1424" s="200"/>
      <c r="F1424" s="200"/>
      <c r="G1424" s="200"/>
      <c r="H1424" s="200"/>
      <c r="I1424" s="201"/>
      <c r="J1424" s="201"/>
      <c r="K1424" s="201"/>
      <c r="L1424" s="192"/>
      <c r="M1424" s="202"/>
      <c r="N1424" s="200"/>
      <c r="O1424" s="192"/>
      <c r="P1424" s="192"/>
      <c r="Q1424" s="192"/>
      <c r="R1424" s="192"/>
      <c r="S1424" s="202"/>
      <c r="T1424" s="203"/>
      <c r="U1424" s="153"/>
      <c r="V1424" s="153"/>
      <c r="W1424" s="153"/>
      <c r="X1424" s="153"/>
      <c r="Y1424" s="153"/>
      <c r="Z1424" s="153"/>
    </row>
    <row r="1425" spans="1:26">
      <c r="A1425" s="769"/>
      <c r="B1425" s="200"/>
      <c r="C1425" s="200"/>
      <c r="D1425" s="200"/>
      <c r="E1425" s="200"/>
      <c r="F1425" s="200"/>
      <c r="G1425" s="200"/>
      <c r="H1425" s="200"/>
      <c r="I1425" s="201"/>
      <c r="J1425" s="201"/>
      <c r="K1425" s="201"/>
      <c r="L1425" s="192"/>
      <c r="M1425" s="202"/>
      <c r="N1425" s="200"/>
      <c r="O1425" s="192"/>
      <c r="P1425" s="192"/>
      <c r="Q1425" s="192"/>
      <c r="R1425" s="192"/>
      <c r="S1425" s="202"/>
      <c r="T1425" s="203"/>
      <c r="U1425" s="153"/>
      <c r="V1425" s="153"/>
      <c r="W1425" s="153"/>
      <c r="X1425" s="153"/>
      <c r="Y1425" s="153"/>
      <c r="Z1425" s="153"/>
    </row>
    <row r="1426" spans="1:26">
      <c r="A1426" s="769"/>
      <c r="B1426" s="200"/>
      <c r="C1426" s="200"/>
      <c r="D1426" s="200"/>
      <c r="E1426" s="200"/>
      <c r="F1426" s="200"/>
      <c r="G1426" s="200"/>
      <c r="H1426" s="200"/>
      <c r="I1426" s="201"/>
      <c r="J1426" s="201"/>
      <c r="K1426" s="201"/>
      <c r="L1426" s="192"/>
      <c r="M1426" s="202"/>
      <c r="N1426" s="200"/>
      <c r="O1426" s="192"/>
      <c r="P1426" s="192"/>
      <c r="Q1426" s="192"/>
      <c r="R1426" s="192"/>
      <c r="S1426" s="202"/>
      <c r="T1426" s="203"/>
      <c r="U1426" s="153"/>
      <c r="V1426" s="153"/>
      <c r="W1426" s="153"/>
      <c r="X1426" s="153"/>
      <c r="Y1426" s="153"/>
      <c r="Z1426" s="153"/>
    </row>
    <row r="1427" spans="1:26">
      <c r="A1427" s="769"/>
      <c r="B1427" s="200"/>
      <c r="C1427" s="200"/>
      <c r="D1427" s="200"/>
      <c r="E1427" s="200"/>
      <c r="F1427" s="200"/>
      <c r="G1427" s="200"/>
      <c r="H1427" s="200"/>
      <c r="I1427" s="201"/>
      <c r="J1427" s="201"/>
      <c r="K1427" s="201"/>
      <c r="L1427" s="192"/>
      <c r="M1427" s="202"/>
      <c r="N1427" s="200"/>
      <c r="O1427" s="192"/>
      <c r="P1427" s="192"/>
      <c r="Q1427" s="192"/>
      <c r="R1427" s="192"/>
      <c r="S1427" s="202"/>
      <c r="T1427" s="203"/>
      <c r="U1427" s="153"/>
      <c r="V1427" s="153"/>
      <c r="W1427" s="153"/>
      <c r="X1427" s="153"/>
      <c r="Y1427" s="153"/>
      <c r="Z1427" s="153"/>
    </row>
    <row r="1428" spans="1:26">
      <c r="A1428" s="769"/>
      <c r="B1428" s="200"/>
      <c r="C1428" s="200"/>
      <c r="D1428" s="200"/>
      <c r="E1428" s="200"/>
      <c r="F1428" s="200"/>
      <c r="G1428" s="200"/>
      <c r="H1428" s="200"/>
      <c r="I1428" s="201"/>
      <c r="J1428" s="201"/>
      <c r="K1428" s="201"/>
      <c r="L1428" s="192"/>
      <c r="M1428" s="202"/>
      <c r="N1428" s="200"/>
      <c r="O1428" s="192"/>
      <c r="P1428" s="192"/>
      <c r="Q1428" s="192"/>
      <c r="R1428" s="192"/>
      <c r="S1428" s="202"/>
      <c r="T1428" s="203"/>
      <c r="U1428" s="153"/>
      <c r="V1428" s="153"/>
      <c r="W1428" s="153"/>
      <c r="X1428" s="153"/>
      <c r="Y1428" s="153"/>
      <c r="Z1428" s="153"/>
    </row>
    <row r="1429" spans="1:26">
      <c r="A1429" s="769"/>
      <c r="B1429" s="200"/>
      <c r="C1429" s="200"/>
      <c r="D1429" s="200"/>
      <c r="E1429" s="200"/>
      <c r="F1429" s="200"/>
      <c r="G1429" s="200"/>
      <c r="H1429" s="200"/>
      <c r="I1429" s="201"/>
      <c r="J1429" s="201"/>
      <c r="K1429" s="201"/>
      <c r="L1429" s="192"/>
      <c r="M1429" s="202"/>
      <c r="N1429" s="200"/>
      <c r="O1429" s="192"/>
      <c r="P1429" s="192"/>
      <c r="Q1429" s="192"/>
      <c r="R1429" s="192"/>
      <c r="S1429" s="202"/>
      <c r="T1429" s="203"/>
      <c r="U1429" s="153"/>
      <c r="V1429" s="153"/>
      <c r="W1429" s="153"/>
      <c r="X1429" s="153"/>
      <c r="Y1429" s="153"/>
      <c r="Z1429" s="153"/>
    </row>
    <row r="1430" spans="1:26">
      <c r="A1430" s="769"/>
      <c r="B1430" s="200"/>
      <c r="C1430" s="200"/>
      <c r="D1430" s="200"/>
      <c r="E1430" s="200"/>
      <c r="F1430" s="200"/>
      <c r="G1430" s="200"/>
      <c r="H1430" s="200"/>
      <c r="I1430" s="201"/>
      <c r="J1430" s="201"/>
      <c r="K1430" s="201"/>
      <c r="L1430" s="192"/>
      <c r="M1430" s="202"/>
      <c r="N1430" s="200"/>
      <c r="O1430" s="192"/>
      <c r="P1430" s="192"/>
      <c r="Q1430" s="192"/>
      <c r="R1430" s="192"/>
      <c r="S1430" s="202"/>
      <c r="T1430" s="203"/>
      <c r="U1430" s="153"/>
      <c r="V1430" s="153"/>
      <c r="W1430" s="153"/>
      <c r="X1430" s="153"/>
      <c r="Y1430" s="153"/>
      <c r="Z1430" s="153"/>
    </row>
    <row r="1431" spans="1:26">
      <c r="A1431" s="769"/>
      <c r="B1431" s="200"/>
      <c r="C1431" s="200"/>
      <c r="D1431" s="200"/>
      <c r="E1431" s="200"/>
      <c r="F1431" s="200"/>
      <c r="G1431" s="200"/>
      <c r="H1431" s="200"/>
      <c r="I1431" s="201"/>
      <c r="J1431" s="201"/>
      <c r="K1431" s="201"/>
      <c r="L1431" s="192"/>
      <c r="M1431" s="202"/>
      <c r="N1431" s="200"/>
      <c r="O1431" s="192"/>
      <c r="P1431" s="192"/>
      <c r="Q1431" s="192"/>
      <c r="R1431" s="192"/>
      <c r="S1431" s="202"/>
      <c r="T1431" s="203"/>
      <c r="U1431" s="153"/>
      <c r="V1431" s="153"/>
      <c r="W1431" s="153"/>
      <c r="X1431" s="153"/>
      <c r="Y1431" s="153"/>
      <c r="Z1431" s="153"/>
    </row>
    <row r="1432" spans="1:26">
      <c r="A1432" s="769"/>
      <c r="B1432" s="200"/>
      <c r="C1432" s="200"/>
      <c r="D1432" s="200"/>
      <c r="E1432" s="200"/>
      <c r="F1432" s="200"/>
      <c r="G1432" s="200"/>
      <c r="H1432" s="200"/>
      <c r="I1432" s="201"/>
      <c r="J1432" s="201"/>
      <c r="K1432" s="201"/>
      <c r="L1432" s="192"/>
      <c r="M1432" s="202"/>
      <c r="N1432" s="200"/>
      <c r="O1432" s="192"/>
      <c r="P1432" s="192"/>
      <c r="Q1432" s="192"/>
      <c r="R1432" s="192"/>
      <c r="S1432" s="202"/>
      <c r="T1432" s="203"/>
      <c r="U1432" s="153"/>
      <c r="V1432" s="153"/>
      <c r="W1432" s="153"/>
      <c r="X1432" s="153"/>
      <c r="Y1432" s="153"/>
      <c r="Z1432" s="153"/>
    </row>
    <row r="1433" spans="1:26">
      <c r="A1433" s="769"/>
      <c r="B1433" s="200"/>
      <c r="C1433" s="200"/>
      <c r="D1433" s="200"/>
      <c r="E1433" s="200"/>
      <c r="F1433" s="200"/>
      <c r="G1433" s="200"/>
      <c r="H1433" s="200"/>
      <c r="I1433" s="201"/>
      <c r="J1433" s="201"/>
      <c r="K1433" s="201"/>
      <c r="L1433" s="192"/>
      <c r="M1433" s="202"/>
      <c r="N1433" s="200"/>
      <c r="O1433" s="192"/>
      <c r="P1433" s="192"/>
      <c r="Q1433" s="192"/>
      <c r="R1433" s="192"/>
      <c r="S1433" s="202"/>
      <c r="T1433" s="203"/>
      <c r="U1433" s="153"/>
      <c r="V1433" s="153"/>
      <c r="W1433" s="153"/>
      <c r="X1433" s="153"/>
      <c r="Y1433" s="153"/>
      <c r="Z1433" s="153"/>
    </row>
    <row r="1434" spans="1:26">
      <c r="A1434" s="769"/>
      <c r="B1434" s="200"/>
      <c r="C1434" s="200"/>
      <c r="D1434" s="200"/>
      <c r="E1434" s="200"/>
      <c r="F1434" s="200"/>
      <c r="G1434" s="200"/>
      <c r="H1434" s="200"/>
      <c r="I1434" s="201"/>
      <c r="J1434" s="201"/>
      <c r="K1434" s="201"/>
      <c r="L1434" s="192"/>
      <c r="M1434" s="202"/>
      <c r="N1434" s="200"/>
      <c r="O1434" s="192"/>
      <c r="P1434" s="192"/>
      <c r="Q1434" s="192"/>
      <c r="R1434" s="192"/>
      <c r="S1434" s="202"/>
      <c r="T1434" s="203"/>
      <c r="U1434" s="153"/>
      <c r="V1434" s="153"/>
      <c r="W1434" s="153"/>
      <c r="X1434" s="153"/>
      <c r="Y1434" s="153"/>
      <c r="Z1434" s="153"/>
    </row>
    <row r="1435" spans="1:26">
      <c r="A1435" s="769"/>
      <c r="B1435" s="200"/>
      <c r="C1435" s="200"/>
      <c r="D1435" s="200"/>
      <c r="E1435" s="200"/>
      <c r="F1435" s="200"/>
      <c r="G1435" s="200"/>
      <c r="H1435" s="200"/>
      <c r="I1435" s="201"/>
      <c r="J1435" s="201"/>
      <c r="K1435" s="201"/>
      <c r="L1435" s="192"/>
      <c r="M1435" s="202"/>
      <c r="N1435" s="200"/>
      <c r="O1435" s="192"/>
      <c r="P1435" s="192"/>
      <c r="Q1435" s="192"/>
      <c r="R1435" s="192"/>
      <c r="S1435" s="202"/>
      <c r="T1435" s="203"/>
      <c r="U1435" s="153"/>
      <c r="V1435" s="153"/>
      <c r="W1435" s="153"/>
      <c r="X1435" s="153"/>
      <c r="Y1435" s="153"/>
      <c r="Z1435" s="153"/>
    </row>
    <row r="1436" spans="1:26">
      <c r="A1436" s="769"/>
      <c r="B1436" s="200"/>
      <c r="C1436" s="200"/>
      <c r="D1436" s="200"/>
      <c r="E1436" s="200"/>
      <c r="F1436" s="200"/>
      <c r="G1436" s="200"/>
      <c r="H1436" s="200"/>
      <c r="I1436" s="201"/>
      <c r="J1436" s="201"/>
      <c r="K1436" s="201"/>
      <c r="L1436" s="192"/>
      <c r="M1436" s="202"/>
      <c r="N1436" s="200"/>
      <c r="O1436" s="192"/>
      <c r="P1436" s="192"/>
      <c r="Q1436" s="192"/>
      <c r="R1436" s="192"/>
      <c r="S1436" s="202"/>
      <c r="T1436" s="203"/>
      <c r="U1436" s="153"/>
      <c r="V1436" s="153"/>
      <c r="W1436" s="153"/>
      <c r="X1436" s="153"/>
      <c r="Y1436" s="153"/>
      <c r="Z1436" s="153"/>
    </row>
    <row r="1437" spans="1:26">
      <c r="A1437" s="769"/>
      <c r="B1437" s="200"/>
      <c r="C1437" s="200"/>
      <c r="D1437" s="200"/>
      <c r="E1437" s="200"/>
      <c r="F1437" s="200"/>
      <c r="G1437" s="200"/>
      <c r="H1437" s="200"/>
      <c r="I1437" s="201"/>
      <c r="J1437" s="201"/>
      <c r="K1437" s="201"/>
      <c r="L1437" s="192"/>
      <c r="M1437" s="202"/>
      <c r="N1437" s="200"/>
      <c r="O1437" s="192"/>
      <c r="P1437" s="192"/>
      <c r="Q1437" s="192"/>
      <c r="R1437" s="192"/>
      <c r="S1437" s="202"/>
      <c r="T1437" s="203"/>
      <c r="U1437" s="153"/>
      <c r="V1437" s="153"/>
      <c r="W1437" s="153"/>
      <c r="X1437" s="153"/>
      <c r="Y1437" s="153"/>
      <c r="Z1437" s="153"/>
    </row>
    <row r="1438" spans="1:26">
      <c r="A1438" s="769"/>
      <c r="B1438" s="200"/>
      <c r="C1438" s="200"/>
      <c r="D1438" s="200"/>
      <c r="E1438" s="200"/>
      <c r="F1438" s="200"/>
      <c r="G1438" s="200"/>
      <c r="H1438" s="200"/>
      <c r="I1438" s="201"/>
      <c r="J1438" s="201"/>
      <c r="K1438" s="201"/>
      <c r="L1438" s="192"/>
      <c r="M1438" s="202"/>
      <c r="N1438" s="200"/>
      <c r="O1438" s="192"/>
      <c r="P1438" s="192"/>
      <c r="Q1438" s="192"/>
      <c r="R1438" s="192"/>
      <c r="S1438" s="202"/>
      <c r="T1438" s="203"/>
      <c r="U1438" s="153"/>
      <c r="V1438" s="153"/>
      <c r="W1438" s="153"/>
      <c r="X1438" s="153"/>
      <c r="Y1438" s="153"/>
      <c r="Z1438" s="153"/>
    </row>
    <row r="1439" spans="1:26">
      <c r="A1439" s="769"/>
      <c r="B1439" s="200"/>
      <c r="C1439" s="200"/>
      <c r="D1439" s="200"/>
      <c r="E1439" s="200"/>
      <c r="F1439" s="200"/>
      <c r="G1439" s="200"/>
      <c r="H1439" s="200"/>
      <c r="I1439" s="201"/>
      <c r="J1439" s="201"/>
      <c r="K1439" s="201"/>
      <c r="L1439" s="192"/>
      <c r="M1439" s="202"/>
      <c r="N1439" s="200"/>
      <c r="O1439" s="192"/>
      <c r="P1439" s="192"/>
      <c r="Q1439" s="192"/>
      <c r="R1439" s="192"/>
      <c r="S1439" s="202"/>
      <c r="T1439" s="203"/>
      <c r="U1439" s="153"/>
      <c r="V1439" s="153"/>
      <c r="W1439" s="153"/>
      <c r="X1439" s="153"/>
      <c r="Y1439" s="153"/>
      <c r="Z1439" s="153"/>
    </row>
    <row r="1440" spans="1:26">
      <c r="A1440" s="769"/>
      <c r="B1440" s="200"/>
      <c r="C1440" s="200"/>
      <c r="D1440" s="200"/>
      <c r="E1440" s="200"/>
      <c r="F1440" s="200"/>
      <c r="G1440" s="200"/>
      <c r="H1440" s="200"/>
      <c r="I1440" s="201"/>
      <c r="J1440" s="201"/>
      <c r="K1440" s="201"/>
      <c r="L1440" s="192"/>
      <c r="M1440" s="202"/>
      <c r="N1440" s="200"/>
      <c r="O1440" s="192"/>
      <c r="P1440" s="192"/>
      <c r="Q1440" s="192"/>
      <c r="R1440" s="192"/>
      <c r="S1440" s="202"/>
      <c r="T1440" s="203"/>
      <c r="U1440" s="153"/>
      <c r="V1440" s="153"/>
      <c r="W1440" s="153"/>
      <c r="X1440" s="153"/>
      <c r="Y1440" s="153"/>
      <c r="Z1440" s="153"/>
    </row>
    <row r="1441" spans="1:26">
      <c r="A1441" s="205"/>
      <c r="B1441" s="200"/>
      <c r="C1441" s="200"/>
      <c r="D1441" s="205"/>
      <c r="E1441" s="200"/>
      <c r="F1441" s="200"/>
      <c r="G1441" s="200"/>
      <c r="H1441" s="200"/>
      <c r="I1441" s="201"/>
      <c r="J1441" s="201"/>
      <c r="K1441" s="201"/>
      <c r="L1441" s="192"/>
      <c r="M1441" s="204"/>
      <c r="N1441" s="200"/>
      <c r="O1441" s="192"/>
      <c r="P1441" s="192"/>
      <c r="Q1441" s="192"/>
      <c r="R1441" s="192"/>
      <c r="S1441" s="204"/>
      <c r="T1441" s="203"/>
      <c r="U1441" s="153"/>
      <c r="V1441" s="153"/>
      <c r="W1441" s="153"/>
      <c r="X1441" s="153"/>
      <c r="Y1441" s="153"/>
      <c r="Z1441" s="153"/>
    </row>
    <row r="1442" spans="1:26">
      <c r="A1442" s="205"/>
      <c r="B1442" s="200"/>
      <c r="C1442" s="200"/>
      <c r="D1442" s="205"/>
      <c r="E1442" s="200"/>
      <c r="F1442" s="200"/>
      <c r="G1442" s="200"/>
      <c r="H1442" s="200"/>
      <c r="I1442" s="201"/>
      <c r="J1442" s="201"/>
      <c r="K1442" s="201"/>
      <c r="L1442" s="192"/>
      <c r="M1442" s="202"/>
      <c r="N1442" s="200"/>
      <c r="O1442" s="192"/>
      <c r="P1442" s="192"/>
      <c r="Q1442" s="192"/>
      <c r="R1442" s="192"/>
      <c r="S1442" s="202"/>
      <c r="T1442" s="203"/>
      <c r="U1442" s="153"/>
      <c r="V1442" s="153"/>
      <c r="W1442" s="153"/>
      <c r="X1442" s="153"/>
      <c r="Y1442" s="153"/>
      <c r="Z1442" s="153"/>
    </row>
    <row r="1443" spans="1:26">
      <c r="A1443" s="205"/>
      <c r="B1443" s="200"/>
      <c r="C1443" s="200"/>
      <c r="D1443" s="205"/>
      <c r="E1443" s="200"/>
      <c r="F1443" s="200"/>
      <c r="G1443" s="200"/>
      <c r="H1443" s="200"/>
      <c r="I1443" s="201"/>
      <c r="J1443" s="201"/>
      <c r="K1443" s="201"/>
      <c r="L1443" s="192"/>
      <c r="M1443" s="204"/>
      <c r="N1443" s="200"/>
      <c r="O1443" s="192"/>
      <c r="P1443" s="192"/>
      <c r="Q1443" s="192"/>
      <c r="R1443" s="192"/>
      <c r="S1443" s="204"/>
      <c r="T1443" s="203"/>
      <c r="U1443" s="153"/>
      <c r="V1443" s="153"/>
      <c r="W1443" s="153"/>
      <c r="X1443" s="153"/>
      <c r="Y1443" s="153"/>
      <c r="Z1443" s="153"/>
    </row>
    <row r="1444" spans="1:26">
      <c r="A1444" s="205"/>
      <c r="B1444" s="200"/>
      <c r="C1444" s="200"/>
      <c r="D1444" s="205"/>
      <c r="E1444" s="200"/>
      <c r="F1444" s="200"/>
      <c r="G1444" s="200"/>
      <c r="H1444" s="200"/>
      <c r="I1444" s="201"/>
      <c r="J1444" s="201"/>
      <c r="K1444" s="201"/>
      <c r="L1444" s="192"/>
      <c r="M1444" s="202"/>
      <c r="N1444" s="200"/>
      <c r="O1444" s="192"/>
      <c r="P1444" s="192"/>
      <c r="Q1444" s="192"/>
      <c r="R1444" s="192"/>
      <c r="S1444" s="202"/>
      <c r="T1444" s="203"/>
      <c r="U1444" s="153"/>
      <c r="V1444" s="153"/>
      <c r="W1444" s="153"/>
      <c r="X1444" s="153"/>
      <c r="Y1444" s="153"/>
      <c r="Z1444" s="153"/>
    </row>
    <row r="1445" spans="1:26">
      <c r="A1445" s="200"/>
      <c r="B1445" s="200"/>
      <c r="C1445" s="200"/>
      <c r="D1445" s="200"/>
      <c r="E1445" s="200"/>
      <c r="F1445" s="200"/>
      <c r="G1445" s="200"/>
      <c r="H1445" s="192"/>
      <c r="I1445" s="201"/>
      <c r="J1445" s="201"/>
      <c r="K1445" s="201"/>
      <c r="L1445" s="192"/>
      <c r="M1445" s="200"/>
      <c r="N1445" s="200"/>
      <c r="O1445" s="192"/>
      <c r="P1445" s="192"/>
      <c r="Q1445" s="192"/>
      <c r="R1445" s="192"/>
      <c r="S1445" s="200"/>
      <c r="T1445" s="203"/>
      <c r="U1445" s="153"/>
      <c r="V1445" s="153"/>
      <c r="W1445" s="153"/>
      <c r="X1445" s="153"/>
      <c r="Y1445" s="153"/>
      <c r="Z1445" s="153"/>
    </row>
    <row r="1446" spans="1:26">
      <c r="A1446" s="200"/>
      <c r="B1446" s="200"/>
      <c r="C1446" s="200"/>
      <c r="D1446" s="200"/>
      <c r="E1446" s="200"/>
      <c r="F1446" s="200"/>
      <c r="G1446" s="200"/>
      <c r="H1446" s="192"/>
      <c r="I1446" s="201"/>
      <c r="J1446" s="201"/>
      <c r="K1446" s="201"/>
      <c r="L1446" s="192"/>
      <c r="M1446" s="200"/>
      <c r="N1446" s="200"/>
      <c r="O1446" s="192"/>
      <c r="P1446" s="192"/>
      <c r="Q1446" s="192"/>
      <c r="R1446" s="192"/>
      <c r="S1446" s="200"/>
      <c r="T1446" s="203"/>
      <c r="U1446" s="153"/>
      <c r="V1446" s="153"/>
      <c r="W1446" s="153"/>
      <c r="X1446" s="153"/>
      <c r="Y1446" s="153"/>
      <c r="Z1446" s="153"/>
    </row>
    <row r="1447" spans="1:26">
      <c r="N1447" s="153"/>
      <c r="P1447" s="83"/>
      <c r="Q1447" s="83"/>
      <c r="R1447" s="192"/>
      <c r="T1447" s="203"/>
      <c r="U1447" s="153"/>
      <c r="V1447" s="153"/>
      <c r="W1447" s="153"/>
      <c r="X1447" s="153"/>
      <c r="Y1447" s="153"/>
      <c r="Z1447" s="153"/>
    </row>
    <row r="1448" spans="1:26">
      <c r="N1448" s="153"/>
      <c r="P1448" s="83"/>
      <c r="Q1448" s="83"/>
      <c r="R1448" s="192"/>
      <c r="S1448" s="206"/>
      <c r="T1448" s="203"/>
      <c r="U1448" s="153"/>
      <c r="V1448" s="153"/>
      <c r="W1448" s="153"/>
      <c r="X1448" s="153"/>
      <c r="Y1448" s="153"/>
      <c r="Z1448" s="153"/>
    </row>
    <row r="1449" spans="1:26">
      <c r="N1449" s="153"/>
      <c r="P1449" s="83"/>
      <c r="Q1449" s="83"/>
      <c r="R1449" s="192"/>
      <c r="S1449" s="682"/>
      <c r="T1449" s="203"/>
      <c r="U1449" s="153"/>
      <c r="V1449" s="153"/>
      <c r="W1449" s="153"/>
      <c r="X1449" s="153"/>
      <c r="Y1449" s="153"/>
      <c r="Z1449" s="153"/>
    </row>
    <row r="1450" spans="1:26">
      <c r="N1450" s="153"/>
      <c r="P1450" s="83"/>
      <c r="Q1450" s="83"/>
      <c r="R1450" s="192"/>
      <c r="S1450" s="769"/>
      <c r="T1450" s="203"/>
      <c r="U1450" s="153"/>
      <c r="V1450" s="153"/>
      <c r="W1450" s="153"/>
      <c r="X1450" s="153"/>
      <c r="Y1450" s="153"/>
      <c r="Z1450" s="153"/>
    </row>
    <row r="1451" spans="1:26">
      <c r="N1451" s="153"/>
      <c r="P1451" s="83"/>
      <c r="Q1451" s="83"/>
      <c r="R1451" s="192"/>
      <c r="S1451" s="682"/>
      <c r="T1451" s="203"/>
      <c r="U1451" s="153"/>
      <c r="V1451" s="153"/>
      <c r="W1451" s="153"/>
      <c r="X1451" s="153"/>
      <c r="Y1451" s="153"/>
      <c r="Z1451" s="153"/>
    </row>
    <row r="1452" spans="1:26">
      <c r="N1452" s="153"/>
      <c r="P1452" s="83"/>
      <c r="Q1452" s="83"/>
      <c r="R1452" s="192"/>
      <c r="S1452" s="769"/>
      <c r="T1452" s="203"/>
      <c r="U1452" s="153"/>
      <c r="V1452" s="153"/>
      <c r="W1452" s="153"/>
      <c r="X1452" s="153"/>
      <c r="Y1452" s="153"/>
      <c r="Z1452" s="153"/>
    </row>
    <row r="1453" spans="1:26">
      <c r="N1453" s="153"/>
      <c r="P1453" s="83"/>
      <c r="Q1453" s="83"/>
      <c r="R1453" s="192"/>
      <c r="S1453" s="769"/>
      <c r="T1453" s="203"/>
      <c r="U1453" s="153"/>
      <c r="V1453" s="153"/>
      <c r="W1453" s="153"/>
      <c r="X1453" s="153"/>
      <c r="Y1453" s="153"/>
      <c r="Z1453" s="153"/>
    </row>
    <row r="1454" spans="1:26">
      <c r="N1454" s="153"/>
      <c r="P1454" s="83"/>
      <c r="Q1454" s="83"/>
      <c r="R1454" s="192"/>
      <c r="S1454" s="769"/>
      <c r="T1454" s="203"/>
      <c r="U1454" s="153"/>
      <c r="V1454" s="153"/>
      <c r="W1454" s="153"/>
      <c r="X1454" s="153"/>
      <c r="Y1454" s="153"/>
      <c r="Z1454" s="153"/>
    </row>
    <row r="1455" spans="1:26">
      <c r="N1455" s="153"/>
      <c r="P1455" s="83"/>
      <c r="Q1455" s="83"/>
      <c r="R1455" s="192"/>
      <c r="S1455" s="682"/>
      <c r="T1455" s="203"/>
      <c r="U1455" s="153"/>
      <c r="V1455" s="153"/>
      <c r="W1455" s="153"/>
      <c r="X1455" s="153"/>
      <c r="Y1455" s="153"/>
      <c r="Z1455" s="153"/>
    </row>
    <row r="1456" spans="1:26">
      <c r="N1456" s="153"/>
      <c r="P1456" s="83"/>
      <c r="Q1456" s="83"/>
      <c r="R1456" s="192"/>
      <c r="S1456" s="769"/>
      <c r="T1456" s="203"/>
      <c r="U1456" s="153"/>
      <c r="V1456" s="153"/>
      <c r="W1456" s="153"/>
      <c r="X1456" s="153"/>
      <c r="Y1456" s="153"/>
      <c r="Z1456" s="153"/>
    </row>
    <row r="1457" spans="14:26">
      <c r="N1457" s="153"/>
      <c r="P1457" s="83"/>
      <c r="Q1457" s="83"/>
      <c r="R1457" s="192"/>
      <c r="S1457" s="769"/>
      <c r="T1457" s="203"/>
      <c r="U1457" s="153"/>
      <c r="V1457" s="153"/>
      <c r="W1457" s="153"/>
      <c r="X1457" s="153"/>
      <c r="Y1457" s="153"/>
      <c r="Z1457" s="153"/>
    </row>
    <row r="1458" spans="14:26">
      <c r="N1458" s="153"/>
      <c r="P1458" s="83"/>
      <c r="Q1458" s="83"/>
      <c r="R1458" s="192"/>
      <c r="S1458" s="769"/>
      <c r="T1458" s="203"/>
      <c r="U1458" s="153"/>
      <c r="V1458" s="153"/>
      <c r="W1458" s="153"/>
      <c r="X1458" s="153"/>
      <c r="Y1458" s="153"/>
      <c r="Z1458" s="153"/>
    </row>
    <row r="1459" spans="14:26">
      <c r="N1459" s="153"/>
      <c r="P1459" s="83"/>
      <c r="Q1459" s="83"/>
      <c r="R1459" s="192"/>
      <c r="S1459" s="769"/>
      <c r="T1459" s="203"/>
      <c r="U1459" s="153"/>
      <c r="V1459" s="153"/>
      <c r="W1459" s="153"/>
      <c r="X1459" s="153"/>
      <c r="Y1459" s="153"/>
      <c r="Z1459" s="153"/>
    </row>
    <row r="1460" spans="14:26">
      <c r="N1460" s="153"/>
      <c r="P1460" s="83"/>
      <c r="Q1460" s="83"/>
      <c r="R1460" s="192"/>
      <c r="S1460" s="682"/>
      <c r="T1460" s="203"/>
      <c r="U1460" s="153"/>
      <c r="V1460" s="153"/>
      <c r="W1460" s="153"/>
      <c r="X1460" s="153"/>
      <c r="Y1460" s="153"/>
      <c r="Z1460" s="153"/>
    </row>
    <row r="1461" spans="14:26">
      <c r="N1461" s="153"/>
      <c r="P1461" s="83"/>
      <c r="Q1461" s="83"/>
      <c r="R1461" s="192"/>
      <c r="S1461" s="769"/>
      <c r="T1461" s="203"/>
      <c r="U1461" s="153"/>
      <c r="V1461" s="153"/>
      <c r="W1461" s="153"/>
      <c r="X1461" s="153"/>
      <c r="Y1461" s="153"/>
      <c r="Z1461" s="153"/>
    </row>
    <row r="1462" spans="14:26">
      <c r="N1462" s="153"/>
      <c r="P1462" s="83"/>
      <c r="Q1462" s="83"/>
      <c r="R1462" s="192"/>
      <c r="S1462" s="769"/>
      <c r="T1462" s="203"/>
      <c r="U1462" s="153"/>
      <c r="V1462" s="153"/>
      <c r="W1462" s="153"/>
      <c r="X1462" s="153"/>
      <c r="Y1462" s="153"/>
      <c r="Z1462" s="153"/>
    </row>
    <row r="1463" spans="14:26">
      <c r="N1463" s="153"/>
      <c r="P1463" s="83"/>
      <c r="Q1463" s="83"/>
      <c r="R1463" s="192"/>
      <c r="S1463" s="769"/>
      <c r="T1463" s="203"/>
      <c r="U1463" s="153"/>
      <c r="V1463" s="153"/>
      <c r="W1463" s="153"/>
      <c r="X1463" s="153"/>
      <c r="Y1463" s="153"/>
      <c r="Z1463" s="153"/>
    </row>
    <row r="1464" spans="14:26">
      <c r="N1464" s="153"/>
      <c r="P1464" s="83"/>
      <c r="Q1464" s="83"/>
      <c r="R1464" s="207"/>
      <c r="S1464" s="186"/>
      <c r="T1464" s="203"/>
      <c r="U1464" s="153"/>
      <c r="V1464" s="153"/>
      <c r="W1464" s="153"/>
      <c r="X1464" s="153"/>
      <c r="Y1464" s="153"/>
      <c r="Z1464" s="153"/>
    </row>
    <row r="1465" spans="14:26">
      <c r="N1465" s="153"/>
      <c r="P1465" s="83"/>
      <c r="Q1465" s="83"/>
      <c r="R1465" s="207"/>
      <c r="S1465" s="186"/>
      <c r="T1465" s="203"/>
      <c r="U1465" s="153"/>
      <c r="V1465" s="153"/>
      <c r="W1465" s="153"/>
      <c r="X1465" s="153"/>
      <c r="Y1465" s="153"/>
      <c r="Z1465" s="153"/>
    </row>
    <row r="1466" spans="14:26">
      <c r="N1466" s="153"/>
      <c r="P1466" s="83"/>
      <c r="Q1466" s="83"/>
      <c r="R1466" s="207"/>
      <c r="S1466" s="186"/>
      <c r="T1466" s="203"/>
      <c r="U1466" s="153"/>
      <c r="V1466" s="153"/>
      <c r="W1466" s="153"/>
      <c r="X1466" s="153"/>
      <c r="Y1466" s="153"/>
      <c r="Z1466" s="153"/>
    </row>
    <row r="1467" spans="14:26">
      <c r="N1467" s="153"/>
      <c r="P1467" s="83"/>
      <c r="Q1467" s="83"/>
      <c r="R1467" s="207"/>
      <c r="S1467" s="186"/>
      <c r="T1467" s="203"/>
      <c r="U1467" s="153"/>
      <c r="V1467" s="153"/>
      <c r="W1467" s="153"/>
      <c r="X1467" s="153"/>
      <c r="Y1467" s="153"/>
      <c r="Z1467" s="153"/>
    </row>
    <row r="1468" spans="14:26">
      <c r="N1468" s="153"/>
      <c r="P1468" s="83"/>
      <c r="Q1468" s="83"/>
      <c r="R1468" s="207"/>
      <c r="S1468" s="186"/>
      <c r="T1468" s="203"/>
      <c r="U1468" s="153"/>
      <c r="V1468" s="153"/>
      <c r="W1468" s="153"/>
      <c r="X1468" s="153"/>
      <c r="Y1468" s="153"/>
      <c r="Z1468" s="153"/>
    </row>
    <row r="1469" spans="14:26">
      <c r="N1469" s="153"/>
      <c r="P1469" s="83"/>
      <c r="Q1469" s="83"/>
      <c r="R1469" s="192"/>
      <c r="S1469" s="200"/>
      <c r="T1469" s="203"/>
      <c r="U1469" s="153"/>
      <c r="V1469" s="153"/>
      <c r="W1469" s="153"/>
      <c r="X1469" s="153"/>
      <c r="Y1469" s="153"/>
      <c r="Z1469" s="153"/>
    </row>
    <row r="1470" spans="14:26">
      <c r="N1470" s="153"/>
      <c r="P1470" s="83"/>
      <c r="Q1470" s="83"/>
      <c r="R1470" s="192"/>
      <c r="S1470" s="200"/>
      <c r="T1470" s="203"/>
      <c r="U1470" s="153"/>
      <c r="V1470" s="153"/>
      <c r="W1470" s="153"/>
      <c r="X1470" s="153"/>
      <c r="Y1470" s="153"/>
      <c r="Z1470" s="153"/>
    </row>
    <row r="1471" spans="14:26">
      <c r="N1471" s="153"/>
      <c r="P1471" s="83"/>
      <c r="Q1471" s="83"/>
      <c r="R1471" s="192"/>
      <c r="S1471" s="200"/>
      <c r="T1471" s="203"/>
      <c r="U1471" s="153"/>
      <c r="V1471" s="153"/>
      <c r="W1471" s="153"/>
      <c r="X1471" s="153"/>
      <c r="Y1471" s="153"/>
      <c r="Z1471" s="153"/>
    </row>
    <row r="1472" spans="14:26">
      <c r="N1472" s="153"/>
      <c r="P1472" s="83"/>
      <c r="Q1472" s="83"/>
      <c r="R1472" s="192"/>
      <c r="S1472" s="200"/>
      <c r="T1472" s="203"/>
      <c r="U1472" s="153"/>
      <c r="V1472" s="153"/>
      <c r="W1472" s="153"/>
      <c r="X1472" s="153"/>
      <c r="Y1472" s="153"/>
      <c r="Z1472" s="153"/>
    </row>
    <row r="1473" spans="1:26">
      <c r="N1473" s="153"/>
      <c r="P1473" s="83"/>
      <c r="Q1473" s="83"/>
      <c r="R1473" s="192"/>
      <c r="S1473" s="200"/>
      <c r="T1473" s="203"/>
      <c r="U1473" s="153"/>
      <c r="V1473" s="153"/>
      <c r="W1473" s="153"/>
      <c r="X1473" s="153"/>
      <c r="Y1473" s="153"/>
      <c r="Z1473" s="153"/>
    </row>
    <row r="1474" spans="1:26">
      <c r="N1474" s="153"/>
      <c r="P1474" s="83"/>
      <c r="Q1474" s="83"/>
      <c r="R1474" s="192"/>
      <c r="S1474" s="200"/>
      <c r="T1474" s="203"/>
      <c r="U1474" s="153"/>
      <c r="V1474" s="153"/>
      <c r="W1474" s="153"/>
      <c r="X1474" s="153"/>
      <c r="Y1474" s="153"/>
      <c r="Z1474" s="153"/>
    </row>
    <row r="1475" spans="1:26">
      <c r="A1475" s="200"/>
      <c r="B1475" s="200"/>
      <c r="C1475" s="200"/>
      <c r="D1475" s="200"/>
      <c r="E1475" s="200"/>
      <c r="F1475" s="200"/>
      <c r="G1475" s="200"/>
      <c r="H1475" s="192"/>
      <c r="I1475" s="201"/>
      <c r="J1475" s="201"/>
      <c r="K1475" s="201"/>
      <c r="L1475" s="192"/>
      <c r="M1475" s="200"/>
      <c r="N1475" s="200"/>
      <c r="O1475" s="192"/>
      <c r="P1475" s="192"/>
      <c r="Q1475" s="192"/>
      <c r="R1475" s="192"/>
      <c r="S1475" s="200"/>
      <c r="T1475" s="203"/>
      <c r="U1475" s="153"/>
      <c r="V1475" s="153"/>
      <c r="W1475" s="153"/>
      <c r="X1475" s="153"/>
      <c r="Y1475" s="153"/>
      <c r="Z1475" s="153"/>
    </row>
    <row r="1476" spans="1:26">
      <c r="A1476" s="200"/>
      <c r="B1476" s="200"/>
      <c r="C1476" s="200"/>
      <c r="D1476" s="200"/>
      <c r="E1476" s="200"/>
      <c r="F1476" s="200"/>
      <c r="G1476" s="200"/>
      <c r="H1476" s="192"/>
      <c r="I1476" s="201"/>
      <c r="J1476" s="201"/>
      <c r="K1476" s="201"/>
      <c r="L1476" s="192"/>
      <c r="M1476" s="200"/>
      <c r="N1476" s="200"/>
      <c r="O1476" s="192"/>
      <c r="P1476" s="192"/>
      <c r="Q1476" s="192"/>
      <c r="R1476" s="192"/>
      <c r="S1476" s="200"/>
      <c r="T1476" s="203"/>
      <c r="U1476" s="153"/>
      <c r="V1476" s="153"/>
      <c r="W1476" s="153"/>
      <c r="X1476" s="153"/>
      <c r="Y1476" s="153"/>
      <c r="Z1476" s="153"/>
    </row>
    <row r="1477" spans="1:26">
      <c r="A1477" s="200"/>
      <c r="B1477" s="200"/>
      <c r="C1477" s="200"/>
      <c r="D1477" s="200"/>
      <c r="E1477" s="200"/>
      <c r="F1477" s="200"/>
      <c r="G1477" s="200"/>
      <c r="H1477" s="192"/>
      <c r="I1477" s="201"/>
      <c r="J1477" s="201"/>
      <c r="K1477" s="201"/>
      <c r="L1477" s="192"/>
      <c r="M1477" s="200"/>
      <c r="N1477" s="200"/>
      <c r="O1477" s="192"/>
      <c r="P1477" s="192"/>
      <c r="Q1477" s="192"/>
      <c r="R1477" s="192"/>
      <c r="S1477" s="200"/>
      <c r="T1477" s="203"/>
      <c r="U1477" s="153"/>
      <c r="V1477" s="153"/>
      <c r="W1477" s="153"/>
      <c r="X1477" s="153"/>
      <c r="Y1477" s="153"/>
      <c r="Z1477" s="153"/>
    </row>
    <row r="1478" spans="1:26">
      <c r="A1478" s="200"/>
      <c r="B1478" s="200"/>
      <c r="C1478" s="200"/>
      <c r="D1478" s="200"/>
      <c r="E1478" s="200"/>
      <c r="F1478" s="200"/>
      <c r="G1478" s="200"/>
      <c r="H1478" s="192"/>
      <c r="I1478" s="201"/>
      <c r="J1478" s="201"/>
      <c r="K1478" s="201"/>
      <c r="L1478" s="192"/>
      <c r="M1478" s="200"/>
      <c r="N1478" s="200"/>
      <c r="O1478" s="192"/>
      <c r="P1478" s="192"/>
      <c r="Q1478" s="192"/>
      <c r="R1478" s="192"/>
      <c r="S1478" s="200"/>
      <c r="T1478" s="203"/>
      <c r="U1478" s="153"/>
      <c r="V1478" s="153"/>
      <c r="W1478" s="153"/>
      <c r="X1478" s="153"/>
      <c r="Y1478" s="153"/>
      <c r="Z1478" s="153"/>
    </row>
    <row r="1479" spans="1:26">
      <c r="A1479" s="200"/>
      <c r="B1479" s="200"/>
      <c r="C1479" s="200"/>
      <c r="D1479" s="200"/>
      <c r="E1479" s="200"/>
      <c r="F1479" s="200"/>
      <c r="G1479" s="200"/>
      <c r="H1479" s="192"/>
      <c r="I1479" s="201"/>
      <c r="J1479" s="201"/>
      <c r="K1479" s="201"/>
      <c r="L1479" s="192"/>
      <c r="M1479" s="200"/>
      <c r="N1479" s="200"/>
      <c r="O1479" s="192"/>
      <c r="P1479" s="192"/>
      <c r="Q1479" s="192"/>
      <c r="R1479" s="192"/>
      <c r="S1479" s="200"/>
      <c r="T1479" s="203"/>
      <c r="U1479" s="153"/>
      <c r="V1479" s="153"/>
      <c r="W1479" s="153"/>
      <c r="X1479" s="153"/>
      <c r="Y1479" s="153"/>
      <c r="Z1479" s="153"/>
    </row>
    <row r="1480" spans="1:26">
      <c r="A1480" s="200"/>
      <c r="B1480" s="200"/>
      <c r="C1480" s="200"/>
      <c r="D1480" s="200"/>
      <c r="E1480" s="200"/>
      <c r="F1480" s="200"/>
      <c r="G1480" s="200"/>
      <c r="H1480" s="192"/>
      <c r="I1480" s="201"/>
      <c r="J1480" s="201"/>
      <c r="K1480" s="201"/>
      <c r="L1480" s="192"/>
      <c r="M1480" s="200"/>
      <c r="N1480" s="200"/>
      <c r="O1480" s="192"/>
      <c r="P1480" s="192"/>
      <c r="Q1480" s="192"/>
      <c r="R1480" s="192"/>
      <c r="S1480" s="200"/>
      <c r="T1480" s="203"/>
      <c r="U1480" s="153"/>
      <c r="V1480" s="153"/>
      <c r="W1480" s="153"/>
      <c r="X1480" s="153"/>
      <c r="Y1480" s="153"/>
      <c r="Z1480" s="153"/>
    </row>
    <row r="1481" spans="1:26">
      <c r="A1481" s="200"/>
      <c r="B1481" s="200"/>
      <c r="C1481" s="200"/>
      <c r="D1481" s="200"/>
      <c r="E1481" s="200"/>
      <c r="F1481" s="200"/>
      <c r="G1481" s="200"/>
      <c r="H1481" s="192"/>
      <c r="I1481" s="201"/>
      <c r="J1481" s="201"/>
      <c r="K1481" s="201"/>
      <c r="L1481" s="192"/>
      <c r="M1481" s="200"/>
      <c r="N1481" s="200"/>
      <c r="O1481" s="192"/>
      <c r="P1481" s="192"/>
      <c r="Q1481" s="192"/>
      <c r="R1481" s="192"/>
      <c r="S1481" s="200"/>
      <c r="T1481" s="203"/>
      <c r="U1481" s="153"/>
      <c r="V1481" s="153"/>
      <c r="W1481" s="153"/>
      <c r="X1481" s="153"/>
      <c r="Y1481" s="153"/>
      <c r="Z1481" s="153"/>
    </row>
    <row r="1482" spans="1:26">
      <c r="A1482" s="200"/>
      <c r="B1482" s="200"/>
      <c r="C1482" s="200"/>
      <c r="D1482" s="200"/>
      <c r="E1482" s="200"/>
      <c r="F1482" s="200"/>
      <c r="G1482" s="200"/>
      <c r="H1482" s="192"/>
      <c r="I1482" s="201"/>
      <c r="J1482" s="201"/>
      <c r="K1482" s="201"/>
      <c r="L1482" s="192"/>
      <c r="M1482" s="200"/>
      <c r="N1482" s="200"/>
      <c r="O1482" s="192"/>
      <c r="P1482" s="192"/>
      <c r="Q1482" s="192"/>
      <c r="R1482" s="192"/>
      <c r="S1482" s="200"/>
      <c r="T1482" s="203"/>
      <c r="U1482" s="153"/>
      <c r="V1482" s="153"/>
      <c r="W1482" s="153"/>
      <c r="X1482" s="153"/>
      <c r="Y1482" s="153"/>
      <c r="Z1482" s="153"/>
    </row>
    <row r="1483" spans="1:26">
      <c r="A1483" s="200"/>
      <c r="B1483" s="200"/>
      <c r="C1483" s="200"/>
      <c r="D1483" s="200"/>
      <c r="E1483" s="200"/>
      <c r="F1483" s="200"/>
      <c r="G1483" s="200"/>
      <c r="H1483" s="192"/>
      <c r="I1483" s="201"/>
      <c r="J1483" s="201"/>
      <c r="K1483" s="201"/>
      <c r="L1483" s="192"/>
      <c r="M1483" s="200"/>
      <c r="N1483" s="200"/>
      <c r="O1483" s="192"/>
      <c r="P1483" s="192"/>
      <c r="Q1483" s="192"/>
      <c r="R1483" s="192"/>
      <c r="S1483" s="200"/>
      <c r="T1483" s="203"/>
      <c r="U1483" s="153"/>
      <c r="V1483" s="153"/>
      <c r="W1483" s="153"/>
      <c r="X1483" s="153"/>
      <c r="Y1483" s="153"/>
      <c r="Z1483" s="153"/>
    </row>
    <row r="1484" spans="1:26">
      <c r="A1484" s="200"/>
      <c r="B1484" s="200"/>
      <c r="C1484" s="200"/>
      <c r="D1484" s="200"/>
      <c r="E1484" s="200"/>
      <c r="F1484" s="200"/>
      <c r="G1484" s="200"/>
      <c r="H1484" s="192"/>
      <c r="I1484" s="201"/>
      <c r="J1484" s="201"/>
      <c r="K1484" s="201"/>
      <c r="L1484" s="192"/>
      <c r="M1484" s="200"/>
      <c r="N1484" s="200"/>
      <c r="O1484" s="192"/>
      <c r="P1484" s="192"/>
      <c r="Q1484" s="192"/>
      <c r="R1484" s="192"/>
      <c r="S1484" s="200"/>
      <c r="T1484" s="203"/>
      <c r="U1484" s="153"/>
      <c r="V1484" s="153"/>
      <c r="W1484" s="153"/>
      <c r="X1484" s="153"/>
      <c r="Y1484" s="153"/>
      <c r="Z1484" s="153"/>
    </row>
    <row r="1485" spans="1:26">
      <c r="A1485" s="200"/>
      <c r="B1485" s="200"/>
      <c r="C1485" s="200"/>
      <c r="D1485" s="200"/>
      <c r="E1485" s="200"/>
      <c r="F1485" s="200"/>
      <c r="G1485" s="200"/>
      <c r="H1485" s="192"/>
      <c r="I1485" s="201"/>
      <c r="J1485" s="201"/>
      <c r="K1485" s="201"/>
      <c r="L1485" s="192"/>
      <c r="M1485" s="200"/>
      <c r="N1485" s="200"/>
      <c r="O1485" s="192"/>
      <c r="P1485" s="192"/>
      <c r="Q1485" s="192"/>
      <c r="R1485" s="192"/>
      <c r="S1485" s="200"/>
      <c r="T1485" s="203"/>
      <c r="U1485" s="153"/>
      <c r="V1485" s="153"/>
      <c r="W1485" s="153"/>
      <c r="X1485" s="153"/>
      <c r="Y1485" s="153"/>
      <c r="Z1485" s="153"/>
    </row>
    <row r="1486" spans="1:26">
      <c r="A1486" s="200"/>
      <c r="B1486" s="200"/>
      <c r="C1486" s="200"/>
      <c r="D1486" s="200"/>
      <c r="E1486" s="200"/>
      <c r="F1486" s="200"/>
      <c r="G1486" s="200"/>
      <c r="H1486" s="192"/>
      <c r="I1486" s="201"/>
      <c r="J1486" s="201"/>
      <c r="K1486" s="201"/>
      <c r="L1486" s="192"/>
      <c r="M1486" s="200"/>
      <c r="N1486" s="200"/>
      <c r="O1486" s="192"/>
      <c r="P1486" s="192"/>
      <c r="Q1486" s="192"/>
      <c r="R1486" s="192"/>
      <c r="S1486" s="200"/>
      <c r="T1486" s="203"/>
      <c r="U1486" s="153"/>
      <c r="V1486" s="153"/>
      <c r="W1486" s="153"/>
      <c r="X1486" s="153"/>
      <c r="Y1486" s="153"/>
      <c r="Z1486" s="153"/>
    </row>
    <row r="1487" spans="1:26">
      <c r="A1487" s="200"/>
      <c r="B1487" s="200"/>
      <c r="C1487" s="200"/>
      <c r="D1487" s="200"/>
      <c r="E1487" s="200"/>
      <c r="F1487" s="200"/>
      <c r="G1487" s="200"/>
      <c r="H1487" s="192"/>
      <c r="I1487" s="201"/>
      <c r="J1487" s="201"/>
      <c r="K1487" s="201"/>
      <c r="L1487" s="192"/>
      <c r="M1487" s="200"/>
      <c r="N1487" s="200"/>
      <c r="O1487" s="192"/>
      <c r="P1487" s="192"/>
      <c r="Q1487" s="192"/>
      <c r="R1487" s="192"/>
      <c r="S1487" s="200"/>
      <c r="T1487" s="203"/>
      <c r="U1487" s="153"/>
      <c r="V1487" s="153"/>
      <c r="W1487" s="153"/>
      <c r="X1487" s="153"/>
      <c r="Y1487" s="153"/>
      <c r="Z1487" s="153"/>
    </row>
    <row r="1488" spans="1:26">
      <c r="A1488" s="200"/>
      <c r="B1488" s="200"/>
      <c r="C1488" s="200"/>
      <c r="D1488" s="200"/>
      <c r="E1488" s="200"/>
      <c r="F1488" s="200"/>
      <c r="G1488" s="200"/>
      <c r="H1488" s="192"/>
      <c r="I1488" s="201"/>
      <c r="J1488" s="201"/>
      <c r="K1488" s="201"/>
      <c r="L1488" s="192"/>
      <c r="M1488" s="200"/>
      <c r="N1488" s="200"/>
      <c r="O1488" s="192"/>
      <c r="P1488" s="192"/>
      <c r="Q1488" s="192"/>
      <c r="R1488" s="192"/>
      <c r="S1488" s="200"/>
      <c r="T1488" s="203"/>
      <c r="U1488" s="153"/>
      <c r="V1488" s="153"/>
      <c r="W1488" s="153"/>
      <c r="X1488" s="153"/>
      <c r="Y1488" s="153"/>
      <c r="Z1488" s="153"/>
    </row>
    <row r="1489" spans="1:26">
      <c r="A1489" s="200"/>
      <c r="B1489" s="200"/>
      <c r="C1489" s="200"/>
      <c r="D1489" s="200"/>
      <c r="E1489" s="200"/>
      <c r="F1489" s="200"/>
      <c r="G1489" s="200"/>
      <c r="H1489" s="192"/>
      <c r="I1489" s="201"/>
      <c r="J1489" s="201"/>
      <c r="K1489" s="201"/>
      <c r="L1489" s="192"/>
      <c r="M1489" s="200"/>
      <c r="N1489" s="200"/>
      <c r="O1489" s="192"/>
      <c r="P1489" s="192"/>
      <c r="Q1489" s="192"/>
      <c r="R1489" s="192"/>
      <c r="S1489" s="200"/>
      <c r="T1489" s="203"/>
      <c r="U1489" s="153"/>
      <c r="V1489" s="153"/>
      <c r="W1489" s="153"/>
      <c r="X1489" s="153"/>
      <c r="Y1489" s="153"/>
      <c r="Z1489" s="153"/>
    </row>
    <row r="1490" spans="1:26">
      <c r="A1490" s="200"/>
      <c r="B1490" s="200"/>
      <c r="C1490" s="200"/>
      <c r="D1490" s="200"/>
      <c r="E1490" s="200"/>
      <c r="F1490" s="200"/>
      <c r="G1490" s="200"/>
      <c r="H1490" s="192"/>
      <c r="I1490" s="201"/>
      <c r="J1490" s="201"/>
      <c r="K1490" s="201"/>
      <c r="L1490" s="192"/>
      <c r="M1490" s="200"/>
      <c r="N1490" s="200"/>
      <c r="O1490" s="192"/>
      <c r="P1490" s="192"/>
      <c r="Q1490" s="192"/>
      <c r="R1490" s="192"/>
      <c r="S1490" s="200"/>
      <c r="T1490" s="203"/>
      <c r="U1490" s="153"/>
      <c r="V1490" s="153"/>
      <c r="W1490" s="153"/>
      <c r="X1490" s="153"/>
      <c r="Y1490" s="153"/>
      <c r="Z1490" s="153"/>
    </row>
    <row r="1491" spans="1:26">
      <c r="A1491" s="200"/>
      <c r="B1491" s="200"/>
      <c r="C1491" s="200"/>
      <c r="D1491" s="200"/>
      <c r="E1491" s="200"/>
      <c r="F1491" s="200"/>
      <c r="G1491" s="200"/>
      <c r="H1491" s="192"/>
      <c r="I1491" s="201"/>
      <c r="J1491" s="201"/>
      <c r="K1491" s="201"/>
      <c r="L1491" s="192"/>
      <c r="M1491" s="200"/>
      <c r="N1491" s="200"/>
      <c r="O1491" s="192"/>
      <c r="P1491" s="192"/>
      <c r="Q1491" s="192"/>
      <c r="R1491" s="192"/>
      <c r="S1491" s="200"/>
      <c r="T1491" s="203"/>
      <c r="U1491" s="153"/>
      <c r="V1491" s="153"/>
      <c r="W1491" s="153"/>
      <c r="X1491" s="153"/>
      <c r="Y1491" s="153"/>
      <c r="Z1491" s="153"/>
    </row>
    <row r="1492" spans="1:26">
      <c r="A1492" s="200"/>
      <c r="B1492" s="200"/>
      <c r="C1492" s="200"/>
      <c r="D1492" s="200"/>
      <c r="E1492" s="200"/>
      <c r="F1492" s="200"/>
      <c r="G1492" s="200"/>
      <c r="H1492" s="192"/>
      <c r="I1492" s="201"/>
      <c r="J1492" s="201"/>
      <c r="K1492" s="201"/>
      <c r="L1492" s="192"/>
      <c r="M1492" s="200"/>
      <c r="N1492" s="200"/>
      <c r="O1492" s="192"/>
      <c r="P1492" s="192"/>
      <c r="Q1492" s="192"/>
      <c r="R1492" s="192"/>
      <c r="S1492" s="200"/>
      <c r="T1492" s="203"/>
      <c r="U1492" s="153"/>
      <c r="V1492" s="153"/>
      <c r="W1492" s="153"/>
      <c r="X1492" s="153"/>
      <c r="Y1492" s="153"/>
      <c r="Z1492" s="153"/>
    </row>
    <row r="1493" spans="1:26">
      <c r="A1493" s="200"/>
      <c r="B1493" s="200"/>
      <c r="C1493" s="200"/>
      <c r="D1493" s="200"/>
      <c r="E1493" s="200"/>
      <c r="F1493" s="200"/>
      <c r="G1493" s="200"/>
      <c r="H1493" s="192"/>
      <c r="I1493" s="201"/>
      <c r="J1493" s="201"/>
      <c r="K1493" s="201"/>
      <c r="L1493" s="192"/>
      <c r="M1493" s="200"/>
      <c r="N1493" s="200"/>
      <c r="O1493" s="192"/>
      <c r="P1493" s="192"/>
      <c r="Q1493" s="192"/>
      <c r="R1493" s="192"/>
      <c r="S1493" s="200"/>
      <c r="T1493" s="203"/>
      <c r="U1493" s="153"/>
      <c r="V1493" s="153"/>
      <c r="W1493" s="153"/>
      <c r="X1493" s="153"/>
      <c r="Y1493" s="153"/>
      <c r="Z1493" s="153"/>
    </row>
    <row r="1494" spans="1:26">
      <c r="A1494" s="200"/>
      <c r="B1494" s="200"/>
      <c r="C1494" s="200"/>
      <c r="D1494" s="200"/>
      <c r="E1494" s="200"/>
      <c r="F1494" s="200"/>
      <c r="G1494" s="200"/>
      <c r="H1494" s="192"/>
      <c r="I1494" s="201"/>
      <c r="J1494" s="201"/>
      <c r="K1494" s="201"/>
      <c r="L1494" s="192"/>
      <c r="M1494" s="200"/>
      <c r="N1494" s="200"/>
      <c r="O1494" s="192"/>
      <c r="P1494" s="192"/>
      <c r="Q1494" s="192"/>
      <c r="R1494" s="192"/>
      <c r="S1494" s="200"/>
      <c r="T1494" s="203"/>
      <c r="U1494" s="153"/>
      <c r="V1494" s="153"/>
      <c r="W1494" s="153"/>
      <c r="X1494" s="153"/>
      <c r="Y1494" s="153"/>
      <c r="Z1494" s="153"/>
    </row>
    <row r="1495" spans="1:26">
      <c r="A1495" s="200"/>
      <c r="B1495" s="200"/>
      <c r="C1495" s="200"/>
      <c r="D1495" s="200"/>
      <c r="E1495" s="200"/>
      <c r="F1495" s="200"/>
      <c r="G1495" s="200"/>
      <c r="H1495" s="192"/>
      <c r="I1495" s="201"/>
      <c r="J1495" s="201"/>
      <c r="K1495" s="201"/>
      <c r="L1495" s="192"/>
      <c r="M1495" s="200"/>
      <c r="N1495" s="200"/>
      <c r="O1495" s="192"/>
      <c r="P1495" s="192"/>
      <c r="Q1495" s="192"/>
      <c r="R1495" s="192"/>
      <c r="S1495" s="200"/>
      <c r="T1495" s="203"/>
      <c r="U1495" s="153"/>
      <c r="V1495" s="153"/>
      <c r="W1495" s="153"/>
      <c r="X1495" s="153"/>
      <c r="Y1495" s="153"/>
      <c r="Z1495" s="153"/>
    </row>
    <row r="1496" spans="1:26">
      <c r="A1496" s="200"/>
      <c r="B1496" s="200"/>
      <c r="C1496" s="200"/>
      <c r="D1496" s="200"/>
      <c r="E1496" s="200"/>
      <c r="F1496" s="200"/>
      <c r="G1496" s="200"/>
      <c r="H1496" s="192"/>
      <c r="I1496" s="201"/>
      <c r="J1496" s="201"/>
      <c r="K1496" s="201"/>
      <c r="L1496" s="192"/>
      <c r="M1496" s="200"/>
      <c r="N1496" s="200"/>
      <c r="O1496" s="192"/>
      <c r="P1496" s="192"/>
      <c r="Q1496" s="192"/>
      <c r="R1496" s="192"/>
      <c r="S1496" s="200"/>
      <c r="T1496" s="203"/>
      <c r="U1496" s="153"/>
      <c r="V1496" s="153"/>
      <c r="W1496" s="153"/>
      <c r="X1496" s="153"/>
      <c r="Y1496" s="153"/>
      <c r="Z1496" s="153"/>
    </row>
    <row r="1497" spans="1:26">
      <c r="A1497" s="200"/>
      <c r="B1497" s="200"/>
      <c r="C1497" s="200"/>
      <c r="D1497" s="200"/>
      <c r="E1497" s="200"/>
      <c r="F1497" s="200"/>
      <c r="G1497" s="200"/>
      <c r="H1497" s="192"/>
      <c r="I1497" s="201"/>
      <c r="J1497" s="201"/>
      <c r="K1497" s="201"/>
      <c r="L1497" s="192"/>
      <c r="M1497" s="200"/>
      <c r="N1497" s="200"/>
      <c r="O1497" s="192"/>
      <c r="P1497" s="192"/>
      <c r="Q1497" s="192"/>
      <c r="R1497" s="192"/>
      <c r="S1497" s="200"/>
      <c r="T1497" s="203"/>
      <c r="U1497" s="153"/>
      <c r="V1497" s="153"/>
      <c r="W1497" s="153"/>
      <c r="X1497" s="153"/>
      <c r="Y1497" s="153"/>
      <c r="Z1497" s="153"/>
    </row>
    <row r="1498" spans="1:26">
      <c r="A1498" s="200"/>
      <c r="B1498" s="200"/>
      <c r="C1498" s="200"/>
      <c r="D1498" s="200"/>
      <c r="E1498" s="200"/>
      <c r="F1498" s="200"/>
      <c r="G1498" s="200"/>
      <c r="H1498" s="192"/>
      <c r="I1498" s="201"/>
      <c r="J1498" s="201"/>
      <c r="K1498" s="201"/>
      <c r="L1498" s="192"/>
      <c r="M1498" s="200"/>
      <c r="N1498" s="200"/>
      <c r="O1498" s="192"/>
      <c r="P1498" s="192"/>
      <c r="Q1498" s="192"/>
      <c r="R1498" s="192"/>
      <c r="S1498" s="200"/>
      <c r="T1498" s="203"/>
      <c r="U1498" s="153"/>
      <c r="V1498" s="153"/>
      <c r="W1498" s="153"/>
      <c r="X1498" s="153"/>
      <c r="Y1498" s="153"/>
      <c r="Z1498" s="153"/>
    </row>
    <row r="1499" spans="1:26">
      <c r="A1499" s="200"/>
      <c r="B1499" s="200"/>
      <c r="C1499" s="200"/>
      <c r="D1499" s="200"/>
      <c r="E1499" s="200"/>
      <c r="F1499" s="200"/>
      <c r="G1499" s="200"/>
      <c r="H1499" s="192"/>
      <c r="I1499" s="201"/>
      <c r="J1499" s="201"/>
      <c r="K1499" s="201"/>
      <c r="L1499" s="192"/>
      <c r="M1499" s="200"/>
      <c r="N1499" s="200"/>
      <c r="O1499" s="192"/>
      <c r="P1499" s="192"/>
      <c r="Q1499" s="192"/>
      <c r="R1499" s="192"/>
      <c r="S1499" s="200"/>
      <c r="T1499" s="203"/>
      <c r="U1499" s="153"/>
      <c r="V1499" s="153"/>
      <c r="W1499" s="153"/>
      <c r="X1499" s="153"/>
      <c r="Y1499" s="153"/>
      <c r="Z1499" s="153"/>
    </row>
    <row r="1500" spans="1:26">
      <c r="A1500" s="200"/>
      <c r="B1500" s="200"/>
      <c r="C1500" s="200"/>
      <c r="D1500" s="200"/>
      <c r="E1500" s="200"/>
      <c r="F1500" s="200"/>
      <c r="G1500" s="200"/>
      <c r="H1500" s="192"/>
      <c r="I1500" s="201"/>
      <c r="J1500" s="201"/>
      <c r="K1500" s="201"/>
      <c r="L1500" s="192"/>
      <c r="M1500" s="200"/>
      <c r="N1500" s="200"/>
      <c r="O1500" s="192"/>
      <c r="P1500" s="192"/>
      <c r="Q1500" s="192"/>
      <c r="R1500" s="192"/>
      <c r="S1500" s="200"/>
      <c r="T1500" s="203"/>
      <c r="U1500" s="153"/>
      <c r="V1500" s="153"/>
      <c r="W1500" s="153"/>
      <c r="X1500" s="153"/>
      <c r="Y1500" s="153"/>
      <c r="Z1500" s="153"/>
    </row>
    <row r="1501" spans="1:26">
      <c r="A1501" s="200"/>
      <c r="B1501" s="200"/>
      <c r="C1501" s="200"/>
      <c r="D1501" s="200"/>
      <c r="E1501" s="200"/>
      <c r="F1501" s="200"/>
      <c r="G1501" s="200"/>
      <c r="H1501" s="192"/>
      <c r="I1501" s="201"/>
      <c r="J1501" s="201"/>
      <c r="K1501" s="201"/>
      <c r="L1501" s="192"/>
      <c r="M1501" s="200"/>
      <c r="N1501" s="200"/>
      <c r="O1501" s="192"/>
      <c r="P1501" s="192"/>
      <c r="Q1501" s="192"/>
      <c r="R1501" s="192"/>
      <c r="S1501" s="200"/>
      <c r="T1501" s="203"/>
      <c r="U1501" s="153"/>
      <c r="V1501" s="153"/>
      <c r="W1501" s="153"/>
      <c r="X1501" s="153"/>
      <c r="Y1501" s="153"/>
      <c r="Z1501" s="153"/>
    </row>
    <row r="1502" spans="1:26">
      <c r="A1502" s="200"/>
      <c r="B1502" s="200"/>
      <c r="C1502" s="200"/>
      <c r="D1502" s="200"/>
      <c r="E1502" s="200"/>
      <c r="F1502" s="200"/>
      <c r="G1502" s="200"/>
      <c r="H1502" s="192"/>
      <c r="I1502" s="201"/>
      <c r="J1502" s="201"/>
      <c r="K1502" s="201"/>
      <c r="L1502" s="192"/>
      <c r="M1502" s="200"/>
      <c r="N1502" s="200"/>
      <c r="O1502" s="192"/>
      <c r="P1502" s="192"/>
      <c r="Q1502" s="192"/>
      <c r="R1502" s="192"/>
      <c r="S1502" s="200"/>
      <c r="T1502" s="203"/>
      <c r="U1502" s="153"/>
      <c r="V1502" s="153"/>
      <c r="W1502" s="153"/>
      <c r="X1502" s="153"/>
      <c r="Y1502" s="153"/>
      <c r="Z1502" s="153"/>
    </row>
    <row r="1503" spans="1:26">
      <c r="A1503" s="200"/>
      <c r="B1503" s="200"/>
      <c r="C1503" s="200"/>
      <c r="D1503" s="200"/>
      <c r="E1503" s="200"/>
      <c r="F1503" s="200"/>
      <c r="G1503" s="200"/>
      <c r="H1503" s="192"/>
      <c r="I1503" s="201"/>
      <c r="J1503" s="201"/>
      <c r="K1503" s="201"/>
      <c r="L1503" s="192"/>
      <c r="M1503" s="200"/>
      <c r="N1503" s="200"/>
      <c r="O1503" s="192"/>
      <c r="P1503" s="192"/>
      <c r="Q1503" s="192"/>
      <c r="R1503" s="192"/>
      <c r="S1503" s="200"/>
      <c r="T1503" s="203"/>
      <c r="U1503" s="153"/>
      <c r="V1503" s="153"/>
      <c r="W1503" s="153"/>
      <c r="X1503" s="153"/>
      <c r="Y1503" s="153"/>
      <c r="Z1503" s="153"/>
    </row>
    <row r="1504" spans="1:26">
      <c r="A1504" s="200"/>
      <c r="B1504" s="200"/>
      <c r="C1504" s="200"/>
      <c r="D1504" s="200"/>
      <c r="E1504" s="200"/>
      <c r="F1504" s="200"/>
      <c r="G1504" s="200"/>
      <c r="H1504" s="192"/>
      <c r="I1504" s="201"/>
      <c r="J1504" s="201"/>
      <c r="K1504" s="201"/>
      <c r="L1504" s="192"/>
      <c r="M1504" s="200"/>
      <c r="N1504" s="200"/>
      <c r="O1504" s="192"/>
      <c r="P1504" s="192"/>
      <c r="Q1504" s="192"/>
      <c r="R1504" s="192"/>
      <c r="S1504" s="200"/>
      <c r="T1504" s="203"/>
      <c r="U1504" s="153"/>
      <c r="V1504" s="153"/>
      <c r="W1504" s="153"/>
      <c r="X1504" s="153"/>
      <c r="Y1504" s="153"/>
      <c r="Z1504" s="153"/>
    </row>
    <row r="1505" spans="1:26">
      <c r="A1505" s="200"/>
      <c r="B1505" s="200"/>
      <c r="C1505" s="200"/>
      <c r="D1505" s="200"/>
      <c r="E1505" s="200"/>
      <c r="F1505" s="200"/>
      <c r="G1505" s="200"/>
      <c r="H1505" s="192"/>
      <c r="I1505" s="201"/>
      <c r="J1505" s="201"/>
      <c r="K1505" s="201"/>
      <c r="L1505" s="192"/>
      <c r="M1505" s="200"/>
      <c r="N1505" s="200"/>
      <c r="O1505" s="192"/>
      <c r="P1505" s="192"/>
      <c r="Q1505" s="192"/>
      <c r="R1505" s="192"/>
      <c r="S1505" s="200"/>
      <c r="T1505" s="203"/>
      <c r="U1505" s="153"/>
      <c r="V1505" s="153"/>
      <c r="W1505" s="153"/>
      <c r="X1505" s="153"/>
      <c r="Y1505" s="153"/>
      <c r="Z1505" s="153"/>
    </row>
    <row r="1506" spans="1:26">
      <c r="A1506" s="200"/>
      <c r="B1506" s="200"/>
      <c r="C1506" s="200"/>
      <c r="D1506" s="200"/>
      <c r="E1506" s="200"/>
      <c r="F1506" s="200"/>
      <c r="G1506" s="200"/>
      <c r="H1506" s="192"/>
      <c r="I1506" s="201"/>
      <c r="J1506" s="201"/>
      <c r="K1506" s="201"/>
      <c r="L1506" s="192"/>
      <c r="M1506" s="200"/>
      <c r="N1506" s="200"/>
      <c r="O1506" s="192"/>
      <c r="P1506" s="192"/>
      <c r="Q1506" s="192"/>
      <c r="R1506" s="192"/>
      <c r="S1506" s="200"/>
      <c r="T1506" s="203"/>
      <c r="U1506" s="153"/>
      <c r="V1506" s="153"/>
      <c r="W1506" s="153"/>
      <c r="X1506" s="153"/>
      <c r="Y1506" s="153"/>
      <c r="Z1506" s="153"/>
    </row>
    <row r="1507" spans="1:26">
      <c r="A1507" s="200"/>
      <c r="B1507" s="200"/>
      <c r="C1507" s="200"/>
      <c r="D1507" s="200"/>
      <c r="E1507" s="200"/>
      <c r="F1507" s="200"/>
      <c r="G1507" s="200"/>
      <c r="H1507" s="192"/>
      <c r="I1507" s="201"/>
      <c r="J1507" s="201"/>
      <c r="K1507" s="201"/>
      <c r="L1507" s="192"/>
      <c r="M1507" s="200"/>
      <c r="N1507" s="200"/>
      <c r="O1507" s="192"/>
      <c r="P1507" s="192"/>
      <c r="Q1507" s="192"/>
      <c r="R1507" s="192"/>
      <c r="S1507" s="200"/>
      <c r="T1507" s="203"/>
      <c r="U1507" s="153"/>
      <c r="V1507" s="153"/>
      <c r="W1507" s="153"/>
      <c r="X1507" s="153"/>
      <c r="Y1507" s="153"/>
      <c r="Z1507" s="153"/>
    </row>
    <row r="1508" spans="1:26">
      <c r="A1508" s="200"/>
      <c r="B1508" s="200"/>
      <c r="C1508" s="200"/>
      <c r="D1508" s="200"/>
      <c r="E1508" s="200"/>
      <c r="F1508" s="200"/>
      <c r="G1508" s="200"/>
      <c r="H1508" s="192"/>
      <c r="I1508" s="201"/>
      <c r="J1508" s="201"/>
      <c r="K1508" s="201"/>
      <c r="L1508" s="192"/>
      <c r="M1508" s="200"/>
      <c r="N1508" s="200"/>
      <c r="O1508" s="192"/>
      <c r="P1508" s="192"/>
      <c r="Q1508" s="192"/>
      <c r="R1508" s="192"/>
      <c r="S1508" s="200"/>
      <c r="T1508" s="203"/>
      <c r="U1508" s="153"/>
      <c r="V1508" s="153"/>
      <c r="W1508" s="153"/>
      <c r="X1508" s="153"/>
      <c r="Y1508" s="153"/>
      <c r="Z1508" s="153"/>
    </row>
    <row r="1509" spans="1:26">
      <c r="A1509" s="200"/>
      <c r="B1509" s="200"/>
      <c r="C1509" s="200"/>
      <c r="D1509" s="200"/>
      <c r="E1509" s="200"/>
      <c r="F1509" s="200"/>
      <c r="G1509" s="200"/>
      <c r="H1509" s="192"/>
      <c r="I1509" s="201"/>
      <c r="J1509" s="201"/>
      <c r="K1509" s="201"/>
      <c r="L1509" s="192"/>
      <c r="M1509" s="200"/>
      <c r="N1509" s="200"/>
      <c r="O1509" s="192"/>
      <c r="P1509" s="192"/>
      <c r="Q1509" s="192"/>
      <c r="R1509" s="192"/>
      <c r="S1509" s="200"/>
      <c r="T1509" s="203"/>
      <c r="U1509" s="153"/>
      <c r="V1509" s="153"/>
      <c r="W1509" s="153"/>
      <c r="X1509" s="153"/>
      <c r="Y1509" s="153"/>
      <c r="Z1509" s="153"/>
    </row>
    <row r="1510" spans="1:26">
      <c r="A1510" s="200"/>
      <c r="B1510" s="200"/>
      <c r="C1510" s="200"/>
      <c r="D1510" s="200"/>
      <c r="E1510" s="200"/>
      <c r="F1510" s="200"/>
      <c r="G1510" s="200"/>
      <c r="H1510" s="192"/>
      <c r="I1510" s="201"/>
      <c r="J1510" s="201"/>
      <c r="K1510" s="201"/>
      <c r="L1510" s="192"/>
      <c r="M1510" s="200"/>
      <c r="N1510" s="200"/>
      <c r="O1510" s="192"/>
      <c r="P1510" s="192"/>
      <c r="Q1510" s="192"/>
      <c r="R1510" s="192"/>
      <c r="S1510" s="200"/>
      <c r="T1510" s="203"/>
      <c r="U1510" s="153"/>
      <c r="V1510" s="153"/>
      <c r="W1510" s="153"/>
      <c r="X1510" s="153"/>
      <c r="Y1510" s="153"/>
      <c r="Z1510" s="153"/>
    </row>
    <row r="1511" spans="1:26">
      <c r="A1511" s="200"/>
      <c r="B1511" s="200"/>
      <c r="C1511" s="200"/>
      <c r="D1511" s="200"/>
      <c r="E1511" s="200"/>
      <c r="F1511" s="200"/>
      <c r="G1511" s="200"/>
      <c r="H1511" s="192"/>
      <c r="I1511" s="201"/>
      <c r="J1511" s="201"/>
      <c r="K1511" s="201"/>
      <c r="L1511" s="192"/>
      <c r="M1511" s="200"/>
      <c r="N1511" s="200"/>
      <c r="O1511" s="192"/>
      <c r="P1511" s="192"/>
      <c r="Q1511" s="192"/>
      <c r="R1511" s="192"/>
      <c r="S1511" s="200"/>
      <c r="T1511" s="203"/>
      <c r="U1511" s="153"/>
      <c r="V1511" s="153"/>
      <c r="W1511" s="153"/>
      <c r="X1511" s="153"/>
      <c r="Y1511" s="153"/>
      <c r="Z1511" s="153"/>
    </row>
    <row r="1512" spans="1:26">
      <c r="A1512" s="200"/>
      <c r="B1512" s="200"/>
      <c r="C1512" s="200"/>
      <c r="D1512" s="200"/>
      <c r="E1512" s="200"/>
      <c r="F1512" s="200"/>
      <c r="G1512" s="200"/>
      <c r="H1512" s="192"/>
      <c r="I1512" s="201"/>
      <c r="J1512" s="201"/>
      <c r="K1512" s="201"/>
      <c r="L1512" s="192"/>
      <c r="M1512" s="200"/>
      <c r="N1512" s="200"/>
      <c r="O1512" s="192"/>
      <c r="P1512" s="192"/>
      <c r="Q1512" s="192"/>
      <c r="R1512" s="192"/>
      <c r="S1512" s="200"/>
      <c r="T1512" s="203"/>
      <c r="U1512" s="153"/>
      <c r="V1512" s="153"/>
      <c r="W1512" s="153"/>
      <c r="X1512" s="153"/>
      <c r="Y1512" s="153"/>
      <c r="Z1512" s="153"/>
    </row>
    <row r="1513" spans="1:26">
      <c r="A1513" s="200"/>
      <c r="B1513" s="200"/>
      <c r="C1513" s="200"/>
      <c r="D1513" s="200"/>
      <c r="E1513" s="200"/>
      <c r="F1513" s="200"/>
      <c r="G1513" s="200"/>
      <c r="H1513" s="192"/>
      <c r="I1513" s="201"/>
      <c r="J1513" s="201"/>
      <c r="K1513" s="201"/>
      <c r="L1513" s="192"/>
      <c r="M1513" s="200"/>
      <c r="N1513" s="200"/>
      <c r="O1513" s="192"/>
      <c r="P1513" s="192"/>
      <c r="Q1513" s="192"/>
      <c r="R1513" s="192"/>
      <c r="S1513" s="200"/>
      <c r="T1513" s="203"/>
      <c r="U1513" s="153"/>
      <c r="V1513" s="153"/>
      <c r="W1513" s="153"/>
      <c r="X1513" s="153"/>
      <c r="Y1513" s="153"/>
      <c r="Z1513" s="153"/>
    </row>
    <row r="1514" spans="1:26">
      <c r="A1514" s="200"/>
      <c r="B1514" s="200"/>
      <c r="C1514" s="200"/>
      <c r="D1514" s="200"/>
      <c r="E1514" s="200"/>
      <c r="F1514" s="200"/>
      <c r="G1514" s="200"/>
      <c r="H1514" s="192"/>
      <c r="I1514" s="201"/>
      <c r="J1514" s="201"/>
      <c r="K1514" s="201"/>
      <c r="L1514" s="192"/>
      <c r="M1514" s="200"/>
      <c r="N1514" s="200"/>
      <c r="O1514" s="192"/>
      <c r="P1514" s="192"/>
      <c r="Q1514" s="192"/>
      <c r="R1514" s="192"/>
      <c r="S1514" s="200"/>
      <c r="T1514" s="203"/>
      <c r="U1514" s="153"/>
      <c r="V1514" s="153"/>
      <c r="W1514" s="153"/>
      <c r="X1514" s="153"/>
      <c r="Y1514" s="153"/>
      <c r="Z1514" s="153"/>
    </row>
    <row r="1515" spans="1:26">
      <c r="A1515" s="200"/>
      <c r="B1515" s="200"/>
      <c r="C1515" s="200"/>
      <c r="D1515" s="200"/>
      <c r="E1515" s="200"/>
      <c r="F1515" s="200"/>
      <c r="G1515" s="200"/>
      <c r="H1515" s="192"/>
      <c r="I1515" s="201"/>
      <c r="J1515" s="201"/>
      <c r="K1515" s="201"/>
      <c r="L1515" s="192"/>
      <c r="M1515" s="200"/>
      <c r="N1515" s="200"/>
      <c r="O1515" s="192"/>
      <c r="P1515" s="192"/>
      <c r="Q1515" s="192"/>
      <c r="R1515" s="192"/>
      <c r="S1515" s="200"/>
      <c r="T1515" s="203"/>
      <c r="U1515" s="153"/>
      <c r="V1515" s="153"/>
      <c r="W1515" s="153"/>
      <c r="X1515" s="153"/>
      <c r="Y1515" s="153"/>
      <c r="Z1515" s="153"/>
    </row>
    <row r="1516" spans="1:26">
      <c r="A1516" s="200"/>
      <c r="B1516" s="200"/>
      <c r="C1516" s="200"/>
      <c r="D1516" s="200"/>
      <c r="E1516" s="200"/>
      <c r="F1516" s="200"/>
      <c r="G1516" s="200"/>
      <c r="H1516" s="192"/>
      <c r="I1516" s="201"/>
      <c r="J1516" s="201"/>
      <c r="K1516" s="201"/>
      <c r="L1516" s="192"/>
      <c r="M1516" s="200"/>
      <c r="N1516" s="200"/>
      <c r="O1516" s="192"/>
      <c r="P1516" s="192"/>
      <c r="Q1516" s="192"/>
      <c r="R1516" s="192"/>
      <c r="S1516" s="200"/>
      <c r="T1516" s="203"/>
      <c r="U1516" s="153"/>
      <c r="V1516" s="153"/>
      <c r="W1516" s="153"/>
      <c r="X1516" s="153"/>
      <c r="Y1516" s="153"/>
      <c r="Z1516" s="153"/>
    </row>
    <row r="1517" spans="1:26">
      <c r="A1517" s="200"/>
      <c r="B1517" s="200"/>
      <c r="C1517" s="200"/>
      <c r="D1517" s="200"/>
      <c r="E1517" s="200"/>
      <c r="F1517" s="200"/>
      <c r="G1517" s="200"/>
      <c r="H1517" s="192"/>
      <c r="I1517" s="201"/>
      <c r="J1517" s="201"/>
      <c r="K1517" s="201"/>
      <c r="L1517" s="192"/>
      <c r="M1517" s="200"/>
      <c r="N1517" s="200"/>
      <c r="O1517" s="192"/>
      <c r="P1517" s="192"/>
      <c r="Q1517" s="192"/>
      <c r="R1517" s="192"/>
      <c r="S1517" s="200"/>
      <c r="T1517" s="203"/>
      <c r="U1517" s="153"/>
      <c r="V1517" s="153"/>
      <c r="W1517" s="153"/>
      <c r="X1517" s="153"/>
      <c r="Y1517" s="153"/>
      <c r="Z1517" s="153"/>
    </row>
    <row r="1518" spans="1:26">
      <c r="A1518" s="200"/>
      <c r="B1518" s="200"/>
      <c r="C1518" s="200"/>
      <c r="D1518" s="200"/>
      <c r="E1518" s="200"/>
      <c r="F1518" s="200"/>
      <c r="G1518" s="200"/>
      <c r="H1518" s="192"/>
      <c r="I1518" s="201"/>
      <c r="J1518" s="201"/>
      <c r="K1518" s="201"/>
      <c r="L1518" s="192"/>
      <c r="M1518" s="200"/>
      <c r="N1518" s="200"/>
      <c r="O1518" s="192"/>
      <c r="P1518" s="192"/>
      <c r="Q1518" s="192"/>
      <c r="R1518" s="192"/>
      <c r="S1518" s="200"/>
      <c r="T1518" s="203"/>
      <c r="U1518" s="153"/>
      <c r="V1518" s="153"/>
      <c r="W1518" s="153"/>
      <c r="X1518" s="153"/>
      <c r="Y1518" s="153"/>
      <c r="Z1518" s="153"/>
    </row>
    <row r="1519" spans="1:26">
      <c r="A1519" s="200"/>
      <c r="B1519" s="200"/>
      <c r="C1519" s="200"/>
      <c r="D1519" s="200"/>
      <c r="E1519" s="200"/>
      <c r="F1519" s="200"/>
      <c r="G1519" s="200"/>
      <c r="H1519" s="192"/>
      <c r="I1519" s="201"/>
      <c r="J1519" s="201"/>
      <c r="K1519" s="201"/>
      <c r="L1519" s="192"/>
      <c r="M1519" s="200"/>
      <c r="N1519" s="200"/>
      <c r="O1519" s="192"/>
      <c r="P1519" s="192"/>
      <c r="Q1519" s="192"/>
      <c r="R1519" s="192"/>
      <c r="S1519" s="200"/>
      <c r="T1519" s="203"/>
      <c r="U1519" s="153"/>
      <c r="V1519" s="153"/>
      <c r="W1519" s="153"/>
      <c r="X1519" s="153"/>
      <c r="Y1519" s="153"/>
      <c r="Z1519" s="153"/>
    </row>
    <row r="1520" spans="1:26">
      <c r="A1520" s="200"/>
      <c r="B1520" s="200"/>
      <c r="C1520" s="200"/>
      <c r="D1520" s="200"/>
      <c r="E1520" s="200"/>
      <c r="F1520" s="200"/>
      <c r="G1520" s="200"/>
      <c r="H1520" s="192"/>
      <c r="I1520" s="201"/>
      <c r="J1520" s="201"/>
      <c r="K1520" s="201"/>
      <c r="L1520" s="192"/>
      <c r="M1520" s="200"/>
      <c r="N1520" s="200"/>
      <c r="O1520" s="192"/>
      <c r="P1520" s="192"/>
      <c r="Q1520" s="192"/>
      <c r="R1520" s="192"/>
      <c r="S1520" s="200"/>
      <c r="T1520" s="203"/>
      <c r="U1520" s="153"/>
      <c r="V1520" s="153"/>
      <c r="W1520" s="153"/>
      <c r="X1520" s="153"/>
      <c r="Y1520" s="153"/>
      <c r="Z1520" s="153"/>
    </row>
    <row r="1521" spans="1:26">
      <c r="A1521" s="200"/>
      <c r="B1521" s="200"/>
      <c r="C1521" s="200"/>
      <c r="D1521" s="200"/>
      <c r="E1521" s="200"/>
      <c r="F1521" s="200"/>
      <c r="G1521" s="200"/>
      <c r="H1521" s="192"/>
      <c r="I1521" s="201"/>
      <c r="J1521" s="201"/>
      <c r="K1521" s="201"/>
      <c r="L1521" s="192"/>
      <c r="M1521" s="200"/>
      <c r="N1521" s="200"/>
      <c r="O1521" s="192"/>
      <c r="P1521" s="192"/>
      <c r="Q1521" s="192"/>
      <c r="R1521" s="192"/>
      <c r="S1521" s="200"/>
      <c r="T1521" s="203"/>
      <c r="U1521" s="153"/>
      <c r="V1521" s="153"/>
      <c r="W1521" s="153"/>
      <c r="X1521" s="153"/>
      <c r="Y1521" s="153"/>
      <c r="Z1521" s="153"/>
    </row>
    <row r="1522" spans="1:26">
      <c r="A1522" s="200"/>
      <c r="B1522" s="200"/>
      <c r="C1522" s="200"/>
      <c r="D1522" s="200"/>
      <c r="E1522" s="200"/>
      <c r="F1522" s="200"/>
      <c r="G1522" s="200"/>
      <c r="H1522" s="192"/>
      <c r="I1522" s="201"/>
      <c r="J1522" s="201"/>
      <c r="K1522" s="201"/>
      <c r="L1522" s="192"/>
      <c r="M1522" s="200"/>
      <c r="N1522" s="200"/>
      <c r="O1522" s="192"/>
      <c r="P1522" s="192"/>
      <c r="Q1522" s="192"/>
      <c r="R1522" s="192"/>
      <c r="S1522" s="200"/>
      <c r="T1522" s="203"/>
      <c r="U1522" s="153"/>
      <c r="V1522" s="153"/>
      <c r="W1522" s="153"/>
      <c r="X1522" s="153"/>
      <c r="Y1522" s="153"/>
      <c r="Z1522" s="153"/>
    </row>
    <row r="1523" spans="1:26">
      <c r="A1523" s="200"/>
      <c r="B1523" s="200"/>
      <c r="C1523" s="200"/>
      <c r="D1523" s="200"/>
      <c r="E1523" s="200"/>
      <c r="F1523" s="200"/>
      <c r="G1523" s="200"/>
      <c r="H1523" s="192"/>
      <c r="I1523" s="201"/>
      <c r="J1523" s="201"/>
      <c r="K1523" s="201"/>
      <c r="L1523" s="192"/>
      <c r="M1523" s="200"/>
      <c r="N1523" s="200"/>
      <c r="O1523" s="192"/>
      <c r="P1523" s="192"/>
      <c r="Q1523" s="192"/>
      <c r="R1523" s="192"/>
      <c r="S1523" s="200"/>
      <c r="T1523" s="203"/>
      <c r="U1523" s="153"/>
      <c r="V1523" s="153"/>
      <c r="W1523" s="153"/>
      <c r="X1523" s="153"/>
      <c r="Y1523" s="153"/>
      <c r="Z1523" s="153"/>
    </row>
    <row r="1524" spans="1:26">
      <c r="A1524" s="200"/>
      <c r="B1524" s="200"/>
      <c r="C1524" s="200"/>
      <c r="D1524" s="200"/>
      <c r="E1524" s="200"/>
      <c r="F1524" s="200"/>
      <c r="G1524" s="200"/>
      <c r="H1524" s="192"/>
      <c r="I1524" s="201"/>
      <c r="J1524" s="201"/>
      <c r="K1524" s="201"/>
      <c r="L1524" s="192"/>
      <c r="M1524" s="200"/>
      <c r="N1524" s="200"/>
      <c r="O1524" s="192"/>
      <c r="P1524" s="192"/>
      <c r="Q1524" s="192"/>
      <c r="R1524" s="192"/>
      <c r="S1524" s="200"/>
      <c r="T1524" s="203"/>
      <c r="U1524" s="153"/>
      <c r="V1524" s="153"/>
      <c r="W1524" s="153"/>
      <c r="X1524" s="153"/>
      <c r="Y1524" s="153"/>
      <c r="Z1524" s="153"/>
    </row>
    <row r="1525" spans="1:26">
      <c r="A1525" s="200"/>
      <c r="B1525" s="200"/>
      <c r="C1525" s="200"/>
      <c r="D1525" s="200"/>
      <c r="E1525" s="200"/>
      <c r="F1525" s="200"/>
      <c r="G1525" s="200"/>
      <c r="H1525" s="192"/>
      <c r="I1525" s="201"/>
      <c r="J1525" s="201"/>
      <c r="K1525" s="201"/>
      <c r="L1525" s="192"/>
      <c r="M1525" s="200"/>
      <c r="N1525" s="200"/>
      <c r="O1525" s="192"/>
      <c r="P1525" s="192"/>
      <c r="Q1525" s="192"/>
      <c r="R1525" s="192"/>
      <c r="S1525" s="200"/>
      <c r="T1525" s="203"/>
      <c r="U1525" s="153"/>
      <c r="V1525" s="153"/>
      <c r="W1525" s="153"/>
      <c r="X1525" s="153"/>
      <c r="Y1525" s="153"/>
      <c r="Z1525" s="153"/>
    </row>
    <row r="1526" spans="1:26">
      <c r="A1526" s="200"/>
      <c r="B1526" s="200"/>
      <c r="C1526" s="200"/>
      <c r="D1526" s="200"/>
      <c r="E1526" s="200"/>
      <c r="F1526" s="200"/>
      <c r="G1526" s="200"/>
      <c r="H1526" s="192"/>
      <c r="I1526" s="201"/>
      <c r="J1526" s="201"/>
      <c r="K1526" s="201"/>
      <c r="L1526" s="192"/>
      <c r="M1526" s="200"/>
      <c r="N1526" s="200"/>
      <c r="O1526" s="192"/>
      <c r="P1526" s="192"/>
      <c r="Q1526" s="192"/>
      <c r="R1526" s="192"/>
      <c r="S1526" s="200"/>
      <c r="T1526" s="203"/>
      <c r="U1526" s="153"/>
      <c r="V1526" s="153"/>
      <c r="W1526" s="153"/>
      <c r="X1526" s="153"/>
      <c r="Y1526" s="153"/>
      <c r="Z1526" s="153"/>
    </row>
    <row r="1527" spans="1:26">
      <c r="A1527" s="200"/>
      <c r="B1527" s="200"/>
      <c r="C1527" s="200"/>
      <c r="D1527" s="200"/>
      <c r="E1527" s="200"/>
      <c r="F1527" s="200"/>
      <c r="G1527" s="200"/>
      <c r="H1527" s="192"/>
      <c r="I1527" s="201"/>
      <c r="J1527" s="201"/>
      <c r="K1527" s="201"/>
      <c r="L1527" s="192"/>
      <c r="M1527" s="200"/>
      <c r="N1527" s="200"/>
      <c r="O1527" s="192"/>
      <c r="P1527" s="192"/>
      <c r="Q1527" s="192"/>
      <c r="R1527" s="192"/>
      <c r="S1527" s="200"/>
      <c r="T1527" s="203"/>
      <c r="U1527" s="153"/>
      <c r="V1527" s="153"/>
      <c r="W1527" s="153"/>
      <c r="X1527" s="153"/>
      <c r="Y1527" s="153"/>
      <c r="Z1527" s="153"/>
    </row>
    <row r="1528" spans="1:26">
      <c r="A1528" s="200"/>
      <c r="B1528" s="200"/>
      <c r="C1528" s="200"/>
      <c r="D1528" s="200"/>
      <c r="E1528" s="200"/>
      <c r="F1528" s="200"/>
      <c r="G1528" s="200"/>
      <c r="H1528" s="192"/>
      <c r="I1528" s="201"/>
      <c r="J1528" s="201"/>
      <c r="K1528" s="201"/>
      <c r="L1528" s="192"/>
      <c r="M1528" s="200"/>
      <c r="N1528" s="200"/>
      <c r="O1528" s="192"/>
      <c r="P1528" s="192"/>
      <c r="Q1528" s="192"/>
      <c r="R1528" s="192"/>
      <c r="S1528" s="200"/>
      <c r="T1528" s="203"/>
      <c r="U1528" s="153"/>
      <c r="V1528" s="153"/>
      <c r="W1528" s="153"/>
      <c r="X1528" s="153"/>
      <c r="Y1528" s="153"/>
      <c r="Z1528" s="153"/>
    </row>
    <row r="1529" spans="1:26">
      <c r="A1529" s="200"/>
      <c r="B1529" s="200"/>
      <c r="C1529" s="200"/>
      <c r="D1529" s="200"/>
      <c r="E1529" s="200"/>
      <c r="F1529" s="200"/>
      <c r="G1529" s="200"/>
      <c r="H1529" s="192"/>
      <c r="I1529" s="201"/>
      <c r="J1529" s="201"/>
      <c r="K1529" s="201"/>
      <c r="L1529" s="192"/>
      <c r="M1529" s="200"/>
      <c r="N1529" s="200"/>
      <c r="O1529" s="192"/>
      <c r="P1529" s="192"/>
      <c r="Q1529" s="192"/>
      <c r="R1529" s="192"/>
      <c r="S1529" s="200"/>
      <c r="T1529" s="203"/>
      <c r="U1529" s="153"/>
      <c r="V1529" s="153"/>
      <c r="W1529" s="153"/>
      <c r="X1529" s="153"/>
      <c r="Y1529" s="153"/>
      <c r="Z1529" s="153"/>
    </row>
    <row r="1530" spans="1:26">
      <c r="A1530" s="200"/>
      <c r="B1530" s="200"/>
      <c r="C1530" s="200"/>
      <c r="D1530" s="200"/>
      <c r="E1530" s="200"/>
      <c r="F1530" s="200"/>
      <c r="G1530" s="200"/>
      <c r="H1530" s="192"/>
      <c r="I1530" s="201"/>
      <c r="J1530" s="201"/>
      <c r="K1530" s="201"/>
      <c r="L1530" s="192"/>
      <c r="M1530" s="200"/>
      <c r="N1530" s="200"/>
      <c r="O1530" s="192"/>
      <c r="P1530" s="192"/>
      <c r="Q1530" s="192"/>
      <c r="R1530" s="192"/>
      <c r="S1530" s="200"/>
      <c r="T1530" s="203"/>
      <c r="U1530" s="153"/>
      <c r="V1530" s="153"/>
      <c r="W1530" s="153"/>
      <c r="X1530" s="153"/>
      <c r="Y1530" s="153"/>
      <c r="Z1530" s="153"/>
    </row>
    <row r="1531" spans="1:26">
      <c r="A1531" s="200"/>
      <c r="B1531" s="200"/>
      <c r="C1531" s="200"/>
      <c r="D1531" s="200"/>
      <c r="E1531" s="200"/>
      <c r="F1531" s="200"/>
      <c r="G1531" s="200"/>
      <c r="H1531" s="192"/>
      <c r="I1531" s="201"/>
      <c r="J1531" s="201"/>
      <c r="K1531" s="201"/>
      <c r="L1531" s="192"/>
      <c r="M1531" s="200"/>
      <c r="N1531" s="200"/>
      <c r="O1531" s="192"/>
      <c r="P1531" s="192"/>
      <c r="Q1531" s="192"/>
      <c r="R1531" s="192"/>
      <c r="S1531" s="200"/>
      <c r="T1531" s="203"/>
      <c r="U1531" s="153"/>
      <c r="V1531" s="153"/>
      <c r="W1531" s="153"/>
      <c r="X1531" s="153"/>
      <c r="Y1531" s="153"/>
      <c r="Z1531" s="153"/>
    </row>
    <row r="1532" spans="1:26">
      <c r="A1532" s="200"/>
      <c r="B1532" s="200"/>
      <c r="C1532" s="200"/>
      <c r="D1532" s="200"/>
      <c r="E1532" s="200"/>
      <c r="F1532" s="200"/>
      <c r="G1532" s="200"/>
      <c r="H1532" s="192"/>
      <c r="I1532" s="201"/>
      <c r="J1532" s="201"/>
      <c r="K1532" s="201"/>
      <c r="L1532" s="192"/>
      <c r="M1532" s="200"/>
      <c r="N1532" s="200"/>
      <c r="O1532" s="192"/>
      <c r="P1532" s="192"/>
      <c r="Q1532" s="192"/>
      <c r="R1532" s="192"/>
      <c r="S1532" s="200"/>
      <c r="T1532" s="203"/>
      <c r="U1532" s="153"/>
      <c r="V1532" s="153"/>
      <c r="W1532" s="153"/>
      <c r="X1532" s="153"/>
      <c r="Y1532" s="153"/>
      <c r="Z1532" s="153"/>
    </row>
    <row r="1533" spans="1:26">
      <c r="A1533" s="200"/>
      <c r="B1533" s="200"/>
      <c r="C1533" s="200"/>
      <c r="D1533" s="200"/>
      <c r="E1533" s="200"/>
      <c r="F1533" s="200"/>
      <c r="G1533" s="200"/>
      <c r="H1533" s="192"/>
      <c r="I1533" s="201"/>
      <c r="J1533" s="201"/>
      <c r="K1533" s="201"/>
      <c r="L1533" s="192"/>
      <c r="M1533" s="200"/>
      <c r="N1533" s="200"/>
      <c r="O1533" s="192"/>
      <c r="P1533" s="192"/>
      <c r="Q1533" s="192"/>
      <c r="R1533" s="192"/>
      <c r="S1533" s="200"/>
      <c r="T1533" s="203"/>
      <c r="U1533" s="153"/>
      <c r="V1533" s="153"/>
      <c r="W1533" s="153"/>
      <c r="X1533" s="153"/>
      <c r="Y1533" s="153"/>
      <c r="Z1533" s="153"/>
    </row>
    <row r="1534" spans="1:26">
      <c r="A1534" s="200"/>
      <c r="B1534" s="200"/>
      <c r="C1534" s="200"/>
      <c r="D1534" s="200"/>
      <c r="E1534" s="200"/>
      <c r="F1534" s="200"/>
      <c r="G1534" s="200"/>
      <c r="H1534" s="192"/>
      <c r="I1534" s="201"/>
      <c r="J1534" s="201"/>
      <c r="K1534" s="201"/>
      <c r="L1534" s="192"/>
      <c r="M1534" s="200"/>
      <c r="N1534" s="200"/>
      <c r="O1534" s="192"/>
      <c r="P1534" s="192"/>
      <c r="Q1534" s="192"/>
      <c r="R1534" s="192"/>
      <c r="S1534" s="200"/>
      <c r="T1534" s="203"/>
      <c r="U1534" s="153"/>
      <c r="V1534" s="153"/>
      <c r="W1534" s="153"/>
      <c r="X1534" s="153"/>
      <c r="Y1534" s="153"/>
      <c r="Z1534" s="153"/>
    </row>
    <row r="1535" spans="1:26">
      <c r="A1535" s="200"/>
      <c r="B1535" s="200"/>
      <c r="C1535" s="200"/>
      <c r="D1535" s="200"/>
      <c r="E1535" s="200"/>
      <c r="F1535" s="200"/>
      <c r="G1535" s="200"/>
      <c r="H1535" s="192"/>
      <c r="I1535" s="201"/>
      <c r="J1535" s="201"/>
      <c r="K1535" s="201"/>
      <c r="L1535" s="192"/>
      <c r="M1535" s="200"/>
      <c r="N1535" s="200"/>
      <c r="O1535" s="192"/>
      <c r="P1535" s="192"/>
      <c r="Q1535" s="192"/>
      <c r="R1535" s="192"/>
      <c r="S1535" s="200"/>
      <c r="T1535" s="203"/>
      <c r="U1535" s="153"/>
      <c r="V1535" s="153"/>
      <c r="W1535" s="153"/>
      <c r="X1535" s="153"/>
      <c r="Y1535" s="153"/>
      <c r="Z1535" s="153"/>
    </row>
    <row r="1536" spans="1:26">
      <c r="A1536" s="200"/>
      <c r="B1536" s="200"/>
      <c r="C1536" s="200"/>
      <c r="D1536" s="200"/>
      <c r="E1536" s="200"/>
      <c r="F1536" s="200"/>
      <c r="G1536" s="200"/>
      <c r="H1536" s="192"/>
      <c r="I1536" s="201"/>
      <c r="J1536" s="201"/>
      <c r="K1536" s="201"/>
      <c r="L1536" s="192"/>
      <c r="M1536" s="200"/>
      <c r="N1536" s="200"/>
      <c r="O1536" s="192"/>
      <c r="P1536" s="192"/>
      <c r="Q1536" s="192"/>
      <c r="R1536" s="192"/>
      <c r="S1536" s="200"/>
      <c r="T1536" s="203"/>
      <c r="U1536" s="153"/>
      <c r="V1536" s="153"/>
      <c r="W1536" s="153"/>
      <c r="X1536" s="153"/>
      <c r="Y1536" s="153"/>
      <c r="Z1536" s="153"/>
    </row>
    <row r="1537" spans="1:26">
      <c r="A1537" s="200"/>
      <c r="B1537" s="200"/>
      <c r="C1537" s="200"/>
      <c r="D1537" s="200"/>
      <c r="E1537" s="200"/>
      <c r="F1537" s="200"/>
      <c r="G1537" s="200"/>
      <c r="H1537" s="192"/>
      <c r="I1537" s="201"/>
      <c r="J1537" s="201"/>
      <c r="K1537" s="201"/>
      <c r="L1537" s="192"/>
      <c r="M1537" s="200"/>
      <c r="N1537" s="200"/>
      <c r="O1537" s="192"/>
      <c r="P1537" s="192"/>
      <c r="Q1537" s="192"/>
      <c r="R1537" s="192"/>
      <c r="S1537" s="200"/>
      <c r="T1537" s="203"/>
      <c r="U1537" s="153"/>
      <c r="V1537" s="153"/>
      <c r="W1537" s="153"/>
      <c r="X1537" s="153"/>
      <c r="Y1537" s="153"/>
      <c r="Z1537" s="153"/>
    </row>
    <row r="1538" spans="1:26">
      <c r="A1538" s="200"/>
      <c r="B1538" s="200"/>
      <c r="C1538" s="200"/>
      <c r="D1538" s="200"/>
      <c r="E1538" s="200"/>
      <c r="F1538" s="200"/>
      <c r="G1538" s="200"/>
      <c r="H1538" s="192"/>
      <c r="I1538" s="201"/>
      <c r="J1538" s="201"/>
      <c r="K1538" s="201"/>
      <c r="L1538" s="192"/>
      <c r="M1538" s="200"/>
      <c r="N1538" s="200"/>
      <c r="O1538" s="192"/>
      <c r="P1538" s="192"/>
      <c r="Q1538" s="192"/>
      <c r="R1538" s="192"/>
      <c r="S1538" s="200"/>
      <c r="T1538" s="203"/>
      <c r="U1538" s="153"/>
      <c r="V1538" s="153"/>
      <c r="W1538" s="153"/>
      <c r="X1538" s="153"/>
      <c r="Y1538" s="153"/>
      <c r="Z1538" s="153"/>
    </row>
    <row r="1539" spans="1:26">
      <c r="A1539" s="200"/>
      <c r="B1539" s="200"/>
      <c r="C1539" s="200"/>
      <c r="D1539" s="200"/>
      <c r="E1539" s="200"/>
      <c r="F1539" s="200"/>
      <c r="G1539" s="200"/>
      <c r="H1539" s="192"/>
      <c r="I1539" s="201"/>
      <c r="J1539" s="201"/>
      <c r="K1539" s="201"/>
      <c r="L1539" s="192"/>
      <c r="M1539" s="200"/>
      <c r="N1539" s="200"/>
      <c r="O1539" s="192"/>
      <c r="P1539" s="192"/>
      <c r="Q1539" s="192"/>
      <c r="R1539" s="192"/>
      <c r="S1539" s="200"/>
      <c r="T1539" s="203"/>
      <c r="U1539" s="153"/>
      <c r="V1539" s="153"/>
      <c r="W1539" s="153"/>
      <c r="X1539" s="153"/>
      <c r="Y1539" s="153"/>
      <c r="Z1539" s="153"/>
    </row>
    <row r="1540" spans="1:26">
      <c r="A1540" s="200"/>
      <c r="B1540" s="200"/>
      <c r="C1540" s="200"/>
      <c r="D1540" s="200"/>
      <c r="E1540" s="200"/>
      <c r="F1540" s="200"/>
      <c r="G1540" s="200"/>
      <c r="H1540" s="192"/>
      <c r="I1540" s="201"/>
      <c r="J1540" s="201"/>
      <c r="K1540" s="201"/>
      <c r="L1540" s="192"/>
      <c r="M1540" s="200"/>
      <c r="N1540" s="200"/>
      <c r="O1540" s="192"/>
      <c r="P1540" s="192"/>
      <c r="Q1540" s="192"/>
      <c r="R1540" s="192"/>
      <c r="S1540" s="200"/>
      <c r="T1540" s="203"/>
      <c r="U1540" s="153"/>
      <c r="V1540" s="153"/>
      <c r="W1540" s="153"/>
      <c r="X1540" s="153"/>
      <c r="Y1540" s="153"/>
      <c r="Z1540" s="153"/>
    </row>
    <row r="1541" spans="1:26">
      <c r="A1541" s="200"/>
      <c r="B1541" s="200"/>
      <c r="C1541" s="200"/>
      <c r="D1541" s="200"/>
      <c r="E1541" s="200"/>
      <c r="F1541" s="200"/>
      <c r="G1541" s="200"/>
      <c r="H1541" s="192"/>
      <c r="I1541" s="201"/>
      <c r="J1541" s="201"/>
      <c r="K1541" s="201"/>
      <c r="L1541" s="192"/>
      <c r="M1541" s="200"/>
      <c r="N1541" s="200"/>
      <c r="O1541" s="192"/>
      <c r="P1541" s="192"/>
      <c r="Q1541" s="192"/>
      <c r="R1541" s="192"/>
      <c r="S1541" s="200"/>
      <c r="T1541" s="203"/>
      <c r="U1541" s="153"/>
      <c r="V1541" s="153"/>
      <c r="W1541" s="153"/>
      <c r="X1541" s="153"/>
      <c r="Y1541" s="153"/>
      <c r="Z1541" s="153"/>
    </row>
    <row r="1542" spans="1:26">
      <c r="A1542" s="200"/>
      <c r="B1542" s="200"/>
      <c r="C1542" s="200"/>
      <c r="D1542" s="200"/>
      <c r="E1542" s="200"/>
      <c r="F1542" s="200"/>
      <c r="G1542" s="200"/>
      <c r="H1542" s="192"/>
      <c r="I1542" s="201"/>
      <c r="J1542" s="201"/>
      <c r="K1542" s="201"/>
      <c r="L1542" s="192"/>
      <c r="M1542" s="200"/>
      <c r="N1542" s="200"/>
      <c r="O1542" s="192"/>
      <c r="P1542" s="192"/>
      <c r="Q1542" s="192"/>
      <c r="R1542" s="192"/>
      <c r="S1542" s="200"/>
      <c r="T1542" s="203"/>
      <c r="U1542" s="153"/>
      <c r="V1542" s="153"/>
      <c r="W1542" s="153"/>
      <c r="X1542" s="153"/>
      <c r="Y1542" s="153"/>
      <c r="Z1542" s="153"/>
    </row>
    <row r="1543" spans="1:26">
      <c r="A1543" s="200"/>
      <c r="B1543" s="200"/>
      <c r="C1543" s="200"/>
      <c r="D1543" s="200"/>
      <c r="E1543" s="200"/>
      <c r="F1543" s="200"/>
      <c r="G1543" s="200"/>
      <c r="H1543" s="192"/>
      <c r="I1543" s="201"/>
      <c r="J1543" s="201"/>
      <c r="K1543" s="201"/>
      <c r="L1543" s="192"/>
      <c r="M1543" s="200"/>
      <c r="N1543" s="200"/>
      <c r="O1543" s="192"/>
      <c r="P1543" s="192"/>
      <c r="Q1543" s="192"/>
      <c r="R1543" s="192"/>
      <c r="S1543" s="200"/>
      <c r="T1543" s="203"/>
      <c r="U1543" s="153"/>
      <c r="V1543" s="153"/>
      <c r="W1543" s="153"/>
      <c r="X1543" s="153"/>
      <c r="Y1543" s="153"/>
      <c r="Z1543" s="153"/>
    </row>
    <row r="1544" spans="1:26">
      <c r="A1544" s="200"/>
      <c r="B1544" s="200"/>
      <c r="C1544" s="200"/>
      <c r="D1544" s="200"/>
      <c r="E1544" s="200"/>
      <c r="F1544" s="200"/>
      <c r="G1544" s="200"/>
      <c r="H1544" s="192"/>
      <c r="I1544" s="201"/>
      <c r="J1544" s="201"/>
      <c r="K1544" s="201"/>
      <c r="L1544" s="192"/>
      <c r="M1544" s="200"/>
      <c r="N1544" s="200"/>
      <c r="O1544" s="192"/>
      <c r="P1544" s="192"/>
      <c r="Q1544" s="192"/>
      <c r="R1544" s="192"/>
      <c r="S1544" s="200"/>
      <c r="T1544" s="203"/>
      <c r="U1544" s="153"/>
      <c r="V1544" s="153"/>
      <c r="W1544" s="153"/>
      <c r="X1544" s="153"/>
      <c r="Y1544" s="153"/>
      <c r="Z1544" s="153"/>
    </row>
    <row r="1545" spans="1:26">
      <c r="A1545" s="200"/>
      <c r="B1545" s="200"/>
      <c r="C1545" s="200"/>
      <c r="D1545" s="200"/>
      <c r="E1545" s="200"/>
      <c r="F1545" s="200"/>
      <c r="G1545" s="200"/>
      <c r="H1545" s="192"/>
      <c r="I1545" s="201"/>
      <c r="J1545" s="201"/>
      <c r="K1545" s="201"/>
      <c r="L1545" s="192"/>
      <c r="M1545" s="200"/>
      <c r="N1545" s="200"/>
      <c r="O1545" s="192"/>
      <c r="P1545" s="192"/>
      <c r="Q1545" s="192"/>
      <c r="R1545" s="192"/>
      <c r="S1545" s="200"/>
      <c r="T1545" s="203"/>
      <c r="U1545" s="153"/>
      <c r="V1545" s="153"/>
      <c r="W1545" s="153"/>
      <c r="X1545" s="153"/>
      <c r="Y1545" s="153"/>
      <c r="Z1545" s="153"/>
    </row>
    <row r="1546" spans="1:26">
      <c r="A1546" s="200"/>
      <c r="B1546" s="200"/>
      <c r="C1546" s="200"/>
      <c r="D1546" s="200"/>
      <c r="E1546" s="200"/>
      <c r="F1546" s="200"/>
      <c r="G1546" s="200"/>
      <c r="H1546" s="192"/>
      <c r="I1546" s="201"/>
      <c r="J1546" s="201"/>
      <c r="K1546" s="201"/>
      <c r="L1546" s="192"/>
      <c r="M1546" s="200"/>
      <c r="N1546" s="200"/>
      <c r="O1546" s="192"/>
      <c r="P1546" s="192"/>
      <c r="Q1546" s="192"/>
      <c r="R1546" s="192"/>
      <c r="S1546" s="200"/>
      <c r="T1546" s="203"/>
      <c r="U1546" s="153"/>
      <c r="V1546" s="153"/>
      <c r="W1546" s="153"/>
      <c r="X1546" s="153"/>
      <c r="Y1546" s="153"/>
      <c r="Z1546" s="153"/>
    </row>
    <row r="1547" spans="1:26">
      <c r="A1547" s="200"/>
      <c r="B1547" s="200"/>
      <c r="C1547" s="200"/>
      <c r="D1547" s="200"/>
      <c r="E1547" s="200"/>
      <c r="F1547" s="200"/>
      <c r="G1547" s="200"/>
      <c r="H1547" s="192"/>
      <c r="I1547" s="201"/>
      <c r="J1547" s="201"/>
      <c r="K1547" s="201"/>
      <c r="L1547" s="192"/>
      <c r="M1547" s="200"/>
      <c r="N1547" s="200"/>
      <c r="O1547" s="192"/>
      <c r="P1547" s="192"/>
      <c r="Q1547" s="192"/>
      <c r="R1547" s="192"/>
      <c r="S1547" s="200"/>
      <c r="T1547" s="203"/>
      <c r="U1547" s="153"/>
      <c r="V1547" s="153"/>
      <c r="W1547" s="153"/>
      <c r="X1547" s="153"/>
      <c r="Y1547" s="153"/>
      <c r="Z1547" s="153"/>
    </row>
    <row r="1548" spans="1:26">
      <c r="A1548" s="200"/>
      <c r="B1548" s="200"/>
      <c r="C1548" s="200"/>
      <c r="D1548" s="200"/>
      <c r="E1548" s="200"/>
      <c r="F1548" s="200"/>
      <c r="G1548" s="200"/>
      <c r="H1548" s="192"/>
      <c r="I1548" s="201"/>
      <c r="J1548" s="201"/>
      <c r="K1548" s="201"/>
      <c r="L1548" s="192"/>
      <c r="M1548" s="200"/>
      <c r="N1548" s="200"/>
      <c r="O1548" s="192"/>
      <c r="P1548" s="192"/>
      <c r="Q1548" s="192"/>
      <c r="R1548" s="192"/>
      <c r="S1548" s="200"/>
      <c r="T1548" s="203"/>
      <c r="U1548" s="153"/>
      <c r="V1548" s="153"/>
      <c r="W1548" s="153"/>
      <c r="X1548" s="153"/>
      <c r="Y1548" s="153"/>
      <c r="Z1548" s="153"/>
    </row>
    <row r="1549" spans="1:26">
      <c r="A1549" s="200"/>
      <c r="B1549" s="200"/>
      <c r="C1549" s="200"/>
      <c r="D1549" s="200"/>
      <c r="E1549" s="200"/>
      <c r="F1549" s="200"/>
      <c r="G1549" s="200"/>
      <c r="H1549" s="192"/>
      <c r="I1549" s="201"/>
      <c r="J1549" s="201"/>
      <c r="K1549" s="201"/>
      <c r="L1549" s="192"/>
      <c r="M1549" s="200"/>
      <c r="N1549" s="200"/>
      <c r="O1549" s="192"/>
      <c r="P1549" s="192"/>
      <c r="Q1549" s="192"/>
      <c r="R1549" s="192"/>
      <c r="S1549" s="200"/>
      <c r="T1549" s="203"/>
      <c r="U1549" s="153"/>
      <c r="V1549" s="153"/>
      <c r="W1549" s="153"/>
      <c r="X1549" s="153"/>
      <c r="Y1549" s="153"/>
      <c r="Z1549" s="153"/>
    </row>
    <row r="1550" spans="1:26">
      <c r="A1550" s="200"/>
      <c r="B1550" s="200"/>
      <c r="C1550" s="200"/>
      <c r="D1550" s="200"/>
      <c r="E1550" s="200"/>
      <c r="F1550" s="200"/>
      <c r="G1550" s="200"/>
      <c r="H1550" s="192"/>
      <c r="I1550" s="201"/>
      <c r="J1550" s="201"/>
      <c r="K1550" s="201"/>
      <c r="L1550" s="192"/>
      <c r="M1550" s="200"/>
      <c r="N1550" s="200"/>
      <c r="O1550" s="192"/>
      <c r="P1550" s="192"/>
      <c r="Q1550" s="192"/>
      <c r="R1550" s="192"/>
      <c r="S1550" s="200"/>
      <c r="T1550" s="203"/>
      <c r="U1550" s="153"/>
      <c r="V1550" s="153"/>
      <c r="W1550" s="153"/>
      <c r="X1550" s="153"/>
      <c r="Y1550" s="153"/>
      <c r="Z1550" s="153"/>
    </row>
    <row r="1551" spans="1:26">
      <c r="A1551" s="200"/>
      <c r="B1551" s="200"/>
      <c r="C1551" s="200"/>
      <c r="D1551" s="200"/>
      <c r="E1551" s="200"/>
      <c r="F1551" s="200"/>
      <c r="G1551" s="200"/>
      <c r="H1551" s="192"/>
      <c r="I1551" s="201"/>
      <c r="J1551" s="201"/>
      <c r="K1551" s="201"/>
      <c r="L1551" s="192"/>
      <c r="M1551" s="200"/>
      <c r="N1551" s="200"/>
      <c r="O1551" s="192"/>
      <c r="P1551" s="192"/>
      <c r="Q1551" s="192"/>
      <c r="R1551" s="192"/>
      <c r="S1551" s="200"/>
      <c r="T1551" s="203"/>
      <c r="U1551" s="153"/>
      <c r="V1551" s="153"/>
      <c r="W1551" s="153"/>
      <c r="X1551" s="153"/>
      <c r="Y1551" s="153"/>
      <c r="Z1551" s="153"/>
    </row>
    <row r="1552" spans="1:26">
      <c r="A1552" s="200"/>
      <c r="B1552" s="200"/>
      <c r="C1552" s="200"/>
      <c r="D1552" s="200"/>
      <c r="E1552" s="200"/>
      <c r="F1552" s="200"/>
      <c r="G1552" s="200"/>
      <c r="H1552" s="192"/>
      <c r="I1552" s="201"/>
      <c r="J1552" s="201"/>
      <c r="K1552" s="201"/>
      <c r="L1552" s="192"/>
      <c r="M1552" s="200"/>
      <c r="N1552" s="200"/>
      <c r="O1552" s="192"/>
      <c r="P1552" s="192"/>
      <c r="Q1552" s="192"/>
      <c r="R1552" s="192"/>
      <c r="S1552" s="200"/>
      <c r="T1552" s="203"/>
      <c r="U1552" s="153"/>
      <c r="V1552" s="153"/>
      <c r="W1552" s="153"/>
      <c r="X1552" s="153"/>
      <c r="Y1552" s="153"/>
      <c r="Z1552" s="153"/>
    </row>
    <row r="1553" spans="1:26">
      <c r="A1553" s="200"/>
      <c r="B1553" s="200"/>
      <c r="C1553" s="200"/>
      <c r="D1553" s="200"/>
      <c r="E1553" s="200"/>
      <c r="F1553" s="200"/>
      <c r="G1553" s="200"/>
      <c r="H1553" s="192"/>
      <c r="I1553" s="201"/>
      <c r="J1553" s="201"/>
      <c r="K1553" s="201"/>
      <c r="L1553" s="192"/>
      <c r="M1553" s="200"/>
      <c r="N1553" s="200"/>
      <c r="O1553" s="192"/>
      <c r="P1553" s="192"/>
      <c r="Q1553" s="192"/>
      <c r="R1553" s="192"/>
      <c r="S1553" s="200"/>
      <c r="T1553" s="203"/>
      <c r="U1553" s="153"/>
      <c r="V1553" s="153"/>
      <c r="W1553" s="153"/>
      <c r="X1553" s="153"/>
      <c r="Y1553" s="153"/>
      <c r="Z1553" s="153"/>
    </row>
    <row r="1554" spans="1:26">
      <c r="A1554" s="200"/>
      <c r="B1554" s="200"/>
      <c r="C1554" s="200"/>
      <c r="D1554" s="200"/>
      <c r="E1554" s="200"/>
      <c r="F1554" s="200"/>
      <c r="G1554" s="200"/>
      <c r="H1554" s="192"/>
      <c r="I1554" s="201"/>
      <c r="J1554" s="201"/>
      <c r="K1554" s="201"/>
      <c r="L1554" s="192"/>
      <c r="M1554" s="200"/>
      <c r="N1554" s="200"/>
      <c r="O1554" s="192"/>
      <c r="P1554" s="192"/>
      <c r="Q1554" s="192"/>
      <c r="R1554" s="192"/>
      <c r="S1554" s="200"/>
      <c r="T1554" s="203"/>
      <c r="U1554" s="153"/>
      <c r="V1554" s="153"/>
      <c r="W1554" s="153"/>
      <c r="X1554" s="153"/>
      <c r="Y1554" s="153"/>
      <c r="Z1554" s="153"/>
    </row>
    <row r="1555" spans="1:26">
      <c r="A1555" s="200"/>
      <c r="B1555" s="200"/>
      <c r="C1555" s="200"/>
      <c r="D1555" s="200"/>
      <c r="E1555" s="200"/>
      <c r="F1555" s="200"/>
      <c r="G1555" s="200"/>
      <c r="H1555" s="192"/>
      <c r="I1555" s="201"/>
      <c r="J1555" s="201"/>
      <c r="K1555" s="201"/>
      <c r="L1555" s="192"/>
      <c r="M1555" s="200"/>
      <c r="N1555" s="200"/>
      <c r="O1555" s="192"/>
      <c r="P1555" s="192"/>
      <c r="Q1555" s="192"/>
      <c r="R1555" s="192"/>
      <c r="S1555" s="200"/>
      <c r="T1555" s="203"/>
      <c r="U1555" s="153"/>
      <c r="V1555" s="153"/>
      <c r="W1555" s="153"/>
      <c r="X1555" s="153"/>
      <c r="Y1555" s="153"/>
      <c r="Z1555" s="153"/>
    </row>
    <row r="1556" spans="1:26">
      <c r="A1556" s="200"/>
      <c r="B1556" s="200"/>
      <c r="C1556" s="200"/>
      <c r="D1556" s="200"/>
      <c r="E1556" s="200"/>
      <c r="F1556" s="200"/>
      <c r="G1556" s="200"/>
      <c r="H1556" s="192"/>
      <c r="I1556" s="201"/>
      <c r="J1556" s="201"/>
      <c r="K1556" s="201"/>
      <c r="L1556" s="192"/>
      <c r="M1556" s="200"/>
      <c r="N1556" s="200"/>
      <c r="O1556" s="192"/>
      <c r="P1556" s="192"/>
      <c r="Q1556" s="192"/>
      <c r="R1556" s="192"/>
      <c r="S1556" s="200"/>
      <c r="T1556" s="203"/>
      <c r="U1556" s="153"/>
      <c r="V1556" s="153"/>
      <c r="W1556" s="153"/>
      <c r="X1556" s="153"/>
      <c r="Y1556" s="153"/>
      <c r="Z1556" s="153"/>
    </row>
    <row r="1557" spans="1:26">
      <c r="A1557" s="200"/>
      <c r="B1557" s="200"/>
      <c r="C1557" s="200"/>
      <c r="D1557" s="200"/>
      <c r="E1557" s="200"/>
      <c r="F1557" s="200"/>
      <c r="G1557" s="200"/>
      <c r="H1557" s="192"/>
      <c r="I1557" s="201"/>
      <c r="J1557" s="201"/>
      <c r="K1557" s="201"/>
      <c r="L1557" s="192"/>
      <c r="M1557" s="200"/>
      <c r="N1557" s="200"/>
      <c r="O1557" s="192"/>
      <c r="P1557" s="192"/>
      <c r="Q1557" s="192"/>
      <c r="R1557" s="192"/>
      <c r="S1557" s="200"/>
      <c r="T1557" s="203"/>
      <c r="U1557" s="153"/>
      <c r="V1557" s="153"/>
      <c r="W1557" s="153"/>
      <c r="X1557" s="153"/>
      <c r="Y1557" s="153"/>
      <c r="Z1557" s="153"/>
    </row>
    <row r="1558" spans="1:26">
      <c r="A1558" s="200"/>
      <c r="B1558" s="200"/>
      <c r="C1558" s="200"/>
      <c r="D1558" s="200"/>
      <c r="E1558" s="200"/>
      <c r="F1558" s="200"/>
      <c r="G1558" s="200"/>
      <c r="H1558" s="192"/>
      <c r="I1558" s="201"/>
      <c r="J1558" s="201"/>
      <c r="K1558" s="201"/>
      <c r="L1558" s="192"/>
      <c r="M1558" s="200"/>
      <c r="N1558" s="200"/>
      <c r="O1558" s="192"/>
      <c r="P1558" s="192"/>
      <c r="Q1558" s="192"/>
      <c r="R1558" s="192"/>
      <c r="S1558" s="200"/>
      <c r="T1558" s="203"/>
      <c r="U1558" s="153"/>
      <c r="V1558" s="153"/>
      <c r="W1558" s="153"/>
      <c r="X1558" s="153"/>
      <c r="Y1558" s="153"/>
      <c r="Z1558" s="153"/>
    </row>
    <row r="1559" spans="1:26">
      <c r="A1559" s="200"/>
      <c r="B1559" s="200"/>
      <c r="C1559" s="200"/>
      <c r="D1559" s="200"/>
      <c r="E1559" s="200"/>
      <c r="F1559" s="200"/>
      <c r="G1559" s="200"/>
      <c r="H1559" s="192"/>
      <c r="I1559" s="201"/>
      <c r="J1559" s="201"/>
      <c r="K1559" s="201"/>
      <c r="L1559" s="192"/>
      <c r="M1559" s="200"/>
      <c r="N1559" s="200"/>
      <c r="O1559" s="192"/>
      <c r="P1559" s="192"/>
      <c r="Q1559" s="192"/>
      <c r="R1559" s="192"/>
      <c r="S1559" s="200"/>
      <c r="T1559" s="203"/>
      <c r="U1559" s="153"/>
      <c r="V1559" s="153"/>
      <c r="W1559" s="153"/>
      <c r="X1559" s="153"/>
      <c r="Y1559" s="153"/>
      <c r="Z1559" s="153"/>
    </row>
    <row r="1560" spans="1:26">
      <c r="A1560" s="200"/>
      <c r="B1560" s="200"/>
      <c r="C1560" s="200"/>
      <c r="D1560" s="200"/>
      <c r="E1560" s="200"/>
      <c r="F1560" s="200"/>
      <c r="G1560" s="200"/>
      <c r="H1560" s="192"/>
      <c r="I1560" s="201"/>
      <c r="J1560" s="201"/>
      <c r="K1560" s="201"/>
      <c r="L1560" s="192"/>
      <c r="M1560" s="200"/>
      <c r="N1560" s="200"/>
      <c r="O1560" s="192"/>
      <c r="P1560" s="192"/>
      <c r="Q1560" s="192"/>
      <c r="R1560" s="192"/>
      <c r="S1560" s="200"/>
      <c r="T1560" s="203"/>
      <c r="U1560" s="153"/>
      <c r="V1560" s="153"/>
      <c r="W1560" s="153"/>
      <c r="X1560" s="153"/>
      <c r="Y1560" s="153"/>
      <c r="Z1560" s="153"/>
    </row>
    <row r="1561" spans="1:26">
      <c r="A1561" s="200"/>
      <c r="B1561" s="200"/>
      <c r="C1561" s="200"/>
      <c r="D1561" s="200"/>
      <c r="E1561" s="200"/>
      <c r="F1561" s="200"/>
      <c r="G1561" s="200"/>
      <c r="H1561" s="192"/>
      <c r="I1561" s="201"/>
      <c r="J1561" s="201"/>
      <c r="K1561" s="201"/>
      <c r="L1561" s="192"/>
      <c r="M1561" s="200"/>
      <c r="N1561" s="200"/>
      <c r="O1561" s="192"/>
      <c r="P1561" s="192"/>
      <c r="Q1561" s="192"/>
      <c r="R1561" s="192"/>
      <c r="S1561" s="200"/>
      <c r="T1561" s="203"/>
      <c r="U1561" s="153"/>
      <c r="V1561" s="153"/>
      <c r="W1561" s="153"/>
      <c r="X1561" s="153"/>
      <c r="Y1561" s="153"/>
      <c r="Z1561" s="153"/>
    </row>
    <row r="1562" spans="1:26">
      <c r="A1562" s="200"/>
      <c r="B1562" s="200"/>
      <c r="C1562" s="200"/>
      <c r="D1562" s="200"/>
      <c r="E1562" s="200"/>
      <c r="F1562" s="200"/>
      <c r="G1562" s="200"/>
      <c r="H1562" s="192"/>
      <c r="I1562" s="201"/>
      <c r="J1562" s="201"/>
      <c r="K1562" s="201"/>
      <c r="L1562" s="192"/>
      <c r="M1562" s="200"/>
      <c r="N1562" s="200"/>
      <c r="O1562" s="192"/>
      <c r="P1562" s="192"/>
      <c r="Q1562" s="192"/>
      <c r="R1562" s="192"/>
      <c r="S1562" s="200"/>
      <c r="T1562" s="203"/>
      <c r="U1562" s="153"/>
      <c r="V1562" s="153"/>
      <c r="W1562" s="153"/>
      <c r="X1562" s="153"/>
      <c r="Y1562" s="153"/>
      <c r="Z1562" s="153"/>
    </row>
    <row r="1563" spans="1:26">
      <c r="A1563" s="200"/>
      <c r="B1563" s="200"/>
      <c r="C1563" s="200"/>
      <c r="D1563" s="200"/>
      <c r="E1563" s="200"/>
      <c r="F1563" s="200"/>
      <c r="G1563" s="200"/>
      <c r="H1563" s="192"/>
      <c r="I1563" s="201"/>
      <c r="J1563" s="201"/>
      <c r="K1563" s="201"/>
      <c r="L1563" s="192"/>
      <c r="M1563" s="200"/>
      <c r="N1563" s="200"/>
      <c r="O1563" s="192"/>
      <c r="P1563" s="192"/>
      <c r="Q1563" s="192"/>
      <c r="R1563" s="192"/>
      <c r="S1563" s="200"/>
      <c r="T1563" s="203"/>
      <c r="U1563" s="153"/>
      <c r="V1563" s="153"/>
      <c r="W1563" s="153"/>
      <c r="X1563" s="153"/>
      <c r="Y1563" s="153"/>
      <c r="Z1563" s="153"/>
    </row>
    <row r="1564" spans="1:26">
      <c r="A1564" s="200"/>
      <c r="B1564" s="200"/>
      <c r="C1564" s="200"/>
      <c r="D1564" s="200"/>
      <c r="E1564" s="200"/>
      <c r="F1564" s="200"/>
      <c r="G1564" s="200"/>
      <c r="H1564" s="192"/>
      <c r="I1564" s="201"/>
      <c r="J1564" s="201"/>
      <c r="K1564" s="201"/>
      <c r="L1564" s="192"/>
      <c r="M1564" s="200"/>
      <c r="N1564" s="200"/>
      <c r="O1564" s="192"/>
      <c r="P1564" s="192"/>
      <c r="Q1564" s="192"/>
      <c r="R1564" s="192"/>
      <c r="S1564" s="200"/>
      <c r="T1564" s="203"/>
      <c r="U1564" s="153"/>
      <c r="V1564" s="153"/>
      <c r="W1564" s="153"/>
      <c r="X1564" s="153"/>
      <c r="Y1564" s="153"/>
      <c r="Z1564" s="153"/>
    </row>
    <row r="1565" spans="1:26">
      <c r="A1565" s="200"/>
      <c r="B1565" s="200"/>
      <c r="C1565" s="200"/>
      <c r="D1565" s="200"/>
      <c r="E1565" s="200"/>
      <c r="F1565" s="200"/>
      <c r="G1565" s="200"/>
      <c r="H1565" s="192"/>
      <c r="I1565" s="201"/>
      <c r="J1565" s="201"/>
      <c r="K1565" s="201"/>
      <c r="L1565" s="192"/>
      <c r="M1565" s="200"/>
      <c r="N1565" s="200"/>
      <c r="O1565" s="192"/>
      <c r="P1565" s="192"/>
      <c r="Q1565" s="192"/>
      <c r="R1565" s="192"/>
      <c r="S1565" s="200"/>
      <c r="T1565" s="203"/>
      <c r="U1565" s="153"/>
      <c r="V1565" s="153"/>
      <c r="W1565" s="153"/>
      <c r="X1565" s="153"/>
      <c r="Y1565" s="153"/>
      <c r="Z1565" s="153"/>
    </row>
    <row r="1566" spans="1:26">
      <c r="A1566" s="200"/>
      <c r="B1566" s="200"/>
      <c r="C1566" s="200"/>
      <c r="D1566" s="200"/>
      <c r="E1566" s="200"/>
      <c r="F1566" s="200"/>
      <c r="G1566" s="200"/>
      <c r="H1566" s="192"/>
      <c r="I1566" s="201"/>
      <c r="J1566" s="201"/>
      <c r="K1566" s="201"/>
      <c r="L1566" s="192"/>
      <c r="M1566" s="200"/>
      <c r="N1566" s="200"/>
      <c r="O1566" s="192"/>
      <c r="P1566" s="192"/>
      <c r="Q1566" s="192"/>
      <c r="R1566" s="192"/>
      <c r="S1566" s="200"/>
      <c r="T1566" s="203"/>
      <c r="U1566" s="153"/>
      <c r="V1566" s="153"/>
      <c r="W1566" s="153"/>
      <c r="X1566" s="153"/>
      <c r="Y1566" s="153"/>
      <c r="Z1566" s="153"/>
    </row>
    <row r="1567" spans="1:26">
      <c r="A1567" s="200"/>
      <c r="B1567" s="200"/>
      <c r="C1567" s="200"/>
      <c r="D1567" s="200"/>
      <c r="E1567" s="200"/>
      <c r="F1567" s="200"/>
      <c r="G1567" s="200"/>
      <c r="H1567" s="192"/>
      <c r="I1567" s="201"/>
      <c r="J1567" s="201"/>
      <c r="K1567" s="201"/>
      <c r="L1567" s="192"/>
      <c r="M1567" s="200"/>
      <c r="N1567" s="200"/>
      <c r="O1567" s="192"/>
      <c r="P1567" s="192"/>
      <c r="Q1567" s="192"/>
      <c r="R1567" s="192"/>
      <c r="S1567" s="200"/>
      <c r="T1567" s="203"/>
      <c r="U1567" s="153"/>
      <c r="V1567" s="153"/>
      <c r="W1567" s="153"/>
      <c r="X1567" s="153"/>
      <c r="Y1567" s="153"/>
      <c r="Z1567" s="153"/>
    </row>
    <row r="1568" spans="1:26">
      <c r="A1568" s="200"/>
      <c r="B1568" s="200"/>
      <c r="C1568" s="200"/>
      <c r="D1568" s="200"/>
      <c r="E1568" s="200"/>
      <c r="F1568" s="200"/>
      <c r="G1568" s="200"/>
      <c r="H1568" s="192"/>
      <c r="I1568" s="201"/>
      <c r="J1568" s="201"/>
      <c r="K1568" s="201"/>
      <c r="L1568" s="192"/>
      <c r="M1568" s="200"/>
      <c r="N1568" s="200"/>
      <c r="O1568" s="192"/>
      <c r="P1568" s="192"/>
      <c r="Q1568" s="192"/>
      <c r="R1568" s="192"/>
      <c r="S1568" s="200"/>
      <c r="T1568" s="203"/>
      <c r="U1568" s="153"/>
      <c r="V1568" s="153"/>
      <c r="W1568" s="153"/>
      <c r="X1568" s="153"/>
      <c r="Y1568" s="153"/>
      <c r="Z1568" s="153"/>
    </row>
    <row r="1569" spans="1:26">
      <c r="A1569" s="200"/>
      <c r="B1569" s="200"/>
      <c r="C1569" s="200"/>
      <c r="D1569" s="200"/>
      <c r="E1569" s="200"/>
      <c r="F1569" s="200"/>
      <c r="G1569" s="200"/>
      <c r="H1569" s="192"/>
      <c r="I1569" s="201"/>
      <c r="J1569" s="201"/>
      <c r="K1569" s="201"/>
      <c r="L1569" s="192"/>
      <c r="M1569" s="200"/>
      <c r="N1569" s="200"/>
      <c r="O1569" s="192"/>
      <c r="P1569" s="192"/>
      <c r="Q1569" s="192"/>
      <c r="R1569" s="192"/>
      <c r="S1569" s="200"/>
      <c r="T1569" s="203"/>
      <c r="U1569" s="153"/>
      <c r="V1569" s="153"/>
      <c r="W1569" s="153"/>
      <c r="X1569" s="153"/>
      <c r="Y1569" s="153"/>
      <c r="Z1569" s="153"/>
    </row>
    <row r="1570" spans="1:26">
      <c r="A1570" s="200"/>
      <c r="B1570" s="200"/>
      <c r="C1570" s="200"/>
      <c r="D1570" s="200"/>
      <c r="E1570" s="200"/>
      <c r="F1570" s="200"/>
      <c r="G1570" s="200"/>
      <c r="H1570" s="192"/>
      <c r="I1570" s="201"/>
      <c r="J1570" s="201"/>
      <c r="K1570" s="201"/>
      <c r="L1570" s="192"/>
      <c r="M1570" s="200"/>
      <c r="N1570" s="200"/>
      <c r="O1570" s="192"/>
      <c r="P1570" s="192"/>
      <c r="Q1570" s="192"/>
      <c r="R1570" s="192"/>
      <c r="S1570" s="200"/>
      <c r="T1570" s="203"/>
      <c r="U1570" s="153"/>
      <c r="V1570" s="153"/>
      <c r="W1570" s="153"/>
      <c r="X1570" s="153"/>
      <c r="Y1570" s="153"/>
      <c r="Z1570" s="153"/>
    </row>
    <row r="1571" spans="1:26">
      <c r="A1571" s="200"/>
      <c r="B1571" s="200"/>
      <c r="C1571" s="200"/>
      <c r="D1571" s="200"/>
      <c r="E1571" s="200"/>
      <c r="F1571" s="200"/>
      <c r="G1571" s="200"/>
      <c r="H1571" s="192"/>
      <c r="I1571" s="201"/>
      <c r="J1571" s="201"/>
      <c r="K1571" s="201"/>
      <c r="L1571" s="192"/>
      <c r="M1571" s="200"/>
      <c r="N1571" s="200"/>
      <c r="O1571" s="192"/>
      <c r="P1571" s="192"/>
      <c r="Q1571" s="192"/>
      <c r="R1571" s="192"/>
      <c r="S1571" s="200"/>
      <c r="T1571" s="203"/>
      <c r="U1571" s="153"/>
      <c r="V1571" s="153"/>
      <c r="W1571" s="153"/>
      <c r="X1571" s="153"/>
      <c r="Y1571" s="153"/>
      <c r="Z1571" s="153"/>
    </row>
    <row r="1572" spans="1:26">
      <c r="A1572" s="200"/>
      <c r="B1572" s="200"/>
      <c r="C1572" s="200"/>
      <c r="D1572" s="200"/>
      <c r="E1572" s="200"/>
      <c r="F1572" s="200"/>
      <c r="G1572" s="200"/>
      <c r="H1572" s="192"/>
      <c r="I1572" s="201"/>
      <c r="J1572" s="201"/>
      <c r="K1572" s="201"/>
      <c r="L1572" s="192"/>
      <c r="M1572" s="200"/>
      <c r="N1572" s="200"/>
      <c r="O1572" s="192"/>
      <c r="P1572" s="192"/>
      <c r="Q1572" s="192"/>
      <c r="R1572" s="192"/>
      <c r="S1572" s="200"/>
      <c r="T1572" s="203"/>
      <c r="U1572" s="153"/>
      <c r="V1572" s="153"/>
      <c r="W1572" s="153"/>
      <c r="X1572" s="153"/>
      <c r="Y1572" s="153"/>
      <c r="Z1572" s="153"/>
    </row>
    <row r="1573" spans="1:26">
      <c r="A1573" s="200"/>
      <c r="B1573" s="200"/>
      <c r="C1573" s="200"/>
      <c r="D1573" s="200"/>
      <c r="E1573" s="200"/>
      <c r="F1573" s="200"/>
      <c r="G1573" s="200"/>
      <c r="H1573" s="192"/>
      <c r="I1573" s="201"/>
      <c r="J1573" s="201"/>
      <c r="K1573" s="201"/>
      <c r="L1573" s="192"/>
      <c r="M1573" s="200"/>
      <c r="N1573" s="200"/>
      <c r="O1573" s="192"/>
      <c r="P1573" s="192"/>
      <c r="Q1573" s="192"/>
      <c r="R1573" s="192"/>
      <c r="S1573" s="200"/>
      <c r="T1573" s="203"/>
      <c r="U1573" s="153"/>
      <c r="V1573" s="153"/>
      <c r="W1573" s="153"/>
      <c r="X1573" s="153"/>
      <c r="Y1573" s="153"/>
      <c r="Z1573" s="153"/>
    </row>
    <row r="1574" spans="1:26">
      <c r="A1574" s="200"/>
      <c r="B1574" s="200"/>
      <c r="C1574" s="200"/>
      <c r="D1574" s="200"/>
      <c r="E1574" s="200"/>
      <c r="F1574" s="200"/>
      <c r="G1574" s="200"/>
      <c r="H1574" s="192"/>
      <c r="I1574" s="201"/>
      <c r="J1574" s="201"/>
      <c r="K1574" s="201"/>
      <c r="L1574" s="192"/>
      <c r="M1574" s="200"/>
      <c r="N1574" s="200"/>
      <c r="O1574" s="192"/>
      <c r="P1574" s="192"/>
      <c r="Q1574" s="192"/>
      <c r="R1574" s="192"/>
      <c r="S1574" s="200"/>
      <c r="T1574" s="203"/>
      <c r="U1574" s="153"/>
      <c r="V1574" s="153"/>
      <c r="W1574" s="153"/>
      <c r="X1574" s="153"/>
      <c r="Y1574" s="153"/>
      <c r="Z1574" s="153"/>
    </row>
    <row r="1575" spans="1:26">
      <c r="A1575" s="200"/>
      <c r="B1575" s="200"/>
      <c r="C1575" s="200"/>
      <c r="D1575" s="200"/>
      <c r="E1575" s="200"/>
      <c r="F1575" s="200"/>
      <c r="G1575" s="200"/>
      <c r="H1575" s="192"/>
      <c r="I1575" s="201"/>
      <c r="J1575" s="201"/>
      <c r="K1575" s="201"/>
      <c r="L1575" s="192"/>
      <c r="M1575" s="200"/>
      <c r="N1575" s="200"/>
      <c r="O1575" s="192"/>
      <c r="P1575" s="192"/>
      <c r="Q1575" s="192"/>
      <c r="R1575" s="192"/>
      <c r="S1575" s="200"/>
      <c r="T1575" s="203"/>
      <c r="U1575" s="153"/>
      <c r="V1575" s="153"/>
      <c r="W1575" s="153"/>
      <c r="X1575" s="153"/>
      <c r="Y1575" s="153"/>
      <c r="Z1575" s="153"/>
    </row>
    <row r="1576" spans="1:26">
      <c r="A1576" s="200"/>
      <c r="B1576" s="200"/>
      <c r="C1576" s="200"/>
      <c r="D1576" s="200"/>
      <c r="E1576" s="200"/>
      <c r="F1576" s="200"/>
      <c r="G1576" s="200"/>
      <c r="H1576" s="192"/>
      <c r="I1576" s="201"/>
      <c r="J1576" s="201"/>
      <c r="K1576" s="201"/>
      <c r="L1576" s="192"/>
      <c r="M1576" s="200"/>
      <c r="N1576" s="200"/>
      <c r="O1576" s="192"/>
      <c r="P1576" s="192"/>
      <c r="Q1576" s="192"/>
      <c r="R1576" s="192"/>
      <c r="S1576" s="200"/>
      <c r="T1576" s="203"/>
      <c r="U1576" s="153"/>
      <c r="V1576" s="153"/>
      <c r="W1576" s="153"/>
      <c r="X1576" s="153"/>
      <c r="Y1576" s="153"/>
      <c r="Z1576" s="153"/>
    </row>
    <row r="1577" spans="1:26">
      <c r="A1577" s="200"/>
      <c r="B1577" s="200"/>
      <c r="C1577" s="200"/>
      <c r="D1577" s="200"/>
      <c r="E1577" s="200"/>
      <c r="F1577" s="200"/>
      <c r="G1577" s="200"/>
      <c r="H1577" s="192"/>
      <c r="I1577" s="201"/>
      <c r="J1577" s="201"/>
      <c r="K1577" s="201"/>
      <c r="L1577" s="192"/>
      <c r="M1577" s="200"/>
      <c r="N1577" s="200"/>
      <c r="O1577" s="192"/>
      <c r="P1577" s="192"/>
      <c r="Q1577" s="192"/>
      <c r="R1577" s="192"/>
      <c r="S1577" s="200"/>
      <c r="T1577" s="203"/>
      <c r="U1577" s="153"/>
      <c r="V1577" s="153"/>
      <c r="W1577" s="153"/>
      <c r="X1577" s="153"/>
      <c r="Y1577" s="153"/>
      <c r="Z1577" s="153"/>
    </row>
    <row r="1578" spans="1:26">
      <c r="A1578" s="200"/>
      <c r="B1578" s="200"/>
      <c r="C1578" s="200"/>
      <c r="D1578" s="200"/>
      <c r="E1578" s="200"/>
      <c r="F1578" s="200"/>
      <c r="G1578" s="200"/>
      <c r="H1578" s="192"/>
      <c r="I1578" s="201"/>
      <c r="J1578" s="201"/>
      <c r="K1578" s="201"/>
      <c r="L1578" s="192"/>
      <c r="M1578" s="200"/>
      <c r="N1578" s="200"/>
      <c r="O1578" s="192"/>
      <c r="P1578" s="192"/>
      <c r="Q1578" s="192"/>
      <c r="R1578" s="192"/>
      <c r="S1578" s="200"/>
      <c r="T1578" s="203"/>
      <c r="U1578" s="153"/>
      <c r="V1578" s="153"/>
      <c r="W1578" s="153"/>
      <c r="X1578" s="153"/>
      <c r="Y1578" s="153"/>
      <c r="Z1578" s="153"/>
    </row>
    <row r="1579" spans="1:26">
      <c r="A1579" s="200"/>
      <c r="B1579" s="200"/>
      <c r="C1579" s="200"/>
      <c r="D1579" s="200"/>
      <c r="E1579" s="200"/>
      <c r="F1579" s="200"/>
      <c r="G1579" s="200"/>
      <c r="H1579" s="192"/>
      <c r="I1579" s="201"/>
      <c r="J1579" s="201"/>
      <c r="K1579" s="201"/>
      <c r="L1579" s="192"/>
      <c r="M1579" s="200"/>
      <c r="N1579" s="200"/>
      <c r="O1579" s="192"/>
      <c r="P1579" s="192"/>
      <c r="Q1579" s="192"/>
      <c r="R1579" s="192"/>
      <c r="S1579" s="200"/>
      <c r="T1579" s="203"/>
      <c r="U1579" s="153"/>
      <c r="V1579" s="153"/>
      <c r="W1579" s="153"/>
      <c r="X1579" s="153"/>
      <c r="Y1579" s="153"/>
      <c r="Z1579" s="153"/>
    </row>
    <row r="1580" spans="1:26">
      <c r="A1580" s="200"/>
      <c r="B1580" s="200"/>
      <c r="C1580" s="200"/>
      <c r="D1580" s="200"/>
      <c r="E1580" s="200"/>
      <c r="F1580" s="200"/>
      <c r="G1580" s="200"/>
      <c r="H1580" s="192"/>
      <c r="I1580" s="201"/>
      <c r="J1580" s="201"/>
      <c r="K1580" s="201"/>
      <c r="L1580" s="192"/>
      <c r="M1580" s="200"/>
      <c r="N1580" s="200"/>
      <c r="O1580" s="192"/>
      <c r="P1580" s="192"/>
      <c r="Q1580" s="192"/>
      <c r="R1580" s="192"/>
      <c r="S1580" s="200"/>
      <c r="T1580" s="203"/>
      <c r="U1580" s="153"/>
      <c r="V1580" s="153"/>
      <c r="W1580" s="153"/>
      <c r="X1580" s="153"/>
      <c r="Y1580" s="153"/>
      <c r="Z1580" s="153"/>
    </row>
    <row r="1581" spans="1:26">
      <c r="A1581" s="200"/>
      <c r="B1581" s="200"/>
      <c r="C1581" s="200"/>
      <c r="D1581" s="200"/>
      <c r="E1581" s="200"/>
      <c r="F1581" s="200"/>
      <c r="G1581" s="200"/>
      <c r="H1581" s="192"/>
      <c r="I1581" s="201"/>
      <c r="J1581" s="201"/>
      <c r="K1581" s="201"/>
      <c r="L1581" s="192"/>
      <c r="M1581" s="200"/>
      <c r="N1581" s="200"/>
      <c r="O1581" s="192"/>
      <c r="P1581" s="192"/>
      <c r="Q1581" s="192"/>
      <c r="R1581" s="192"/>
      <c r="S1581" s="200"/>
      <c r="T1581" s="203"/>
      <c r="U1581" s="153"/>
      <c r="V1581" s="153"/>
      <c r="W1581" s="153"/>
      <c r="X1581" s="153"/>
      <c r="Y1581" s="153"/>
      <c r="Z1581" s="153"/>
    </row>
    <row r="1582" spans="1:26">
      <c r="A1582" s="200"/>
      <c r="B1582" s="200"/>
      <c r="C1582" s="200"/>
      <c r="D1582" s="200"/>
      <c r="E1582" s="200"/>
      <c r="F1582" s="200"/>
      <c r="G1582" s="200"/>
      <c r="H1582" s="192"/>
      <c r="I1582" s="201"/>
      <c r="J1582" s="201"/>
      <c r="K1582" s="201"/>
      <c r="L1582" s="192"/>
      <c r="M1582" s="200"/>
      <c r="N1582" s="200"/>
      <c r="O1582" s="192"/>
      <c r="P1582" s="192"/>
      <c r="Q1582" s="192"/>
      <c r="R1582" s="192"/>
      <c r="S1582" s="200"/>
      <c r="T1582" s="203"/>
      <c r="U1582" s="153"/>
      <c r="V1582" s="153"/>
      <c r="W1582" s="153"/>
      <c r="X1582" s="153"/>
      <c r="Y1582" s="153"/>
      <c r="Z1582" s="153"/>
    </row>
    <row r="1583" spans="1:26">
      <c r="A1583" s="200"/>
      <c r="B1583" s="200"/>
      <c r="C1583" s="200"/>
      <c r="D1583" s="200"/>
      <c r="E1583" s="200"/>
      <c r="F1583" s="200"/>
      <c r="G1583" s="200"/>
      <c r="H1583" s="192"/>
      <c r="I1583" s="201"/>
      <c r="J1583" s="201"/>
      <c r="K1583" s="201"/>
      <c r="L1583" s="192"/>
      <c r="M1583" s="200"/>
      <c r="N1583" s="200"/>
      <c r="O1583" s="192"/>
      <c r="P1583" s="192"/>
      <c r="Q1583" s="192"/>
      <c r="R1583" s="192"/>
      <c r="S1583" s="200"/>
      <c r="T1583" s="203"/>
      <c r="U1583" s="153"/>
      <c r="V1583" s="153"/>
      <c r="W1583" s="153"/>
      <c r="X1583" s="153"/>
      <c r="Y1583" s="153"/>
      <c r="Z1583" s="153"/>
    </row>
    <row r="1584" spans="1:26">
      <c r="A1584" s="200"/>
      <c r="B1584" s="200"/>
      <c r="C1584" s="200"/>
      <c r="D1584" s="200"/>
      <c r="E1584" s="200"/>
      <c r="F1584" s="200"/>
      <c r="G1584" s="200"/>
      <c r="H1584" s="192"/>
      <c r="I1584" s="201"/>
      <c r="J1584" s="201"/>
      <c r="K1584" s="201"/>
      <c r="L1584" s="192"/>
      <c r="M1584" s="200"/>
      <c r="N1584" s="200"/>
      <c r="O1584" s="192"/>
      <c r="P1584" s="192"/>
      <c r="Q1584" s="192"/>
      <c r="R1584" s="192"/>
      <c r="S1584" s="200"/>
      <c r="T1584" s="203"/>
      <c r="U1584" s="153"/>
      <c r="V1584" s="153"/>
      <c r="W1584" s="153"/>
      <c r="X1584" s="153"/>
      <c r="Y1584" s="153"/>
      <c r="Z1584" s="153"/>
    </row>
    <row r="1585" spans="1:26">
      <c r="A1585" s="200"/>
      <c r="B1585" s="200"/>
      <c r="C1585" s="200"/>
      <c r="D1585" s="200"/>
      <c r="E1585" s="200"/>
      <c r="F1585" s="200"/>
      <c r="G1585" s="200"/>
      <c r="H1585" s="192"/>
      <c r="I1585" s="201"/>
      <c r="J1585" s="201"/>
      <c r="K1585" s="201"/>
      <c r="L1585" s="192"/>
      <c r="M1585" s="200"/>
      <c r="N1585" s="200"/>
      <c r="O1585" s="192"/>
      <c r="P1585" s="192"/>
      <c r="Q1585" s="192"/>
      <c r="R1585" s="192"/>
      <c r="S1585" s="200"/>
      <c r="T1585" s="203"/>
      <c r="U1585" s="153"/>
      <c r="V1585" s="153"/>
      <c r="W1585" s="153"/>
      <c r="X1585" s="153"/>
      <c r="Y1585" s="153"/>
      <c r="Z1585" s="153"/>
    </row>
    <row r="1586" spans="1:26">
      <c r="A1586" s="200"/>
      <c r="B1586" s="200"/>
      <c r="C1586" s="200"/>
      <c r="D1586" s="200"/>
      <c r="E1586" s="200"/>
      <c r="F1586" s="200"/>
      <c r="G1586" s="200"/>
      <c r="H1586" s="192"/>
      <c r="I1586" s="201"/>
      <c r="J1586" s="201"/>
      <c r="K1586" s="201"/>
      <c r="L1586" s="192"/>
      <c r="M1586" s="200"/>
      <c r="N1586" s="200"/>
      <c r="O1586" s="192"/>
      <c r="P1586" s="192"/>
      <c r="Q1586" s="192"/>
      <c r="R1586" s="192"/>
      <c r="S1586" s="200"/>
      <c r="T1586" s="203"/>
      <c r="U1586" s="153"/>
      <c r="V1586" s="153"/>
      <c r="W1586" s="153"/>
      <c r="X1586" s="153"/>
      <c r="Y1586" s="153"/>
      <c r="Z1586" s="153"/>
    </row>
    <row r="1587" spans="1:26">
      <c r="A1587" s="200"/>
      <c r="B1587" s="200"/>
      <c r="C1587" s="200"/>
      <c r="D1587" s="200"/>
      <c r="E1587" s="200"/>
      <c r="F1587" s="200"/>
      <c r="G1587" s="200"/>
      <c r="H1587" s="192"/>
      <c r="I1587" s="201"/>
      <c r="J1587" s="201"/>
      <c r="K1587" s="201"/>
      <c r="L1587" s="192"/>
      <c r="M1587" s="200"/>
      <c r="N1587" s="200"/>
      <c r="O1587" s="192"/>
      <c r="P1587" s="192"/>
      <c r="Q1587" s="192"/>
      <c r="R1587" s="192"/>
      <c r="S1587" s="200"/>
      <c r="T1587" s="203"/>
      <c r="U1587" s="153"/>
      <c r="V1587" s="153"/>
      <c r="W1587" s="153"/>
      <c r="X1587" s="153"/>
      <c r="Y1587" s="153"/>
      <c r="Z1587" s="153"/>
    </row>
    <row r="1588" spans="1:26">
      <c r="A1588" s="200"/>
      <c r="B1588" s="200"/>
      <c r="C1588" s="200"/>
      <c r="D1588" s="200"/>
      <c r="E1588" s="200"/>
      <c r="F1588" s="200"/>
      <c r="G1588" s="200"/>
      <c r="H1588" s="192"/>
      <c r="I1588" s="201"/>
      <c r="J1588" s="201"/>
      <c r="K1588" s="201"/>
      <c r="L1588" s="192"/>
      <c r="M1588" s="200"/>
      <c r="N1588" s="200"/>
      <c r="O1588" s="192"/>
      <c r="P1588" s="192"/>
      <c r="Q1588" s="192"/>
      <c r="R1588" s="192"/>
      <c r="S1588" s="200"/>
      <c r="T1588" s="203"/>
      <c r="U1588" s="153"/>
      <c r="V1588" s="153"/>
      <c r="W1588" s="153"/>
      <c r="X1588" s="153"/>
      <c r="Y1588" s="153"/>
      <c r="Z1588" s="153"/>
    </row>
    <row r="1589" spans="1:26">
      <c r="A1589" s="200"/>
      <c r="B1589" s="200"/>
      <c r="C1589" s="200"/>
      <c r="D1589" s="200"/>
      <c r="E1589" s="200"/>
      <c r="F1589" s="200"/>
      <c r="G1589" s="200"/>
      <c r="H1589" s="192"/>
      <c r="I1589" s="201"/>
      <c r="J1589" s="201"/>
      <c r="K1589" s="201"/>
      <c r="L1589" s="192"/>
      <c r="M1589" s="200"/>
      <c r="N1589" s="200"/>
      <c r="O1589" s="192"/>
      <c r="P1589" s="192"/>
      <c r="Q1589" s="192"/>
      <c r="R1589" s="192"/>
      <c r="S1589" s="200"/>
      <c r="T1589" s="203"/>
      <c r="U1589" s="153"/>
      <c r="V1589" s="153"/>
      <c r="W1589" s="153"/>
      <c r="X1589" s="153"/>
      <c r="Y1589" s="153"/>
      <c r="Z1589" s="153"/>
    </row>
    <row r="1590" spans="1:26">
      <c r="A1590" s="200"/>
      <c r="B1590" s="200"/>
      <c r="C1590" s="200"/>
      <c r="D1590" s="200"/>
      <c r="E1590" s="200"/>
      <c r="F1590" s="200"/>
      <c r="G1590" s="200"/>
      <c r="H1590" s="192"/>
      <c r="I1590" s="201"/>
      <c r="J1590" s="201"/>
      <c r="K1590" s="201"/>
      <c r="L1590" s="192"/>
      <c r="M1590" s="200"/>
      <c r="N1590" s="200"/>
      <c r="O1590" s="192"/>
      <c r="P1590" s="192"/>
      <c r="Q1590" s="192"/>
      <c r="R1590" s="192"/>
      <c r="S1590" s="200"/>
      <c r="T1590" s="203"/>
      <c r="U1590" s="153"/>
      <c r="V1590" s="153"/>
      <c r="W1590" s="153"/>
      <c r="X1590" s="153"/>
      <c r="Y1590" s="153"/>
      <c r="Z1590" s="153"/>
    </row>
    <row r="1591" spans="1:26">
      <c r="A1591" s="200"/>
      <c r="B1591" s="200"/>
      <c r="C1591" s="200"/>
      <c r="D1591" s="200"/>
      <c r="E1591" s="200"/>
      <c r="F1591" s="200"/>
      <c r="G1591" s="200"/>
      <c r="H1591" s="192"/>
      <c r="I1591" s="201"/>
      <c r="J1591" s="201"/>
      <c r="K1591" s="201"/>
      <c r="L1591" s="192"/>
      <c r="M1591" s="200"/>
      <c r="N1591" s="200"/>
      <c r="O1591" s="192"/>
      <c r="P1591" s="192"/>
      <c r="Q1591" s="192"/>
      <c r="R1591" s="192"/>
      <c r="S1591" s="200"/>
      <c r="T1591" s="203"/>
      <c r="U1591" s="153"/>
      <c r="V1591" s="153"/>
      <c r="W1591" s="153"/>
      <c r="X1591" s="153"/>
      <c r="Y1591" s="153"/>
      <c r="Z1591" s="153"/>
    </row>
    <row r="1592" spans="1:26">
      <c r="A1592" s="200"/>
      <c r="B1592" s="200"/>
      <c r="C1592" s="200"/>
      <c r="D1592" s="200"/>
      <c r="E1592" s="200"/>
      <c r="F1592" s="200"/>
      <c r="G1592" s="200"/>
      <c r="H1592" s="192"/>
      <c r="I1592" s="201"/>
      <c r="J1592" s="201"/>
      <c r="K1592" s="201"/>
      <c r="L1592" s="192"/>
      <c r="M1592" s="200"/>
      <c r="N1592" s="200"/>
      <c r="O1592" s="192"/>
      <c r="P1592" s="192"/>
      <c r="Q1592" s="192"/>
      <c r="R1592" s="192"/>
      <c r="S1592" s="200"/>
      <c r="T1592" s="203"/>
      <c r="U1592" s="153"/>
      <c r="V1592" s="153"/>
      <c r="W1592" s="153"/>
      <c r="X1592" s="153"/>
      <c r="Y1592" s="153"/>
      <c r="Z1592" s="153"/>
    </row>
    <row r="1593" spans="1:26">
      <c r="A1593" s="200"/>
      <c r="B1593" s="200"/>
      <c r="C1593" s="200"/>
      <c r="D1593" s="200"/>
      <c r="E1593" s="200"/>
      <c r="F1593" s="200"/>
      <c r="G1593" s="200"/>
      <c r="H1593" s="192"/>
      <c r="I1593" s="201"/>
      <c r="J1593" s="201"/>
      <c r="K1593" s="201"/>
      <c r="L1593" s="192"/>
      <c r="M1593" s="200"/>
      <c r="N1593" s="200"/>
      <c r="O1593" s="192"/>
      <c r="P1593" s="192"/>
      <c r="Q1593" s="192"/>
      <c r="R1593" s="192"/>
      <c r="S1593" s="200"/>
      <c r="T1593" s="203"/>
      <c r="U1593" s="153"/>
      <c r="V1593" s="153"/>
      <c r="W1593" s="153"/>
      <c r="X1593" s="153"/>
      <c r="Y1593" s="153"/>
      <c r="Z1593" s="153"/>
    </row>
    <row r="1594" spans="1:26">
      <c r="A1594" s="200"/>
      <c r="B1594" s="200"/>
      <c r="C1594" s="200"/>
      <c r="D1594" s="200"/>
      <c r="E1594" s="200"/>
      <c r="F1594" s="200"/>
      <c r="G1594" s="200"/>
      <c r="H1594" s="192"/>
      <c r="I1594" s="201"/>
      <c r="J1594" s="201"/>
      <c r="K1594" s="201"/>
      <c r="L1594" s="192"/>
      <c r="M1594" s="200"/>
      <c r="N1594" s="200"/>
      <c r="O1594" s="192"/>
      <c r="P1594" s="192"/>
      <c r="Q1594" s="192"/>
      <c r="R1594" s="192"/>
      <c r="S1594" s="200"/>
      <c r="T1594" s="203"/>
      <c r="U1594" s="153"/>
      <c r="V1594" s="153"/>
      <c r="W1594" s="153"/>
      <c r="X1594" s="153"/>
      <c r="Y1594" s="153"/>
      <c r="Z1594" s="153"/>
    </row>
    <row r="1595" spans="1:26">
      <c r="A1595" s="200"/>
      <c r="B1595" s="200"/>
      <c r="C1595" s="200"/>
      <c r="D1595" s="200"/>
      <c r="E1595" s="200"/>
      <c r="F1595" s="200"/>
      <c r="G1595" s="200"/>
      <c r="H1595" s="192"/>
      <c r="I1595" s="201"/>
      <c r="J1595" s="201"/>
      <c r="K1595" s="201"/>
      <c r="L1595" s="192"/>
      <c r="M1595" s="200"/>
      <c r="N1595" s="200"/>
      <c r="O1595" s="192"/>
      <c r="P1595" s="192"/>
      <c r="Q1595" s="192"/>
      <c r="R1595" s="192"/>
      <c r="S1595" s="200"/>
      <c r="T1595" s="203"/>
      <c r="U1595" s="153"/>
      <c r="V1595" s="153"/>
      <c r="W1595" s="153"/>
      <c r="X1595" s="153"/>
      <c r="Y1595" s="153"/>
      <c r="Z1595" s="153"/>
    </row>
    <row r="1596" spans="1:26">
      <c r="A1596" s="200"/>
      <c r="B1596" s="200"/>
      <c r="C1596" s="200"/>
      <c r="D1596" s="200"/>
      <c r="E1596" s="200"/>
      <c r="F1596" s="200"/>
      <c r="G1596" s="200"/>
      <c r="H1596" s="192"/>
      <c r="I1596" s="201"/>
      <c r="J1596" s="201"/>
      <c r="K1596" s="201"/>
      <c r="L1596" s="192"/>
      <c r="M1596" s="200"/>
      <c r="N1596" s="200"/>
      <c r="O1596" s="192"/>
      <c r="P1596" s="192"/>
      <c r="Q1596" s="192"/>
      <c r="R1596" s="192"/>
      <c r="S1596" s="200"/>
      <c r="T1596" s="203"/>
      <c r="U1596" s="153"/>
      <c r="V1596" s="153"/>
      <c r="W1596" s="153"/>
      <c r="X1596" s="153"/>
      <c r="Y1596" s="153"/>
      <c r="Z1596" s="153"/>
    </row>
    <row r="1597" spans="1:26">
      <c r="A1597" s="200"/>
      <c r="B1597" s="200"/>
      <c r="C1597" s="200"/>
      <c r="D1597" s="200"/>
      <c r="E1597" s="200"/>
      <c r="F1597" s="200"/>
      <c r="G1597" s="200"/>
      <c r="H1597" s="192"/>
      <c r="I1597" s="201"/>
      <c r="J1597" s="201"/>
      <c r="K1597" s="201"/>
      <c r="L1597" s="192"/>
      <c r="M1597" s="200"/>
      <c r="N1597" s="200"/>
      <c r="O1597" s="192"/>
      <c r="P1597" s="192"/>
      <c r="Q1597" s="192"/>
      <c r="R1597" s="192"/>
      <c r="S1597" s="200"/>
      <c r="T1597" s="203"/>
      <c r="U1597" s="153"/>
      <c r="V1597" s="153"/>
      <c r="W1597" s="153"/>
      <c r="X1597" s="153"/>
      <c r="Y1597" s="153"/>
      <c r="Z1597" s="153"/>
    </row>
    <row r="1598" spans="1:26">
      <c r="A1598" s="200"/>
      <c r="B1598" s="200"/>
      <c r="C1598" s="200"/>
      <c r="D1598" s="200"/>
      <c r="E1598" s="200"/>
      <c r="F1598" s="200"/>
      <c r="G1598" s="200"/>
      <c r="H1598" s="192"/>
      <c r="I1598" s="201"/>
      <c r="J1598" s="201"/>
      <c r="K1598" s="201"/>
      <c r="L1598" s="192"/>
      <c r="M1598" s="200"/>
      <c r="N1598" s="200"/>
      <c r="O1598" s="192"/>
      <c r="P1598" s="192"/>
      <c r="Q1598" s="192"/>
      <c r="R1598" s="192"/>
      <c r="S1598" s="200"/>
      <c r="T1598" s="203"/>
      <c r="U1598" s="153"/>
      <c r="V1598" s="153"/>
      <c r="W1598" s="153"/>
      <c r="X1598" s="153"/>
      <c r="Y1598" s="153"/>
      <c r="Z1598" s="153"/>
    </row>
    <row r="1599" spans="1:26">
      <c r="A1599" s="200"/>
      <c r="B1599" s="200"/>
      <c r="C1599" s="200"/>
      <c r="D1599" s="200"/>
      <c r="E1599" s="200"/>
      <c r="F1599" s="200"/>
      <c r="G1599" s="200"/>
      <c r="H1599" s="192"/>
      <c r="I1599" s="201"/>
      <c r="J1599" s="201"/>
      <c r="K1599" s="201"/>
      <c r="L1599" s="192"/>
      <c r="M1599" s="200"/>
      <c r="N1599" s="200"/>
      <c r="O1599" s="192"/>
      <c r="P1599" s="192"/>
      <c r="Q1599" s="192"/>
      <c r="R1599" s="192"/>
      <c r="S1599" s="200"/>
      <c r="T1599" s="203"/>
      <c r="U1599" s="153"/>
      <c r="V1599" s="153"/>
      <c r="W1599" s="153"/>
      <c r="X1599" s="153"/>
      <c r="Y1599" s="153"/>
      <c r="Z1599" s="153"/>
    </row>
    <row r="1600" spans="1:26">
      <c r="A1600" s="200"/>
      <c r="B1600" s="200"/>
      <c r="C1600" s="200"/>
      <c r="D1600" s="200"/>
      <c r="E1600" s="200"/>
      <c r="F1600" s="200"/>
      <c r="G1600" s="200"/>
      <c r="H1600" s="192"/>
      <c r="I1600" s="201"/>
      <c r="J1600" s="201"/>
      <c r="K1600" s="201"/>
      <c r="L1600" s="192"/>
      <c r="M1600" s="200"/>
      <c r="N1600" s="200"/>
      <c r="O1600" s="192"/>
      <c r="P1600" s="192"/>
      <c r="Q1600" s="192"/>
      <c r="R1600" s="192"/>
      <c r="S1600" s="200"/>
      <c r="T1600" s="203"/>
      <c r="U1600" s="153"/>
      <c r="V1600" s="153"/>
      <c r="W1600" s="153"/>
      <c r="X1600" s="153"/>
      <c r="Y1600" s="153"/>
      <c r="Z1600" s="153"/>
    </row>
    <row r="1601" spans="1:26">
      <c r="A1601" s="200"/>
      <c r="B1601" s="200"/>
      <c r="C1601" s="200"/>
      <c r="D1601" s="200"/>
      <c r="E1601" s="200"/>
      <c r="F1601" s="200"/>
      <c r="G1601" s="200"/>
      <c r="H1601" s="192"/>
      <c r="I1601" s="201"/>
      <c r="J1601" s="201"/>
      <c r="K1601" s="201"/>
      <c r="L1601" s="192"/>
      <c r="M1601" s="200"/>
      <c r="N1601" s="200"/>
      <c r="O1601" s="192"/>
      <c r="P1601" s="192"/>
      <c r="Q1601" s="192"/>
      <c r="R1601" s="192"/>
      <c r="S1601" s="200"/>
      <c r="T1601" s="203"/>
      <c r="U1601" s="153"/>
      <c r="V1601" s="153"/>
      <c r="W1601" s="153"/>
      <c r="X1601" s="153"/>
      <c r="Y1601" s="153"/>
      <c r="Z1601" s="153"/>
    </row>
    <row r="1602" spans="1:26">
      <c r="A1602" s="200"/>
      <c r="B1602" s="200"/>
      <c r="C1602" s="200"/>
      <c r="D1602" s="200"/>
      <c r="E1602" s="200"/>
      <c r="F1602" s="200"/>
      <c r="G1602" s="200"/>
      <c r="H1602" s="192"/>
      <c r="I1602" s="201"/>
      <c r="J1602" s="201"/>
      <c r="K1602" s="201"/>
      <c r="L1602" s="192"/>
      <c r="M1602" s="200"/>
      <c r="N1602" s="200"/>
      <c r="O1602" s="192"/>
      <c r="P1602" s="192"/>
      <c r="Q1602" s="192"/>
      <c r="R1602" s="192"/>
      <c r="S1602" s="200"/>
      <c r="T1602" s="203"/>
      <c r="U1602" s="153"/>
      <c r="V1602" s="153"/>
      <c r="W1602" s="153"/>
      <c r="X1602" s="153"/>
      <c r="Y1602" s="153"/>
      <c r="Z1602" s="153"/>
    </row>
    <row r="1603" spans="1:26">
      <c r="A1603" s="200"/>
      <c r="B1603" s="200"/>
      <c r="C1603" s="200"/>
      <c r="D1603" s="200"/>
      <c r="E1603" s="200"/>
      <c r="F1603" s="200"/>
      <c r="G1603" s="200"/>
      <c r="H1603" s="192"/>
      <c r="I1603" s="201"/>
      <c r="J1603" s="201"/>
      <c r="K1603" s="201"/>
      <c r="L1603" s="192"/>
      <c r="M1603" s="200"/>
      <c r="N1603" s="200"/>
      <c r="O1603" s="192"/>
      <c r="P1603" s="192"/>
      <c r="Q1603" s="192"/>
      <c r="R1603" s="192"/>
      <c r="S1603" s="200"/>
      <c r="T1603" s="203"/>
      <c r="U1603" s="153"/>
      <c r="V1603" s="153"/>
      <c r="W1603" s="153"/>
      <c r="X1603" s="153"/>
      <c r="Y1603" s="153"/>
      <c r="Z1603" s="153"/>
    </row>
    <row r="1604" spans="1:26">
      <c r="A1604" s="200"/>
      <c r="B1604" s="200"/>
      <c r="C1604" s="200"/>
      <c r="D1604" s="200"/>
      <c r="E1604" s="200"/>
      <c r="F1604" s="200"/>
      <c r="G1604" s="200"/>
      <c r="H1604" s="192"/>
      <c r="I1604" s="201"/>
      <c r="J1604" s="201"/>
      <c r="K1604" s="201"/>
      <c r="L1604" s="192"/>
      <c r="M1604" s="200"/>
      <c r="N1604" s="200"/>
      <c r="O1604" s="192"/>
      <c r="P1604" s="192"/>
      <c r="Q1604" s="192"/>
      <c r="R1604" s="192"/>
      <c r="S1604" s="200"/>
      <c r="T1604" s="203"/>
      <c r="U1604" s="153"/>
      <c r="V1604" s="153"/>
      <c r="W1604" s="153"/>
      <c r="X1604" s="153"/>
      <c r="Y1604" s="153"/>
      <c r="Z1604" s="153"/>
    </row>
    <row r="1605" spans="1:26">
      <c r="A1605" s="200"/>
      <c r="B1605" s="200"/>
      <c r="C1605" s="200"/>
      <c r="D1605" s="200"/>
      <c r="E1605" s="200"/>
      <c r="F1605" s="200"/>
      <c r="G1605" s="200"/>
      <c r="H1605" s="192"/>
      <c r="I1605" s="201"/>
      <c r="J1605" s="201"/>
      <c r="K1605" s="201"/>
      <c r="L1605" s="192"/>
      <c r="M1605" s="200"/>
      <c r="N1605" s="200"/>
      <c r="O1605" s="192"/>
      <c r="P1605" s="192"/>
      <c r="Q1605" s="192"/>
      <c r="R1605" s="192"/>
      <c r="S1605" s="200"/>
      <c r="T1605" s="203"/>
      <c r="U1605" s="153"/>
      <c r="V1605" s="153"/>
      <c r="W1605" s="153"/>
      <c r="X1605" s="153"/>
      <c r="Y1605" s="153"/>
      <c r="Z1605" s="153"/>
    </row>
    <row r="1606" spans="1:26">
      <c r="A1606" s="200"/>
      <c r="B1606" s="200"/>
      <c r="C1606" s="200"/>
      <c r="D1606" s="200"/>
      <c r="E1606" s="200"/>
      <c r="F1606" s="200"/>
      <c r="G1606" s="200"/>
      <c r="H1606" s="192"/>
      <c r="I1606" s="201"/>
      <c r="J1606" s="201"/>
      <c r="K1606" s="201"/>
      <c r="L1606" s="192"/>
      <c r="M1606" s="200"/>
      <c r="N1606" s="200"/>
      <c r="O1606" s="192"/>
      <c r="P1606" s="192"/>
      <c r="Q1606" s="192"/>
      <c r="R1606" s="192"/>
      <c r="S1606" s="200"/>
      <c r="T1606" s="203"/>
      <c r="U1606" s="153"/>
      <c r="V1606" s="153"/>
      <c r="W1606" s="153"/>
      <c r="X1606" s="153"/>
      <c r="Y1606" s="153"/>
      <c r="Z1606" s="153"/>
    </row>
    <row r="1607" spans="1:26">
      <c r="A1607" s="200"/>
      <c r="B1607" s="200"/>
      <c r="C1607" s="200"/>
      <c r="D1607" s="200"/>
      <c r="E1607" s="200"/>
      <c r="F1607" s="200"/>
      <c r="G1607" s="200"/>
      <c r="H1607" s="192"/>
      <c r="I1607" s="201"/>
      <c r="J1607" s="201"/>
      <c r="K1607" s="201"/>
      <c r="L1607" s="192"/>
      <c r="M1607" s="200"/>
      <c r="N1607" s="200"/>
      <c r="O1607" s="192"/>
      <c r="P1607" s="192"/>
      <c r="Q1607" s="192"/>
      <c r="R1607" s="192"/>
      <c r="S1607" s="200"/>
      <c r="T1607" s="203"/>
      <c r="U1607" s="153"/>
      <c r="V1607" s="153"/>
      <c r="W1607" s="153"/>
      <c r="X1607" s="153"/>
      <c r="Y1607" s="153"/>
      <c r="Z1607" s="153"/>
    </row>
    <row r="1608" spans="1:26">
      <c r="A1608" s="200"/>
      <c r="B1608" s="200"/>
      <c r="C1608" s="200"/>
      <c r="D1608" s="200"/>
      <c r="E1608" s="200"/>
      <c r="F1608" s="200"/>
      <c r="G1608" s="200"/>
      <c r="H1608" s="192"/>
      <c r="I1608" s="201"/>
      <c r="J1608" s="201"/>
      <c r="K1608" s="201"/>
      <c r="L1608" s="192"/>
      <c r="M1608" s="200"/>
      <c r="N1608" s="200"/>
      <c r="O1608" s="192"/>
      <c r="P1608" s="192"/>
      <c r="Q1608" s="192"/>
      <c r="R1608" s="192"/>
      <c r="S1608" s="200"/>
      <c r="T1608" s="203"/>
      <c r="U1608" s="153"/>
      <c r="V1608" s="153"/>
      <c r="W1608" s="153"/>
      <c r="X1608" s="153"/>
      <c r="Y1608" s="153"/>
      <c r="Z1608" s="153"/>
    </row>
    <row r="1609" spans="1:26">
      <c r="A1609" s="200"/>
      <c r="B1609" s="200"/>
      <c r="C1609" s="200"/>
      <c r="D1609" s="200"/>
      <c r="E1609" s="200"/>
      <c r="F1609" s="200"/>
      <c r="G1609" s="200"/>
      <c r="H1609" s="192"/>
      <c r="I1609" s="201"/>
      <c r="J1609" s="201"/>
      <c r="K1609" s="201"/>
      <c r="L1609" s="192"/>
      <c r="M1609" s="200"/>
      <c r="N1609" s="200"/>
      <c r="O1609" s="192"/>
      <c r="P1609" s="192"/>
      <c r="Q1609" s="192"/>
      <c r="R1609" s="192"/>
      <c r="S1609" s="200"/>
      <c r="T1609" s="203"/>
      <c r="U1609" s="153"/>
      <c r="V1609" s="153"/>
      <c r="W1609" s="153"/>
      <c r="X1609" s="153"/>
      <c r="Y1609" s="153"/>
      <c r="Z1609" s="153"/>
    </row>
    <row r="1610" spans="1:26">
      <c r="A1610" s="200"/>
      <c r="B1610" s="200"/>
      <c r="C1610" s="200"/>
      <c r="D1610" s="200"/>
      <c r="E1610" s="200"/>
      <c r="F1610" s="200"/>
      <c r="G1610" s="200"/>
      <c r="H1610" s="192"/>
      <c r="I1610" s="201"/>
      <c r="J1610" s="201"/>
      <c r="K1610" s="201"/>
      <c r="L1610" s="192"/>
      <c r="M1610" s="200"/>
      <c r="N1610" s="200"/>
      <c r="O1610" s="192"/>
      <c r="P1610" s="192"/>
      <c r="Q1610" s="192"/>
      <c r="R1610" s="192"/>
      <c r="S1610" s="200"/>
      <c r="T1610" s="203"/>
      <c r="U1610" s="153"/>
      <c r="V1610" s="153"/>
      <c r="W1610" s="153"/>
      <c r="X1610" s="153"/>
      <c r="Y1610" s="153"/>
      <c r="Z1610" s="153"/>
    </row>
    <row r="1611" spans="1:26">
      <c r="A1611" s="200"/>
      <c r="B1611" s="200"/>
      <c r="C1611" s="200"/>
      <c r="D1611" s="200"/>
      <c r="E1611" s="200"/>
      <c r="F1611" s="200"/>
      <c r="G1611" s="200"/>
      <c r="H1611" s="192"/>
      <c r="I1611" s="201"/>
      <c r="J1611" s="201"/>
      <c r="K1611" s="201"/>
      <c r="L1611" s="192"/>
      <c r="M1611" s="200"/>
      <c r="N1611" s="200"/>
      <c r="O1611" s="192"/>
      <c r="P1611" s="192"/>
      <c r="Q1611" s="192"/>
      <c r="R1611" s="192"/>
      <c r="S1611" s="200"/>
      <c r="T1611" s="203"/>
      <c r="U1611" s="153"/>
      <c r="V1611" s="153"/>
      <c r="W1611" s="153"/>
      <c r="X1611" s="153"/>
      <c r="Y1611" s="153"/>
      <c r="Z1611" s="153"/>
    </row>
    <row r="1612" spans="1:26">
      <c r="A1612" s="200"/>
      <c r="B1612" s="200"/>
      <c r="C1612" s="200"/>
      <c r="D1612" s="200"/>
      <c r="E1612" s="200"/>
      <c r="F1612" s="200"/>
      <c r="G1612" s="200"/>
      <c r="H1612" s="192"/>
      <c r="I1612" s="201"/>
      <c r="J1612" s="201"/>
      <c r="K1612" s="201"/>
      <c r="L1612" s="192"/>
      <c r="M1612" s="200"/>
      <c r="N1612" s="200"/>
      <c r="O1612" s="192"/>
      <c r="P1612" s="192"/>
      <c r="Q1612" s="192"/>
      <c r="R1612" s="192"/>
      <c r="S1612" s="200"/>
      <c r="T1612" s="203"/>
      <c r="U1612" s="153"/>
      <c r="V1612" s="153"/>
      <c r="W1612" s="153"/>
      <c r="X1612" s="153"/>
      <c r="Y1612" s="153"/>
      <c r="Z1612" s="153"/>
    </row>
    <row r="1613" spans="1:26">
      <c r="A1613" s="200"/>
      <c r="B1613" s="200"/>
      <c r="C1613" s="200"/>
      <c r="D1613" s="200"/>
      <c r="E1613" s="200"/>
      <c r="F1613" s="200"/>
      <c r="G1613" s="200"/>
      <c r="H1613" s="192"/>
      <c r="I1613" s="201"/>
      <c r="J1613" s="201"/>
      <c r="K1613" s="201"/>
      <c r="L1613" s="192"/>
      <c r="M1613" s="200"/>
      <c r="N1613" s="200"/>
      <c r="O1613" s="192"/>
      <c r="P1613" s="192"/>
      <c r="Q1613" s="192"/>
      <c r="R1613" s="192"/>
      <c r="S1613" s="200"/>
      <c r="T1613" s="203"/>
      <c r="U1613" s="153"/>
      <c r="V1613" s="153"/>
      <c r="W1613" s="153"/>
      <c r="X1613" s="153"/>
      <c r="Y1613" s="153"/>
      <c r="Z1613" s="153"/>
    </row>
    <row r="1614" spans="1:26">
      <c r="A1614" s="200"/>
      <c r="B1614" s="200"/>
      <c r="C1614" s="200"/>
      <c r="D1614" s="200"/>
      <c r="E1614" s="200"/>
      <c r="F1614" s="200"/>
      <c r="G1614" s="200"/>
      <c r="H1614" s="192"/>
      <c r="I1614" s="201"/>
      <c r="J1614" s="201"/>
      <c r="K1614" s="201"/>
      <c r="L1614" s="192"/>
      <c r="M1614" s="200"/>
      <c r="N1614" s="200"/>
      <c r="O1614" s="192"/>
      <c r="P1614" s="192"/>
      <c r="Q1614" s="192"/>
      <c r="R1614" s="192"/>
      <c r="S1614" s="200"/>
      <c r="T1614" s="203"/>
      <c r="U1614" s="153"/>
      <c r="V1614" s="153"/>
      <c r="W1614" s="153"/>
      <c r="X1614" s="153"/>
      <c r="Y1614" s="153"/>
      <c r="Z1614" s="153"/>
    </row>
    <row r="1615" spans="1:26">
      <c r="A1615" s="200"/>
      <c r="B1615" s="200"/>
      <c r="C1615" s="200"/>
      <c r="D1615" s="200"/>
      <c r="E1615" s="200"/>
      <c r="F1615" s="200"/>
      <c r="G1615" s="200"/>
      <c r="H1615" s="192"/>
      <c r="I1615" s="201"/>
      <c r="J1615" s="201"/>
      <c r="K1615" s="201"/>
      <c r="L1615" s="192"/>
      <c r="M1615" s="200"/>
      <c r="N1615" s="200"/>
      <c r="O1615" s="192"/>
      <c r="P1615" s="192"/>
      <c r="Q1615" s="192"/>
      <c r="R1615" s="192"/>
      <c r="S1615" s="200"/>
      <c r="T1615" s="203"/>
      <c r="U1615" s="153"/>
      <c r="V1615" s="153"/>
      <c r="W1615" s="153"/>
      <c r="X1615" s="153"/>
      <c r="Y1615" s="153"/>
      <c r="Z1615" s="153"/>
    </row>
    <row r="1616" spans="1:26">
      <c r="A1616" s="200"/>
      <c r="B1616" s="200"/>
      <c r="C1616" s="200"/>
      <c r="D1616" s="200"/>
      <c r="E1616" s="200"/>
      <c r="F1616" s="200"/>
      <c r="G1616" s="200"/>
      <c r="H1616" s="192"/>
      <c r="I1616" s="201"/>
      <c r="J1616" s="201"/>
      <c r="K1616" s="201"/>
      <c r="L1616" s="192"/>
      <c r="M1616" s="200"/>
      <c r="N1616" s="200"/>
      <c r="O1616" s="192"/>
      <c r="P1616" s="192"/>
      <c r="Q1616" s="192"/>
      <c r="R1616" s="192"/>
      <c r="S1616" s="200"/>
      <c r="T1616" s="203"/>
      <c r="U1616" s="153"/>
      <c r="V1616" s="153"/>
      <c r="W1616" s="153"/>
      <c r="X1616" s="153"/>
      <c r="Y1616" s="153"/>
      <c r="Z1616" s="153"/>
    </row>
    <row r="1617" spans="1:26">
      <c r="A1617" s="200"/>
      <c r="B1617" s="200"/>
      <c r="C1617" s="200"/>
      <c r="D1617" s="200"/>
      <c r="E1617" s="200"/>
      <c r="F1617" s="200"/>
      <c r="G1617" s="200"/>
      <c r="H1617" s="192"/>
      <c r="I1617" s="201"/>
      <c r="J1617" s="201"/>
      <c r="K1617" s="201"/>
      <c r="L1617" s="192"/>
      <c r="M1617" s="200"/>
      <c r="N1617" s="200"/>
      <c r="O1617" s="192"/>
      <c r="P1617" s="192"/>
      <c r="Q1617" s="192"/>
      <c r="R1617" s="192"/>
      <c r="S1617" s="200"/>
      <c r="T1617" s="203"/>
      <c r="U1617" s="153"/>
      <c r="V1617" s="153"/>
      <c r="W1617" s="153"/>
      <c r="X1617" s="153"/>
      <c r="Y1617" s="153"/>
      <c r="Z1617" s="153"/>
    </row>
    <row r="1618" spans="1:26">
      <c r="A1618" s="200"/>
      <c r="B1618" s="200"/>
      <c r="C1618" s="200"/>
      <c r="D1618" s="200"/>
      <c r="E1618" s="200"/>
      <c r="F1618" s="200"/>
      <c r="G1618" s="200"/>
      <c r="H1618" s="192"/>
      <c r="I1618" s="201"/>
      <c r="J1618" s="201"/>
      <c r="K1618" s="201"/>
      <c r="L1618" s="192"/>
      <c r="M1618" s="200"/>
      <c r="N1618" s="200"/>
      <c r="O1618" s="192"/>
      <c r="P1618" s="192"/>
      <c r="Q1618" s="192"/>
      <c r="R1618" s="192"/>
      <c r="S1618" s="200"/>
      <c r="T1618" s="203"/>
      <c r="U1618" s="153"/>
      <c r="V1618" s="153"/>
      <c r="W1618" s="153"/>
      <c r="X1618" s="153"/>
      <c r="Y1618" s="153"/>
      <c r="Z1618" s="153"/>
    </row>
    <row r="1619" spans="1:26">
      <c r="A1619" s="200"/>
      <c r="B1619" s="200"/>
      <c r="C1619" s="200"/>
      <c r="D1619" s="200"/>
      <c r="E1619" s="200"/>
      <c r="F1619" s="200"/>
      <c r="G1619" s="200"/>
      <c r="H1619" s="192"/>
      <c r="I1619" s="201"/>
      <c r="J1619" s="201"/>
      <c r="K1619" s="201"/>
      <c r="L1619" s="192"/>
      <c r="M1619" s="200"/>
      <c r="N1619" s="200"/>
      <c r="O1619" s="192"/>
      <c r="P1619" s="192"/>
      <c r="Q1619" s="192"/>
      <c r="R1619" s="192"/>
      <c r="S1619" s="200"/>
      <c r="T1619" s="203"/>
      <c r="U1619" s="153"/>
      <c r="V1619" s="153"/>
      <c r="W1619" s="153"/>
      <c r="X1619" s="153"/>
      <c r="Y1619" s="153"/>
      <c r="Z1619" s="153"/>
    </row>
    <row r="1620" spans="1:26">
      <c r="A1620" s="200"/>
      <c r="B1620" s="200"/>
      <c r="C1620" s="200"/>
      <c r="D1620" s="200"/>
      <c r="E1620" s="200"/>
      <c r="F1620" s="200"/>
      <c r="G1620" s="200"/>
      <c r="H1620" s="192"/>
      <c r="I1620" s="201"/>
      <c r="J1620" s="201"/>
      <c r="K1620" s="201"/>
      <c r="L1620" s="192"/>
      <c r="M1620" s="200"/>
      <c r="N1620" s="200"/>
      <c r="O1620" s="192"/>
      <c r="P1620" s="192"/>
      <c r="Q1620" s="192"/>
      <c r="R1620" s="192"/>
      <c r="S1620" s="200"/>
      <c r="T1620" s="203"/>
      <c r="U1620" s="153"/>
      <c r="V1620" s="153"/>
      <c r="W1620" s="153"/>
      <c r="X1620" s="153"/>
      <c r="Y1620" s="153"/>
      <c r="Z1620" s="153"/>
    </row>
    <row r="1621" spans="1:26">
      <c r="A1621" s="200"/>
      <c r="B1621" s="200"/>
      <c r="C1621" s="200"/>
      <c r="D1621" s="200"/>
      <c r="E1621" s="200"/>
      <c r="F1621" s="200"/>
      <c r="G1621" s="200"/>
      <c r="H1621" s="192"/>
      <c r="I1621" s="201"/>
      <c r="J1621" s="201"/>
      <c r="K1621" s="201"/>
      <c r="L1621" s="192"/>
      <c r="M1621" s="200"/>
      <c r="N1621" s="200"/>
      <c r="O1621" s="192"/>
      <c r="P1621" s="192"/>
      <c r="Q1621" s="192"/>
      <c r="R1621" s="192"/>
      <c r="S1621" s="200"/>
      <c r="T1621" s="203"/>
      <c r="U1621" s="153"/>
      <c r="V1621" s="153"/>
      <c r="W1621" s="153"/>
      <c r="X1621" s="153"/>
      <c r="Y1621" s="153"/>
      <c r="Z1621" s="153"/>
    </row>
    <row r="1622" spans="1:26">
      <c r="A1622" s="200"/>
      <c r="B1622" s="200"/>
      <c r="C1622" s="200"/>
      <c r="D1622" s="200"/>
      <c r="E1622" s="200"/>
      <c r="F1622" s="200"/>
      <c r="G1622" s="200"/>
      <c r="H1622" s="192"/>
      <c r="I1622" s="201"/>
      <c r="J1622" s="201"/>
      <c r="K1622" s="201"/>
      <c r="L1622" s="192"/>
      <c r="M1622" s="200"/>
      <c r="N1622" s="200"/>
      <c r="O1622" s="192"/>
      <c r="P1622" s="192"/>
      <c r="Q1622" s="192"/>
      <c r="R1622" s="192"/>
      <c r="S1622" s="200"/>
      <c r="T1622" s="203"/>
      <c r="U1622" s="153"/>
      <c r="V1622" s="153"/>
      <c r="W1622" s="153"/>
      <c r="X1622" s="153"/>
      <c r="Y1622" s="153"/>
      <c r="Z1622" s="153"/>
    </row>
    <row r="1623" spans="1:26">
      <c r="A1623" s="200"/>
      <c r="B1623" s="200"/>
      <c r="C1623" s="200"/>
      <c r="D1623" s="200"/>
      <c r="E1623" s="200"/>
      <c r="F1623" s="200"/>
      <c r="G1623" s="200"/>
      <c r="H1623" s="192"/>
      <c r="I1623" s="201"/>
      <c r="J1623" s="201"/>
      <c r="K1623" s="201"/>
      <c r="L1623" s="192"/>
      <c r="M1623" s="200"/>
      <c r="N1623" s="200"/>
      <c r="O1623" s="192"/>
      <c r="P1623" s="192"/>
      <c r="Q1623" s="192"/>
      <c r="R1623" s="192"/>
      <c r="S1623" s="200"/>
      <c r="T1623" s="203"/>
      <c r="U1623" s="153"/>
      <c r="V1623" s="153"/>
      <c r="W1623" s="153"/>
      <c r="X1623" s="153"/>
      <c r="Y1623" s="153"/>
      <c r="Z1623" s="153"/>
    </row>
    <row r="1624" spans="1:26">
      <c r="A1624" s="200"/>
      <c r="B1624" s="200"/>
      <c r="C1624" s="200"/>
      <c r="D1624" s="200"/>
      <c r="E1624" s="200"/>
      <c r="F1624" s="200"/>
      <c r="G1624" s="200"/>
      <c r="H1624" s="192"/>
      <c r="I1624" s="201"/>
      <c r="J1624" s="201"/>
      <c r="K1624" s="201"/>
      <c r="L1624" s="192"/>
      <c r="M1624" s="200"/>
      <c r="N1624" s="200"/>
      <c r="O1624" s="192"/>
      <c r="P1624" s="192"/>
      <c r="Q1624" s="192"/>
      <c r="R1624" s="192"/>
      <c r="S1624" s="200"/>
      <c r="T1624" s="203"/>
      <c r="U1624" s="153"/>
      <c r="V1624" s="153"/>
      <c r="W1624" s="153"/>
      <c r="X1624" s="153"/>
      <c r="Y1624" s="153"/>
      <c r="Z1624" s="153"/>
    </row>
    <row r="1625" spans="1:26">
      <c r="A1625" s="200"/>
      <c r="B1625" s="200"/>
      <c r="C1625" s="200"/>
      <c r="D1625" s="200"/>
      <c r="E1625" s="200"/>
      <c r="F1625" s="200"/>
      <c r="G1625" s="200"/>
      <c r="H1625" s="192"/>
      <c r="I1625" s="201"/>
      <c r="J1625" s="201"/>
      <c r="K1625" s="201"/>
      <c r="L1625" s="192"/>
      <c r="M1625" s="200"/>
      <c r="N1625" s="200"/>
      <c r="O1625" s="192"/>
      <c r="P1625" s="192"/>
      <c r="Q1625" s="192"/>
      <c r="R1625" s="192"/>
      <c r="S1625" s="200"/>
      <c r="T1625" s="203"/>
      <c r="U1625" s="153"/>
      <c r="V1625" s="153"/>
      <c r="W1625" s="153"/>
      <c r="X1625" s="153"/>
      <c r="Y1625" s="153"/>
      <c r="Z1625" s="153"/>
    </row>
    <row r="1626" spans="1:26">
      <c r="A1626" s="200"/>
      <c r="B1626" s="200"/>
      <c r="C1626" s="200"/>
      <c r="D1626" s="200"/>
      <c r="E1626" s="200"/>
      <c r="F1626" s="200"/>
      <c r="G1626" s="200"/>
      <c r="H1626" s="192"/>
      <c r="I1626" s="201"/>
      <c r="J1626" s="201"/>
      <c r="K1626" s="201"/>
      <c r="L1626" s="192"/>
      <c r="M1626" s="200"/>
      <c r="N1626" s="200"/>
      <c r="O1626" s="192"/>
      <c r="P1626" s="192"/>
      <c r="Q1626" s="192"/>
      <c r="R1626" s="192"/>
      <c r="S1626" s="200"/>
      <c r="T1626" s="203"/>
      <c r="U1626" s="153"/>
      <c r="V1626" s="153"/>
      <c r="W1626" s="153"/>
      <c r="X1626" s="153"/>
      <c r="Y1626" s="153"/>
      <c r="Z1626" s="153"/>
    </row>
    <row r="1627" spans="1:26">
      <c r="A1627" s="200"/>
      <c r="B1627" s="200"/>
      <c r="C1627" s="200"/>
      <c r="D1627" s="200"/>
      <c r="E1627" s="200"/>
      <c r="F1627" s="200"/>
      <c r="G1627" s="200"/>
      <c r="H1627" s="192"/>
      <c r="I1627" s="201"/>
      <c r="J1627" s="201"/>
      <c r="K1627" s="201"/>
      <c r="L1627" s="192"/>
      <c r="M1627" s="200"/>
      <c r="N1627" s="200"/>
      <c r="O1627" s="192"/>
      <c r="P1627" s="192"/>
      <c r="Q1627" s="192"/>
      <c r="R1627" s="192"/>
      <c r="S1627" s="200"/>
      <c r="T1627" s="203"/>
      <c r="U1627" s="153"/>
      <c r="V1627" s="153"/>
      <c r="W1627" s="153"/>
      <c r="X1627" s="153"/>
      <c r="Y1627" s="153"/>
      <c r="Z1627" s="153"/>
    </row>
    <row r="1628" spans="1:26">
      <c r="A1628" s="200"/>
      <c r="B1628" s="200"/>
      <c r="C1628" s="200"/>
      <c r="D1628" s="200"/>
      <c r="E1628" s="200"/>
      <c r="F1628" s="200"/>
      <c r="G1628" s="200"/>
      <c r="H1628" s="192"/>
      <c r="I1628" s="201"/>
      <c r="J1628" s="201"/>
      <c r="K1628" s="201"/>
      <c r="L1628" s="192"/>
      <c r="M1628" s="200"/>
      <c r="N1628" s="200"/>
      <c r="O1628" s="192"/>
      <c r="P1628" s="192"/>
      <c r="Q1628" s="192"/>
      <c r="R1628" s="192"/>
      <c r="S1628" s="200"/>
      <c r="T1628" s="203"/>
      <c r="U1628" s="153"/>
      <c r="V1628" s="153"/>
      <c r="W1628" s="153"/>
      <c r="X1628" s="153"/>
      <c r="Y1628" s="153"/>
      <c r="Z1628" s="153"/>
    </row>
    <row r="1629" spans="1:26">
      <c r="A1629" s="200"/>
      <c r="B1629" s="200"/>
      <c r="C1629" s="200"/>
      <c r="D1629" s="200"/>
      <c r="E1629" s="200"/>
      <c r="F1629" s="200"/>
      <c r="G1629" s="200"/>
      <c r="H1629" s="192"/>
      <c r="I1629" s="201"/>
      <c r="J1629" s="201"/>
      <c r="K1629" s="201"/>
      <c r="L1629" s="192"/>
      <c r="M1629" s="200"/>
      <c r="N1629" s="200"/>
      <c r="O1629" s="192"/>
      <c r="P1629" s="192"/>
      <c r="Q1629" s="192"/>
      <c r="R1629" s="192"/>
      <c r="S1629" s="200"/>
      <c r="T1629" s="203"/>
      <c r="U1629" s="153"/>
      <c r="V1629" s="153"/>
      <c r="W1629" s="153"/>
      <c r="X1629" s="153"/>
      <c r="Y1629" s="153"/>
      <c r="Z1629" s="153"/>
    </row>
    <row r="1630" spans="1:26">
      <c r="A1630" s="200"/>
      <c r="B1630" s="200"/>
      <c r="C1630" s="200"/>
      <c r="D1630" s="200"/>
      <c r="E1630" s="200"/>
      <c r="F1630" s="200"/>
      <c r="G1630" s="200"/>
      <c r="H1630" s="192"/>
      <c r="I1630" s="201"/>
      <c r="J1630" s="201"/>
      <c r="K1630" s="201"/>
      <c r="L1630" s="192"/>
      <c r="M1630" s="200"/>
      <c r="N1630" s="200"/>
      <c r="O1630" s="192"/>
      <c r="P1630" s="192"/>
      <c r="Q1630" s="192"/>
      <c r="R1630" s="192"/>
      <c r="S1630" s="200"/>
      <c r="T1630" s="203"/>
      <c r="U1630" s="153"/>
      <c r="V1630" s="153"/>
      <c r="W1630" s="153"/>
      <c r="X1630" s="153"/>
      <c r="Y1630" s="153"/>
      <c r="Z1630" s="153"/>
    </row>
    <row r="1631" spans="1:26">
      <c r="A1631" s="200"/>
      <c r="B1631" s="200"/>
      <c r="C1631" s="200"/>
      <c r="D1631" s="200"/>
      <c r="E1631" s="200"/>
      <c r="F1631" s="200"/>
      <c r="G1631" s="200"/>
      <c r="H1631" s="192"/>
      <c r="I1631" s="201"/>
      <c r="J1631" s="201"/>
      <c r="K1631" s="201"/>
      <c r="L1631" s="192"/>
      <c r="M1631" s="200"/>
      <c r="N1631" s="200"/>
      <c r="O1631" s="192"/>
      <c r="P1631" s="192"/>
      <c r="Q1631" s="192"/>
      <c r="R1631" s="192"/>
      <c r="S1631" s="200"/>
      <c r="T1631" s="203"/>
      <c r="U1631" s="153"/>
      <c r="V1631" s="153"/>
      <c r="W1631" s="153"/>
      <c r="X1631" s="153"/>
      <c r="Y1631" s="153"/>
      <c r="Z1631" s="153"/>
    </row>
    <row r="1632" spans="1:26">
      <c r="A1632" s="200"/>
      <c r="B1632" s="200"/>
      <c r="C1632" s="200"/>
      <c r="D1632" s="200"/>
      <c r="E1632" s="200"/>
      <c r="F1632" s="200"/>
      <c r="G1632" s="200"/>
      <c r="H1632" s="192"/>
      <c r="I1632" s="201"/>
      <c r="J1632" s="201"/>
      <c r="K1632" s="201"/>
      <c r="L1632" s="192"/>
      <c r="M1632" s="200"/>
      <c r="N1632" s="200"/>
      <c r="O1632" s="192"/>
      <c r="P1632" s="192"/>
      <c r="Q1632" s="192"/>
      <c r="R1632" s="192"/>
      <c r="S1632" s="200"/>
      <c r="T1632" s="203"/>
      <c r="U1632" s="153"/>
      <c r="V1632" s="153"/>
      <c r="W1632" s="153"/>
      <c r="X1632" s="153"/>
      <c r="Y1632" s="153"/>
      <c r="Z1632" s="153"/>
    </row>
    <row r="1633" spans="1:26">
      <c r="A1633" s="200"/>
      <c r="B1633" s="200"/>
      <c r="C1633" s="200"/>
      <c r="D1633" s="200"/>
      <c r="E1633" s="200"/>
      <c r="F1633" s="200"/>
      <c r="G1633" s="200"/>
      <c r="H1633" s="192"/>
      <c r="I1633" s="201"/>
      <c r="J1633" s="201"/>
      <c r="K1633" s="201"/>
      <c r="L1633" s="192"/>
      <c r="M1633" s="200"/>
      <c r="N1633" s="200"/>
      <c r="O1633" s="192"/>
      <c r="P1633" s="192"/>
      <c r="Q1633" s="192"/>
      <c r="R1633" s="192"/>
      <c r="S1633" s="200"/>
      <c r="T1633" s="203"/>
      <c r="U1633" s="153"/>
      <c r="V1633" s="153"/>
      <c r="W1633" s="153"/>
      <c r="X1633" s="153"/>
      <c r="Y1633" s="153"/>
      <c r="Z1633" s="153"/>
    </row>
    <row r="1634" spans="1:26">
      <c r="A1634" s="200"/>
      <c r="B1634" s="200"/>
      <c r="C1634" s="200"/>
      <c r="D1634" s="200"/>
      <c r="E1634" s="200"/>
      <c r="F1634" s="200"/>
      <c r="G1634" s="200"/>
      <c r="H1634" s="192"/>
      <c r="I1634" s="201"/>
      <c r="J1634" s="201"/>
      <c r="K1634" s="201"/>
      <c r="L1634" s="192"/>
      <c r="M1634" s="200"/>
      <c r="N1634" s="200"/>
      <c r="O1634" s="192"/>
      <c r="P1634" s="192"/>
      <c r="Q1634" s="192"/>
      <c r="R1634" s="192"/>
      <c r="S1634" s="200"/>
      <c r="T1634" s="203"/>
      <c r="U1634" s="153"/>
      <c r="V1634" s="153"/>
      <c r="W1634" s="153"/>
      <c r="X1634" s="153"/>
      <c r="Y1634" s="153"/>
      <c r="Z1634" s="153"/>
    </row>
    <row r="1635" spans="1:26">
      <c r="A1635" s="200"/>
      <c r="B1635" s="200"/>
      <c r="C1635" s="200"/>
      <c r="D1635" s="200"/>
      <c r="E1635" s="200"/>
      <c r="F1635" s="200"/>
      <c r="G1635" s="200"/>
      <c r="H1635" s="192"/>
      <c r="I1635" s="201"/>
      <c r="J1635" s="201"/>
      <c r="K1635" s="201"/>
      <c r="L1635" s="192"/>
      <c r="M1635" s="200"/>
      <c r="N1635" s="200"/>
      <c r="O1635" s="192"/>
      <c r="P1635" s="192"/>
      <c r="Q1635" s="192"/>
      <c r="R1635" s="192"/>
      <c r="S1635" s="200"/>
      <c r="T1635" s="203"/>
      <c r="U1635" s="153"/>
      <c r="V1635" s="153"/>
      <c r="W1635" s="153"/>
      <c r="X1635" s="153"/>
      <c r="Y1635" s="153"/>
      <c r="Z1635" s="153"/>
    </row>
    <row r="1636" spans="1:26">
      <c r="A1636" s="200"/>
      <c r="B1636" s="200"/>
      <c r="C1636" s="200"/>
      <c r="D1636" s="200"/>
      <c r="E1636" s="200"/>
      <c r="F1636" s="200"/>
      <c r="G1636" s="200"/>
      <c r="H1636" s="192"/>
      <c r="I1636" s="201"/>
      <c r="J1636" s="201"/>
      <c r="K1636" s="201"/>
      <c r="L1636" s="192"/>
      <c r="M1636" s="200"/>
      <c r="N1636" s="200"/>
      <c r="O1636" s="192"/>
      <c r="P1636" s="192"/>
      <c r="Q1636" s="192"/>
      <c r="R1636" s="192"/>
      <c r="S1636" s="200"/>
      <c r="T1636" s="203"/>
      <c r="U1636" s="153"/>
      <c r="V1636" s="153"/>
      <c r="W1636" s="153"/>
      <c r="X1636" s="153"/>
      <c r="Y1636" s="153"/>
      <c r="Z1636" s="153"/>
    </row>
    <row r="1637" spans="1:26">
      <c r="A1637" s="200"/>
      <c r="B1637" s="200"/>
      <c r="C1637" s="200"/>
      <c r="D1637" s="200"/>
      <c r="E1637" s="200"/>
      <c r="F1637" s="200"/>
      <c r="G1637" s="200"/>
      <c r="H1637" s="192"/>
      <c r="I1637" s="201"/>
      <c r="J1637" s="201"/>
      <c r="K1637" s="201"/>
      <c r="L1637" s="192"/>
      <c r="M1637" s="200"/>
      <c r="N1637" s="200"/>
      <c r="O1637" s="192"/>
      <c r="P1637" s="192"/>
      <c r="Q1637" s="192"/>
      <c r="R1637" s="192"/>
      <c r="S1637" s="200"/>
      <c r="T1637" s="203"/>
      <c r="U1637" s="153"/>
      <c r="V1637" s="153"/>
      <c r="W1637" s="153"/>
      <c r="X1637" s="153"/>
      <c r="Y1637" s="153"/>
      <c r="Z1637" s="153"/>
    </row>
    <row r="1638" spans="1:26">
      <c r="A1638" s="200"/>
      <c r="B1638" s="200"/>
      <c r="C1638" s="200"/>
      <c r="D1638" s="200"/>
      <c r="E1638" s="200"/>
      <c r="F1638" s="200"/>
      <c r="G1638" s="200"/>
      <c r="H1638" s="192"/>
      <c r="I1638" s="201"/>
      <c r="J1638" s="201"/>
      <c r="K1638" s="201"/>
      <c r="L1638" s="192"/>
      <c r="M1638" s="200"/>
      <c r="N1638" s="200"/>
      <c r="O1638" s="192"/>
      <c r="P1638" s="192"/>
      <c r="Q1638" s="192"/>
      <c r="R1638" s="192"/>
      <c r="S1638" s="200"/>
      <c r="T1638" s="203"/>
      <c r="U1638" s="153"/>
      <c r="V1638" s="153"/>
      <c r="W1638" s="153"/>
      <c r="X1638" s="153"/>
      <c r="Y1638" s="153"/>
      <c r="Z1638" s="153"/>
    </row>
    <row r="1639" spans="1:26">
      <c r="A1639" s="200"/>
      <c r="B1639" s="200"/>
      <c r="C1639" s="200"/>
      <c r="D1639" s="200"/>
      <c r="E1639" s="200"/>
      <c r="F1639" s="200"/>
      <c r="G1639" s="200"/>
      <c r="H1639" s="192"/>
      <c r="I1639" s="201"/>
      <c r="J1639" s="201"/>
      <c r="K1639" s="201"/>
      <c r="L1639" s="192"/>
      <c r="M1639" s="200"/>
      <c r="N1639" s="200"/>
      <c r="O1639" s="192"/>
      <c r="P1639" s="192"/>
      <c r="Q1639" s="192"/>
      <c r="R1639" s="192"/>
      <c r="S1639" s="200"/>
      <c r="T1639" s="203"/>
      <c r="U1639" s="153"/>
      <c r="V1639" s="153"/>
      <c r="W1639" s="153"/>
      <c r="X1639" s="153"/>
      <c r="Y1639" s="153"/>
      <c r="Z1639" s="153"/>
    </row>
    <row r="1640" spans="1:26">
      <c r="A1640" s="200"/>
      <c r="B1640" s="200"/>
      <c r="C1640" s="200"/>
      <c r="D1640" s="200"/>
      <c r="E1640" s="200"/>
      <c r="F1640" s="200"/>
      <c r="G1640" s="200"/>
      <c r="H1640" s="192"/>
      <c r="I1640" s="201"/>
      <c r="J1640" s="201"/>
      <c r="K1640" s="201"/>
      <c r="L1640" s="192"/>
      <c r="M1640" s="200"/>
      <c r="N1640" s="200"/>
      <c r="O1640" s="192"/>
      <c r="P1640" s="192"/>
      <c r="Q1640" s="192"/>
      <c r="R1640" s="192"/>
      <c r="S1640" s="200"/>
      <c r="T1640" s="203"/>
      <c r="U1640" s="153"/>
      <c r="V1640" s="153"/>
      <c r="W1640" s="153"/>
      <c r="X1640" s="153"/>
      <c r="Y1640" s="153"/>
      <c r="Z1640" s="153"/>
    </row>
    <row r="1641" spans="1:26">
      <c r="A1641" s="200"/>
      <c r="B1641" s="200"/>
      <c r="C1641" s="200"/>
      <c r="D1641" s="200"/>
      <c r="E1641" s="200"/>
      <c r="F1641" s="200"/>
      <c r="G1641" s="200"/>
      <c r="H1641" s="192"/>
      <c r="I1641" s="201"/>
      <c r="J1641" s="201"/>
      <c r="K1641" s="201"/>
      <c r="L1641" s="192"/>
      <c r="M1641" s="200"/>
      <c r="N1641" s="200"/>
      <c r="O1641" s="192"/>
      <c r="P1641" s="192"/>
      <c r="Q1641" s="192"/>
      <c r="R1641" s="192"/>
      <c r="S1641" s="200"/>
      <c r="T1641" s="203"/>
      <c r="U1641" s="153"/>
      <c r="V1641" s="153"/>
      <c r="W1641" s="153"/>
      <c r="X1641" s="153"/>
      <c r="Y1641" s="153"/>
      <c r="Z1641" s="153"/>
    </row>
    <row r="1642" spans="1:26">
      <c r="A1642" s="200"/>
      <c r="B1642" s="200"/>
      <c r="C1642" s="200"/>
      <c r="D1642" s="200"/>
      <c r="E1642" s="200"/>
      <c r="F1642" s="200"/>
      <c r="G1642" s="200"/>
      <c r="H1642" s="192"/>
      <c r="I1642" s="201"/>
      <c r="J1642" s="201"/>
      <c r="K1642" s="201"/>
      <c r="L1642" s="192"/>
      <c r="M1642" s="200"/>
      <c r="N1642" s="200"/>
      <c r="O1642" s="192"/>
      <c r="P1642" s="192"/>
      <c r="Q1642" s="192"/>
      <c r="R1642" s="192"/>
      <c r="S1642" s="200"/>
      <c r="T1642" s="203"/>
      <c r="U1642" s="153"/>
      <c r="V1642" s="153"/>
      <c r="W1642" s="153"/>
      <c r="X1642" s="153"/>
      <c r="Y1642" s="153"/>
      <c r="Z1642" s="153"/>
    </row>
    <row r="1643" spans="1:26">
      <c r="A1643" s="200"/>
      <c r="B1643" s="200"/>
      <c r="C1643" s="200"/>
      <c r="D1643" s="200"/>
      <c r="E1643" s="200"/>
      <c r="F1643" s="200"/>
      <c r="G1643" s="200"/>
      <c r="H1643" s="192"/>
      <c r="I1643" s="201"/>
      <c r="J1643" s="201"/>
      <c r="K1643" s="201"/>
      <c r="L1643" s="192"/>
      <c r="M1643" s="200"/>
      <c r="N1643" s="200"/>
      <c r="O1643" s="192"/>
      <c r="P1643" s="192"/>
      <c r="Q1643" s="192"/>
      <c r="R1643" s="192"/>
      <c r="S1643" s="200"/>
      <c r="T1643" s="203"/>
      <c r="U1643" s="153"/>
      <c r="V1643" s="153"/>
      <c r="W1643" s="153"/>
      <c r="X1643" s="153"/>
      <c r="Y1643" s="153"/>
      <c r="Z1643" s="153"/>
    </row>
    <row r="1644" spans="1:26">
      <c r="A1644" s="200"/>
      <c r="B1644" s="200"/>
      <c r="C1644" s="200"/>
      <c r="D1644" s="200"/>
      <c r="E1644" s="200"/>
      <c r="F1644" s="200"/>
      <c r="G1644" s="200"/>
      <c r="H1644" s="192"/>
      <c r="I1644" s="201"/>
      <c r="J1644" s="201"/>
      <c r="K1644" s="201"/>
      <c r="L1644" s="192"/>
      <c r="M1644" s="200"/>
      <c r="N1644" s="200"/>
      <c r="O1644" s="192"/>
      <c r="P1644" s="192"/>
      <c r="Q1644" s="192"/>
      <c r="R1644" s="192"/>
      <c r="S1644" s="200"/>
      <c r="T1644" s="203"/>
      <c r="U1644" s="153"/>
      <c r="V1644" s="153"/>
      <c r="W1644" s="153"/>
      <c r="X1644" s="153"/>
      <c r="Y1644" s="153"/>
      <c r="Z1644" s="153"/>
    </row>
    <row r="1645" spans="1:26">
      <c r="A1645" s="200"/>
      <c r="B1645" s="200"/>
      <c r="C1645" s="200"/>
      <c r="D1645" s="200"/>
      <c r="E1645" s="200"/>
      <c r="F1645" s="200"/>
      <c r="G1645" s="200"/>
      <c r="H1645" s="192"/>
      <c r="I1645" s="201"/>
      <c r="J1645" s="201"/>
      <c r="K1645" s="201"/>
      <c r="L1645" s="192"/>
      <c r="M1645" s="200"/>
      <c r="N1645" s="200"/>
      <c r="O1645" s="192"/>
      <c r="P1645" s="192"/>
      <c r="Q1645" s="192"/>
      <c r="R1645" s="192"/>
      <c r="S1645" s="200"/>
      <c r="T1645" s="203"/>
      <c r="U1645" s="153"/>
      <c r="V1645" s="153"/>
      <c r="W1645" s="153"/>
      <c r="X1645" s="153"/>
      <c r="Y1645" s="153"/>
      <c r="Z1645" s="153"/>
    </row>
    <row r="1646" spans="1:26">
      <c r="A1646" s="200"/>
      <c r="B1646" s="200"/>
      <c r="C1646" s="200"/>
      <c r="D1646" s="200"/>
      <c r="E1646" s="200"/>
      <c r="F1646" s="200"/>
      <c r="G1646" s="200"/>
      <c r="H1646" s="192"/>
      <c r="I1646" s="201"/>
      <c r="J1646" s="201"/>
      <c r="K1646" s="201"/>
      <c r="L1646" s="192"/>
      <c r="M1646" s="200"/>
      <c r="N1646" s="200"/>
      <c r="O1646" s="192"/>
      <c r="P1646" s="192"/>
      <c r="Q1646" s="192"/>
      <c r="R1646" s="192"/>
      <c r="S1646" s="200"/>
      <c r="T1646" s="203"/>
      <c r="U1646" s="153"/>
      <c r="V1646" s="153"/>
      <c r="W1646" s="153"/>
      <c r="X1646" s="153"/>
      <c r="Y1646" s="153"/>
      <c r="Z1646" s="153"/>
    </row>
    <row r="1647" spans="1:26">
      <c r="A1647" s="200"/>
      <c r="B1647" s="200"/>
      <c r="C1647" s="200"/>
      <c r="D1647" s="200"/>
      <c r="E1647" s="200"/>
      <c r="F1647" s="200"/>
      <c r="G1647" s="200"/>
      <c r="H1647" s="192"/>
      <c r="I1647" s="201"/>
      <c r="J1647" s="201"/>
      <c r="K1647" s="201"/>
      <c r="L1647" s="192"/>
      <c r="M1647" s="200"/>
      <c r="N1647" s="200"/>
      <c r="O1647" s="192"/>
      <c r="P1647" s="192"/>
      <c r="Q1647" s="192"/>
      <c r="R1647" s="192"/>
      <c r="S1647" s="200"/>
      <c r="T1647" s="203"/>
      <c r="U1647" s="153"/>
      <c r="V1647" s="153"/>
      <c r="W1647" s="153"/>
      <c r="X1647" s="153"/>
      <c r="Y1647" s="153"/>
      <c r="Z1647" s="153"/>
    </row>
    <row r="1648" spans="1:26">
      <c r="A1648" s="200"/>
      <c r="B1648" s="200"/>
      <c r="C1648" s="200"/>
      <c r="D1648" s="200"/>
      <c r="E1648" s="200"/>
      <c r="F1648" s="200"/>
      <c r="G1648" s="200"/>
      <c r="H1648" s="192"/>
      <c r="I1648" s="201"/>
      <c r="J1648" s="201"/>
      <c r="K1648" s="201"/>
      <c r="L1648" s="192"/>
      <c r="M1648" s="200"/>
      <c r="N1648" s="200"/>
      <c r="O1648" s="192"/>
      <c r="P1648" s="192"/>
      <c r="Q1648" s="192"/>
      <c r="R1648" s="192"/>
      <c r="S1648" s="200"/>
      <c r="T1648" s="203"/>
      <c r="U1648" s="153"/>
      <c r="V1648" s="153"/>
      <c r="W1648" s="153"/>
      <c r="X1648" s="153"/>
      <c r="Y1648" s="153"/>
      <c r="Z1648" s="153"/>
    </row>
    <row r="1649" spans="1:26">
      <c r="A1649" s="200"/>
      <c r="B1649" s="200"/>
      <c r="C1649" s="200"/>
      <c r="D1649" s="200"/>
      <c r="E1649" s="200"/>
      <c r="F1649" s="200"/>
      <c r="G1649" s="200"/>
      <c r="H1649" s="192"/>
      <c r="I1649" s="201"/>
      <c r="J1649" s="201"/>
      <c r="K1649" s="201"/>
      <c r="L1649" s="192"/>
      <c r="M1649" s="200"/>
      <c r="N1649" s="200"/>
      <c r="O1649" s="192"/>
      <c r="P1649" s="192"/>
      <c r="Q1649" s="192"/>
      <c r="R1649" s="192"/>
      <c r="S1649" s="200"/>
      <c r="T1649" s="203"/>
      <c r="U1649" s="153"/>
      <c r="V1649" s="153"/>
      <c r="W1649" s="153"/>
      <c r="X1649" s="153"/>
      <c r="Y1649" s="153"/>
      <c r="Z1649" s="153"/>
    </row>
    <row r="1650" spans="1:26">
      <c r="A1650" s="200"/>
      <c r="B1650" s="200"/>
      <c r="C1650" s="200"/>
      <c r="D1650" s="200"/>
      <c r="E1650" s="200"/>
      <c r="F1650" s="200"/>
      <c r="G1650" s="200"/>
      <c r="H1650" s="192"/>
      <c r="I1650" s="201"/>
      <c r="J1650" s="201"/>
      <c r="K1650" s="201"/>
      <c r="L1650" s="192"/>
      <c r="M1650" s="200"/>
      <c r="N1650" s="200"/>
      <c r="O1650" s="192"/>
      <c r="P1650" s="192"/>
      <c r="Q1650" s="192"/>
      <c r="R1650" s="192"/>
      <c r="S1650" s="200"/>
      <c r="T1650" s="203"/>
      <c r="U1650" s="153"/>
      <c r="V1650" s="153"/>
      <c r="W1650" s="153"/>
      <c r="X1650" s="153"/>
      <c r="Y1650" s="153"/>
      <c r="Z1650" s="153"/>
    </row>
    <row r="1651" spans="1:26">
      <c r="A1651" s="200"/>
      <c r="B1651" s="200"/>
      <c r="C1651" s="200"/>
      <c r="D1651" s="200"/>
      <c r="E1651" s="200"/>
      <c r="F1651" s="200"/>
      <c r="G1651" s="200"/>
      <c r="H1651" s="192"/>
      <c r="I1651" s="201"/>
      <c r="J1651" s="201"/>
      <c r="K1651" s="201"/>
      <c r="L1651" s="192"/>
      <c r="M1651" s="200"/>
      <c r="N1651" s="200"/>
      <c r="O1651" s="192"/>
      <c r="P1651" s="192"/>
      <c r="Q1651" s="192"/>
      <c r="R1651" s="192"/>
      <c r="S1651" s="200"/>
      <c r="T1651" s="203"/>
      <c r="U1651" s="153"/>
      <c r="V1651" s="153"/>
      <c r="W1651" s="153"/>
      <c r="X1651" s="153"/>
      <c r="Y1651" s="153"/>
      <c r="Z1651" s="153"/>
    </row>
    <row r="1652" spans="1:26">
      <c r="A1652" s="200"/>
      <c r="B1652" s="200"/>
      <c r="C1652" s="200"/>
      <c r="D1652" s="200"/>
      <c r="E1652" s="200"/>
      <c r="F1652" s="200"/>
      <c r="G1652" s="200"/>
      <c r="H1652" s="192"/>
      <c r="I1652" s="201"/>
      <c r="J1652" s="201"/>
      <c r="K1652" s="201"/>
      <c r="L1652" s="192"/>
      <c r="M1652" s="200"/>
      <c r="N1652" s="200"/>
      <c r="O1652" s="192"/>
      <c r="P1652" s="192"/>
      <c r="Q1652" s="192"/>
      <c r="R1652" s="192"/>
      <c r="S1652" s="200"/>
      <c r="T1652" s="203"/>
      <c r="U1652" s="153"/>
      <c r="V1652" s="153"/>
      <c r="W1652" s="153"/>
      <c r="X1652" s="153"/>
      <c r="Y1652" s="153"/>
      <c r="Z1652" s="153"/>
    </row>
    <row r="1653" spans="1:26">
      <c r="A1653" s="200"/>
      <c r="B1653" s="200"/>
      <c r="C1653" s="200"/>
      <c r="D1653" s="200"/>
      <c r="E1653" s="200"/>
      <c r="F1653" s="200"/>
      <c r="G1653" s="200"/>
      <c r="H1653" s="192"/>
      <c r="I1653" s="201"/>
      <c r="J1653" s="201"/>
      <c r="K1653" s="201"/>
      <c r="L1653" s="192"/>
      <c r="M1653" s="200"/>
      <c r="N1653" s="200"/>
      <c r="O1653" s="192"/>
      <c r="P1653" s="192"/>
      <c r="Q1653" s="192"/>
      <c r="R1653" s="192"/>
      <c r="S1653" s="200"/>
      <c r="T1653" s="203"/>
      <c r="U1653" s="153"/>
      <c r="V1653" s="153"/>
      <c r="W1653" s="153"/>
      <c r="X1653" s="153"/>
      <c r="Y1653" s="153"/>
      <c r="Z1653" s="153"/>
    </row>
    <row r="1654" spans="1:26">
      <c r="A1654" s="200"/>
      <c r="B1654" s="200"/>
      <c r="C1654" s="200"/>
      <c r="D1654" s="200"/>
      <c r="E1654" s="200"/>
      <c r="F1654" s="200"/>
      <c r="G1654" s="200"/>
      <c r="H1654" s="192"/>
      <c r="I1654" s="201"/>
      <c r="J1654" s="201"/>
      <c r="K1654" s="201"/>
      <c r="L1654" s="192"/>
      <c r="M1654" s="200"/>
      <c r="N1654" s="200"/>
      <c r="O1654" s="192"/>
      <c r="P1654" s="192"/>
      <c r="Q1654" s="192"/>
      <c r="R1654" s="192"/>
      <c r="S1654" s="200"/>
      <c r="T1654" s="203"/>
      <c r="U1654" s="153"/>
      <c r="V1654" s="153"/>
      <c r="W1654" s="153"/>
      <c r="X1654" s="153"/>
      <c r="Y1654" s="153"/>
      <c r="Z1654" s="153"/>
    </row>
    <row r="1655" spans="1:26">
      <c r="A1655" s="200"/>
      <c r="B1655" s="200"/>
      <c r="C1655" s="200"/>
      <c r="D1655" s="200"/>
      <c r="E1655" s="200"/>
      <c r="F1655" s="200"/>
      <c r="G1655" s="200"/>
      <c r="H1655" s="192"/>
      <c r="I1655" s="201"/>
      <c r="J1655" s="201"/>
      <c r="K1655" s="201"/>
      <c r="L1655" s="192"/>
      <c r="M1655" s="200"/>
      <c r="N1655" s="200"/>
      <c r="O1655" s="192"/>
      <c r="P1655" s="192"/>
      <c r="Q1655" s="192"/>
      <c r="R1655" s="192"/>
      <c r="S1655" s="200"/>
      <c r="T1655" s="203"/>
      <c r="U1655" s="153"/>
      <c r="V1655" s="153"/>
      <c r="W1655" s="153"/>
      <c r="X1655" s="153"/>
      <c r="Y1655" s="153"/>
      <c r="Z1655" s="153"/>
    </row>
    <row r="1656" spans="1:26">
      <c r="A1656" s="200"/>
      <c r="B1656" s="200"/>
      <c r="C1656" s="200"/>
      <c r="D1656" s="200"/>
      <c r="E1656" s="200"/>
      <c r="F1656" s="200"/>
      <c r="G1656" s="200"/>
      <c r="H1656" s="192"/>
      <c r="I1656" s="201"/>
      <c r="J1656" s="201"/>
      <c r="K1656" s="201"/>
      <c r="L1656" s="192"/>
      <c r="M1656" s="200"/>
      <c r="N1656" s="200"/>
      <c r="O1656" s="192"/>
      <c r="P1656" s="192"/>
      <c r="Q1656" s="192"/>
      <c r="R1656" s="192"/>
      <c r="S1656" s="200"/>
      <c r="T1656" s="203"/>
      <c r="U1656" s="153"/>
      <c r="V1656" s="153"/>
      <c r="W1656" s="153"/>
      <c r="X1656" s="153"/>
      <c r="Y1656" s="153"/>
      <c r="Z1656" s="153"/>
    </row>
    <row r="1657" spans="1:26">
      <c r="A1657" s="200"/>
      <c r="B1657" s="200"/>
      <c r="C1657" s="200"/>
      <c r="D1657" s="200"/>
      <c r="E1657" s="200"/>
      <c r="F1657" s="200"/>
      <c r="G1657" s="200"/>
      <c r="H1657" s="192"/>
      <c r="I1657" s="201"/>
      <c r="J1657" s="201"/>
      <c r="K1657" s="201"/>
      <c r="L1657" s="192"/>
      <c r="M1657" s="200"/>
      <c r="N1657" s="200"/>
      <c r="O1657" s="192"/>
      <c r="P1657" s="192"/>
      <c r="Q1657" s="192"/>
      <c r="R1657" s="192"/>
      <c r="S1657" s="200"/>
      <c r="T1657" s="203"/>
      <c r="U1657" s="153"/>
      <c r="V1657" s="153"/>
      <c r="W1657" s="153"/>
      <c r="X1657" s="153"/>
      <c r="Y1657" s="153"/>
      <c r="Z1657" s="153"/>
    </row>
    <row r="1658" spans="1:26">
      <c r="A1658" s="200"/>
      <c r="B1658" s="200"/>
      <c r="C1658" s="200"/>
      <c r="D1658" s="200"/>
      <c r="E1658" s="200"/>
      <c r="F1658" s="200"/>
      <c r="G1658" s="200"/>
      <c r="H1658" s="192"/>
      <c r="I1658" s="201"/>
      <c r="J1658" s="201"/>
      <c r="K1658" s="201"/>
      <c r="L1658" s="192"/>
      <c r="M1658" s="200"/>
      <c r="N1658" s="200"/>
      <c r="O1658" s="192"/>
      <c r="P1658" s="192"/>
      <c r="Q1658" s="192"/>
      <c r="R1658" s="192"/>
      <c r="S1658" s="200"/>
      <c r="T1658" s="203"/>
      <c r="U1658" s="153"/>
      <c r="V1658" s="153"/>
      <c r="W1658" s="153"/>
      <c r="X1658" s="153"/>
      <c r="Y1658" s="153"/>
      <c r="Z1658" s="153"/>
    </row>
    <row r="1659" spans="1:26">
      <c r="A1659" s="200"/>
      <c r="B1659" s="200"/>
      <c r="C1659" s="200"/>
      <c r="D1659" s="200"/>
      <c r="E1659" s="200"/>
      <c r="F1659" s="200"/>
      <c r="G1659" s="200"/>
      <c r="H1659" s="192"/>
      <c r="I1659" s="201"/>
      <c r="J1659" s="201"/>
      <c r="K1659" s="201"/>
      <c r="L1659" s="192"/>
      <c r="M1659" s="200"/>
      <c r="N1659" s="200"/>
      <c r="O1659" s="192"/>
      <c r="P1659" s="192"/>
      <c r="Q1659" s="192"/>
      <c r="R1659" s="192"/>
      <c r="S1659" s="200"/>
      <c r="T1659" s="203"/>
      <c r="U1659" s="153"/>
      <c r="V1659" s="153"/>
      <c r="W1659" s="153"/>
      <c r="X1659" s="153"/>
      <c r="Y1659" s="153"/>
      <c r="Z1659" s="153"/>
    </row>
    <row r="1660" spans="1:26">
      <c r="A1660" s="200"/>
      <c r="B1660" s="200"/>
      <c r="C1660" s="200"/>
      <c r="D1660" s="200"/>
      <c r="E1660" s="200"/>
      <c r="F1660" s="200"/>
      <c r="G1660" s="200"/>
      <c r="H1660" s="192"/>
      <c r="I1660" s="201"/>
      <c r="J1660" s="201"/>
      <c r="K1660" s="201"/>
      <c r="L1660" s="192"/>
      <c r="M1660" s="200"/>
      <c r="N1660" s="200"/>
      <c r="O1660" s="192"/>
      <c r="P1660" s="192"/>
      <c r="Q1660" s="192"/>
      <c r="R1660" s="192"/>
      <c r="S1660" s="200"/>
      <c r="T1660" s="203"/>
      <c r="U1660" s="153"/>
      <c r="V1660" s="153"/>
      <c r="W1660" s="153"/>
      <c r="X1660" s="153"/>
      <c r="Y1660" s="153"/>
      <c r="Z1660" s="153"/>
    </row>
    <row r="1661" spans="1:26">
      <c r="A1661" s="200"/>
      <c r="B1661" s="200"/>
      <c r="C1661" s="200"/>
      <c r="D1661" s="200"/>
      <c r="E1661" s="200"/>
      <c r="F1661" s="200"/>
      <c r="G1661" s="200"/>
      <c r="H1661" s="192"/>
      <c r="I1661" s="201"/>
      <c r="J1661" s="201"/>
      <c r="K1661" s="201"/>
      <c r="L1661" s="192"/>
      <c r="M1661" s="200"/>
      <c r="N1661" s="200"/>
      <c r="O1661" s="192"/>
      <c r="P1661" s="192"/>
      <c r="Q1661" s="192"/>
      <c r="R1661" s="192"/>
      <c r="S1661" s="200"/>
      <c r="T1661" s="203"/>
      <c r="U1661" s="153"/>
      <c r="V1661" s="153"/>
      <c r="W1661" s="153"/>
      <c r="X1661" s="153"/>
      <c r="Y1661" s="153"/>
      <c r="Z1661" s="153"/>
    </row>
    <row r="1662" spans="1:26">
      <c r="A1662" s="200"/>
      <c r="B1662" s="200"/>
      <c r="C1662" s="200"/>
      <c r="D1662" s="200"/>
      <c r="E1662" s="200"/>
      <c r="F1662" s="200"/>
      <c r="G1662" s="200"/>
      <c r="H1662" s="192"/>
      <c r="I1662" s="201"/>
      <c r="J1662" s="201"/>
      <c r="K1662" s="201"/>
      <c r="L1662" s="192"/>
      <c r="M1662" s="200"/>
      <c r="N1662" s="200"/>
      <c r="O1662" s="192"/>
      <c r="P1662" s="192"/>
      <c r="Q1662" s="192"/>
      <c r="R1662" s="192"/>
      <c r="S1662" s="200"/>
      <c r="T1662" s="203"/>
      <c r="U1662" s="153"/>
      <c r="V1662" s="153"/>
      <c r="W1662" s="153"/>
      <c r="X1662" s="153"/>
      <c r="Y1662" s="153"/>
      <c r="Z1662" s="153"/>
    </row>
    <row r="1663" spans="1:26">
      <c r="A1663" s="200"/>
      <c r="B1663" s="200"/>
      <c r="C1663" s="200"/>
      <c r="D1663" s="200"/>
      <c r="E1663" s="200"/>
      <c r="F1663" s="200"/>
      <c r="G1663" s="200"/>
      <c r="H1663" s="192"/>
      <c r="I1663" s="201"/>
      <c r="J1663" s="201"/>
      <c r="K1663" s="201"/>
      <c r="L1663" s="192"/>
      <c r="M1663" s="200"/>
      <c r="N1663" s="200"/>
      <c r="O1663" s="192"/>
      <c r="P1663" s="192"/>
      <c r="Q1663" s="192"/>
      <c r="R1663" s="192"/>
      <c r="S1663" s="200"/>
      <c r="T1663" s="203"/>
      <c r="U1663" s="153"/>
      <c r="V1663" s="153"/>
      <c r="W1663" s="153"/>
      <c r="X1663" s="153"/>
      <c r="Y1663" s="153"/>
      <c r="Z1663" s="153"/>
    </row>
    <row r="1664" spans="1:26">
      <c r="A1664" s="200"/>
      <c r="B1664" s="200"/>
      <c r="C1664" s="200"/>
      <c r="D1664" s="200"/>
      <c r="E1664" s="200"/>
      <c r="F1664" s="200"/>
      <c r="G1664" s="200"/>
      <c r="H1664" s="192"/>
      <c r="I1664" s="201"/>
      <c r="J1664" s="201"/>
      <c r="K1664" s="201"/>
      <c r="L1664" s="192"/>
      <c r="M1664" s="200"/>
      <c r="N1664" s="200"/>
      <c r="O1664" s="192"/>
      <c r="P1664" s="192"/>
      <c r="Q1664" s="192"/>
      <c r="R1664" s="192"/>
      <c r="S1664" s="200"/>
      <c r="T1664" s="203"/>
      <c r="U1664" s="153"/>
      <c r="V1664" s="153"/>
      <c r="W1664" s="153"/>
      <c r="X1664" s="153"/>
      <c r="Y1664" s="153"/>
      <c r="Z1664" s="153"/>
    </row>
    <row r="1665" spans="1:26">
      <c r="A1665" s="200"/>
      <c r="B1665" s="200"/>
      <c r="C1665" s="200"/>
      <c r="D1665" s="200"/>
      <c r="E1665" s="200"/>
      <c r="F1665" s="200"/>
      <c r="G1665" s="200"/>
      <c r="H1665" s="192"/>
      <c r="I1665" s="201"/>
      <c r="J1665" s="201"/>
      <c r="K1665" s="201"/>
      <c r="L1665" s="192"/>
      <c r="M1665" s="200"/>
      <c r="N1665" s="200"/>
      <c r="O1665" s="192"/>
      <c r="P1665" s="192"/>
      <c r="Q1665" s="192"/>
      <c r="R1665" s="192"/>
      <c r="S1665" s="200"/>
      <c r="T1665" s="203"/>
      <c r="U1665" s="153"/>
      <c r="V1665" s="153"/>
      <c r="W1665" s="153"/>
      <c r="X1665" s="153"/>
      <c r="Y1665" s="153"/>
      <c r="Z1665" s="153"/>
    </row>
    <row r="1666" spans="1:26">
      <c r="A1666" s="200"/>
      <c r="B1666" s="200"/>
      <c r="C1666" s="200"/>
      <c r="D1666" s="200"/>
      <c r="E1666" s="200"/>
      <c r="F1666" s="200"/>
      <c r="G1666" s="200"/>
      <c r="H1666" s="192"/>
      <c r="I1666" s="201"/>
      <c r="J1666" s="201"/>
      <c r="K1666" s="201"/>
      <c r="L1666" s="192"/>
      <c r="M1666" s="200"/>
      <c r="N1666" s="200"/>
      <c r="O1666" s="192"/>
      <c r="P1666" s="192"/>
      <c r="Q1666" s="192"/>
      <c r="R1666" s="192"/>
      <c r="S1666" s="200"/>
      <c r="T1666" s="203"/>
      <c r="U1666" s="153"/>
      <c r="V1666" s="153"/>
      <c r="W1666" s="153"/>
      <c r="X1666" s="153"/>
      <c r="Y1666" s="153"/>
      <c r="Z1666" s="153"/>
    </row>
    <row r="1667" spans="1:26">
      <c r="A1667" s="200"/>
      <c r="B1667" s="200"/>
      <c r="C1667" s="200"/>
      <c r="D1667" s="200"/>
      <c r="E1667" s="200"/>
      <c r="F1667" s="200"/>
      <c r="G1667" s="200"/>
      <c r="H1667" s="192"/>
      <c r="I1667" s="201"/>
      <c r="J1667" s="201"/>
      <c r="K1667" s="201"/>
      <c r="L1667" s="192"/>
      <c r="M1667" s="200"/>
      <c r="N1667" s="200"/>
      <c r="O1667" s="192"/>
      <c r="P1667" s="192"/>
      <c r="Q1667" s="192"/>
      <c r="R1667" s="192"/>
      <c r="S1667" s="200"/>
      <c r="T1667" s="203"/>
      <c r="U1667" s="153"/>
      <c r="V1667" s="153"/>
      <c r="W1667" s="153"/>
      <c r="X1667" s="153"/>
      <c r="Y1667" s="153"/>
      <c r="Z1667" s="153"/>
    </row>
    <row r="1668" spans="1:26">
      <c r="A1668" s="200"/>
      <c r="B1668" s="200"/>
      <c r="C1668" s="200"/>
      <c r="D1668" s="200"/>
      <c r="E1668" s="200"/>
      <c r="F1668" s="200"/>
      <c r="G1668" s="200"/>
      <c r="H1668" s="192"/>
      <c r="I1668" s="201"/>
      <c r="J1668" s="201"/>
      <c r="K1668" s="201"/>
      <c r="L1668" s="192"/>
      <c r="M1668" s="200"/>
      <c r="N1668" s="200"/>
      <c r="O1668" s="192"/>
      <c r="P1668" s="192"/>
      <c r="Q1668" s="192"/>
      <c r="R1668" s="192"/>
      <c r="S1668" s="200"/>
      <c r="T1668" s="203"/>
      <c r="U1668" s="153"/>
      <c r="V1668" s="153"/>
      <c r="W1668" s="153"/>
      <c r="X1668" s="153"/>
      <c r="Y1668" s="153"/>
      <c r="Z1668" s="153"/>
    </row>
    <row r="1669" spans="1:26">
      <c r="A1669" s="200"/>
      <c r="B1669" s="200"/>
      <c r="C1669" s="200"/>
      <c r="D1669" s="200"/>
      <c r="E1669" s="200"/>
      <c r="F1669" s="200"/>
      <c r="G1669" s="200"/>
      <c r="H1669" s="192"/>
      <c r="I1669" s="201"/>
      <c r="J1669" s="201"/>
      <c r="K1669" s="201"/>
      <c r="L1669" s="192"/>
      <c r="M1669" s="200"/>
      <c r="N1669" s="200"/>
      <c r="O1669" s="192"/>
      <c r="P1669" s="192"/>
      <c r="Q1669" s="192"/>
      <c r="R1669" s="192"/>
      <c r="S1669" s="200"/>
      <c r="T1669" s="203"/>
      <c r="U1669" s="153"/>
      <c r="V1669" s="153"/>
      <c r="W1669" s="153"/>
      <c r="X1669" s="153"/>
      <c r="Y1669" s="153"/>
      <c r="Z1669" s="153"/>
    </row>
    <row r="1670" spans="1:26">
      <c r="A1670" s="200"/>
      <c r="B1670" s="200"/>
      <c r="C1670" s="200"/>
      <c r="D1670" s="200"/>
      <c r="E1670" s="200"/>
      <c r="F1670" s="200"/>
      <c r="G1670" s="200"/>
      <c r="H1670" s="192"/>
      <c r="I1670" s="201"/>
      <c r="J1670" s="201"/>
      <c r="K1670" s="201"/>
      <c r="L1670" s="192"/>
      <c r="M1670" s="200"/>
      <c r="N1670" s="200"/>
      <c r="O1670" s="192"/>
      <c r="P1670" s="192"/>
      <c r="Q1670" s="192"/>
      <c r="R1670" s="192"/>
      <c r="S1670" s="200"/>
      <c r="T1670" s="203"/>
      <c r="U1670" s="153"/>
      <c r="V1670" s="153"/>
      <c r="W1670" s="153"/>
      <c r="X1670" s="153"/>
      <c r="Y1670" s="153"/>
      <c r="Z1670" s="153"/>
    </row>
    <row r="1671" spans="1:26">
      <c r="A1671" s="200"/>
      <c r="B1671" s="200"/>
      <c r="C1671" s="200"/>
      <c r="D1671" s="200"/>
      <c r="E1671" s="200"/>
      <c r="F1671" s="200"/>
      <c r="G1671" s="200"/>
      <c r="H1671" s="192"/>
      <c r="I1671" s="201"/>
      <c r="J1671" s="201"/>
      <c r="K1671" s="201"/>
      <c r="L1671" s="192"/>
      <c r="M1671" s="200"/>
      <c r="N1671" s="200"/>
      <c r="O1671" s="192"/>
      <c r="P1671" s="192"/>
      <c r="Q1671" s="192"/>
      <c r="R1671" s="192"/>
      <c r="S1671" s="200"/>
      <c r="T1671" s="203"/>
      <c r="U1671" s="153"/>
      <c r="V1671" s="153"/>
      <c r="W1671" s="153"/>
      <c r="X1671" s="153"/>
      <c r="Y1671" s="153"/>
      <c r="Z1671" s="153"/>
    </row>
    <row r="1672" spans="1:26">
      <c r="A1672" s="200"/>
      <c r="B1672" s="200"/>
      <c r="C1672" s="200"/>
      <c r="D1672" s="200"/>
      <c r="E1672" s="200"/>
      <c r="F1672" s="200"/>
      <c r="G1672" s="200"/>
      <c r="H1672" s="192"/>
      <c r="I1672" s="201"/>
      <c r="J1672" s="201"/>
      <c r="K1672" s="201"/>
      <c r="L1672" s="192"/>
      <c r="M1672" s="200"/>
      <c r="N1672" s="200"/>
      <c r="O1672" s="192"/>
      <c r="P1672" s="192"/>
      <c r="Q1672" s="192"/>
      <c r="R1672" s="192"/>
      <c r="S1672" s="200"/>
      <c r="T1672" s="203"/>
      <c r="U1672" s="153"/>
      <c r="V1672" s="153"/>
      <c r="W1672" s="153"/>
      <c r="X1672" s="153"/>
      <c r="Y1672" s="153"/>
      <c r="Z1672" s="153"/>
    </row>
    <row r="1673" spans="1:26">
      <c r="A1673" s="200"/>
      <c r="B1673" s="200"/>
      <c r="C1673" s="200"/>
      <c r="D1673" s="200"/>
      <c r="E1673" s="200"/>
      <c r="F1673" s="200"/>
      <c r="G1673" s="200"/>
      <c r="H1673" s="192"/>
      <c r="I1673" s="201"/>
      <c r="J1673" s="201"/>
      <c r="K1673" s="201"/>
      <c r="L1673" s="192"/>
      <c r="M1673" s="200"/>
      <c r="N1673" s="200"/>
      <c r="O1673" s="192"/>
      <c r="P1673" s="192"/>
      <c r="Q1673" s="192"/>
      <c r="R1673" s="192"/>
      <c r="S1673" s="200"/>
      <c r="T1673" s="203"/>
      <c r="U1673" s="153"/>
      <c r="V1673" s="153"/>
      <c r="W1673" s="153"/>
      <c r="X1673" s="153"/>
      <c r="Y1673" s="153"/>
      <c r="Z1673" s="153"/>
    </row>
    <row r="1674" spans="1:26">
      <c r="A1674" s="200"/>
      <c r="B1674" s="200"/>
      <c r="C1674" s="200"/>
      <c r="D1674" s="200"/>
      <c r="E1674" s="200"/>
      <c r="F1674" s="200"/>
      <c r="G1674" s="200"/>
      <c r="H1674" s="192"/>
      <c r="I1674" s="201"/>
      <c r="J1674" s="201"/>
      <c r="K1674" s="201"/>
      <c r="L1674" s="192"/>
      <c r="M1674" s="200"/>
      <c r="N1674" s="200"/>
      <c r="O1674" s="192"/>
      <c r="P1674" s="192"/>
      <c r="Q1674" s="192"/>
      <c r="R1674" s="192"/>
      <c r="S1674" s="200"/>
      <c r="T1674" s="203"/>
      <c r="U1674" s="153"/>
      <c r="V1674" s="153"/>
      <c r="W1674" s="153"/>
      <c r="X1674" s="153"/>
      <c r="Y1674" s="153"/>
      <c r="Z1674" s="153"/>
    </row>
    <row r="1675" spans="1:26">
      <c r="A1675" s="200"/>
      <c r="B1675" s="200"/>
      <c r="C1675" s="200"/>
      <c r="D1675" s="200"/>
      <c r="E1675" s="200"/>
      <c r="F1675" s="200"/>
      <c r="G1675" s="200"/>
      <c r="H1675" s="192"/>
      <c r="I1675" s="201"/>
      <c r="J1675" s="201"/>
      <c r="K1675" s="201"/>
      <c r="L1675" s="192"/>
      <c r="M1675" s="200"/>
      <c r="N1675" s="200"/>
      <c r="O1675" s="192"/>
      <c r="P1675" s="192"/>
      <c r="Q1675" s="192"/>
      <c r="R1675" s="192"/>
      <c r="S1675" s="200"/>
      <c r="T1675" s="203"/>
      <c r="U1675" s="153"/>
      <c r="V1675" s="153"/>
      <c r="W1675" s="153"/>
      <c r="X1675" s="153"/>
      <c r="Y1675" s="153"/>
      <c r="Z1675" s="153"/>
    </row>
    <row r="1676" spans="1:26">
      <c r="A1676" s="200"/>
      <c r="B1676" s="200"/>
      <c r="C1676" s="200"/>
      <c r="D1676" s="200"/>
      <c r="E1676" s="200"/>
      <c r="F1676" s="200"/>
      <c r="G1676" s="200"/>
      <c r="H1676" s="192"/>
      <c r="I1676" s="201"/>
      <c r="J1676" s="201"/>
      <c r="K1676" s="201"/>
      <c r="L1676" s="192"/>
      <c r="M1676" s="200"/>
      <c r="N1676" s="200"/>
      <c r="O1676" s="192"/>
      <c r="P1676" s="192"/>
      <c r="Q1676" s="192"/>
      <c r="R1676" s="192"/>
      <c r="S1676" s="200"/>
      <c r="T1676" s="203"/>
      <c r="U1676" s="153"/>
      <c r="V1676" s="153"/>
      <c r="W1676" s="153"/>
      <c r="X1676" s="153"/>
      <c r="Y1676" s="153"/>
      <c r="Z1676" s="153"/>
    </row>
    <row r="1677" spans="1:26">
      <c r="A1677" s="200"/>
      <c r="B1677" s="200"/>
      <c r="C1677" s="200"/>
      <c r="D1677" s="200"/>
      <c r="E1677" s="200"/>
      <c r="F1677" s="200"/>
      <c r="G1677" s="200"/>
      <c r="H1677" s="192"/>
      <c r="I1677" s="201"/>
      <c r="J1677" s="201"/>
      <c r="K1677" s="201"/>
      <c r="L1677" s="192"/>
      <c r="M1677" s="200"/>
      <c r="N1677" s="200"/>
      <c r="O1677" s="192"/>
      <c r="P1677" s="192"/>
      <c r="Q1677" s="192"/>
      <c r="R1677" s="192"/>
      <c r="S1677" s="200"/>
      <c r="T1677" s="203"/>
      <c r="U1677" s="153"/>
      <c r="V1677" s="153"/>
      <c r="W1677" s="153"/>
      <c r="X1677" s="153"/>
      <c r="Y1677" s="153"/>
      <c r="Z1677" s="153"/>
    </row>
    <row r="1678" spans="1:26">
      <c r="A1678" s="200"/>
      <c r="B1678" s="200"/>
      <c r="C1678" s="200"/>
      <c r="D1678" s="200"/>
      <c r="E1678" s="200"/>
      <c r="F1678" s="200"/>
      <c r="G1678" s="200"/>
      <c r="H1678" s="192"/>
      <c r="I1678" s="201"/>
      <c r="J1678" s="201"/>
      <c r="K1678" s="201"/>
      <c r="L1678" s="192"/>
      <c r="M1678" s="200"/>
      <c r="N1678" s="200"/>
      <c r="O1678" s="192"/>
      <c r="P1678" s="192"/>
      <c r="Q1678" s="192"/>
      <c r="R1678" s="192"/>
      <c r="S1678" s="200"/>
      <c r="T1678" s="203"/>
      <c r="U1678" s="153"/>
      <c r="V1678" s="153"/>
      <c r="W1678" s="153"/>
      <c r="X1678" s="153"/>
      <c r="Y1678" s="153"/>
      <c r="Z1678" s="153"/>
    </row>
    <row r="1679" spans="1:26">
      <c r="A1679" s="200"/>
      <c r="B1679" s="200"/>
      <c r="C1679" s="200"/>
      <c r="D1679" s="200"/>
      <c r="E1679" s="200"/>
      <c r="F1679" s="200"/>
      <c r="G1679" s="200"/>
      <c r="H1679" s="192"/>
      <c r="I1679" s="201"/>
      <c r="J1679" s="201"/>
      <c r="K1679" s="201"/>
      <c r="L1679" s="192"/>
      <c r="M1679" s="200"/>
      <c r="N1679" s="200"/>
      <c r="O1679" s="192"/>
      <c r="P1679" s="192"/>
      <c r="Q1679" s="192"/>
      <c r="R1679" s="192"/>
      <c r="S1679" s="200"/>
      <c r="T1679" s="203"/>
      <c r="U1679" s="153"/>
      <c r="V1679" s="153"/>
      <c r="W1679" s="153"/>
      <c r="X1679" s="153"/>
      <c r="Y1679" s="153"/>
      <c r="Z1679" s="153"/>
    </row>
    <row r="1680" spans="1:26">
      <c r="A1680" s="200"/>
      <c r="B1680" s="200"/>
      <c r="C1680" s="200"/>
      <c r="D1680" s="200"/>
      <c r="E1680" s="200"/>
      <c r="F1680" s="200"/>
      <c r="G1680" s="200"/>
      <c r="H1680" s="192"/>
      <c r="I1680" s="201"/>
      <c r="J1680" s="201"/>
      <c r="K1680" s="201"/>
      <c r="L1680" s="192"/>
      <c r="M1680" s="200"/>
      <c r="N1680" s="200"/>
      <c r="O1680" s="192"/>
      <c r="P1680" s="192"/>
      <c r="Q1680" s="192"/>
      <c r="R1680" s="192"/>
      <c r="S1680" s="200"/>
      <c r="T1680" s="203"/>
      <c r="U1680" s="153"/>
      <c r="V1680" s="153"/>
      <c r="W1680" s="153"/>
      <c r="X1680" s="153"/>
      <c r="Y1680" s="153"/>
      <c r="Z1680" s="153"/>
    </row>
    <row r="1681" spans="1:26">
      <c r="A1681" s="200"/>
      <c r="B1681" s="200"/>
      <c r="C1681" s="200"/>
      <c r="D1681" s="200"/>
      <c r="E1681" s="200"/>
      <c r="F1681" s="200"/>
      <c r="G1681" s="200"/>
      <c r="H1681" s="192"/>
      <c r="I1681" s="201"/>
      <c r="J1681" s="201"/>
      <c r="K1681" s="201"/>
      <c r="L1681" s="192"/>
      <c r="M1681" s="200"/>
      <c r="N1681" s="200"/>
      <c r="O1681" s="192"/>
      <c r="P1681" s="192"/>
      <c r="Q1681" s="192"/>
      <c r="R1681" s="192"/>
      <c r="S1681" s="200"/>
      <c r="T1681" s="203"/>
      <c r="U1681" s="153"/>
      <c r="V1681" s="153"/>
      <c r="W1681" s="153"/>
      <c r="X1681" s="153"/>
      <c r="Y1681" s="153"/>
      <c r="Z1681" s="153"/>
    </row>
    <row r="1682" spans="1:26">
      <c r="A1682" s="200"/>
      <c r="B1682" s="200"/>
      <c r="C1682" s="200"/>
      <c r="D1682" s="200"/>
      <c r="E1682" s="200"/>
      <c r="F1682" s="200"/>
      <c r="G1682" s="200"/>
      <c r="H1682" s="192"/>
      <c r="I1682" s="201"/>
      <c r="J1682" s="201"/>
      <c r="K1682" s="201"/>
      <c r="L1682" s="192"/>
      <c r="M1682" s="200"/>
      <c r="N1682" s="200"/>
      <c r="O1682" s="192"/>
      <c r="P1682" s="192"/>
      <c r="Q1682" s="192"/>
      <c r="R1682" s="192"/>
      <c r="S1682" s="200"/>
      <c r="T1682" s="203"/>
      <c r="U1682" s="153"/>
      <c r="V1682" s="153"/>
      <c r="W1682" s="153"/>
      <c r="X1682" s="153"/>
      <c r="Y1682" s="153"/>
      <c r="Z1682" s="153"/>
    </row>
    <row r="1683" spans="1:26">
      <c r="A1683" s="200"/>
      <c r="B1683" s="200"/>
      <c r="C1683" s="200"/>
      <c r="D1683" s="200"/>
      <c r="E1683" s="200"/>
      <c r="F1683" s="200"/>
      <c r="G1683" s="200"/>
      <c r="H1683" s="192"/>
      <c r="I1683" s="201"/>
      <c r="J1683" s="201"/>
      <c r="K1683" s="201"/>
      <c r="L1683" s="192"/>
      <c r="M1683" s="200"/>
      <c r="N1683" s="200"/>
      <c r="O1683" s="192"/>
      <c r="P1683" s="192"/>
      <c r="Q1683" s="192"/>
      <c r="R1683" s="192"/>
      <c r="S1683" s="200"/>
      <c r="T1683" s="203"/>
      <c r="U1683" s="153"/>
      <c r="V1683" s="153"/>
      <c r="W1683" s="153"/>
      <c r="X1683" s="153"/>
      <c r="Y1683" s="153"/>
      <c r="Z1683" s="153"/>
    </row>
    <row r="1684" spans="1:26">
      <c r="A1684" s="200"/>
      <c r="B1684" s="200"/>
      <c r="C1684" s="200"/>
      <c r="D1684" s="200"/>
      <c r="E1684" s="200"/>
      <c r="F1684" s="200"/>
      <c r="G1684" s="200"/>
      <c r="H1684" s="192"/>
      <c r="I1684" s="201"/>
      <c r="J1684" s="201"/>
      <c r="K1684" s="201"/>
      <c r="L1684" s="192"/>
      <c r="M1684" s="200"/>
      <c r="N1684" s="200"/>
      <c r="O1684" s="192"/>
      <c r="P1684" s="192"/>
      <c r="Q1684" s="192"/>
      <c r="R1684" s="192"/>
      <c r="S1684" s="200"/>
      <c r="T1684" s="203"/>
      <c r="U1684" s="153"/>
      <c r="V1684" s="153"/>
      <c r="W1684" s="153"/>
      <c r="X1684" s="153"/>
      <c r="Y1684" s="153"/>
      <c r="Z1684" s="153"/>
    </row>
    <row r="1685" spans="1:26">
      <c r="A1685" s="200"/>
      <c r="B1685" s="200"/>
      <c r="C1685" s="200"/>
      <c r="D1685" s="200"/>
      <c r="E1685" s="200"/>
      <c r="F1685" s="200"/>
      <c r="G1685" s="200"/>
      <c r="H1685" s="192"/>
      <c r="I1685" s="201"/>
      <c r="J1685" s="201"/>
      <c r="K1685" s="201"/>
      <c r="L1685" s="192"/>
      <c r="M1685" s="200"/>
      <c r="N1685" s="200"/>
      <c r="O1685" s="192"/>
      <c r="P1685" s="192"/>
      <c r="Q1685" s="192"/>
      <c r="R1685" s="192"/>
      <c r="S1685" s="200"/>
      <c r="T1685" s="203"/>
      <c r="U1685" s="153"/>
      <c r="V1685" s="153"/>
      <c r="W1685" s="153"/>
      <c r="X1685" s="153"/>
      <c r="Y1685" s="153"/>
      <c r="Z1685" s="153"/>
    </row>
    <row r="1686" spans="1:26">
      <c r="A1686" s="200"/>
      <c r="B1686" s="200"/>
      <c r="C1686" s="200"/>
      <c r="D1686" s="200"/>
      <c r="E1686" s="200"/>
      <c r="F1686" s="200"/>
      <c r="G1686" s="200"/>
      <c r="H1686" s="192"/>
      <c r="I1686" s="201"/>
      <c r="J1686" s="201"/>
      <c r="K1686" s="201"/>
      <c r="L1686" s="192"/>
      <c r="M1686" s="200"/>
      <c r="N1686" s="200"/>
      <c r="O1686" s="192"/>
      <c r="P1686" s="192"/>
      <c r="Q1686" s="192"/>
      <c r="R1686" s="192"/>
      <c r="S1686" s="200"/>
      <c r="T1686" s="203"/>
      <c r="U1686" s="153"/>
      <c r="V1686" s="153"/>
      <c r="W1686" s="153"/>
      <c r="X1686" s="153"/>
      <c r="Y1686" s="153"/>
      <c r="Z1686" s="153"/>
    </row>
    <row r="1687" spans="1:26">
      <c r="A1687" s="200"/>
      <c r="B1687" s="200"/>
      <c r="C1687" s="200"/>
      <c r="D1687" s="200"/>
      <c r="E1687" s="200"/>
      <c r="F1687" s="200"/>
      <c r="G1687" s="200"/>
      <c r="H1687" s="192"/>
      <c r="I1687" s="201"/>
      <c r="J1687" s="201"/>
      <c r="K1687" s="201"/>
      <c r="L1687" s="192"/>
      <c r="M1687" s="200"/>
      <c r="N1687" s="200"/>
      <c r="O1687" s="192"/>
      <c r="P1687" s="192"/>
      <c r="Q1687" s="192"/>
      <c r="R1687" s="192"/>
      <c r="S1687" s="200"/>
      <c r="T1687" s="203"/>
      <c r="U1687" s="153"/>
      <c r="V1687" s="153"/>
      <c r="W1687" s="153"/>
      <c r="X1687" s="153"/>
      <c r="Y1687" s="153"/>
      <c r="Z1687" s="153"/>
    </row>
    <row r="1688" spans="1:26">
      <c r="A1688" s="200"/>
      <c r="B1688" s="200"/>
      <c r="C1688" s="200"/>
      <c r="D1688" s="200"/>
      <c r="E1688" s="200"/>
      <c r="F1688" s="200"/>
      <c r="G1688" s="200"/>
      <c r="H1688" s="192"/>
      <c r="I1688" s="201"/>
      <c r="J1688" s="201"/>
      <c r="K1688" s="201"/>
      <c r="L1688" s="192"/>
      <c r="M1688" s="200"/>
      <c r="N1688" s="200"/>
      <c r="O1688" s="192"/>
      <c r="P1688" s="192"/>
      <c r="Q1688" s="192"/>
      <c r="R1688" s="192"/>
      <c r="S1688" s="200"/>
      <c r="T1688" s="203"/>
      <c r="U1688" s="153"/>
      <c r="V1688" s="153"/>
      <c r="W1688" s="153"/>
      <c r="X1688" s="153"/>
      <c r="Y1688" s="153"/>
      <c r="Z1688" s="153"/>
    </row>
    <row r="1689" spans="1:26">
      <c r="A1689" s="200"/>
      <c r="B1689" s="200"/>
      <c r="C1689" s="200"/>
      <c r="D1689" s="200"/>
      <c r="E1689" s="200"/>
      <c r="F1689" s="200"/>
      <c r="G1689" s="200"/>
      <c r="H1689" s="192"/>
      <c r="I1689" s="201"/>
      <c r="J1689" s="201"/>
      <c r="K1689" s="201"/>
      <c r="L1689" s="192"/>
      <c r="M1689" s="200"/>
      <c r="N1689" s="200"/>
      <c r="O1689" s="192"/>
      <c r="P1689" s="192"/>
      <c r="Q1689" s="192"/>
      <c r="R1689" s="192"/>
      <c r="S1689" s="200"/>
      <c r="T1689" s="203"/>
      <c r="U1689" s="153"/>
      <c r="V1689" s="153"/>
      <c r="W1689" s="153"/>
      <c r="X1689" s="153"/>
      <c r="Y1689" s="153"/>
      <c r="Z1689" s="153"/>
    </row>
    <row r="1690" spans="1:26">
      <c r="A1690" s="200"/>
      <c r="B1690" s="200"/>
      <c r="C1690" s="200"/>
      <c r="D1690" s="200"/>
      <c r="E1690" s="200"/>
      <c r="F1690" s="200"/>
      <c r="G1690" s="200"/>
      <c r="H1690" s="192"/>
      <c r="I1690" s="201"/>
      <c r="J1690" s="201"/>
      <c r="K1690" s="201"/>
      <c r="L1690" s="192"/>
      <c r="M1690" s="200"/>
      <c r="N1690" s="200"/>
      <c r="O1690" s="192"/>
      <c r="P1690" s="192"/>
      <c r="Q1690" s="192"/>
      <c r="R1690" s="192"/>
      <c r="S1690" s="200"/>
      <c r="T1690" s="203"/>
      <c r="U1690" s="153"/>
      <c r="V1690" s="153"/>
      <c r="W1690" s="153"/>
      <c r="X1690" s="153"/>
      <c r="Y1690" s="153"/>
      <c r="Z1690" s="153"/>
    </row>
    <row r="1691" spans="1:26">
      <c r="A1691" s="200"/>
      <c r="B1691" s="200"/>
      <c r="C1691" s="200"/>
      <c r="D1691" s="200"/>
      <c r="E1691" s="200"/>
      <c r="F1691" s="200"/>
      <c r="G1691" s="200"/>
      <c r="H1691" s="192"/>
      <c r="I1691" s="201"/>
      <c r="J1691" s="201"/>
      <c r="K1691" s="201"/>
      <c r="L1691" s="192"/>
      <c r="M1691" s="200"/>
      <c r="N1691" s="200"/>
      <c r="O1691" s="192"/>
      <c r="P1691" s="192"/>
      <c r="Q1691" s="192"/>
      <c r="R1691" s="192"/>
      <c r="S1691" s="200"/>
      <c r="T1691" s="203"/>
      <c r="U1691" s="153"/>
      <c r="V1691" s="153"/>
      <c r="W1691" s="153"/>
      <c r="X1691" s="153"/>
      <c r="Y1691" s="153"/>
      <c r="Z1691" s="153"/>
    </row>
    <row r="1692" spans="1:26">
      <c r="A1692" s="200"/>
      <c r="B1692" s="200"/>
      <c r="C1692" s="200"/>
      <c r="D1692" s="200"/>
      <c r="E1692" s="200"/>
      <c r="F1692" s="200"/>
      <c r="G1692" s="200"/>
      <c r="H1692" s="192"/>
      <c r="I1692" s="201"/>
      <c r="J1692" s="201"/>
      <c r="K1692" s="201"/>
      <c r="L1692" s="192"/>
      <c r="M1692" s="200"/>
      <c r="N1692" s="200"/>
      <c r="O1692" s="192"/>
      <c r="P1692" s="192"/>
      <c r="Q1692" s="192"/>
      <c r="R1692" s="192"/>
      <c r="S1692" s="200"/>
      <c r="T1692" s="203"/>
      <c r="U1692" s="153"/>
      <c r="V1692" s="153"/>
      <c r="W1692" s="153"/>
      <c r="X1692" s="153"/>
      <c r="Y1692" s="153"/>
      <c r="Z1692" s="153"/>
    </row>
    <row r="1693" spans="1:26">
      <c r="A1693" s="200"/>
      <c r="B1693" s="200"/>
      <c r="C1693" s="200"/>
      <c r="D1693" s="200"/>
      <c r="E1693" s="200"/>
      <c r="F1693" s="200"/>
      <c r="G1693" s="200"/>
      <c r="H1693" s="192"/>
      <c r="I1693" s="201"/>
      <c r="J1693" s="201"/>
      <c r="K1693" s="201"/>
      <c r="L1693" s="192"/>
      <c r="M1693" s="200"/>
      <c r="N1693" s="200"/>
      <c r="O1693" s="192"/>
      <c r="P1693" s="192"/>
      <c r="Q1693" s="192"/>
      <c r="R1693" s="192"/>
      <c r="S1693" s="200"/>
      <c r="T1693" s="203"/>
      <c r="U1693" s="153"/>
      <c r="V1693" s="153"/>
      <c r="W1693" s="153"/>
      <c r="X1693" s="153"/>
      <c r="Y1693" s="153"/>
      <c r="Z1693" s="153"/>
    </row>
    <row r="1694" spans="1:26">
      <c r="A1694" s="200"/>
      <c r="B1694" s="200"/>
      <c r="C1694" s="200"/>
      <c r="D1694" s="200"/>
      <c r="E1694" s="200"/>
      <c r="F1694" s="200"/>
      <c r="G1694" s="200"/>
      <c r="H1694" s="192"/>
      <c r="I1694" s="201"/>
      <c r="J1694" s="201"/>
      <c r="K1694" s="201"/>
      <c r="L1694" s="192"/>
      <c r="M1694" s="200"/>
      <c r="N1694" s="200"/>
      <c r="O1694" s="192"/>
      <c r="P1694" s="192"/>
      <c r="Q1694" s="192"/>
      <c r="R1694" s="192"/>
      <c r="S1694" s="200"/>
      <c r="T1694" s="203"/>
      <c r="U1694" s="153"/>
      <c r="V1694" s="153"/>
      <c r="W1694" s="153"/>
      <c r="X1694" s="153"/>
      <c r="Y1694" s="153"/>
      <c r="Z1694" s="153"/>
    </row>
    <row r="1695" spans="1:26">
      <c r="A1695" s="200"/>
      <c r="B1695" s="200"/>
      <c r="C1695" s="200"/>
      <c r="D1695" s="200"/>
      <c r="E1695" s="200"/>
      <c r="F1695" s="200"/>
      <c r="G1695" s="200"/>
      <c r="H1695" s="192"/>
      <c r="I1695" s="201"/>
      <c r="J1695" s="201"/>
      <c r="K1695" s="201"/>
      <c r="L1695" s="192"/>
      <c r="M1695" s="200"/>
      <c r="N1695" s="200"/>
      <c r="O1695" s="192"/>
      <c r="P1695" s="192"/>
      <c r="Q1695" s="192"/>
      <c r="R1695" s="192"/>
      <c r="S1695" s="200"/>
      <c r="T1695" s="203"/>
      <c r="U1695" s="153"/>
      <c r="V1695" s="153"/>
      <c r="W1695" s="153"/>
      <c r="X1695" s="153"/>
      <c r="Y1695" s="153"/>
      <c r="Z1695" s="153"/>
    </row>
    <row r="1696" spans="1:26">
      <c r="A1696" s="200"/>
      <c r="B1696" s="200"/>
      <c r="C1696" s="200"/>
      <c r="D1696" s="200"/>
      <c r="E1696" s="200"/>
      <c r="F1696" s="200"/>
      <c r="G1696" s="200"/>
      <c r="H1696" s="192"/>
      <c r="I1696" s="201"/>
      <c r="J1696" s="201"/>
      <c r="K1696" s="201"/>
      <c r="L1696" s="192"/>
      <c r="M1696" s="200"/>
      <c r="N1696" s="200"/>
      <c r="O1696" s="192"/>
      <c r="P1696" s="192"/>
      <c r="Q1696" s="192"/>
      <c r="R1696" s="192"/>
      <c r="S1696" s="200"/>
      <c r="T1696" s="203"/>
      <c r="U1696" s="153"/>
      <c r="V1696" s="153"/>
      <c r="W1696" s="153"/>
      <c r="X1696" s="153"/>
      <c r="Y1696" s="153"/>
      <c r="Z1696" s="153"/>
    </row>
    <row r="1697" spans="1:26">
      <c r="A1697" s="200"/>
      <c r="B1697" s="200"/>
      <c r="C1697" s="200"/>
      <c r="D1697" s="200"/>
      <c r="E1697" s="200"/>
      <c r="F1697" s="200"/>
      <c r="G1697" s="200"/>
      <c r="H1697" s="192"/>
      <c r="I1697" s="201"/>
      <c r="J1697" s="201"/>
      <c r="K1697" s="201"/>
      <c r="L1697" s="192"/>
      <c r="M1697" s="200"/>
      <c r="N1697" s="200"/>
      <c r="O1697" s="192"/>
      <c r="P1697" s="192"/>
      <c r="Q1697" s="192"/>
      <c r="R1697" s="192"/>
      <c r="S1697" s="200"/>
      <c r="T1697" s="203"/>
      <c r="U1697" s="153"/>
      <c r="V1697" s="153"/>
      <c r="W1697" s="153"/>
      <c r="X1697" s="153"/>
      <c r="Y1697" s="153"/>
      <c r="Z1697" s="153"/>
    </row>
    <row r="1698" spans="1:26">
      <c r="A1698" s="200"/>
      <c r="B1698" s="200"/>
      <c r="C1698" s="200"/>
      <c r="D1698" s="200"/>
      <c r="E1698" s="200"/>
      <c r="F1698" s="200"/>
      <c r="G1698" s="200"/>
      <c r="H1698" s="192"/>
      <c r="I1698" s="201"/>
      <c r="J1698" s="201"/>
      <c r="K1698" s="201"/>
      <c r="L1698" s="192"/>
      <c r="M1698" s="200"/>
      <c r="N1698" s="200"/>
      <c r="O1698" s="192"/>
      <c r="P1698" s="192"/>
      <c r="Q1698" s="192"/>
      <c r="R1698" s="192"/>
      <c r="S1698" s="200"/>
      <c r="T1698" s="203"/>
      <c r="U1698" s="153"/>
      <c r="V1698" s="153"/>
      <c r="W1698" s="153"/>
      <c r="X1698" s="153"/>
      <c r="Y1698" s="153"/>
      <c r="Z1698" s="153"/>
    </row>
    <row r="1699" spans="1:26">
      <c r="A1699" s="200"/>
      <c r="B1699" s="200"/>
      <c r="C1699" s="200"/>
      <c r="D1699" s="200"/>
      <c r="E1699" s="200"/>
      <c r="F1699" s="200"/>
      <c r="G1699" s="200"/>
      <c r="H1699" s="192"/>
      <c r="I1699" s="201"/>
      <c r="J1699" s="201"/>
      <c r="K1699" s="201"/>
      <c r="L1699" s="192"/>
      <c r="M1699" s="200"/>
      <c r="N1699" s="200"/>
      <c r="O1699" s="192"/>
      <c r="P1699" s="192"/>
      <c r="Q1699" s="192"/>
      <c r="R1699" s="192"/>
      <c r="S1699" s="200"/>
      <c r="T1699" s="203"/>
      <c r="U1699" s="153"/>
      <c r="V1699" s="153"/>
      <c r="W1699" s="153"/>
      <c r="X1699" s="153"/>
      <c r="Y1699" s="153"/>
      <c r="Z1699" s="153"/>
    </row>
    <row r="1700" spans="1:26">
      <c r="A1700" s="200"/>
      <c r="B1700" s="200"/>
      <c r="C1700" s="200"/>
      <c r="D1700" s="200"/>
      <c r="E1700" s="200"/>
      <c r="F1700" s="200"/>
      <c r="G1700" s="200"/>
      <c r="H1700" s="192"/>
      <c r="I1700" s="201"/>
      <c r="J1700" s="201"/>
      <c r="K1700" s="201"/>
      <c r="L1700" s="192"/>
      <c r="M1700" s="200"/>
      <c r="N1700" s="200"/>
      <c r="O1700" s="192"/>
      <c r="P1700" s="192"/>
      <c r="Q1700" s="192"/>
      <c r="R1700" s="192"/>
      <c r="S1700" s="200"/>
      <c r="T1700" s="203"/>
      <c r="U1700" s="153"/>
      <c r="V1700" s="153"/>
      <c r="W1700" s="153"/>
      <c r="X1700" s="153"/>
      <c r="Y1700" s="153"/>
      <c r="Z1700" s="153"/>
    </row>
    <row r="1701" spans="1:26">
      <c r="A1701" s="200"/>
      <c r="B1701" s="200"/>
      <c r="C1701" s="200"/>
      <c r="D1701" s="200"/>
      <c r="E1701" s="200"/>
      <c r="F1701" s="200"/>
      <c r="G1701" s="200"/>
      <c r="H1701" s="192"/>
      <c r="I1701" s="201"/>
      <c r="J1701" s="201"/>
      <c r="K1701" s="201"/>
      <c r="L1701" s="192"/>
      <c r="M1701" s="200"/>
      <c r="N1701" s="200"/>
      <c r="O1701" s="192"/>
      <c r="P1701" s="192"/>
      <c r="Q1701" s="192"/>
      <c r="R1701" s="192"/>
      <c r="S1701" s="200"/>
      <c r="T1701" s="203"/>
      <c r="U1701" s="153"/>
      <c r="V1701" s="153"/>
      <c r="W1701" s="153"/>
      <c r="X1701" s="153"/>
      <c r="Y1701" s="153"/>
      <c r="Z1701" s="153"/>
    </row>
    <row r="1702" spans="1:26">
      <c r="A1702" s="200"/>
      <c r="B1702" s="200"/>
      <c r="C1702" s="200"/>
      <c r="D1702" s="200"/>
      <c r="E1702" s="200"/>
      <c r="F1702" s="200"/>
      <c r="G1702" s="200"/>
      <c r="H1702" s="192"/>
      <c r="I1702" s="201"/>
      <c r="J1702" s="201"/>
      <c r="K1702" s="201"/>
      <c r="L1702" s="192"/>
      <c r="M1702" s="200"/>
      <c r="N1702" s="200"/>
      <c r="O1702" s="192"/>
      <c r="P1702" s="192"/>
      <c r="Q1702" s="192"/>
      <c r="R1702" s="192"/>
      <c r="S1702" s="200"/>
      <c r="T1702" s="203"/>
      <c r="U1702" s="153"/>
      <c r="V1702" s="153"/>
      <c r="W1702" s="153"/>
      <c r="X1702" s="153"/>
      <c r="Y1702" s="153"/>
      <c r="Z1702" s="153"/>
    </row>
    <row r="1703" spans="1:26">
      <c r="A1703" s="200"/>
      <c r="B1703" s="200"/>
      <c r="C1703" s="200"/>
      <c r="D1703" s="200"/>
      <c r="E1703" s="200"/>
      <c r="F1703" s="200"/>
      <c r="G1703" s="200"/>
      <c r="H1703" s="192"/>
      <c r="I1703" s="201"/>
      <c r="J1703" s="201"/>
      <c r="K1703" s="201"/>
      <c r="L1703" s="192"/>
      <c r="M1703" s="200"/>
      <c r="N1703" s="200"/>
      <c r="O1703" s="192"/>
      <c r="P1703" s="192"/>
      <c r="Q1703" s="192"/>
      <c r="R1703" s="192"/>
      <c r="S1703" s="200"/>
      <c r="T1703" s="203"/>
      <c r="U1703" s="153"/>
      <c r="V1703" s="153"/>
      <c r="W1703" s="153"/>
      <c r="X1703" s="153"/>
      <c r="Y1703" s="153"/>
      <c r="Z1703" s="153"/>
    </row>
    <row r="1704" spans="1:26">
      <c r="A1704" s="200"/>
      <c r="B1704" s="200"/>
      <c r="C1704" s="200"/>
      <c r="D1704" s="200"/>
      <c r="E1704" s="200"/>
      <c r="F1704" s="200"/>
      <c r="G1704" s="200"/>
      <c r="H1704" s="192"/>
      <c r="I1704" s="201"/>
      <c r="J1704" s="201"/>
      <c r="K1704" s="201"/>
      <c r="L1704" s="192"/>
      <c r="M1704" s="200"/>
      <c r="N1704" s="200"/>
      <c r="O1704" s="192"/>
      <c r="P1704" s="192"/>
      <c r="Q1704" s="192"/>
      <c r="R1704" s="192"/>
      <c r="S1704" s="200"/>
      <c r="T1704" s="203"/>
      <c r="U1704" s="153"/>
      <c r="V1704" s="153"/>
      <c r="W1704" s="153"/>
      <c r="X1704" s="153"/>
      <c r="Y1704" s="153"/>
      <c r="Z1704" s="153"/>
    </row>
    <row r="1705" spans="1:26">
      <c r="A1705" s="200"/>
      <c r="B1705" s="200"/>
      <c r="C1705" s="200"/>
      <c r="D1705" s="200"/>
      <c r="E1705" s="200"/>
      <c r="F1705" s="200"/>
      <c r="G1705" s="200"/>
      <c r="H1705" s="192"/>
      <c r="I1705" s="201"/>
      <c r="J1705" s="201"/>
      <c r="K1705" s="201"/>
      <c r="L1705" s="192"/>
      <c r="M1705" s="200"/>
      <c r="N1705" s="200"/>
      <c r="O1705" s="192"/>
      <c r="P1705" s="192"/>
      <c r="Q1705" s="192"/>
      <c r="R1705" s="192"/>
      <c r="S1705" s="200"/>
      <c r="T1705" s="203"/>
      <c r="U1705" s="153"/>
      <c r="V1705" s="153"/>
      <c r="W1705" s="153"/>
      <c r="X1705" s="153"/>
      <c r="Y1705" s="153"/>
      <c r="Z1705" s="153"/>
    </row>
    <row r="1706" spans="1:26">
      <c r="A1706" s="200"/>
      <c r="B1706" s="200"/>
      <c r="C1706" s="200"/>
      <c r="D1706" s="200"/>
      <c r="E1706" s="200"/>
      <c r="F1706" s="200"/>
      <c r="G1706" s="200"/>
      <c r="H1706" s="192"/>
      <c r="I1706" s="201"/>
      <c r="J1706" s="201"/>
      <c r="K1706" s="201"/>
      <c r="L1706" s="192"/>
      <c r="M1706" s="200"/>
      <c r="N1706" s="200"/>
      <c r="O1706" s="192"/>
      <c r="P1706" s="192"/>
      <c r="Q1706" s="192"/>
      <c r="R1706" s="192"/>
      <c r="S1706" s="200"/>
      <c r="T1706" s="203"/>
      <c r="U1706" s="153"/>
      <c r="V1706" s="153"/>
      <c r="W1706" s="153"/>
      <c r="X1706" s="153"/>
      <c r="Y1706" s="153"/>
      <c r="Z1706" s="153"/>
    </row>
    <row r="1707" spans="1:26">
      <c r="A1707" s="200"/>
      <c r="B1707" s="200"/>
      <c r="C1707" s="200"/>
      <c r="D1707" s="200"/>
      <c r="E1707" s="200"/>
      <c r="F1707" s="200"/>
      <c r="G1707" s="200"/>
      <c r="H1707" s="192"/>
      <c r="I1707" s="201"/>
      <c r="J1707" s="201"/>
      <c r="K1707" s="201"/>
      <c r="L1707" s="192"/>
      <c r="M1707" s="200"/>
      <c r="N1707" s="200"/>
      <c r="O1707" s="192"/>
      <c r="P1707" s="192"/>
      <c r="Q1707" s="192"/>
      <c r="R1707" s="192"/>
      <c r="S1707" s="200"/>
      <c r="T1707" s="203"/>
      <c r="U1707" s="153"/>
      <c r="V1707" s="153"/>
      <c r="W1707" s="153"/>
      <c r="X1707" s="153"/>
      <c r="Y1707" s="153"/>
      <c r="Z1707" s="153"/>
    </row>
    <row r="1708" spans="1:26">
      <c r="A1708" s="200"/>
      <c r="B1708" s="200"/>
      <c r="C1708" s="200"/>
      <c r="D1708" s="200"/>
      <c r="E1708" s="200"/>
      <c r="F1708" s="200"/>
      <c r="G1708" s="200"/>
      <c r="H1708" s="192"/>
      <c r="I1708" s="201"/>
      <c r="J1708" s="201"/>
      <c r="K1708" s="201"/>
      <c r="L1708" s="192"/>
      <c r="M1708" s="200"/>
      <c r="N1708" s="200"/>
      <c r="O1708" s="192"/>
      <c r="P1708" s="192"/>
      <c r="Q1708" s="192"/>
      <c r="R1708" s="192"/>
      <c r="S1708" s="200"/>
      <c r="T1708" s="203"/>
      <c r="U1708" s="153"/>
      <c r="V1708" s="153"/>
      <c r="W1708" s="153"/>
      <c r="X1708" s="153"/>
      <c r="Y1708" s="153"/>
      <c r="Z1708" s="153"/>
    </row>
    <row r="1709" spans="1:26">
      <c r="A1709" s="200"/>
      <c r="B1709" s="200"/>
      <c r="C1709" s="200"/>
      <c r="D1709" s="200"/>
      <c r="E1709" s="200"/>
      <c r="F1709" s="200"/>
      <c r="G1709" s="200"/>
      <c r="H1709" s="192"/>
      <c r="I1709" s="201"/>
      <c r="J1709" s="201"/>
      <c r="K1709" s="201"/>
      <c r="L1709" s="192"/>
      <c r="M1709" s="200"/>
      <c r="N1709" s="200"/>
      <c r="O1709" s="192"/>
      <c r="P1709" s="192"/>
      <c r="Q1709" s="192"/>
      <c r="R1709" s="192"/>
      <c r="S1709" s="200"/>
      <c r="T1709" s="203"/>
      <c r="U1709" s="153"/>
      <c r="V1709" s="153"/>
      <c r="W1709" s="153"/>
      <c r="X1709" s="153"/>
      <c r="Y1709" s="153"/>
      <c r="Z1709" s="153"/>
    </row>
    <row r="1710" spans="1:26">
      <c r="A1710" s="200"/>
      <c r="B1710" s="200"/>
      <c r="C1710" s="200"/>
      <c r="D1710" s="200"/>
      <c r="E1710" s="200"/>
      <c r="F1710" s="200"/>
      <c r="G1710" s="200"/>
      <c r="H1710" s="192"/>
      <c r="I1710" s="201"/>
      <c r="J1710" s="201"/>
      <c r="K1710" s="201"/>
      <c r="L1710" s="192"/>
      <c r="M1710" s="200"/>
      <c r="N1710" s="200"/>
      <c r="O1710" s="192"/>
      <c r="P1710" s="192"/>
      <c r="Q1710" s="192"/>
      <c r="R1710" s="192"/>
      <c r="S1710" s="200"/>
      <c r="T1710" s="203"/>
      <c r="U1710" s="153"/>
      <c r="V1710" s="153"/>
      <c r="W1710" s="153"/>
      <c r="X1710" s="153"/>
      <c r="Y1710" s="153"/>
      <c r="Z1710" s="153"/>
    </row>
    <row r="1711" spans="1:26">
      <c r="A1711" s="200"/>
      <c r="B1711" s="200"/>
      <c r="C1711" s="200"/>
      <c r="D1711" s="200"/>
      <c r="E1711" s="200"/>
      <c r="F1711" s="200"/>
      <c r="G1711" s="200"/>
      <c r="H1711" s="192"/>
      <c r="I1711" s="201"/>
      <c r="J1711" s="201"/>
      <c r="K1711" s="201"/>
      <c r="L1711" s="192"/>
      <c r="M1711" s="200"/>
      <c r="N1711" s="200"/>
      <c r="O1711" s="192"/>
      <c r="P1711" s="192"/>
      <c r="Q1711" s="192"/>
      <c r="R1711" s="192"/>
      <c r="S1711" s="200"/>
      <c r="T1711" s="203"/>
      <c r="U1711" s="153"/>
      <c r="V1711" s="153"/>
      <c r="W1711" s="153"/>
      <c r="X1711" s="153"/>
      <c r="Y1711" s="153"/>
      <c r="Z1711" s="153"/>
    </row>
    <row r="1712" spans="1:26">
      <c r="A1712" s="200"/>
      <c r="B1712" s="200"/>
      <c r="C1712" s="200"/>
      <c r="D1712" s="200"/>
      <c r="E1712" s="200"/>
      <c r="F1712" s="200"/>
      <c r="G1712" s="200"/>
      <c r="H1712" s="192"/>
      <c r="I1712" s="201"/>
      <c r="J1712" s="201"/>
      <c r="K1712" s="201"/>
      <c r="L1712" s="192"/>
      <c r="M1712" s="200"/>
      <c r="N1712" s="200"/>
      <c r="O1712" s="192"/>
      <c r="P1712" s="192"/>
      <c r="Q1712" s="192"/>
      <c r="R1712" s="192"/>
      <c r="S1712" s="200"/>
      <c r="T1712" s="203"/>
      <c r="U1712" s="153"/>
      <c r="V1712" s="153"/>
      <c r="W1712" s="153"/>
      <c r="X1712" s="153"/>
      <c r="Y1712" s="153"/>
      <c r="Z1712" s="153"/>
    </row>
    <row r="1713" spans="1:26">
      <c r="A1713" s="200"/>
      <c r="B1713" s="200"/>
      <c r="C1713" s="200"/>
      <c r="D1713" s="200"/>
      <c r="E1713" s="200"/>
      <c r="F1713" s="200"/>
      <c r="G1713" s="200"/>
      <c r="H1713" s="192"/>
      <c r="I1713" s="201"/>
      <c r="J1713" s="201"/>
      <c r="K1713" s="201"/>
      <c r="L1713" s="192"/>
      <c r="M1713" s="200"/>
      <c r="N1713" s="200"/>
      <c r="O1713" s="192"/>
      <c r="P1713" s="192"/>
      <c r="Q1713" s="192"/>
      <c r="R1713" s="192"/>
      <c r="S1713" s="200"/>
      <c r="T1713" s="203"/>
      <c r="U1713" s="153"/>
      <c r="V1713" s="153"/>
      <c r="W1713" s="153"/>
      <c r="X1713" s="153"/>
      <c r="Y1713" s="153"/>
      <c r="Z1713" s="153"/>
    </row>
    <row r="1714" spans="1:26">
      <c r="A1714" s="200"/>
      <c r="B1714" s="200"/>
      <c r="C1714" s="200"/>
      <c r="D1714" s="200"/>
      <c r="E1714" s="200"/>
      <c r="F1714" s="200"/>
      <c r="G1714" s="200"/>
      <c r="H1714" s="192"/>
      <c r="I1714" s="201"/>
      <c r="J1714" s="201"/>
      <c r="K1714" s="201"/>
      <c r="L1714" s="192"/>
      <c r="M1714" s="200"/>
      <c r="N1714" s="200"/>
      <c r="O1714" s="192"/>
      <c r="P1714" s="192"/>
      <c r="Q1714" s="192"/>
      <c r="R1714" s="192"/>
      <c r="S1714" s="200"/>
      <c r="T1714" s="203"/>
      <c r="U1714" s="153"/>
      <c r="V1714" s="153"/>
      <c r="W1714" s="153"/>
      <c r="X1714" s="153"/>
      <c r="Y1714" s="153"/>
      <c r="Z1714" s="153"/>
    </row>
    <row r="1715" spans="1:26">
      <c r="A1715" s="200"/>
      <c r="B1715" s="200"/>
      <c r="C1715" s="200"/>
      <c r="D1715" s="200"/>
      <c r="E1715" s="200"/>
      <c r="F1715" s="200"/>
      <c r="G1715" s="200"/>
      <c r="H1715" s="192"/>
      <c r="I1715" s="201"/>
      <c r="J1715" s="201"/>
      <c r="K1715" s="201"/>
      <c r="L1715" s="192"/>
      <c r="M1715" s="200"/>
      <c r="N1715" s="200"/>
      <c r="O1715" s="192"/>
      <c r="P1715" s="192"/>
      <c r="Q1715" s="192"/>
      <c r="R1715" s="192"/>
      <c r="S1715" s="200"/>
      <c r="T1715" s="203"/>
      <c r="U1715" s="153"/>
      <c r="V1715" s="153"/>
      <c r="W1715" s="153"/>
      <c r="X1715" s="153"/>
      <c r="Y1715" s="153"/>
      <c r="Z1715" s="153"/>
    </row>
    <row r="1716" spans="1:26">
      <c r="A1716" s="200"/>
      <c r="B1716" s="200"/>
      <c r="C1716" s="200"/>
      <c r="D1716" s="200"/>
      <c r="E1716" s="200"/>
      <c r="F1716" s="200"/>
      <c r="G1716" s="200"/>
      <c r="H1716" s="192"/>
      <c r="I1716" s="201"/>
      <c r="J1716" s="201"/>
      <c r="K1716" s="201"/>
      <c r="L1716" s="192"/>
      <c r="M1716" s="200"/>
      <c r="N1716" s="200"/>
      <c r="O1716" s="192"/>
      <c r="P1716" s="192"/>
      <c r="Q1716" s="192"/>
      <c r="R1716" s="192"/>
      <c r="S1716" s="200"/>
      <c r="T1716" s="203"/>
      <c r="U1716" s="153"/>
      <c r="V1716" s="153"/>
      <c r="W1716" s="153"/>
      <c r="X1716" s="153"/>
      <c r="Y1716" s="153"/>
      <c r="Z1716" s="153"/>
    </row>
    <row r="1717" spans="1:26">
      <c r="A1717" s="200"/>
      <c r="B1717" s="200"/>
      <c r="C1717" s="200"/>
      <c r="D1717" s="200"/>
      <c r="E1717" s="200"/>
      <c r="F1717" s="200"/>
      <c r="G1717" s="200"/>
      <c r="H1717" s="192"/>
      <c r="I1717" s="201"/>
      <c r="J1717" s="201"/>
      <c r="K1717" s="201"/>
      <c r="L1717" s="192"/>
      <c r="M1717" s="200"/>
      <c r="N1717" s="200"/>
      <c r="O1717" s="192"/>
      <c r="P1717" s="192"/>
      <c r="Q1717" s="192"/>
      <c r="R1717" s="192"/>
      <c r="S1717" s="200"/>
      <c r="T1717" s="203"/>
      <c r="U1717" s="153"/>
      <c r="V1717" s="153"/>
      <c r="W1717" s="153"/>
      <c r="X1717" s="153"/>
      <c r="Y1717" s="153"/>
      <c r="Z1717" s="153"/>
    </row>
    <row r="1718" spans="1:26">
      <c r="A1718" s="200"/>
      <c r="B1718" s="200"/>
      <c r="C1718" s="200"/>
      <c r="D1718" s="200"/>
      <c r="E1718" s="200"/>
      <c r="F1718" s="200"/>
      <c r="G1718" s="200"/>
      <c r="H1718" s="192"/>
      <c r="I1718" s="201"/>
      <c r="J1718" s="201"/>
      <c r="K1718" s="201"/>
      <c r="L1718" s="192"/>
      <c r="M1718" s="200"/>
      <c r="N1718" s="200"/>
      <c r="O1718" s="192"/>
      <c r="P1718" s="192"/>
      <c r="Q1718" s="192"/>
      <c r="R1718" s="192"/>
      <c r="S1718" s="200"/>
      <c r="T1718" s="203"/>
      <c r="U1718" s="153"/>
      <c r="V1718" s="153"/>
      <c r="W1718" s="153"/>
      <c r="X1718" s="153"/>
      <c r="Y1718" s="153"/>
      <c r="Z1718" s="153"/>
    </row>
    <row r="1719" spans="1:26">
      <c r="A1719" s="200"/>
      <c r="B1719" s="200"/>
      <c r="C1719" s="200"/>
      <c r="D1719" s="200"/>
      <c r="E1719" s="200"/>
      <c r="F1719" s="200"/>
      <c r="G1719" s="200"/>
      <c r="H1719" s="192"/>
      <c r="I1719" s="201"/>
      <c r="J1719" s="201"/>
      <c r="K1719" s="201"/>
      <c r="L1719" s="192"/>
      <c r="M1719" s="200"/>
      <c r="N1719" s="200"/>
      <c r="O1719" s="192"/>
      <c r="P1719" s="192"/>
      <c r="Q1719" s="192"/>
      <c r="R1719" s="192"/>
      <c r="S1719" s="200"/>
      <c r="T1719" s="203"/>
      <c r="U1719" s="153"/>
      <c r="V1719" s="153"/>
      <c r="W1719" s="153"/>
      <c r="X1719" s="153"/>
      <c r="Y1719" s="153"/>
      <c r="Z1719" s="153"/>
    </row>
    <row r="1720" spans="1:26">
      <c r="A1720" s="200"/>
      <c r="B1720" s="200"/>
      <c r="C1720" s="200"/>
      <c r="D1720" s="200"/>
      <c r="E1720" s="200"/>
      <c r="F1720" s="200"/>
      <c r="G1720" s="200"/>
      <c r="H1720" s="192"/>
      <c r="I1720" s="201"/>
      <c r="J1720" s="201"/>
      <c r="K1720" s="201"/>
      <c r="L1720" s="192"/>
      <c r="M1720" s="200"/>
      <c r="N1720" s="200"/>
      <c r="O1720" s="192"/>
      <c r="P1720" s="192"/>
      <c r="Q1720" s="192"/>
      <c r="R1720" s="192"/>
      <c r="S1720" s="200"/>
      <c r="T1720" s="203"/>
      <c r="U1720" s="153"/>
      <c r="V1720" s="153"/>
      <c r="W1720" s="153"/>
      <c r="X1720" s="153"/>
      <c r="Y1720" s="153"/>
      <c r="Z1720" s="153"/>
    </row>
    <row r="1721" spans="1:26">
      <c r="A1721" s="200"/>
      <c r="B1721" s="200"/>
      <c r="C1721" s="200"/>
      <c r="D1721" s="200"/>
      <c r="E1721" s="200"/>
      <c r="F1721" s="200"/>
      <c r="G1721" s="200"/>
      <c r="H1721" s="192"/>
      <c r="I1721" s="201"/>
      <c r="J1721" s="201"/>
      <c r="K1721" s="201"/>
      <c r="L1721" s="192"/>
      <c r="M1721" s="200"/>
      <c r="N1721" s="200"/>
      <c r="O1721" s="192"/>
      <c r="P1721" s="192"/>
      <c r="Q1721" s="192"/>
      <c r="R1721" s="192"/>
      <c r="S1721" s="200"/>
      <c r="T1721" s="203"/>
      <c r="U1721" s="153"/>
      <c r="V1721" s="153"/>
      <c r="W1721" s="153"/>
      <c r="X1721" s="153"/>
      <c r="Y1721" s="153"/>
      <c r="Z1721" s="153"/>
    </row>
    <row r="1722" spans="1:26">
      <c r="A1722" s="200"/>
      <c r="B1722" s="200"/>
      <c r="C1722" s="200"/>
      <c r="D1722" s="200"/>
      <c r="E1722" s="200"/>
      <c r="F1722" s="200"/>
      <c r="G1722" s="200"/>
      <c r="H1722" s="192"/>
      <c r="I1722" s="201"/>
      <c r="J1722" s="201"/>
      <c r="K1722" s="201"/>
      <c r="L1722" s="192"/>
      <c r="M1722" s="200"/>
      <c r="N1722" s="200"/>
      <c r="O1722" s="192"/>
      <c r="P1722" s="192"/>
      <c r="Q1722" s="192"/>
      <c r="R1722" s="192"/>
      <c r="S1722" s="200"/>
      <c r="T1722" s="203"/>
      <c r="U1722" s="153"/>
      <c r="V1722" s="153"/>
      <c r="W1722" s="153"/>
      <c r="X1722" s="153"/>
      <c r="Y1722" s="153"/>
      <c r="Z1722" s="153"/>
    </row>
    <row r="1723" spans="1:26">
      <c r="A1723" s="200"/>
      <c r="B1723" s="200"/>
      <c r="C1723" s="200"/>
      <c r="D1723" s="200"/>
      <c r="E1723" s="200"/>
      <c r="F1723" s="200"/>
      <c r="G1723" s="200"/>
      <c r="H1723" s="192"/>
      <c r="I1723" s="201"/>
      <c r="J1723" s="201"/>
      <c r="K1723" s="201"/>
      <c r="L1723" s="192"/>
      <c r="M1723" s="200"/>
      <c r="N1723" s="200"/>
      <c r="O1723" s="192"/>
      <c r="P1723" s="192"/>
      <c r="Q1723" s="192"/>
      <c r="R1723" s="192"/>
      <c r="S1723" s="200"/>
      <c r="T1723" s="203"/>
      <c r="U1723" s="153"/>
      <c r="V1723" s="153"/>
      <c r="W1723" s="153"/>
      <c r="X1723" s="153"/>
      <c r="Y1723" s="153"/>
      <c r="Z1723" s="153"/>
    </row>
    <row r="1724" spans="1:26">
      <c r="A1724" s="200"/>
      <c r="B1724" s="200"/>
      <c r="C1724" s="200"/>
      <c r="D1724" s="200"/>
      <c r="E1724" s="200"/>
      <c r="F1724" s="200"/>
      <c r="G1724" s="200"/>
      <c r="H1724" s="192"/>
      <c r="I1724" s="201"/>
      <c r="J1724" s="201"/>
      <c r="K1724" s="201"/>
      <c r="L1724" s="192"/>
      <c r="M1724" s="200"/>
      <c r="N1724" s="200"/>
      <c r="O1724" s="192"/>
      <c r="P1724" s="192"/>
      <c r="Q1724" s="192"/>
      <c r="R1724" s="192"/>
      <c r="S1724" s="200"/>
      <c r="T1724" s="203"/>
      <c r="U1724" s="153"/>
      <c r="V1724" s="153"/>
      <c r="W1724" s="153"/>
      <c r="X1724" s="153"/>
      <c r="Y1724" s="153"/>
      <c r="Z1724" s="153"/>
    </row>
    <row r="1725" spans="1:26">
      <c r="A1725" s="200"/>
      <c r="B1725" s="200"/>
      <c r="C1725" s="200"/>
      <c r="D1725" s="200"/>
      <c r="E1725" s="200"/>
      <c r="F1725" s="200"/>
      <c r="G1725" s="200"/>
      <c r="H1725" s="192"/>
      <c r="I1725" s="201"/>
      <c r="J1725" s="201"/>
      <c r="K1725" s="201"/>
      <c r="L1725" s="192"/>
      <c r="M1725" s="200"/>
      <c r="N1725" s="200"/>
      <c r="O1725" s="192"/>
      <c r="P1725" s="192"/>
      <c r="Q1725" s="192"/>
      <c r="R1725" s="192"/>
      <c r="S1725" s="200"/>
      <c r="T1725" s="203"/>
      <c r="U1725" s="153"/>
      <c r="V1725" s="153"/>
      <c r="W1725" s="153"/>
      <c r="X1725" s="153"/>
      <c r="Y1725" s="153"/>
      <c r="Z1725" s="153"/>
    </row>
    <row r="1726" spans="1:26">
      <c r="A1726" s="200"/>
      <c r="B1726" s="200"/>
      <c r="C1726" s="200"/>
      <c r="D1726" s="200"/>
      <c r="E1726" s="200"/>
      <c r="F1726" s="200"/>
      <c r="G1726" s="200"/>
      <c r="H1726" s="192"/>
      <c r="I1726" s="201"/>
      <c r="J1726" s="201"/>
      <c r="K1726" s="201"/>
      <c r="L1726" s="192"/>
      <c r="M1726" s="200"/>
      <c r="N1726" s="200"/>
      <c r="O1726" s="192"/>
      <c r="P1726" s="192"/>
      <c r="Q1726" s="192"/>
      <c r="R1726" s="192"/>
      <c r="S1726" s="200"/>
      <c r="T1726" s="203"/>
      <c r="U1726" s="153"/>
      <c r="V1726" s="153"/>
      <c r="W1726" s="153"/>
      <c r="X1726" s="153"/>
      <c r="Y1726" s="153"/>
      <c r="Z1726" s="153"/>
    </row>
    <row r="1727" spans="1:26">
      <c r="A1727" s="200"/>
      <c r="B1727" s="200"/>
      <c r="C1727" s="200"/>
      <c r="D1727" s="200"/>
      <c r="E1727" s="200"/>
      <c r="F1727" s="200"/>
      <c r="G1727" s="200"/>
      <c r="H1727" s="192"/>
      <c r="I1727" s="201"/>
      <c r="J1727" s="201"/>
      <c r="K1727" s="201"/>
      <c r="L1727" s="192"/>
      <c r="M1727" s="200"/>
      <c r="N1727" s="200"/>
      <c r="O1727" s="192"/>
      <c r="P1727" s="192"/>
      <c r="Q1727" s="192"/>
      <c r="R1727" s="192"/>
      <c r="S1727" s="200"/>
      <c r="T1727" s="203"/>
      <c r="U1727" s="153"/>
      <c r="V1727" s="153"/>
      <c r="W1727" s="153"/>
      <c r="X1727" s="153"/>
      <c r="Y1727" s="153"/>
      <c r="Z1727" s="153"/>
    </row>
    <row r="1728" spans="1:26">
      <c r="A1728" s="200"/>
      <c r="B1728" s="200"/>
      <c r="C1728" s="200"/>
      <c r="D1728" s="200"/>
      <c r="E1728" s="200"/>
      <c r="F1728" s="200"/>
      <c r="G1728" s="200"/>
      <c r="H1728" s="192"/>
      <c r="I1728" s="201"/>
      <c r="J1728" s="201"/>
      <c r="K1728" s="201"/>
      <c r="L1728" s="192"/>
      <c r="M1728" s="200"/>
      <c r="N1728" s="200"/>
      <c r="O1728" s="192"/>
      <c r="P1728" s="192"/>
      <c r="Q1728" s="192"/>
      <c r="R1728" s="192"/>
      <c r="S1728" s="200"/>
      <c r="T1728" s="203"/>
      <c r="U1728" s="153"/>
      <c r="V1728" s="153"/>
      <c r="W1728" s="153"/>
      <c r="X1728" s="153"/>
      <c r="Y1728" s="153"/>
      <c r="Z1728" s="153"/>
    </row>
    <row r="1729" spans="1:26">
      <c r="A1729" s="200"/>
      <c r="B1729" s="200"/>
      <c r="C1729" s="200"/>
      <c r="D1729" s="200"/>
      <c r="E1729" s="200"/>
      <c r="F1729" s="200"/>
      <c r="G1729" s="200"/>
      <c r="H1729" s="192"/>
      <c r="I1729" s="201"/>
      <c r="J1729" s="201"/>
      <c r="K1729" s="201"/>
      <c r="L1729" s="192"/>
      <c r="M1729" s="200"/>
      <c r="N1729" s="200"/>
      <c r="O1729" s="192"/>
      <c r="P1729" s="192"/>
      <c r="Q1729" s="192"/>
      <c r="R1729" s="192"/>
      <c r="S1729" s="200"/>
      <c r="T1729" s="203"/>
      <c r="U1729" s="153"/>
      <c r="V1729" s="153"/>
      <c r="W1729" s="153"/>
      <c r="X1729" s="153"/>
      <c r="Y1729" s="153"/>
      <c r="Z1729" s="153"/>
    </row>
    <row r="1730" spans="1:26">
      <c r="A1730" s="200"/>
      <c r="B1730" s="200"/>
      <c r="C1730" s="200"/>
      <c r="D1730" s="200"/>
      <c r="E1730" s="200"/>
      <c r="F1730" s="200"/>
      <c r="G1730" s="200"/>
      <c r="H1730" s="192"/>
      <c r="I1730" s="201"/>
      <c r="J1730" s="201"/>
      <c r="K1730" s="201"/>
      <c r="L1730" s="192"/>
      <c r="M1730" s="200"/>
      <c r="N1730" s="200"/>
      <c r="O1730" s="192"/>
      <c r="P1730" s="192"/>
      <c r="Q1730" s="192"/>
      <c r="R1730" s="192"/>
      <c r="S1730" s="200"/>
      <c r="T1730" s="203"/>
      <c r="U1730" s="153"/>
      <c r="V1730" s="153"/>
      <c r="W1730" s="153"/>
      <c r="X1730" s="153"/>
      <c r="Y1730" s="153"/>
      <c r="Z1730" s="153"/>
    </row>
    <row r="1731" spans="1:26">
      <c r="A1731" s="200"/>
      <c r="B1731" s="200"/>
      <c r="C1731" s="200"/>
      <c r="D1731" s="200"/>
      <c r="E1731" s="200"/>
      <c r="F1731" s="200"/>
      <c r="G1731" s="200"/>
      <c r="H1731" s="192"/>
      <c r="I1731" s="201"/>
      <c r="J1731" s="201"/>
      <c r="K1731" s="201"/>
      <c r="L1731" s="192"/>
      <c r="M1731" s="200"/>
      <c r="N1731" s="200"/>
      <c r="O1731" s="192"/>
      <c r="P1731" s="192"/>
      <c r="Q1731" s="192"/>
      <c r="R1731" s="192"/>
      <c r="S1731" s="200"/>
      <c r="T1731" s="203"/>
      <c r="U1731" s="153"/>
      <c r="V1731" s="153"/>
      <c r="W1731" s="153"/>
      <c r="X1731" s="153"/>
      <c r="Y1731" s="153"/>
      <c r="Z1731" s="153"/>
    </row>
    <row r="1732" spans="1:26">
      <c r="A1732" s="200"/>
      <c r="B1732" s="200"/>
      <c r="C1732" s="200"/>
      <c r="D1732" s="200"/>
      <c r="E1732" s="200"/>
      <c r="F1732" s="200"/>
      <c r="G1732" s="200"/>
      <c r="H1732" s="192"/>
      <c r="I1732" s="201"/>
      <c r="J1732" s="201"/>
      <c r="K1732" s="201"/>
      <c r="L1732" s="192"/>
      <c r="M1732" s="200"/>
      <c r="N1732" s="200"/>
      <c r="O1732" s="192"/>
      <c r="P1732" s="192"/>
      <c r="Q1732" s="192"/>
      <c r="R1732" s="192"/>
      <c r="S1732" s="200"/>
      <c r="T1732" s="203"/>
      <c r="U1732" s="153"/>
      <c r="V1732" s="153"/>
      <c r="W1732" s="153"/>
      <c r="X1732" s="153"/>
      <c r="Y1732" s="153"/>
      <c r="Z1732" s="153"/>
    </row>
    <row r="1733" spans="1:26">
      <c r="A1733" s="200"/>
      <c r="B1733" s="200"/>
      <c r="C1733" s="200"/>
      <c r="D1733" s="200"/>
      <c r="E1733" s="200"/>
      <c r="F1733" s="200"/>
      <c r="G1733" s="200"/>
      <c r="H1733" s="192"/>
      <c r="I1733" s="201"/>
      <c r="J1733" s="201"/>
      <c r="K1733" s="201"/>
      <c r="L1733" s="192"/>
      <c r="M1733" s="200"/>
      <c r="N1733" s="200"/>
      <c r="O1733" s="192"/>
      <c r="P1733" s="192"/>
      <c r="Q1733" s="192"/>
      <c r="R1733" s="192"/>
      <c r="S1733" s="200"/>
      <c r="T1733" s="203"/>
      <c r="U1733" s="153"/>
      <c r="V1733" s="153"/>
      <c r="W1733" s="153"/>
      <c r="X1733" s="153"/>
      <c r="Y1733" s="153"/>
      <c r="Z1733" s="153"/>
    </row>
    <row r="1734" spans="1:26">
      <c r="A1734" s="200"/>
      <c r="B1734" s="200"/>
      <c r="C1734" s="200"/>
      <c r="D1734" s="200"/>
      <c r="E1734" s="200"/>
      <c r="F1734" s="200"/>
      <c r="G1734" s="200"/>
      <c r="H1734" s="192"/>
      <c r="I1734" s="201"/>
      <c r="J1734" s="201"/>
      <c r="K1734" s="201"/>
      <c r="L1734" s="192"/>
      <c r="M1734" s="200"/>
      <c r="N1734" s="200"/>
      <c r="O1734" s="192"/>
      <c r="P1734" s="192"/>
      <c r="Q1734" s="192"/>
      <c r="R1734" s="192"/>
      <c r="S1734" s="200"/>
      <c r="T1734" s="203"/>
      <c r="U1734" s="153"/>
      <c r="V1734" s="153"/>
      <c r="W1734" s="153"/>
      <c r="X1734" s="153"/>
      <c r="Y1734" s="153"/>
      <c r="Z1734" s="153"/>
    </row>
    <row r="1735" spans="1:26">
      <c r="A1735" s="200"/>
      <c r="B1735" s="200"/>
      <c r="C1735" s="200"/>
      <c r="D1735" s="200"/>
      <c r="E1735" s="200"/>
      <c r="F1735" s="200"/>
      <c r="G1735" s="200"/>
      <c r="H1735" s="192"/>
      <c r="I1735" s="201"/>
      <c r="J1735" s="201"/>
      <c r="K1735" s="201"/>
      <c r="L1735" s="192"/>
      <c r="M1735" s="200"/>
      <c r="N1735" s="200"/>
      <c r="O1735" s="192"/>
      <c r="P1735" s="192"/>
      <c r="Q1735" s="192"/>
      <c r="R1735" s="192"/>
      <c r="S1735" s="200"/>
      <c r="T1735" s="203"/>
      <c r="U1735" s="153"/>
      <c r="V1735" s="153"/>
      <c r="W1735" s="153"/>
      <c r="X1735" s="153"/>
      <c r="Y1735" s="153"/>
      <c r="Z1735" s="153"/>
    </row>
    <row r="1736" spans="1:26">
      <c r="A1736" s="200"/>
      <c r="B1736" s="200"/>
      <c r="C1736" s="200"/>
      <c r="D1736" s="200"/>
      <c r="E1736" s="200"/>
      <c r="F1736" s="200"/>
      <c r="G1736" s="200"/>
      <c r="H1736" s="192"/>
      <c r="I1736" s="201"/>
      <c r="J1736" s="201"/>
      <c r="K1736" s="201"/>
      <c r="L1736" s="192"/>
      <c r="M1736" s="200"/>
      <c r="N1736" s="200"/>
      <c r="O1736" s="192"/>
      <c r="P1736" s="192"/>
      <c r="Q1736" s="192"/>
      <c r="R1736" s="192"/>
      <c r="S1736" s="200"/>
      <c r="T1736" s="203"/>
      <c r="U1736" s="153"/>
      <c r="V1736" s="153"/>
      <c r="W1736" s="153"/>
      <c r="X1736" s="153"/>
      <c r="Y1736" s="153"/>
      <c r="Z1736" s="153"/>
    </row>
    <row r="1737" spans="1:26">
      <c r="A1737" s="200"/>
      <c r="B1737" s="200"/>
      <c r="C1737" s="200"/>
      <c r="D1737" s="200"/>
      <c r="E1737" s="200"/>
      <c r="F1737" s="200"/>
      <c r="G1737" s="200"/>
      <c r="H1737" s="192"/>
      <c r="I1737" s="201"/>
      <c r="J1737" s="201"/>
      <c r="K1737" s="201"/>
      <c r="L1737" s="192"/>
      <c r="M1737" s="200"/>
      <c r="N1737" s="200"/>
      <c r="O1737" s="192"/>
      <c r="P1737" s="192"/>
      <c r="Q1737" s="192"/>
      <c r="R1737" s="192"/>
      <c r="S1737" s="200"/>
      <c r="T1737" s="203"/>
      <c r="U1737" s="153"/>
      <c r="V1737" s="153"/>
      <c r="W1737" s="153"/>
      <c r="X1737" s="153"/>
      <c r="Y1737" s="153"/>
      <c r="Z1737" s="153"/>
    </row>
    <row r="1738" spans="1:26">
      <c r="A1738" s="200"/>
      <c r="B1738" s="200"/>
      <c r="C1738" s="200"/>
      <c r="D1738" s="200"/>
      <c r="E1738" s="200"/>
      <c r="F1738" s="200"/>
      <c r="G1738" s="200"/>
      <c r="H1738" s="192"/>
      <c r="I1738" s="201"/>
      <c r="J1738" s="201"/>
      <c r="K1738" s="201"/>
      <c r="L1738" s="192"/>
      <c r="M1738" s="200"/>
      <c r="N1738" s="200"/>
      <c r="O1738" s="192"/>
      <c r="P1738" s="192"/>
      <c r="Q1738" s="192"/>
      <c r="R1738" s="192"/>
      <c r="S1738" s="200"/>
      <c r="T1738" s="203"/>
      <c r="U1738" s="153"/>
      <c r="V1738" s="153"/>
      <c r="W1738" s="153"/>
      <c r="X1738" s="153"/>
      <c r="Y1738" s="153"/>
      <c r="Z1738" s="153"/>
    </row>
    <row r="1739" spans="1:26">
      <c r="A1739" s="200"/>
      <c r="B1739" s="200"/>
      <c r="C1739" s="200"/>
      <c r="D1739" s="200"/>
      <c r="E1739" s="200"/>
      <c r="F1739" s="200"/>
      <c r="G1739" s="200"/>
      <c r="H1739" s="192"/>
      <c r="I1739" s="201"/>
      <c r="J1739" s="201"/>
      <c r="K1739" s="201"/>
      <c r="L1739" s="192"/>
      <c r="M1739" s="200"/>
      <c r="N1739" s="200"/>
      <c r="O1739" s="192"/>
      <c r="P1739" s="192"/>
      <c r="Q1739" s="192"/>
      <c r="R1739" s="192"/>
      <c r="S1739" s="200"/>
      <c r="T1739" s="203"/>
      <c r="U1739" s="153"/>
      <c r="V1739" s="153"/>
      <c r="W1739" s="153"/>
      <c r="X1739" s="153"/>
      <c r="Y1739" s="153"/>
      <c r="Z1739" s="153"/>
    </row>
    <row r="1740" spans="1:26">
      <c r="A1740" s="200"/>
      <c r="B1740" s="200"/>
      <c r="C1740" s="200"/>
      <c r="D1740" s="200"/>
      <c r="E1740" s="200"/>
      <c r="F1740" s="200"/>
      <c r="G1740" s="200"/>
      <c r="H1740" s="192"/>
      <c r="I1740" s="201"/>
      <c r="J1740" s="201"/>
      <c r="K1740" s="201"/>
      <c r="L1740" s="192"/>
      <c r="M1740" s="200"/>
      <c r="N1740" s="200"/>
      <c r="O1740" s="192"/>
      <c r="P1740" s="192"/>
      <c r="Q1740" s="192"/>
      <c r="R1740" s="192"/>
      <c r="S1740" s="200"/>
      <c r="T1740" s="203"/>
      <c r="U1740" s="153"/>
      <c r="V1740" s="153"/>
      <c r="W1740" s="153"/>
      <c r="X1740" s="153"/>
      <c r="Y1740" s="153"/>
      <c r="Z1740" s="153"/>
    </row>
    <row r="1741" spans="1:26">
      <c r="A1741" s="200"/>
      <c r="B1741" s="200"/>
      <c r="C1741" s="200"/>
      <c r="D1741" s="200"/>
      <c r="E1741" s="200"/>
      <c r="F1741" s="200"/>
      <c r="G1741" s="200"/>
      <c r="H1741" s="192"/>
      <c r="I1741" s="201"/>
      <c r="J1741" s="201"/>
      <c r="K1741" s="201"/>
      <c r="L1741" s="192"/>
      <c r="M1741" s="200"/>
      <c r="N1741" s="200"/>
      <c r="O1741" s="192"/>
      <c r="P1741" s="192"/>
      <c r="Q1741" s="192"/>
      <c r="R1741" s="192"/>
      <c r="S1741" s="200"/>
      <c r="T1741" s="203"/>
      <c r="U1741" s="153"/>
      <c r="V1741" s="153"/>
      <c r="W1741" s="153"/>
      <c r="X1741" s="153"/>
      <c r="Y1741" s="153"/>
      <c r="Z1741" s="153"/>
    </row>
    <row r="1742" spans="1:26">
      <c r="A1742" s="200"/>
      <c r="B1742" s="200"/>
      <c r="C1742" s="200"/>
      <c r="D1742" s="200"/>
      <c r="E1742" s="200"/>
      <c r="F1742" s="200"/>
      <c r="G1742" s="200"/>
      <c r="H1742" s="192"/>
      <c r="I1742" s="201"/>
      <c r="J1742" s="201"/>
      <c r="K1742" s="201"/>
      <c r="L1742" s="192"/>
      <c r="M1742" s="200"/>
      <c r="N1742" s="200"/>
      <c r="O1742" s="192"/>
      <c r="P1742" s="192"/>
      <c r="Q1742" s="192"/>
      <c r="R1742" s="192"/>
      <c r="S1742" s="200"/>
      <c r="T1742" s="203"/>
      <c r="U1742" s="153"/>
      <c r="V1742" s="153"/>
      <c r="W1742" s="153"/>
      <c r="X1742" s="153"/>
      <c r="Y1742" s="153"/>
      <c r="Z1742" s="153"/>
    </row>
    <row r="1743" spans="1:26">
      <c r="A1743" s="200"/>
      <c r="B1743" s="200"/>
      <c r="C1743" s="200"/>
      <c r="D1743" s="200"/>
      <c r="E1743" s="200"/>
      <c r="F1743" s="200"/>
      <c r="G1743" s="200"/>
      <c r="H1743" s="192"/>
      <c r="I1743" s="201"/>
      <c r="J1743" s="201"/>
      <c r="K1743" s="201"/>
      <c r="L1743" s="192"/>
      <c r="M1743" s="200"/>
      <c r="N1743" s="200"/>
      <c r="O1743" s="192"/>
      <c r="P1743" s="192"/>
      <c r="Q1743" s="192"/>
      <c r="R1743" s="192"/>
      <c r="S1743" s="200"/>
      <c r="T1743" s="203"/>
      <c r="U1743" s="153"/>
      <c r="V1743" s="153"/>
      <c r="W1743" s="153"/>
      <c r="X1743" s="153"/>
      <c r="Y1743" s="153"/>
      <c r="Z1743" s="153"/>
    </row>
    <row r="1744" spans="1:26">
      <c r="A1744" s="200"/>
      <c r="B1744" s="200"/>
      <c r="C1744" s="200"/>
      <c r="D1744" s="200"/>
      <c r="E1744" s="200"/>
      <c r="F1744" s="200"/>
      <c r="G1744" s="200"/>
      <c r="H1744" s="192"/>
      <c r="I1744" s="201"/>
      <c r="J1744" s="201"/>
      <c r="K1744" s="201"/>
      <c r="L1744" s="192"/>
      <c r="M1744" s="200"/>
      <c r="N1744" s="200"/>
      <c r="O1744" s="192"/>
      <c r="P1744" s="192"/>
      <c r="Q1744" s="192"/>
      <c r="R1744" s="192"/>
      <c r="S1744" s="200"/>
      <c r="T1744" s="203"/>
      <c r="U1744" s="153"/>
      <c r="V1744" s="153"/>
      <c r="W1744" s="153"/>
      <c r="X1744" s="153"/>
      <c r="Y1744" s="153"/>
      <c r="Z1744" s="153"/>
    </row>
    <row r="1745" spans="1:26">
      <c r="A1745" s="200"/>
      <c r="B1745" s="200"/>
      <c r="C1745" s="200"/>
      <c r="D1745" s="200"/>
      <c r="E1745" s="200"/>
      <c r="F1745" s="200"/>
      <c r="G1745" s="200"/>
      <c r="H1745" s="192"/>
      <c r="I1745" s="201"/>
      <c r="J1745" s="201"/>
      <c r="K1745" s="201"/>
      <c r="L1745" s="192"/>
      <c r="M1745" s="200"/>
      <c r="N1745" s="200"/>
      <c r="O1745" s="192"/>
      <c r="P1745" s="192"/>
      <c r="Q1745" s="192"/>
      <c r="R1745" s="192"/>
      <c r="S1745" s="200"/>
      <c r="T1745" s="203"/>
      <c r="U1745" s="153"/>
      <c r="V1745" s="153"/>
      <c r="W1745" s="153"/>
      <c r="X1745" s="153"/>
      <c r="Y1745" s="153"/>
      <c r="Z1745" s="153"/>
    </row>
    <row r="1746" spans="1:26">
      <c r="A1746" s="200"/>
      <c r="B1746" s="200"/>
      <c r="C1746" s="200"/>
      <c r="D1746" s="200"/>
      <c r="E1746" s="200"/>
      <c r="F1746" s="200"/>
      <c r="G1746" s="200"/>
      <c r="H1746" s="192"/>
      <c r="I1746" s="201"/>
      <c r="J1746" s="201"/>
      <c r="K1746" s="201"/>
      <c r="L1746" s="192"/>
      <c r="M1746" s="200"/>
      <c r="N1746" s="200"/>
      <c r="O1746" s="192"/>
      <c r="P1746" s="192"/>
      <c r="Q1746" s="192"/>
      <c r="R1746" s="192"/>
      <c r="S1746" s="200"/>
      <c r="T1746" s="203"/>
      <c r="U1746" s="153"/>
      <c r="V1746" s="153"/>
      <c r="W1746" s="153"/>
      <c r="X1746" s="153"/>
      <c r="Y1746" s="153"/>
      <c r="Z1746" s="153"/>
    </row>
    <row r="1747" spans="1:26">
      <c r="A1747" s="200"/>
      <c r="B1747" s="200"/>
      <c r="C1747" s="200"/>
      <c r="D1747" s="200"/>
      <c r="E1747" s="200"/>
      <c r="F1747" s="200"/>
      <c r="G1747" s="200"/>
      <c r="H1747" s="192"/>
      <c r="I1747" s="201"/>
      <c r="J1747" s="201"/>
      <c r="K1747" s="201"/>
      <c r="L1747" s="192"/>
      <c r="M1747" s="200"/>
      <c r="N1747" s="200"/>
      <c r="O1747" s="192"/>
      <c r="P1747" s="192"/>
      <c r="Q1747" s="192"/>
      <c r="R1747" s="192"/>
      <c r="S1747" s="200"/>
      <c r="T1747" s="203"/>
      <c r="U1747" s="153"/>
      <c r="V1747" s="153"/>
      <c r="W1747" s="153"/>
      <c r="X1747" s="153"/>
      <c r="Y1747" s="153"/>
      <c r="Z1747" s="153"/>
    </row>
    <row r="1748" spans="1:26">
      <c r="A1748" s="200"/>
      <c r="B1748" s="200"/>
      <c r="C1748" s="200"/>
      <c r="D1748" s="200"/>
      <c r="E1748" s="200"/>
      <c r="F1748" s="200"/>
      <c r="G1748" s="200"/>
      <c r="H1748" s="192"/>
      <c r="I1748" s="201"/>
      <c r="J1748" s="201"/>
      <c r="K1748" s="201"/>
      <c r="L1748" s="192"/>
      <c r="M1748" s="200"/>
      <c r="N1748" s="200"/>
      <c r="O1748" s="192"/>
      <c r="P1748" s="192"/>
      <c r="Q1748" s="192"/>
      <c r="R1748" s="192"/>
      <c r="S1748" s="200"/>
      <c r="T1748" s="203"/>
      <c r="U1748" s="153"/>
      <c r="V1748" s="153"/>
      <c r="W1748" s="153"/>
      <c r="X1748" s="153"/>
      <c r="Y1748" s="153"/>
      <c r="Z1748" s="153"/>
    </row>
    <row r="1749" spans="1:26">
      <c r="A1749" s="200"/>
      <c r="B1749" s="200"/>
      <c r="C1749" s="200"/>
      <c r="D1749" s="200"/>
      <c r="E1749" s="200"/>
      <c r="F1749" s="200"/>
      <c r="G1749" s="200"/>
      <c r="H1749" s="192"/>
      <c r="I1749" s="201"/>
      <c r="J1749" s="201"/>
      <c r="K1749" s="201"/>
      <c r="L1749" s="192"/>
      <c r="M1749" s="200"/>
      <c r="N1749" s="200"/>
      <c r="O1749" s="192"/>
      <c r="P1749" s="192"/>
      <c r="Q1749" s="192"/>
      <c r="R1749" s="192"/>
      <c r="S1749" s="200"/>
      <c r="T1749" s="203"/>
      <c r="U1749" s="153"/>
      <c r="V1749" s="153"/>
      <c r="W1749" s="153"/>
      <c r="X1749" s="153"/>
      <c r="Y1749" s="153"/>
      <c r="Z1749" s="153"/>
    </row>
    <row r="1750" spans="1:26">
      <c r="A1750" s="200"/>
      <c r="B1750" s="200"/>
      <c r="C1750" s="200"/>
      <c r="D1750" s="200"/>
      <c r="E1750" s="200"/>
      <c r="F1750" s="200"/>
      <c r="G1750" s="200"/>
      <c r="H1750" s="192"/>
      <c r="I1750" s="201"/>
      <c r="J1750" s="201"/>
      <c r="K1750" s="201"/>
      <c r="L1750" s="192"/>
      <c r="M1750" s="200"/>
      <c r="N1750" s="200"/>
      <c r="O1750" s="192"/>
      <c r="P1750" s="192"/>
      <c r="Q1750" s="192"/>
      <c r="R1750" s="192"/>
      <c r="S1750" s="200"/>
      <c r="T1750" s="203"/>
      <c r="U1750" s="153"/>
      <c r="V1750" s="153"/>
      <c r="W1750" s="153"/>
      <c r="X1750" s="153"/>
      <c r="Y1750" s="153"/>
      <c r="Z1750" s="153"/>
    </row>
    <row r="1751" spans="1:26">
      <c r="A1751" s="200"/>
      <c r="B1751" s="200"/>
      <c r="C1751" s="200"/>
      <c r="D1751" s="200"/>
      <c r="E1751" s="200"/>
      <c r="F1751" s="200"/>
      <c r="G1751" s="200"/>
      <c r="H1751" s="192"/>
      <c r="I1751" s="201"/>
      <c r="J1751" s="201"/>
      <c r="K1751" s="201"/>
      <c r="L1751" s="192"/>
      <c r="M1751" s="200"/>
      <c r="N1751" s="200"/>
      <c r="O1751" s="192"/>
      <c r="P1751" s="192"/>
      <c r="Q1751" s="192"/>
      <c r="R1751" s="192"/>
      <c r="S1751" s="200"/>
      <c r="T1751" s="203"/>
      <c r="U1751" s="153"/>
      <c r="V1751" s="153"/>
      <c r="W1751" s="153"/>
      <c r="X1751" s="153"/>
      <c r="Y1751" s="153"/>
      <c r="Z1751" s="153"/>
    </row>
    <row r="1752" spans="1:26">
      <c r="A1752" s="200"/>
      <c r="B1752" s="200"/>
      <c r="C1752" s="200"/>
      <c r="D1752" s="200"/>
      <c r="E1752" s="200"/>
      <c r="F1752" s="200"/>
      <c r="G1752" s="200"/>
      <c r="H1752" s="192"/>
      <c r="I1752" s="201"/>
      <c r="J1752" s="201"/>
      <c r="K1752" s="201"/>
      <c r="L1752" s="192"/>
      <c r="M1752" s="200"/>
      <c r="N1752" s="200"/>
      <c r="O1752" s="192"/>
      <c r="P1752" s="192"/>
      <c r="Q1752" s="192"/>
      <c r="R1752" s="192"/>
      <c r="S1752" s="200"/>
      <c r="T1752" s="203"/>
      <c r="U1752" s="153"/>
      <c r="V1752" s="153"/>
      <c r="W1752" s="153"/>
      <c r="X1752" s="153"/>
      <c r="Y1752" s="153"/>
      <c r="Z1752" s="153"/>
    </row>
    <row r="1753" spans="1:26">
      <c r="A1753" s="200"/>
      <c r="B1753" s="200"/>
      <c r="C1753" s="200"/>
      <c r="D1753" s="200"/>
      <c r="E1753" s="200"/>
      <c r="F1753" s="200"/>
      <c r="G1753" s="200"/>
      <c r="H1753" s="192"/>
      <c r="I1753" s="201"/>
      <c r="J1753" s="201"/>
      <c r="K1753" s="201"/>
      <c r="L1753" s="192"/>
      <c r="M1753" s="200"/>
      <c r="N1753" s="200"/>
      <c r="O1753" s="192"/>
      <c r="P1753" s="192"/>
      <c r="Q1753" s="192"/>
      <c r="R1753" s="192"/>
      <c r="S1753" s="200"/>
      <c r="T1753" s="203"/>
      <c r="U1753" s="153"/>
      <c r="V1753" s="153"/>
      <c r="W1753" s="153"/>
      <c r="X1753" s="153"/>
      <c r="Y1753" s="153"/>
      <c r="Z1753" s="153"/>
    </row>
    <row r="1754" spans="1:26">
      <c r="A1754" s="200"/>
      <c r="B1754" s="200"/>
      <c r="C1754" s="200"/>
      <c r="D1754" s="200"/>
      <c r="E1754" s="200"/>
      <c r="F1754" s="200"/>
      <c r="G1754" s="200"/>
      <c r="H1754" s="192"/>
      <c r="I1754" s="201"/>
      <c r="J1754" s="201"/>
      <c r="K1754" s="201"/>
      <c r="L1754" s="192"/>
      <c r="M1754" s="200"/>
      <c r="N1754" s="200"/>
      <c r="O1754" s="192"/>
      <c r="P1754" s="192"/>
      <c r="Q1754" s="192"/>
      <c r="R1754" s="192"/>
      <c r="S1754" s="200"/>
      <c r="T1754" s="203"/>
      <c r="U1754" s="153"/>
      <c r="V1754" s="153"/>
      <c r="W1754" s="153"/>
      <c r="X1754" s="153"/>
      <c r="Y1754" s="153"/>
      <c r="Z1754" s="153"/>
    </row>
    <row r="1755" spans="1:26">
      <c r="A1755" s="200"/>
      <c r="B1755" s="200"/>
      <c r="C1755" s="200"/>
      <c r="D1755" s="200"/>
      <c r="E1755" s="200"/>
      <c r="F1755" s="200"/>
      <c r="G1755" s="200"/>
      <c r="H1755" s="192"/>
      <c r="I1755" s="201"/>
      <c r="J1755" s="201"/>
      <c r="K1755" s="201"/>
      <c r="L1755" s="192"/>
      <c r="M1755" s="200"/>
      <c r="N1755" s="200"/>
      <c r="O1755" s="192"/>
      <c r="P1755" s="192"/>
      <c r="Q1755" s="192"/>
      <c r="R1755" s="192"/>
      <c r="S1755" s="200"/>
      <c r="T1755" s="203"/>
      <c r="U1755" s="153"/>
      <c r="V1755" s="153"/>
      <c r="W1755" s="153"/>
      <c r="X1755" s="153"/>
      <c r="Y1755" s="153"/>
      <c r="Z1755" s="153"/>
    </row>
    <row r="1756" spans="1:26">
      <c r="A1756" s="200"/>
      <c r="B1756" s="200"/>
      <c r="C1756" s="200"/>
      <c r="D1756" s="200"/>
      <c r="E1756" s="200"/>
      <c r="F1756" s="200"/>
      <c r="G1756" s="200"/>
      <c r="H1756" s="192"/>
      <c r="I1756" s="201"/>
      <c r="J1756" s="201"/>
      <c r="K1756" s="201"/>
      <c r="L1756" s="192"/>
      <c r="M1756" s="200"/>
      <c r="N1756" s="200"/>
      <c r="O1756" s="192"/>
      <c r="P1756" s="192"/>
      <c r="Q1756" s="192"/>
      <c r="R1756" s="192"/>
      <c r="S1756" s="200"/>
      <c r="T1756" s="203"/>
      <c r="U1756" s="153"/>
      <c r="V1756" s="153"/>
      <c r="W1756" s="153"/>
      <c r="X1756" s="153"/>
      <c r="Y1756" s="153"/>
      <c r="Z1756" s="153"/>
    </row>
    <row r="1757" spans="1:26">
      <c r="A1757" s="200"/>
      <c r="B1757" s="200"/>
      <c r="C1757" s="200"/>
      <c r="D1757" s="200"/>
      <c r="E1757" s="200"/>
      <c r="F1757" s="200"/>
      <c r="G1757" s="200"/>
      <c r="H1757" s="192"/>
      <c r="I1757" s="201"/>
      <c r="J1757" s="201"/>
      <c r="K1757" s="201"/>
      <c r="L1757" s="192"/>
      <c r="M1757" s="200"/>
      <c r="N1757" s="200"/>
      <c r="O1757" s="192"/>
      <c r="P1757" s="192"/>
      <c r="Q1757" s="192"/>
      <c r="R1757" s="192"/>
      <c r="S1757" s="200"/>
      <c r="T1757" s="203"/>
      <c r="U1757" s="153"/>
      <c r="V1757" s="153"/>
      <c r="W1757" s="153"/>
      <c r="X1757" s="153"/>
      <c r="Y1757" s="153"/>
      <c r="Z1757" s="153"/>
    </row>
    <row r="1758" spans="1:26">
      <c r="A1758" s="200"/>
      <c r="B1758" s="200"/>
      <c r="C1758" s="200"/>
      <c r="D1758" s="200"/>
      <c r="E1758" s="200"/>
      <c r="F1758" s="200"/>
      <c r="G1758" s="200"/>
      <c r="H1758" s="192"/>
      <c r="I1758" s="201"/>
      <c r="J1758" s="201"/>
      <c r="K1758" s="201"/>
      <c r="L1758" s="192"/>
      <c r="M1758" s="200"/>
      <c r="N1758" s="200"/>
      <c r="O1758" s="192"/>
      <c r="P1758" s="192"/>
      <c r="Q1758" s="192"/>
      <c r="R1758" s="192"/>
      <c r="S1758" s="200"/>
      <c r="T1758" s="203"/>
      <c r="U1758" s="153"/>
      <c r="V1758" s="153"/>
      <c r="W1758" s="153"/>
      <c r="X1758" s="153"/>
      <c r="Y1758" s="153"/>
      <c r="Z1758" s="153"/>
    </row>
    <row r="1759" spans="1:26">
      <c r="A1759" s="200"/>
      <c r="B1759" s="200"/>
      <c r="C1759" s="200"/>
      <c r="D1759" s="200"/>
      <c r="E1759" s="200"/>
      <c r="F1759" s="200"/>
      <c r="G1759" s="200"/>
      <c r="H1759" s="192"/>
      <c r="I1759" s="201"/>
      <c r="J1759" s="201"/>
      <c r="K1759" s="201"/>
      <c r="L1759" s="192"/>
      <c r="M1759" s="200"/>
      <c r="N1759" s="200"/>
      <c r="O1759" s="192"/>
      <c r="P1759" s="192"/>
      <c r="Q1759" s="192"/>
      <c r="R1759" s="192"/>
      <c r="S1759" s="200"/>
      <c r="T1759" s="203"/>
      <c r="U1759" s="153"/>
      <c r="V1759" s="153"/>
      <c r="W1759" s="153"/>
      <c r="X1759" s="153"/>
      <c r="Y1759" s="153"/>
      <c r="Z1759" s="153"/>
    </row>
    <row r="1760" spans="1:26">
      <c r="A1760" s="200"/>
      <c r="B1760" s="200"/>
      <c r="C1760" s="200"/>
      <c r="D1760" s="200"/>
      <c r="E1760" s="200"/>
      <c r="F1760" s="200"/>
      <c r="G1760" s="200"/>
      <c r="H1760" s="192"/>
      <c r="I1760" s="201"/>
      <c r="J1760" s="201"/>
      <c r="K1760" s="201"/>
      <c r="L1760" s="192"/>
      <c r="M1760" s="200"/>
      <c r="N1760" s="200"/>
      <c r="O1760" s="192"/>
      <c r="P1760" s="192"/>
      <c r="Q1760" s="192"/>
      <c r="R1760" s="192"/>
      <c r="S1760" s="200"/>
      <c r="T1760" s="203"/>
      <c r="U1760" s="153"/>
      <c r="V1760" s="153"/>
      <c r="W1760" s="153"/>
      <c r="X1760" s="153"/>
      <c r="Y1760" s="153"/>
      <c r="Z1760" s="153"/>
    </row>
    <row r="1761" spans="1:26">
      <c r="A1761" s="200"/>
      <c r="B1761" s="200"/>
      <c r="C1761" s="200"/>
      <c r="D1761" s="200"/>
      <c r="E1761" s="200"/>
      <c r="F1761" s="200"/>
      <c r="G1761" s="200"/>
      <c r="H1761" s="192"/>
      <c r="I1761" s="201"/>
      <c r="J1761" s="201"/>
      <c r="K1761" s="201"/>
      <c r="L1761" s="192"/>
      <c r="M1761" s="200"/>
      <c r="N1761" s="200"/>
      <c r="O1761" s="192"/>
      <c r="P1761" s="192"/>
      <c r="Q1761" s="192"/>
      <c r="R1761" s="192"/>
      <c r="S1761" s="200"/>
      <c r="T1761" s="203"/>
      <c r="U1761" s="153"/>
      <c r="V1761" s="153"/>
      <c r="W1761" s="153"/>
      <c r="X1761" s="153"/>
      <c r="Y1761" s="153"/>
      <c r="Z1761" s="153"/>
    </row>
    <row r="1762" spans="1:26">
      <c r="A1762" s="200"/>
      <c r="B1762" s="200"/>
      <c r="C1762" s="200"/>
      <c r="D1762" s="200"/>
      <c r="E1762" s="200"/>
      <c r="F1762" s="200"/>
      <c r="G1762" s="200"/>
      <c r="H1762" s="192"/>
      <c r="I1762" s="201"/>
      <c r="J1762" s="201"/>
      <c r="K1762" s="201"/>
      <c r="L1762" s="192"/>
      <c r="M1762" s="200"/>
      <c r="N1762" s="200"/>
      <c r="O1762" s="192"/>
      <c r="P1762" s="192"/>
      <c r="Q1762" s="192"/>
      <c r="R1762" s="192"/>
      <c r="S1762" s="200"/>
      <c r="T1762" s="203"/>
      <c r="U1762" s="153"/>
      <c r="V1762" s="153"/>
      <c r="W1762" s="153"/>
      <c r="X1762" s="153"/>
      <c r="Y1762" s="153"/>
      <c r="Z1762" s="153"/>
    </row>
    <row r="1763" spans="1:26">
      <c r="A1763" s="200"/>
      <c r="B1763" s="200"/>
      <c r="C1763" s="200"/>
      <c r="D1763" s="200"/>
      <c r="E1763" s="200"/>
      <c r="F1763" s="200"/>
      <c r="G1763" s="200"/>
      <c r="H1763" s="192"/>
      <c r="I1763" s="201"/>
      <c r="J1763" s="201"/>
      <c r="K1763" s="201"/>
      <c r="L1763" s="192"/>
      <c r="M1763" s="200"/>
      <c r="N1763" s="200"/>
      <c r="O1763" s="192"/>
      <c r="P1763" s="192"/>
      <c r="Q1763" s="192"/>
      <c r="R1763" s="192"/>
      <c r="S1763" s="200"/>
      <c r="T1763" s="203"/>
      <c r="U1763" s="153"/>
      <c r="V1763" s="153"/>
      <c r="W1763" s="153"/>
      <c r="X1763" s="153"/>
      <c r="Y1763" s="153"/>
      <c r="Z1763" s="153"/>
    </row>
    <row r="1764" spans="1:26">
      <c r="A1764" s="200"/>
      <c r="B1764" s="200"/>
      <c r="C1764" s="200"/>
      <c r="D1764" s="200"/>
      <c r="E1764" s="200"/>
      <c r="F1764" s="200"/>
      <c r="G1764" s="200"/>
      <c r="H1764" s="192"/>
      <c r="I1764" s="201"/>
      <c r="J1764" s="201"/>
      <c r="K1764" s="201"/>
      <c r="L1764" s="192"/>
      <c r="M1764" s="200"/>
      <c r="N1764" s="200"/>
      <c r="O1764" s="192"/>
      <c r="P1764" s="192"/>
      <c r="Q1764" s="192"/>
      <c r="R1764" s="192"/>
      <c r="S1764" s="200"/>
      <c r="T1764" s="203"/>
      <c r="U1764" s="153"/>
      <c r="V1764" s="153"/>
      <c r="W1764" s="153"/>
      <c r="X1764" s="153"/>
      <c r="Y1764" s="153"/>
      <c r="Z1764" s="153"/>
    </row>
    <row r="1765" spans="1:26">
      <c r="A1765" s="200"/>
      <c r="B1765" s="200"/>
      <c r="C1765" s="200"/>
      <c r="D1765" s="200"/>
      <c r="E1765" s="200"/>
      <c r="F1765" s="200"/>
      <c r="G1765" s="200"/>
      <c r="H1765" s="192"/>
      <c r="I1765" s="201"/>
      <c r="J1765" s="201"/>
      <c r="K1765" s="201"/>
      <c r="L1765" s="192"/>
      <c r="M1765" s="200"/>
      <c r="N1765" s="200"/>
      <c r="O1765" s="192"/>
      <c r="P1765" s="192"/>
      <c r="Q1765" s="192"/>
      <c r="R1765" s="192"/>
      <c r="S1765" s="200"/>
      <c r="T1765" s="203"/>
      <c r="U1765" s="153"/>
      <c r="V1765" s="153"/>
      <c r="W1765" s="153"/>
      <c r="X1765" s="153"/>
      <c r="Y1765" s="153"/>
      <c r="Z1765" s="153"/>
    </row>
    <row r="1766" spans="1:26">
      <c r="A1766" s="200"/>
      <c r="B1766" s="200"/>
      <c r="C1766" s="200"/>
      <c r="D1766" s="200"/>
      <c r="E1766" s="200"/>
      <c r="F1766" s="200"/>
      <c r="G1766" s="200"/>
      <c r="H1766" s="192"/>
      <c r="I1766" s="201"/>
      <c r="J1766" s="201"/>
      <c r="K1766" s="201"/>
      <c r="L1766" s="192"/>
      <c r="M1766" s="200"/>
      <c r="N1766" s="200"/>
      <c r="O1766" s="192"/>
      <c r="P1766" s="192"/>
      <c r="Q1766" s="192"/>
      <c r="R1766" s="192"/>
      <c r="S1766" s="200"/>
      <c r="T1766" s="203"/>
      <c r="U1766" s="153"/>
      <c r="V1766" s="153"/>
      <c r="W1766" s="153"/>
      <c r="X1766" s="153"/>
      <c r="Y1766" s="153"/>
      <c r="Z1766" s="153"/>
    </row>
    <row r="1767" spans="1:26">
      <c r="A1767" s="200"/>
      <c r="B1767" s="200"/>
      <c r="C1767" s="200"/>
      <c r="D1767" s="200"/>
      <c r="E1767" s="200"/>
      <c r="F1767" s="200"/>
      <c r="G1767" s="200"/>
      <c r="H1767" s="192"/>
      <c r="I1767" s="201"/>
      <c r="J1767" s="201"/>
      <c r="K1767" s="201"/>
      <c r="L1767" s="192"/>
      <c r="M1767" s="200"/>
      <c r="N1767" s="200"/>
      <c r="O1767" s="192"/>
      <c r="P1767" s="192"/>
      <c r="Q1767" s="192"/>
      <c r="R1767" s="192"/>
      <c r="S1767" s="200"/>
      <c r="T1767" s="203"/>
      <c r="U1767" s="153"/>
      <c r="V1767" s="153"/>
      <c r="W1767" s="153"/>
      <c r="X1767" s="153"/>
      <c r="Y1767" s="153"/>
      <c r="Z1767" s="153"/>
    </row>
    <row r="1768" spans="1:26">
      <c r="A1768" s="200"/>
      <c r="B1768" s="200"/>
      <c r="C1768" s="200"/>
      <c r="D1768" s="200"/>
      <c r="E1768" s="200"/>
      <c r="F1768" s="200"/>
      <c r="G1768" s="200"/>
      <c r="H1768" s="192"/>
      <c r="I1768" s="201"/>
      <c r="J1768" s="201"/>
      <c r="K1768" s="201"/>
      <c r="L1768" s="192"/>
      <c r="M1768" s="200"/>
      <c r="N1768" s="200"/>
      <c r="O1768" s="192"/>
      <c r="P1768" s="192"/>
      <c r="Q1768" s="192"/>
      <c r="R1768" s="192"/>
      <c r="S1768" s="200"/>
      <c r="T1768" s="203"/>
      <c r="U1768" s="153"/>
      <c r="V1768" s="153"/>
      <c r="W1768" s="153"/>
      <c r="X1768" s="153"/>
      <c r="Y1768" s="153"/>
      <c r="Z1768" s="153"/>
    </row>
    <row r="1769" spans="1:26">
      <c r="A1769" s="200"/>
      <c r="B1769" s="200"/>
      <c r="C1769" s="200"/>
      <c r="D1769" s="200"/>
      <c r="E1769" s="200"/>
      <c r="F1769" s="200"/>
      <c r="G1769" s="200"/>
      <c r="H1769" s="192"/>
      <c r="I1769" s="201"/>
      <c r="J1769" s="201"/>
      <c r="K1769" s="201"/>
      <c r="L1769" s="192"/>
      <c r="M1769" s="200"/>
      <c r="N1769" s="200"/>
      <c r="O1769" s="192"/>
      <c r="P1769" s="192"/>
      <c r="Q1769" s="192"/>
      <c r="R1769" s="192"/>
      <c r="S1769" s="200"/>
      <c r="T1769" s="203"/>
      <c r="U1769" s="153"/>
      <c r="V1769" s="153"/>
      <c r="W1769" s="153"/>
      <c r="X1769" s="153"/>
      <c r="Y1769" s="153"/>
      <c r="Z1769" s="153"/>
    </row>
    <row r="1770" spans="1:26">
      <c r="A1770" s="200"/>
      <c r="B1770" s="200"/>
      <c r="C1770" s="200"/>
      <c r="D1770" s="200"/>
      <c r="E1770" s="200"/>
      <c r="F1770" s="200"/>
      <c r="G1770" s="200"/>
      <c r="H1770" s="192"/>
      <c r="I1770" s="201"/>
      <c r="J1770" s="201"/>
      <c r="K1770" s="201"/>
      <c r="L1770" s="192"/>
      <c r="M1770" s="200"/>
      <c r="N1770" s="200"/>
      <c r="O1770" s="192"/>
      <c r="P1770" s="192"/>
      <c r="Q1770" s="192"/>
      <c r="R1770" s="192"/>
      <c r="S1770" s="200"/>
      <c r="T1770" s="203"/>
      <c r="U1770" s="153"/>
      <c r="V1770" s="153"/>
      <c r="W1770" s="153"/>
      <c r="X1770" s="153"/>
      <c r="Y1770" s="153"/>
      <c r="Z1770" s="153"/>
    </row>
    <row r="1771" spans="1:26">
      <c r="A1771" s="200"/>
      <c r="B1771" s="200"/>
      <c r="C1771" s="200"/>
      <c r="D1771" s="200"/>
      <c r="E1771" s="200"/>
      <c r="F1771" s="200"/>
      <c r="G1771" s="200"/>
      <c r="H1771" s="192"/>
      <c r="I1771" s="201"/>
      <c r="J1771" s="201"/>
      <c r="K1771" s="201"/>
      <c r="L1771" s="192"/>
      <c r="M1771" s="200"/>
      <c r="N1771" s="200"/>
      <c r="O1771" s="192"/>
      <c r="P1771" s="192"/>
      <c r="Q1771" s="192"/>
      <c r="R1771" s="192"/>
      <c r="S1771" s="200"/>
      <c r="T1771" s="203"/>
      <c r="U1771" s="153"/>
      <c r="V1771" s="153"/>
      <c r="W1771" s="153"/>
      <c r="X1771" s="153"/>
      <c r="Y1771" s="153"/>
      <c r="Z1771" s="153"/>
    </row>
    <row r="1772" spans="1:26">
      <c r="A1772" s="200"/>
      <c r="B1772" s="200"/>
      <c r="C1772" s="200"/>
      <c r="D1772" s="200"/>
      <c r="E1772" s="200"/>
      <c r="F1772" s="200"/>
      <c r="G1772" s="200"/>
      <c r="H1772" s="192"/>
      <c r="I1772" s="201"/>
      <c r="J1772" s="201"/>
      <c r="K1772" s="201"/>
      <c r="L1772" s="192"/>
      <c r="M1772" s="200"/>
      <c r="N1772" s="200"/>
      <c r="O1772" s="192"/>
      <c r="P1772" s="192"/>
      <c r="Q1772" s="192"/>
      <c r="R1772" s="192"/>
      <c r="S1772" s="200"/>
      <c r="T1772" s="203"/>
      <c r="U1772" s="153"/>
      <c r="V1772" s="153"/>
      <c r="W1772" s="153"/>
      <c r="X1772" s="153"/>
      <c r="Y1772" s="153"/>
      <c r="Z1772" s="153"/>
    </row>
    <row r="1773" spans="1:26">
      <c r="A1773" s="200"/>
      <c r="B1773" s="200"/>
      <c r="C1773" s="200"/>
      <c r="D1773" s="200"/>
      <c r="E1773" s="200"/>
      <c r="F1773" s="200"/>
      <c r="G1773" s="200"/>
      <c r="H1773" s="192"/>
      <c r="I1773" s="201"/>
      <c r="J1773" s="201"/>
      <c r="K1773" s="201"/>
      <c r="L1773" s="192"/>
      <c r="M1773" s="200"/>
      <c r="N1773" s="200"/>
      <c r="O1773" s="192"/>
      <c r="P1773" s="192"/>
      <c r="Q1773" s="192"/>
      <c r="R1773" s="192"/>
      <c r="S1773" s="200"/>
      <c r="T1773" s="203"/>
      <c r="U1773" s="153"/>
      <c r="V1773" s="153"/>
      <c r="W1773" s="153"/>
      <c r="X1773" s="153"/>
      <c r="Y1773" s="153"/>
      <c r="Z1773" s="153"/>
    </row>
    <row r="1774" spans="1:26">
      <c r="A1774" s="200"/>
      <c r="B1774" s="200"/>
      <c r="C1774" s="200"/>
      <c r="D1774" s="200"/>
      <c r="E1774" s="200"/>
      <c r="F1774" s="200"/>
      <c r="G1774" s="200"/>
      <c r="H1774" s="192"/>
      <c r="I1774" s="201"/>
      <c r="J1774" s="201"/>
      <c r="K1774" s="201"/>
      <c r="L1774" s="192"/>
      <c r="M1774" s="200"/>
      <c r="N1774" s="200"/>
      <c r="O1774" s="192"/>
      <c r="P1774" s="192"/>
      <c r="Q1774" s="192"/>
      <c r="R1774" s="192"/>
      <c r="S1774" s="200"/>
      <c r="T1774" s="203"/>
      <c r="U1774" s="153"/>
      <c r="V1774" s="153"/>
      <c r="W1774" s="153"/>
      <c r="X1774" s="153"/>
      <c r="Y1774" s="153"/>
      <c r="Z1774" s="153"/>
    </row>
    <row r="1775" spans="1:26">
      <c r="A1775" s="200"/>
      <c r="B1775" s="200"/>
      <c r="C1775" s="200"/>
      <c r="D1775" s="200"/>
      <c r="E1775" s="200"/>
      <c r="F1775" s="200"/>
      <c r="G1775" s="200"/>
      <c r="H1775" s="192"/>
      <c r="I1775" s="201"/>
      <c r="J1775" s="201"/>
      <c r="K1775" s="201"/>
      <c r="L1775" s="192"/>
      <c r="M1775" s="200"/>
      <c r="N1775" s="200"/>
      <c r="O1775" s="192"/>
      <c r="P1775" s="192"/>
      <c r="Q1775" s="192"/>
      <c r="R1775" s="192"/>
      <c r="S1775" s="200"/>
      <c r="T1775" s="203"/>
      <c r="U1775" s="153"/>
      <c r="V1775" s="153"/>
      <c r="W1775" s="153"/>
      <c r="X1775" s="153"/>
      <c r="Y1775" s="153"/>
      <c r="Z1775" s="153"/>
    </row>
    <row r="1776" spans="1:26">
      <c r="A1776" s="200"/>
      <c r="B1776" s="200"/>
      <c r="C1776" s="200"/>
      <c r="D1776" s="200"/>
      <c r="E1776" s="200"/>
      <c r="F1776" s="200"/>
      <c r="G1776" s="200"/>
      <c r="H1776" s="192"/>
      <c r="I1776" s="201"/>
      <c r="J1776" s="201"/>
      <c r="K1776" s="201"/>
      <c r="L1776" s="192"/>
      <c r="M1776" s="200"/>
      <c r="N1776" s="200"/>
      <c r="O1776" s="192"/>
      <c r="P1776" s="192"/>
      <c r="Q1776" s="192"/>
      <c r="R1776" s="192"/>
      <c r="S1776" s="200"/>
      <c r="T1776" s="203"/>
      <c r="U1776" s="153"/>
      <c r="V1776" s="153"/>
      <c r="W1776" s="153"/>
      <c r="X1776" s="153"/>
      <c r="Y1776" s="153"/>
      <c r="Z1776" s="153"/>
    </row>
    <row r="1777" spans="1:26">
      <c r="A1777" s="200"/>
      <c r="B1777" s="200"/>
      <c r="C1777" s="200"/>
      <c r="D1777" s="200"/>
      <c r="E1777" s="200"/>
      <c r="F1777" s="200"/>
      <c r="G1777" s="200"/>
      <c r="H1777" s="192"/>
      <c r="I1777" s="201"/>
      <c r="J1777" s="201"/>
      <c r="K1777" s="201"/>
      <c r="L1777" s="192"/>
      <c r="M1777" s="200"/>
      <c r="N1777" s="200"/>
      <c r="O1777" s="192"/>
      <c r="P1777" s="192"/>
      <c r="Q1777" s="192"/>
      <c r="R1777" s="192"/>
      <c r="S1777" s="200"/>
      <c r="T1777" s="203"/>
      <c r="U1777" s="153"/>
      <c r="V1777" s="153"/>
      <c r="W1777" s="153"/>
      <c r="X1777" s="153"/>
      <c r="Y1777" s="153"/>
      <c r="Z1777" s="153"/>
    </row>
    <row r="1778" spans="1:26">
      <c r="A1778" s="200"/>
      <c r="B1778" s="200"/>
      <c r="C1778" s="200"/>
      <c r="D1778" s="200"/>
      <c r="E1778" s="200"/>
      <c r="F1778" s="200"/>
      <c r="G1778" s="200"/>
      <c r="H1778" s="192"/>
      <c r="I1778" s="201"/>
      <c r="J1778" s="201"/>
      <c r="K1778" s="201"/>
      <c r="L1778" s="192"/>
      <c r="M1778" s="200"/>
      <c r="N1778" s="200"/>
      <c r="O1778" s="192"/>
      <c r="P1778" s="192"/>
      <c r="Q1778" s="192"/>
      <c r="R1778" s="192"/>
      <c r="S1778" s="200"/>
      <c r="T1778" s="203"/>
      <c r="U1778" s="153"/>
      <c r="V1778" s="153"/>
      <c r="W1778" s="153"/>
      <c r="X1778" s="153"/>
      <c r="Y1778" s="153"/>
      <c r="Z1778" s="153"/>
    </row>
    <row r="1779" spans="1:26">
      <c r="A1779" s="200"/>
      <c r="B1779" s="200"/>
      <c r="C1779" s="200"/>
      <c r="D1779" s="200"/>
      <c r="E1779" s="200"/>
      <c r="F1779" s="200"/>
      <c r="G1779" s="200"/>
      <c r="H1779" s="192"/>
      <c r="I1779" s="201"/>
      <c r="J1779" s="201"/>
      <c r="K1779" s="201"/>
      <c r="L1779" s="192"/>
      <c r="M1779" s="200"/>
      <c r="N1779" s="200"/>
      <c r="O1779" s="192"/>
      <c r="P1779" s="192"/>
      <c r="Q1779" s="192"/>
      <c r="R1779" s="192"/>
      <c r="S1779" s="200"/>
      <c r="T1779" s="203"/>
      <c r="U1779" s="153"/>
      <c r="V1779" s="153"/>
      <c r="W1779" s="153"/>
      <c r="X1779" s="153"/>
      <c r="Y1779" s="153"/>
      <c r="Z1779" s="153"/>
    </row>
    <row r="1780" spans="1:26">
      <c r="A1780" s="200"/>
      <c r="B1780" s="200"/>
      <c r="C1780" s="200"/>
      <c r="D1780" s="200"/>
      <c r="E1780" s="200"/>
      <c r="F1780" s="200"/>
      <c r="G1780" s="200"/>
      <c r="H1780" s="192"/>
      <c r="I1780" s="201"/>
      <c r="J1780" s="201"/>
      <c r="K1780" s="201"/>
      <c r="L1780" s="192"/>
      <c r="M1780" s="200"/>
      <c r="N1780" s="200"/>
      <c r="O1780" s="192"/>
      <c r="P1780" s="192"/>
      <c r="Q1780" s="192"/>
      <c r="R1780" s="192"/>
      <c r="S1780" s="200"/>
      <c r="T1780" s="203"/>
      <c r="U1780" s="153"/>
      <c r="V1780" s="153"/>
      <c r="W1780" s="153"/>
      <c r="X1780" s="153"/>
      <c r="Y1780" s="153"/>
      <c r="Z1780" s="153"/>
    </row>
    <row r="1781" spans="1:26">
      <c r="A1781" s="200"/>
      <c r="B1781" s="200"/>
      <c r="C1781" s="200"/>
      <c r="D1781" s="200"/>
      <c r="E1781" s="200"/>
      <c r="F1781" s="200"/>
      <c r="G1781" s="200"/>
      <c r="H1781" s="192"/>
      <c r="I1781" s="201"/>
      <c r="J1781" s="201"/>
      <c r="K1781" s="201"/>
      <c r="L1781" s="192"/>
      <c r="M1781" s="200"/>
      <c r="N1781" s="200"/>
      <c r="O1781" s="192"/>
      <c r="P1781" s="192"/>
      <c r="Q1781" s="192"/>
      <c r="R1781" s="192"/>
      <c r="S1781" s="200"/>
      <c r="T1781" s="203"/>
      <c r="U1781" s="153"/>
      <c r="V1781" s="153"/>
      <c r="W1781" s="153"/>
      <c r="X1781" s="153"/>
      <c r="Y1781" s="153"/>
      <c r="Z1781" s="153"/>
    </row>
    <row r="1782" spans="1:26">
      <c r="A1782" s="200"/>
      <c r="B1782" s="200"/>
      <c r="C1782" s="200"/>
      <c r="D1782" s="200"/>
      <c r="E1782" s="200"/>
      <c r="F1782" s="200"/>
      <c r="G1782" s="200"/>
      <c r="H1782" s="192"/>
      <c r="I1782" s="201"/>
      <c r="J1782" s="201"/>
      <c r="K1782" s="201"/>
      <c r="L1782" s="192"/>
      <c r="M1782" s="200"/>
      <c r="N1782" s="200"/>
      <c r="O1782" s="192"/>
      <c r="P1782" s="192"/>
      <c r="Q1782" s="192"/>
      <c r="R1782" s="192"/>
      <c r="S1782" s="200"/>
      <c r="T1782" s="203"/>
      <c r="U1782" s="153"/>
      <c r="V1782" s="153"/>
      <c r="W1782" s="153"/>
      <c r="X1782" s="153"/>
      <c r="Y1782" s="153"/>
      <c r="Z1782" s="153"/>
    </row>
    <row r="1783" spans="1:26">
      <c r="A1783" s="200"/>
      <c r="B1783" s="200"/>
      <c r="C1783" s="200"/>
      <c r="D1783" s="200"/>
      <c r="E1783" s="200"/>
      <c r="F1783" s="200"/>
      <c r="G1783" s="200"/>
      <c r="H1783" s="192"/>
      <c r="I1783" s="201"/>
      <c r="J1783" s="201"/>
      <c r="K1783" s="201"/>
      <c r="L1783" s="192"/>
      <c r="M1783" s="200"/>
      <c r="N1783" s="200"/>
      <c r="O1783" s="192"/>
      <c r="P1783" s="192"/>
      <c r="Q1783" s="192"/>
      <c r="R1783" s="192"/>
      <c r="S1783" s="200"/>
      <c r="T1783" s="203"/>
      <c r="U1783" s="153"/>
      <c r="V1783" s="153"/>
      <c r="W1783" s="153"/>
      <c r="X1783" s="153"/>
      <c r="Y1783" s="153"/>
      <c r="Z1783" s="153"/>
    </row>
    <row r="1784" spans="1:26">
      <c r="A1784" s="200"/>
      <c r="B1784" s="200"/>
      <c r="C1784" s="200"/>
      <c r="D1784" s="200"/>
      <c r="E1784" s="200"/>
      <c r="F1784" s="200"/>
      <c r="G1784" s="200"/>
      <c r="H1784" s="192"/>
      <c r="I1784" s="201"/>
      <c r="J1784" s="201"/>
      <c r="K1784" s="201"/>
      <c r="L1784" s="192"/>
      <c r="M1784" s="200"/>
      <c r="N1784" s="200"/>
      <c r="O1784" s="192"/>
      <c r="P1784" s="192"/>
      <c r="Q1784" s="192"/>
      <c r="R1784" s="192"/>
      <c r="S1784" s="200"/>
      <c r="T1784" s="203"/>
      <c r="U1784" s="153"/>
      <c r="V1784" s="153"/>
      <c r="W1784" s="153"/>
      <c r="X1784" s="153"/>
      <c r="Y1784" s="153"/>
      <c r="Z1784" s="153"/>
    </row>
    <row r="1785" spans="1:26">
      <c r="A1785" s="200"/>
      <c r="B1785" s="200"/>
      <c r="C1785" s="200"/>
      <c r="D1785" s="200"/>
      <c r="E1785" s="200"/>
      <c r="F1785" s="200"/>
      <c r="G1785" s="200"/>
      <c r="H1785" s="192"/>
      <c r="I1785" s="201"/>
      <c r="J1785" s="201"/>
      <c r="K1785" s="201"/>
      <c r="L1785" s="192"/>
      <c r="M1785" s="200"/>
      <c r="N1785" s="200"/>
      <c r="O1785" s="192"/>
      <c r="P1785" s="192"/>
      <c r="Q1785" s="192"/>
      <c r="R1785" s="192"/>
      <c r="S1785" s="200"/>
      <c r="T1785" s="203"/>
      <c r="U1785" s="153"/>
      <c r="V1785" s="153"/>
      <c r="W1785" s="153"/>
      <c r="X1785" s="153"/>
      <c r="Y1785" s="153"/>
      <c r="Z1785" s="153"/>
    </row>
    <row r="1786" spans="1:26">
      <c r="A1786" s="200"/>
      <c r="B1786" s="200"/>
      <c r="C1786" s="200"/>
      <c r="D1786" s="200"/>
      <c r="E1786" s="200"/>
      <c r="F1786" s="200"/>
      <c r="G1786" s="200"/>
      <c r="H1786" s="192"/>
      <c r="I1786" s="201"/>
      <c r="J1786" s="201"/>
      <c r="K1786" s="201"/>
      <c r="L1786" s="192"/>
      <c r="M1786" s="200"/>
      <c r="N1786" s="200"/>
      <c r="O1786" s="192"/>
      <c r="P1786" s="192"/>
      <c r="Q1786" s="192"/>
      <c r="R1786" s="192"/>
      <c r="S1786" s="200"/>
      <c r="T1786" s="203"/>
      <c r="U1786" s="153"/>
      <c r="V1786" s="153"/>
      <c r="W1786" s="153"/>
      <c r="X1786" s="153"/>
      <c r="Y1786" s="153"/>
      <c r="Z1786" s="153"/>
    </row>
    <row r="1787" spans="1:26">
      <c r="A1787" s="200"/>
      <c r="B1787" s="200"/>
      <c r="C1787" s="200"/>
      <c r="D1787" s="200"/>
      <c r="E1787" s="200"/>
      <c r="F1787" s="200"/>
      <c r="G1787" s="200"/>
      <c r="H1787" s="192"/>
      <c r="I1787" s="201"/>
      <c r="J1787" s="201"/>
      <c r="K1787" s="201"/>
      <c r="L1787" s="192"/>
      <c r="M1787" s="200"/>
      <c r="N1787" s="200"/>
      <c r="O1787" s="192"/>
      <c r="P1787" s="192"/>
      <c r="Q1787" s="192"/>
      <c r="R1787" s="192"/>
      <c r="S1787" s="200"/>
      <c r="T1787" s="203"/>
      <c r="U1787" s="153"/>
      <c r="V1787" s="153"/>
      <c r="W1787" s="153"/>
      <c r="X1787" s="153"/>
      <c r="Y1787" s="153"/>
      <c r="Z1787" s="153"/>
    </row>
    <row r="1788" spans="1:26">
      <c r="A1788" s="200"/>
      <c r="B1788" s="200"/>
      <c r="C1788" s="200"/>
      <c r="D1788" s="200"/>
      <c r="E1788" s="200"/>
      <c r="F1788" s="200"/>
      <c r="G1788" s="200"/>
      <c r="H1788" s="192"/>
      <c r="I1788" s="201"/>
      <c r="J1788" s="201"/>
      <c r="K1788" s="201"/>
      <c r="L1788" s="192"/>
      <c r="M1788" s="200"/>
      <c r="N1788" s="200"/>
      <c r="O1788" s="192"/>
      <c r="P1788" s="192"/>
      <c r="Q1788" s="192"/>
      <c r="R1788" s="192"/>
      <c r="S1788" s="200"/>
      <c r="T1788" s="203"/>
      <c r="U1788" s="153"/>
      <c r="V1788" s="153"/>
      <c r="W1788" s="153"/>
      <c r="X1788" s="153"/>
      <c r="Y1788" s="153"/>
      <c r="Z1788" s="153"/>
    </row>
    <row r="1789" spans="1:26">
      <c r="A1789" s="200"/>
      <c r="B1789" s="200"/>
      <c r="C1789" s="200"/>
      <c r="D1789" s="200"/>
      <c r="E1789" s="200"/>
      <c r="F1789" s="200"/>
      <c r="G1789" s="200"/>
      <c r="H1789" s="192"/>
      <c r="I1789" s="201"/>
      <c r="J1789" s="201"/>
      <c r="K1789" s="201"/>
      <c r="L1789" s="192"/>
      <c r="M1789" s="200"/>
      <c r="N1789" s="200"/>
      <c r="O1789" s="192"/>
      <c r="P1789" s="192"/>
      <c r="Q1789" s="192"/>
      <c r="R1789" s="192"/>
      <c r="S1789" s="200"/>
      <c r="T1789" s="203"/>
      <c r="U1789" s="153"/>
      <c r="V1789" s="153"/>
      <c r="W1789" s="153"/>
      <c r="X1789" s="153"/>
      <c r="Y1789" s="153"/>
      <c r="Z1789" s="153"/>
    </row>
    <row r="1790" spans="1:26">
      <c r="A1790" s="200"/>
      <c r="B1790" s="200"/>
      <c r="C1790" s="200"/>
      <c r="D1790" s="200"/>
      <c r="E1790" s="200"/>
      <c r="F1790" s="200"/>
      <c r="G1790" s="200"/>
      <c r="H1790" s="192"/>
      <c r="I1790" s="201"/>
      <c r="J1790" s="201"/>
      <c r="K1790" s="201"/>
      <c r="L1790" s="192"/>
      <c r="M1790" s="200"/>
      <c r="N1790" s="200"/>
      <c r="O1790" s="192"/>
      <c r="P1790" s="192"/>
      <c r="Q1790" s="192"/>
      <c r="R1790" s="192"/>
      <c r="S1790" s="200"/>
      <c r="T1790" s="203"/>
      <c r="U1790" s="153"/>
      <c r="V1790" s="153"/>
      <c r="W1790" s="153"/>
      <c r="X1790" s="153"/>
      <c r="Y1790" s="153"/>
      <c r="Z1790" s="153"/>
    </row>
    <row r="1791" spans="1:26">
      <c r="A1791" s="200"/>
      <c r="B1791" s="200"/>
      <c r="C1791" s="200"/>
      <c r="D1791" s="200"/>
      <c r="E1791" s="200"/>
      <c r="F1791" s="200"/>
      <c r="G1791" s="200"/>
      <c r="H1791" s="192"/>
      <c r="I1791" s="201"/>
      <c r="J1791" s="201"/>
      <c r="K1791" s="201"/>
      <c r="L1791" s="192"/>
      <c r="M1791" s="200"/>
      <c r="N1791" s="200"/>
      <c r="O1791" s="192"/>
      <c r="P1791" s="192"/>
      <c r="Q1791" s="192"/>
      <c r="R1791" s="192"/>
      <c r="S1791" s="200"/>
      <c r="T1791" s="203"/>
      <c r="U1791" s="153"/>
      <c r="V1791" s="153"/>
      <c r="W1791" s="153"/>
      <c r="X1791" s="153"/>
      <c r="Y1791" s="153"/>
      <c r="Z1791" s="153"/>
    </row>
    <row r="1792" spans="1:26">
      <c r="A1792" s="200"/>
      <c r="B1792" s="200"/>
      <c r="C1792" s="200"/>
      <c r="D1792" s="200"/>
      <c r="E1792" s="200"/>
      <c r="F1792" s="200"/>
      <c r="G1792" s="200"/>
      <c r="H1792" s="192"/>
      <c r="I1792" s="201"/>
      <c r="J1792" s="201"/>
      <c r="K1792" s="201"/>
      <c r="L1792" s="192"/>
      <c r="M1792" s="200"/>
      <c r="N1792" s="200"/>
      <c r="O1792" s="192"/>
      <c r="P1792" s="192"/>
      <c r="Q1792" s="192"/>
      <c r="R1792" s="192"/>
      <c r="S1792" s="200"/>
      <c r="T1792" s="203"/>
      <c r="U1792" s="153"/>
      <c r="V1792" s="153"/>
      <c r="W1792" s="153"/>
      <c r="X1792" s="153"/>
      <c r="Y1792" s="153"/>
      <c r="Z1792" s="153"/>
    </row>
    <row r="1793" spans="1:26">
      <c r="A1793" s="200"/>
      <c r="B1793" s="200"/>
      <c r="C1793" s="200"/>
      <c r="D1793" s="200"/>
      <c r="E1793" s="200"/>
      <c r="F1793" s="200"/>
      <c r="G1793" s="200"/>
      <c r="H1793" s="192"/>
      <c r="I1793" s="201"/>
      <c r="J1793" s="201"/>
      <c r="K1793" s="201"/>
      <c r="L1793" s="192"/>
      <c r="M1793" s="200"/>
      <c r="N1793" s="200"/>
      <c r="O1793" s="192"/>
      <c r="P1793" s="192"/>
      <c r="Q1793" s="192"/>
      <c r="R1793" s="192"/>
      <c r="S1793" s="200"/>
      <c r="T1793" s="203"/>
      <c r="U1793" s="153"/>
      <c r="V1793" s="153"/>
      <c r="W1793" s="153"/>
      <c r="X1793" s="153"/>
      <c r="Y1793" s="153"/>
      <c r="Z1793" s="153"/>
    </row>
    <row r="1794" spans="1:26">
      <c r="A1794" s="200"/>
      <c r="B1794" s="200"/>
      <c r="C1794" s="200"/>
      <c r="D1794" s="200"/>
      <c r="E1794" s="200"/>
      <c r="F1794" s="200"/>
      <c r="G1794" s="200"/>
      <c r="H1794" s="192"/>
      <c r="I1794" s="201"/>
      <c r="J1794" s="201"/>
      <c r="K1794" s="201"/>
      <c r="L1794" s="192"/>
      <c r="M1794" s="200"/>
      <c r="N1794" s="200"/>
      <c r="O1794" s="192"/>
      <c r="P1794" s="192"/>
      <c r="Q1794" s="192"/>
      <c r="R1794" s="192"/>
      <c r="S1794" s="200"/>
      <c r="T1794" s="203"/>
      <c r="U1794" s="153"/>
      <c r="V1794" s="153"/>
      <c r="W1794" s="153"/>
      <c r="X1794" s="153"/>
      <c r="Y1794" s="153"/>
      <c r="Z1794" s="153"/>
    </row>
    <row r="1795" spans="1:26">
      <c r="A1795" s="200"/>
      <c r="B1795" s="200"/>
      <c r="C1795" s="200"/>
      <c r="D1795" s="200"/>
      <c r="E1795" s="200"/>
      <c r="F1795" s="200"/>
      <c r="G1795" s="200"/>
      <c r="H1795" s="192"/>
      <c r="I1795" s="201"/>
      <c r="J1795" s="201"/>
      <c r="K1795" s="201"/>
      <c r="L1795" s="192"/>
      <c r="M1795" s="200"/>
      <c r="N1795" s="200"/>
      <c r="O1795" s="192"/>
      <c r="P1795" s="192"/>
      <c r="Q1795" s="192"/>
      <c r="R1795" s="192"/>
      <c r="S1795" s="200"/>
      <c r="T1795" s="203"/>
      <c r="U1795" s="153"/>
      <c r="V1795" s="153"/>
      <c r="W1795" s="153"/>
      <c r="X1795" s="153"/>
      <c r="Y1795" s="153"/>
      <c r="Z1795" s="153"/>
    </row>
    <row r="1796" spans="1:26">
      <c r="A1796" s="200"/>
      <c r="B1796" s="200"/>
      <c r="C1796" s="200"/>
      <c r="D1796" s="200"/>
      <c r="E1796" s="200"/>
      <c r="F1796" s="200"/>
      <c r="G1796" s="200"/>
      <c r="H1796" s="192"/>
      <c r="I1796" s="201"/>
      <c r="J1796" s="201"/>
      <c r="K1796" s="201"/>
      <c r="L1796" s="192"/>
      <c r="M1796" s="200"/>
      <c r="N1796" s="200"/>
      <c r="O1796" s="192"/>
      <c r="P1796" s="192"/>
      <c r="Q1796" s="192"/>
      <c r="R1796" s="192"/>
      <c r="S1796" s="200"/>
      <c r="T1796" s="203"/>
      <c r="U1796" s="153"/>
      <c r="V1796" s="153"/>
      <c r="W1796" s="153"/>
      <c r="X1796" s="153"/>
      <c r="Y1796" s="153"/>
      <c r="Z1796" s="153"/>
    </row>
    <row r="1797" spans="1:26">
      <c r="A1797" s="200"/>
      <c r="B1797" s="200"/>
      <c r="C1797" s="200"/>
      <c r="D1797" s="200"/>
      <c r="E1797" s="200"/>
      <c r="F1797" s="200"/>
      <c r="G1797" s="200"/>
      <c r="H1797" s="192"/>
      <c r="I1797" s="201"/>
      <c r="J1797" s="201"/>
      <c r="K1797" s="201"/>
      <c r="L1797" s="192"/>
      <c r="M1797" s="200"/>
      <c r="N1797" s="200"/>
      <c r="O1797" s="192"/>
      <c r="P1797" s="192"/>
      <c r="Q1797" s="192"/>
      <c r="R1797" s="192"/>
      <c r="S1797" s="200"/>
      <c r="T1797" s="203"/>
      <c r="U1797" s="153"/>
      <c r="V1797" s="153"/>
      <c r="W1797" s="153"/>
      <c r="X1797" s="153"/>
      <c r="Y1797" s="153"/>
      <c r="Z1797" s="153"/>
    </row>
    <row r="1798" spans="1:26">
      <c r="A1798" s="200"/>
      <c r="B1798" s="200"/>
      <c r="C1798" s="200"/>
      <c r="D1798" s="200"/>
      <c r="E1798" s="200"/>
      <c r="F1798" s="200"/>
      <c r="G1798" s="200"/>
      <c r="H1798" s="192"/>
      <c r="I1798" s="201"/>
      <c r="J1798" s="201"/>
      <c r="K1798" s="201"/>
      <c r="L1798" s="192"/>
      <c r="M1798" s="200"/>
      <c r="N1798" s="200"/>
      <c r="O1798" s="192"/>
      <c r="P1798" s="192"/>
      <c r="Q1798" s="192"/>
      <c r="R1798" s="192"/>
      <c r="S1798" s="200"/>
      <c r="T1798" s="203"/>
      <c r="U1798" s="153"/>
      <c r="V1798" s="153"/>
      <c r="W1798" s="153"/>
      <c r="X1798" s="153"/>
      <c r="Y1798" s="153"/>
      <c r="Z1798" s="153"/>
    </row>
    <row r="1799" spans="1:26">
      <c r="A1799" s="200"/>
      <c r="B1799" s="200"/>
      <c r="C1799" s="200"/>
      <c r="D1799" s="200"/>
      <c r="E1799" s="200"/>
      <c r="F1799" s="200"/>
      <c r="G1799" s="200"/>
      <c r="H1799" s="192"/>
      <c r="I1799" s="201"/>
      <c r="J1799" s="201"/>
      <c r="K1799" s="201"/>
      <c r="L1799" s="192"/>
      <c r="M1799" s="200"/>
      <c r="N1799" s="200"/>
      <c r="O1799" s="192"/>
      <c r="P1799" s="192"/>
      <c r="Q1799" s="192"/>
      <c r="R1799" s="192"/>
      <c r="S1799" s="200"/>
      <c r="T1799" s="203"/>
      <c r="U1799" s="153"/>
      <c r="V1799" s="153"/>
      <c r="W1799" s="153"/>
      <c r="X1799" s="153"/>
      <c r="Y1799" s="153"/>
      <c r="Z1799" s="153"/>
    </row>
    <row r="1800" spans="1:26">
      <c r="A1800" s="200"/>
      <c r="B1800" s="200"/>
      <c r="C1800" s="200"/>
      <c r="D1800" s="200"/>
      <c r="E1800" s="200"/>
      <c r="F1800" s="200"/>
      <c r="G1800" s="200"/>
      <c r="H1800" s="192"/>
      <c r="I1800" s="201"/>
      <c r="J1800" s="201"/>
      <c r="K1800" s="201"/>
      <c r="L1800" s="192"/>
      <c r="M1800" s="200"/>
      <c r="N1800" s="200"/>
      <c r="O1800" s="192"/>
      <c r="P1800" s="192"/>
      <c r="Q1800" s="192"/>
      <c r="R1800" s="192"/>
      <c r="S1800" s="200"/>
      <c r="T1800" s="203"/>
      <c r="U1800" s="153"/>
      <c r="V1800" s="153"/>
      <c r="W1800" s="153"/>
      <c r="X1800" s="153"/>
      <c r="Y1800" s="153"/>
      <c r="Z1800" s="153"/>
    </row>
    <row r="1801" spans="1:26">
      <c r="A1801" s="200"/>
      <c r="B1801" s="200"/>
      <c r="C1801" s="200"/>
      <c r="D1801" s="200"/>
      <c r="E1801" s="200"/>
      <c r="F1801" s="200"/>
      <c r="G1801" s="200"/>
      <c r="H1801" s="192"/>
      <c r="I1801" s="201"/>
      <c r="J1801" s="201"/>
      <c r="K1801" s="201"/>
      <c r="L1801" s="192"/>
      <c r="M1801" s="200"/>
      <c r="N1801" s="200"/>
      <c r="O1801" s="192"/>
      <c r="P1801" s="192"/>
      <c r="Q1801" s="192"/>
      <c r="R1801" s="192"/>
      <c r="S1801" s="200"/>
      <c r="T1801" s="203"/>
      <c r="U1801" s="153"/>
      <c r="V1801" s="153"/>
      <c r="W1801" s="153"/>
      <c r="X1801" s="153"/>
      <c r="Y1801" s="153"/>
      <c r="Z1801" s="153"/>
    </row>
    <row r="1802" spans="1:26">
      <c r="A1802" s="200"/>
      <c r="B1802" s="200"/>
      <c r="C1802" s="200"/>
      <c r="D1802" s="200"/>
      <c r="E1802" s="200"/>
      <c r="F1802" s="200"/>
      <c r="G1802" s="200"/>
      <c r="H1802" s="192"/>
      <c r="I1802" s="201"/>
      <c r="J1802" s="201"/>
      <c r="K1802" s="201"/>
      <c r="L1802" s="192"/>
      <c r="M1802" s="200"/>
      <c r="N1802" s="200"/>
      <c r="O1802" s="192"/>
      <c r="P1802" s="192"/>
      <c r="Q1802" s="192"/>
      <c r="R1802" s="192"/>
      <c r="S1802" s="200"/>
      <c r="T1802" s="203"/>
      <c r="U1802" s="153"/>
      <c r="V1802" s="153"/>
      <c r="W1802" s="153"/>
      <c r="X1802" s="153"/>
      <c r="Y1802" s="153"/>
      <c r="Z1802" s="153"/>
    </row>
    <row r="1803" spans="1:26">
      <c r="A1803" s="200"/>
      <c r="B1803" s="200"/>
      <c r="C1803" s="200"/>
      <c r="D1803" s="200"/>
      <c r="E1803" s="200"/>
      <c r="F1803" s="200"/>
      <c r="G1803" s="200"/>
      <c r="H1803" s="192"/>
      <c r="I1803" s="201"/>
      <c r="J1803" s="201"/>
      <c r="K1803" s="201"/>
      <c r="L1803" s="192"/>
      <c r="M1803" s="200"/>
      <c r="N1803" s="200"/>
      <c r="O1803" s="192"/>
      <c r="P1803" s="192"/>
      <c r="Q1803" s="192"/>
      <c r="R1803" s="192"/>
      <c r="S1803" s="200"/>
      <c r="T1803" s="203"/>
      <c r="U1803" s="153"/>
      <c r="V1803" s="153"/>
      <c r="W1803" s="153"/>
      <c r="X1803" s="153"/>
      <c r="Y1803" s="153"/>
      <c r="Z1803" s="153"/>
    </row>
    <row r="1804" spans="1:26">
      <c r="A1804" s="200"/>
      <c r="B1804" s="200"/>
      <c r="C1804" s="200"/>
      <c r="D1804" s="200"/>
      <c r="E1804" s="200"/>
      <c r="F1804" s="200"/>
      <c r="G1804" s="200"/>
      <c r="H1804" s="192"/>
      <c r="I1804" s="201"/>
      <c r="J1804" s="201"/>
      <c r="K1804" s="201"/>
      <c r="L1804" s="192"/>
      <c r="M1804" s="200"/>
      <c r="N1804" s="200"/>
      <c r="O1804" s="192"/>
      <c r="P1804" s="192"/>
      <c r="Q1804" s="192"/>
      <c r="R1804" s="192"/>
      <c r="S1804" s="200"/>
      <c r="T1804" s="203"/>
      <c r="U1804" s="153"/>
      <c r="V1804" s="153"/>
      <c r="W1804" s="153"/>
      <c r="X1804" s="153"/>
      <c r="Y1804" s="153"/>
      <c r="Z1804" s="153"/>
    </row>
    <row r="1805" spans="1:26">
      <c r="A1805" s="200"/>
      <c r="B1805" s="200"/>
      <c r="C1805" s="200"/>
      <c r="D1805" s="200"/>
      <c r="E1805" s="200"/>
      <c r="F1805" s="200"/>
      <c r="G1805" s="200"/>
      <c r="H1805" s="192"/>
      <c r="I1805" s="201"/>
      <c r="J1805" s="201"/>
      <c r="K1805" s="201"/>
      <c r="L1805" s="192"/>
      <c r="M1805" s="200"/>
      <c r="N1805" s="200"/>
      <c r="O1805" s="192"/>
      <c r="P1805" s="192"/>
      <c r="Q1805" s="192"/>
      <c r="R1805" s="192"/>
      <c r="S1805" s="200"/>
      <c r="T1805" s="203"/>
      <c r="U1805" s="153"/>
      <c r="V1805" s="153"/>
      <c r="W1805" s="153"/>
      <c r="X1805" s="153"/>
      <c r="Y1805" s="153"/>
      <c r="Z1805" s="153"/>
    </row>
    <row r="1806" spans="1:26">
      <c r="A1806" s="200"/>
      <c r="B1806" s="200"/>
      <c r="C1806" s="200"/>
      <c r="D1806" s="200"/>
      <c r="E1806" s="200"/>
      <c r="F1806" s="200"/>
      <c r="G1806" s="200"/>
      <c r="H1806" s="192"/>
      <c r="I1806" s="201"/>
      <c r="J1806" s="201"/>
      <c r="K1806" s="201"/>
      <c r="L1806" s="192"/>
      <c r="M1806" s="200"/>
      <c r="N1806" s="200"/>
      <c r="O1806" s="192"/>
      <c r="P1806" s="192"/>
      <c r="Q1806" s="192"/>
      <c r="R1806" s="192"/>
      <c r="S1806" s="200"/>
      <c r="T1806" s="203"/>
      <c r="U1806" s="153"/>
      <c r="V1806" s="153"/>
      <c r="W1806" s="153"/>
      <c r="X1806" s="153"/>
      <c r="Y1806" s="153"/>
      <c r="Z1806" s="153"/>
    </row>
    <row r="1807" spans="1:26">
      <c r="A1807" s="200"/>
      <c r="B1807" s="200"/>
      <c r="C1807" s="200"/>
      <c r="D1807" s="200"/>
      <c r="E1807" s="200"/>
      <c r="F1807" s="200"/>
      <c r="G1807" s="200"/>
      <c r="H1807" s="192"/>
      <c r="I1807" s="201"/>
      <c r="J1807" s="201"/>
      <c r="K1807" s="201"/>
      <c r="L1807" s="192"/>
      <c r="M1807" s="200"/>
      <c r="N1807" s="200"/>
      <c r="O1807" s="192"/>
      <c r="P1807" s="192"/>
      <c r="Q1807" s="192"/>
      <c r="R1807" s="192"/>
      <c r="S1807" s="200"/>
      <c r="T1807" s="203"/>
      <c r="U1807" s="153"/>
      <c r="V1807" s="153"/>
      <c r="W1807" s="153"/>
      <c r="X1807" s="153"/>
      <c r="Y1807" s="153"/>
      <c r="Z1807" s="153"/>
    </row>
    <row r="1808" spans="1:26">
      <c r="A1808" s="200"/>
      <c r="B1808" s="200"/>
      <c r="C1808" s="200"/>
      <c r="D1808" s="200"/>
      <c r="E1808" s="200"/>
      <c r="F1808" s="200"/>
      <c r="G1808" s="200"/>
      <c r="H1808" s="192"/>
      <c r="I1808" s="201"/>
      <c r="J1808" s="201"/>
      <c r="K1808" s="201"/>
      <c r="L1808" s="192"/>
      <c r="M1808" s="200"/>
      <c r="N1808" s="200"/>
      <c r="O1808" s="192"/>
      <c r="P1808" s="192"/>
      <c r="Q1808" s="192"/>
      <c r="R1808" s="192"/>
      <c r="S1808" s="200"/>
      <c r="T1808" s="203"/>
      <c r="U1808" s="153"/>
      <c r="V1808" s="153"/>
      <c r="W1808" s="153"/>
      <c r="X1808" s="153"/>
      <c r="Y1808" s="153"/>
      <c r="Z1808" s="153"/>
    </row>
    <row r="1809" spans="1:26">
      <c r="A1809" s="200"/>
      <c r="B1809" s="200"/>
      <c r="C1809" s="200"/>
      <c r="D1809" s="200"/>
      <c r="E1809" s="200"/>
      <c r="F1809" s="200"/>
      <c r="G1809" s="200"/>
      <c r="H1809" s="192"/>
      <c r="I1809" s="201"/>
      <c r="J1809" s="201"/>
      <c r="K1809" s="201"/>
      <c r="L1809" s="192"/>
      <c r="M1809" s="200"/>
      <c r="N1809" s="200"/>
      <c r="O1809" s="192"/>
      <c r="P1809" s="192"/>
      <c r="Q1809" s="192"/>
      <c r="R1809" s="192"/>
      <c r="S1809" s="200"/>
      <c r="T1809" s="203"/>
      <c r="U1809" s="153"/>
      <c r="V1809" s="153"/>
      <c r="W1809" s="153"/>
      <c r="X1809" s="153"/>
      <c r="Y1809" s="153"/>
      <c r="Z1809" s="153"/>
    </row>
    <row r="1810" spans="1:26">
      <c r="A1810" s="200"/>
      <c r="B1810" s="200"/>
      <c r="C1810" s="200"/>
      <c r="D1810" s="200"/>
      <c r="E1810" s="200"/>
      <c r="F1810" s="200"/>
      <c r="G1810" s="200"/>
      <c r="H1810" s="192"/>
      <c r="I1810" s="201"/>
      <c r="J1810" s="201"/>
      <c r="K1810" s="201"/>
      <c r="L1810" s="192"/>
      <c r="M1810" s="200"/>
      <c r="N1810" s="200"/>
      <c r="O1810" s="192"/>
      <c r="P1810" s="192"/>
      <c r="Q1810" s="192"/>
      <c r="R1810" s="192"/>
      <c r="S1810" s="200"/>
      <c r="T1810" s="203"/>
      <c r="U1810" s="153"/>
      <c r="V1810" s="153"/>
      <c r="W1810" s="153"/>
      <c r="X1810" s="153"/>
      <c r="Y1810" s="153"/>
      <c r="Z1810" s="153"/>
    </row>
    <row r="1811" spans="1:26">
      <c r="A1811" s="200"/>
      <c r="B1811" s="200"/>
      <c r="C1811" s="200"/>
      <c r="D1811" s="200"/>
      <c r="E1811" s="200"/>
      <c r="F1811" s="200"/>
      <c r="G1811" s="200"/>
      <c r="H1811" s="192"/>
      <c r="I1811" s="201"/>
      <c r="J1811" s="201"/>
      <c r="K1811" s="201"/>
      <c r="L1811" s="192"/>
      <c r="M1811" s="200"/>
      <c r="N1811" s="200"/>
      <c r="O1811" s="192"/>
      <c r="P1811" s="192"/>
      <c r="Q1811" s="192"/>
      <c r="R1811" s="192"/>
      <c r="S1811" s="200"/>
      <c r="T1811" s="203"/>
      <c r="U1811" s="153"/>
      <c r="V1811" s="153"/>
      <c r="W1811" s="153"/>
      <c r="X1811" s="153"/>
      <c r="Y1811" s="153"/>
      <c r="Z1811" s="153"/>
    </row>
    <row r="1812" spans="1:26">
      <c r="A1812" s="200"/>
      <c r="B1812" s="200"/>
      <c r="C1812" s="200"/>
      <c r="D1812" s="200"/>
      <c r="E1812" s="200"/>
      <c r="F1812" s="200"/>
      <c r="G1812" s="200"/>
      <c r="H1812" s="192"/>
      <c r="I1812" s="201"/>
      <c r="J1812" s="201"/>
      <c r="K1812" s="201"/>
      <c r="L1812" s="192"/>
      <c r="M1812" s="200"/>
      <c r="N1812" s="200"/>
      <c r="O1812" s="192"/>
      <c r="P1812" s="192"/>
      <c r="Q1812" s="192"/>
      <c r="R1812" s="192"/>
      <c r="S1812" s="200"/>
      <c r="T1812" s="203"/>
      <c r="U1812" s="153"/>
      <c r="V1812" s="153"/>
      <c r="W1812" s="153"/>
      <c r="X1812" s="153"/>
      <c r="Y1812" s="153"/>
      <c r="Z1812" s="153"/>
    </row>
    <row r="1813" spans="1:26">
      <c r="A1813" s="200"/>
      <c r="B1813" s="200"/>
      <c r="C1813" s="200"/>
      <c r="D1813" s="200"/>
      <c r="E1813" s="200"/>
      <c r="F1813" s="200"/>
      <c r="G1813" s="200"/>
      <c r="H1813" s="192"/>
      <c r="I1813" s="201"/>
      <c r="J1813" s="201"/>
      <c r="K1813" s="201"/>
      <c r="L1813" s="192"/>
      <c r="M1813" s="200"/>
      <c r="N1813" s="200"/>
      <c r="O1813" s="192"/>
      <c r="P1813" s="192"/>
      <c r="Q1813" s="192"/>
      <c r="R1813" s="192"/>
      <c r="S1813" s="200"/>
      <c r="T1813" s="203"/>
      <c r="U1813" s="153"/>
      <c r="V1813" s="153"/>
      <c r="W1813" s="153"/>
      <c r="X1813" s="153"/>
      <c r="Y1813" s="153"/>
      <c r="Z1813" s="153"/>
    </row>
    <row r="1814" spans="1:26">
      <c r="A1814" s="200"/>
      <c r="B1814" s="200"/>
      <c r="C1814" s="200"/>
      <c r="D1814" s="200"/>
      <c r="E1814" s="200"/>
      <c r="F1814" s="200"/>
      <c r="G1814" s="200"/>
      <c r="H1814" s="192"/>
      <c r="I1814" s="201"/>
      <c r="J1814" s="201"/>
      <c r="K1814" s="201"/>
      <c r="L1814" s="192"/>
      <c r="M1814" s="200"/>
      <c r="N1814" s="200"/>
      <c r="O1814" s="192"/>
      <c r="P1814" s="192"/>
      <c r="Q1814" s="192"/>
      <c r="R1814" s="192"/>
      <c r="S1814" s="200"/>
      <c r="T1814" s="203"/>
      <c r="U1814" s="153"/>
      <c r="V1814" s="153"/>
      <c r="W1814" s="153"/>
      <c r="X1814" s="153"/>
      <c r="Y1814" s="153"/>
      <c r="Z1814" s="153"/>
    </row>
    <row r="1815" spans="1:26">
      <c r="A1815" s="200"/>
      <c r="B1815" s="200"/>
      <c r="C1815" s="200"/>
      <c r="D1815" s="200"/>
      <c r="E1815" s="200"/>
      <c r="F1815" s="200"/>
      <c r="G1815" s="200"/>
      <c r="H1815" s="192"/>
      <c r="I1815" s="201"/>
      <c r="J1815" s="201"/>
      <c r="K1815" s="201"/>
      <c r="L1815" s="192"/>
      <c r="M1815" s="200"/>
      <c r="N1815" s="200"/>
      <c r="O1815" s="192"/>
      <c r="P1815" s="192"/>
      <c r="Q1815" s="192"/>
      <c r="R1815" s="192"/>
      <c r="S1815" s="200"/>
      <c r="T1815" s="203"/>
      <c r="U1815" s="153"/>
      <c r="V1815" s="153"/>
      <c r="W1815" s="153"/>
      <c r="X1815" s="153"/>
      <c r="Y1815" s="153"/>
      <c r="Z1815" s="153"/>
    </row>
    <row r="1816" spans="1:26">
      <c r="A1816" s="200"/>
      <c r="B1816" s="200"/>
      <c r="C1816" s="200"/>
      <c r="D1816" s="200"/>
      <c r="E1816" s="200"/>
      <c r="F1816" s="200"/>
      <c r="G1816" s="200"/>
      <c r="H1816" s="192"/>
      <c r="I1816" s="201"/>
      <c r="J1816" s="201"/>
      <c r="K1816" s="201"/>
      <c r="L1816" s="192"/>
      <c r="M1816" s="200"/>
      <c r="N1816" s="200"/>
      <c r="O1816" s="192"/>
      <c r="P1816" s="192"/>
      <c r="Q1816" s="192"/>
      <c r="R1816" s="192"/>
      <c r="S1816" s="200"/>
      <c r="T1816" s="203"/>
      <c r="U1816" s="153"/>
      <c r="V1816" s="153"/>
      <c r="W1816" s="153"/>
      <c r="X1816" s="153"/>
      <c r="Y1816" s="153"/>
      <c r="Z1816" s="153"/>
    </row>
    <row r="1817" spans="1:26">
      <c r="A1817" s="200"/>
      <c r="B1817" s="200"/>
      <c r="C1817" s="200"/>
      <c r="D1817" s="200"/>
      <c r="E1817" s="200"/>
      <c r="F1817" s="200"/>
      <c r="G1817" s="200"/>
      <c r="H1817" s="192"/>
      <c r="I1817" s="201"/>
      <c r="J1817" s="201"/>
      <c r="K1817" s="201"/>
      <c r="L1817" s="192"/>
      <c r="M1817" s="200"/>
      <c r="N1817" s="200"/>
      <c r="O1817" s="192"/>
      <c r="P1817" s="192"/>
      <c r="Q1817" s="192"/>
      <c r="R1817" s="192"/>
      <c r="S1817" s="200"/>
      <c r="T1817" s="203"/>
      <c r="U1817" s="153"/>
      <c r="V1817" s="153"/>
      <c r="W1817" s="153"/>
      <c r="X1817" s="153"/>
      <c r="Y1817" s="153"/>
      <c r="Z1817" s="153"/>
    </row>
    <row r="1818" spans="1:26">
      <c r="A1818" s="200"/>
      <c r="B1818" s="200"/>
      <c r="C1818" s="200"/>
      <c r="D1818" s="200"/>
      <c r="E1818" s="200"/>
      <c r="F1818" s="200"/>
      <c r="G1818" s="200"/>
      <c r="H1818" s="192"/>
      <c r="I1818" s="201"/>
      <c r="J1818" s="201"/>
      <c r="K1818" s="201"/>
      <c r="L1818" s="192"/>
      <c r="M1818" s="200"/>
      <c r="N1818" s="200"/>
      <c r="O1818" s="192"/>
      <c r="P1818" s="192"/>
      <c r="Q1818" s="192"/>
      <c r="R1818" s="192"/>
      <c r="S1818" s="200"/>
      <c r="T1818" s="203"/>
      <c r="U1818" s="153"/>
      <c r="V1818" s="153"/>
      <c r="W1818" s="153"/>
      <c r="X1818" s="153"/>
      <c r="Y1818" s="153"/>
      <c r="Z1818" s="153"/>
    </row>
    <row r="1819" spans="1:26">
      <c r="A1819" s="200"/>
      <c r="B1819" s="200"/>
      <c r="C1819" s="200"/>
      <c r="D1819" s="200"/>
      <c r="E1819" s="200"/>
      <c r="F1819" s="200"/>
      <c r="G1819" s="200"/>
      <c r="H1819" s="192"/>
      <c r="I1819" s="201"/>
      <c r="J1819" s="201"/>
      <c r="K1819" s="201"/>
      <c r="L1819" s="192"/>
      <c r="M1819" s="200"/>
      <c r="N1819" s="200"/>
      <c r="O1819" s="192"/>
      <c r="P1819" s="192"/>
      <c r="Q1819" s="192"/>
      <c r="R1819" s="192"/>
      <c r="S1819" s="200"/>
      <c r="T1819" s="203"/>
      <c r="U1819" s="153"/>
      <c r="V1819" s="153"/>
      <c r="W1819" s="153"/>
      <c r="X1819" s="153"/>
      <c r="Y1819" s="153"/>
      <c r="Z1819" s="153"/>
    </row>
    <row r="1820" spans="1:26">
      <c r="A1820" s="200"/>
      <c r="B1820" s="200"/>
      <c r="C1820" s="200"/>
      <c r="D1820" s="200"/>
      <c r="E1820" s="200"/>
      <c r="F1820" s="200"/>
      <c r="G1820" s="200"/>
      <c r="H1820" s="192"/>
      <c r="I1820" s="201"/>
      <c r="J1820" s="201"/>
      <c r="K1820" s="201"/>
      <c r="L1820" s="192"/>
      <c r="M1820" s="200"/>
      <c r="N1820" s="200"/>
      <c r="O1820" s="192"/>
      <c r="P1820" s="192"/>
      <c r="Q1820" s="192"/>
      <c r="R1820" s="192"/>
      <c r="S1820" s="200"/>
      <c r="T1820" s="203"/>
      <c r="U1820" s="153"/>
      <c r="V1820" s="153"/>
      <c r="W1820" s="153"/>
      <c r="X1820" s="153"/>
      <c r="Y1820" s="153"/>
      <c r="Z1820" s="153"/>
    </row>
    <row r="1821" spans="1:26">
      <c r="A1821" s="200"/>
      <c r="B1821" s="200"/>
      <c r="C1821" s="200"/>
      <c r="D1821" s="200"/>
      <c r="E1821" s="200"/>
      <c r="F1821" s="200"/>
      <c r="G1821" s="200"/>
      <c r="H1821" s="192"/>
      <c r="I1821" s="201"/>
      <c r="J1821" s="201"/>
      <c r="K1821" s="201"/>
      <c r="L1821" s="192"/>
      <c r="M1821" s="200"/>
      <c r="N1821" s="200"/>
      <c r="O1821" s="192"/>
      <c r="P1821" s="192"/>
      <c r="Q1821" s="192"/>
      <c r="R1821" s="192"/>
      <c r="S1821" s="200"/>
      <c r="T1821" s="203"/>
      <c r="U1821" s="153"/>
      <c r="V1821" s="153"/>
      <c r="W1821" s="153"/>
      <c r="X1821" s="153"/>
      <c r="Y1821" s="153"/>
      <c r="Z1821" s="153"/>
    </row>
    <row r="1822" spans="1:26">
      <c r="A1822" s="200"/>
      <c r="B1822" s="200"/>
      <c r="C1822" s="200"/>
      <c r="D1822" s="200"/>
      <c r="E1822" s="200"/>
      <c r="F1822" s="200"/>
      <c r="G1822" s="200"/>
      <c r="H1822" s="192"/>
      <c r="I1822" s="201"/>
      <c r="J1822" s="201"/>
      <c r="K1822" s="201"/>
      <c r="L1822" s="192"/>
      <c r="M1822" s="200"/>
      <c r="N1822" s="200"/>
      <c r="O1822" s="192"/>
      <c r="P1822" s="192"/>
      <c r="Q1822" s="192"/>
      <c r="R1822" s="192"/>
      <c r="S1822" s="200"/>
      <c r="T1822" s="203"/>
      <c r="U1822" s="153"/>
      <c r="V1822" s="153"/>
      <c r="W1822" s="153"/>
      <c r="X1822" s="153"/>
      <c r="Y1822" s="153"/>
      <c r="Z1822" s="153"/>
    </row>
    <row r="1823" spans="1:26">
      <c r="A1823" s="200"/>
      <c r="B1823" s="200"/>
      <c r="C1823" s="200"/>
      <c r="D1823" s="200"/>
      <c r="E1823" s="200"/>
      <c r="F1823" s="200"/>
      <c r="G1823" s="200"/>
      <c r="H1823" s="192"/>
      <c r="I1823" s="201"/>
      <c r="J1823" s="201"/>
      <c r="K1823" s="201"/>
      <c r="L1823" s="192"/>
      <c r="M1823" s="200"/>
      <c r="N1823" s="200"/>
      <c r="O1823" s="192"/>
      <c r="P1823" s="192"/>
      <c r="Q1823" s="192"/>
      <c r="R1823" s="192"/>
      <c r="S1823" s="200"/>
      <c r="T1823" s="203"/>
      <c r="U1823" s="153"/>
      <c r="V1823" s="153"/>
      <c r="W1823" s="153"/>
      <c r="X1823" s="153"/>
      <c r="Y1823" s="153"/>
      <c r="Z1823" s="153"/>
    </row>
    <row r="1824" spans="1:26">
      <c r="A1824" s="200"/>
      <c r="B1824" s="200"/>
      <c r="C1824" s="200"/>
      <c r="D1824" s="200"/>
      <c r="E1824" s="200"/>
      <c r="F1824" s="200"/>
      <c r="G1824" s="200"/>
      <c r="H1824" s="192"/>
      <c r="I1824" s="201"/>
      <c r="J1824" s="201"/>
      <c r="K1824" s="201"/>
      <c r="L1824" s="192"/>
      <c r="M1824" s="200"/>
      <c r="N1824" s="200"/>
      <c r="O1824" s="192"/>
      <c r="P1824" s="192"/>
      <c r="Q1824" s="192"/>
      <c r="R1824" s="192"/>
      <c r="S1824" s="200"/>
      <c r="T1824" s="203"/>
      <c r="U1824" s="153"/>
      <c r="V1824" s="153"/>
      <c r="W1824" s="153"/>
      <c r="X1824" s="153"/>
      <c r="Y1824" s="153"/>
      <c r="Z1824" s="153"/>
    </row>
    <row r="1825" spans="1:26">
      <c r="A1825" s="200"/>
      <c r="B1825" s="200"/>
      <c r="C1825" s="200"/>
      <c r="D1825" s="200"/>
      <c r="E1825" s="200"/>
      <c r="F1825" s="200"/>
      <c r="G1825" s="200"/>
      <c r="H1825" s="192"/>
      <c r="I1825" s="201"/>
      <c r="J1825" s="201"/>
      <c r="K1825" s="201"/>
      <c r="L1825" s="192"/>
      <c r="M1825" s="200"/>
      <c r="N1825" s="200"/>
      <c r="O1825" s="192"/>
      <c r="P1825" s="192"/>
      <c r="Q1825" s="192"/>
      <c r="R1825" s="192"/>
      <c r="S1825" s="200"/>
      <c r="T1825" s="203"/>
      <c r="U1825" s="153"/>
      <c r="V1825" s="153"/>
      <c r="W1825" s="153"/>
      <c r="X1825" s="153"/>
      <c r="Y1825" s="153"/>
      <c r="Z1825" s="153"/>
    </row>
    <row r="1826" spans="1:26">
      <c r="A1826" s="200"/>
      <c r="B1826" s="200"/>
      <c r="C1826" s="200"/>
      <c r="D1826" s="200"/>
      <c r="E1826" s="200"/>
      <c r="F1826" s="200"/>
      <c r="G1826" s="200"/>
      <c r="H1826" s="192"/>
      <c r="I1826" s="201"/>
      <c r="J1826" s="201"/>
      <c r="K1826" s="201"/>
      <c r="L1826" s="192"/>
      <c r="M1826" s="200"/>
      <c r="N1826" s="200"/>
      <c r="O1826" s="192"/>
      <c r="P1826" s="192"/>
      <c r="Q1826" s="192"/>
      <c r="R1826" s="192"/>
      <c r="S1826" s="200"/>
      <c r="T1826" s="203"/>
      <c r="U1826" s="153"/>
      <c r="V1826" s="153"/>
      <c r="W1826" s="153"/>
      <c r="X1826" s="153"/>
      <c r="Y1826" s="153"/>
      <c r="Z1826" s="153"/>
    </row>
    <row r="1827" spans="1:26">
      <c r="A1827" s="200"/>
      <c r="B1827" s="200"/>
      <c r="C1827" s="200"/>
      <c r="D1827" s="200"/>
      <c r="E1827" s="200"/>
      <c r="F1827" s="200"/>
      <c r="G1827" s="200"/>
      <c r="H1827" s="192"/>
      <c r="I1827" s="201"/>
      <c r="J1827" s="201"/>
      <c r="K1827" s="201"/>
      <c r="L1827" s="192"/>
      <c r="M1827" s="200"/>
      <c r="N1827" s="200"/>
      <c r="O1827" s="192"/>
      <c r="P1827" s="192"/>
      <c r="Q1827" s="192"/>
      <c r="R1827" s="192"/>
      <c r="S1827" s="200"/>
      <c r="T1827" s="203"/>
      <c r="U1827" s="153"/>
      <c r="V1827" s="153"/>
      <c r="W1827" s="153"/>
      <c r="X1827" s="153"/>
      <c r="Y1827" s="153"/>
      <c r="Z1827" s="153"/>
    </row>
    <row r="1828" spans="1:26">
      <c r="A1828" s="200"/>
      <c r="B1828" s="200"/>
      <c r="C1828" s="200"/>
      <c r="D1828" s="200"/>
      <c r="E1828" s="200"/>
      <c r="F1828" s="200"/>
      <c r="G1828" s="200"/>
      <c r="H1828" s="192"/>
      <c r="I1828" s="201"/>
      <c r="J1828" s="201"/>
      <c r="K1828" s="201"/>
      <c r="L1828" s="192"/>
      <c r="M1828" s="200"/>
      <c r="N1828" s="200"/>
      <c r="O1828" s="192"/>
      <c r="P1828" s="192"/>
      <c r="Q1828" s="192"/>
      <c r="R1828" s="192"/>
      <c r="S1828" s="200"/>
      <c r="T1828" s="203"/>
      <c r="U1828" s="153"/>
      <c r="V1828" s="153"/>
      <c r="W1828" s="153"/>
      <c r="X1828" s="153"/>
      <c r="Y1828" s="153"/>
      <c r="Z1828" s="153"/>
    </row>
    <row r="1829" spans="1:26">
      <c r="A1829" s="200"/>
      <c r="B1829" s="200"/>
      <c r="C1829" s="200"/>
      <c r="D1829" s="200"/>
      <c r="E1829" s="200"/>
      <c r="F1829" s="200"/>
      <c r="G1829" s="200"/>
      <c r="H1829" s="192"/>
      <c r="I1829" s="201"/>
      <c r="J1829" s="201"/>
      <c r="K1829" s="201"/>
      <c r="L1829" s="192"/>
      <c r="M1829" s="200"/>
      <c r="N1829" s="200"/>
      <c r="O1829" s="192"/>
      <c r="P1829" s="192"/>
      <c r="Q1829" s="192"/>
      <c r="R1829" s="192"/>
      <c r="S1829" s="200"/>
      <c r="T1829" s="203"/>
      <c r="U1829" s="153"/>
      <c r="V1829" s="153"/>
      <c r="W1829" s="153"/>
      <c r="X1829" s="153"/>
      <c r="Y1829" s="153"/>
      <c r="Z1829" s="153"/>
    </row>
    <row r="1830" spans="1:26">
      <c r="A1830" s="200"/>
      <c r="B1830" s="200"/>
      <c r="C1830" s="200"/>
      <c r="D1830" s="200"/>
      <c r="E1830" s="200"/>
      <c r="F1830" s="200"/>
      <c r="G1830" s="200"/>
      <c r="H1830" s="192"/>
      <c r="I1830" s="201"/>
      <c r="J1830" s="201"/>
      <c r="K1830" s="201"/>
      <c r="L1830" s="192"/>
      <c r="M1830" s="200"/>
      <c r="N1830" s="200"/>
      <c r="O1830" s="192"/>
      <c r="P1830" s="192"/>
      <c r="Q1830" s="192"/>
      <c r="R1830" s="192"/>
      <c r="S1830" s="200"/>
      <c r="T1830" s="203"/>
      <c r="U1830" s="153"/>
      <c r="V1830" s="153"/>
      <c r="W1830" s="153"/>
      <c r="X1830" s="153"/>
      <c r="Y1830" s="153"/>
      <c r="Z1830" s="153"/>
    </row>
    <row r="1831" spans="1:26">
      <c r="A1831" s="200"/>
      <c r="B1831" s="200"/>
      <c r="C1831" s="200"/>
      <c r="D1831" s="200"/>
      <c r="E1831" s="200"/>
      <c r="F1831" s="200"/>
      <c r="G1831" s="200"/>
      <c r="H1831" s="192"/>
      <c r="I1831" s="201"/>
      <c r="J1831" s="201"/>
      <c r="K1831" s="201"/>
      <c r="L1831" s="192"/>
      <c r="M1831" s="200"/>
      <c r="N1831" s="200"/>
      <c r="O1831" s="192"/>
      <c r="P1831" s="192"/>
      <c r="Q1831" s="192"/>
      <c r="R1831" s="192"/>
      <c r="S1831" s="200"/>
      <c r="T1831" s="203"/>
      <c r="U1831" s="153"/>
      <c r="V1831" s="153"/>
      <c r="W1831" s="153"/>
      <c r="X1831" s="153"/>
      <c r="Y1831" s="153"/>
      <c r="Z1831" s="153"/>
    </row>
    <row r="1832" spans="1:26">
      <c r="A1832" s="200"/>
      <c r="B1832" s="200"/>
      <c r="C1832" s="200"/>
      <c r="D1832" s="200"/>
      <c r="E1832" s="200"/>
      <c r="F1832" s="200"/>
      <c r="G1832" s="200"/>
      <c r="H1832" s="192"/>
      <c r="I1832" s="201"/>
      <c r="J1832" s="201"/>
      <c r="K1832" s="201"/>
      <c r="L1832" s="192"/>
      <c r="M1832" s="200"/>
      <c r="N1832" s="200"/>
      <c r="O1832" s="192"/>
      <c r="P1832" s="192"/>
      <c r="Q1832" s="192"/>
      <c r="R1832" s="192"/>
      <c r="S1832" s="200"/>
      <c r="T1832" s="203"/>
      <c r="U1832" s="153"/>
      <c r="V1832" s="153"/>
      <c r="W1832" s="153"/>
      <c r="X1832" s="153"/>
      <c r="Y1832" s="153"/>
      <c r="Z1832" s="153"/>
    </row>
    <row r="1833" spans="1:26">
      <c r="A1833" s="200"/>
      <c r="B1833" s="200"/>
      <c r="C1833" s="200"/>
      <c r="D1833" s="200"/>
      <c r="E1833" s="200"/>
      <c r="F1833" s="200"/>
      <c r="G1833" s="200"/>
      <c r="H1833" s="192"/>
      <c r="I1833" s="201"/>
      <c r="J1833" s="201"/>
      <c r="K1833" s="201"/>
      <c r="L1833" s="192"/>
      <c r="M1833" s="200"/>
      <c r="N1833" s="200"/>
      <c r="O1833" s="192"/>
      <c r="P1833" s="192"/>
      <c r="Q1833" s="192"/>
      <c r="R1833" s="192"/>
      <c r="S1833" s="200"/>
      <c r="T1833" s="203"/>
      <c r="U1833" s="153"/>
      <c r="V1833" s="153"/>
      <c r="W1833" s="153"/>
      <c r="X1833" s="153"/>
      <c r="Y1833" s="153"/>
      <c r="Z1833" s="153"/>
    </row>
    <row r="1834" spans="1:26">
      <c r="A1834" s="200"/>
      <c r="B1834" s="200"/>
      <c r="C1834" s="200"/>
      <c r="D1834" s="200"/>
      <c r="E1834" s="200"/>
      <c r="F1834" s="200"/>
      <c r="G1834" s="200"/>
      <c r="H1834" s="192"/>
      <c r="I1834" s="201"/>
      <c r="J1834" s="201"/>
      <c r="K1834" s="201"/>
      <c r="L1834" s="192"/>
      <c r="M1834" s="200"/>
      <c r="N1834" s="200"/>
      <c r="O1834" s="192"/>
      <c r="P1834" s="192"/>
      <c r="Q1834" s="192"/>
      <c r="R1834" s="192"/>
      <c r="S1834" s="200"/>
      <c r="T1834" s="203"/>
      <c r="U1834" s="153"/>
      <c r="V1834" s="153"/>
      <c r="W1834" s="153"/>
      <c r="X1834" s="153"/>
      <c r="Y1834" s="153"/>
      <c r="Z1834" s="153"/>
    </row>
    <row r="1835" spans="1:26">
      <c r="A1835" s="200"/>
      <c r="B1835" s="200"/>
      <c r="C1835" s="200"/>
      <c r="D1835" s="200"/>
      <c r="E1835" s="200"/>
      <c r="F1835" s="200"/>
      <c r="G1835" s="200"/>
      <c r="H1835" s="192"/>
      <c r="I1835" s="201"/>
      <c r="J1835" s="201"/>
      <c r="K1835" s="201"/>
      <c r="L1835" s="192"/>
      <c r="M1835" s="200"/>
      <c r="N1835" s="200"/>
      <c r="O1835" s="192"/>
      <c r="P1835" s="192"/>
      <c r="Q1835" s="192"/>
      <c r="R1835" s="192"/>
      <c r="S1835" s="200"/>
      <c r="T1835" s="203"/>
      <c r="U1835" s="153"/>
      <c r="V1835" s="153"/>
      <c r="W1835" s="153"/>
      <c r="X1835" s="153"/>
      <c r="Y1835" s="153"/>
      <c r="Z1835" s="153"/>
    </row>
    <row r="1836" spans="1:26">
      <c r="A1836" s="200"/>
      <c r="B1836" s="200"/>
      <c r="C1836" s="200"/>
      <c r="D1836" s="200"/>
      <c r="E1836" s="200"/>
      <c r="F1836" s="200"/>
      <c r="G1836" s="200"/>
      <c r="H1836" s="192"/>
      <c r="I1836" s="201"/>
      <c r="J1836" s="201"/>
      <c r="K1836" s="201"/>
      <c r="L1836" s="192"/>
      <c r="M1836" s="200"/>
      <c r="N1836" s="200"/>
      <c r="O1836" s="192"/>
      <c r="P1836" s="192"/>
      <c r="Q1836" s="192"/>
      <c r="R1836" s="192"/>
      <c r="S1836" s="200"/>
      <c r="T1836" s="203"/>
      <c r="U1836" s="153"/>
      <c r="V1836" s="153"/>
      <c r="W1836" s="153"/>
      <c r="X1836" s="153"/>
      <c r="Y1836" s="153"/>
      <c r="Z1836" s="153"/>
    </row>
    <row r="1837" spans="1:26">
      <c r="A1837" s="200"/>
      <c r="B1837" s="200"/>
      <c r="C1837" s="200"/>
      <c r="D1837" s="200"/>
      <c r="E1837" s="200"/>
      <c r="F1837" s="200"/>
      <c r="G1837" s="200"/>
      <c r="H1837" s="192"/>
      <c r="I1837" s="201"/>
      <c r="J1837" s="201"/>
      <c r="K1837" s="201"/>
      <c r="L1837" s="192"/>
      <c r="M1837" s="200"/>
      <c r="N1837" s="200"/>
      <c r="O1837" s="192"/>
      <c r="P1837" s="192"/>
      <c r="Q1837" s="192"/>
      <c r="R1837" s="192"/>
      <c r="S1837" s="200"/>
      <c r="T1837" s="203"/>
      <c r="U1837" s="153"/>
      <c r="V1837" s="153"/>
      <c r="W1837" s="153"/>
      <c r="X1837" s="153"/>
      <c r="Y1837" s="153"/>
      <c r="Z1837" s="153"/>
    </row>
    <row r="1838" spans="1:26">
      <c r="A1838" s="200"/>
      <c r="B1838" s="200"/>
      <c r="C1838" s="200"/>
      <c r="D1838" s="200"/>
      <c r="E1838" s="200"/>
      <c r="F1838" s="200"/>
      <c r="G1838" s="200"/>
      <c r="H1838" s="192"/>
      <c r="I1838" s="201"/>
      <c r="J1838" s="201"/>
      <c r="K1838" s="201"/>
      <c r="L1838" s="192"/>
      <c r="M1838" s="200"/>
      <c r="N1838" s="200"/>
      <c r="O1838" s="192"/>
      <c r="P1838" s="192"/>
      <c r="Q1838" s="192"/>
      <c r="R1838" s="192"/>
      <c r="S1838" s="200"/>
      <c r="T1838" s="203"/>
      <c r="U1838" s="153"/>
      <c r="V1838" s="153"/>
      <c r="W1838" s="153"/>
      <c r="X1838" s="153"/>
      <c r="Y1838" s="153"/>
      <c r="Z1838" s="153"/>
    </row>
    <row r="1839" spans="1:26">
      <c r="A1839" s="200"/>
      <c r="B1839" s="200"/>
      <c r="C1839" s="200"/>
      <c r="D1839" s="200"/>
      <c r="E1839" s="200"/>
      <c r="F1839" s="200"/>
      <c r="G1839" s="200"/>
      <c r="H1839" s="192"/>
      <c r="I1839" s="201"/>
      <c r="J1839" s="201"/>
      <c r="K1839" s="201"/>
      <c r="L1839" s="192"/>
      <c r="M1839" s="200"/>
      <c r="N1839" s="200"/>
      <c r="O1839" s="192"/>
      <c r="P1839" s="192"/>
      <c r="Q1839" s="192"/>
      <c r="R1839" s="192"/>
      <c r="S1839" s="200"/>
      <c r="T1839" s="203"/>
      <c r="U1839" s="153"/>
      <c r="V1839" s="153"/>
      <c r="W1839" s="153"/>
      <c r="X1839" s="153"/>
      <c r="Y1839" s="153"/>
      <c r="Z1839" s="153"/>
    </row>
    <row r="1840" spans="1:26">
      <c r="A1840" s="200"/>
      <c r="B1840" s="200"/>
      <c r="C1840" s="200"/>
      <c r="D1840" s="200"/>
      <c r="E1840" s="200"/>
      <c r="F1840" s="200"/>
      <c r="G1840" s="200"/>
      <c r="H1840" s="192"/>
      <c r="I1840" s="201"/>
      <c r="J1840" s="201"/>
      <c r="K1840" s="201"/>
      <c r="L1840" s="192"/>
      <c r="M1840" s="200"/>
      <c r="N1840" s="200"/>
      <c r="O1840" s="192"/>
      <c r="P1840" s="192"/>
      <c r="Q1840" s="192"/>
      <c r="R1840" s="192"/>
      <c r="S1840" s="200"/>
      <c r="T1840" s="203"/>
      <c r="U1840" s="153"/>
      <c r="V1840" s="153"/>
      <c r="W1840" s="153"/>
      <c r="X1840" s="153"/>
      <c r="Y1840" s="153"/>
      <c r="Z1840" s="153"/>
    </row>
    <row r="1841" spans="1:26">
      <c r="A1841" s="200"/>
      <c r="B1841" s="200"/>
      <c r="C1841" s="200"/>
      <c r="D1841" s="200"/>
      <c r="E1841" s="200"/>
      <c r="F1841" s="200"/>
      <c r="G1841" s="200"/>
      <c r="H1841" s="192"/>
      <c r="I1841" s="201"/>
      <c r="J1841" s="201"/>
      <c r="K1841" s="201"/>
      <c r="L1841" s="192"/>
      <c r="M1841" s="200"/>
      <c r="N1841" s="200"/>
      <c r="O1841" s="192"/>
      <c r="P1841" s="192"/>
      <c r="Q1841" s="192"/>
      <c r="R1841" s="192"/>
      <c r="S1841" s="200"/>
      <c r="T1841" s="203"/>
      <c r="U1841" s="153"/>
      <c r="V1841" s="153"/>
      <c r="W1841" s="153"/>
      <c r="X1841" s="153"/>
      <c r="Y1841" s="153"/>
      <c r="Z1841" s="153"/>
    </row>
    <row r="1842" spans="1:26">
      <c r="A1842" s="200"/>
      <c r="B1842" s="200"/>
      <c r="C1842" s="200"/>
      <c r="D1842" s="200"/>
      <c r="E1842" s="200"/>
      <c r="F1842" s="200"/>
      <c r="G1842" s="200"/>
      <c r="H1842" s="192"/>
      <c r="I1842" s="201"/>
      <c r="J1842" s="201"/>
      <c r="K1842" s="201"/>
      <c r="L1842" s="192"/>
      <c r="M1842" s="200"/>
      <c r="N1842" s="200"/>
      <c r="O1842" s="192"/>
      <c r="P1842" s="192"/>
      <c r="Q1842" s="192"/>
      <c r="R1842" s="192"/>
      <c r="S1842" s="200"/>
      <c r="T1842" s="203"/>
      <c r="U1842" s="153"/>
      <c r="V1842" s="153"/>
      <c r="W1842" s="153"/>
      <c r="X1842" s="153"/>
      <c r="Y1842" s="153"/>
      <c r="Z1842" s="153"/>
    </row>
    <row r="1843" spans="1:26">
      <c r="A1843" s="200"/>
      <c r="B1843" s="200"/>
      <c r="C1843" s="200"/>
      <c r="D1843" s="200"/>
      <c r="E1843" s="200"/>
      <c r="F1843" s="200"/>
      <c r="G1843" s="200"/>
      <c r="H1843" s="192"/>
      <c r="I1843" s="201"/>
      <c r="J1843" s="201"/>
      <c r="K1843" s="201"/>
      <c r="L1843" s="192"/>
      <c r="M1843" s="200"/>
      <c r="N1843" s="200"/>
      <c r="O1843" s="192"/>
      <c r="P1843" s="192"/>
      <c r="Q1843" s="192"/>
      <c r="R1843" s="192"/>
      <c r="S1843" s="200"/>
      <c r="T1843" s="203"/>
      <c r="U1843" s="153"/>
      <c r="V1843" s="153"/>
      <c r="W1843" s="153"/>
      <c r="X1843" s="153"/>
      <c r="Y1843" s="153"/>
      <c r="Z1843" s="153"/>
    </row>
    <row r="1844" spans="1:26">
      <c r="A1844" s="200"/>
      <c r="B1844" s="200"/>
      <c r="C1844" s="200"/>
      <c r="D1844" s="200"/>
      <c r="E1844" s="200"/>
      <c r="F1844" s="200"/>
      <c r="G1844" s="200"/>
      <c r="H1844" s="192"/>
      <c r="I1844" s="201"/>
      <c r="J1844" s="201"/>
      <c r="K1844" s="201"/>
      <c r="L1844" s="192"/>
      <c r="M1844" s="200"/>
      <c r="N1844" s="200"/>
      <c r="O1844" s="192"/>
      <c r="P1844" s="192"/>
      <c r="Q1844" s="192"/>
      <c r="R1844" s="192"/>
      <c r="S1844" s="200"/>
      <c r="T1844" s="203"/>
      <c r="U1844" s="153"/>
      <c r="V1844" s="153"/>
      <c r="W1844" s="153"/>
      <c r="X1844" s="153"/>
      <c r="Y1844" s="153"/>
      <c r="Z1844" s="153"/>
    </row>
    <row r="1845" spans="1:26">
      <c r="A1845" s="200"/>
      <c r="B1845" s="200"/>
      <c r="C1845" s="200"/>
      <c r="D1845" s="200"/>
      <c r="E1845" s="200"/>
      <c r="F1845" s="200"/>
      <c r="G1845" s="200"/>
      <c r="H1845" s="192"/>
      <c r="I1845" s="201"/>
      <c r="J1845" s="201"/>
      <c r="K1845" s="201"/>
      <c r="L1845" s="192"/>
      <c r="M1845" s="200"/>
      <c r="N1845" s="200"/>
      <c r="O1845" s="192"/>
      <c r="P1845" s="192"/>
      <c r="Q1845" s="192"/>
      <c r="R1845" s="192"/>
      <c r="S1845" s="200"/>
      <c r="T1845" s="203"/>
      <c r="U1845" s="153"/>
      <c r="V1845" s="153"/>
      <c r="W1845" s="153"/>
      <c r="X1845" s="153"/>
      <c r="Y1845" s="153"/>
      <c r="Z1845" s="153"/>
    </row>
    <row r="1846" spans="1:26">
      <c r="A1846" s="200"/>
      <c r="B1846" s="200"/>
      <c r="C1846" s="200"/>
      <c r="D1846" s="200"/>
      <c r="E1846" s="200"/>
      <c r="F1846" s="200"/>
      <c r="G1846" s="200"/>
      <c r="H1846" s="192"/>
      <c r="I1846" s="201"/>
      <c r="J1846" s="201"/>
      <c r="K1846" s="201"/>
      <c r="L1846" s="192"/>
      <c r="M1846" s="200"/>
      <c r="N1846" s="200"/>
      <c r="O1846" s="192"/>
      <c r="P1846" s="192"/>
      <c r="Q1846" s="192"/>
      <c r="R1846" s="192"/>
      <c r="S1846" s="200"/>
      <c r="T1846" s="203"/>
      <c r="U1846" s="153"/>
      <c r="V1846" s="153"/>
      <c r="W1846" s="153"/>
      <c r="X1846" s="153"/>
      <c r="Y1846" s="153"/>
      <c r="Z1846" s="153"/>
    </row>
    <row r="1847" spans="1:26">
      <c r="A1847" s="200"/>
      <c r="B1847" s="200"/>
      <c r="C1847" s="200"/>
      <c r="D1847" s="200"/>
      <c r="E1847" s="200"/>
      <c r="F1847" s="200"/>
      <c r="G1847" s="200"/>
      <c r="H1847" s="192"/>
      <c r="I1847" s="201"/>
      <c r="J1847" s="201"/>
      <c r="K1847" s="201"/>
      <c r="L1847" s="192"/>
      <c r="M1847" s="200"/>
      <c r="N1847" s="200"/>
      <c r="O1847" s="192"/>
      <c r="P1847" s="192"/>
      <c r="Q1847" s="192"/>
      <c r="R1847" s="192"/>
      <c r="S1847" s="200"/>
      <c r="T1847" s="203"/>
      <c r="U1847" s="153"/>
      <c r="V1847" s="153"/>
      <c r="W1847" s="153"/>
      <c r="X1847" s="153"/>
      <c r="Y1847" s="153"/>
      <c r="Z1847" s="153"/>
    </row>
    <row r="1848" spans="1:26">
      <c r="A1848" s="200"/>
      <c r="B1848" s="200"/>
      <c r="C1848" s="200"/>
      <c r="D1848" s="200"/>
      <c r="E1848" s="200"/>
      <c r="F1848" s="200"/>
      <c r="G1848" s="200"/>
      <c r="H1848" s="192"/>
      <c r="I1848" s="201"/>
      <c r="J1848" s="201"/>
      <c r="K1848" s="201"/>
      <c r="L1848" s="192"/>
      <c r="M1848" s="200"/>
      <c r="N1848" s="200"/>
      <c r="O1848" s="192"/>
      <c r="P1848" s="192"/>
      <c r="Q1848" s="192"/>
      <c r="R1848" s="192"/>
      <c r="S1848" s="200"/>
      <c r="T1848" s="203"/>
      <c r="U1848" s="153"/>
      <c r="V1848" s="153"/>
      <c r="W1848" s="153"/>
      <c r="X1848" s="153"/>
      <c r="Y1848" s="153"/>
      <c r="Z1848" s="153"/>
    </row>
    <row r="1849" spans="1:26">
      <c r="A1849" s="200"/>
      <c r="B1849" s="200"/>
      <c r="C1849" s="200"/>
      <c r="D1849" s="200"/>
      <c r="E1849" s="200"/>
      <c r="F1849" s="200"/>
      <c r="G1849" s="200"/>
      <c r="H1849" s="192"/>
      <c r="I1849" s="201"/>
      <c r="J1849" s="201"/>
      <c r="K1849" s="201"/>
      <c r="L1849" s="192"/>
      <c r="M1849" s="200"/>
      <c r="N1849" s="200"/>
      <c r="O1849" s="192"/>
      <c r="P1849" s="192"/>
      <c r="Q1849" s="192"/>
      <c r="R1849" s="192"/>
      <c r="S1849" s="200"/>
      <c r="T1849" s="203"/>
      <c r="U1849" s="153"/>
      <c r="V1849" s="153"/>
      <c r="W1849" s="153"/>
      <c r="X1849" s="153"/>
      <c r="Y1849" s="153"/>
      <c r="Z1849" s="153"/>
    </row>
    <row r="1850" spans="1:26">
      <c r="A1850" s="200"/>
      <c r="B1850" s="200"/>
      <c r="C1850" s="200"/>
      <c r="D1850" s="200"/>
      <c r="E1850" s="200"/>
      <c r="F1850" s="200"/>
      <c r="G1850" s="200"/>
      <c r="H1850" s="192"/>
      <c r="I1850" s="201"/>
      <c r="J1850" s="201"/>
      <c r="K1850" s="201"/>
      <c r="L1850" s="192"/>
      <c r="M1850" s="200"/>
      <c r="N1850" s="200"/>
      <c r="O1850" s="192"/>
      <c r="P1850" s="192"/>
      <c r="Q1850" s="192"/>
      <c r="R1850" s="192"/>
      <c r="S1850" s="200"/>
      <c r="T1850" s="203"/>
      <c r="U1850" s="153"/>
      <c r="V1850" s="153"/>
      <c r="W1850" s="153"/>
      <c r="X1850" s="153"/>
      <c r="Y1850" s="153"/>
      <c r="Z1850" s="153"/>
    </row>
    <row r="1851" spans="1:26">
      <c r="A1851" s="200"/>
      <c r="B1851" s="200"/>
      <c r="C1851" s="200"/>
      <c r="D1851" s="200"/>
      <c r="E1851" s="200"/>
      <c r="F1851" s="200"/>
      <c r="G1851" s="200"/>
      <c r="H1851" s="192"/>
      <c r="I1851" s="201"/>
      <c r="J1851" s="201"/>
      <c r="K1851" s="201"/>
      <c r="L1851" s="192"/>
      <c r="M1851" s="200"/>
      <c r="N1851" s="200"/>
      <c r="O1851" s="192"/>
      <c r="P1851" s="192"/>
      <c r="Q1851" s="192"/>
      <c r="R1851" s="192"/>
      <c r="S1851" s="200"/>
      <c r="T1851" s="203"/>
      <c r="U1851" s="153"/>
      <c r="V1851" s="153"/>
      <c r="W1851" s="153"/>
      <c r="X1851" s="153"/>
      <c r="Y1851" s="153"/>
      <c r="Z1851" s="153"/>
    </row>
    <row r="1852" spans="1:26">
      <c r="A1852" s="200"/>
      <c r="B1852" s="200"/>
      <c r="C1852" s="200"/>
      <c r="D1852" s="200"/>
      <c r="E1852" s="200"/>
      <c r="F1852" s="200"/>
      <c r="G1852" s="200"/>
      <c r="H1852" s="192"/>
      <c r="I1852" s="201"/>
      <c r="J1852" s="201"/>
      <c r="K1852" s="201"/>
      <c r="L1852" s="192"/>
      <c r="M1852" s="200"/>
      <c r="N1852" s="200"/>
      <c r="O1852" s="192"/>
      <c r="P1852" s="192"/>
      <c r="Q1852" s="192"/>
      <c r="R1852" s="192"/>
      <c r="S1852" s="200"/>
      <c r="T1852" s="203"/>
      <c r="U1852" s="153"/>
      <c r="V1852" s="153"/>
      <c r="W1852" s="153"/>
      <c r="X1852" s="153"/>
      <c r="Y1852" s="153"/>
      <c r="Z1852" s="153"/>
    </row>
    <row r="1853" spans="1:26">
      <c r="A1853" s="200"/>
      <c r="B1853" s="200"/>
      <c r="C1853" s="200"/>
      <c r="D1853" s="200"/>
      <c r="E1853" s="200"/>
      <c r="F1853" s="200"/>
      <c r="G1853" s="200"/>
      <c r="H1853" s="192"/>
      <c r="I1853" s="201"/>
      <c r="J1853" s="201"/>
      <c r="K1853" s="201"/>
      <c r="L1853" s="192"/>
      <c r="M1853" s="200"/>
      <c r="N1853" s="200"/>
      <c r="O1853" s="192"/>
      <c r="P1853" s="192"/>
      <c r="Q1853" s="192"/>
      <c r="R1853" s="192"/>
      <c r="S1853" s="200"/>
      <c r="T1853" s="203"/>
      <c r="U1853" s="153"/>
      <c r="V1853" s="153"/>
      <c r="W1853" s="153"/>
      <c r="X1853" s="153"/>
      <c r="Y1853" s="153"/>
      <c r="Z1853" s="153"/>
    </row>
    <row r="1854" spans="1:26">
      <c r="A1854" s="200"/>
      <c r="B1854" s="200"/>
      <c r="C1854" s="200"/>
      <c r="D1854" s="200"/>
      <c r="E1854" s="200"/>
      <c r="F1854" s="200"/>
      <c r="G1854" s="200"/>
      <c r="H1854" s="192"/>
      <c r="I1854" s="201"/>
      <c r="J1854" s="201"/>
      <c r="K1854" s="201"/>
      <c r="L1854" s="192"/>
      <c r="M1854" s="200"/>
      <c r="N1854" s="200"/>
      <c r="O1854" s="192"/>
      <c r="P1854" s="192"/>
      <c r="Q1854" s="192"/>
      <c r="R1854" s="192"/>
      <c r="S1854" s="200"/>
      <c r="T1854" s="203"/>
      <c r="U1854" s="153"/>
      <c r="V1854" s="153"/>
      <c r="W1854" s="153"/>
      <c r="X1854" s="153"/>
      <c r="Y1854" s="153"/>
      <c r="Z1854" s="153"/>
    </row>
    <row r="1855" spans="1:26">
      <c r="A1855" s="200"/>
      <c r="B1855" s="200"/>
      <c r="C1855" s="200"/>
      <c r="D1855" s="200"/>
      <c r="E1855" s="200"/>
      <c r="F1855" s="200"/>
      <c r="G1855" s="200"/>
      <c r="H1855" s="192"/>
      <c r="I1855" s="201"/>
      <c r="J1855" s="201"/>
      <c r="K1855" s="201"/>
      <c r="L1855" s="192"/>
      <c r="M1855" s="200"/>
      <c r="N1855" s="200"/>
      <c r="O1855" s="192"/>
      <c r="P1855" s="192"/>
      <c r="Q1855" s="192"/>
      <c r="R1855" s="192"/>
      <c r="S1855" s="200"/>
      <c r="T1855" s="203"/>
      <c r="U1855" s="153"/>
      <c r="V1855" s="153"/>
      <c r="W1855" s="153"/>
      <c r="X1855" s="153"/>
      <c r="Y1855" s="153"/>
      <c r="Z1855" s="153"/>
    </row>
    <row r="1856" spans="1:26">
      <c r="A1856" s="200"/>
      <c r="B1856" s="200"/>
      <c r="C1856" s="200"/>
      <c r="D1856" s="200"/>
      <c r="E1856" s="200"/>
      <c r="F1856" s="200"/>
      <c r="G1856" s="200"/>
      <c r="H1856" s="192"/>
      <c r="I1856" s="201"/>
      <c r="J1856" s="201"/>
      <c r="K1856" s="201"/>
      <c r="L1856" s="192"/>
      <c r="M1856" s="200"/>
      <c r="N1856" s="200"/>
      <c r="O1856" s="192"/>
      <c r="P1856" s="192"/>
      <c r="Q1856" s="192"/>
      <c r="R1856" s="192"/>
      <c r="S1856" s="200"/>
      <c r="T1856" s="203"/>
      <c r="U1856" s="153"/>
      <c r="V1856" s="153"/>
      <c r="W1856" s="153"/>
      <c r="X1856" s="153"/>
      <c r="Y1856" s="153"/>
      <c r="Z1856" s="153"/>
    </row>
    <row r="1857" spans="1:26">
      <c r="A1857" s="200"/>
      <c r="B1857" s="200"/>
      <c r="C1857" s="200"/>
      <c r="D1857" s="200"/>
      <c r="E1857" s="200"/>
      <c r="F1857" s="200"/>
      <c r="G1857" s="200"/>
      <c r="H1857" s="192"/>
      <c r="I1857" s="201"/>
      <c r="J1857" s="201"/>
      <c r="K1857" s="201"/>
      <c r="L1857" s="192"/>
      <c r="M1857" s="200"/>
      <c r="N1857" s="200"/>
      <c r="O1857" s="192"/>
      <c r="P1857" s="192"/>
      <c r="Q1857" s="192"/>
      <c r="R1857" s="192"/>
      <c r="S1857" s="200"/>
      <c r="T1857" s="203"/>
      <c r="U1857" s="153"/>
      <c r="V1857" s="153"/>
      <c r="W1857" s="153"/>
      <c r="X1857" s="153"/>
      <c r="Y1857" s="153"/>
      <c r="Z1857" s="153"/>
    </row>
    <row r="1858" spans="1:26">
      <c r="A1858" s="200"/>
      <c r="B1858" s="200"/>
      <c r="C1858" s="200"/>
      <c r="D1858" s="200"/>
      <c r="E1858" s="200"/>
      <c r="F1858" s="200"/>
      <c r="G1858" s="200"/>
      <c r="H1858" s="192"/>
      <c r="I1858" s="201"/>
      <c r="J1858" s="201"/>
      <c r="K1858" s="201"/>
      <c r="L1858" s="192"/>
      <c r="M1858" s="200"/>
      <c r="N1858" s="200"/>
      <c r="O1858" s="192"/>
      <c r="P1858" s="192"/>
      <c r="Q1858" s="192"/>
      <c r="R1858" s="192"/>
      <c r="S1858" s="200"/>
      <c r="T1858" s="203"/>
      <c r="U1858" s="153"/>
      <c r="V1858" s="153"/>
      <c r="W1858" s="153"/>
      <c r="X1858" s="153"/>
      <c r="Y1858" s="153"/>
      <c r="Z1858" s="153"/>
    </row>
    <row r="1859" spans="1:26">
      <c r="A1859" s="200"/>
      <c r="B1859" s="200"/>
      <c r="C1859" s="200"/>
      <c r="D1859" s="200"/>
      <c r="E1859" s="200"/>
      <c r="F1859" s="200"/>
      <c r="G1859" s="200"/>
      <c r="H1859" s="192"/>
      <c r="I1859" s="201"/>
      <c r="J1859" s="201"/>
      <c r="K1859" s="201"/>
      <c r="L1859" s="192"/>
      <c r="M1859" s="200"/>
      <c r="N1859" s="200"/>
      <c r="O1859" s="192"/>
      <c r="P1859" s="192"/>
      <c r="Q1859" s="192"/>
      <c r="R1859" s="192"/>
      <c r="S1859" s="200"/>
      <c r="T1859" s="203"/>
      <c r="U1859" s="153"/>
      <c r="V1859" s="153"/>
      <c r="W1859" s="153"/>
      <c r="X1859" s="153"/>
      <c r="Y1859" s="153"/>
      <c r="Z1859" s="153"/>
    </row>
    <row r="1860" spans="1:26">
      <c r="A1860" s="200"/>
      <c r="B1860" s="200"/>
      <c r="C1860" s="200"/>
      <c r="D1860" s="200"/>
      <c r="E1860" s="200"/>
      <c r="F1860" s="200"/>
      <c r="G1860" s="200"/>
      <c r="H1860" s="192"/>
      <c r="I1860" s="201"/>
      <c r="J1860" s="201"/>
      <c r="K1860" s="201"/>
      <c r="L1860" s="192"/>
      <c r="M1860" s="200"/>
      <c r="N1860" s="200"/>
      <c r="O1860" s="192"/>
      <c r="P1860" s="192"/>
      <c r="Q1860" s="192"/>
      <c r="R1860" s="192"/>
      <c r="S1860" s="200"/>
      <c r="T1860" s="203"/>
      <c r="U1860" s="153"/>
      <c r="V1860" s="153"/>
      <c r="W1860" s="153"/>
      <c r="X1860" s="153"/>
      <c r="Y1860" s="153"/>
      <c r="Z1860" s="153"/>
    </row>
    <row r="1861" spans="1:26">
      <c r="A1861" s="200"/>
      <c r="B1861" s="200"/>
      <c r="C1861" s="200"/>
      <c r="D1861" s="200"/>
      <c r="E1861" s="200"/>
      <c r="F1861" s="200"/>
      <c r="G1861" s="200"/>
      <c r="H1861" s="192"/>
      <c r="I1861" s="201"/>
      <c r="J1861" s="201"/>
      <c r="K1861" s="201"/>
      <c r="L1861" s="192"/>
      <c r="M1861" s="200"/>
      <c r="N1861" s="200"/>
      <c r="O1861" s="192"/>
      <c r="P1861" s="192"/>
      <c r="Q1861" s="192"/>
      <c r="R1861" s="192"/>
      <c r="S1861" s="200"/>
      <c r="T1861" s="203"/>
      <c r="U1861" s="153"/>
      <c r="V1861" s="153"/>
      <c r="W1861" s="153"/>
      <c r="X1861" s="153"/>
      <c r="Y1861" s="153"/>
      <c r="Z1861" s="153"/>
    </row>
    <row r="1862" spans="1:26">
      <c r="A1862" s="200"/>
      <c r="B1862" s="200"/>
      <c r="C1862" s="200"/>
      <c r="D1862" s="200"/>
      <c r="E1862" s="200"/>
      <c r="F1862" s="200"/>
      <c r="G1862" s="200"/>
      <c r="H1862" s="192"/>
      <c r="I1862" s="201"/>
      <c r="J1862" s="201"/>
      <c r="K1862" s="201"/>
      <c r="L1862" s="192"/>
      <c r="M1862" s="200"/>
      <c r="N1862" s="200"/>
      <c r="O1862" s="192"/>
      <c r="P1862" s="192"/>
      <c r="Q1862" s="192"/>
      <c r="R1862" s="192"/>
      <c r="S1862" s="200"/>
      <c r="T1862" s="203"/>
      <c r="U1862" s="153"/>
      <c r="V1862" s="153"/>
      <c r="W1862" s="153"/>
      <c r="X1862" s="153"/>
      <c r="Y1862" s="153"/>
      <c r="Z1862" s="153"/>
    </row>
    <row r="1863" spans="1:26">
      <c r="A1863" s="200"/>
      <c r="B1863" s="200"/>
      <c r="C1863" s="200"/>
      <c r="D1863" s="200"/>
      <c r="E1863" s="200"/>
      <c r="F1863" s="200"/>
      <c r="G1863" s="200"/>
      <c r="H1863" s="192"/>
      <c r="I1863" s="201"/>
      <c r="J1863" s="201"/>
      <c r="K1863" s="201"/>
      <c r="L1863" s="192"/>
      <c r="M1863" s="200"/>
      <c r="N1863" s="200"/>
      <c r="O1863" s="192"/>
      <c r="P1863" s="192"/>
      <c r="Q1863" s="192"/>
      <c r="R1863" s="192"/>
      <c r="S1863" s="200"/>
      <c r="T1863" s="203"/>
      <c r="U1863" s="153"/>
      <c r="V1863" s="153"/>
      <c r="W1863" s="153"/>
      <c r="X1863" s="153"/>
      <c r="Y1863" s="153"/>
      <c r="Z1863" s="153"/>
    </row>
    <row r="1864" spans="1:26">
      <c r="A1864" s="200"/>
      <c r="B1864" s="200"/>
      <c r="C1864" s="200"/>
      <c r="D1864" s="200"/>
      <c r="E1864" s="200"/>
      <c r="F1864" s="200"/>
      <c r="G1864" s="200"/>
      <c r="H1864" s="192"/>
      <c r="I1864" s="201"/>
      <c r="J1864" s="201"/>
      <c r="K1864" s="201"/>
      <c r="L1864" s="192"/>
      <c r="M1864" s="200"/>
      <c r="N1864" s="200"/>
      <c r="O1864" s="192"/>
      <c r="P1864" s="192"/>
      <c r="Q1864" s="192"/>
      <c r="R1864" s="192"/>
      <c r="S1864" s="200"/>
      <c r="T1864" s="203"/>
      <c r="U1864" s="153"/>
      <c r="V1864" s="153"/>
      <c r="W1864" s="153"/>
      <c r="X1864" s="153"/>
      <c r="Y1864" s="153"/>
      <c r="Z1864" s="153"/>
    </row>
    <row r="1865" spans="1:26">
      <c r="A1865" s="200"/>
      <c r="B1865" s="200"/>
      <c r="C1865" s="200"/>
      <c r="D1865" s="200"/>
      <c r="E1865" s="200"/>
      <c r="F1865" s="200"/>
      <c r="G1865" s="200"/>
      <c r="H1865" s="192"/>
      <c r="I1865" s="201"/>
      <c r="J1865" s="201"/>
      <c r="K1865" s="201"/>
      <c r="L1865" s="192"/>
      <c r="M1865" s="200"/>
      <c r="N1865" s="200"/>
      <c r="O1865" s="192"/>
      <c r="P1865" s="192"/>
      <c r="Q1865" s="192"/>
      <c r="R1865" s="192"/>
      <c r="S1865" s="200"/>
      <c r="T1865" s="203"/>
      <c r="U1865" s="153"/>
      <c r="V1865" s="153"/>
      <c r="W1865" s="153"/>
      <c r="X1865" s="153"/>
      <c r="Y1865" s="153"/>
      <c r="Z1865" s="153"/>
    </row>
    <row r="1866" spans="1:26">
      <c r="A1866" s="200"/>
      <c r="B1866" s="200"/>
      <c r="C1866" s="200"/>
      <c r="D1866" s="200"/>
      <c r="E1866" s="200"/>
      <c r="F1866" s="200"/>
      <c r="G1866" s="200"/>
      <c r="H1866" s="192"/>
      <c r="I1866" s="201"/>
      <c r="J1866" s="201"/>
      <c r="K1866" s="201"/>
      <c r="L1866" s="192"/>
      <c r="M1866" s="200"/>
      <c r="N1866" s="200"/>
      <c r="O1866" s="192"/>
      <c r="P1866" s="192"/>
      <c r="Q1866" s="192"/>
      <c r="R1866" s="192"/>
      <c r="S1866" s="200"/>
      <c r="T1866" s="203"/>
      <c r="U1866" s="153"/>
      <c r="V1866" s="153"/>
      <c r="W1866" s="153"/>
      <c r="X1866" s="153"/>
      <c r="Y1866" s="153"/>
      <c r="Z1866" s="153"/>
    </row>
    <row r="1867" spans="1:26">
      <c r="A1867" s="200"/>
      <c r="B1867" s="200"/>
      <c r="C1867" s="200"/>
      <c r="D1867" s="200"/>
      <c r="E1867" s="200"/>
      <c r="F1867" s="200"/>
      <c r="G1867" s="200"/>
      <c r="H1867" s="192"/>
      <c r="I1867" s="201"/>
      <c r="J1867" s="201"/>
      <c r="K1867" s="201"/>
      <c r="L1867" s="192"/>
      <c r="M1867" s="200"/>
      <c r="N1867" s="200"/>
      <c r="O1867" s="192"/>
      <c r="P1867" s="192"/>
      <c r="Q1867" s="192"/>
      <c r="R1867" s="192"/>
      <c r="S1867" s="200"/>
      <c r="T1867" s="203"/>
      <c r="U1867" s="153"/>
      <c r="V1867" s="153"/>
      <c r="W1867" s="153"/>
      <c r="X1867" s="153"/>
      <c r="Y1867" s="153"/>
      <c r="Z1867" s="153"/>
    </row>
    <row r="1868" spans="1:26">
      <c r="A1868" s="200"/>
      <c r="B1868" s="200"/>
      <c r="C1868" s="200"/>
      <c r="D1868" s="200"/>
      <c r="E1868" s="200"/>
      <c r="F1868" s="200"/>
      <c r="G1868" s="200"/>
      <c r="H1868" s="192"/>
      <c r="I1868" s="201"/>
      <c r="J1868" s="201"/>
      <c r="K1868" s="201"/>
      <c r="L1868" s="192"/>
      <c r="M1868" s="200"/>
      <c r="N1868" s="200"/>
      <c r="O1868" s="192"/>
      <c r="P1868" s="192"/>
      <c r="Q1868" s="192"/>
      <c r="R1868" s="192"/>
      <c r="S1868" s="200"/>
      <c r="T1868" s="203"/>
      <c r="U1868" s="153"/>
      <c r="V1868" s="153"/>
      <c r="W1868" s="153"/>
      <c r="X1868" s="153"/>
      <c r="Y1868" s="153"/>
      <c r="Z1868" s="153"/>
    </row>
    <row r="1869" spans="1:26">
      <c r="A1869" s="200"/>
      <c r="B1869" s="200"/>
      <c r="C1869" s="200"/>
      <c r="D1869" s="200"/>
      <c r="E1869" s="200"/>
      <c r="F1869" s="200"/>
      <c r="G1869" s="200"/>
      <c r="H1869" s="192"/>
      <c r="I1869" s="201"/>
      <c r="J1869" s="201"/>
      <c r="K1869" s="201"/>
      <c r="L1869" s="192"/>
      <c r="M1869" s="200"/>
      <c r="N1869" s="200"/>
      <c r="O1869" s="192"/>
      <c r="P1869" s="192"/>
      <c r="Q1869" s="192"/>
      <c r="R1869" s="192"/>
      <c r="S1869" s="200"/>
      <c r="T1869" s="203"/>
      <c r="U1869" s="153"/>
      <c r="V1869" s="153"/>
      <c r="W1869" s="153"/>
      <c r="X1869" s="153"/>
      <c r="Y1869" s="153"/>
      <c r="Z1869" s="153"/>
    </row>
    <row r="1870" spans="1:26">
      <c r="A1870" s="200"/>
      <c r="B1870" s="200"/>
      <c r="C1870" s="200"/>
      <c r="D1870" s="200"/>
      <c r="E1870" s="200"/>
      <c r="F1870" s="200"/>
      <c r="G1870" s="200"/>
      <c r="H1870" s="192"/>
      <c r="I1870" s="201"/>
      <c r="J1870" s="201"/>
      <c r="K1870" s="201"/>
      <c r="L1870" s="192"/>
      <c r="M1870" s="200"/>
      <c r="N1870" s="200"/>
      <c r="O1870" s="192"/>
      <c r="P1870" s="192"/>
      <c r="Q1870" s="192"/>
      <c r="R1870" s="192"/>
      <c r="S1870" s="200"/>
      <c r="T1870" s="203"/>
      <c r="U1870" s="153"/>
      <c r="V1870" s="153"/>
      <c r="W1870" s="153"/>
      <c r="X1870" s="153"/>
      <c r="Y1870" s="153"/>
      <c r="Z1870" s="153"/>
    </row>
    <row r="1871" spans="1:26">
      <c r="A1871" s="200"/>
      <c r="B1871" s="200"/>
      <c r="C1871" s="200"/>
      <c r="D1871" s="200"/>
      <c r="E1871" s="200"/>
      <c r="F1871" s="200"/>
      <c r="G1871" s="200"/>
      <c r="H1871" s="192"/>
      <c r="I1871" s="201"/>
      <c r="J1871" s="201"/>
      <c r="K1871" s="201"/>
      <c r="L1871" s="192"/>
      <c r="M1871" s="200"/>
      <c r="N1871" s="200"/>
      <c r="O1871" s="192"/>
      <c r="P1871" s="192"/>
      <c r="Q1871" s="192"/>
      <c r="R1871" s="192"/>
      <c r="S1871" s="200"/>
      <c r="T1871" s="203"/>
      <c r="U1871" s="153"/>
      <c r="V1871" s="153"/>
      <c r="W1871" s="153"/>
      <c r="X1871" s="153"/>
      <c r="Y1871" s="153"/>
      <c r="Z1871" s="153"/>
    </row>
    <row r="1872" spans="1:26">
      <c r="A1872" s="200"/>
      <c r="B1872" s="200"/>
      <c r="C1872" s="200"/>
      <c r="D1872" s="200"/>
      <c r="E1872" s="200"/>
      <c r="F1872" s="200"/>
      <c r="G1872" s="200"/>
      <c r="H1872" s="192"/>
      <c r="I1872" s="201"/>
      <c r="J1872" s="201"/>
      <c r="K1872" s="201"/>
      <c r="L1872" s="192"/>
      <c r="M1872" s="200"/>
      <c r="N1872" s="200"/>
      <c r="O1872" s="192"/>
      <c r="P1872" s="192"/>
      <c r="Q1872" s="192"/>
      <c r="R1872" s="192"/>
      <c r="S1872" s="200"/>
      <c r="T1872" s="203"/>
      <c r="U1872" s="153"/>
      <c r="V1872" s="153"/>
      <c r="W1872" s="153"/>
      <c r="X1872" s="153"/>
      <c r="Y1872" s="153"/>
      <c r="Z1872" s="153"/>
    </row>
    <row r="1873" spans="1:26">
      <c r="A1873" s="200"/>
      <c r="B1873" s="200"/>
      <c r="C1873" s="200"/>
      <c r="D1873" s="200"/>
      <c r="E1873" s="200"/>
      <c r="F1873" s="200"/>
      <c r="G1873" s="200"/>
      <c r="H1873" s="192"/>
      <c r="I1873" s="201"/>
      <c r="J1873" s="201"/>
      <c r="K1873" s="201"/>
      <c r="L1873" s="192"/>
      <c r="M1873" s="200"/>
      <c r="N1873" s="200"/>
      <c r="O1873" s="192"/>
      <c r="P1873" s="192"/>
      <c r="Q1873" s="192"/>
      <c r="R1873" s="192"/>
      <c r="S1873" s="200"/>
      <c r="T1873" s="203"/>
      <c r="U1873" s="153"/>
      <c r="V1873" s="153"/>
      <c r="W1873" s="153"/>
      <c r="X1873" s="153"/>
      <c r="Y1873" s="153"/>
      <c r="Z1873" s="153"/>
    </row>
    <row r="1874" spans="1:26">
      <c r="A1874" s="200"/>
      <c r="B1874" s="200"/>
      <c r="C1874" s="200"/>
      <c r="D1874" s="200"/>
      <c r="E1874" s="200"/>
      <c r="F1874" s="200"/>
      <c r="G1874" s="200"/>
      <c r="H1874" s="192"/>
      <c r="I1874" s="201"/>
      <c r="J1874" s="201"/>
      <c r="K1874" s="201"/>
      <c r="L1874" s="192"/>
      <c r="M1874" s="200"/>
      <c r="N1874" s="200"/>
      <c r="O1874" s="192"/>
      <c r="P1874" s="192"/>
      <c r="Q1874" s="192"/>
      <c r="R1874" s="192"/>
      <c r="S1874" s="200"/>
      <c r="T1874" s="203"/>
      <c r="U1874" s="153"/>
      <c r="V1874" s="153"/>
      <c r="W1874" s="153"/>
      <c r="X1874" s="153"/>
      <c r="Y1874" s="153"/>
      <c r="Z1874" s="153"/>
    </row>
    <row r="1875" spans="1:26">
      <c r="A1875" s="200"/>
      <c r="B1875" s="200"/>
      <c r="C1875" s="200"/>
      <c r="D1875" s="200"/>
      <c r="E1875" s="200"/>
      <c r="F1875" s="200"/>
      <c r="G1875" s="200"/>
      <c r="H1875" s="192"/>
      <c r="I1875" s="201"/>
      <c r="J1875" s="201"/>
      <c r="K1875" s="201"/>
      <c r="L1875" s="192"/>
      <c r="M1875" s="200"/>
      <c r="N1875" s="200"/>
      <c r="O1875" s="192"/>
      <c r="P1875" s="192"/>
      <c r="Q1875" s="192"/>
      <c r="R1875" s="192"/>
      <c r="S1875" s="200"/>
      <c r="T1875" s="203"/>
      <c r="U1875" s="153"/>
      <c r="V1875" s="153"/>
      <c r="W1875" s="153"/>
      <c r="X1875" s="153"/>
      <c r="Y1875" s="153"/>
      <c r="Z1875" s="153"/>
    </row>
    <row r="1876" spans="1:26">
      <c r="A1876" s="200"/>
      <c r="B1876" s="200"/>
      <c r="C1876" s="200"/>
      <c r="D1876" s="200"/>
      <c r="E1876" s="200"/>
      <c r="F1876" s="200"/>
      <c r="G1876" s="200"/>
      <c r="H1876" s="192"/>
      <c r="I1876" s="201"/>
      <c r="J1876" s="201"/>
      <c r="K1876" s="201"/>
      <c r="L1876" s="192"/>
      <c r="M1876" s="200"/>
      <c r="N1876" s="200"/>
      <c r="O1876" s="192"/>
      <c r="P1876" s="192"/>
      <c r="Q1876" s="192"/>
      <c r="R1876" s="192"/>
      <c r="S1876" s="200"/>
      <c r="T1876" s="203"/>
      <c r="U1876" s="153"/>
      <c r="V1876" s="153"/>
      <c r="W1876" s="153"/>
      <c r="X1876" s="153"/>
      <c r="Y1876" s="153"/>
      <c r="Z1876" s="153"/>
    </row>
    <row r="1877" spans="1:26">
      <c r="A1877" s="200"/>
      <c r="B1877" s="200"/>
      <c r="C1877" s="200"/>
      <c r="D1877" s="200"/>
      <c r="E1877" s="200"/>
      <c r="F1877" s="200"/>
      <c r="G1877" s="200"/>
      <c r="H1877" s="192"/>
      <c r="I1877" s="201"/>
      <c r="J1877" s="201"/>
      <c r="K1877" s="201"/>
      <c r="L1877" s="192"/>
      <c r="M1877" s="200"/>
      <c r="N1877" s="200"/>
      <c r="O1877" s="192"/>
      <c r="P1877" s="192"/>
      <c r="Q1877" s="192"/>
      <c r="R1877" s="192"/>
      <c r="S1877" s="200"/>
      <c r="T1877" s="203"/>
      <c r="U1877" s="153"/>
      <c r="V1877" s="153"/>
      <c r="W1877" s="153"/>
      <c r="X1877" s="153"/>
      <c r="Y1877" s="153"/>
      <c r="Z1877" s="153"/>
    </row>
    <row r="1878" spans="1:26">
      <c r="A1878" s="200"/>
      <c r="B1878" s="200"/>
      <c r="C1878" s="200"/>
      <c r="D1878" s="200"/>
      <c r="E1878" s="200"/>
      <c r="F1878" s="200"/>
      <c r="G1878" s="200"/>
      <c r="H1878" s="192"/>
      <c r="I1878" s="201"/>
      <c r="J1878" s="201"/>
      <c r="K1878" s="201"/>
      <c r="L1878" s="192"/>
      <c r="M1878" s="200"/>
      <c r="N1878" s="200"/>
      <c r="O1878" s="192"/>
      <c r="P1878" s="192"/>
      <c r="Q1878" s="192"/>
      <c r="R1878" s="192"/>
      <c r="S1878" s="200"/>
      <c r="T1878" s="203"/>
      <c r="U1878" s="153"/>
      <c r="V1878" s="153"/>
      <c r="W1878" s="153"/>
      <c r="X1878" s="153"/>
      <c r="Y1878" s="153"/>
      <c r="Z1878" s="153"/>
    </row>
    <row r="1879" spans="1:26">
      <c r="A1879" s="200"/>
      <c r="B1879" s="200"/>
      <c r="C1879" s="200"/>
      <c r="D1879" s="200"/>
      <c r="E1879" s="200"/>
      <c r="F1879" s="200"/>
      <c r="G1879" s="200"/>
      <c r="H1879" s="192"/>
      <c r="I1879" s="201"/>
      <c r="J1879" s="201"/>
      <c r="K1879" s="201"/>
      <c r="L1879" s="192"/>
      <c r="M1879" s="200"/>
      <c r="N1879" s="200"/>
      <c r="O1879" s="192"/>
      <c r="P1879" s="192"/>
      <c r="Q1879" s="192"/>
      <c r="R1879" s="192"/>
      <c r="S1879" s="200"/>
      <c r="T1879" s="203"/>
      <c r="U1879" s="153"/>
      <c r="V1879" s="153"/>
      <c r="W1879" s="153"/>
      <c r="X1879" s="153"/>
      <c r="Y1879" s="153"/>
      <c r="Z1879" s="153"/>
    </row>
    <row r="1880" spans="1:26">
      <c r="A1880" s="200"/>
      <c r="B1880" s="200"/>
      <c r="C1880" s="200"/>
      <c r="D1880" s="200"/>
      <c r="E1880" s="200"/>
      <c r="F1880" s="200"/>
      <c r="G1880" s="200"/>
      <c r="H1880" s="192"/>
      <c r="I1880" s="201"/>
      <c r="J1880" s="201"/>
      <c r="K1880" s="201"/>
      <c r="L1880" s="192"/>
      <c r="M1880" s="200"/>
      <c r="N1880" s="200"/>
      <c r="O1880" s="192"/>
      <c r="P1880" s="192"/>
      <c r="Q1880" s="192"/>
      <c r="R1880" s="192"/>
      <c r="S1880" s="200"/>
      <c r="T1880" s="203"/>
      <c r="U1880" s="153"/>
      <c r="V1880" s="153"/>
      <c r="W1880" s="153"/>
      <c r="X1880" s="153"/>
      <c r="Y1880" s="153"/>
      <c r="Z1880" s="153"/>
    </row>
    <row r="1881" spans="1:26">
      <c r="A1881" s="200"/>
      <c r="B1881" s="200"/>
      <c r="C1881" s="200"/>
      <c r="D1881" s="200"/>
      <c r="E1881" s="200"/>
      <c r="F1881" s="200"/>
      <c r="G1881" s="200"/>
      <c r="H1881" s="192"/>
      <c r="I1881" s="201"/>
      <c r="J1881" s="201"/>
      <c r="K1881" s="201"/>
      <c r="L1881" s="192"/>
      <c r="M1881" s="200"/>
      <c r="N1881" s="200"/>
      <c r="O1881" s="192"/>
      <c r="P1881" s="192"/>
      <c r="Q1881" s="192"/>
      <c r="R1881" s="192"/>
      <c r="S1881" s="200"/>
      <c r="T1881" s="203"/>
      <c r="U1881" s="153"/>
      <c r="V1881" s="153"/>
      <c r="W1881" s="153"/>
      <c r="X1881" s="153"/>
      <c r="Y1881" s="153"/>
      <c r="Z1881" s="153"/>
    </row>
    <row r="1882" spans="1:26">
      <c r="A1882" s="200"/>
      <c r="B1882" s="200"/>
      <c r="C1882" s="200"/>
      <c r="D1882" s="200"/>
      <c r="E1882" s="200"/>
      <c r="F1882" s="200"/>
      <c r="G1882" s="200"/>
      <c r="H1882" s="192"/>
      <c r="I1882" s="201"/>
      <c r="J1882" s="201"/>
      <c r="K1882" s="201"/>
      <c r="L1882" s="192"/>
      <c r="M1882" s="200"/>
      <c r="N1882" s="200"/>
      <c r="O1882" s="192"/>
      <c r="P1882" s="192"/>
      <c r="Q1882" s="192"/>
      <c r="R1882" s="192"/>
      <c r="S1882" s="200"/>
      <c r="T1882" s="203"/>
      <c r="U1882" s="153"/>
      <c r="V1882" s="153"/>
      <c r="W1882" s="153"/>
      <c r="X1882" s="153"/>
      <c r="Y1882" s="153"/>
      <c r="Z1882" s="153"/>
    </row>
    <row r="1883" spans="1:26">
      <c r="A1883" s="200"/>
      <c r="B1883" s="200"/>
      <c r="C1883" s="200"/>
      <c r="D1883" s="200"/>
      <c r="E1883" s="200"/>
      <c r="F1883" s="200"/>
      <c r="G1883" s="200"/>
      <c r="H1883" s="192"/>
      <c r="I1883" s="201"/>
      <c r="J1883" s="201"/>
      <c r="K1883" s="201"/>
      <c r="L1883" s="192"/>
      <c r="M1883" s="200"/>
      <c r="N1883" s="200"/>
      <c r="O1883" s="192"/>
      <c r="P1883" s="192"/>
      <c r="Q1883" s="192"/>
      <c r="R1883" s="192"/>
      <c r="S1883" s="200"/>
      <c r="T1883" s="203"/>
      <c r="U1883" s="153"/>
      <c r="V1883" s="153"/>
      <c r="W1883" s="153"/>
      <c r="X1883" s="153"/>
      <c r="Y1883" s="153"/>
      <c r="Z1883" s="153"/>
    </row>
    <row r="1884" spans="1:26">
      <c r="A1884" s="200"/>
      <c r="B1884" s="200"/>
      <c r="C1884" s="200"/>
      <c r="D1884" s="200"/>
      <c r="E1884" s="200"/>
      <c r="F1884" s="200"/>
      <c r="G1884" s="200"/>
      <c r="H1884" s="192"/>
      <c r="I1884" s="201"/>
      <c r="J1884" s="201"/>
      <c r="K1884" s="201"/>
      <c r="L1884" s="192"/>
      <c r="M1884" s="200"/>
      <c r="N1884" s="200"/>
      <c r="O1884" s="192"/>
      <c r="P1884" s="192"/>
      <c r="Q1884" s="192"/>
      <c r="R1884" s="192"/>
      <c r="S1884" s="200"/>
      <c r="T1884" s="203"/>
      <c r="U1884" s="153"/>
      <c r="V1884" s="153"/>
      <c r="W1884" s="153"/>
      <c r="X1884" s="153"/>
      <c r="Y1884" s="153"/>
      <c r="Z1884" s="153"/>
    </row>
    <row r="1885" spans="1:26">
      <c r="A1885" s="200"/>
      <c r="B1885" s="200"/>
      <c r="C1885" s="200"/>
      <c r="D1885" s="200"/>
      <c r="E1885" s="200"/>
      <c r="F1885" s="200"/>
      <c r="G1885" s="200"/>
      <c r="H1885" s="192"/>
      <c r="I1885" s="201"/>
      <c r="J1885" s="201"/>
      <c r="K1885" s="201"/>
      <c r="L1885" s="192"/>
      <c r="M1885" s="200"/>
      <c r="N1885" s="200"/>
      <c r="O1885" s="192"/>
      <c r="P1885" s="192"/>
      <c r="Q1885" s="192"/>
      <c r="R1885" s="192"/>
      <c r="S1885" s="200"/>
      <c r="T1885" s="203"/>
      <c r="U1885" s="153"/>
      <c r="V1885" s="153"/>
      <c r="W1885" s="153"/>
      <c r="X1885" s="153"/>
      <c r="Y1885" s="153"/>
      <c r="Z1885" s="153"/>
    </row>
    <row r="1886" spans="1:26">
      <c r="A1886" s="200"/>
      <c r="B1886" s="200"/>
      <c r="C1886" s="200"/>
      <c r="D1886" s="200"/>
      <c r="E1886" s="200"/>
      <c r="F1886" s="200"/>
      <c r="G1886" s="200"/>
      <c r="H1886" s="192"/>
      <c r="I1886" s="201"/>
      <c r="J1886" s="201"/>
      <c r="K1886" s="201"/>
      <c r="L1886" s="192"/>
      <c r="M1886" s="200"/>
      <c r="N1886" s="200"/>
      <c r="O1886" s="192"/>
      <c r="P1886" s="192"/>
      <c r="Q1886" s="192"/>
      <c r="R1886" s="192"/>
      <c r="S1886" s="200"/>
      <c r="T1886" s="203"/>
      <c r="U1886" s="153"/>
      <c r="V1886" s="153"/>
      <c r="W1886" s="153"/>
      <c r="X1886" s="153"/>
      <c r="Y1886" s="153"/>
      <c r="Z1886" s="153"/>
    </row>
    <row r="1887" spans="1:26">
      <c r="A1887" s="200"/>
      <c r="B1887" s="200"/>
      <c r="C1887" s="200"/>
      <c r="D1887" s="200"/>
      <c r="E1887" s="200"/>
      <c r="F1887" s="200"/>
      <c r="G1887" s="200"/>
      <c r="H1887" s="192"/>
      <c r="I1887" s="201"/>
      <c r="J1887" s="201"/>
      <c r="K1887" s="201"/>
      <c r="L1887" s="192"/>
      <c r="M1887" s="200"/>
      <c r="N1887" s="200"/>
      <c r="O1887" s="192"/>
      <c r="P1887" s="192"/>
      <c r="Q1887" s="192"/>
      <c r="R1887" s="192"/>
      <c r="S1887" s="200"/>
      <c r="T1887" s="203"/>
      <c r="U1887" s="153"/>
      <c r="V1887" s="153"/>
      <c r="W1887" s="153"/>
      <c r="X1887" s="153"/>
      <c r="Y1887" s="153"/>
      <c r="Z1887" s="153"/>
    </row>
    <row r="1888" spans="1:26">
      <c r="A1888" s="200"/>
      <c r="B1888" s="200"/>
      <c r="C1888" s="200"/>
      <c r="D1888" s="200"/>
      <c r="E1888" s="200"/>
      <c r="F1888" s="200"/>
      <c r="G1888" s="200"/>
      <c r="H1888" s="192"/>
      <c r="I1888" s="201"/>
      <c r="J1888" s="201"/>
      <c r="K1888" s="201"/>
      <c r="L1888" s="192"/>
      <c r="M1888" s="200"/>
      <c r="N1888" s="200"/>
      <c r="O1888" s="192"/>
      <c r="P1888" s="192"/>
      <c r="Q1888" s="192"/>
      <c r="R1888" s="192"/>
      <c r="S1888" s="200"/>
      <c r="T1888" s="203"/>
      <c r="U1888" s="153"/>
      <c r="V1888" s="153"/>
      <c r="W1888" s="153"/>
      <c r="X1888" s="153"/>
      <c r="Y1888" s="153"/>
      <c r="Z1888" s="153"/>
    </row>
    <row r="1889" spans="1:26">
      <c r="A1889" s="200"/>
      <c r="B1889" s="200"/>
      <c r="C1889" s="200"/>
      <c r="D1889" s="200"/>
      <c r="E1889" s="200"/>
      <c r="F1889" s="200"/>
      <c r="G1889" s="200"/>
      <c r="H1889" s="192"/>
      <c r="I1889" s="201"/>
      <c r="J1889" s="201"/>
      <c r="K1889" s="201"/>
      <c r="L1889" s="192"/>
      <c r="M1889" s="200"/>
      <c r="N1889" s="200"/>
      <c r="O1889" s="192"/>
      <c r="P1889" s="192"/>
      <c r="Q1889" s="192"/>
      <c r="R1889" s="192"/>
      <c r="S1889" s="200"/>
      <c r="T1889" s="203"/>
      <c r="U1889" s="153"/>
      <c r="V1889" s="153"/>
      <c r="W1889" s="153"/>
      <c r="X1889" s="153"/>
      <c r="Y1889" s="153"/>
      <c r="Z1889" s="153"/>
    </row>
    <row r="1890" spans="1:26">
      <c r="A1890" s="200"/>
      <c r="B1890" s="200"/>
      <c r="C1890" s="200"/>
      <c r="D1890" s="200"/>
      <c r="E1890" s="200"/>
      <c r="F1890" s="200"/>
      <c r="G1890" s="200"/>
      <c r="H1890" s="192"/>
      <c r="I1890" s="201"/>
      <c r="J1890" s="201"/>
      <c r="K1890" s="201"/>
      <c r="L1890" s="192"/>
      <c r="M1890" s="200"/>
      <c r="N1890" s="200"/>
      <c r="O1890" s="192"/>
      <c r="P1890" s="192"/>
      <c r="Q1890" s="192"/>
      <c r="R1890" s="192"/>
      <c r="S1890" s="200"/>
      <c r="T1890" s="203"/>
      <c r="U1890" s="153"/>
      <c r="V1890" s="153"/>
      <c r="W1890" s="153"/>
      <c r="X1890" s="153"/>
      <c r="Y1890" s="153"/>
      <c r="Z1890" s="153"/>
    </row>
    <row r="1891" spans="1:26">
      <c r="A1891" s="200"/>
      <c r="B1891" s="200"/>
      <c r="C1891" s="200"/>
      <c r="D1891" s="200"/>
      <c r="E1891" s="200"/>
      <c r="F1891" s="200"/>
      <c r="G1891" s="200"/>
      <c r="H1891" s="192"/>
      <c r="I1891" s="201"/>
      <c r="J1891" s="201"/>
      <c r="K1891" s="201"/>
      <c r="L1891" s="192"/>
      <c r="M1891" s="200"/>
      <c r="N1891" s="200"/>
      <c r="O1891" s="192"/>
      <c r="P1891" s="192"/>
      <c r="Q1891" s="192"/>
      <c r="R1891" s="192"/>
      <c r="S1891" s="200"/>
      <c r="T1891" s="203"/>
      <c r="U1891" s="153"/>
      <c r="V1891" s="153"/>
      <c r="W1891" s="153"/>
      <c r="X1891" s="153"/>
      <c r="Y1891" s="153"/>
      <c r="Z1891" s="153"/>
    </row>
    <row r="1892" spans="1:26">
      <c r="A1892" s="200"/>
      <c r="B1892" s="200"/>
      <c r="C1892" s="200"/>
      <c r="D1892" s="200"/>
      <c r="E1892" s="200"/>
      <c r="F1892" s="200"/>
      <c r="G1892" s="200"/>
      <c r="H1892" s="192"/>
      <c r="I1892" s="201"/>
      <c r="J1892" s="201"/>
      <c r="K1892" s="201"/>
      <c r="L1892" s="192"/>
      <c r="M1892" s="200"/>
      <c r="N1892" s="200"/>
      <c r="O1892" s="192"/>
      <c r="P1892" s="192"/>
      <c r="Q1892" s="192"/>
      <c r="R1892" s="192"/>
      <c r="S1892" s="200"/>
      <c r="T1892" s="203"/>
      <c r="U1892" s="153"/>
      <c r="V1892" s="153"/>
      <c r="W1892" s="153"/>
      <c r="X1892" s="153"/>
      <c r="Y1892" s="153"/>
      <c r="Z1892" s="153"/>
    </row>
    <row r="1893" spans="1:26">
      <c r="A1893" s="200"/>
      <c r="B1893" s="200"/>
      <c r="C1893" s="200"/>
      <c r="D1893" s="200"/>
      <c r="E1893" s="200"/>
      <c r="F1893" s="200"/>
      <c r="G1893" s="200"/>
      <c r="H1893" s="192"/>
      <c r="I1893" s="201"/>
      <c r="J1893" s="201"/>
      <c r="K1893" s="201"/>
      <c r="L1893" s="192"/>
      <c r="M1893" s="200"/>
      <c r="N1893" s="200"/>
      <c r="O1893" s="192"/>
      <c r="P1893" s="192"/>
      <c r="Q1893" s="192"/>
      <c r="R1893" s="192"/>
      <c r="S1893" s="200"/>
      <c r="T1893" s="203"/>
      <c r="U1893" s="153"/>
      <c r="V1893" s="153"/>
      <c r="W1893" s="153"/>
      <c r="X1893" s="153"/>
      <c r="Y1893" s="153"/>
      <c r="Z1893" s="153"/>
    </row>
    <row r="1894" spans="1:26">
      <c r="A1894" s="200"/>
      <c r="B1894" s="200"/>
      <c r="C1894" s="200"/>
      <c r="D1894" s="200"/>
      <c r="E1894" s="200"/>
      <c r="F1894" s="200"/>
      <c r="G1894" s="200"/>
      <c r="H1894" s="192"/>
      <c r="I1894" s="201"/>
      <c r="J1894" s="201"/>
      <c r="K1894" s="201"/>
      <c r="L1894" s="192"/>
      <c r="M1894" s="200"/>
      <c r="N1894" s="200"/>
      <c r="O1894" s="192"/>
      <c r="P1894" s="192"/>
      <c r="Q1894" s="192"/>
      <c r="R1894" s="192"/>
      <c r="S1894" s="200"/>
      <c r="T1894" s="203"/>
      <c r="U1894" s="153"/>
      <c r="V1894" s="153"/>
      <c r="W1894" s="153"/>
      <c r="X1894" s="153"/>
      <c r="Y1894" s="153"/>
      <c r="Z1894" s="153"/>
    </row>
    <row r="1895" spans="1:26">
      <c r="A1895" s="200"/>
      <c r="B1895" s="200"/>
      <c r="C1895" s="200"/>
      <c r="D1895" s="200"/>
      <c r="E1895" s="200"/>
      <c r="F1895" s="200"/>
      <c r="G1895" s="200"/>
      <c r="H1895" s="192"/>
      <c r="I1895" s="201"/>
      <c r="J1895" s="201"/>
      <c r="K1895" s="201"/>
      <c r="L1895" s="192"/>
      <c r="M1895" s="200"/>
      <c r="N1895" s="200"/>
      <c r="O1895" s="192"/>
      <c r="P1895" s="192"/>
      <c r="Q1895" s="192"/>
      <c r="R1895" s="192"/>
      <c r="S1895" s="200"/>
      <c r="T1895" s="203"/>
      <c r="U1895" s="153"/>
      <c r="V1895" s="153"/>
      <c r="W1895" s="153"/>
      <c r="X1895" s="153"/>
      <c r="Y1895" s="153"/>
      <c r="Z1895" s="153"/>
    </row>
    <row r="1896" spans="1:26">
      <c r="A1896" s="200"/>
      <c r="B1896" s="200"/>
      <c r="C1896" s="200"/>
      <c r="D1896" s="200"/>
      <c r="E1896" s="200"/>
      <c r="F1896" s="200"/>
      <c r="G1896" s="200"/>
      <c r="H1896" s="192"/>
      <c r="I1896" s="201"/>
      <c r="J1896" s="201"/>
      <c r="K1896" s="201"/>
      <c r="L1896" s="192"/>
      <c r="M1896" s="200"/>
      <c r="N1896" s="200"/>
      <c r="O1896" s="192"/>
      <c r="P1896" s="192"/>
      <c r="Q1896" s="192"/>
      <c r="R1896" s="192"/>
      <c r="S1896" s="200"/>
      <c r="T1896" s="203"/>
      <c r="U1896" s="153"/>
      <c r="V1896" s="153"/>
      <c r="W1896" s="153"/>
      <c r="X1896" s="153"/>
      <c r="Y1896" s="153"/>
      <c r="Z1896" s="153"/>
    </row>
    <row r="1897" spans="1:26">
      <c r="A1897" s="200"/>
      <c r="B1897" s="200"/>
      <c r="C1897" s="200"/>
      <c r="D1897" s="200"/>
      <c r="E1897" s="200"/>
      <c r="F1897" s="200"/>
      <c r="G1897" s="200"/>
      <c r="H1897" s="192"/>
      <c r="I1897" s="201"/>
      <c r="J1897" s="201"/>
      <c r="K1897" s="201"/>
      <c r="L1897" s="192"/>
      <c r="M1897" s="200"/>
      <c r="N1897" s="200"/>
      <c r="O1897" s="192"/>
      <c r="P1897" s="192"/>
      <c r="Q1897" s="192"/>
      <c r="R1897" s="192"/>
      <c r="S1897" s="200"/>
      <c r="T1897" s="203"/>
      <c r="U1897" s="153"/>
      <c r="V1897" s="153"/>
      <c r="W1897" s="153"/>
      <c r="X1897" s="153"/>
      <c r="Y1897" s="153"/>
      <c r="Z1897" s="153"/>
    </row>
    <row r="1898" spans="1:26">
      <c r="A1898" s="200"/>
      <c r="B1898" s="200"/>
      <c r="C1898" s="200"/>
      <c r="D1898" s="200"/>
      <c r="E1898" s="200"/>
      <c r="F1898" s="200"/>
      <c r="G1898" s="200"/>
      <c r="H1898" s="192"/>
      <c r="I1898" s="201"/>
      <c r="J1898" s="201"/>
      <c r="K1898" s="201"/>
      <c r="L1898" s="192"/>
      <c r="M1898" s="200"/>
      <c r="N1898" s="200"/>
      <c r="O1898" s="192"/>
      <c r="P1898" s="192"/>
      <c r="Q1898" s="192"/>
      <c r="R1898" s="192"/>
      <c r="S1898" s="200"/>
      <c r="T1898" s="203"/>
      <c r="U1898" s="153"/>
      <c r="V1898" s="153"/>
      <c r="W1898" s="153"/>
      <c r="X1898" s="153"/>
      <c r="Y1898" s="153"/>
      <c r="Z1898" s="153"/>
    </row>
    <row r="1899" spans="1:26">
      <c r="A1899" s="200"/>
      <c r="B1899" s="200"/>
      <c r="C1899" s="200"/>
      <c r="D1899" s="200"/>
      <c r="E1899" s="200"/>
      <c r="F1899" s="200"/>
      <c r="G1899" s="200"/>
      <c r="H1899" s="192"/>
      <c r="I1899" s="201"/>
      <c r="J1899" s="201"/>
      <c r="K1899" s="201"/>
      <c r="L1899" s="192"/>
      <c r="M1899" s="200"/>
      <c r="N1899" s="200"/>
      <c r="O1899" s="192"/>
      <c r="P1899" s="192"/>
      <c r="Q1899" s="192"/>
      <c r="R1899" s="192"/>
      <c r="S1899" s="200"/>
      <c r="T1899" s="203"/>
      <c r="U1899" s="153"/>
      <c r="V1899" s="153"/>
      <c r="W1899" s="153"/>
      <c r="X1899" s="153"/>
      <c r="Y1899" s="153"/>
      <c r="Z1899" s="153"/>
    </row>
    <row r="1900" spans="1:26">
      <c r="A1900" s="200"/>
      <c r="B1900" s="200"/>
      <c r="C1900" s="200"/>
      <c r="D1900" s="200"/>
      <c r="E1900" s="200"/>
      <c r="F1900" s="200"/>
      <c r="G1900" s="200"/>
      <c r="H1900" s="192"/>
      <c r="I1900" s="201"/>
      <c r="J1900" s="201"/>
      <c r="K1900" s="201"/>
      <c r="L1900" s="192"/>
      <c r="M1900" s="200"/>
      <c r="N1900" s="200"/>
      <c r="O1900" s="192"/>
      <c r="P1900" s="192"/>
      <c r="Q1900" s="192"/>
      <c r="R1900" s="192"/>
      <c r="S1900" s="200"/>
      <c r="T1900" s="203"/>
      <c r="U1900" s="153"/>
      <c r="V1900" s="153"/>
      <c r="W1900" s="153"/>
      <c r="X1900" s="153"/>
      <c r="Y1900" s="153"/>
      <c r="Z1900" s="153"/>
    </row>
    <row r="1901" spans="1:26">
      <c r="A1901" s="200"/>
      <c r="B1901" s="200"/>
      <c r="C1901" s="200"/>
      <c r="D1901" s="200"/>
      <c r="E1901" s="200"/>
      <c r="F1901" s="200"/>
      <c r="G1901" s="200"/>
      <c r="H1901" s="192"/>
      <c r="I1901" s="201"/>
      <c r="J1901" s="201"/>
      <c r="K1901" s="201"/>
      <c r="L1901" s="192"/>
      <c r="M1901" s="200"/>
      <c r="N1901" s="200"/>
      <c r="O1901" s="192"/>
      <c r="P1901" s="192"/>
      <c r="Q1901" s="192"/>
      <c r="R1901" s="192"/>
      <c r="S1901" s="200"/>
      <c r="T1901" s="203"/>
      <c r="U1901" s="153"/>
      <c r="V1901" s="153"/>
      <c r="W1901" s="153"/>
      <c r="X1901" s="153"/>
      <c r="Y1901" s="153"/>
      <c r="Z1901" s="153"/>
    </row>
    <row r="1902" spans="1:26">
      <c r="A1902" s="200"/>
      <c r="B1902" s="200"/>
      <c r="C1902" s="200"/>
      <c r="D1902" s="200"/>
      <c r="E1902" s="200"/>
      <c r="F1902" s="200"/>
      <c r="G1902" s="200"/>
      <c r="H1902" s="192"/>
      <c r="I1902" s="201"/>
      <c r="J1902" s="201"/>
      <c r="K1902" s="201"/>
      <c r="L1902" s="192"/>
      <c r="M1902" s="200"/>
      <c r="N1902" s="200"/>
      <c r="O1902" s="192"/>
      <c r="P1902" s="192"/>
      <c r="Q1902" s="192"/>
      <c r="R1902" s="192"/>
      <c r="S1902" s="200"/>
      <c r="T1902" s="203"/>
      <c r="U1902" s="153"/>
      <c r="V1902" s="153"/>
      <c r="W1902" s="153"/>
      <c r="X1902" s="153"/>
      <c r="Y1902" s="153"/>
      <c r="Z1902" s="153"/>
    </row>
    <row r="1903" spans="1:26">
      <c r="A1903" s="200"/>
      <c r="B1903" s="200"/>
      <c r="C1903" s="200"/>
      <c r="D1903" s="200"/>
      <c r="E1903" s="200"/>
      <c r="F1903" s="200"/>
      <c r="G1903" s="200"/>
      <c r="H1903" s="192"/>
      <c r="I1903" s="201"/>
      <c r="J1903" s="201"/>
      <c r="K1903" s="201"/>
      <c r="L1903" s="192"/>
      <c r="M1903" s="200"/>
      <c r="N1903" s="200"/>
      <c r="O1903" s="192"/>
      <c r="P1903" s="192"/>
      <c r="Q1903" s="192"/>
      <c r="R1903" s="192"/>
      <c r="S1903" s="200"/>
      <c r="T1903" s="203"/>
      <c r="U1903" s="153"/>
      <c r="V1903" s="153"/>
      <c r="W1903" s="153"/>
      <c r="X1903" s="153"/>
      <c r="Y1903" s="153"/>
      <c r="Z1903" s="153"/>
    </row>
    <row r="1904" spans="1:26">
      <c r="A1904" s="200"/>
      <c r="B1904" s="200"/>
      <c r="C1904" s="200"/>
      <c r="D1904" s="200"/>
      <c r="E1904" s="200"/>
      <c r="F1904" s="200"/>
      <c r="G1904" s="200"/>
      <c r="H1904" s="192"/>
      <c r="I1904" s="201"/>
      <c r="J1904" s="201"/>
      <c r="K1904" s="201"/>
      <c r="L1904" s="192"/>
      <c r="M1904" s="200"/>
      <c r="N1904" s="200"/>
      <c r="O1904" s="192"/>
      <c r="P1904" s="192"/>
      <c r="Q1904" s="192"/>
      <c r="R1904" s="192"/>
      <c r="S1904" s="200"/>
      <c r="T1904" s="203"/>
      <c r="U1904" s="153"/>
      <c r="V1904" s="153"/>
      <c r="W1904" s="153"/>
      <c r="X1904" s="153"/>
      <c r="Y1904" s="153"/>
      <c r="Z1904" s="153"/>
    </row>
    <row r="1905" spans="1:26">
      <c r="A1905" s="200"/>
      <c r="B1905" s="200"/>
      <c r="C1905" s="200"/>
      <c r="D1905" s="200"/>
      <c r="E1905" s="200"/>
      <c r="F1905" s="200"/>
      <c r="G1905" s="200"/>
      <c r="H1905" s="192"/>
      <c r="I1905" s="201"/>
      <c r="J1905" s="201"/>
      <c r="K1905" s="201"/>
      <c r="L1905" s="192"/>
      <c r="M1905" s="200"/>
      <c r="N1905" s="200"/>
      <c r="O1905" s="192"/>
      <c r="P1905" s="192"/>
      <c r="Q1905" s="192"/>
      <c r="R1905" s="192"/>
      <c r="S1905" s="200"/>
      <c r="T1905" s="203"/>
      <c r="U1905" s="153"/>
      <c r="V1905" s="153"/>
      <c r="W1905" s="153"/>
      <c r="X1905" s="153"/>
      <c r="Y1905" s="153"/>
      <c r="Z1905" s="153"/>
    </row>
    <row r="1906" spans="1:26">
      <c r="A1906" s="200"/>
      <c r="B1906" s="200"/>
      <c r="C1906" s="200"/>
      <c r="D1906" s="200"/>
      <c r="E1906" s="200"/>
      <c r="F1906" s="200"/>
      <c r="G1906" s="200"/>
      <c r="H1906" s="192"/>
      <c r="I1906" s="201"/>
      <c r="J1906" s="201"/>
      <c r="K1906" s="201"/>
      <c r="L1906" s="192"/>
      <c r="M1906" s="200"/>
      <c r="N1906" s="200"/>
      <c r="O1906" s="192"/>
      <c r="P1906" s="192"/>
      <c r="Q1906" s="192"/>
      <c r="R1906" s="192"/>
      <c r="S1906" s="200"/>
      <c r="T1906" s="203"/>
      <c r="U1906" s="153"/>
      <c r="V1906" s="153"/>
      <c r="W1906" s="153"/>
      <c r="X1906" s="153"/>
      <c r="Y1906" s="153"/>
      <c r="Z1906" s="153"/>
    </row>
    <row r="1907" spans="1:26">
      <c r="A1907" s="200"/>
      <c r="B1907" s="200"/>
      <c r="C1907" s="200"/>
      <c r="D1907" s="200"/>
      <c r="E1907" s="200"/>
      <c r="F1907" s="200"/>
      <c r="G1907" s="200"/>
      <c r="H1907" s="192"/>
      <c r="I1907" s="201"/>
      <c r="J1907" s="201"/>
      <c r="K1907" s="201"/>
      <c r="L1907" s="192"/>
      <c r="M1907" s="200"/>
      <c r="N1907" s="200"/>
      <c r="O1907" s="192"/>
      <c r="P1907" s="192"/>
      <c r="Q1907" s="192"/>
      <c r="R1907" s="192"/>
      <c r="S1907" s="200"/>
      <c r="T1907" s="203"/>
      <c r="U1907" s="153"/>
      <c r="V1907" s="153"/>
      <c r="W1907" s="153"/>
      <c r="X1907" s="153"/>
      <c r="Y1907" s="153"/>
      <c r="Z1907" s="153"/>
    </row>
    <row r="1908" spans="1:26">
      <c r="A1908" s="200"/>
      <c r="B1908" s="200"/>
      <c r="C1908" s="200"/>
      <c r="D1908" s="200"/>
      <c r="E1908" s="200"/>
      <c r="F1908" s="200"/>
      <c r="G1908" s="200"/>
      <c r="H1908" s="192"/>
      <c r="I1908" s="201"/>
      <c r="J1908" s="201"/>
      <c r="K1908" s="201"/>
      <c r="L1908" s="192"/>
      <c r="M1908" s="200"/>
      <c r="N1908" s="200"/>
      <c r="O1908" s="192"/>
      <c r="P1908" s="192"/>
      <c r="Q1908" s="192"/>
      <c r="R1908" s="192"/>
      <c r="S1908" s="200"/>
      <c r="T1908" s="203"/>
      <c r="U1908" s="153"/>
      <c r="V1908" s="153"/>
      <c r="W1908" s="153"/>
      <c r="X1908" s="153"/>
      <c r="Y1908" s="153"/>
      <c r="Z1908" s="153"/>
    </row>
    <row r="1909" spans="1:26">
      <c r="A1909" s="200"/>
      <c r="B1909" s="200"/>
      <c r="C1909" s="200"/>
      <c r="D1909" s="200"/>
      <c r="E1909" s="200"/>
      <c r="F1909" s="200"/>
      <c r="G1909" s="200"/>
      <c r="H1909" s="192"/>
      <c r="I1909" s="201"/>
      <c r="J1909" s="201"/>
      <c r="K1909" s="201"/>
      <c r="L1909" s="192"/>
      <c r="M1909" s="200"/>
      <c r="N1909" s="200"/>
      <c r="O1909" s="192"/>
      <c r="P1909" s="192"/>
      <c r="Q1909" s="192"/>
      <c r="R1909" s="192"/>
      <c r="S1909" s="200"/>
      <c r="T1909" s="203"/>
      <c r="U1909" s="153"/>
      <c r="V1909" s="153"/>
      <c r="W1909" s="153"/>
      <c r="X1909" s="153"/>
      <c r="Y1909" s="153"/>
      <c r="Z1909" s="153"/>
    </row>
    <row r="1910" spans="1:26">
      <c r="A1910" s="200"/>
      <c r="B1910" s="200"/>
      <c r="C1910" s="200"/>
      <c r="D1910" s="200"/>
      <c r="E1910" s="200"/>
      <c r="F1910" s="200"/>
      <c r="G1910" s="200"/>
      <c r="H1910" s="192"/>
      <c r="I1910" s="201"/>
      <c r="J1910" s="201"/>
      <c r="K1910" s="201"/>
      <c r="L1910" s="192"/>
      <c r="M1910" s="200"/>
      <c r="N1910" s="200"/>
      <c r="O1910" s="192"/>
      <c r="P1910" s="192"/>
      <c r="Q1910" s="192"/>
      <c r="R1910" s="192"/>
      <c r="S1910" s="200"/>
      <c r="T1910" s="203"/>
      <c r="U1910" s="153"/>
      <c r="V1910" s="153"/>
      <c r="W1910" s="153"/>
      <c r="X1910" s="153"/>
      <c r="Y1910" s="153"/>
      <c r="Z1910" s="153"/>
    </row>
    <row r="1911" spans="1:26">
      <c r="A1911" s="200"/>
      <c r="B1911" s="200"/>
      <c r="C1911" s="200"/>
      <c r="D1911" s="200"/>
      <c r="E1911" s="200"/>
      <c r="F1911" s="200"/>
      <c r="G1911" s="200"/>
      <c r="H1911" s="192"/>
      <c r="I1911" s="201"/>
      <c r="J1911" s="201"/>
      <c r="K1911" s="201"/>
      <c r="L1911" s="192"/>
      <c r="M1911" s="200"/>
      <c r="N1911" s="200"/>
      <c r="O1911" s="192"/>
      <c r="P1911" s="192"/>
      <c r="Q1911" s="192"/>
      <c r="R1911" s="192"/>
      <c r="S1911" s="200"/>
      <c r="T1911" s="203"/>
      <c r="U1911" s="153"/>
      <c r="V1911" s="153"/>
      <c r="W1911" s="153"/>
      <c r="X1911" s="153"/>
      <c r="Y1911" s="153"/>
      <c r="Z1911" s="153"/>
    </row>
    <row r="1912" spans="1:26">
      <c r="A1912" s="200"/>
      <c r="B1912" s="200"/>
      <c r="C1912" s="200"/>
      <c r="D1912" s="200"/>
      <c r="E1912" s="200"/>
      <c r="F1912" s="200"/>
      <c r="G1912" s="200"/>
      <c r="H1912" s="192"/>
      <c r="I1912" s="201"/>
      <c r="J1912" s="201"/>
      <c r="K1912" s="201"/>
      <c r="L1912" s="192"/>
      <c r="M1912" s="200"/>
      <c r="N1912" s="200"/>
      <c r="O1912" s="192"/>
      <c r="P1912" s="192"/>
      <c r="Q1912" s="192"/>
      <c r="R1912" s="192"/>
      <c r="S1912" s="200"/>
      <c r="T1912" s="203"/>
      <c r="U1912" s="153"/>
      <c r="V1912" s="153"/>
      <c r="W1912" s="153"/>
      <c r="X1912" s="153"/>
      <c r="Y1912" s="153"/>
      <c r="Z1912" s="153"/>
    </row>
    <row r="1913" spans="1:26">
      <c r="A1913" s="200"/>
      <c r="B1913" s="200"/>
      <c r="C1913" s="200"/>
      <c r="D1913" s="200"/>
      <c r="E1913" s="200"/>
      <c r="F1913" s="200"/>
      <c r="G1913" s="200"/>
      <c r="H1913" s="192"/>
      <c r="I1913" s="201"/>
      <c r="J1913" s="201"/>
      <c r="K1913" s="201"/>
      <c r="L1913" s="192"/>
      <c r="M1913" s="200"/>
      <c r="N1913" s="200"/>
      <c r="O1913" s="192"/>
      <c r="P1913" s="192"/>
      <c r="Q1913" s="192"/>
      <c r="R1913" s="192"/>
      <c r="S1913" s="200"/>
      <c r="T1913" s="203"/>
      <c r="U1913" s="153"/>
      <c r="V1913" s="153"/>
      <c r="W1913" s="153"/>
      <c r="X1913" s="153"/>
      <c r="Y1913" s="153"/>
      <c r="Z1913" s="153"/>
    </row>
    <row r="1914" spans="1:26">
      <c r="A1914" s="200"/>
      <c r="B1914" s="200"/>
      <c r="C1914" s="200"/>
      <c r="D1914" s="200"/>
      <c r="E1914" s="200"/>
      <c r="F1914" s="200"/>
      <c r="G1914" s="200"/>
      <c r="H1914" s="192"/>
      <c r="I1914" s="201"/>
      <c r="J1914" s="201"/>
      <c r="K1914" s="201"/>
      <c r="L1914" s="192"/>
      <c r="M1914" s="200"/>
      <c r="N1914" s="200"/>
      <c r="O1914" s="192"/>
      <c r="P1914" s="192"/>
      <c r="Q1914" s="192"/>
      <c r="R1914" s="192"/>
      <c r="S1914" s="200"/>
      <c r="T1914" s="203"/>
      <c r="U1914" s="153"/>
      <c r="V1914" s="153"/>
      <c r="W1914" s="153"/>
      <c r="X1914" s="153"/>
      <c r="Y1914" s="153"/>
      <c r="Z1914" s="153"/>
    </row>
    <row r="1915" spans="1:26">
      <c r="A1915" s="200"/>
      <c r="B1915" s="200"/>
      <c r="C1915" s="200"/>
      <c r="D1915" s="200"/>
      <c r="E1915" s="200"/>
      <c r="F1915" s="200"/>
      <c r="G1915" s="200"/>
      <c r="H1915" s="192"/>
      <c r="I1915" s="201"/>
      <c r="J1915" s="201"/>
      <c r="K1915" s="201"/>
      <c r="L1915" s="192"/>
      <c r="M1915" s="200"/>
      <c r="N1915" s="200"/>
      <c r="O1915" s="192"/>
      <c r="P1915" s="192"/>
      <c r="Q1915" s="192"/>
      <c r="R1915" s="192"/>
      <c r="S1915" s="200"/>
      <c r="T1915" s="203"/>
      <c r="U1915" s="153"/>
      <c r="V1915" s="153"/>
      <c r="W1915" s="153"/>
      <c r="X1915" s="153"/>
      <c r="Y1915" s="153"/>
      <c r="Z1915" s="153"/>
    </row>
    <row r="1916" spans="1:26">
      <c r="A1916" s="200"/>
      <c r="B1916" s="200"/>
      <c r="C1916" s="200"/>
      <c r="D1916" s="200"/>
      <c r="E1916" s="200"/>
      <c r="F1916" s="200"/>
      <c r="G1916" s="200"/>
      <c r="H1916" s="192"/>
      <c r="I1916" s="201"/>
      <c r="J1916" s="201"/>
      <c r="K1916" s="201"/>
      <c r="L1916" s="192"/>
      <c r="M1916" s="200"/>
      <c r="N1916" s="200"/>
      <c r="O1916" s="192"/>
      <c r="P1916" s="192"/>
      <c r="Q1916" s="192"/>
      <c r="R1916" s="192"/>
      <c r="S1916" s="200"/>
      <c r="T1916" s="203"/>
      <c r="U1916" s="153"/>
      <c r="V1916" s="153"/>
      <c r="W1916" s="153"/>
      <c r="X1916" s="153"/>
      <c r="Y1916" s="153"/>
      <c r="Z1916" s="153"/>
    </row>
    <row r="1917" spans="1:26">
      <c r="A1917" s="200"/>
      <c r="B1917" s="200"/>
      <c r="C1917" s="200"/>
      <c r="D1917" s="200"/>
      <c r="E1917" s="200"/>
      <c r="F1917" s="200"/>
      <c r="G1917" s="200"/>
      <c r="H1917" s="192"/>
      <c r="I1917" s="201"/>
      <c r="J1917" s="201"/>
      <c r="K1917" s="201"/>
      <c r="L1917" s="192"/>
      <c r="M1917" s="200"/>
      <c r="N1917" s="200"/>
      <c r="O1917" s="192"/>
      <c r="P1917" s="192"/>
      <c r="Q1917" s="192"/>
      <c r="R1917" s="192"/>
      <c r="S1917" s="200"/>
      <c r="T1917" s="203"/>
      <c r="U1917" s="153"/>
      <c r="V1917" s="153"/>
      <c r="W1917" s="153"/>
      <c r="X1917" s="153"/>
      <c r="Y1917" s="153"/>
      <c r="Z1917" s="153"/>
    </row>
    <row r="1918" spans="1:26">
      <c r="A1918" s="200"/>
      <c r="B1918" s="200"/>
      <c r="C1918" s="200"/>
      <c r="D1918" s="200"/>
      <c r="E1918" s="200"/>
      <c r="F1918" s="200"/>
      <c r="G1918" s="200"/>
      <c r="H1918" s="192"/>
      <c r="I1918" s="201"/>
      <c r="J1918" s="201"/>
      <c r="K1918" s="201"/>
      <c r="L1918" s="192"/>
      <c r="M1918" s="200"/>
      <c r="N1918" s="200"/>
      <c r="O1918" s="192"/>
      <c r="P1918" s="192"/>
      <c r="Q1918" s="192"/>
      <c r="R1918" s="192"/>
      <c r="S1918" s="200"/>
      <c r="T1918" s="203"/>
      <c r="U1918" s="153"/>
      <c r="V1918" s="153"/>
      <c r="W1918" s="153"/>
      <c r="X1918" s="153"/>
      <c r="Y1918" s="153"/>
      <c r="Z1918" s="153"/>
    </row>
    <row r="1919" spans="1:26">
      <c r="A1919" s="200"/>
      <c r="B1919" s="200"/>
      <c r="C1919" s="200"/>
      <c r="D1919" s="200"/>
      <c r="E1919" s="200"/>
      <c r="F1919" s="200"/>
      <c r="G1919" s="200"/>
      <c r="H1919" s="192"/>
      <c r="I1919" s="201"/>
      <c r="J1919" s="201"/>
      <c r="K1919" s="201"/>
      <c r="L1919" s="192"/>
      <c r="M1919" s="200"/>
      <c r="N1919" s="200"/>
      <c r="O1919" s="192"/>
      <c r="P1919" s="192"/>
      <c r="Q1919" s="192"/>
      <c r="R1919" s="192"/>
      <c r="S1919" s="200"/>
      <c r="T1919" s="203"/>
      <c r="U1919" s="153"/>
      <c r="V1919" s="153"/>
      <c r="W1919" s="153"/>
      <c r="X1919" s="153"/>
      <c r="Y1919" s="153"/>
      <c r="Z1919" s="153"/>
    </row>
    <row r="1920" spans="1:26">
      <c r="A1920" s="200"/>
      <c r="B1920" s="200"/>
      <c r="C1920" s="200"/>
      <c r="D1920" s="200"/>
      <c r="E1920" s="200"/>
      <c r="F1920" s="200"/>
      <c r="G1920" s="200"/>
      <c r="H1920" s="192"/>
      <c r="I1920" s="201"/>
      <c r="J1920" s="201"/>
      <c r="K1920" s="201"/>
      <c r="L1920" s="192"/>
      <c r="M1920" s="200"/>
      <c r="N1920" s="200"/>
      <c r="O1920" s="192"/>
      <c r="P1920" s="192"/>
      <c r="Q1920" s="192"/>
      <c r="R1920" s="192"/>
      <c r="S1920" s="200"/>
      <c r="T1920" s="203"/>
      <c r="U1920" s="153"/>
      <c r="V1920" s="153"/>
      <c r="W1920" s="153"/>
      <c r="X1920" s="153"/>
      <c r="Y1920" s="153"/>
      <c r="Z1920" s="153"/>
    </row>
    <row r="1921" spans="1:26">
      <c r="A1921" s="200"/>
      <c r="B1921" s="200"/>
      <c r="C1921" s="200"/>
      <c r="D1921" s="200"/>
      <c r="E1921" s="200"/>
      <c r="F1921" s="200"/>
      <c r="G1921" s="200"/>
      <c r="H1921" s="192"/>
      <c r="I1921" s="201"/>
      <c r="J1921" s="201"/>
      <c r="K1921" s="201"/>
      <c r="L1921" s="192"/>
      <c r="M1921" s="200"/>
      <c r="N1921" s="200"/>
      <c r="O1921" s="192"/>
      <c r="P1921" s="192"/>
      <c r="Q1921" s="192"/>
      <c r="R1921" s="192"/>
      <c r="S1921" s="200"/>
      <c r="T1921" s="203"/>
      <c r="U1921" s="153"/>
      <c r="V1921" s="153"/>
      <c r="W1921" s="153"/>
      <c r="X1921" s="153"/>
      <c r="Y1921" s="153"/>
      <c r="Z1921" s="153"/>
    </row>
    <row r="1922" spans="1:26">
      <c r="A1922" s="200"/>
      <c r="B1922" s="200"/>
      <c r="C1922" s="200"/>
      <c r="D1922" s="200"/>
      <c r="E1922" s="200"/>
      <c r="F1922" s="200"/>
      <c r="G1922" s="200"/>
      <c r="H1922" s="192"/>
      <c r="I1922" s="201"/>
      <c r="J1922" s="201"/>
      <c r="K1922" s="201"/>
      <c r="L1922" s="192"/>
      <c r="M1922" s="200"/>
      <c r="N1922" s="200"/>
      <c r="O1922" s="192"/>
      <c r="P1922" s="192"/>
      <c r="Q1922" s="192"/>
      <c r="R1922" s="192"/>
      <c r="S1922" s="200"/>
      <c r="T1922" s="203"/>
      <c r="U1922" s="153"/>
      <c r="V1922" s="153"/>
      <c r="W1922" s="153"/>
      <c r="X1922" s="153"/>
      <c r="Y1922" s="153"/>
      <c r="Z1922" s="153"/>
    </row>
    <row r="1923" spans="1:26">
      <c r="A1923" s="200"/>
      <c r="B1923" s="200"/>
      <c r="C1923" s="200"/>
      <c r="D1923" s="200"/>
      <c r="E1923" s="200"/>
      <c r="F1923" s="200"/>
      <c r="G1923" s="200"/>
      <c r="H1923" s="192"/>
      <c r="I1923" s="201"/>
      <c r="J1923" s="201"/>
      <c r="K1923" s="201"/>
      <c r="L1923" s="192"/>
      <c r="M1923" s="200"/>
      <c r="N1923" s="200"/>
      <c r="O1923" s="192"/>
      <c r="P1923" s="192"/>
      <c r="Q1923" s="192"/>
      <c r="R1923" s="192"/>
      <c r="S1923" s="200"/>
      <c r="T1923" s="203"/>
      <c r="U1923" s="153"/>
      <c r="V1923" s="153"/>
      <c r="W1923" s="153"/>
      <c r="X1923" s="153"/>
      <c r="Y1923" s="153"/>
      <c r="Z1923" s="153"/>
    </row>
    <row r="1924" spans="1:26">
      <c r="A1924" s="200"/>
      <c r="B1924" s="200"/>
      <c r="C1924" s="200"/>
      <c r="D1924" s="200"/>
      <c r="E1924" s="200"/>
      <c r="F1924" s="200"/>
      <c r="G1924" s="200"/>
      <c r="H1924" s="192"/>
      <c r="I1924" s="201"/>
      <c r="J1924" s="201"/>
      <c r="K1924" s="201"/>
      <c r="L1924" s="192"/>
      <c r="M1924" s="200"/>
      <c r="N1924" s="200"/>
      <c r="O1924" s="192"/>
      <c r="P1924" s="192"/>
      <c r="Q1924" s="192"/>
      <c r="R1924" s="192"/>
      <c r="S1924" s="200"/>
      <c r="T1924" s="203"/>
      <c r="U1924" s="153"/>
      <c r="V1924" s="153"/>
      <c r="W1924" s="153"/>
      <c r="X1924" s="153"/>
      <c r="Y1924" s="153"/>
      <c r="Z1924" s="153"/>
    </row>
    <row r="1925" spans="1:26">
      <c r="A1925" s="200"/>
      <c r="B1925" s="200"/>
      <c r="C1925" s="200"/>
      <c r="D1925" s="200"/>
      <c r="E1925" s="200"/>
      <c r="F1925" s="200"/>
      <c r="G1925" s="200"/>
      <c r="H1925" s="192"/>
      <c r="I1925" s="201"/>
      <c r="J1925" s="201"/>
      <c r="K1925" s="201"/>
      <c r="L1925" s="192"/>
      <c r="M1925" s="200"/>
      <c r="N1925" s="200"/>
      <c r="O1925" s="192"/>
      <c r="P1925" s="192"/>
      <c r="Q1925" s="192"/>
      <c r="R1925" s="192"/>
      <c r="S1925" s="200"/>
      <c r="T1925" s="203"/>
      <c r="U1925" s="153"/>
      <c r="V1925" s="153"/>
      <c r="W1925" s="153"/>
      <c r="X1925" s="153"/>
      <c r="Y1925" s="153"/>
      <c r="Z1925" s="153"/>
    </row>
    <row r="1926" spans="1:26">
      <c r="A1926" s="200"/>
      <c r="B1926" s="200"/>
      <c r="C1926" s="200"/>
      <c r="D1926" s="200"/>
      <c r="E1926" s="200"/>
      <c r="F1926" s="200"/>
      <c r="G1926" s="200"/>
      <c r="H1926" s="192"/>
      <c r="I1926" s="201"/>
      <c r="J1926" s="201"/>
      <c r="K1926" s="201"/>
      <c r="L1926" s="192"/>
      <c r="M1926" s="200"/>
      <c r="N1926" s="200"/>
      <c r="O1926" s="192"/>
      <c r="P1926" s="192"/>
      <c r="Q1926" s="192"/>
      <c r="R1926" s="192"/>
      <c r="S1926" s="200"/>
      <c r="T1926" s="203"/>
      <c r="U1926" s="153"/>
      <c r="V1926" s="153"/>
      <c r="W1926" s="153"/>
      <c r="X1926" s="153"/>
      <c r="Y1926" s="153"/>
      <c r="Z1926" s="153"/>
    </row>
    <row r="1927" spans="1:26">
      <c r="A1927" s="200"/>
      <c r="B1927" s="200"/>
      <c r="C1927" s="200"/>
      <c r="D1927" s="200"/>
      <c r="E1927" s="200"/>
      <c r="F1927" s="200"/>
      <c r="G1927" s="200"/>
      <c r="H1927" s="192"/>
      <c r="I1927" s="201"/>
      <c r="J1927" s="201"/>
      <c r="K1927" s="201"/>
      <c r="L1927" s="192"/>
      <c r="M1927" s="200"/>
      <c r="N1927" s="200"/>
      <c r="O1927" s="192"/>
      <c r="P1927" s="192"/>
      <c r="Q1927" s="192"/>
      <c r="R1927" s="192"/>
      <c r="S1927" s="200"/>
      <c r="T1927" s="203"/>
      <c r="U1927" s="153"/>
      <c r="V1927" s="153"/>
      <c r="W1927" s="153"/>
      <c r="X1927" s="153"/>
      <c r="Y1927" s="153"/>
      <c r="Z1927" s="153"/>
    </row>
    <row r="1928" spans="1:26">
      <c r="A1928" s="200"/>
      <c r="B1928" s="200"/>
      <c r="C1928" s="200"/>
      <c r="D1928" s="200"/>
      <c r="E1928" s="200"/>
      <c r="F1928" s="200"/>
      <c r="G1928" s="200"/>
      <c r="H1928" s="192"/>
      <c r="I1928" s="201"/>
      <c r="J1928" s="201"/>
      <c r="K1928" s="201"/>
      <c r="L1928" s="192"/>
      <c r="M1928" s="200"/>
      <c r="N1928" s="200"/>
      <c r="O1928" s="192"/>
      <c r="P1928" s="192"/>
      <c r="Q1928" s="192"/>
      <c r="R1928" s="192"/>
      <c r="S1928" s="200"/>
      <c r="T1928" s="203"/>
      <c r="U1928" s="153"/>
      <c r="V1928" s="153"/>
      <c r="W1928" s="153"/>
      <c r="X1928" s="153"/>
      <c r="Y1928" s="153"/>
      <c r="Z1928" s="153"/>
    </row>
    <row r="1929" spans="1:26">
      <c r="A1929" s="200"/>
      <c r="B1929" s="200"/>
      <c r="C1929" s="200"/>
      <c r="D1929" s="200"/>
      <c r="E1929" s="200"/>
      <c r="F1929" s="200"/>
      <c r="G1929" s="200"/>
      <c r="H1929" s="192"/>
      <c r="I1929" s="201"/>
      <c r="J1929" s="201"/>
      <c r="K1929" s="201"/>
      <c r="L1929" s="192"/>
      <c r="M1929" s="200"/>
      <c r="N1929" s="200"/>
      <c r="O1929" s="192"/>
      <c r="P1929" s="192"/>
      <c r="Q1929" s="192"/>
      <c r="R1929" s="192"/>
      <c r="S1929" s="200"/>
      <c r="T1929" s="203"/>
      <c r="U1929" s="153"/>
      <c r="V1929" s="153"/>
      <c r="W1929" s="153"/>
      <c r="X1929" s="153"/>
      <c r="Y1929" s="153"/>
      <c r="Z1929" s="153"/>
    </row>
    <row r="1930" spans="1:26">
      <c r="A1930" s="200"/>
      <c r="B1930" s="200"/>
      <c r="C1930" s="200"/>
      <c r="D1930" s="200"/>
      <c r="E1930" s="200"/>
      <c r="F1930" s="200"/>
      <c r="G1930" s="200"/>
      <c r="H1930" s="192"/>
      <c r="I1930" s="201"/>
      <c r="J1930" s="201"/>
      <c r="K1930" s="201"/>
      <c r="L1930" s="192"/>
      <c r="M1930" s="200"/>
      <c r="N1930" s="200"/>
      <c r="O1930" s="192"/>
      <c r="P1930" s="192"/>
      <c r="Q1930" s="192"/>
      <c r="R1930" s="192"/>
      <c r="S1930" s="200"/>
      <c r="T1930" s="203"/>
      <c r="U1930" s="153"/>
      <c r="V1930" s="153"/>
      <c r="W1930" s="153"/>
      <c r="X1930" s="153"/>
      <c r="Y1930" s="153"/>
      <c r="Z1930" s="153"/>
    </row>
    <row r="1931" spans="1:26">
      <c r="A1931" s="200"/>
      <c r="B1931" s="200"/>
      <c r="C1931" s="200"/>
      <c r="D1931" s="200"/>
      <c r="E1931" s="200"/>
      <c r="F1931" s="200"/>
      <c r="G1931" s="200"/>
      <c r="H1931" s="192"/>
      <c r="I1931" s="201"/>
      <c r="J1931" s="201"/>
      <c r="K1931" s="201"/>
      <c r="L1931" s="192"/>
      <c r="M1931" s="200"/>
      <c r="N1931" s="200"/>
      <c r="O1931" s="192"/>
      <c r="P1931" s="192"/>
      <c r="Q1931" s="192"/>
      <c r="R1931" s="192"/>
      <c r="S1931" s="200"/>
      <c r="T1931" s="203"/>
      <c r="U1931" s="153"/>
      <c r="V1931" s="153"/>
      <c r="W1931" s="153"/>
      <c r="X1931" s="153"/>
      <c r="Y1931" s="153"/>
      <c r="Z1931" s="153"/>
    </row>
    <row r="1932" spans="1:26">
      <c r="A1932" s="200"/>
      <c r="B1932" s="200"/>
      <c r="C1932" s="200"/>
      <c r="D1932" s="200"/>
      <c r="E1932" s="200"/>
      <c r="F1932" s="200"/>
      <c r="G1932" s="200"/>
      <c r="H1932" s="192"/>
      <c r="I1932" s="201"/>
      <c r="J1932" s="201"/>
      <c r="K1932" s="201"/>
      <c r="L1932" s="192"/>
      <c r="M1932" s="200"/>
      <c r="N1932" s="200"/>
      <c r="O1932" s="192"/>
      <c r="P1932" s="192"/>
      <c r="Q1932" s="192"/>
      <c r="R1932" s="192"/>
      <c r="S1932" s="200"/>
      <c r="T1932" s="203"/>
      <c r="U1932" s="153"/>
      <c r="V1932" s="153"/>
      <c r="W1932" s="153"/>
      <c r="X1932" s="153"/>
      <c r="Y1932" s="153"/>
      <c r="Z1932" s="153"/>
    </row>
    <row r="1933" spans="1:26">
      <c r="A1933" s="200"/>
      <c r="B1933" s="200"/>
      <c r="C1933" s="200"/>
      <c r="D1933" s="200"/>
      <c r="E1933" s="200"/>
      <c r="F1933" s="200"/>
      <c r="G1933" s="200"/>
      <c r="H1933" s="192"/>
      <c r="I1933" s="201"/>
      <c r="J1933" s="201"/>
      <c r="K1933" s="201"/>
      <c r="L1933" s="192"/>
      <c r="M1933" s="200"/>
      <c r="N1933" s="200"/>
      <c r="O1933" s="192"/>
      <c r="P1933" s="192"/>
      <c r="Q1933" s="192"/>
      <c r="R1933" s="192"/>
      <c r="S1933" s="200"/>
      <c r="T1933" s="203"/>
      <c r="U1933" s="153"/>
      <c r="V1933" s="153"/>
      <c r="W1933" s="153"/>
      <c r="X1933" s="153"/>
      <c r="Y1933" s="153"/>
      <c r="Z1933" s="153"/>
    </row>
    <row r="1934" spans="1:26">
      <c r="A1934" s="200"/>
      <c r="B1934" s="200"/>
      <c r="C1934" s="200"/>
      <c r="D1934" s="200"/>
      <c r="E1934" s="200"/>
      <c r="F1934" s="200"/>
      <c r="G1934" s="200"/>
      <c r="H1934" s="192"/>
      <c r="I1934" s="201"/>
      <c r="J1934" s="201"/>
      <c r="K1934" s="201"/>
      <c r="L1934" s="192"/>
      <c r="M1934" s="200"/>
      <c r="N1934" s="200"/>
      <c r="O1934" s="192"/>
      <c r="P1934" s="192"/>
      <c r="Q1934" s="192"/>
      <c r="R1934" s="192"/>
      <c r="S1934" s="200"/>
      <c r="T1934" s="203"/>
      <c r="U1934" s="153"/>
      <c r="V1934" s="153"/>
      <c r="W1934" s="153"/>
      <c r="X1934" s="153"/>
      <c r="Y1934" s="153"/>
      <c r="Z1934" s="153"/>
    </row>
    <row r="1935" spans="1:26">
      <c r="A1935" s="200"/>
      <c r="B1935" s="200"/>
      <c r="C1935" s="200"/>
      <c r="D1935" s="200"/>
      <c r="E1935" s="200"/>
      <c r="F1935" s="200"/>
      <c r="G1935" s="200"/>
      <c r="H1935" s="192"/>
      <c r="I1935" s="201"/>
      <c r="J1935" s="201"/>
      <c r="K1935" s="201"/>
      <c r="L1935" s="192"/>
      <c r="M1935" s="200"/>
      <c r="N1935" s="200"/>
      <c r="O1935" s="192"/>
      <c r="P1935" s="192"/>
      <c r="Q1935" s="192"/>
      <c r="R1935" s="192"/>
      <c r="S1935" s="200"/>
      <c r="T1935" s="203"/>
      <c r="U1935" s="153"/>
      <c r="V1935" s="153"/>
      <c r="W1935" s="153"/>
      <c r="X1935" s="153"/>
      <c r="Y1935" s="153"/>
      <c r="Z1935" s="153"/>
    </row>
    <row r="1936" spans="1:26">
      <c r="A1936" s="200"/>
      <c r="B1936" s="200"/>
      <c r="C1936" s="200"/>
      <c r="D1936" s="200"/>
      <c r="E1936" s="200"/>
      <c r="F1936" s="200"/>
      <c r="G1936" s="200"/>
      <c r="H1936" s="192"/>
      <c r="I1936" s="201"/>
      <c r="J1936" s="201"/>
      <c r="K1936" s="201"/>
      <c r="L1936" s="192"/>
      <c r="M1936" s="200"/>
      <c r="N1936" s="200"/>
      <c r="O1936" s="192"/>
      <c r="P1936" s="192"/>
      <c r="Q1936" s="192"/>
      <c r="R1936" s="192"/>
      <c r="S1936" s="200"/>
      <c r="T1936" s="203"/>
      <c r="U1936" s="153"/>
      <c r="V1936" s="153"/>
      <c r="W1936" s="153"/>
      <c r="X1936" s="153"/>
      <c r="Y1936" s="153"/>
      <c r="Z1936" s="153"/>
    </row>
    <row r="1937" spans="1:26">
      <c r="A1937" s="200"/>
      <c r="B1937" s="200"/>
      <c r="C1937" s="200"/>
      <c r="D1937" s="200"/>
      <c r="E1937" s="200"/>
      <c r="F1937" s="200"/>
      <c r="G1937" s="200"/>
      <c r="H1937" s="192"/>
      <c r="I1937" s="201"/>
      <c r="J1937" s="201"/>
      <c r="K1937" s="201"/>
      <c r="L1937" s="192"/>
      <c r="M1937" s="200"/>
      <c r="N1937" s="200"/>
      <c r="O1937" s="192"/>
      <c r="P1937" s="192"/>
      <c r="Q1937" s="192"/>
      <c r="R1937" s="192"/>
      <c r="S1937" s="200"/>
      <c r="T1937" s="203"/>
      <c r="U1937" s="153"/>
      <c r="V1937" s="153"/>
      <c r="W1937" s="153"/>
      <c r="X1937" s="153"/>
      <c r="Y1937" s="153"/>
      <c r="Z1937" s="153"/>
    </row>
    <row r="1938" spans="1:26">
      <c r="A1938" s="200"/>
      <c r="B1938" s="200"/>
      <c r="C1938" s="200"/>
      <c r="D1938" s="200"/>
      <c r="E1938" s="200"/>
      <c r="F1938" s="200"/>
      <c r="G1938" s="200"/>
      <c r="H1938" s="192"/>
      <c r="I1938" s="201"/>
      <c r="J1938" s="201"/>
      <c r="K1938" s="201"/>
      <c r="L1938" s="192"/>
      <c r="M1938" s="200"/>
      <c r="N1938" s="200"/>
      <c r="O1938" s="192"/>
      <c r="P1938" s="192"/>
      <c r="Q1938" s="192"/>
      <c r="R1938" s="192"/>
      <c r="S1938" s="200"/>
      <c r="T1938" s="203"/>
      <c r="U1938" s="153"/>
      <c r="V1938" s="153"/>
      <c r="W1938" s="153"/>
      <c r="X1938" s="153"/>
      <c r="Y1938" s="153"/>
      <c r="Z1938" s="153"/>
    </row>
    <row r="1939" spans="1:26">
      <c r="A1939" s="200"/>
      <c r="B1939" s="200"/>
      <c r="C1939" s="200"/>
      <c r="D1939" s="200"/>
      <c r="E1939" s="200"/>
      <c r="F1939" s="200"/>
      <c r="G1939" s="200"/>
      <c r="H1939" s="192"/>
      <c r="I1939" s="201"/>
      <c r="J1939" s="201"/>
      <c r="K1939" s="201"/>
      <c r="L1939" s="192"/>
      <c r="M1939" s="200"/>
      <c r="N1939" s="200"/>
      <c r="O1939" s="192"/>
      <c r="P1939" s="192"/>
      <c r="Q1939" s="192"/>
      <c r="R1939" s="192"/>
      <c r="S1939" s="200"/>
      <c r="T1939" s="203"/>
      <c r="U1939" s="153"/>
      <c r="V1939" s="153"/>
      <c r="W1939" s="153"/>
      <c r="X1939" s="153"/>
      <c r="Y1939" s="153"/>
      <c r="Z1939" s="153"/>
    </row>
    <row r="1940" spans="1:26">
      <c r="A1940" s="200"/>
      <c r="B1940" s="200"/>
      <c r="C1940" s="200"/>
      <c r="D1940" s="200"/>
      <c r="E1940" s="200"/>
      <c r="F1940" s="200"/>
      <c r="G1940" s="200"/>
      <c r="H1940" s="192"/>
      <c r="I1940" s="201"/>
      <c r="J1940" s="201"/>
      <c r="K1940" s="201"/>
      <c r="L1940" s="192"/>
      <c r="M1940" s="200"/>
      <c r="N1940" s="200"/>
      <c r="O1940" s="192"/>
      <c r="P1940" s="192"/>
      <c r="Q1940" s="192"/>
      <c r="R1940" s="192"/>
      <c r="S1940" s="200"/>
      <c r="T1940" s="203"/>
      <c r="U1940" s="153"/>
      <c r="V1940" s="153"/>
      <c r="W1940" s="153"/>
      <c r="X1940" s="153"/>
      <c r="Y1940" s="153"/>
      <c r="Z1940" s="153"/>
    </row>
    <row r="1941" spans="1:26">
      <c r="A1941" s="200"/>
      <c r="B1941" s="200"/>
      <c r="C1941" s="200"/>
      <c r="D1941" s="200"/>
      <c r="E1941" s="200"/>
      <c r="F1941" s="200"/>
      <c r="G1941" s="200"/>
      <c r="H1941" s="192"/>
      <c r="I1941" s="201"/>
      <c r="J1941" s="201"/>
      <c r="K1941" s="201"/>
      <c r="L1941" s="192"/>
      <c r="M1941" s="200"/>
      <c r="N1941" s="200"/>
      <c r="O1941" s="192"/>
      <c r="P1941" s="192"/>
      <c r="Q1941" s="192"/>
      <c r="R1941" s="192"/>
      <c r="S1941" s="200"/>
      <c r="T1941" s="203"/>
      <c r="U1941" s="153"/>
      <c r="V1941" s="153"/>
      <c r="W1941" s="153"/>
      <c r="X1941" s="153"/>
      <c r="Y1941" s="153"/>
      <c r="Z1941" s="153"/>
    </row>
    <row r="1942" spans="1:26">
      <c r="A1942" s="200"/>
      <c r="B1942" s="200"/>
      <c r="C1942" s="200"/>
      <c r="D1942" s="200"/>
      <c r="E1942" s="200"/>
      <c r="F1942" s="200"/>
      <c r="G1942" s="200"/>
      <c r="H1942" s="192"/>
      <c r="I1942" s="201"/>
      <c r="J1942" s="201"/>
      <c r="K1942" s="201"/>
      <c r="L1942" s="192"/>
      <c r="M1942" s="200"/>
      <c r="N1942" s="200"/>
      <c r="O1942" s="192"/>
      <c r="P1942" s="192"/>
      <c r="Q1942" s="192"/>
      <c r="R1942" s="192"/>
      <c r="S1942" s="200"/>
      <c r="T1942" s="203"/>
      <c r="U1942" s="153"/>
      <c r="V1942" s="153"/>
      <c r="W1942" s="153"/>
      <c r="X1942" s="153"/>
      <c r="Y1942" s="153"/>
      <c r="Z1942" s="153"/>
    </row>
    <row r="1943" spans="1:26">
      <c r="A1943" s="200"/>
      <c r="B1943" s="200"/>
      <c r="C1943" s="200"/>
      <c r="D1943" s="200"/>
      <c r="E1943" s="200"/>
      <c r="F1943" s="200"/>
      <c r="G1943" s="200"/>
      <c r="H1943" s="192"/>
      <c r="I1943" s="201"/>
      <c r="J1943" s="201"/>
      <c r="K1943" s="201"/>
      <c r="L1943" s="192"/>
      <c r="M1943" s="200"/>
      <c r="N1943" s="200"/>
      <c r="O1943" s="192"/>
      <c r="P1943" s="192"/>
      <c r="Q1943" s="192"/>
      <c r="R1943" s="192"/>
      <c r="S1943" s="200"/>
      <c r="T1943" s="203"/>
      <c r="U1943" s="153"/>
      <c r="V1943" s="153"/>
      <c r="W1943" s="153"/>
      <c r="X1943" s="153"/>
      <c r="Y1943" s="153"/>
      <c r="Z1943" s="153"/>
    </row>
    <row r="1944" spans="1:26">
      <c r="A1944" s="200"/>
      <c r="B1944" s="200"/>
      <c r="C1944" s="200"/>
      <c r="D1944" s="200"/>
      <c r="E1944" s="200"/>
      <c r="F1944" s="200"/>
      <c r="G1944" s="200"/>
      <c r="H1944" s="192"/>
      <c r="I1944" s="201"/>
      <c r="J1944" s="201"/>
      <c r="K1944" s="201"/>
      <c r="L1944" s="192"/>
      <c r="M1944" s="200"/>
      <c r="N1944" s="200"/>
      <c r="O1944" s="192"/>
      <c r="P1944" s="192"/>
      <c r="Q1944" s="192"/>
      <c r="R1944" s="192"/>
      <c r="S1944" s="200"/>
      <c r="T1944" s="203"/>
      <c r="U1944" s="153"/>
      <c r="V1944" s="153"/>
      <c r="W1944" s="153"/>
      <c r="X1944" s="153"/>
      <c r="Y1944" s="153"/>
      <c r="Z1944" s="153"/>
    </row>
    <row r="1945" spans="1:26">
      <c r="A1945" s="200"/>
      <c r="B1945" s="200"/>
      <c r="C1945" s="200"/>
      <c r="D1945" s="200"/>
      <c r="E1945" s="200"/>
      <c r="F1945" s="200"/>
      <c r="G1945" s="200"/>
      <c r="H1945" s="192"/>
      <c r="I1945" s="201"/>
      <c r="J1945" s="201"/>
      <c r="K1945" s="201"/>
      <c r="L1945" s="192"/>
      <c r="M1945" s="200"/>
      <c r="N1945" s="200"/>
      <c r="O1945" s="192"/>
      <c r="P1945" s="192"/>
      <c r="Q1945" s="192"/>
      <c r="R1945" s="192"/>
      <c r="S1945" s="200"/>
      <c r="T1945" s="203"/>
      <c r="U1945" s="153"/>
      <c r="V1945" s="153"/>
      <c r="W1945" s="153"/>
      <c r="X1945" s="153"/>
      <c r="Y1945" s="153"/>
      <c r="Z1945" s="153"/>
    </row>
    <row r="1946" spans="1:26">
      <c r="A1946" s="200"/>
      <c r="B1946" s="200"/>
      <c r="C1946" s="200"/>
      <c r="D1946" s="200"/>
      <c r="E1946" s="200"/>
      <c r="F1946" s="200"/>
      <c r="G1946" s="200"/>
      <c r="H1946" s="192"/>
      <c r="I1946" s="201"/>
      <c r="J1946" s="201"/>
      <c r="K1946" s="201"/>
      <c r="L1946" s="192"/>
      <c r="M1946" s="200"/>
      <c r="N1946" s="200"/>
      <c r="O1946" s="192"/>
      <c r="P1946" s="192"/>
      <c r="Q1946" s="192"/>
      <c r="R1946" s="192"/>
      <c r="S1946" s="200"/>
      <c r="T1946" s="203"/>
      <c r="U1946" s="153"/>
      <c r="V1946" s="153"/>
      <c r="W1946" s="153"/>
      <c r="X1946" s="153"/>
      <c r="Y1946" s="153"/>
      <c r="Z1946" s="153"/>
    </row>
    <row r="1947" spans="1:26">
      <c r="A1947" s="200"/>
      <c r="B1947" s="200"/>
      <c r="C1947" s="200"/>
      <c r="D1947" s="200"/>
      <c r="E1947" s="200"/>
      <c r="F1947" s="200"/>
      <c r="G1947" s="200"/>
      <c r="H1947" s="192"/>
      <c r="I1947" s="201"/>
      <c r="J1947" s="201"/>
      <c r="K1947" s="201"/>
      <c r="L1947" s="192"/>
      <c r="M1947" s="200"/>
      <c r="N1947" s="200"/>
      <c r="O1947" s="192"/>
      <c r="P1947" s="192"/>
      <c r="Q1947" s="192"/>
      <c r="R1947" s="192"/>
      <c r="S1947" s="200"/>
      <c r="T1947" s="203"/>
      <c r="U1947" s="153"/>
      <c r="V1947" s="153"/>
      <c r="W1947" s="153"/>
      <c r="X1947" s="153"/>
      <c r="Y1947" s="153"/>
      <c r="Z1947" s="153"/>
    </row>
    <row r="1948" spans="1:26">
      <c r="A1948" s="200"/>
      <c r="B1948" s="200"/>
      <c r="C1948" s="200"/>
      <c r="D1948" s="200"/>
      <c r="E1948" s="200"/>
      <c r="F1948" s="200"/>
      <c r="G1948" s="200"/>
      <c r="H1948" s="192"/>
      <c r="I1948" s="201"/>
      <c r="J1948" s="201"/>
      <c r="K1948" s="201"/>
      <c r="L1948" s="192"/>
      <c r="M1948" s="200"/>
      <c r="N1948" s="200"/>
      <c r="O1948" s="192"/>
      <c r="P1948" s="192"/>
      <c r="Q1948" s="192"/>
      <c r="R1948" s="192"/>
      <c r="S1948" s="200"/>
      <c r="T1948" s="203"/>
      <c r="U1948" s="153"/>
      <c r="V1948" s="153"/>
      <c r="W1948" s="153"/>
      <c r="X1948" s="153"/>
      <c r="Y1948" s="153"/>
      <c r="Z1948" s="153"/>
    </row>
    <row r="1949" spans="1:26">
      <c r="A1949" s="200"/>
      <c r="B1949" s="200"/>
      <c r="C1949" s="200"/>
      <c r="D1949" s="200"/>
      <c r="E1949" s="200"/>
      <c r="F1949" s="200"/>
      <c r="G1949" s="200"/>
      <c r="H1949" s="192"/>
      <c r="I1949" s="201"/>
      <c r="J1949" s="201"/>
      <c r="K1949" s="201"/>
      <c r="L1949" s="192"/>
      <c r="M1949" s="200"/>
      <c r="N1949" s="200"/>
      <c r="O1949" s="192"/>
      <c r="P1949" s="192"/>
      <c r="Q1949" s="192"/>
      <c r="R1949" s="192"/>
      <c r="S1949" s="200"/>
      <c r="T1949" s="203"/>
      <c r="U1949" s="153"/>
      <c r="V1949" s="153"/>
      <c r="W1949" s="153"/>
      <c r="X1949" s="153"/>
      <c r="Y1949" s="153"/>
      <c r="Z1949" s="153"/>
    </row>
    <row r="1950" spans="1:26">
      <c r="A1950" s="200"/>
      <c r="B1950" s="200"/>
      <c r="C1950" s="200"/>
      <c r="D1950" s="200"/>
      <c r="E1950" s="200"/>
      <c r="F1950" s="200"/>
      <c r="G1950" s="200"/>
      <c r="H1950" s="192"/>
      <c r="I1950" s="201"/>
      <c r="J1950" s="201"/>
      <c r="K1950" s="201"/>
      <c r="L1950" s="192"/>
      <c r="M1950" s="200"/>
      <c r="N1950" s="200"/>
      <c r="O1950" s="192"/>
      <c r="P1950" s="192"/>
      <c r="Q1950" s="192"/>
      <c r="R1950" s="192"/>
      <c r="S1950" s="200"/>
      <c r="T1950" s="203"/>
      <c r="U1950" s="153"/>
      <c r="V1950" s="153"/>
      <c r="W1950" s="153"/>
      <c r="X1950" s="153"/>
      <c r="Y1950" s="153"/>
      <c r="Z1950" s="153"/>
    </row>
    <row r="1951" spans="1:26">
      <c r="A1951" s="200"/>
      <c r="B1951" s="200"/>
      <c r="C1951" s="200"/>
      <c r="D1951" s="200"/>
      <c r="E1951" s="200"/>
      <c r="F1951" s="200"/>
      <c r="G1951" s="200"/>
      <c r="H1951" s="192"/>
      <c r="I1951" s="201"/>
      <c r="J1951" s="201"/>
      <c r="K1951" s="201"/>
      <c r="L1951" s="192"/>
      <c r="M1951" s="200"/>
      <c r="N1951" s="200"/>
      <c r="O1951" s="192"/>
      <c r="P1951" s="192"/>
      <c r="Q1951" s="192"/>
      <c r="R1951" s="192"/>
      <c r="S1951" s="200"/>
      <c r="T1951" s="203"/>
      <c r="U1951" s="153"/>
      <c r="V1951" s="153"/>
      <c r="W1951" s="153"/>
      <c r="X1951" s="153"/>
      <c r="Y1951" s="153"/>
      <c r="Z1951" s="153"/>
    </row>
    <row r="1952" spans="1:26">
      <c r="A1952" s="200"/>
      <c r="B1952" s="200"/>
      <c r="C1952" s="200"/>
      <c r="D1952" s="200"/>
      <c r="E1952" s="200"/>
      <c r="F1952" s="200"/>
      <c r="G1952" s="200"/>
      <c r="H1952" s="192"/>
      <c r="I1952" s="201"/>
      <c r="J1952" s="201"/>
      <c r="K1952" s="201"/>
      <c r="L1952" s="192"/>
      <c r="M1952" s="200"/>
      <c r="N1952" s="200"/>
      <c r="O1952" s="192"/>
      <c r="P1952" s="192"/>
      <c r="Q1952" s="192"/>
      <c r="R1952" s="192"/>
      <c r="S1952" s="200"/>
      <c r="T1952" s="203"/>
      <c r="U1952" s="153"/>
      <c r="V1952" s="153"/>
      <c r="W1952" s="153"/>
      <c r="X1952" s="153"/>
      <c r="Y1952" s="153"/>
      <c r="Z1952" s="153"/>
    </row>
    <row r="1953" spans="1:26">
      <c r="A1953" s="200"/>
      <c r="B1953" s="200"/>
      <c r="C1953" s="200"/>
      <c r="D1953" s="200"/>
      <c r="E1953" s="200"/>
      <c r="F1953" s="200"/>
      <c r="G1953" s="200"/>
      <c r="H1953" s="192"/>
      <c r="I1953" s="201"/>
      <c r="J1953" s="201"/>
      <c r="K1953" s="201"/>
      <c r="L1953" s="192"/>
      <c r="M1953" s="200"/>
      <c r="N1953" s="200"/>
      <c r="O1953" s="192"/>
      <c r="P1953" s="192"/>
      <c r="Q1953" s="192"/>
      <c r="R1953" s="192"/>
      <c r="S1953" s="200"/>
      <c r="T1953" s="203"/>
      <c r="U1953" s="153"/>
      <c r="V1953" s="153"/>
      <c r="W1953" s="153"/>
      <c r="X1953" s="153"/>
      <c r="Y1953" s="153"/>
      <c r="Z1953" s="153"/>
    </row>
    <row r="1954" spans="1:26">
      <c r="A1954" s="200"/>
      <c r="B1954" s="200"/>
      <c r="C1954" s="200"/>
      <c r="D1954" s="200"/>
      <c r="E1954" s="200"/>
      <c r="F1954" s="200"/>
      <c r="G1954" s="200"/>
      <c r="H1954" s="192"/>
      <c r="I1954" s="201"/>
      <c r="J1954" s="201"/>
      <c r="K1954" s="201"/>
      <c r="L1954" s="192"/>
      <c r="M1954" s="200"/>
      <c r="N1954" s="200"/>
      <c r="O1954" s="192"/>
      <c r="P1954" s="192"/>
      <c r="Q1954" s="192"/>
      <c r="R1954" s="192"/>
      <c r="S1954" s="200"/>
      <c r="T1954" s="203"/>
      <c r="U1954" s="153"/>
      <c r="V1954" s="153"/>
      <c r="W1954" s="153"/>
      <c r="X1954" s="153"/>
      <c r="Y1954" s="153"/>
      <c r="Z1954" s="153"/>
    </row>
    <row r="1955" spans="1:26">
      <c r="A1955" s="200"/>
      <c r="B1955" s="200"/>
      <c r="C1955" s="200"/>
      <c r="D1955" s="200"/>
      <c r="E1955" s="200"/>
      <c r="F1955" s="200"/>
      <c r="G1955" s="200"/>
      <c r="H1955" s="192"/>
      <c r="I1955" s="201"/>
      <c r="J1955" s="201"/>
      <c r="K1955" s="201"/>
      <c r="L1955" s="192"/>
      <c r="M1955" s="200"/>
      <c r="N1955" s="200"/>
      <c r="O1955" s="192"/>
      <c r="P1955" s="192"/>
      <c r="Q1955" s="192"/>
      <c r="R1955" s="192"/>
      <c r="S1955" s="200"/>
      <c r="T1955" s="203"/>
      <c r="U1955" s="153"/>
      <c r="V1955" s="153"/>
      <c r="W1955" s="153"/>
      <c r="X1955" s="153"/>
      <c r="Y1955" s="153"/>
      <c r="Z1955" s="153"/>
    </row>
    <row r="1956" spans="1:26">
      <c r="A1956" s="200"/>
      <c r="B1956" s="200"/>
      <c r="C1956" s="200"/>
      <c r="D1956" s="200"/>
      <c r="E1956" s="200"/>
      <c r="F1956" s="200"/>
      <c r="G1956" s="200"/>
      <c r="H1956" s="192"/>
      <c r="I1956" s="201"/>
      <c r="J1956" s="201"/>
      <c r="K1956" s="201"/>
      <c r="L1956" s="192"/>
      <c r="M1956" s="200"/>
      <c r="N1956" s="200"/>
      <c r="O1956" s="192"/>
      <c r="P1956" s="192"/>
      <c r="Q1956" s="192"/>
      <c r="R1956" s="192"/>
      <c r="S1956" s="200"/>
      <c r="T1956" s="203"/>
      <c r="U1956" s="153"/>
      <c r="V1956" s="153"/>
      <c r="W1956" s="153"/>
      <c r="X1956" s="153"/>
      <c r="Y1956" s="153"/>
      <c r="Z1956" s="153"/>
    </row>
    <row r="1957" spans="1:26">
      <c r="A1957" s="200"/>
      <c r="B1957" s="200"/>
      <c r="C1957" s="200"/>
      <c r="D1957" s="200"/>
      <c r="E1957" s="200"/>
      <c r="F1957" s="200"/>
      <c r="G1957" s="200"/>
      <c r="H1957" s="192"/>
      <c r="I1957" s="201"/>
      <c r="J1957" s="201"/>
      <c r="K1957" s="201"/>
      <c r="L1957" s="192"/>
      <c r="M1957" s="200"/>
      <c r="N1957" s="200"/>
      <c r="O1957" s="192"/>
      <c r="P1957" s="192"/>
      <c r="Q1957" s="192"/>
      <c r="R1957" s="192"/>
      <c r="S1957" s="200"/>
      <c r="T1957" s="203"/>
      <c r="U1957" s="153"/>
      <c r="V1957" s="153"/>
      <c r="W1957" s="153"/>
      <c r="X1957" s="153"/>
      <c r="Y1957" s="153"/>
      <c r="Z1957" s="153"/>
    </row>
    <row r="1958" spans="1:26">
      <c r="A1958" s="200"/>
      <c r="B1958" s="200"/>
      <c r="C1958" s="200"/>
      <c r="D1958" s="200"/>
      <c r="E1958" s="200"/>
      <c r="F1958" s="200"/>
      <c r="G1958" s="200"/>
      <c r="H1958" s="192"/>
      <c r="I1958" s="201"/>
      <c r="J1958" s="201"/>
      <c r="K1958" s="201"/>
      <c r="L1958" s="192"/>
      <c r="M1958" s="200"/>
      <c r="N1958" s="200"/>
      <c r="O1958" s="192"/>
      <c r="P1958" s="192"/>
      <c r="Q1958" s="192"/>
      <c r="R1958" s="192"/>
      <c r="S1958" s="200"/>
      <c r="T1958" s="203"/>
      <c r="U1958" s="153"/>
      <c r="V1958" s="153"/>
      <c r="W1958" s="153"/>
      <c r="X1958" s="153"/>
      <c r="Y1958" s="153"/>
      <c r="Z1958" s="153"/>
    </row>
    <row r="1959" spans="1:26">
      <c r="A1959" s="200"/>
      <c r="B1959" s="200"/>
      <c r="C1959" s="200"/>
      <c r="D1959" s="200"/>
      <c r="E1959" s="200"/>
      <c r="F1959" s="200"/>
      <c r="G1959" s="200"/>
      <c r="H1959" s="192"/>
      <c r="I1959" s="201"/>
      <c r="J1959" s="201"/>
      <c r="K1959" s="201"/>
      <c r="L1959" s="192"/>
      <c r="M1959" s="200"/>
      <c r="N1959" s="200"/>
      <c r="O1959" s="192"/>
      <c r="P1959" s="192"/>
      <c r="Q1959" s="192"/>
      <c r="R1959" s="192"/>
      <c r="S1959" s="200"/>
      <c r="T1959" s="203"/>
      <c r="U1959" s="153"/>
      <c r="V1959" s="153"/>
      <c r="W1959" s="153"/>
      <c r="X1959" s="153"/>
      <c r="Y1959" s="153"/>
      <c r="Z1959" s="153"/>
    </row>
    <row r="1960" spans="1:26">
      <c r="A1960" s="200"/>
      <c r="B1960" s="200"/>
      <c r="C1960" s="200"/>
      <c r="D1960" s="200"/>
      <c r="E1960" s="200"/>
      <c r="F1960" s="200"/>
      <c r="G1960" s="200"/>
      <c r="H1960" s="192"/>
      <c r="I1960" s="201"/>
      <c r="J1960" s="201"/>
      <c r="K1960" s="201"/>
      <c r="L1960" s="192"/>
      <c r="M1960" s="200"/>
      <c r="N1960" s="200"/>
      <c r="O1960" s="192"/>
      <c r="P1960" s="192"/>
      <c r="Q1960" s="192"/>
      <c r="R1960" s="192"/>
      <c r="S1960" s="200"/>
      <c r="T1960" s="203"/>
      <c r="U1960" s="153"/>
      <c r="V1960" s="153"/>
      <c r="W1960" s="153"/>
      <c r="X1960" s="153"/>
      <c r="Y1960" s="153"/>
      <c r="Z1960" s="153"/>
    </row>
    <row r="1961" spans="1:26">
      <c r="A1961" s="200"/>
      <c r="B1961" s="200"/>
      <c r="C1961" s="200"/>
      <c r="D1961" s="200"/>
      <c r="E1961" s="200"/>
      <c r="F1961" s="200"/>
      <c r="G1961" s="200"/>
      <c r="H1961" s="192"/>
      <c r="I1961" s="201"/>
      <c r="J1961" s="201"/>
      <c r="K1961" s="201"/>
      <c r="L1961" s="192"/>
      <c r="M1961" s="200"/>
      <c r="N1961" s="200"/>
      <c r="O1961" s="192"/>
      <c r="P1961" s="192"/>
      <c r="Q1961" s="192"/>
      <c r="R1961" s="192"/>
      <c r="S1961" s="200"/>
      <c r="T1961" s="203"/>
      <c r="U1961" s="153"/>
      <c r="V1961" s="153"/>
      <c r="W1961" s="153"/>
      <c r="X1961" s="153"/>
      <c r="Y1961" s="153"/>
      <c r="Z1961" s="153"/>
    </row>
    <row r="1962" spans="1:26">
      <c r="A1962" s="200"/>
      <c r="B1962" s="200"/>
      <c r="C1962" s="200"/>
      <c r="D1962" s="200"/>
      <c r="E1962" s="200"/>
      <c r="F1962" s="200"/>
      <c r="G1962" s="200"/>
      <c r="H1962" s="192"/>
      <c r="I1962" s="201"/>
      <c r="J1962" s="201"/>
      <c r="K1962" s="201"/>
      <c r="L1962" s="192"/>
      <c r="M1962" s="200"/>
      <c r="N1962" s="200"/>
      <c r="O1962" s="192"/>
      <c r="P1962" s="192"/>
      <c r="Q1962" s="192"/>
      <c r="R1962" s="192"/>
      <c r="S1962" s="200"/>
      <c r="T1962" s="203"/>
      <c r="U1962" s="153"/>
      <c r="V1962" s="153"/>
      <c r="W1962" s="153"/>
      <c r="X1962" s="153"/>
      <c r="Y1962" s="153"/>
      <c r="Z1962" s="153"/>
    </row>
    <row r="1963" spans="1:26">
      <c r="A1963" s="200"/>
      <c r="B1963" s="200"/>
      <c r="C1963" s="200"/>
      <c r="D1963" s="200"/>
      <c r="E1963" s="200"/>
      <c r="F1963" s="200"/>
      <c r="G1963" s="200"/>
      <c r="H1963" s="192"/>
      <c r="I1963" s="201"/>
      <c r="J1963" s="201"/>
      <c r="K1963" s="201"/>
      <c r="L1963" s="192"/>
      <c r="M1963" s="200"/>
      <c r="N1963" s="200"/>
      <c r="O1963" s="192"/>
      <c r="P1963" s="192"/>
      <c r="Q1963" s="192"/>
      <c r="R1963" s="192"/>
      <c r="S1963" s="200"/>
      <c r="T1963" s="203"/>
      <c r="U1963" s="153"/>
      <c r="V1963" s="153"/>
      <c r="W1963" s="153"/>
      <c r="X1963" s="153"/>
      <c r="Y1963" s="153"/>
      <c r="Z1963" s="153"/>
    </row>
    <row r="1964" spans="1:26">
      <c r="A1964" s="200"/>
      <c r="B1964" s="200"/>
      <c r="C1964" s="200"/>
      <c r="D1964" s="200"/>
      <c r="E1964" s="200"/>
      <c r="F1964" s="200"/>
      <c r="G1964" s="200"/>
      <c r="H1964" s="192"/>
      <c r="I1964" s="201"/>
      <c r="J1964" s="201"/>
      <c r="K1964" s="201"/>
      <c r="L1964" s="192"/>
      <c r="M1964" s="200"/>
      <c r="N1964" s="200"/>
      <c r="O1964" s="192"/>
      <c r="P1964" s="192"/>
      <c r="Q1964" s="192"/>
      <c r="R1964" s="192"/>
      <c r="S1964" s="200"/>
      <c r="T1964" s="203"/>
      <c r="U1964" s="153"/>
      <c r="V1964" s="153"/>
      <c r="W1964" s="153"/>
      <c r="X1964" s="153"/>
      <c r="Y1964" s="153"/>
      <c r="Z1964" s="153"/>
    </row>
    <row r="1965" spans="1:26">
      <c r="A1965" s="200"/>
      <c r="B1965" s="200"/>
      <c r="C1965" s="200"/>
      <c r="D1965" s="200"/>
      <c r="E1965" s="200"/>
      <c r="F1965" s="200"/>
      <c r="G1965" s="200"/>
      <c r="H1965" s="192"/>
      <c r="I1965" s="201"/>
      <c r="J1965" s="201"/>
      <c r="K1965" s="201"/>
      <c r="L1965" s="192"/>
      <c r="M1965" s="200"/>
      <c r="N1965" s="200"/>
      <c r="O1965" s="192"/>
      <c r="P1965" s="192"/>
      <c r="Q1965" s="192"/>
      <c r="R1965" s="192"/>
      <c r="S1965" s="200"/>
      <c r="T1965" s="203"/>
      <c r="U1965" s="153"/>
      <c r="V1965" s="153"/>
      <c r="W1965" s="153"/>
      <c r="X1965" s="153"/>
      <c r="Y1965" s="153"/>
      <c r="Z1965" s="153"/>
    </row>
    <row r="1966" spans="1:26">
      <c r="A1966" s="200"/>
      <c r="B1966" s="200"/>
      <c r="C1966" s="200"/>
      <c r="D1966" s="200"/>
      <c r="E1966" s="200"/>
      <c r="F1966" s="200"/>
      <c r="G1966" s="200"/>
      <c r="H1966" s="192"/>
      <c r="I1966" s="201"/>
      <c r="J1966" s="201"/>
      <c r="K1966" s="201"/>
      <c r="L1966" s="192"/>
      <c r="M1966" s="200"/>
      <c r="N1966" s="200"/>
      <c r="O1966" s="192"/>
      <c r="P1966" s="192"/>
      <c r="Q1966" s="192"/>
      <c r="R1966" s="192"/>
      <c r="S1966" s="200"/>
      <c r="T1966" s="203"/>
      <c r="U1966" s="153"/>
      <c r="V1966" s="153"/>
      <c r="W1966" s="153"/>
      <c r="X1966" s="153"/>
      <c r="Y1966" s="153"/>
      <c r="Z1966" s="153"/>
    </row>
    <row r="1967" spans="1:26">
      <c r="A1967" s="200"/>
      <c r="B1967" s="200"/>
      <c r="C1967" s="200"/>
      <c r="D1967" s="200"/>
      <c r="E1967" s="200"/>
      <c r="F1967" s="200"/>
      <c r="G1967" s="200"/>
      <c r="H1967" s="192"/>
      <c r="I1967" s="201"/>
      <c r="J1967" s="201"/>
      <c r="K1967" s="201"/>
      <c r="L1967" s="192"/>
      <c r="M1967" s="200"/>
      <c r="N1967" s="200"/>
      <c r="O1967" s="192"/>
      <c r="P1967" s="192"/>
      <c r="Q1967" s="192"/>
      <c r="R1967" s="192"/>
      <c r="S1967" s="200"/>
      <c r="T1967" s="203"/>
      <c r="U1967" s="153"/>
      <c r="V1967" s="153"/>
      <c r="W1967" s="153"/>
      <c r="X1967" s="153"/>
      <c r="Y1967" s="153"/>
      <c r="Z1967" s="153"/>
    </row>
    <row r="1968" spans="1:26">
      <c r="A1968" s="200"/>
      <c r="B1968" s="200"/>
      <c r="C1968" s="200"/>
      <c r="D1968" s="200"/>
      <c r="E1968" s="200"/>
      <c r="F1968" s="200"/>
      <c r="G1968" s="200"/>
      <c r="H1968" s="192"/>
      <c r="I1968" s="201"/>
      <c r="J1968" s="201"/>
      <c r="K1968" s="201"/>
      <c r="L1968" s="192"/>
      <c r="M1968" s="200"/>
      <c r="N1968" s="200"/>
      <c r="O1968" s="192"/>
      <c r="P1968" s="192"/>
      <c r="Q1968" s="192"/>
      <c r="R1968" s="192"/>
      <c r="S1968" s="200"/>
      <c r="T1968" s="203"/>
      <c r="U1968" s="153"/>
      <c r="V1968" s="153"/>
      <c r="W1968" s="153"/>
      <c r="X1968" s="153"/>
      <c r="Y1968" s="153"/>
      <c r="Z1968" s="153"/>
    </row>
    <row r="1969" spans="1:26">
      <c r="A1969" s="200"/>
      <c r="B1969" s="200"/>
      <c r="C1969" s="200"/>
      <c r="D1969" s="200"/>
      <c r="E1969" s="200"/>
      <c r="F1969" s="200"/>
      <c r="G1969" s="200"/>
      <c r="H1969" s="192"/>
      <c r="I1969" s="201"/>
      <c r="J1969" s="201"/>
      <c r="K1969" s="201"/>
      <c r="L1969" s="192"/>
      <c r="M1969" s="200"/>
      <c r="N1969" s="200"/>
      <c r="O1969" s="192"/>
      <c r="P1969" s="192"/>
      <c r="Q1969" s="192"/>
      <c r="R1969" s="192"/>
      <c r="S1969" s="200"/>
      <c r="T1969" s="203"/>
      <c r="U1969" s="153"/>
      <c r="V1969" s="153"/>
      <c r="W1969" s="153"/>
      <c r="X1969" s="153"/>
      <c r="Y1969" s="153"/>
      <c r="Z1969" s="153"/>
    </row>
    <row r="1970" spans="1:26">
      <c r="A1970" s="200"/>
      <c r="B1970" s="200"/>
      <c r="C1970" s="200"/>
      <c r="D1970" s="200"/>
      <c r="E1970" s="200"/>
      <c r="F1970" s="200"/>
      <c r="G1970" s="200"/>
      <c r="H1970" s="192"/>
      <c r="I1970" s="201"/>
      <c r="J1970" s="201"/>
      <c r="K1970" s="201"/>
      <c r="L1970" s="192"/>
      <c r="M1970" s="200"/>
      <c r="N1970" s="200"/>
      <c r="O1970" s="192"/>
      <c r="P1970" s="192"/>
      <c r="Q1970" s="192"/>
      <c r="R1970" s="192"/>
      <c r="S1970" s="200"/>
      <c r="T1970" s="203"/>
      <c r="U1970" s="153"/>
      <c r="V1970" s="153"/>
      <c r="W1970" s="153"/>
      <c r="X1970" s="153"/>
      <c r="Y1970" s="153"/>
      <c r="Z1970" s="153"/>
    </row>
    <row r="1971" spans="1:26">
      <c r="A1971" s="200"/>
      <c r="B1971" s="200"/>
      <c r="C1971" s="200"/>
      <c r="D1971" s="200"/>
      <c r="E1971" s="200"/>
      <c r="F1971" s="200"/>
      <c r="G1971" s="200"/>
      <c r="H1971" s="192"/>
      <c r="I1971" s="201"/>
      <c r="J1971" s="201"/>
      <c r="K1971" s="201"/>
      <c r="L1971" s="192"/>
      <c r="M1971" s="200"/>
      <c r="N1971" s="200"/>
      <c r="O1971" s="192"/>
      <c r="P1971" s="192"/>
      <c r="Q1971" s="192"/>
      <c r="R1971" s="192"/>
      <c r="S1971" s="200"/>
      <c r="T1971" s="203"/>
      <c r="U1971" s="153"/>
      <c r="V1971" s="153"/>
      <c r="W1971" s="153"/>
      <c r="X1971" s="153"/>
      <c r="Y1971" s="153"/>
      <c r="Z1971" s="153"/>
    </row>
    <row r="1972" spans="1:26">
      <c r="A1972" s="200"/>
      <c r="B1972" s="200"/>
      <c r="C1972" s="200"/>
      <c r="D1972" s="200"/>
      <c r="E1972" s="200"/>
      <c r="F1972" s="200"/>
      <c r="G1972" s="200"/>
      <c r="H1972" s="192"/>
      <c r="I1972" s="201"/>
      <c r="J1972" s="201"/>
      <c r="K1972" s="201"/>
      <c r="L1972" s="192"/>
      <c r="M1972" s="200"/>
      <c r="N1972" s="200"/>
      <c r="O1972" s="192"/>
      <c r="P1972" s="192"/>
      <c r="Q1972" s="192"/>
      <c r="R1972" s="192"/>
      <c r="S1972" s="200"/>
      <c r="T1972" s="203"/>
      <c r="U1972" s="153"/>
      <c r="V1972" s="153"/>
      <c r="W1972" s="153"/>
      <c r="X1972" s="153"/>
      <c r="Y1972" s="153"/>
      <c r="Z1972" s="153"/>
    </row>
    <row r="1973" spans="1:26">
      <c r="A1973" s="200"/>
      <c r="B1973" s="200"/>
      <c r="C1973" s="200"/>
      <c r="D1973" s="200"/>
      <c r="E1973" s="200"/>
      <c r="F1973" s="200"/>
      <c r="G1973" s="200"/>
      <c r="H1973" s="192"/>
      <c r="I1973" s="201"/>
      <c r="J1973" s="201"/>
      <c r="K1973" s="201"/>
      <c r="L1973" s="192"/>
      <c r="M1973" s="200"/>
      <c r="N1973" s="200"/>
      <c r="O1973" s="192"/>
      <c r="P1973" s="192"/>
      <c r="Q1973" s="192"/>
      <c r="R1973" s="192"/>
      <c r="S1973" s="200"/>
      <c r="T1973" s="203"/>
      <c r="U1973" s="153"/>
      <c r="V1973" s="153"/>
      <c r="W1973" s="153"/>
      <c r="X1973" s="153"/>
      <c r="Y1973" s="153"/>
      <c r="Z1973" s="153"/>
    </row>
    <row r="1974" spans="1:26">
      <c r="A1974" s="200"/>
      <c r="B1974" s="200"/>
      <c r="C1974" s="200"/>
      <c r="D1974" s="200"/>
      <c r="E1974" s="200"/>
      <c r="F1974" s="200"/>
      <c r="G1974" s="200"/>
      <c r="H1974" s="192"/>
      <c r="I1974" s="201"/>
      <c r="J1974" s="201"/>
      <c r="K1974" s="201"/>
      <c r="L1974" s="192"/>
      <c r="M1974" s="200"/>
      <c r="N1974" s="200"/>
      <c r="O1974" s="192"/>
      <c r="P1974" s="192"/>
      <c r="Q1974" s="192"/>
      <c r="R1974" s="192"/>
      <c r="S1974" s="200"/>
      <c r="T1974" s="203"/>
      <c r="U1974" s="153"/>
      <c r="V1974" s="153"/>
      <c r="W1974" s="153"/>
      <c r="X1974" s="153"/>
      <c r="Y1974" s="153"/>
      <c r="Z1974" s="153"/>
    </row>
    <row r="1975" spans="1:26">
      <c r="A1975" s="200"/>
      <c r="B1975" s="200"/>
      <c r="C1975" s="200"/>
      <c r="D1975" s="200"/>
      <c r="E1975" s="200"/>
      <c r="F1975" s="200"/>
      <c r="G1975" s="200"/>
      <c r="H1975" s="192"/>
      <c r="I1975" s="201"/>
      <c r="J1975" s="201"/>
      <c r="K1975" s="201"/>
      <c r="L1975" s="192"/>
      <c r="M1975" s="200"/>
      <c r="N1975" s="200"/>
      <c r="O1975" s="192"/>
      <c r="P1975" s="192"/>
      <c r="Q1975" s="192"/>
      <c r="R1975" s="192"/>
      <c r="S1975" s="200"/>
      <c r="T1975" s="203"/>
      <c r="U1975" s="153"/>
      <c r="V1975" s="153"/>
      <c r="W1975" s="153"/>
      <c r="X1975" s="153"/>
      <c r="Y1975" s="153"/>
      <c r="Z1975" s="153"/>
    </row>
    <row r="1976" spans="1:26">
      <c r="A1976" s="200"/>
      <c r="B1976" s="200"/>
      <c r="C1976" s="200"/>
      <c r="D1976" s="200"/>
      <c r="E1976" s="200"/>
      <c r="F1976" s="200"/>
      <c r="G1976" s="200"/>
      <c r="H1976" s="192"/>
      <c r="I1976" s="201"/>
      <c r="J1976" s="201"/>
      <c r="K1976" s="201"/>
      <c r="L1976" s="192"/>
      <c r="M1976" s="200"/>
      <c r="N1976" s="200"/>
      <c r="O1976" s="192"/>
      <c r="P1976" s="192"/>
      <c r="Q1976" s="192"/>
      <c r="R1976" s="192"/>
      <c r="S1976" s="200"/>
      <c r="T1976" s="203"/>
      <c r="U1976" s="153"/>
      <c r="V1976" s="153"/>
      <c r="W1976" s="153"/>
      <c r="X1976" s="153"/>
      <c r="Y1976" s="153"/>
      <c r="Z1976" s="153"/>
    </row>
    <row r="1977" spans="1:26">
      <c r="A1977" s="200"/>
      <c r="B1977" s="200"/>
      <c r="C1977" s="200"/>
      <c r="D1977" s="200"/>
      <c r="E1977" s="200"/>
      <c r="F1977" s="200"/>
      <c r="G1977" s="200"/>
      <c r="H1977" s="192"/>
      <c r="I1977" s="201"/>
      <c r="J1977" s="201"/>
      <c r="K1977" s="201"/>
      <c r="L1977" s="192"/>
      <c r="M1977" s="200"/>
      <c r="N1977" s="200"/>
      <c r="O1977" s="192"/>
      <c r="P1977" s="192"/>
      <c r="Q1977" s="192"/>
      <c r="R1977" s="192"/>
      <c r="S1977" s="200"/>
      <c r="T1977" s="203"/>
      <c r="U1977" s="153"/>
      <c r="V1977" s="153"/>
      <c r="W1977" s="153"/>
      <c r="X1977" s="153"/>
      <c r="Y1977" s="153"/>
      <c r="Z1977" s="153"/>
    </row>
    <row r="1978" spans="1:26">
      <c r="A1978" s="200"/>
      <c r="B1978" s="200"/>
      <c r="C1978" s="200"/>
      <c r="D1978" s="200"/>
      <c r="E1978" s="200"/>
      <c r="F1978" s="200"/>
      <c r="G1978" s="200"/>
      <c r="H1978" s="192"/>
      <c r="I1978" s="201"/>
      <c r="J1978" s="201"/>
      <c r="K1978" s="201"/>
      <c r="L1978" s="192"/>
      <c r="M1978" s="200"/>
      <c r="N1978" s="200"/>
      <c r="O1978" s="192"/>
      <c r="P1978" s="192"/>
      <c r="Q1978" s="192"/>
      <c r="R1978" s="192"/>
      <c r="S1978" s="200"/>
      <c r="T1978" s="203"/>
      <c r="U1978" s="153"/>
      <c r="V1978" s="153"/>
      <c r="W1978" s="153"/>
      <c r="X1978" s="153"/>
      <c r="Y1978" s="153"/>
      <c r="Z1978" s="153"/>
    </row>
    <row r="1979" spans="1:26">
      <c r="A1979" s="200"/>
      <c r="B1979" s="200"/>
      <c r="C1979" s="200"/>
      <c r="D1979" s="200"/>
      <c r="E1979" s="200"/>
      <c r="F1979" s="200"/>
      <c r="G1979" s="200"/>
      <c r="H1979" s="192"/>
      <c r="I1979" s="201"/>
      <c r="J1979" s="201"/>
      <c r="K1979" s="201"/>
      <c r="L1979" s="192"/>
      <c r="M1979" s="200"/>
      <c r="N1979" s="200"/>
      <c r="O1979" s="192"/>
      <c r="P1979" s="192"/>
      <c r="Q1979" s="192"/>
      <c r="R1979" s="192"/>
      <c r="S1979" s="200"/>
      <c r="T1979" s="203"/>
      <c r="U1979" s="153"/>
      <c r="V1979" s="153"/>
      <c r="W1979" s="153"/>
      <c r="X1979" s="153"/>
      <c r="Y1979" s="153"/>
      <c r="Z1979" s="153"/>
    </row>
    <row r="1980" spans="1:26">
      <c r="A1980" s="200"/>
      <c r="B1980" s="200"/>
      <c r="C1980" s="200"/>
      <c r="D1980" s="200"/>
      <c r="E1980" s="200"/>
      <c r="F1980" s="200"/>
      <c r="G1980" s="200"/>
      <c r="H1980" s="192"/>
      <c r="I1980" s="201"/>
      <c r="J1980" s="201"/>
      <c r="K1980" s="201"/>
      <c r="L1980" s="192"/>
      <c r="M1980" s="200"/>
      <c r="N1980" s="200"/>
      <c r="O1980" s="192"/>
      <c r="P1980" s="192"/>
      <c r="Q1980" s="192"/>
      <c r="R1980" s="192"/>
      <c r="S1980" s="200"/>
      <c r="T1980" s="203"/>
      <c r="U1980" s="153"/>
      <c r="V1980" s="153"/>
      <c r="W1980" s="153"/>
      <c r="X1980" s="153"/>
      <c r="Y1980" s="153"/>
      <c r="Z1980" s="153"/>
    </row>
    <row r="1981" spans="1:26">
      <c r="A1981" s="200"/>
      <c r="B1981" s="200"/>
      <c r="C1981" s="200"/>
      <c r="D1981" s="200"/>
      <c r="E1981" s="200"/>
      <c r="F1981" s="200"/>
      <c r="G1981" s="200"/>
      <c r="H1981" s="192"/>
      <c r="I1981" s="201"/>
      <c r="J1981" s="201"/>
      <c r="K1981" s="201"/>
      <c r="L1981" s="192"/>
      <c r="M1981" s="200"/>
      <c r="N1981" s="200"/>
      <c r="O1981" s="192"/>
      <c r="P1981" s="192"/>
      <c r="Q1981" s="192"/>
      <c r="R1981" s="192"/>
      <c r="S1981" s="200"/>
      <c r="T1981" s="203"/>
      <c r="U1981" s="153"/>
      <c r="V1981" s="153"/>
      <c r="W1981" s="153"/>
      <c r="X1981" s="153"/>
      <c r="Y1981" s="153"/>
      <c r="Z1981" s="153"/>
    </row>
    <row r="1982" spans="1:26">
      <c r="A1982" s="200"/>
      <c r="B1982" s="200"/>
      <c r="C1982" s="200"/>
      <c r="D1982" s="200"/>
      <c r="E1982" s="200"/>
      <c r="F1982" s="200"/>
      <c r="G1982" s="200"/>
      <c r="H1982" s="192"/>
      <c r="I1982" s="201"/>
      <c r="J1982" s="201"/>
      <c r="K1982" s="201"/>
      <c r="L1982" s="192"/>
      <c r="M1982" s="200"/>
      <c r="N1982" s="200"/>
      <c r="O1982" s="192"/>
      <c r="P1982" s="192"/>
      <c r="Q1982" s="192"/>
      <c r="R1982" s="192"/>
      <c r="S1982" s="200"/>
      <c r="T1982" s="203"/>
      <c r="U1982" s="153"/>
      <c r="V1982" s="153"/>
      <c r="W1982" s="153"/>
      <c r="X1982" s="153"/>
      <c r="Y1982" s="153"/>
      <c r="Z1982" s="153"/>
    </row>
    <row r="1983" spans="1:26">
      <c r="A1983" s="200"/>
      <c r="B1983" s="200"/>
      <c r="C1983" s="200"/>
      <c r="D1983" s="200"/>
      <c r="E1983" s="200"/>
      <c r="F1983" s="200"/>
      <c r="G1983" s="200"/>
      <c r="H1983" s="192"/>
      <c r="I1983" s="201"/>
      <c r="J1983" s="201"/>
      <c r="K1983" s="201"/>
      <c r="L1983" s="192"/>
      <c r="M1983" s="200"/>
      <c r="N1983" s="200"/>
      <c r="O1983" s="192"/>
      <c r="P1983" s="192"/>
      <c r="Q1983" s="192"/>
      <c r="R1983" s="192"/>
      <c r="S1983" s="200"/>
      <c r="T1983" s="203"/>
      <c r="U1983" s="153"/>
      <c r="V1983" s="153"/>
      <c r="W1983" s="153"/>
      <c r="X1983" s="153"/>
      <c r="Y1983" s="153"/>
      <c r="Z1983" s="153"/>
    </row>
    <row r="1984" spans="1:26">
      <c r="A1984" s="200"/>
      <c r="B1984" s="200"/>
      <c r="C1984" s="200"/>
      <c r="D1984" s="200"/>
      <c r="E1984" s="200"/>
      <c r="F1984" s="200"/>
      <c r="G1984" s="200"/>
      <c r="H1984" s="192"/>
      <c r="I1984" s="201"/>
      <c r="J1984" s="201"/>
      <c r="K1984" s="201"/>
      <c r="L1984" s="192"/>
      <c r="M1984" s="200"/>
      <c r="N1984" s="200"/>
      <c r="O1984" s="192"/>
      <c r="P1984" s="192"/>
      <c r="Q1984" s="192"/>
      <c r="R1984" s="192"/>
      <c r="S1984" s="200"/>
      <c r="T1984" s="203"/>
      <c r="U1984" s="153"/>
      <c r="V1984" s="153"/>
      <c r="W1984" s="153"/>
      <c r="X1984" s="153"/>
      <c r="Y1984" s="153"/>
      <c r="Z1984" s="153"/>
    </row>
    <row r="1985" spans="1:26">
      <c r="A1985" s="200"/>
      <c r="B1985" s="200"/>
      <c r="C1985" s="200"/>
      <c r="D1985" s="200"/>
      <c r="E1985" s="200"/>
      <c r="F1985" s="200"/>
      <c r="G1985" s="200"/>
      <c r="H1985" s="192"/>
      <c r="I1985" s="201"/>
      <c r="J1985" s="201"/>
      <c r="K1985" s="201"/>
      <c r="L1985" s="192"/>
      <c r="M1985" s="200"/>
      <c r="N1985" s="200"/>
      <c r="O1985" s="192"/>
      <c r="P1985" s="192"/>
      <c r="Q1985" s="192"/>
      <c r="R1985" s="192"/>
      <c r="S1985" s="200"/>
      <c r="T1985" s="203"/>
      <c r="U1985" s="153"/>
      <c r="V1985" s="153"/>
      <c r="W1985" s="153"/>
      <c r="X1985" s="153"/>
      <c r="Y1985" s="153"/>
      <c r="Z1985" s="153"/>
    </row>
    <row r="1986" spans="1:26">
      <c r="A1986" s="200"/>
      <c r="B1986" s="200"/>
      <c r="C1986" s="200"/>
      <c r="D1986" s="200"/>
      <c r="E1986" s="200"/>
      <c r="F1986" s="200"/>
      <c r="G1986" s="200"/>
      <c r="H1986" s="192"/>
      <c r="I1986" s="201"/>
      <c r="J1986" s="201"/>
      <c r="K1986" s="201"/>
      <c r="L1986" s="192"/>
      <c r="M1986" s="200"/>
      <c r="N1986" s="200"/>
      <c r="O1986" s="192"/>
      <c r="P1986" s="192"/>
      <c r="Q1986" s="192"/>
      <c r="R1986" s="192"/>
      <c r="S1986" s="200"/>
      <c r="T1986" s="203"/>
      <c r="U1986" s="153"/>
      <c r="V1986" s="153"/>
      <c r="W1986" s="153"/>
      <c r="X1986" s="153"/>
      <c r="Y1986" s="153"/>
      <c r="Z1986" s="153"/>
    </row>
    <row r="1987" spans="1:26">
      <c r="A1987" s="200"/>
      <c r="B1987" s="200"/>
      <c r="C1987" s="200"/>
      <c r="D1987" s="200"/>
      <c r="E1987" s="200"/>
      <c r="F1987" s="200"/>
      <c r="G1987" s="200"/>
      <c r="H1987" s="192"/>
      <c r="I1987" s="201"/>
      <c r="J1987" s="201"/>
      <c r="K1987" s="201"/>
      <c r="L1987" s="192"/>
      <c r="M1987" s="200"/>
      <c r="N1987" s="200"/>
      <c r="O1987" s="192"/>
      <c r="P1987" s="192"/>
      <c r="Q1987" s="192"/>
      <c r="R1987" s="192"/>
      <c r="S1987" s="200"/>
      <c r="T1987" s="203"/>
      <c r="U1987" s="153"/>
      <c r="V1987" s="153"/>
      <c r="W1987" s="153"/>
      <c r="X1987" s="153"/>
      <c r="Y1987" s="153"/>
      <c r="Z1987" s="153"/>
    </row>
    <row r="1988" spans="1:26">
      <c r="A1988" s="200"/>
      <c r="B1988" s="200"/>
      <c r="C1988" s="200"/>
      <c r="D1988" s="200"/>
      <c r="E1988" s="200"/>
      <c r="F1988" s="200"/>
      <c r="G1988" s="200"/>
      <c r="H1988" s="192"/>
      <c r="I1988" s="201"/>
      <c r="J1988" s="201"/>
      <c r="K1988" s="201"/>
      <c r="L1988" s="192"/>
      <c r="M1988" s="200"/>
      <c r="N1988" s="200"/>
      <c r="O1988" s="192"/>
      <c r="P1988" s="192"/>
      <c r="Q1988" s="192"/>
      <c r="R1988" s="192"/>
      <c r="S1988" s="200"/>
      <c r="T1988" s="203"/>
      <c r="U1988" s="153"/>
      <c r="V1988" s="153"/>
      <c r="W1988" s="153"/>
      <c r="X1988" s="153"/>
      <c r="Y1988" s="153"/>
      <c r="Z1988" s="153"/>
    </row>
    <row r="1989" spans="1:26">
      <c r="A1989" s="200"/>
      <c r="B1989" s="200"/>
      <c r="C1989" s="200"/>
      <c r="D1989" s="200"/>
      <c r="E1989" s="200"/>
      <c r="F1989" s="200"/>
      <c r="G1989" s="200"/>
      <c r="H1989" s="192"/>
      <c r="I1989" s="201"/>
      <c r="J1989" s="201"/>
      <c r="K1989" s="201"/>
      <c r="L1989" s="192"/>
      <c r="M1989" s="200"/>
      <c r="N1989" s="200"/>
      <c r="O1989" s="192"/>
      <c r="P1989" s="192"/>
      <c r="Q1989" s="192"/>
      <c r="R1989" s="192"/>
      <c r="S1989" s="200"/>
      <c r="T1989" s="203"/>
      <c r="U1989" s="153"/>
      <c r="V1989" s="153"/>
      <c r="W1989" s="153"/>
      <c r="X1989" s="153"/>
      <c r="Y1989" s="153"/>
      <c r="Z1989" s="153"/>
    </row>
    <row r="1990" spans="1:26">
      <c r="A1990" s="200"/>
      <c r="B1990" s="200"/>
      <c r="C1990" s="200"/>
      <c r="D1990" s="200"/>
      <c r="E1990" s="200"/>
      <c r="F1990" s="200"/>
      <c r="G1990" s="200"/>
      <c r="H1990" s="192"/>
      <c r="I1990" s="201"/>
      <c r="J1990" s="201"/>
      <c r="K1990" s="201"/>
      <c r="L1990" s="192"/>
      <c r="M1990" s="200"/>
      <c r="N1990" s="200"/>
      <c r="O1990" s="192"/>
      <c r="P1990" s="192"/>
      <c r="Q1990" s="192"/>
      <c r="R1990" s="192"/>
      <c r="S1990" s="200"/>
      <c r="T1990" s="203"/>
      <c r="U1990" s="153"/>
      <c r="V1990" s="153"/>
      <c r="W1990" s="153"/>
      <c r="X1990" s="153"/>
      <c r="Y1990" s="153"/>
      <c r="Z1990" s="153"/>
    </row>
    <row r="1991" spans="1:26">
      <c r="A1991" s="200"/>
      <c r="B1991" s="200"/>
      <c r="C1991" s="200"/>
      <c r="D1991" s="200"/>
      <c r="E1991" s="200"/>
      <c r="F1991" s="200"/>
      <c r="G1991" s="200"/>
      <c r="H1991" s="192"/>
      <c r="I1991" s="201"/>
      <c r="J1991" s="201"/>
      <c r="K1991" s="201"/>
      <c r="L1991" s="192"/>
      <c r="M1991" s="200"/>
      <c r="N1991" s="200"/>
      <c r="O1991" s="192"/>
      <c r="P1991" s="192"/>
      <c r="Q1991" s="192"/>
      <c r="R1991" s="192"/>
      <c r="S1991" s="200"/>
      <c r="T1991" s="203"/>
      <c r="U1991" s="153"/>
      <c r="V1991" s="153"/>
      <c r="W1991" s="153"/>
      <c r="X1991" s="153"/>
      <c r="Y1991" s="153"/>
      <c r="Z1991" s="153"/>
    </row>
    <row r="1992" spans="1:26">
      <c r="A1992" s="200"/>
      <c r="B1992" s="200"/>
      <c r="C1992" s="200"/>
      <c r="D1992" s="200"/>
      <c r="E1992" s="200"/>
      <c r="F1992" s="200"/>
      <c r="G1992" s="200"/>
      <c r="H1992" s="192"/>
      <c r="I1992" s="201"/>
      <c r="J1992" s="201"/>
      <c r="K1992" s="201"/>
      <c r="L1992" s="192"/>
      <c r="M1992" s="200"/>
      <c r="N1992" s="200"/>
      <c r="O1992" s="192"/>
      <c r="P1992" s="192"/>
      <c r="Q1992" s="192"/>
      <c r="R1992" s="192"/>
      <c r="S1992" s="200"/>
      <c r="T1992" s="203"/>
      <c r="U1992" s="153"/>
      <c r="V1992" s="153"/>
      <c r="W1992" s="153"/>
      <c r="X1992" s="153"/>
      <c r="Y1992" s="153"/>
      <c r="Z1992" s="153"/>
    </row>
    <row r="1993" spans="1:26">
      <c r="A1993" s="200"/>
      <c r="B1993" s="200"/>
      <c r="C1993" s="200"/>
      <c r="D1993" s="200"/>
      <c r="E1993" s="200"/>
      <c r="F1993" s="200"/>
      <c r="G1993" s="200"/>
      <c r="H1993" s="192"/>
      <c r="I1993" s="201"/>
      <c r="J1993" s="201"/>
      <c r="K1993" s="201"/>
      <c r="L1993" s="192"/>
      <c r="M1993" s="200"/>
      <c r="N1993" s="200"/>
      <c r="O1993" s="192"/>
      <c r="P1993" s="192"/>
      <c r="Q1993" s="192"/>
      <c r="R1993" s="192"/>
      <c r="S1993" s="200"/>
      <c r="T1993" s="203"/>
      <c r="U1993" s="153"/>
      <c r="V1993" s="153"/>
      <c r="W1993" s="153"/>
      <c r="X1993" s="153"/>
      <c r="Y1993" s="153"/>
      <c r="Z1993" s="153"/>
    </row>
    <row r="1994" spans="1:26">
      <c r="A1994" s="200"/>
      <c r="B1994" s="200"/>
      <c r="C1994" s="200"/>
      <c r="D1994" s="200"/>
      <c r="E1994" s="200"/>
      <c r="F1994" s="200"/>
      <c r="G1994" s="200"/>
      <c r="H1994" s="192"/>
      <c r="I1994" s="201"/>
      <c r="J1994" s="201"/>
      <c r="K1994" s="201"/>
      <c r="L1994" s="192"/>
      <c r="M1994" s="200"/>
      <c r="N1994" s="200"/>
      <c r="O1994" s="192"/>
      <c r="P1994" s="192"/>
      <c r="Q1994" s="192"/>
      <c r="R1994" s="192"/>
      <c r="S1994" s="200"/>
      <c r="T1994" s="203"/>
      <c r="U1994" s="153"/>
      <c r="V1994" s="153"/>
      <c r="W1994" s="153"/>
      <c r="X1994" s="153"/>
      <c r="Y1994" s="153"/>
      <c r="Z1994" s="153"/>
    </row>
    <row r="1995" spans="1:26">
      <c r="A1995" s="200"/>
      <c r="B1995" s="200"/>
      <c r="C1995" s="200"/>
      <c r="D1995" s="200"/>
      <c r="E1995" s="200"/>
      <c r="F1995" s="200"/>
      <c r="G1995" s="200"/>
      <c r="H1995" s="192"/>
      <c r="I1995" s="201"/>
      <c r="J1995" s="201"/>
      <c r="K1995" s="201"/>
      <c r="L1995" s="192"/>
      <c r="M1995" s="200"/>
      <c r="N1995" s="200"/>
      <c r="O1995" s="192"/>
      <c r="P1995" s="192"/>
      <c r="Q1995" s="192"/>
      <c r="R1995" s="192"/>
      <c r="S1995" s="200"/>
      <c r="T1995" s="203"/>
      <c r="U1995" s="153"/>
      <c r="V1995" s="153"/>
      <c r="W1995" s="153"/>
      <c r="X1995" s="153"/>
      <c r="Y1995" s="153"/>
      <c r="Z1995" s="153"/>
    </row>
    <row r="1996" spans="1:26">
      <c r="A1996" s="200"/>
      <c r="B1996" s="200"/>
      <c r="C1996" s="200"/>
      <c r="D1996" s="200"/>
      <c r="E1996" s="200"/>
      <c r="F1996" s="200"/>
      <c r="G1996" s="200"/>
      <c r="H1996" s="192"/>
      <c r="I1996" s="201"/>
      <c r="J1996" s="201"/>
      <c r="K1996" s="201"/>
      <c r="L1996" s="192"/>
      <c r="M1996" s="200"/>
      <c r="N1996" s="200"/>
      <c r="O1996" s="192"/>
      <c r="P1996" s="192"/>
      <c r="Q1996" s="192"/>
      <c r="R1996" s="192"/>
      <c r="S1996" s="200"/>
      <c r="T1996" s="203"/>
      <c r="U1996" s="153"/>
      <c r="V1996" s="153"/>
      <c r="W1996" s="153"/>
      <c r="X1996" s="153"/>
      <c r="Y1996" s="153"/>
      <c r="Z1996" s="153"/>
    </row>
    <row r="1997" spans="1:26">
      <c r="A1997" s="200"/>
      <c r="B1997" s="200"/>
      <c r="C1997" s="200"/>
      <c r="D1997" s="200"/>
      <c r="E1997" s="200"/>
      <c r="F1997" s="200"/>
      <c r="G1997" s="200"/>
      <c r="H1997" s="192"/>
      <c r="I1997" s="201"/>
      <c r="J1997" s="201"/>
      <c r="K1997" s="201"/>
      <c r="L1997" s="192"/>
      <c r="M1997" s="200"/>
      <c r="N1997" s="200"/>
      <c r="O1997" s="192"/>
      <c r="P1997" s="192"/>
      <c r="Q1997" s="192"/>
      <c r="R1997" s="192"/>
      <c r="S1997" s="200"/>
      <c r="T1997" s="203"/>
      <c r="U1997" s="153"/>
      <c r="V1997" s="153"/>
      <c r="W1997" s="153"/>
      <c r="X1997" s="153"/>
      <c r="Y1997" s="153"/>
      <c r="Z1997" s="153"/>
    </row>
    <row r="1998" spans="1:26">
      <c r="A1998" s="200"/>
      <c r="B1998" s="200"/>
      <c r="C1998" s="200"/>
      <c r="D1998" s="200"/>
      <c r="E1998" s="200"/>
      <c r="F1998" s="200"/>
      <c r="G1998" s="200"/>
      <c r="H1998" s="192"/>
      <c r="I1998" s="201"/>
      <c r="J1998" s="201"/>
      <c r="K1998" s="201"/>
      <c r="L1998" s="192"/>
      <c r="M1998" s="200"/>
      <c r="N1998" s="200"/>
      <c r="O1998" s="192"/>
      <c r="P1998" s="192"/>
      <c r="Q1998" s="192"/>
      <c r="R1998" s="192"/>
      <c r="S1998" s="200"/>
      <c r="T1998" s="203"/>
      <c r="U1998" s="153"/>
      <c r="V1998" s="153"/>
      <c r="W1998" s="153"/>
      <c r="X1998" s="153"/>
      <c r="Y1998" s="153"/>
      <c r="Z1998" s="153"/>
    </row>
    <row r="1999" spans="1:26">
      <c r="A1999" s="200"/>
      <c r="B1999" s="200"/>
      <c r="C1999" s="200"/>
      <c r="D1999" s="200"/>
      <c r="E1999" s="200"/>
      <c r="F1999" s="200"/>
      <c r="G1999" s="200"/>
      <c r="H1999" s="192"/>
      <c r="I1999" s="201"/>
      <c r="J1999" s="201"/>
      <c r="K1999" s="201"/>
      <c r="L1999" s="192"/>
      <c r="M1999" s="200"/>
      <c r="N1999" s="200"/>
      <c r="O1999" s="192"/>
      <c r="P1999" s="192"/>
      <c r="Q1999" s="192"/>
      <c r="R1999" s="192"/>
      <c r="S1999" s="200"/>
      <c r="T1999" s="203"/>
      <c r="U1999" s="153"/>
      <c r="V1999" s="153"/>
      <c r="W1999" s="153"/>
      <c r="X1999" s="153"/>
      <c r="Y1999" s="153"/>
      <c r="Z1999" s="153"/>
    </row>
    <row r="2000" spans="1:26">
      <c r="A2000" s="200"/>
      <c r="B2000" s="200"/>
      <c r="C2000" s="200"/>
      <c r="D2000" s="200"/>
      <c r="E2000" s="200"/>
      <c r="F2000" s="200"/>
      <c r="G2000" s="200"/>
      <c r="H2000" s="192"/>
      <c r="I2000" s="201"/>
      <c r="J2000" s="201"/>
      <c r="K2000" s="201"/>
      <c r="L2000" s="192"/>
      <c r="M2000" s="200"/>
      <c r="N2000" s="200"/>
      <c r="O2000" s="192"/>
      <c r="P2000" s="192"/>
      <c r="Q2000" s="192"/>
      <c r="R2000" s="192"/>
      <c r="S2000" s="200"/>
      <c r="T2000" s="203"/>
      <c r="U2000" s="153"/>
      <c r="V2000" s="153"/>
      <c r="W2000" s="153"/>
      <c r="X2000" s="153"/>
      <c r="Y2000" s="153"/>
      <c r="Z2000" s="153"/>
    </row>
    <row r="2001" spans="1:26">
      <c r="A2001" s="200"/>
      <c r="B2001" s="200"/>
      <c r="C2001" s="200"/>
      <c r="D2001" s="200"/>
      <c r="E2001" s="200"/>
      <c r="F2001" s="200"/>
      <c r="G2001" s="200"/>
      <c r="H2001" s="192"/>
      <c r="I2001" s="201"/>
      <c r="J2001" s="201"/>
      <c r="K2001" s="201"/>
      <c r="L2001" s="192"/>
      <c r="M2001" s="200"/>
      <c r="N2001" s="200"/>
      <c r="O2001" s="192"/>
      <c r="P2001" s="192"/>
      <c r="Q2001" s="192"/>
      <c r="R2001" s="192"/>
      <c r="S2001" s="200"/>
      <c r="T2001" s="203"/>
      <c r="U2001" s="153"/>
      <c r="V2001" s="153"/>
      <c r="W2001" s="153"/>
      <c r="X2001" s="153"/>
      <c r="Y2001" s="153"/>
      <c r="Z2001" s="153"/>
    </row>
    <row r="2002" spans="1:26">
      <c r="A2002" s="200"/>
      <c r="B2002" s="200"/>
      <c r="C2002" s="200"/>
      <c r="D2002" s="200"/>
      <c r="E2002" s="200"/>
      <c r="F2002" s="200"/>
      <c r="G2002" s="200"/>
      <c r="H2002" s="192"/>
      <c r="I2002" s="201"/>
      <c r="J2002" s="201"/>
      <c r="K2002" s="201"/>
      <c r="L2002" s="192"/>
      <c r="M2002" s="200"/>
      <c r="N2002" s="200"/>
      <c r="O2002" s="192"/>
      <c r="P2002" s="192"/>
      <c r="Q2002" s="192"/>
      <c r="R2002" s="192"/>
      <c r="S2002" s="200"/>
      <c r="T2002" s="203"/>
      <c r="U2002" s="153"/>
      <c r="V2002" s="153"/>
      <c r="W2002" s="153"/>
      <c r="X2002" s="153"/>
      <c r="Y2002" s="153"/>
      <c r="Z2002" s="153"/>
    </row>
    <row r="2003" spans="1:26">
      <c r="A2003" s="200"/>
      <c r="B2003" s="200"/>
      <c r="C2003" s="200"/>
      <c r="D2003" s="200"/>
      <c r="E2003" s="200"/>
      <c r="F2003" s="200"/>
      <c r="G2003" s="200"/>
      <c r="H2003" s="192"/>
      <c r="I2003" s="201"/>
      <c r="J2003" s="201"/>
      <c r="K2003" s="201"/>
      <c r="L2003" s="192"/>
      <c r="M2003" s="200"/>
      <c r="N2003" s="200"/>
      <c r="O2003" s="192"/>
      <c r="P2003" s="192"/>
      <c r="Q2003" s="192"/>
      <c r="R2003" s="192"/>
      <c r="S2003" s="200"/>
      <c r="T2003" s="203"/>
      <c r="U2003" s="153"/>
      <c r="V2003" s="153"/>
      <c r="W2003" s="153"/>
      <c r="X2003" s="153"/>
      <c r="Y2003" s="153"/>
      <c r="Z2003" s="153"/>
    </row>
    <row r="2004" spans="1:26">
      <c r="A2004" s="200"/>
      <c r="B2004" s="200"/>
      <c r="C2004" s="200"/>
      <c r="D2004" s="200"/>
      <c r="E2004" s="200"/>
      <c r="F2004" s="200"/>
      <c r="G2004" s="200"/>
      <c r="H2004" s="192"/>
      <c r="I2004" s="201"/>
      <c r="J2004" s="201"/>
      <c r="K2004" s="201"/>
      <c r="L2004" s="192"/>
      <c r="M2004" s="200"/>
      <c r="N2004" s="200"/>
      <c r="O2004" s="192"/>
      <c r="P2004" s="192"/>
      <c r="Q2004" s="192"/>
      <c r="R2004" s="192"/>
      <c r="S2004" s="200"/>
      <c r="T2004" s="203"/>
      <c r="U2004" s="153"/>
      <c r="V2004" s="153"/>
      <c r="W2004" s="153"/>
      <c r="X2004" s="153"/>
      <c r="Y2004" s="153"/>
      <c r="Z2004" s="153"/>
    </row>
    <row r="2005" spans="1:26">
      <c r="A2005" s="200"/>
      <c r="B2005" s="200"/>
      <c r="C2005" s="200"/>
      <c r="D2005" s="200"/>
      <c r="E2005" s="200"/>
      <c r="F2005" s="200"/>
      <c r="G2005" s="200"/>
      <c r="H2005" s="192"/>
      <c r="I2005" s="201"/>
      <c r="J2005" s="201"/>
      <c r="K2005" s="201"/>
      <c r="L2005" s="192"/>
      <c r="M2005" s="200"/>
      <c r="N2005" s="200"/>
      <c r="O2005" s="192"/>
      <c r="P2005" s="192"/>
      <c r="Q2005" s="192"/>
      <c r="R2005" s="192"/>
      <c r="S2005" s="200"/>
      <c r="T2005" s="203"/>
      <c r="U2005" s="153"/>
      <c r="V2005" s="153"/>
      <c r="W2005" s="153"/>
      <c r="X2005" s="153"/>
      <c r="Y2005" s="153"/>
      <c r="Z2005" s="153"/>
    </row>
    <row r="2006" spans="1:26">
      <c r="A2006" s="200"/>
      <c r="B2006" s="200"/>
      <c r="C2006" s="200"/>
      <c r="D2006" s="200"/>
      <c r="E2006" s="200"/>
      <c r="F2006" s="200"/>
      <c r="G2006" s="200"/>
      <c r="H2006" s="192"/>
      <c r="I2006" s="201"/>
      <c r="J2006" s="201"/>
      <c r="K2006" s="201"/>
      <c r="L2006" s="192"/>
      <c r="M2006" s="200"/>
      <c r="N2006" s="200"/>
      <c r="O2006" s="192"/>
      <c r="P2006" s="192"/>
      <c r="Q2006" s="192"/>
      <c r="R2006" s="192"/>
      <c r="S2006" s="200"/>
      <c r="T2006" s="203"/>
      <c r="U2006" s="153"/>
      <c r="V2006" s="153"/>
      <c r="W2006" s="153"/>
      <c r="X2006" s="153"/>
      <c r="Y2006" s="153"/>
      <c r="Z2006" s="153"/>
    </row>
    <row r="2007" spans="1:26">
      <c r="A2007" s="200"/>
      <c r="B2007" s="200"/>
      <c r="C2007" s="200"/>
      <c r="D2007" s="200"/>
      <c r="E2007" s="200"/>
      <c r="F2007" s="200"/>
      <c r="G2007" s="200"/>
      <c r="H2007" s="192"/>
      <c r="I2007" s="201"/>
      <c r="J2007" s="201"/>
      <c r="K2007" s="201"/>
      <c r="L2007" s="192"/>
      <c r="M2007" s="200"/>
      <c r="N2007" s="200"/>
      <c r="O2007" s="192"/>
      <c r="P2007" s="192"/>
      <c r="Q2007" s="192"/>
      <c r="R2007" s="192"/>
      <c r="S2007" s="200"/>
      <c r="T2007" s="203"/>
      <c r="U2007" s="153"/>
      <c r="V2007" s="153"/>
      <c r="W2007" s="153"/>
      <c r="X2007" s="153"/>
      <c r="Y2007" s="153"/>
      <c r="Z2007" s="153"/>
    </row>
    <row r="2008" spans="1:26">
      <c r="A2008" s="200"/>
      <c r="B2008" s="200"/>
      <c r="C2008" s="200"/>
      <c r="D2008" s="200"/>
      <c r="E2008" s="200"/>
      <c r="F2008" s="200"/>
      <c r="G2008" s="200"/>
      <c r="H2008" s="192"/>
      <c r="I2008" s="201"/>
      <c r="J2008" s="201"/>
      <c r="K2008" s="201"/>
      <c r="L2008" s="192"/>
      <c r="M2008" s="200"/>
      <c r="N2008" s="200"/>
      <c r="O2008" s="192"/>
      <c r="P2008" s="192"/>
      <c r="Q2008" s="192"/>
      <c r="R2008" s="192"/>
      <c r="S2008" s="200"/>
      <c r="T2008" s="203"/>
      <c r="U2008" s="153"/>
      <c r="V2008" s="153"/>
      <c r="W2008" s="153"/>
      <c r="X2008" s="153"/>
      <c r="Y2008" s="153"/>
      <c r="Z2008" s="153"/>
    </row>
    <row r="2009" spans="1:26">
      <c r="A2009" s="200"/>
      <c r="B2009" s="200"/>
      <c r="C2009" s="200"/>
      <c r="D2009" s="200"/>
      <c r="E2009" s="200"/>
      <c r="F2009" s="200"/>
      <c r="G2009" s="200"/>
      <c r="H2009" s="192"/>
      <c r="I2009" s="201"/>
      <c r="J2009" s="201"/>
      <c r="K2009" s="201"/>
      <c r="L2009" s="192"/>
      <c r="M2009" s="200"/>
      <c r="N2009" s="200"/>
      <c r="O2009" s="192"/>
      <c r="P2009" s="192"/>
      <c r="Q2009" s="192"/>
      <c r="R2009" s="192"/>
      <c r="S2009" s="200"/>
      <c r="T2009" s="203"/>
      <c r="U2009" s="153"/>
      <c r="V2009" s="153"/>
      <c r="W2009" s="153"/>
      <c r="X2009" s="153"/>
      <c r="Y2009" s="153"/>
      <c r="Z2009" s="153"/>
    </row>
    <row r="2010" spans="1:26">
      <c r="A2010" s="200"/>
      <c r="B2010" s="200"/>
      <c r="C2010" s="200"/>
      <c r="D2010" s="200"/>
      <c r="E2010" s="200"/>
      <c r="F2010" s="200"/>
      <c r="G2010" s="200"/>
      <c r="H2010" s="192"/>
      <c r="I2010" s="201"/>
      <c r="J2010" s="201"/>
      <c r="K2010" s="201"/>
      <c r="L2010" s="192"/>
      <c r="M2010" s="200"/>
      <c r="N2010" s="200"/>
      <c r="O2010" s="192"/>
      <c r="P2010" s="192"/>
      <c r="Q2010" s="192"/>
      <c r="R2010" s="192"/>
      <c r="S2010" s="200"/>
      <c r="T2010" s="203"/>
      <c r="U2010" s="153"/>
      <c r="V2010" s="153"/>
      <c r="W2010" s="153"/>
      <c r="X2010" s="153"/>
      <c r="Y2010" s="153"/>
      <c r="Z2010" s="153"/>
    </row>
    <row r="2011" spans="1:26">
      <c r="A2011" s="200"/>
      <c r="B2011" s="200"/>
      <c r="C2011" s="200"/>
      <c r="D2011" s="200"/>
      <c r="E2011" s="200"/>
      <c r="F2011" s="200"/>
      <c r="G2011" s="200"/>
      <c r="H2011" s="192"/>
      <c r="I2011" s="201"/>
      <c r="J2011" s="201"/>
      <c r="K2011" s="201"/>
      <c r="L2011" s="192"/>
      <c r="M2011" s="200"/>
      <c r="N2011" s="200"/>
      <c r="O2011" s="192"/>
      <c r="P2011" s="192"/>
      <c r="Q2011" s="192"/>
      <c r="R2011" s="192"/>
      <c r="S2011" s="200"/>
      <c r="T2011" s="203"/>
      <c r="U2011" s="153"/>
      <c r="V2011" s="153"/>
      <c r="W2011" s="153"/>
      <c r="X2011" s="153"/>
      <c r="Y2011" s="153"/>
      <c r="Z2011" s="153"/>
    </row>
    <row r="2012" spans="1:26">
      <c r="A2012" s="200"/>
      <c r="B2012" s="200"/>
      <c r="C2012" s="200"/>
      <c r="D2012" s="200"/>
      <c r="E2012" s="200"/>
      <c r="F2012" s="200"/>
      <c r="G2012" s="200"/>
      <c r="H2012" s="192"/>
      <c r="I2012" s="201"/>
      <c r="J2012" s="201"/>
      <c r="K2012" s="201"/>
      <c r="L2012" s="192"/>
      <c r="M2012" s="200"/>
      <c r="N2012" s="200"/>
      <c r="O2012" s="192"/>
      <c r="P2012" s="192"/>
      <c r="Q2012" s="192"/>
      <c r="R2012" s="192"/>
      <c r="S2012" s="200"/>
      <c r="T2012" s="203"/>
      <c r="U2012" s="153"/>
      <c r="V2012" s="153"/>
      <c r="W2012" s="153"/>
      <c r="X2012" s="153"/>
      <c r="Y2012" s="153"/>
      <c r="Z2012" s="153"/>
    </row>
    <row r="2013" spans="1:26">
      <c r="A2013" s="200"/>
      <c r="B2013" s="200"/>
      <c r="C2013" s="200"/>
      <c r="D2013" s="200"/>
      <c r="E2013" s="200"/>
      <c r="F2013" s="200"/>
      <c r="G2013" s="200"/>
      <c r="H2013" s="192"/>
      <c r="I2013" s="201"/>
      <c r="J2013" s="201"/>
      <c r="K2013" s="201"/>
      <c r="L2013" s="192"/>
      <c r="M2013" s="200"/>
      <c r="N2013" s="200"/>
      <c r="O2013" s="192"/>
      <c r="P2013" s="192"/>
      <c r="Q2013" s="192"/>
      <c r="R2013" s="192"/>
      <c r="S2013" s="200"/>
      <c r="T2013" s="203"/>
      <c r="U2013" s="153"/>
      <c r="V2013" s="153"/>
      <c r="W2013" s="153"/>
      <c r="X2013" s="153"/>
      <c r="Y2013" s="153"/>
      <c r="Z2013" s="153"/>
    </row>
    <row r="2014" spans="1:26">
      <c r="A2014" s="200"/>
      <c r="B2014" s="200"/>
      <c r="C2014" s="200"/>
      <c r="D2014" s="200"/>
      <c r="E2014" s="200"/>
      <c r="F2014" s="200"/>
      <c r="G2014" s="200"/>
      <c r="H2014" s="192"/>
      <c r="I2014" s="201"/>
      <c r="J2014" s="201"/>
      <c r="K2014" s="201"/>
      <c r="L2014" s="192"/>
      <c r="M2014" s="200"/>
      <c r="N2014" s="200"/>
      <c r="O2014" s="192"/>
      <c r="P2014" s="192"/>
      <c r="Q2014" s="192"/>
      <c r="R2014" s="192"/>
      <c r="S2014" s="200"/>
      <c r="T2014" s="203"/>
      <c r="U2014" s="153"/>
      <c r="V2014" s="153"/>
      <c r="W2014" s="153"/>
      <c r="X2014" s="153"/>
      <c r="Y2014" s="153"/>
      <c r="Z2014" s="153"/>
    </row>
    <row r="2015" spans="1:26">
      <c r="A2015" s="200"/>
      <c r="B2015" s="200"/>
      <c r="C2015" s="200"/>
      <c r="D2015" s="200"/>
      <c r="E2015" s="200"/>
      <c r="F2015" s="200"/>
      <c r="G2015" s="200"/>
      <c r="H2015" s="192"/>
      <c r="I2015" s="201"/>
      <c r="J2015" s="201"/>
      <c r="K2015" s="201"/>
      <c r="L2015" s="192"/>
      <c r="M2015" s="200"/>
      <c r="N2015" s="200"/>
      <c r="O2015" s="192"/>
      <c r="P2015" s="192"/>
      <c r="Q2015" s="192"/>
      <c r="R2015" s="192"/>
      <c r="S2015" s="200"/>
      <c r="T2015" s="203"/>
      <c r="U2015" s="153"/>
      <c r="V2015" s="153"/>
      <c r="W2015" s="153"/>
      <c r="X2015" s="153"/>
      <c r="Y2015" s="153"/>
      <c r="Z2015" s="153"/>
    </row>
    <row r="2016" spans="1:26">
      <c r="A2016" s="200"/>
      <c r="B2016" s="200"/>
      <c r="C2016" s="200"/>
      <c r="D2016" s="200"/>
      <c r="E2016" s="200"/>
      <c r="F2016" s="200"/>
      <c r="G2016" s="200"/>
      <c r="H2016" s="192"/>
      <c r="I2016" s="201"/>
      <c r="J2016" s="201"/>
      <c r="K2016" s="201"/>
      <c r="L2016" s="192"/>
      <c r="M2016" s="200"/>
      <c r="N2016" s="200"/>
      <c r="O2016" s="192"/>
      <c r="P2016" s="192"/>
      <c r="Q2016" s="192"/>
      <c r="R2016" s="192"/>
      <c r="S2016" s="200"/>
      <c r="T2016" s="203"/>
      <c r="U2016" s="153"/>
      <c r="V2016" s="153"/>
      <c r="W2016" s="153"/>
      <c r="X2016" s="153"/>
      <c r="Y2016" s="153"/>
      <c r="Z2016" s="153"/>
    </row>
    <row r="2017" spans="1:26">
      <c r="A2017" s="200"/>
      <c r="B2017" s="200"/>
      <c r="C2017" s="200"/>
      <c r="D2017" s="200"/>
      <c r="E2017" s="200"/>
      <c r="F2017" s="200"/>
      <c r="G2017" s="200"/>
      <c r="H2017" s="192"/>
      <c r="I2017" s="201"/>
      <c r="J2017" s="201"/>
      <c r="K2017" s="201"/>
      <c r="L2017" s="192"/>
      <c r="M2017" s="200"/>
      <c r="N2017" s="200"/>
      <c r="O2017" s="192"/>
      <c r="P2017" s="192"/>
      <c r="Q2017" s="192"/>
      <c r="R2017" s="192"/>
      <c r="S2017" s="200"/>
      <c r="T2017" s="203"/>
      <c r="U2017" s="153"/>
      <c r="V2017" s="153"/>
      <c r="W2017" s="153"/>
      <c r="X2017" s="153"/>
      <c r="Y2017" s="153"/>
      <c r="Z2017" s="153"/>
    </row>
    <row r="2018" spans="1:26">
      <c r="A2018" s="200"/>
      <c r="B2018" s="200"/>
      <c r="C2018" s="200"/>
      <c r="D2018" s="200"/>
      <c r="E2018" s="200"/>
      <c r="F2018" s="200"/>
      <c r="G2018" s="200"/>
      <c r="H2018" s="192"/>
      <c r="I2018" s="201"/>
      <c r="J2018" s="201"/>
      <c r="K2018" s="201"/>
      <c r="L2018" s="192"/>
      <c r="M2018" s="200"/>
      <c r="N2018" s="200"/>
      <c r="O2018" s="192"/>
      <c r="P2018" s="192"/>
      <c r="Q2018" s="192"/>
      <c r="R2018" s="192"/>
      <c r="S2018" s="200"/>
      <c r="T2018" s="203"/>
      <c r="U2018" s="153"/>
      <c r="V2018" s="153"/>
      <c r="W2018" s="153"/>
      <c r="X2018" s="153"/>
      <c r="Y2018" s="153"/>
      <c r="Z2018" s="153"/>
    </row>
    <row r="2019" spans="1:26">
      <c r="A2019" s="200"/>
      <c r="B2019" s="200"/>
      <c r="C2019" s="200"/>
      <c r="D2019" s="200"/>
      <c r="E2019" s="200"/>
      <c r="F2019" s="200"/>
      <c r="G2019" s="200"/>
      <c r="H2019" s="192"/>
      <c r="I2019" s="201"/>
      <c r="J2019" s="201"/>
      <c r="K2019" s="201"/>
      <c r="L2019" s="192"/>
      <c r="M2019" s="200"/>
      <c r="N2019" s="200"/>
      <c r="O2019" s="192"/>
      <c r="P2019" s="192"/>
      <c r="Q2019" s="192"/>
      <c r="R2019" s="192"/>
      <c r="S2019" s="200"/>
      <c r="T2019" s="203"/>
      <c r="U2019" s="153"/>
      <c r="V2019" s="153"/>
      <c r="W2019" s="153"/>
      <c r="X2019" s="153"/>
      <c r="Y2019" s="153"/>
      <c r="Z2019" s="153"/>
    </row>
    <row r="2020" spans="1:26">
      <c r="A2020" s="200"/>
      <c r="B2020" s="200"/>
      <c r="C2020" s="200"/>
      <c r="D2020" s="200"/>
      <c r="E2020" s="200"/>
      <c r="F2020" s="200"/>
      <c r="G2020" s="200"/>
      <c r="H2020" s="192"/>
      <c r="I2020" s="201"/>
      <c r="J2020" s="201"/>
      <c r="K2020" s="201"/>
      <c r="L2020" s="192"/>
      <c r="M2020" s="200"/>
      <c r="N2020" s="200"/>
      <c r="O2020" s="192"/>
      <c r="P2020" s="192"/>
      <c r="Q2020" s="192"/>
      <c r="R2020" s="192"/>
      <c r="S2020" s="200"/>
      <c r="T2020" s="203"/>
      <c r="U2020" s="153"/>
      <c r="V2020" s="153"/>
      <c r="W2020" s="153"/>
      <c r="X2020" s="153"/>
      <c r="Y2020" s="153"/>
      <c r="Z2020" s="153"/>
    </row>
    <row r="2021" spans="1:26">
      <c r="A2021" s="200"/>
      <c r="B2021" s="200"/>
      <c r="C2021" s="200"/>
      <c r="D2021" s="200"/>
      <c r="E2021" s="200"/>
      <c r="F2021" s="200"/>
      <c r="G2021" s="200"/>
      <c r="H2021" s="192"/>
      <c r="I2021" s="201"/>
      <c r="J2021" s="201"/>
      <c r="K2021" s="201"/>
      <c r="L2021" s="192"/>
      <c r="M2021" s="200"/>
      <c r="N2021" s="200"/>
      <c r="O2021" s="192"/>
      <c r="P2021" s="192"/>
      <c r="Q2021" s="192"/>
      <c r="R2021" s="192"/>
      <c r="S2021" s="200"/>
      <c r="T2021" s="203"/>
      <c r="U2021" s="153"/>
      <c r="V2021" s="153"/>
      <c r="W2021" s="153"/>
      <c r="X2021" s="153"/>
      <c r="Y2021" s="153"/>
      <c r="Z2021" s="153"/>
    </row>
    <row r="2022" spans="1:26">
      <c r="A2022" s="200"/>
      <c r="B2022" s="200"/>
      <c r="C2022" s="200"/>
      <c r="D2022" s="200"/>
      <c r="E2022" s="200"/>
      <c r="F2022" s="200"/>
      <c r="G2022" s="200"/>
      <c r="H2022" s="192"/>
      <c r="I2022" s="201"/>
      <c r="J2022" s="201"/>
      <c r="K2022" s="201"/>
      <c r="L2022" s="192"/>
      <c r="M2022" s="200"/>
      <c r="N2022" s="200"/>
      <c r="O2022" s="192"/>
      <c r="P2022" s="192"/>
      <c r="Q2022" s="192"/>
      <c r="R2022" s="192"/>
      <c r="S2022" s="200"/>
      <c r="T2022" s="203"/>
      <c r="U2022" s="153"/>
      <c r="V2022" s="153"/>
      <c r="W2022" s="153"/>
      <c r="X2022" s="153"/>
      <c r="Y2022" s="153"/>
      <c r="Z2022" s="153"/>
    </row>
    <row r="2023" spans="1:26">
      <c r="A2023" s="200"/>
      <c r="B2023" s="200"/>
      <c r="C2023" s="200"/>
      <c r="D2023" s="200"/>
      <c r="E2023" s="200"/>
      <c r="F2023" s="200"/>
      <c r="G2023" s="200"/>
      <c r="H2023" s="192"/>
      <c r="I2023" s="201"/>
      <c r="J2023" s="201"/>
      <c r="K2023" s="201"/>
      <c r="L2023" s="192"/>
      <c r="M2023" s="200"/>
      <c r="N2023" s="200"/>
      <c r="O2023" s="192"/>
      <c r="P2023" s="192"/>
      <c r="Q2023" s="192"/>
      <c r="R2023" s="192"/>
      <c r="S2023" s="200"/>
      <c r="T2023" s="203"/>
      <c r="U2023" s="153"/>
      <c r="V2023" s="153"/>
      <c r="W2023" s="153"/>
      <c r="X2023" s="153"/>
      <c r="Y2023" s="153"/>
      <c r="Z2023" s="153"/>
    </row>
    <row r="2024" spans="1:26">
      <c r="A2024" s="200"/>
      <c r="B2024" s="200"/>
      <c r="C2024" s="200"/>
      <c r="D2024" s="200"/>
      <c r="E2024" s="200"/>
      <c r="F2024" s="200"/>
      <c r="G2024" s="200"/>
      <c r="H2024" s="192"/>
      <c r="I2024" s="201"/>
      <c r="J2024" s="201"/>
      <c r="K2024" s="201"/>
      <c r="L2024" s="192"/>
      <c r="M2024" s="200"/>
      <c r="N2024" s="200"/>
      <c r="O2024" s="192"/>
      <c r="P2024" s="192"/>
      <c r="Q2024" s="192"/>
      <c r="R2024" s="192"/>
      <c r="S2024" s="200"/>
      <c r="T2024" s="203"/>
      <c r="U2024" s="153"/>
      <c r="V2024" s="153"/>
      <c r="W2024" s="153"/>
      <c r="X2024" s="153"/>
      <c r="Y2024" s="153"/>
      <c r="Z2024" s="153"/>
    </row>
    <row r="2025" spans="1:26">
      <c r="A2025" s="200"/>
      <c r="B2025" s="200"/>
      <c r="C2025" s="200"/>
      <c r="D2025" s="200"/>
      <c r="E2025" s="200"/>
      <c r="F2025" s="200"/>
      <c r="G2025" s="200"/>
      <c r="H2025" s="192"/>
      <c r="I2025" s="201"/>
      <c r="J2025" s="201"/>
      <c r="K2025" s="201"/>
      <c r="L2025" s="192"/>
      <c r="M2025" s="200"/>
      <c r="N2025" s="200"/>
      <c r="O2025" s="192"/>
      <c r="P2025" s="192"/>
      <c r="Q2025" s="192"/>
      <c r="R2025" s="192"/>
      <c r="S2025" s="200"/>
      <c r="T2025" s="203"/>
      <c r="U2025" s="153"/>
      <c r="V2025" s="153"/>
      <c r="W2025" s="153"/>
      <c r="X2025" s="153"/>
      <c r="Y2025" s="153"/>
      <c r="Z2025" s="153"/>
    </row>
    <row r="2026" spans="1:26">
      <c r="A2026" s="200"/>
      <c r="B2026" s="200"/>
      <c r="C2026" s="200"/>
      <c r="D2026" s="200"/>
      <c r="E2026" s="200"/>
      <c r="F2026" s="200"/>
      <c r="G2026" s="200"/>
      <c r="H2026" s="192"/>
      <c r="I2026" s="201"/>
      <c r="J2026" s="201"/>
      <c r="K2026" s="201"/>
      <c r="L2026" s="192"/>
      <c r="M2026" s="200"/>
      <c r="N2026" s="200"/>
      <c r="O2026" s="192"/>
      <c r="P2026" s="192"/>
      <c r="Q2026" s="192"/>
      <c r="R2026" s="192"/>
      <c r="S2026" s="200"/>
      <c r="T2026" s="203"/>
      <c r="U2026" s="153"/>
      <c r="V2026" s="153"/>
      <c r="W2026" s="153"/>
      <c r="X2026" s="153"/>
      <c r="Y2026" s="153"/>
      <c r="Z2026" s="153"/>
    </row>
    <row r="2027" spans="1:26">
      <c r="A2027" s="200"/>
      <c r="B2027" s="200"/>
      <c r="C2027" s="200"/>
      <c r="D2027" s="200"/>
      <c r="E2027" s="200"/>
      <c r="F2027" s="200"/>
      <c r="G2027" s="200"/>
      <c r="H2027" s="192"/>
      <c r="I2027" s="201"/>
      <c r="J2027" s="201"/>
      <c r="K2027" s="201"/>
      <c r="L2027" s="192"/>
      <c r="M2027" s="200"/>
      <c r="N2027" s="200"/>
      <c r="O2027" s="192"/>
      <c r="P2027" s="192"/>
      <c r="Q2027" s="192"/>
      <c r="R2027" s="192"/>
      <c r="S2027" s="200"/>
      <c r="T2027" s="203"/>
      <c r="U2027" s="153"/>
      <c r="V2027" s="153"/>
      <c r="W2027" s="153"/>
      <c r="X2027" s="153"/>
      <c r="Y2027" s="153"/>
      <c r="Z2027" s="153"/>
    </row>
    <row r="2028" spans="1:26">
      <c r="A2028" s="200"/>
      <c r="B2028" s="200"/>
      <c r="C2028" s="200"/>
      <c r="D2028" s="200"/>
      <c r="E2028" s="200"/>
      <c r="F2028" s="200"/>
      <c r="G2028" s="200"/>
      <c r="H2028" s="192"/>
      <c r="I2028" s="201"/>
      <c r="J2028" s="201"/>
      <c r="K2028" s="201"/>
      <c r="L2028" s="192"/>
      <c r="M2028" s="200"/>
      <c r="N2028" s="200"/>
      <c r="O2028" s="192"/>
      <c r="P2028" s="192"/>
      <c r="Q2028" s="192"/>
      <c r="R2028" s="192"/>
      <c r="S2028" s="200"/>
      <c r="T2028" s="203"/>
      <c r="U2028" s="153"/>
      <c r="V2028" s="153"/>
      <c r="W2028" s="153"/>
      <c r="X2028" s="153"/>
      <c r="Y2028" s="153"/>
      <c r="Z2028" s="153"/>
    </row>
    <row r="2029" spans="1:26">
      <c r="A2029" s="200"/>
      <c r="B2029" s="200"/>
      <c r="C2029" s="200"/>
      <c r="D2029" s="200"/>
      <c r="E2029" s="200"/>
      <c r="F2029" s="200"/>
      <c r="G2029" s="200"/>
      <c r="H2029" s="192"/>
      <c r="I2029" s="201"/>
      <c r="J2029" s="201"/>
      <c r="K2029" s="201"/>
      <c r="L2029" s="192"/>
      <c r="M2029" s="200"/>
      <c r="N2029" s="200"/>
      <c r="O2029" s="192"/>
      <c r="P2029" s="192"/>
      <c r="Q2029" s="192"/>
      <c r="R2029" s="192"/>
      <c r="S2029" s="200"/>
      <c r="T2029" s="203"/>
      <c r="U2029" s="153"/>
      <c r="V2029" s="153"/>
      <c r="W2029" s="153"/>
      <c r="X2029" s="153"/>
      <c r="Y2029" s="153"/>
      <c r="Z2029" s="153"/>
    </row>
    <row r="2030" spans="1:26">
      <c r="A2030" s="200"/>
      <c r="B2030" s="200"/>
      <c r="C2030" s="200"/>
      <c r="D2030" s="200"/>
      <c r="E2030" s="200"/>
      <c r="F2030" s="200"/>
      <c r="G2030" s="200"/>
      <c r="H2030" s="192"/>
      <c r="I2030" s="201"/>
      <c r="J2030" s="201"/>
      <c r="K2030" s="201"/>
      <c r="L2030" s="192"/>
      <c r="M2030" s="200"/>
      <c r="N2030" s="200"/>
      <c r="O2030" s="192"/>
      <c r="P2030" s="192"/>
      <c r="Q2030" s="192"/>
      <c r="R2030" s="192"/>
      <c r="S2030" s="200"/>
      <c r="T2030" s="203"/>
      <c r="U2030" s="153"/>
      <c r="V2030" s="153"/>
      <c r="W2030" s="153"/>
      <c r="X2030" s="153"/>
      <c r="Y2030" s="153"/>
      <c r="Z2030" s="153"/>
    </row>
    <row r="2031" spans="1:26">
      <c r="A2031" s="200"/>
      <c r="B2031" s="200"/>
      <c r="C2031" s="200"/>
      <c r="D2031" s="200"/>
      <c r="E2031" s="200"/>
      <c r="F2031" s="200"/>
      <c r="G2031" s="200"/>
      <c r="H2031" s="192"/>
      <c r="I2031" s="201"/>
      <c r="J2031" s="201"/>
      <c r="K2031" s="201"/>
      <c r="L2031" s="192"/>
      <c r="M2031" s="200"/>
      <c r="N2031" s="200"/>
      <c r="O2031" s="192"/>
      <c r="P2031" s="192"/>
      <c r="Q2031" s="192"/>
      <c r="R2031" s="192"/>
      <c r="S2031" s="200"/>
      <c r="T2031" s="203"/>
      <c r="U2031" s="153"/>
      <c r="V2031" s="153"/>
      <c r="W2031" s="153"/>
      <c r="X2031" s="153"/>
      <c r="Y2031" s="153"/>
      <c r="Z2031" s="153"/>
    </row>
    <row r="2032" spans="1:26">
      <c r="A2032" s="200"/>
      <c r="B2032" s="200"/>
      <c r="C2032" s="200"/>
      <c r="D2032" s="200"/>
      <c r="E2032" s="200"/>
      <c r="F2032" s="200"/>
      <c r="G2032" s="200"/>
      <c r="H2032" s="192"/>
      <c r="I2032" s="201"/>
      <c r="J2032" s="201"/>
      <c r="K2032" s="201"/>
      <c r="L2032" s="192"/>
      <c r="M2032" s="200"/>
      <c r="N2032" s="200"/>
      <c r="O2032" s="192"/>
      <c r="P2032" s="192"/>
      <c r="Q2032" s="192"/>
      <c r="R2032" s="192"/>
      <c r="S2032" s="200"/>
      <c r="T2032" s="203"/>
      <c r="U2032" s="153"/>
      <c r="V2032" s="153"/>
      <c r="W2032" s="153"/>
      <c r="X2032" s="153"/>
      <c r="Y2032" s="153"/>
      <c r="Z2032" s="153"/>
    </row>
    <row r="2033" spans="1:26">
      <c r="A2033" s="200"/>
      <c r="B2033" s="200"/>
      <c r="C2033" s="200"/>
      <c r="D2033" s="200"/>
      <c r="E2033" s="200"/>
      <c r="F2033" s="200"/>
      <c r="G2033" s="200"/>
      <c r="H2033" s="192"/>
      <c r="I2033" s="201"/>
      <c r="J2033" s="201"/>
      <c r="K2033" s="201"/>
      <c r="L2033" s="192"/>
      <c r="M2033" s="200"/>
      <c r="N2033" s="200"/>
      <c r="O2033" s="192"/>
      <c r="P2033" s="192"/>
      <c r="Q2033" s="192"/>
      <c r="R2033" s="192"/>
      <c r="S2033" s="200"/>
      <c r="T2033" s="203"/>
      <c r="U2033" s="153"/>
      <c r="V2033" s="153"/>
      <c r="W2033" s="153"/>
      <c r="X2033" s="153"/>
      <c r="Y2033" s="153"/>
      <c r="Z2033" s="153"/>
    </row>
    <row r="2034" spans="1:26">
      <c r="A2034" s="200"/>
      <c r="B2034" s="200"/>
      <c r="C2034" s="200"/>
      <c r="D2034" s="200"/>
      <c r="E2034" s="200"/>
      <c r="F2034" s="200"/>
      <c r="G2034" s="200"/>
      <c r="H2034" s="192"/>
      <c r="I2034" s="201"/>
      <c r="J2034" s="201"/>
      <c r="K2034" s="201"/>
      <c r="L2034" s="192"/>
      <c r="M2034" s="200"/>
      <c r="N2034" s="200"/>
      <c r="O2034" s="192"/>
      <c r="P2034" s="192"/>
      <c r="Q2034" s="192"/>
      <c r="R2034" s="192"/>
      <c r="S2034" s="200"/>
      <c r="T2034" s="203"/>
      <c r="U2034" s="153"/>
      <c r="V2034" s="153"/>
      <c r="W2034" s="153"/>
      <c r="X2034" s="153"/>
      <c r="Y2034" s="153"/>
      <c r="Z2034" s="153"/>
    </row>
    <row r="2035" spans="1:26">
      <c r="A2035" s="200"/>
      <c r="B2035" s="200"/>
      <c r="C2035" s="200"/>
      <c r="D2035" s="200"/>
      <c r="E2035" s="200"/>
      <c r="F2035" s="200"/>
      <c r="G2035" s="200"/>
      <c r="H2035" s="192"/>
      <c r="I2035" s="201"/>
      <c r="J2035" s="201"/>
      <c r="K2035" s="201"/>
      <c r="L2035" s="192"/>
      <c r="M2035" s="200"/>
      <c r="N2035" s="200"/>
      <c r="O2035" s="192"/>
      <c r="P2035" s="192"/>
      <c r="Q2035" s="192"/>
      <c r="R2035" s="192"/>
      <c r="S2035" s="200"/>
      <c r="T2035" s="203"/>
      <c r="U2035" s="153"/>
      <c r="V2035" s="153"/>
      <c r="W2035" s="153"/>
      <c r="X2035" s="153"/>
      <c r="Y2035" s="153"/>
      <c r="Z2035" s="153"/>
    </row>
    <row r="2036" spans="1:26">
      <c r="A2036" s="200"/>
      <c r="B2036" s="200"/>
      <c r="C2036" s="200"/>
      <c r="D2036" s="200"/>
      <c r="E2036" s="200"/>
      <c r="F2036" s="200"/>
      <c r="G2036" s="200"/>
      <c r="H2036" s="192"/>
      <c r="I2036" s="201"/>
      <c r="J2036" s="201"/>
      <c r="K2036" s="201"/>
      <c r="L2036" s="192"/>
      <c r="M2036" s="200"/>
      <c r="N2036" s="200"/>
      <c r="O2036" s="192"/>
      <c r="P2036" s="192"/>
      <c r="Q2036" s="192"/>
      <c r="R2036" s="192"/>
      <c r="S2036" s="200"/>
      <c r="T2036" s="203"/>
      <c r="U2036" s="153"/>
      <c r="V2036" s="153"/>
      <c r="W2036" s="153"/>
      <c r="X2036" s="153"/>
      <c r="Y2036" s="153"/>
      <c r="Z2036" s="153"/>
    </row>
    <row r="2037" spans="1:26">
      <c r="A2037" s="200"/>
      <c r="B2037" s="200"/>
      <c r="C2037" s="200"/>
      <c r="D2037" s="200"/>
      <c r="E2037" s="200"/>
      <c r="F2037" s="200"/>
      <c r="G2037" s="200"/>
      <c r="H2037" s="192"/>
      <c r="I2037" s="201"/>
      <c r="J2037" s="201"/>
      <c r="K2037" s="201"/>
      <c r="L2037" s="192"/>
      <c r="M2037" s="200"/>
      <c r="N2037" s="200"/>
      <c r="O2037" s="192"/>
      <c r="P2037" s="192"/>
      <c r="Q2037" s="192"/>
      <c r="R2037" s="192"/>
      <c r="S2037" s="200"/>
      <c r="T2037" s="203"/>
      <c r="U2037" s="153"/>
      <c r="V2037" s="153"/>
      <c r="W2037" s="153"/>
      <c r="X2037" s="153"/>
      <c r="Y2037" s="153"/>
      <c r="Z2037" s="153"/>
    </row>
    <row r="2038" spans="1:26">
      <c r="A2038" s="200"/>
      <c r="B2038" s="200"/>
      <c r="C2038" s="200"/>
      <c r="D2038" s="200"/>
      <c r="E2038" s="200"/>
      <c r="F2038" s="200"/>
      <c r="G2038" s="200"/>
      <c r="H2038" s="192"/>
      <c r="I2038" s="201"/>
      <c r="J2038" s="201"/>
      <c r="K2038" s="201"/>
      <c r="L2038" s="192"/>
      <c r="M2038" s="200"/>
      <c r="N2038" s="200"/>
      <c r="O2038" s="192"/>
      <c r="P2038" s="192"/>
      <c r="Q2038" s="192"/>
      <c r="R2038" s="192"/>
      <c r="S2038" s="200"/>
      <c r="T2038" s="203"/>
      <c r="U2038" s="153"/>
      <c r="V2038" s="153"/>
      <c r="W2038" s="153"/>
      <c r="X2038" s="153"/>
      <c r="Y2038" s="153"/>
      <c r="Z2038" s="153"/>
    </row>
    <row r="2039" spans="1:26">
      <c r="A2039" s="200"/>
      <c r="B2039" s="200"/>
      <c r="C2039" s="200"/>
      <c r="D2039" s="200"/>
      <c r="E2039" s="200"/>
      <c r="F2039" s="200"/>
      <c r="G2039" s="200"/>
      <c r="H2039" s="192"/>
      <c r="I2039" s="201"/>
      <c r="J2039" s="201"/>
      <c r="K2039" s="201"/>
      <c r="L2039" s="192"/>
      <c r="M2039" s="200"/>
      <c r="N2039" s="200"/>
      <c r="O2039" s="192"/>
      <c r="P2039" s="192"/>
      <c r="Q2039" s="192"/>
      <c r="R2039" s="192"/>
      <c r="S2039" s="200"/>
      <c r="T2039" s="203"/>
      <c r="U2039" s="153"/>
      <c r="V2039" s="153"/>
      <c r="W2039" s="153"/>
      <c r="X2039" s="153"/>
      <c r="Y2039" s="153"/>
      <c r="Z2039" s="153"/>
    </row>
    <row r="2040" spans="1:26">
      <c r="A2040" s="200"/>
      <c r="B2040" s="200"/>
      <c r="C2040" s="200"/>
      <c r="D2040" s="200"/>
      <c r="E2040" s="200"/>
      <c r="F2040" s="200"/>
      <c r="G2040" s="200"/>
      <c r="H2040" s="192"/>
      <c r="I2040" s="201"/>
      <c r="J2040" s="201"/>
      <c r="K2040" s="201"/>
      <c r="L2040" s="192"/>
      <c r="M2040" s="200"/>
      <c r="N2040" s="200"/>
      <c r="O2040" s="192"/>
      <c r="P2040" s="192"/>
      <c r="Q2040" s="192"/>
      <c r="R2040" s="192"/>
      <c r="S2040" s="200"/>
      <c r="T2040" s="203"/>
      <c r="U2040" s="153"/>
      <c r="V2040" s="153"/>
      <c r="W2040" s="153"/>
      <c r="X2040" s="153"/>
      <c r="Y2040" s="153"/>
      <c r="Z2040" s="153"/>
    </row>
    <row r="2041" spans="1:26">
      <c r="A2041" s="200"/>
      <c r="B2041" s="200"/>
      <c r="C2041" s="200"/>
      <c r="D2041" s="200"/>
      <c r="E2041" s="200"/>
      <c r="F2041" s="200"/>
      <c r="G2041" s="200"/>
      <c r="H2041" s="192"/>
      <c r="I2041" s="201"/>
      <c r="J2041" s="201"/>
      <c r="K2041" s="201"/>
      <c r="L2041" s="192"/>
      <c r="M2041" s="200"/>
      <c r="N2041" s="200"/>
      <c r="O2041" s="192"/>
      <c r="P2041" s="192"/>
      <c r="Q2041" s="192"/>
      <c r="R2041" s="192"/>
      <c r="S2041" s="200"/>
      <c r="T2041" s="203"/>
      <c r="U2041" s="153"/>
      <c r="V2041" s="153"/>
      <c r="W2041" s="153"/>
      <c r="X2041" s="153"/>
      <c r="Y2041" s="153"/>
      <c r="Z2041" s="153"/>
    </row>
    <row r="2042" spans="1:26">
      <c r="A2042" s="200"/>
      <c r="B2042" s="200"/>
      <c r="C2042" s="200"/>
      <c r="D2042" s="200"/>
      <c r="E2042" s="200"/>
      <c r="F2042" s="200"/>
      <c r="G2042" s="200"/>
      <c r="H2042" s="192"/>
      <c r="I2042" s="201"/>
      <c r="J2042" s="201"/>
      <c r="K2042" s="201"/>
      <c r="L2042" s="192"/>
      <c r="M2042" s="200"/>
      <c r="N2042" s="200"/>
      <c r="O2042" s="192"/>
      <c r="P2042" s="192"/>
      <c r="Q2042" s="192"/>
      <c r="R2042" s="192"/>
      <c r="S2042" s="200"/>
      <c r="T2042" s="203"/>
      <c r="U2042" s="153"/>
      <c r="V2042" s="153"/>
      <c r="W2042" s="153"/>
      <c r="X2042" s="153"/>
      <c r="Y2042" s="153"/>
      <c r="Z2042" s="153"/>
    </row>
    <row r="2043" spans="1:26">
      <c r="A2043" s="200"/>
      <c r="B2043" s="200"/>
      <c r="C2043" s="200"/>
      <c r="D2043" s="200"/>
      <c r="E2043" s="200"/>
      <c r="F2043" s="200"/>
      <c r="G2043" s="200"/>
      <c r="H2043" s="192"/>
      <c r="I2043" s="201"/>
      <c r="J2043" s="201"/>
      <c r="K2043" s="201"/>
      <c r="L2043" s="192"/>
      <c r="M2043" s="200"/>
      <c r="N2043" s="200"/>
      <c r="O2043" s="192"/>
      <c r="P2043" s="192"/>
      <c r="Q2043" s="192"/>
      <c r="R2043" s="192"/>
      <c r="S2043" s="200"/>
      <c r="T2043" s="203"/>
      <c r="U2043" s="153"/>
      <c r="V2043" s="153"/>
      <c r="W2043" s="153"/>
      <c r="X2043" s="153"/>
      <c r="Y2043" s="153"/>
      <c r="Z2043" s="153"/>
    </row>
    <row r="2044" spans="1:26">
      <c r="A2044" s="200"/>
      <c r="B2044" s="200"/>
      <c r="C2044" s="200"/>
      <c r="D2044" s="200"/>
      <c r="E2044" s="200"/>
      <c r="F2044" s="200"/>
      <c r="G2044" s="200"/>
      <c r="H2044" s="192"/>
      <c r="I2044" s="201"/>
      <c r="J2044" s="201"/>
      <c r="K2044" s="201"/>
      <c r="L2044" s="192"/>
      <c r="M2044" s="200"/>
      <c r="N2044" s="200"/>
      <c r="O2044" s="192"/>
      <c r="P2044" s="192"/>
      <c r="Q2044" s="192"/>
      <c r="R2044" s="192"/>
      <c r="S2044" s="200"/>
      <c r="T2044" s="203"/>
      <c r="U2044" s="153"/>
      <c r="V2044" s="153"/>
      <c r="W2044" s="153"/>
      <c r="X2044" s="153"/>
      <c r="Y2044" s="153"/>
      <c r="Z2044" s="153"/>
    </row>
    <row r="2045" spans="1:26">
      <c r="A2045" s="200"/>
      <c r="B2045" s="200"/>
      <c r="C2045" s="200"/>
      <c r="D2045" s="200"/>
      <c r="E2045" s="200"/>
      <c r="F2045" s="200"/>
      <c r="G2045" s="200"/>
      <c r="H2045" s="192"/>
      <c r="I2045" s="201"/>
      <c r="J2045" s="201"/>
      <c r="K2045" s="201"/>
      <c r="L2045" s="192"/>
      <c r="M2045" s="200"/>
      <c r="N2045" s="200"/>
      <c r="O2045" s="192"/>
      <c r="P2045" s="192"/>
      <c r="Q2045" s="192"/>
      <c r="R2045" s="192"/>
      <c r="S2045" s="200"/>
      <c r="T2045" s="203"/>
      <c r="U2045" s="153"/>
      <c r="V2045" s="153"/>
      <c r="W2045" s="153"/>
      <c r="X2045" s="153"/>
      <c r="Y2045" s="153"/>
      <c r="Z2045" s="153"/>
    </row>
    <row r="2046" spans="1:26">
      <c r="A2046" s="200"/>
      <c r="B2046" s="200"/>
      <c r="C2046" s="200"/>
      <c r="D2046" s="200"/>
      <c r="E2046" s="200"/>
      <c r="F2046" s="200"/>
      <c r="G2046" s="200"/>
      <c r="H2046" s="192"/>
      <c r="I2046" s="201"/>
      <c r="J2046" s="201"/>
      <c r="K2046" s="201"/>
      <c r="L2046" s="192"/>
      <c r="M2046" s="200"/>
      <c r="N2046" s="200"/>
      <c r="O2046" s="192"/>
      <c r="P2046" s="192"/>
      <c r="Q2046" s="192"/>
      <c r="R2046" s="192"/>
      <c r="S2046" s="200"/>
      <c r="T2046" s="203"/>
      <c r="U2046" s="153"/>
      <c r="V2046" s="153"/>
      <c r="W2046" s="153"/>
      <c r="X2046" s="153"/>
      <c r="Y2046" s="153"/>
      <c r="Z2046" s="153"/>
    </row>
    <row r="2047" spans="1:26">
      <c r="A2047" s="200"/>
      <c r="B2047" s="200"/>
      <c r="C2047" s="200"/>
      <c r="D2047" s="200"/>
      <c r="E2047" s="200"/>
      <c r="F2047" s="200"/>
      <c r="G2047" s="200"/>
      <c r="H2047" s="192"/>
      <c r="I2047" s="201"/>
      <c r="J2047" s="201"/>
      <c r="K2047" s="201"/>
      <c r="L2047" s="192"/>
      <c r="M2047" s="200"/>
      <c r="N2047" s="200"/>
      <c r="O2047" s="192"/>
      <c r="P2047" s="192"/>
      <c r="Q2047" s="192"/>
      <c r="R2047" s="192"/>
      <c r="S2047" s="200"/>
      <c r="T2047" s="203"/>
      <c r="U2047" s="153"/>
      <c r="V2047" s="153"/>
      <c r="W2047" s="153"/>
      <c r="X2047" s="153"/>
      <c r="Y2047" s="153"/>
      <c r="Z2047" s="153"/>
    </row>
    <row r="2048" spans="1:26">
      <c r="A2048" s="200"/>
      <c r="B2048" s="200"/>
      <c r="C2048" s="200"/>
      <c r="D2048" s="200"/>
      <c r="E2048" s="200"/>
      <c r="F2048" s="200"/>
      <c r="G2048" s="200"/>
      <c r="H2048" s="192"/>
      <c r="I2048" s="201"/>
      <c r="J2048" s="201"/>
      <c r="K2048" s="201"/>
      <c r="L2048" s="192"/>
      <c r="M2048" s="200"/>
      <c r="N2048" s="200"/>
      <c r="O2048" s="192"/>
      <c r="P2048" s="192"/>
      <c r="Q2048" s="192"/>
      <c r="R2048" s="192"/>
      <c r="S2048" s="200"/>
      <c r="T2048" s="203"/>
      <c r="U2048" s="153"/>
      <c r="V2048" s="153"/>
      <c r="W2048" s="153"/>
      <c r="X2048" s="153"/>
      <c r="Y2048" s="153"/>
      <c r="Z2048" s="153"/>
    </row>
    <row r="2049" spans="1:26">
      <c r="A2049" s="200"/>
      <c r="B2049" s="200"/>
      <c r="C2049" s="200"/>
      <c r="D2049" s="200"/>
      <c r="E2049" s="200"/>
      <c r="F2049" s="200"/>
      <c r="G2049" s="200"/>
      <c r="H2049" s="192"/>
      <c r="I2049" s="201"/>
      <c r="J2049" s="201"/>
      <c r="K2049" s="201"/>
      <c r="L2049" s="192"/>
      <c r="M2049" s="200"/>
      <c r="N2049" s="200"/>
      <c r="O2049" s="192"/>
      <c r="P2049" s="192"/>
      <c r="Q2049" s="192"/>
      <c r="R2049" s="192"/>
      <c r="S2049" s="200"/>
      <c r="T2049" s="203"/>
      <c r="U2049" s="153"/>
      <c r="V2049" s="153"/>
      <c r="W2049" s="153"/>
      <c r="X2049" s="153"/>
      <c r="Y2049" s="153"/>
      <c r="Z2049" s="153"/>
    </row>
    <row r="2050" spans="1:26">
      <c r="A2050" s="200"/>
      <c r="B2050" s="200"/>
      <c r="C2050" s="200"/>
      <c r="D2050" s="200"/>
      <c r="E2050" s="200"/>
      <c r="F2050" s="200"/>
      <c r="G2050" s="200"/>
      <c r="H2050" s="192"/>
      <c r="I2050" s="201"/>
      <c r="J2050" s="201"/>
      <c r="K2050" s="201"/>
      <c r="L2050" s="192"/>
      <c r="M2050" s="200"/>
      <c r="N2050" s="200"/>
      <c r="O2050" s="192"/>
      <c r="P2050" s="192"/>
      <c r="Q2050" s="192"/>
      <c r="R2050" s="192"/>
      <c r="S2050" s="200"/>
      <c r="T2050" s="203"/>
      <c r="U2050" s="153"/>
      <c r="V2050" s="153"/>
      <c r="W2050" s="153"/>
      <c r="X2050" s="153"/>
      <c r="Y2050" s="153"/>
      <c r="Z2050" s="153"/>
    </row>
    <row r="2051" spans="1:26">
      <c r="A2051" s="200"/>
      <c r="B2051" s="200"/>
      <c r="C2051" s="200"/>
      <c r="D2051" s="200"/>
      <c r="E2051" s="200"/>
      <c r="F2051" s="200"/>
      <c r="G2051" s="200"/>
      <c r="H2051" s="192"/>
      <c r="I2051" s="201"/>
      <c r="J2051" s="201"/>
      <c r="K2051" s="201"/>
      <c r="L2051" s="192"/>
      <c r="M2051" s="200"/>
      <c r="N2051" s="200"/>
      <c r="O2051" s="192"/>
      <c r="P2051" s="192"/>
      <c r="Q2051" s="192"/>
      <c r="R2051" s="192"/>
      <c r="S2051" s="200"/>
      <c r="T2051" s="203"/>
      <c r="U2051" s="153"/>
      <c r="V2051" s="153"/>
      <c r="W2051" s="153"/>
      <c r="X2051" s="153"/>
      <c r="Y2051" s="153"/>
      <c r="Z2051" s="153"/>
    </row>
    <row r="2052" spans="1:26">
      <c r="A2052" s="200"/>
      <c r="B2052" s="200"/>
      <c r="C2052" s="200"/>
      <c r="D2052" s="200"/>
      <c r="E2052" s="200"/>
      <c r="F2052" s="200"/>
      <c r="G2052" s="200"/>
      <c r="H2052" s="192"/>
      <c r="I2052" s="201"/>
      <c r="J2052" s="201"/>
      <c r="K2052" s="201"/>
      <c r="L2052" s="192"/>
      <c r="M2052" s="200"/>
      <c r="N2052" s="200"/>
      <c r="O2052" s="192"/>
      <c r="P2052" s="192"/>
      <c r="Q2052" s="192"/>
      <c r="R2052" s="192"/>
      <c r="S2052" s="200"/>
      <c r="T2052" s="203"/>
      <c r="U2052" s="153"/>
      <c r="V2052" s="153"/>
      <c r="W2052" s="153"/>
      <c r="X2052" s="153"/>
      <c r="Y2052" s="153"/>
      <c r="Z2052" s="153"/>
    </row>
    <row r="2053" spans="1:26">
      <c r="A2053" s="200"/>
      <c r="B2053" s="200"/>
      <c r="C2053" s="200"/>
      <c r="D2053" s="200"/>
      <c r="E2053" s="200"/>
      <c r="F2053" s="200"/>
      <c r="G2053" s="200"/>
      <c r="H2053" s="192"/>
      <c r="I2053" s="201"/>
      <c r="J2053" s="201"/>
      <c r="K2053" s="201"/>
      <c r="L2053" s="192"/>
      <c r="M2053" s="200"/>
      <c r="N2053" s="200"/>
      <c r="O2053" s="192"/>
      <c r="P2053" s="192"/>
      <c r="Q2053" s="192"/>
      <c r="R2053" s="192"/>
      <c r="S2053" s="200"/>
      <c r="T2053" s="203"/>
      <c r="U2053" s="153"/>
      <c r="V2053" s="153"/>
      <c r="W2053" s="153"/>
      <c r="X2053" s="153"/>
      <c r="Y2053" s="153"/>
      <c r="Z2053" s="153"/>
    </row>
    <row r="2054" spans="1:26">
      <c r="A2054" s="200"/>
      <c r="B2054" s="200"/>
      <c r="C2054" s="200"/>
      <c r="D2054" s="200"/>
      <c r="E2054" s="200"/>
      <c r="F2054" s="200"/>
      <c r="G2054" s="200"/>
      <c r="H2054" s="192"/>
      <c r="I2054" s="201"/>
      <c r="J2054" s="201"/>
      <c r="K2054" s="201"/>
      <c r="L2054" s="192"/>
      <c r="M2054" s="200"/>
      <c r="N2054" s="200"/>
      <c r="O2054" s="192"/>
      <c r="P2054" s="192"/>
      <c r="Q2054" s="192"/>
      <c r="R2054" s="192"/>
      <c r="S2054" s="200"/>
      <c r="T2054" s="203"/>
      <c r="U2054" s="153"/>
      <c r="V2054" s="153"/>
      <c r="W2054" s="153"/>
      <c r="X2054" s="153"/>
      <c r="Y2054" s="153"/>
      <c r="Z2054" s="153"/>
    </row>
    <row r="2055" spans="1:26">
      <c r="A2055" s="200"/>
      <c r="B2055" s="200"/>
      <c r="C2055" s="200"/>
      <c r="D2055" s="200"/>
      <c r="E2055" s="200"/>
      <c r="F2055" s="200"/>
      <c r="G2055" s="200"/>
      <c r="H2055" s="192"/>
      <c r="I2055" s="201"/>
      <c r="J2055" s="201"/>
      <c r="K2055" s="201"/>
      <c r="L2055" s="192"/>
      <c r="M2055" s="200"/>
      <c r="N2055" s="200"/>
      <c r="O2055" s="192"/>
      <c r="P2055" s="192"/>
      <c r="Q2055" s="192"/>
      <c r="R2055" s="192"/>
      <c r="S2055" s="200"/>
      <c r="T2055" s="203"/>
      <c r="U2055" s="153"/>
      <c r="V2055" s="153"/>
      <c r="W2055" s="153"/>
      <c r="X2055" s="153"/>
      <c r="Y2055" s="153"/>
      <c r="Z2055" s="153"/>
    </row>
    <row r="2056" spans="1:26">
      <c r="A2056" s="200"/>
      <c r="B2056" s="200"/>
      <c r="C2056" s="200"/>
      <c r="D2056" s="200"/>
      <c r="E2056" s="200"/>
      <c r="F2056" s="200"/>
      <c r="G2056" s="200"/>
      <c r="H2056" s="192"/>
      <c r="I2056" s="201"/>
      <c r="J2056" s="201"/>
      <c r="K2056" s="201"/>
      <c r="L2056" s="192"/>
      <c r="M2056" s="200"/>
      <c r="N2056" s="200"/>
      <c r="O2056" s="192"/>
      <c r="P2056" s="192"/>
      <c r="Q2056" s="192"/>
      <c r="R2056" s="192"/>
      <c r="S2056" s="200"/>
      <c r="T2056" s="203"/>
      <c r="U2056" s="153"/>
      <c r="V2056" s="153"/>
      <c r="W2056" s="153"/>
      <c r="X2056" s="153"/>
      <c r="Y2056" s="153"/>
      <c r="Z2056" s="153"/>
    </row>
    <row r="2057" spans="1:26">
      <c r="A2057" s="200"/>
      <c r="B2057" s="200"/>
      <c r="C2057" s="200"/>
      <c r="D2057" s="200"/>
      <c r="E2057" s="200"/>
      <c r="F2057" s="200"/>
      <c r="G2057" s="200"/>
      <c r="H2057" s="192"/>
      <c r="I2057" s="201"/>
      <c r="J2057" s="201"/>
      <c r="K2057" s="201"/>
      <c r="L2057" s="192"/>
      <c r="M2057" s="200"/>
      <c r="N2057" s="200"/>
      <c r="O2057" s="192"/>
      <c r="P2057" s="192"/>
      <c r="Q2057" s="192"/>
      <c r="R2057" s="192"/>
      <c r="S2057" s="200"/>
      <c r="T2057" s="203"/>
      <c r="U2057" s="153"/>
      <c r="V2057" s="153"/>
      <c r="W2057" s="153"/>
      <c r="X2057" s="153"/>
      <c r="Y2057" s="153"/>
      <c r="Z2057" s="153"/>
    </row>
    <row r="2058" spans="1:26">
      <c r="A2058" s="200"/>
      <c r="B2058" s="200"/>
      <c r="C2058" s="200"/>
      <c r="D2058" s="200"/>
      <c r="E2058" s="200"/>
      <c r="F2058" s="200"/>
      <c r="G2058" s="200"/>
      <c r="H2058" s="192"/>
      <c r="I2058" s="201"/>
      <c r="J2058" s="201"/>
      <c r="K2058" s="201"/>
      <c r="L2058" s="192"/>
      <c r="M2058" s="200"/>
      <c r="N2058" s="200"/>
      <c r="O2058" s="192"/>
      <c r="P2058" s="192"/>
      <c r="Q2058" s="192"/>
      <c r="R2058" s="192"/>
      <c r="S2058" s="200"/>
      <c r="T2058" s="203"/>
      <c r="U2058" s="153"/>
      <c r="V2058" s="153"/>
      <c r="W2058" s="153"/>
      <c r="X2058" s="153"/>
      <c r="Y2058" s="153"/>
      <c r="Z2058" s="153"/>
    </row>
    <row r="2059" spans="1:26">
      <c r="A2059" s="200"/>
      <c r="B2059" s="200"/>
      <c r="C2059" s="200"/>
      <c r="D2059" s="200"/>
      <c r="E2059" s="200"/>
      <c r="F2059" s="200"/>
      <c r="G2059" s="200"/>
      <c r="H2059" s="192"/>
      <c r="I2059" s="201"/>
      <c r="J2059" s="201"/>
      <c r="K2059" s="201"/>
      <c r="L2059" s="192"/>
      <c r="M2059" s="200"/>
      <c r="N2059" s="200"/>
      <c r="O2059" s="192"/>
      <c r="P2059" s="192"/>
      <c r="Q2059" s="192"/>
      <c r="R2059" s="192"/>
      <c r="S2059" s="200"/>
      <c r="T2059" s="203"/>
      <c r="U2059" s="153"/>
      <c r="V2059" s="153"/>
      <c r="W2059" s="153"/>
      <c r="X2059" s="153"/>
      <c r="Y2059" s="153"/>
      <c r="Z2059" s="153"/>
    </row>
    <row r="2060" spans="1:26">
      <c r="A2060" s="200"/>
      <c r="B2060" s="200"/>
      <c r="C2060" s="200"/>
      <c r="D2060" s="200"/>
      <c r="E2060" s="200"/>
      <c r="F2060" s="200"/>
      <c r="G2060" s="200"/>
      <c r="H2060" s="192"/>
      <c r="I2060" s="201"/>
      <c r="J2060" s="201"/>
      <c r="K2060" s="201"/>
      <c r="L2060" s="192"/>
      <c r="M2060" s="200"/>
      <c r="N2060" s="200"/>
      <c r="O2060" s="192"/>
      <c r="P2060" s="192"/>
      <c r="Q2060" s="192"/>
      <c r="R2060" s="192"/>
      <c r="S2060" s="200"/>
      <c r="T2060" s="203"/>
      <c r="U2060" s="153"/>
      <c r="V2060" s="153"/>
      <c r="W2060" s="153"/>
      <c r="X2060" s="153"/>
      <c r="Y2060" s="153"/>
      <c r="Z2060" s="153"/>
    </row>
    <row r="2061" spans="1:26">
      <c r="A2061" s="200"/>
      <c r="B2061" s="200"/>
      <c r="C2061" s="200"/>
      <c r="D2061" s="200"/>
      <c r="E2061" s="200"/>
      <c r="F2061" s="200"/>
      <c r="G2061" s="200"/>
      <c r="H2061" s="192"/>
      <c r="I2061" s="201"/>
      <c r="J2061" s="201"/>
      <c r="K2061" s="201"/>
      <c r="L2061" s="192"/>
      <c r="M2061" s="200"/>
      <c r="N2061" s="200"/>
      <c r="O2061" s="192"/>
      <c r="P2061" s="192"/>
      <c r="Q2061" s="192"/>
      <c r="R2061" s="192"/>
      <c r="S2061" s="200"/>
      <c r="T2061" s="203"/>
      <c r="U2061" s="153"/>
      <c r="V2061" s="153"/>
      <c r="W2061" s="153"/>
      <c r="X2061" s="153"/>
      <c r="Y2061" s="153"/>
      <c r="Z2061" s="153"/>
    </row>
    <row r="2062" spans="1:26">
      <c r="A2062" s="200"/>
      <c r="B2062" s="200"/>
      <c r="C2062" s="200"/>
      <c r="D2062" s="200"/>
      <c r="E2062" s="200"/>
      <c r="F2062" s="200"/>
      <c r="G2062" s="200"/>
      <c r="H2062" s="192"/>
      <c r="I2062" s="201"/>
      <c r="J2062" s="201"/>
      <c r="K2062" s="201"/>
      <c r="L2062" s="192"/>
      <c r="M2062" s="200"/>
      <c r="N2062" s="200"/>
      <c r="O2062" s="192"/>
      <c r="P2062" s="192"/>
      <c r="Q2062" s="192"/>
      <c r="R2062" s="192"/>
      <c r="S2062" s="200"/>
      <c r="T2062" s="203"/>
      <c r="U2062" s="153"/>
      <c r="V2062" s="153"/>
      <c r="W2062" s="153"/>
      <c r="X2062" s="153"/>
      <c r="Y2062" s="153"/>
      <c r="Z2062" s="153"/>
    </row>
    <row r="2063" spans="1:26">
      <c r="A2063" s="200"/>
      <c r="B2063" s="200"/>
      <c r="C2063" s="200"/>
      <c r="D2063" s="200"/>
      <c r="E2063" s="200"/>
      <c r="F2063" s="200"/>
      <c r="G2063" s="200"/>
      <c r="H2063" s="192"/>
      <c r="I2063" s="201"/>
      <c r="J2063" s="201"/>
      <c r="K2063" s="201"/>
      <c r="L2063" s="192"/>
      <c r="M2063" s="200"/>
      <c r="N2063" s="200"/>
      <c r="O2063" s="192"/>
      <c r="P2063" s="192"/>
      <c r="Q2063" s="192"/>
      <c r="R2063" s="192"/>
      <c r="S2063" s="200"/>
      <c r="T2063" s="203"/>
      <c r="U2063" s="153"/>
      <c r="V2063" s="153"/>
      <c r="W2063" s="153"/>
      <c r="X2063" s="153"/>
      <c r="Y2063" s="153"/>
      <c r="Z2063" s="153"/>
    </row>
    <row r="2064" spans="1:26">
      <c r="A2064" s="200"/>
      <c r="B2064" s="200"/>
      <c r="C2064" s="200"/>
      <c r="D2064" s="200"/>
      <c r="E2064" s="200"/>
      <c r="F2064" s="200"/>
      <c r="G2064" s="200"/>
      <c r="H2064" s="192"/>
      <c r="I2064" s="201"/>
      <c r="J2064" s="201"/>
      <c r="K2064" s="201"/>
      <c r="L2064" s="192"/>
      <c r="M2064" s="200"/>
      <c r="N2064" s="200"/>
      <c r="O2064" s="192"/>
      <c r="P2064" s="192"/>
      <c r="Q2064" s="192"/>
      <c r="R2064" s="192"/>
      <c r="S2064" s="200"/>
      <c r="T2064" s="203"/>
      <c r="U2064" s="153"/>
      <c r="V2064" s="153"/>
      <c r="W2064" s="153"/>
      <c r="X2064" s="153"/>
      <c r="Y2064" s="153"/>
      <c r="Z2064" s="153"/>
    </row>
    <row r="2065" spans="1:26">
      <c r="A2065" s="200"/>
      <c r="B2065" s="200"/>
      <c r="C2065" s="200"/>
      <c r="D2065" s="200"/>
      <c r="E2065" s="200"/>
      <c r="F2065" s="200"/>
      <c r="G2065" s="200"/>
      <c r="H2065" s="192"/>
      <c r="I2065" s="201"/>
      <c r="J2065" s="201"/>
      <c r="K2065" s="201"/>
      <c r="L2065" s="192"/>
      <c r="M2065" s="200"/>
      <c r="N2065" s="200"/>
      <c r="O2065" s="192"/>
      <c r="P2065" s="192"/>
      <c r="Q2065" s="192"/>
      <c r="R2065" s="192"/>
      <c r="S2065" s="200"/>
      <c r="T2065" s="203"/>
      <c r="U2065" s="153"/>
      <c r="V2065" s="153"/>
      <c r="W2065" s="153"/>
      <c r="X2065" s="153"/>
      <c r="Y2065" s="153"/>
      <c r="Z2065" s="153"/>
    </row>
    <row r="2066" spans="1:26">
      <c r="A2066" s="200"/>
      <c r="B2066" s="200"/>
      <c r="C2066" s="200"/>
      <c r="D2066" s="200"/>
      <c r="E2066" s="200"/>
      <c r="F2066" s="200"/>
      <c r="G2066" s="200"/>
      <c r="H2066" s="192"/>
      <c r="I2066" s="201"/>
      <c r="J2066" s="201"/>
      <c r="K2066" s="201"/>
      <c r="L2066" s="192"/>
      <c r="M2066" s="200"/>
      <c r="N2066" s="200"/>
      <c r="O2066" s="192"/>
      <c r="P2066" s="192"/>
      <c r="Q2066" s="192"/>
      <c r="R2066" s="192"/>
      <c r="S2066" s="200"/>
      <c r="T2066" s="203"/>
      <c r="U2066" s="153"/>
      <c r="V2066" s="153"/>
      <c r="W2066" s="153"/>
      <c r="X2066" s="153"/>
      <c r="Y2066" s="153"/>
      <c r="Z2066" s="153"/>
    </row>
    <row r="2067" spans="1:26">
      <c r="A2067" s="200"/>
      <c r="B2067" s="200"/>
      <c r="C2067" s="200"/>
      <c r="D2067" s="200"/>
      <c r="E2067" s="200"/>
      <c r="F2067" s="200"/>
      <c r="G2067" s="200"/>
      <c r="H2067" s="192"/>
      <c r="I2067" s="201"/>
      <c r="J2067" s="201"/>
      <c r="K2067" s="201"/>
      <c r="L2067" s="192"/>
      <c r="M2067" s="200"/>
      <c r="N2067" s="200"/>
      <c r="O2067" s="192"/>
      <c r="P2067" s="192"/>
      <c r="Q2067" s="192"/>
      <c r="R2067" s="192"/>
      <c r="S2067" s="200"/>
      <c r="T2067" s="203"/>
      <c r="U2067" s="153"/>
      <c r="V2067" s="153"/>
      <c r="W2067" s="153"/>
      <c r="X2067" s="153"/>
      <c r="Y2067" s="153"/>
      <c r="Z2067" s="153"/>
    </row>
    <row r="2068" spans="1:26">
      <c r="A2068" s="200"/>
      <c r="B2068" s="200"/>
      <c r="C2068" s="200"/>
      <c r="D2068" s="200"/>
      <c r="E2068" s="200"/>
      <c r="F2068" s="200"/>
      <c r="G2068" s="200"/>
      <c r="H2068" s="192"/>
      <c r="I2068" s="201"/>
      <c r="J2068" s="201"/>
      <c r="K2068" s="201"/>
      <c r="L2068" s="192"/>
      <c r="M2068" s="200"/>
      <c r="N2068" s="200"/>
      <c r="O2068" s="192"/>
      <c r="P2068" s="192"/>
      <c r="Q2068" s="192"/>
      <c r="R2068" s="192"/>
      <c r="S2068" s="200"/>
      <c r="T2068" s="203"/>
      <c r="U2068" s="153"/>
      <c r="V2068" s="153"/>
      <c r="W2068" s="153"/>
      <c r="X2068" s="153"/>
      <c r="Y2068" s="153"/>
      <c r="Z2068" s="153"/>
    </row>
    <row r="2069" spans="1:26">
      <c r="A2069" s="200"/>
      <c r="B2069" s="200"/>
      <c r="C2069" s="200"/>
      <c r="D2069" s="200"/>
      <c r="E2069" s="200"/>
      <c r="F2069" s="200"/>
      <c r="G2069" s="200"/>
      <c r="H2069" s="192"/>
      <c r="I2069" s="201"/>
      <c r="J2069" s="201"/>
      <c r="K2069" s="201"/>
      <c r="L2069" s="192"/>
      <c r="M2069" s="200"/>
      <c r="N2069" s="200"/>
      <c r="O2069" s="192"/>
      <c r="P2069" s="192"/>
      <c r="Q2069" s="192"/>
      <c r="R2069" s="192"/>
      <c r="S2069" s="200"/>
      <c r="T2069" s="203"/>
      <c r="U2069" s="153"/>
      <c r="V2069" s="153"/>
      <c r="W2069" s="153"/>
      <c r="X2069" s="153"/>
      <c r="Y2069" s="153"/>
      <c r="Z2069" s="153"/>
    </row>
    <row r="2070" spans="1:26">
      <c r="A2070" s="200"/>
      <c r="B2070" s="200"/>
      <c r="C2070" s="200"/>
      <c r="D2070" s="200"/>
      <c r="E2070" s="200"/>
      <c r="F2070" s="200"/>
      <c r="G2070" s="200"/>
      <c r="H2070" s="192"/>
      <c r="I2070" s="201"/>
      <c r="J2070" s="201"/>
      <c r="K2070" s="201"/>
      <c r="L2070" s="192"/>
      <c r="M2070" s="200"/>
      <c r="N2070" s="200"/>
      <c r="O2070" s="192"/>
      <c r="P2070" s="192"/>
      <c r="Q2070" s="192"/>
      <c r="R2070" s="192"/>
      <c r="S2070" s="200"/>
      <c r="T2070" s="203"/>
      <c r="U2070" s="153"/>
      <c r="V2070" s="153"/>
      <c r="W2070" s="153"/>
      <c r="X2070" s="153"/>
      <c r="Y2070" s="153"/>
      <c r="Z2070" s="153"/>
    </row>
    <row r="2071" spans="1:26">
      <c r="A2071" s="200"/>
      <c r="B2071" s="200"/>
      <c r="C2071" s="200"/>
      <c r="D2071" s="200"/>
      <c r="E2071" s="200"/>
      <c r="F2071" s="200"/>
      <c r="G2071" s="200"/>
      <c r="H2071" s="192"/>
      <c r="I2071" s="201"/>
      <c r="J2071" s="201"/>
      <c r="K2071" s="201"/>
      <c r="L2071" s="192"/>
      <c r="M2071" s="200"/>
      <c r="N2071" s="200"/>
      <c r="O2071" s="192"/>
      <c r="P2071" s="192"/>
      <c r="Q2071" s="192"/>
      <c r="R2071" s="192"/>
      <c r="S2071" s="200"/>
      <c r="T2071" s="203"/>
      <c r="U2071" s="153"/>
      <c r="V2071" s="153"/>
      <c r="W2071" s="153"/>
      <c r="X2071" s="153"/>
      <c r="Y2071" s="153"/>
      <c r="Z2071" s="153"/>
    </row>
    <row r="2072" spans="1:26">
      <c r="A2072" s="200"/>
      <c r="B2072" s="200"/>
      <c r="C2072" s="200"/>
      <c r="D2072" s="200"/>
      <c r="E2072" s="200"/>
      <c r="F2072" s="200"/>
      <c r="G2072" s="200"/>
      <c r="H2072" s="192"/>
      <c r="I2072" s="201"/>
      <c r="J2072" s="201"/>
      <c r="K2072" s="201"/>
      <c r="L2072" s="192"/>
      <c r="M2072" s="200"/>
      <c r="N2072" s="200"/>
      <c r="O2072" s="192"/>
      <c r="P2072" s="192"/>
      <c r="Q2072" s="192"/>
      <c r="R2072" s="192"/>
      <c r="S2072" s="200"/>
      <c r="T2072" s="203"/>
      <c r="U2072" s="153"/>
      <c r="V2072" s="153"/>
      <c r="W2072" s="153"/>
      <c r="X2072" s="153"/>
      <c r="Y2072" s="153"/>
      <c r="Z2072" s="153"/>
    </row>
    <row r="2073" spans="1:26">
      <c r="A2073" s="200"/>
      <c r="B2073" s="200"/>
      <c r="C2073" s="200"/>
      <c r="D2073" s="200"/>
      <c r="E2073" s="200"/>
      <c r="F2073" s="200"/>
      <c r="G2073" s="200"/>
      <c r="H2073" s="192"/>
      <c r="I2073" s="201"/>
      <c r="J2073" s="201"/>
      <c r="K2073" s="201"/>
      <c r="L2073" s="192"/>
      <c r="M2073" s="200"/>
      <c r="N2073" s="200"/>
      <c r="O2073" s="192"/>
      <c r="P2073" s="192"/>
      <c r="Q2073" s="192"/>
      <c r="R2073" s="192"/>
      <c r="S2073" s="200"/>
      <c r="T2073" s="203"/>
      <c r="U2073" s="153"/>
      <c r="V2073" s="153"/>
      <c r="W2073" s="153"/>
      <c r="X2073" s="153"/>
      <c r="Y2073" s="153"/>
      <c r="Z2073" s="153"/>
    </row>
    <row r="2074" spans="1:26">
      <c r="A2074" s="200"/>
      <c r="B2074" s="200"/>
      <c r="C2074" s="200"/>
      <c r="D2074" s="200"/>
      <c r="E2074" s="200"/>
      <c r="F2074" s="200"/>
      <c r="G2074" s="200"/>
      <c r="H2074" s="192"/>
      <c r="I2074" s="201"/>
      <c r="J2074" s="201"/>
      <c r="K2074" s="201"/>
      <c r="L2074" s="192"/>
      <c r="M2074" s="200"/>
      <c r="N2074" s="200"/>
      <c r="O2074" s="192"/>
      <c r="P2074" s="192"/>
      <c r="Q2074" s="192"/>
      <c r="R2074" s="192"/>
      <c r="S2074" s="200"/>
      <c r="T2074" s="203"/>
      <c r="U2074" s="153"/>
      <c r="V2074" s="153"/>
      <c r="W2074" s="153"/>
      <c r="X2074" s="153"/>
      <c r="Y2074" s="153"/>
      <c r="Z2074" s="153"/>
    </row>
    <row r="2075" spans="1:26">
      <c r="A2075" s="200"/>
      <c r="B2075" s="200"/>
      <c r="C2075" s="200"/>
      <c r="D2075" s="200"/>
      <c r="E2075" s="200"/>
      <c r="F2075" s="200"/>
      <c r="G2075" s="200"/>
      <c r="H2075" s="192"/>
      <c r="I2075" s="201"/>
      <c r="J2075" s="201"/>
      <c r="K2075" s="201"/>
      <c r="L2075" s="192"/>
      <c r="M2075" s="200"/>
      <c r="N2075" s="200"/>
      <c r="O2075" s="192"/>
      <c r="P2075" s="192"/>
      <c r="Q2075" s="192"/>
      <c r="R2075" s="192"/>
      <c r="S2075" s="200"/>
      <c r="T2075" s="203"/>
      <c r="U2075" s="153"/>
      <c r="V2075" s="153"/>
      <c r="W2075" s="153"/>
      <c r="X2075" s="153"/>
      <c r="Y2075" s="153"/>
      <c r="Z2075" s="153"/>
    </row>
    <row r="2076" spans="1:26">
      <c r="A2076" s="200"/>
      <c r="B2076" s="200"/>
      <c r="C2076" s="200"/>
      <c r="D2076" s="200"/>
      <c r="E2076" s="200"/>
      <c r="F2076" s="200"/>
      <c r="G2076" s="200"/>
      <c r="H2076" s="192"/>
      <c r="I2076" s="201"/>
      <c r="J2076" s="201"/>
      <c r="K2076" s="201"/>
      <c r="L2076" s="192"/>
      <c r="M2076" s="200"/>
      <c r="N2076" s="200"/>
      <c r="O2076" s="192"/>
      <c r="P2076" s="192"/>
      <c r="Q2076" s="192"/>
      <c r="R2076" s="192"/>
      <c r="S2076" s="200"/>
      <c r="T2076" s="203"/>
      <c r="U2076" s="153"/>
      <c r="V2076" s="153"/>
      <c r="W2076" s="153"/>
      <c r="X2076" s="153"/>
      <c r="Y2076" s="153"/>
      <c r="Z2076" s="153"/>
    </row>
    <row r="2077" spans="1:26">
      <c r="A2077" s="200"/>
      <c r="B2077" s="200"/>
      <c r="C2077" s="200"/>
      <c r="D2077" s="200"/>
      <c r="E2077" s="200"/>
      <c r="F2077" s="200"/>
      <c r="G2077" s="200"/>
      <c r="H2077" s="192"/>
      <c r="I2077" s="201"/>
      <c r="J2077" s="201"/>
      <c r="K2077" s="201"/>
      <c r="L2077" s="192"/>
      <c r="M2077" s="200"/>
      <c r="N2077" s="200"/>
      <c r="O2077" s="192"/>
      <c r="P2077" s="192"/>
      <c r="Q2077" s="192"/>
      <c r="R2077" s="192"/>
      <c r="S2077" s="200"/>
      <c r="T2077" s="203"/>
      <c r="U2077" s="153"/>
      <c r="V2077" s="153"/>
      <c r="W2077" s="153"/>
      <c r="X2077" s="153"/>
      <c r="Y2077" s="153"/>
      <c r="Z2077" s="153"/>
    </row>
    <row r="2078" spans="1:26">
      <c r="A2078" s="200"/>
      <c r="B2078" s="200"/>
      <c r="C2078" s="200"/>
      <c r="D2078" s="200"/>
      <c r="E2078" s="200"/>
      <c r="F2078" s="200"/>
      <c r="G2078" s="200"/>
      <c r="H2078" s="192"/>
      <c r="I2078" s="201"/>
      <c r="J2078" s="201"/>
      <c r="K2078" s="201"/>
      <c r="L2078" s="192"/>
      <c r="M2078" s="200"/>
      <c r="N2078" s="200"/>
      <c r="O2078" s="192"/>
      <c r="P2078" s="192"/>
      <c r="Q2078" s="192"/>
      <c r="R2078" s="192"/>
      <c r="S2078" s="200"/>
      <c r="T2078" s="203"/>
      <c r="U2078" s="153"/>
      <c r="V2078" s="153"/>
      <c r="W2078" s="153"/>
      <c r="X2078" s="153"/>
      <c r="Y2078" s="153"/>
      <c r="Z2078" s="153"/>
    </row>
    <row r="2079" spans="1:26">
      <c r="A2079" s="200"/>
      <c r="B2079" s="200"/>
      <c r="C2079" s="200"/>
      <c r="D2079" s="200"/>
      <c r="E2079" s="200"/>
      <c r="F2079" s="200"/>
      <c r="G2079" s="200"/>
      <c r="H2079" s="192"/>
      <c r="I2079" s="201"/>
      <c r="J2079" s="201"/>
      <c r="K2079" s="201"/>
      <c r="L2079" s="192"/>
      <c r="M2079" s="200"/>
      <c r="N2079" s="200"/>
      <c r="O2079" s="192"/>
      <c r="P2079" s="192"/>
      <c r="Q2079" s="192"/>
      <c r="R2079" s="192"/>
      <c r="S2079" s="200"/>
      <c r="T2079" s="203"/>
      <c r="U2079" s="153"/>
      <c r="V2079" s="153"/>
      <c r="W2079" s="153"/>
      <c r="X2079" s="153"/>
      <c r="Y2079" s="153"/>
      <c r="Z2079" s="153"/>
    </row>
    <row r="2080" spans="1:26">
      <c r="A2080" s="200"/>
      <c r="B2080" s="200"/>
      <c r="C2080" s="200"/>
      <c r="D2080" s="200"/>
      <c r="E2080" s="200"/>
      <c r="F2080" s="200"/>
      <c r="G2080" s="200"/>
      <c r="H2080" s="192"/>
      <c r="I2080" s="201"/>
      <c r="J2080" s="201"/>
      <c r="K2080" s="201"/>
      <c r="L2080" s="192"/>
      <c r="M2080" s="200"/>
      <c r="N2080" s="200"/>
      <c r="O2080" s="192"/>
      <c r="P2080" s="192"/>
      <c r="Q2080" s="192"/>
      <c r="R2080" s="192"/>
      <c r="S2080" s="200"/>
      <c r="T2080" s="203"/>
      <c r="U2080" s="153"/>
      <c r="V2080" s="153"/>
      <c r="W2080" s="153"/>
      <c r="X2080" s="153"/>
      <c r="Y2080" s="153"/>
      <c r="Z2080" s="153"/>
    </row>
    <row r="2081" spans="1:26">
      <c r="A2081" s="200"/>
      <c r="B2081" s="200"/>
      <c r="C2081" s="200"/>
      <c r="D2081" s="200"/>
      <c r="E2081" s="200"/>
      <c r="F2081" s="200"/>
      <c r="G2081" s="200"/>
      <c r="H2081" s="192"/>
      <c r="I2081" s="201"/>
      <c r="J2081" s="201"/>
      <c r="K2081" s="201"/>
      <c r="L2081" s="192"/>
      <c r="M2081" s="200"/>
      <c r="N2081" s="200"/>
      <c r="O2081" s="192"/>
      <c r="P2081" s="192"/>
      <c r="Q2081" s="192"/>
      <c r="R2081" s="192"/>
      <c r="S2081" s="200"/>
      <c r="T2081" s="203"/>
      <c r="U2081" s="153"/>
      <c r="V2081" s="153"/>
      <c r="W2081" s="153"/>
      <c r="X2081" s="153"/>
      <c r="Y2081" s="153"/>
      <c r="Z2081" s="153"/>
    </row>
    <row r="2082" spans="1:26">
      <c r="A2082" s="200"/>
      <c r="B2082" s="200"/>
      <c r="C2082" s="200"/>
      <c r="D2082" s="200"/>
      <c r="E2082" s="200"/>
      <c r="F2082" s="200"/>
      <c r="G2082" s="200"/>
      <c r="H2082" s="192"/>
      <c r="I2082" s="201"/>
      <c r="J2082" s="201"/>
      <c r="K2082" s="201"/>
      <c r="L2082" s="192"/>
      <c r="M2082" s="200"/>
      <c r="N2082" s="200"/>
      <c r="O2082" s="192"/>
      <c r="P2082" s="192"/>
      <c r="Q2082" s="192"/>
      <c r="R2082" s="192"/>
      <c r="S2082" s="200"/>
      <c r="T2082" s="203"/>
      <c r="U2082" s="153"/>
      <c r="V2082" s="153"/>
      <c r="W2082" s="153"/>
      <c r="X2082" s="153"/>
      <c r="Y2082" s="153"/>
      <c r="Z2082" s="153"/>
    </row>
    <row r="2083" spans="1:26">
      <c r="A2083" s="200"/>
      <c r="B2083" s="200"/>
      <c r="C2083" s="200"/>
      <c r="D2083" s="200"/>
      <c r="E2083" s="200"/>
      <c r="F2083" s="200"/>
      <c r="G2083" s="200"/>
      <c r="H2083" s="192"/>
      <c r="I2083" s="201"/>
      <c r="J2083" s="201"/>
      <c r="K2083" s="201"/>
      <c r="L2083" s="192"/>
      <c r="M2083" s="200"/>
      <c r="N2083" s="200"/>
      <c r="O2083" s="192"/>
      <c r="P2083" s="192"/>
      <c r="Q2083" s="192"/>
      <c r="R2083" s="192"/>
      <c r="S2083" s="200"/>
      <c r="T2083" s="203"/>
      <c r="U2083" s="153"/>
      <c r="V2083" s="153"/>
      <c r="W2083" s="153"/>
      <c r="X2083" s="153"/>
      <c r="Y2083" s="153"/>
      <c r="Z2083" s="153"/>
    </row>
    <row r="2084" spans="1:26">
      <c r="A2084" s="200"/>
      <c r="B2084" s="200"/>
      <c r="C2084" s="200"/>
      <c r="D2084" s="200"/>
      <c r="E2084" s="200"/>
      <c r="F2084" s="200"/>
      <c r="G2084" s="200"/>
      <c r="H2084" s="192"/>
      <c r="I2084" s="201"/>
      <c r="J2084" s="201"/>
      <c r="K2084" s="201"/>
      <c r="L2084" s="192"/>
      <c r="M2084" s="200"/>
      <c r="N2084" s="200"/>
      <c r="O2084" s="192"/>
      <c r="P2084" s="192"/>
      <c r="Q2084" s="192"/>
      <c r="R2084" s="192"/>
      <c r="S2084" s="200"/>
      <c r="T2084" s="203"/>
      <c r="U2084" s="153"/>
      <c r="V2084" s="153"/>
      <c r="W2084" s="153"/>
      <c r="X2084" s="153"/>
      <c r="Y2084" s="153"/>
      <c r="Z2084" s="153"/>
    </row>
    <row r="2085" spans="1:26">
      <c r="A2085" s="200"/>
      <c r="B2085" s="200"/>
      <c r="C2085" s="200"/>
      <c r="D2085" s="200"/>
      <c r="E2085" s="200"/>
      <c r="F2085" s="200"/>
      <c r="G2085" s="200"/>
      <c r="H2085" s="192"/>
      <c r="I2085" s="201"/>
      <c r="J2085" s="201"/>
      <c r="K2085" s="201"/>
      <c r="L2085" s="192"/>
      <c r="M2085" s="200"/>
      <c r="N2085" s="200"/>
      <c r="O2085" s="192"/>
      <c r="P2085" s="192"/>
      <c r="Q2085" s="192"/>
      <c r="R2085" s="192"/>
      <c r="S2085" s="200"/>
      <c r="T2085" s="203"/>
      <c r="U2085" s="153"/>
      <c r="V2085" s="153"/>
      <c r="W2085" s="153"/>
      <c r="X2085" s="153"/>
      <c r="Y2085" s="153"/>
      <c r="Z2085" s="153"/>
    </row>
    <row r="2086" spans="1:26">
      <c r="A2086" s="200"/>
      <c r="B2086" s="200"/>
      <c r="C2086" s="200"/>
      <c r="D2086" s="200"/>
      <c r="E2086" s="200"/>
      <c r="F2086" s="200"/>
      <c r="G2086" s="200"/>
      <c r="H2086" s="192"/>
      <c r="I2086" s="201"/>
      <c r="J2086" s="201"/>
      <c r="K2086" s="201"/>
      <c r="L2086" s="192"/>
      <c r="M2086" s="200"/>
      <c r="N2086" s="200"/>
      <c r="O2086" s="192"/>
      <c r="P2086" s="192"/>
      <c r="Q2086" s="192"/>
      <c r="R2086" s="192"/>
      <c r="S2086" s="200"/>
      <c r="T2086" s="203"/>
      <c r="U2086" s="153"/>
      <c r="V2086" s="153"/>
      <c r="W2086" s="153"/>
      <c r="X2086" s="153"/>
      <c r="Y2086" s="153"/>
      <c r="Z2086" s="153"/>
    </row>
    <row r="2087" spans="1:26">
      <c r="A2087" s="200"/>
      <c r="B2087" s="200"/>
      <c r="C2087" s="200"/>
      <c r="D2087" s="200"/>
      <c r="E2087" s="200"/>
      <c r="F2087" s="200"/>
      <c r="G2087" s="200"/>
      <c r="H2087" s="192"/>
      <c r="I2087" s="201"/>
      <c r="J2087" s="201"/>
      <c r="K2087" s="201"/>
      <c r="L2087" s="192"/>
      <c r="M2087" s="200"/>
      <c r="N2087" s="200"/>
      <c r="O2087" s="192"/>
      <c r="P2087" s="192"/>
      <c r="Q2087" s="192"/>
      <c r="R2087" s="192"/>
      <c r="S2087" s="200"/>
      <c r="T2087" s="203"/>
      <c r="U2087" s="153"/>
      <c r="V2087" s="153"/>
      <c r="W2087" s="153"/>
      <c r="X2087" s="153"/>
      <c r="Y2087" s="153"/>
      <c r="Z2087" s="153"/>
    </row>
    <row r="2088" spans="1:26">
      <c r="A2088" s="200"/>
      <c r="B2088" s="200"/>
      <c r="C2088" s="200"/>
      <c r="D2088" s="200"/>
      <c r="E2088" s="200"/>
      <c r="F2088" s="200"/>
      <c r="G2088" s="200"/>
      <c r="H2088" s="192"/>
      <c r="I2088" s="201"/>
      <c r="J2088" s="201"/>
      <c r="K2088" s="201"/>
      <c r="L2088" s="192"/>
      <c r="M2088" s="200"/>
      <c r="N2088" s="200"/>
      <c r="O2088" s="192"/>
      <c r="P2088" s="192"/>
      <c r="Q2088" s="192"/>
      <c r="R2088" s="192"/>
      <c r="S2088" s="200"/>
      <c r="T2088" s="203"/>
      <c r="U2088" s="153"/>
      <c r="V2088" s="153"/>
      <c r="W2088" s="153"/>
      <c r="X2088" s="153"/>
      <c r="Y2088" s="153"/>
      <c r="Z2088" s="153"/>
    </row>
    <row r="2089" spans="1:26">
      <c r="A2089" s="200"/>
      <c r="B2089" s="200"/>
      <c r="C2089" s="200"/>
      <c r="D2089" s="200"/>
      <c r="E2089" s="200"/>
      <c r="F2089" s="200"/>
      <c r="G2089" s="200"/>
      <c r="H2089" s="192"/>
      <c r="I2089" s="201"/>
      <c r="J2089" s="201"/>
      <c r="K2089" s="201"/>
      <c r="L2089" s="192"/>
      <c r="M2089" s="200"/>
      <c r="N2089" s="200"/>
      <c r="O2089" s="192"/>
      <c r="P2089" s="192"/>
      <c r="Q2089" s="192"/>
      <c r="R2089" s="192"/>
      <c r="S2089" s="200"/>
      <c r="T2089" s="203"/>
      <c r="U2089" s="153"/>
      <c r="V2089" s="153"/>
      <c r="W2089" s="153"/>
      <c r="X2089" s="153"/>
      <c r="Y2089" s="153"/>
      <c r="Z2089" s="153"/>
    </row>
    <row r="2090" spans="1:26">
      <c r="A2090" s="200"/>
      <c r="B2090" s="200"/>
      <c r="C2090" s="200"/>
      <c r="D2090" s="200"/>
      <c r="E2090" s="200"/>
      <c r="F2090" s="200"/>
      <c r="G2090" s="200"/>
      <c r="H2090" s="192"/>
      <c r="I2090" s="201"/>
      <c r="J2090" s="201"/>
      <c r="K2090" s="201"/>
      <c r="L2090" s="192"/>
      <c r="M2090" s="200"/>
      <c r="N2090" s="200"/>
      <c r="O2090" s="192"/>
      <c r="P2090" s="192"/>
      <c r="Q2090" s="192"/>
      <c r="R2090" s="192"/>
      <c r="S2090" s="200"/>
      <c r="T2090" s="203"/>
      <c r="U2090" s="153"/>
      <c r="V2090" s="153"/>
      <c r="W2090" s="153"/>
      <c r="X2090" s="153"/>
      <c r="Y2090" s="153"/>
      <c r="Z2090" s="153"/>
    </row>
    <row r="2091" spans="1:26">
      <c r="A2091" s="200"/>
      <c r="B2091" s="200"/>
      <c r="C2091" s="200"/>
      <c r="D2091" s="200"/>
      <c r="E2091" s="200"/>
      <c r="F2091" s="200"/>
      <c r="G2091" s="200"/>
      <c r="H2091" s="192"/>
      <c r="I2091" s="201"/>
      <c r="J2091" s="201"/>
      <c r="K2091" s="201"/>
      <c r="L2091" s="192"/>
      <c r="M2091" s="200"/>
      <c r="N2091" s="200"/>
      <c r="O2091" s="192"/>
      <c r="P2091" s="192"/>
      <c r="Q2091" s="192"/>
      <c r="R2091" s="192"/>
      <c r="S2091" s="200"/>
      <c r="T2091" s="203"/>
      <c r="U2091" s="153"/>
      <c r="V2091" s="153"/>
      <c r="W2091" s="153"/>
      <c r="X2091" s="153"/>
      <c r="Y2091" s="153"/>
      <c r="Z2091" s="153"/>
    </row>
    <row r="2092" spans="1:26">
      <c r="A2092" s="200"/>
      <c r="B2092" s="200"/>
      <c r="C2092" s="200"/>
      <c r="D2092" s="200"/>
      <c r="E2092" s="200"/>
      <c r="F2092" s="200"/>
      <c r="G2092" s="200"/>
      <c r="H2092" s="192"/>
      <c r="I2092" s="201"/>
      <c r="J2092" s="201"/>
      <c r="K2092" s="201"/>
      <c r="L2092" s="192"/>
      <c r="M2092" s="200"/>
      <c r="N2092" s="200"/>
      <c r="O2092" s="192"/>
      <c r="P2092" s="192"/>
      <c r="Q2092" s="192"/>
      <c r="R2092" s="192"/>
      <c r="S2092" s="200"/>
      <c r="T2092" s="203"/>
      <c r="U2092" s="153"/>
      <c r="V2092" s="153"/>
      <c r="W2092" s="153"/>
      <c r="X2092" s="153"/>
      <c r="Y2092" s="153"/>
      <c r="Z2092" s="153"/>
    </row>
    <row r="2093" spans="1:26">
      <c r="A2093" s="200"/>
      <c r="B2093" s="200"/>
      <c r="C2093" s="200"/>
      <c r="D2093" s="200"/>
      <c r="E2093" s="200"/>
      <c r="F2093" s="200"/>
      <c r="G2093" s="200"/>
      <c r="H2093" s="192"/>
      <c r="I2093" s="201"/>
      <c r="J2093" s="201"/>
      <c r="K2093" s="201"/>
      <c r="L2093" s="192"/>
      <c r="M2093" s="200"/>
      <c r="N2093" s="200"/>
      <c r="O2093" s="192"/>
      <c r="P2093" s="192"/>
      <c r="Q2093" s="192"/>
      <c r="R2093" s="192"/>
      <c r="S2093" s="200"/>
      <c r="T2093" s="203"/>
      <c r="U2093" s="153"/>
      <c r="V2093" s="153"/>
      <c r="W2093" s="153"/>
      <c r="X2093" s="153"/>
      <c r="Y2093" s="153"/>
      <c r="Z2093" s="153"/>
    </row>
    <row r="2094" spans="1:26">
      <c r="A2094" s="200"/>
      <c r="B2094" s="200"/>
      <c r="C2094" s="200"/>
      <c r="D2094" s="200"/>
      <c r="E2094" s="200"/>
      <c r="F2094" s="200"/>
      <c r="G2094" s="200"/>
      <c r="H2094" s="192"/>
      <c r="I2094" s="201"/>
      <c r="J2094" s="201"/>
      <c r="K2094" s="201"/>
      <c r="L2094" s="192"/>
      <c r="M2094" s="200"/>
      <c r="N2094" s="200"/>
      <c r="O2094" s="192"/>
      <c r="P2094" s="192"/>
      <c r="Q2094" s="192"/>
      <c r="R2094" s="192"/>
      <c r="S2094" s="200"/>
      <c r="T2094" s="203"/>
      <c r="U2094" s="153"/>
      <c r="V2094" s="153"/>
      <c r="W2094" s="153"/>
      <c r="X2094" s="153"/>
      <c r="Y2094" s="153"/>
      <c r="Z2094" s="153"/>
    </row>
    <row r="2095" spans="1:26">
      <c r="A2095" s="200"/>
      <c r="B2095" s="200"/>
      <c r="C2095" s="200"/>
      <c r="D2095" s="200"/>
      <c r="E2095" s="200"/>
      <c r="F2095" s="200"/>
      <c r="G2095" s="200"/>
      <c r="H2095" s="192"/>
      <c r="I2095" s="201"/>
      <c r="J2095" s="201"/>
      <c r="K2095" s="201"/>
      <c r="L2095" s="192"/>
      <c r="M2095" s="200"/>
      <c r="N2095" s="200"/>
      <c r="O2095" s="192"/>
      <c r="P2095" s="192"/>
      <c r="Q2095" s="192"/>
      <c r="R2095" s="192"/>
      <c r="S2095" s="200"/>
      <c r="T2095" s="203"/>
      <c r="U2095" s="153"/>
      <c r="V2095" s="153"/>
      <c r="W2095" s="153"/>
      <c r="X2095" s="153"/>
      <c r="Y2095" s="153"/>
      <c r="Z2095" s="153"/>
    </row>
    <row r="2096" spans="1:26">
      <c r="A2096" s="200"/>
      <c r="B2096" s="200"/>
      <c r="C2096" s="200"/>
      <c r="D2096" s="200"/>
      <c r="E2096" s="200"/>
      <c r="F2096" s="200"/>
      <c r="G2096" s="200"/>
      <c r="H2096" s="192"/>
      <c r="I2096" s="201"/>
      <c r="J2096" s="201"/>
      <c r="K2096" s="201"/>
      <c r="L2096" s="192"/>
      <c r="M2096" s="200"/>
      <c r="N2096" s="200"/>
      <c r="O2096" s="192"/>
      <c r="P2096" s="192"/>
      <c r="Q2096" s="192"/>
      <c r="R2096" s="192"/>
      <c r="S2096" s="200"/>
      <c r="T2096" s="203"/>
      <c r="U2096" s="153"/>
      <c r="V2096" s="153"/>
      <c r="W2096" s="153"/>
      <c r="X2096" s="153"/>
      <c r="Y2096" s="153"/>
      <c r="Z2096" s="153"/>
    </row>
    <row r="2097" spans="1:26">
      <c r="A2097" s="200"/>
      <c r="B2097" s="200"/>
      <c r="C2097" s="200"/>
      <c r="D2097" s="200"/>
      <c r="E2097" s="200"/>
      <c r="F2097" s="200"/>
      <c r="G2097" s="200"/>
      <c r="H2097" s="192"/>
      <c r="I2097" s="201"/>
      <c r="J2097" s="201"/>
      <c r="K2097" s="201"/>
      <c r="L2097" s="192"/>
      <c r="M2097" s="200"/>
      <c r="N2097" s="200"/>
      <c r="O2097" s="192"/>
      <c r="P2097" s="192"/>
      <c r="Q2097" s="192"/>
      <c r="R2097" s="192"/>
      <c r="S2097" s="200"/>
      <c r="T2097" s="203"/>
      <c r="U2097" s="153"/>
      <c r="V2097" s="153"/>
      <c r="W2097" s="153"/>
      <c r="X2097" s="153"/>
      <c r="Y2097" s="153"/>
      <c r="Z2097" s="153"/>
    </row>
    <row r="2098" spans="1:26">
      <c r="A2098" s="200"/>
      <c r="B2098" s="200"/>
      <c r="C2098" s="200"/>
      <c r="D2098" s="200"/>
      <c r="E2098" s="200"/>
      <c r="F2098" s="200"/>
      <c r="G2098" s="200"/>
      <c r="H2098" s="192"/>
      <c r="I2098" s="201"/>
      <c r="J2098" s="201"/>
      <c r="K2098" s="201"/>
      <c r="L2098" s="192"/>
      <c r="M2098" s="200"/>
      <c r="N2098" s="200"/>
      <c r="O2098" s="192"/>
      <c r="P2098" s="192"/>
      <c r="Q2098" s="192"/>
      <c r="R2098" s="192"/>
      <c r="S2098" s="200"/>
      <c r="T2098" s="203"/>
      <c r="U2098" s="153"/>
      <c r="V2098" s="153"/>
      <c r="W2098" s="153"/>
      <c r="X2098" s="153"/>
      <c r="Y2098" s="153"/>
      <c r="Z2098" s="153"/>
    </row>
    <row r="2099" spans="1:26">
      <c r="A2099" s="200"/>
      <c r="B2099" s="200"/>
      <c r="C2099" s="200"/>
      <c r="D2099" s="200"/>
      <c r="E2099" s="200"/>
      <c r="F2099" s="200"/>
      <c r="G2099" s="200"/>
      <c r="H2099" s="192"/>
      <c r="I2099" s="201"/>
      <c r="J2099" s="201"/>
      <c r="K2099" s="201"/>
      <c r="L2099" s="192"/>
      <c r="M2099" s="200"/>
      <c r="N2099" s="200"/>
      <c r="O2099" s="192"/>
      <c r="P2099" s="192"/>
      <c r="Q2099" s="192"/>
      <c r="R2099" s="192"/>
      <c r="S2099" s="200"/>
      <c r="T2099" s="203"/>
      <c r="U2099" s="153"/>
      <c r="V2099" s="153"/>
      <c r="W2099" s="153"/>
      <c r="X2099" s="153"/>
      <c r="Y2099" s="153"/>
      <c r="Z2099" s="153"/>
    </row>
    <row r="2100" spans="1:26">
      <c r="A2100" s="200"/>
      <c r="B2100" s="200"/>
      <c r="C2100" s="200"/>
      <c r="D2100" s="200"/>
      <c r="E2100" s="200"/>
      <c r="F2100" s="200"/>
      <c r="G2100" s="200"/>
      <c r="H2100" s="192"/>
      <c r="I2100" s="201"/>
      <c r="J2100" s="201"/>
      <c r="K2100" s="201"/>
      <c r="L2100" s="192"/>
      <c r="M2100" s="200"/>
      <c r="N2100" s="200"/>
      <c r="O2100" s="192"/>
      <c r="P2100" s="192"/>
      <c r="Q2100" s="192"/>
      <c r="R2100" s="192"/>
      <c r="S2100" s="200"/>
      <c r="T2100" s="203"/>
      <c r="U2100" s="153"/>
      <c r="V2100" s="153"/>
      <c r="W2100" s="153"/>
      <c r="X2100" s="153"/>
      <c r="Y2100" s="153"/>
      <c r="Z2100" s="153"/>
    </row>
    <row r="2101" spans="1:26">
      <c r="A2101" s="200"/>
      <c r="B2101" s="200"/>
      <c r="C2101" s="200"/>
      <c r="D2101" s="200"/>
      <c r="E2101" s="200"/>
      <c r="F2101" s="200"/>
      <c r="G2101" s="200"/>
      <c r="H2101" s="192"/>
      <c r="I2101" s="201"/>
      <c r="J2101" s="201"/>
      <c r="K2101" s="201"/>
      <c r="L2101" s="192"/>
      <c r="M2101" s="200"/>
      <c r="N2101" s="200"/>
      <c r="O2101" s="192"/>
      <c r="P2101" s="192"/>
      <c r="Q2101" s="192"/>
      <c r="R2101" s="192"/>
      <c r="S2101" s="200"/>
      <c r="T2101" s="203"/>
      <c r="U2101" s="153"/>
      <c r="V2101" s="153"/>
      <c r="W2101" s="153"/>
      <c r="X2101" s="153"/>
      <c r="Y2101" s="153"/>
      <c r="Z2101" s="153"/>
    </row>
    <row r="2102" spans="1:26">
      <c r="A2102" s="200"/>
      <c r="B2102" s="200"/>
      <c r="C2102" s="200"/>
      <c r="D2102" s="200"/>
      <c r="E2102" s="200"/>
      <c r="F2102" s="200"/>
      <c r="G2102" s="200"/>
      <c r="H2102" s="192"/>
      <c r="I2102" s="201"/>
      <c r="J2102" s="201"/>
      <c r="K2102" s="201"/>
      <c r="L2102" s="192"/>
      <c r="M2102" s="200"/>
      <c r="N2102" s="200"/>
      <c r="O2102" s="192"/>
      <c r="P2102" s="192"/>
      <c r="Q2102" s="192"/>
      <c r="R2102" s="192"/>
      <c r="S2102" s="200"/>
      <c r="T2102" s="203"/>
      <c r="U2102" s="153"/>
      <c r="V2102" s="153"/>
      <c r="W2102" s="153"/>
      <c r="X2102" s="153"/>
      <c r="Y2102" s="153"/>
      <c r="Z2102" s="153"/>
    </row>
    <row r="2103" spans="1:26">
      <c r="A2103" s="200"/>
      <c r="B2103" s="200"/>
      <c r="C2103" s="200"/>
      <c r="D2103" s="200"/>
      <c r="E2103" s="200"/>
      <c r="F2103" s="200"/>
      <c r="G2103" s="200"/>
      <c r="H2103" s="192"/>
      <c r="I2103" s="201"/>
      <c r="J2103" s="201"/>
      <c r="K2103" s="201"/>
      <c r="L2103" s="192"/>
      <c r="M2103" s="200"/>
      <c r="N2103" s="200"/>
      <c r="O2103" s="192"/>
      <c r="P2103" s="192"/>
      <c r="Q2103" s="192"/>
      <c r="R2103" s="192"/>
      <c r="S2103" s="200"/>
      <c r="T2103" s="203"/>
      <c r="U2103" s="153"/>
      <c r="V2103" s="153"/>
      <c r="W2103" s="153"/>
      <c r="X2103" s="153"/>
      <c r="Y2103" s="153"/>
      <c r="Z2103" s="153"/>
    </row>
    <row r="2104" spans="1:26">
      <c r="A2104" s="200"/>
      <c r="B2104" s="200"/>
      <c r="C2104" s="200"/>
      <c r="D2104" s="200"/>
      <c r="E2104" s="200"/>
      <c r="F2104" s="200"/>
      <c r="G2104" s="200"/>
      <c r="H2104" s="192"/>
      <c r="I2104" s="201"/>
      <c r="J2104" s="201"/>
      <c r="K2104" s="201"/>
      <c r="L2104" s="192"/>
      <c r="M2104" s="200"/>
      <c r="N2104" s="200"/>
      <c r="O2104" s="192"/>
      <c r="P2104" s="192"/>
      <c r="Q2104" s="192"/>
      <c r="R2104" s="192"/>
      <c r="S2104" s="200"/>
      <c r="T2104" s="203"/>
      <c r="U2104" s="153"/>
      <c r="V2104" s="153"/>
      <c r="W2104" s="153"/>
      <c r="X2104" s="153"/>
      <c r="Y2104" s="153"/>
      <c r="Z2104" s="153"/>
    </row>
    <row r="2105" spans="1:26">
      <c r="A2105" s="200"/>
      <c r="B2105" s="200"/>
      <c r="C2105" s="200"/>
      <c r="D2105" s="200"/>
      <c r="E2105" s="200"/>
      <c r="F2105" s="200"/>
      <c r="G2105" s="200"/>
      <c r="H2105" s="192"/>
      <c r="I2105" s="201"/>
      <c r="J2105" s="201"/>
      <c r="K2105" s="201"/>
      <c r="L2105" s="192"/>
      <c r="M2105" s="200"/>
      <c r="N2105" s="200"/>
      <c r="O2105" s="192"/>
      <c r="P2105" s="192"/>
      <c r="Q2105" s="192"/>
      <c r="R2105" s="192"/>
      <c r="S2105" s="200"/>
      <c r="T2105" s="203"/>
      <c r="U2105" s="153"/>
      <c r="V2105" s="153"/>
      <c r="W2105" s="153"/>
      <c r="X2105" s="153"/>
      <c r="Y2105" s="153"/>
      <c r="Z2105" s="153"/>
    </row>
    <row r="2106" spans="1:26">
      <c r="A2106" s="200"/>
      <c r="B2106" s="200"/>
      <c r="C2106" s="200"/>
      <c r="D2106" s="200"/>
      <c r="E2106" s="200"/>
      <c r="F2106" s="200"/>
      <c r="G2106" s="200"/>
      <c r="H2106" s="192"/>
      <c r="I2106" s="201"/>
      <c r="J2106" s="201"/>
      <c r="K2106" s="201"/>
      <c r="L2106" s="192"/>
      <c r="M2106" s="200"/>
      <c r="N2106" s="200"/>
      <c r="O2106" s="192"/>
      <c r="P2106" s="192"/>
      <c r="Q2106" s="192"/>
      <c r="R2106" s="192"/>
      <c r="S2106" s="200"/>
      <c r="T2106" s="203"/>
      <c r="U2106" s="153"/>
      <c r="V2106" s="153"/>
      <c r="W2106" s="153"/>
      <c r="X2106" s="153"/>
      <c r="Y2106" s="153"/>
      <c r="Z2106" s="153"/>
    </row>
    <row r="2107" spans="1:26">
      <c r="A2107" s="200"/>
      <c r="B2107" s="200"/>
      <c r="C2107" s="200"/>
      <c r="D2107" s="200"/>
      <c r="E2107" s="200"/>
      <c r="F2107" s="200"/>
      <c r="G2107" s="200"/>
      <c r="H2107" s="192"/>
      <c r="I2107" s="201"/>
      <c r="J2107" s="201"/>
      <c r="K2107" s="201"/>
      <c r="L2107" s="192"/>
      <c r="M2107" s="200"/>
      <c r="N2107" s="200"/>
      <c r="O2107" s="192"/>
      <c r="P2107" s="192"/>
      <c r="Q2107" s="192"/>
      <c r="R2107" s="192"/>
      <c r="S2107" s="200"/>
      <c r="T2107" s="203"/>
      <c r="U2107" s="153"/>
      <c r="V2107" s="153"/>
      <c r="W2107" s="153"/>
      <c r="X2107" s="153"/>
      <c r="Y2107" s="153"/>
      <c r="Z2107" s="153"/>
    </row>
    <row r="2108" spans="1:26">
      <c r="A2108" s="200"/>
      <c r="B2108" s="200"/>
      <c r="C2108" s="200"/>
      <c r="D2108" s="200"/>
      <c r="E2108" s="200"/>
      <c r="F2108" s="200"/>
      <c r="G2108" s="200"/>
      <c r="H2108" s="192"/>
      <c r="I2108" s="201"/>
      <c r="J2108" s="201"/>
      <c r="K2108" s="201"/>
      <c r="L2108" s="192"/>
      <c r="M2108" s="200"/>
      <c r="N2108" s="200"/>
      <c r="O2108" s="192"/>
      <c r="P2108" s="192"/>
      <c r="Q2108" s="192"/>
      <c r="R2108" s="192"/>
      <c r="S2108" s="200"/>
      <c r="T2108" s="203"/>
      <c r="U2108" s="153"/>
      <c r="V2108" s="153"/>
      <c r="W2108" s="153"/>
      <c r="X2108" s="153"/>
      <c r="Y2108" s="153"/>
      <c r="Z2108" s="153"/>
    </row>
    <row r="2109" spans="1:26">
      <c r="A2109" s="200"/>
      <c r="B2109" s="200"/>
      <c r="C2109" s="200"/>
      <c r="D2109" s="200"/>
      <c r="E2109" s="200"/>
      <c r="F2109" s="200"/>
      <c r="G2109" s="200"/>
      <c r="H2109" s="192"/>
      <c r="I2109" s="201"/>
      <c r="J2109" s="201"/>
      <c r="K2109" s="201"/>
      <c r="L2109" s="192"/>
      <c r="M2109" s="200"/>
      <c r="N2109" s="200"/>
      <c r="O2109" s="192"/>
      <c r="P2109" s="192"/>
      <c r="Q2109" s="192"/>
      <c r="R2109" s="192"/>
      <c r="S2109" s="200"/>
      <c r="T2109" s="203"/>
      <c r="U2109" s="153"/>
      <c r="V2109" s="153"/>
      <c r="W2109" s="153"/>
      <c r="X2109" s="153"/>
      <c r="Y2109" s="153"/>
      <c r="Z2109" s="153"/>
    </row>
    <row r="2110" spans="1:26">
      <c r="A2110" s="200"/>
      <c r="B2110" s="200"/>
      <c r="C2110" s="200"/>
      <c r="D2110" s="200"/>
      <c r="E2110" s="200"/>
      <c r="F2110" s="200"/>
      <c r="G2110" s="200"/>
      <c r="H2110" s="192"/>
      <c r="I2110" s="201"/>
      <c r="J2110" s="201"/>
      <c r="K2110" s="201"/>
      <c r="L2110" s="192"/>
      <c r="M2110" s="200"/>
      <c r="N2110" s="200"/>
      <c r="O2110" s="192"/>
      <c r="P2110" s="192"/>
      <c r="Q2110" s="192"/>
      <c r="R2110" s="192"/>
      <c r="S2110" s="200"/>
      <c r="T2110" s="203"/>
      <c r="U2110" s="153"/>
      <c r="V2110" s="153"/>
      <c r="W2110" s="153"/>
      <c r="X2110" s="153"/>
      <c r="Y2110" s="153"/>
      <c r="Z2110" s="153"/>
    </row>
    <row r="2111" spans="1:26">
      <c r="A2111" s="200"/>
      <c r="B2111" s="200"/>
      <c r="C2111" s="200"/>
      <c r="D2111" s="200"/>
      <c r="E2111" s="200"/>
      <c r="F2111" s="200"/>
      <c r="G2111" s="200"/>
      <c r="H2111" s="192"/>
      <c r="I2111" s="201"/>
      <c r="J2111" s="201"/>
      <c r="K2111" s="201"/>
      <c r="L2111" s="192"/>
      <c r="M2111" s="200"/>
      <c r="N2111" s="200"/>
      <c r="O2111" s="192"/>
      <c r="P2111" s="192"/>
      <c r="Q2111" s="192"/>
      <c r="R2111" s="192"/>
      <c r="S2111" s="200"/>
      <c r="T2111" s="203"/>
      <c r="U2111" s="153"/>
      <c r="V2111" s="153"/>
      <c r="W2111" s="153"/>
      <c r="X2111" s="153"/>
      <c r="Y2111" s="153"/>
      <c r="Z2111" s="153"/>
    </row>
    <row r="2112" spans="1:26">
      <c r="A2112" s="200"/>
      <c r="B2112" s="200"/>
      <c r="C2112" s="200"/>
      <c r="D2112" s="200"/>
      <c r="E2112" s="200"/>
      <c r="F2112" s="200"/>
      <c r="G2112" s="200"/>
      <c r="H2112" s="192"/>
      <c r="I2112" s="201"/>
      <c r="J2112" s="201"/>
      <c r="K2112" s="201"/>
      <c r="L2112" s="192"/>
      <c r="M2112" s="200"/>
      <c r="N2112" s="200"/>
      <c r="O2112" s="192"/>
      <c r="P2112" s="192"/>
      <c r="Q2112" s="192"/>
      <c r="R2112" s="192"/>
      <c r="S2112" s="200"/>
      <c r="T2112" s="203"/>
      <c r="U2112" s="153"/>
      <c r="V2112" s="153"/>
      <c r="W2112" s="153"/>
      <c r="X2112" s="153"/>
      <c r="Y2112" s="153"/>
      <c r="Z2112" s="153"/>
    </row>
    <row r="2113" spans="1:26">
      <c r="A2113" s="200"/>
      <c r="B2113" s="200"/>
      <c r="C2113" s="200"/>
      <c r="D2113" s="200"/>
      <c r="E2113" s="200"/>
      <c r="F2113" s="200"/>
      <c r="G2113" s="200"/>
      <c r="H2113" s="192"/>
      <c r="I2113" s="201"/>
      <c r="J2113" s="201"/>
      <c r="K2113" s="201"/>
      <c r="L2113" s="192"/>
      <c r="M2113" s="200"/>
      <c r="N2113" s="200"/>
      <c r="O2113" s="192"/>
      <c r="P2113" s="192"/>
      <c r="Q2113" s="192"/>
      <c r="R2113" s="192"/>
      <c r="S2113" s="200"/>
      <c r="T2113" s="203"/>
      <c r="U2113" s="153"/>
      <c r="V2113" s="153"/>
      <c r="W2113" s="153"/>
      <c r="X2113" s="153"/>
      <c r="Y2113" s="153"/>
      <c r="Z2113" s="153"/>
    </row>
    <row r="2114" spans="1:26">
      <c r="A2114" s="200"/>
      <c r="B2114" s="200"/>
      <c r="C2114" s="200"/>
      <c r="D2114" s="200"/>
      <c r="E2114" s="200"/>
      <c r="F2114" s="200"/>
      <c r="G2114" s="200"/>
      <c r="H2114" s="192"/>
      <c r="I2114" s="201"/>
      <c r="J2114" s="201"/>
      <c r="K2114" s="201"/>
      <c r="L2114" s="192"/>
      <c r="M2114" s="200"/>
      <c r="N2114" s="200"/>
      <c r="O2114" s="192"/>
      <c r="P2114" s="192"/>
      <c r="Q2114" s="192"/>
      <c r="R2114" s="192"/>
      <c r="S2114" s="200"/>
      <c r="T2114" s="203"/>
      <c r="U2114" s="153"/>
      <c r="V2114" s="153"/>
      <c r="W2114" s="153"/>
      <c r="X2114" s="153"/>
      <c r="Y2114" s="153"/>
      <c r="Z2114" s="153"/>
    </row>
    <row r="2115" spans="1:26">
      <c r="A2115" s="200"/>
      <c r="B2115" s="200"/>
      <c r="C2115" s="200"/>
      <c r="D2115" s="200"/>
      <c r="E2115" s="200"/>
      <c r="F2115" s="200"/>
      <c r="G2115" s="200"/>
      <c r="H2115" s="192"/>
      <c r="I2115" s="201"/>
      <c r="J2115" s="201"/>
      <c r="K2115" s="201"/>
      <c r="L2115" s="192"/>
      <c r="M2115" s="200"/>
      <c r="N2115" s="200"/>
      <c r="O2115" s="192"/>
      <c r="P2115" s="192"/>
      <c r="Q2115" s="192"/>
      <c r="R2115" s="192"/>
      <c r="S2115" s="200"/>
      <c r="T2115" s="203"/>
      <c r="U2115" s="153"/>
      <c r="V2115" s="153"/>
      <c r="W2115" s="153"/>
      <c r="X2115" s="153"/>
      <c r="Y2115" s="153"/>
      <c r="Z2115" s="153"/>
    </row>
    <row r="2116" spans="1:26">
      <c r="A2116" s="200"/>
      <c r="B2116" s="200"/>
      <c r="C2116" s="200"/>
      <c r="D2116" s="200"/>
      <c r="E2116" s="200"/>
      <c r="F2116" s="200"/>
      <c r="G2116" s="200"/>
      <c r="H2116" s="192"/>
      <c r="I2116" s="201"/>
      <c r="J2116" s="201"/>
      <c r="K2116" s="201"/>
      <c r="L2116" s="192"/>
      <c r="M2116" s="200"/>
      <c r="N2116" s="200"/>
      <c r="O2116" s="192"/>
      <c r="P2116" s="192"/>
      <c r="Q2116" s="192"/>
      <c r="R2116" s="192"/>
      <c r="S2116" s="200"/>
      <c r="T2116" s="203"/>
      <c r="U2116" s="153"/>
      <c r="V2116" s="153"/>
      <c r="W2116" s="153"/>
      <c r="X2116" s="153"/>
      <c r="Y2116" s="153"/>
      <c r="Z2116" s="153"/>
    </row>
    <row r="2117" spans="1:26">
      <c r="A2117" s="200"/>
      <c r="B2117" s="200"/>
      <c r="C2117" s="200"/>
      <c r="D2117" s="200"/>
      <c r="E2117" s="200"/>
      <c r="F2117" s="200"/>
      <c r="G2117" s="200"/>
      <c r="H2117" s="192"/>
      <c r="I2117" s="201"/>
      <c r="J2117" s="201"/>
      <c r="K2117" s="201"/>
      <c r="L2117" s="192"/>
      <c r="M2117" s="200"/>
      <c r="N2117" s="200"/>
      <c r="O2117" s="192"/>
      <c r="P2117" s="192"/>
      <c r="Q2117" s="192"/>
      <c r="R2117" s="192"/>
      <c r="S2117" s="200"/>
      <c r="T2117" s="203"/>
      <c r="U2117" s="153"/>
      <c r="V2117" s="153"/>
      <c r="W2117" s="153"/>
      <c r="X2117" s="153"/>
      <c r="Y2117" s="153"/>
      <c r="Z2117" s="153"/>
    </row>
    <row r="2118" spans="1:26">
      <c r="A2118" s="200"/>
      <c r="B2118" s="200"/>
      <c r="C2118" s="200"/>
      <c r="D2118" s="200"/>
      <c r="E2118" s="200"/>
      <c r="F2118" s="200"/>
      <c r="G2118" s="200"/>
      <c r="H2118" s="192"/>
      <c r="I2118" s="201"/>
      <c r="J2118" s="201"/>
      <c r="K2118" s="201"/>
      <c r="L2118" s="192"/>
      <c r="M2118" s="200"/>
      <c r="N2118" s="200"/>
      <c r="O2118" s="192"/>
      <c r="P2118" s="192"/>
      <c r="Q2118" s="192"/>
      <c r="R2118" s="192"/>
      <c r="S2118" s="200"/>
      <c r="T2118" s="203"/>
      <c r="U2118" s="153"/>
      <c r="V2118" s="153"/>
      <c r="W2118" s="153"/>
      <c r="X2118" s="153"/>
      <c r="Y2118" s="153"/>
      <c r="Z2118" s="153"/>
    </row>
    <row r="2119" spans="1:26">
      <c r="A2119" s="200"/>
      <c r="B2119" s="200"/>
      <c r="C2119" s="200"/>
      <c r="D2119" s="200"/>
      <c r="E2119" s="200"/>
      <c r="F2119" s="200"/>
      <c r="G2119" s="200"/>
      <c r="H2119" s="192"/>
      <c r="I2119" s="201"/>
      <c r="J2119" s="201"/>
      <c r="K2119" s="201"/>
      <c r="L2119" s="192"/>
      <c r="M2119" s="200"/>
      <c r="N2119" s="200"/>
      <c r="O2119" s="192"/>
      <c r="P2119" s="192"/>
      <c r="Q2119" s="192"/>
      <c r="R2119" s="192"/>
      <c r="S2119" s="200"/>
      <c r="T2119" s="203"/>
      <c r="U2119" s="153"/>
      <c r="V2119" s="153"/>
      <c r="W2119" s="153"/>
      <c r="X2119" s="153"/>
      <c r="Y2119" s="153"/>
      <c r="Z2119" s="153"/>
    </row>
    <row r="2120" spans="1:26">
      <c r="A2120" s="200"/>
      <c r="B2120" s="200"/>
      <c r="C2120" s="200"/>
      <c r="D2120" s="200"/>
      <c r="E2120" s="200"/>
      <c r="F2120" s="200"/>
      <c r="G2120" s="200"/>
      <c r="H2120" s="192"/>
      <c r="I2120" s="201"/>
      <c r="J2120" s="201"/>
      <c r="K2120" s="201"/>
      <c r="L2120" s="192"/>
      <c r="M2120" s="200"/>
      <c r="N2120" s="200"/>
      <c r="O2120" s="192"/>
      <c r="P2120" s="192"/>
      <c r="Q2120" s="192"/>
      <c r="R2120" s="192"/>
      <c r="S2120" s="200"/>
      <c r="T2120" s="203"/>
      <c r="U2120" s="153"/>
      <c r="V2120" s="153"/>
      <c r="W2120" s="153"/>
      <c r="X2120" s="153"/>
      <c r="Y2120" s="153"/>
      <c r="Z2120" s="153"/>
    </row>
    <row r="2121" spans="1:26">
      <c r="A2121" s="200"/>
      <c r="B2121" s="200"/>
      <c r="C2121" s="200"/>
      <c r="D2121" s="200"/>
      <c r="E2121" s="200"/>
      <c r="F2121" s="200"/>
      <c r="G2121" s="200"/>
      <c r="H2121" s="192"/>
      <c r="I2121" s="201"/>
      <c r="J2121" s="201"/>
      <c r="K2121" s="201"/>
      <c r="L2121" s="192"/>
      <c r="M2121" s="200"/>
      <c r="N2121" s="200"/>
      <c r="O2121" s="192"/>
      <c r="P2121" s="192"/>
      <c r="Q2121" s="192"/>
      <c r="R2121" s="192"/>
      <c r="S2121" s="200"/>
      <c r="T2121" s="203"/>
      <c r="U2121" s="153"/>
      <c r="V2121" s="153"/>
      <c r="W2121" s="153"/>
      <c r="X2121" s="153"/>
      <c r="Y2121" s="153"/>
      <c r="Z2121" s="153"/>
    </row>
    <row r="2122" spans="1:26">
      <c r="A2122" s="200"/>
      <c r="B2122" s="200"/>
      <c r="C2122" s="200"/>
      <c r="D2122" s="200"/>
      <c r="E2122" s="200"/>
      <c r="F2122" s="200"/>
      <c r="G2122" s="200"/>
      <c r="H2122" s="192"/>
      <c r="I2122" s="201"/>
      <c r="J2122" s="201"/>
      <c r="K2122" s="201"/>
      <c r="L2122" s="192"/>
      <c r="M2122" s="200"/>
      <c r="N2122" s="200"/>
      <c r="O2122" s="192"/>
      <c r="P2122" s="192"/>
      <c r="Q2122" s="192"/>
      <c r="R2122" s="192"/>
      <c r="S2122" s="200"/>
      <c r="T2122" s="203"/>
      <c r="U2122" s="153"/>
      <c r="V2122" s="153"/>
      <c r="W2122" s="153"/>
      <c r="X2122" s="153"/>
      <c r="Y2122" s="153"/>
      <c r="Z2122" s="153"/>
    </row>
    <row r="2123" spans="1:26">
      <c r="A2123" s="200"/>
      <c r="B2123" s="200"/>
      <c r="C2123" s="200"/>
      <c r="D2123" s="200"/>
      <c r="E2123" s="200"/>
      <c r="F2123" s="200"/>
      <c r="G2123" s="200"/>
      <c r="H2123" s="192"/>
      <c r="I2123" s="201"/>
      <c r="J2123" s="201"/>
      <c r="K2123" s="201"/>
      <c r="L2123" s="192"/>
      <c r="M2123" s="200"/>
      <c r="N2123" s="200"/>
      <c r="O2123" s="192"/>
      <c r="P2123" s="192"/>
      <c r="Q2123" s="192"/>
      <c r="R2123" s="192"/>
      <c r="S2123" s="200"/>
      <c r="T2123" s="203"/>
      <c r="U2123" s="153"/>
      <c r="V2123" s="153"/>
      <c r="W2123" s="153"/>
      <c r="X2123" s="153"/>
      <c r="Y2123" s="153"/>
      <c r="Z2123" s="153"/>
    </row>
    <row r="2124" spans="1:26">
      <c r="A2124" s="200"/>
      <c r="B2124" s="200"/>
      <c r="C2124" s="200"/>
      <c r="D2124" s="200"/>
      <c r="E2124" s="200"/>
      <c r="F2124" s="200"/>
      <c r="G2124" s="200"/>
      <c r="H2124" s="192"/>
      <c r="I2124" s="201"/>
      <c r="J2124" s="201"/>
      <c r="K2124" s="201"/>
      <c r="L2124" s="192"/>
      <c r="M2124" s="200"/>
      <c r="N2124" s="200"/>
      <c r="O2124" s="192"/>
      <c r="P2124" s="192"/>
      <c r="Q2124" s="192"/>
      <c r="R2124" s="192"/>
      <c r="S2124" s="200"/>
      <c r="T2124" s="203"/>
      <c r="U2124" s="153"/>
      <c r="V2124" s="153"/>
      <c r="W2124" s="153"/>
      <c r="X2124" s="153"/>
      <c r="Y2124" s="153"/>
      <c r="Z2124" s="153"/>
    </row>
    <row r="2125" spans="1:26">
      <c r="A2125" s="200"/>
      <c r="B2125" s="200"/>
      <c r="C2125" s="200"/>
      <c r="D2125" s="200"/>
      <c r="E2125" s="200"/>
      <c r="F2125" s="200"/>
      <c r="G2125" s="200"/>
      <c r="H2125" s="192"/>
      <c r="I2125" s="201"/>
      <c r="J2125" s="201"/>
      <c r="K2125" s="201"/>
      <c r="L2125" s="192"/>
      <c r="M2125" s="200"/>
      <c r="N2125" s="200"/>
      <c r="O2125" s="192"/>
      <c r="P2125" s="192"/>
      <c r="Q2125" s="192"/>
      <c r="R2125" s="192"/>
      <c r="S2125" s="200"/>
      <c r="T2125" s="203"/>
      <c r="U2125" s="153"/>
      <c r="V2125" s="153"/>
      <c r="W2125" s="153"/>
      <c r="X2125" s="153"/>
      <c r="Y2125" s="153"/>
      <c r="Z2125" s="153"/>
    </row>
    <row r="2126" spans="1:26">
      <c r="A2126" s="200"/>
      <c r="B2126" s="200"/>
      <c r="C2126" s="200"/>
      <c r="D2126" s="200"/>
      <c r="E2126" s="200"/>
      <c r="F2126" s="200"/>
      <c r="G2126" s="200"/>
      <c r="H2126" s="192"/>
      <c r="I2126" s="201"/>
      <c r="J2126" s="201"/>
      <c r="K2126" s="201"/>
      <c r="L2126" s="192"/>
      <c r="M2126" s="200"/>
      <c r="N2126" s="200"/>
      <c r="O2126" s="192"/>
      <c r="P2126" s="192"/>
      <c r="Q2126" s="192"/>
      <c r="R2126" s="192"/>
      <c r="S2126" s="200"/>
      <c r="T2126" s="203"/>
      <c r="U2126" s="153"/>
      <c r="V2126" s="153"/>
      <c r="W2126" s="153"/>
      <c r="X2126" s="153"/>
      <c r="Y2126" s="153"/>
      <c r="Z2126" s="153"/>
    </row>
    <row r="2127" spans="1:26">
      <c r="A2127" s="200"/>
      <c r="B2127" s="200"/>
      <c r="C2127" s="200"/>
      <c r="D2127" s="200"/>
      <c r="E2127" s="200"/>
      <c r="F2127" s="200"/>
      <c r="G2127" s="200"/>
      <c r="H2127" s="192"/>
      <c r="I2127" s="201"/>
      <c r="J2127" s="201"/>
      <c r="K2127" s="201"/>
      <c r="L2127" s="192"/>
      <c r="M2127" s="200"/>
      <c r="N2127" s="200"/>
      <c r="O2127" s="192"/>
      <c r="P2127" s="192"/>
      <c r="Q2127" s="192"/>
      <c r="R2127" s="192"/>
      <c r="S2127" s="200"/>
      <c r="T2127" s="203"/>
      <c r="U2127" s="153"/>
      <c r="V2127" s="153"/>
      <c r="W2127" s="153"/>
      <c r="X2127" s="153"/>
      <c r="Y2127" s="153"/>
      <c r="Z2127" s="153"/>
    </row>
    <row r="2128" spans="1:26">
      <c r="A2128" s="200"/>
      <c r="B2128" s="200"/>
      <c r="C2128" s="200"/>
      <c r="D2128" s="200"/>
      <c r="E2128" s="200"/>
      <c r="F2128" s="200"/>
      <c r="G2128" s="200"/>
      <c r="H2128" s="192"/>
      <c r="I2128" s="201"/>
      <c r="J2128" s="201"/>
      <c r="K2128" s="201"/>
      <c r="L2128" s="192"/>
      <c r="M2128" s="200"/>
      <c r="N2128" s="200"/>
      <c r="O2128" s="192"/>
      <c r="P2128" s="192"/>
      <c r="Q2128" s="192"/>
      <c r="R2128" s="192"/>
      <c r="S2128" s="200"/>
      <c r="T2128" s="203"/>
      <c r="U2128" s="153"/>
      <c r="V2128" s="153"/>
      <c r="W2128" s="153"/>
      <c r="X2128" s="153"/>
      <c r="Y2128" s="153"/>
      <c r="Z2128" s="153"/>
    </row>
    <row r="2129" spans="1:26">
      <c r="A2129" s="200"/>
      <c r="B2129" s="200"/>
      <c r="C2129" s="200"/>
      <c r="D2129" s="200"/>
      <c r="E2129" s="200"/>
      <c r="F2129" s="200"/>
      <c r="G2129" s="200"/>
      <c r="H2129" s="192"/>
      <c r="I2129" s="201"/>
      <c r="J2129" s="201"/>
      <c r="K2129" s="201"/>
      <c r="L2129" s="192"/>
      <c r="M2129" s="200"/>
      <c r="N2129" s="200"/>
      <c r="O2129" s="192"/>
      <c r="P2129" s="192"/>
      <c r="Q2129" s="192"/>
      <c r="R2129" s="192"/>
      <c r="S2129" s="200"/>
      <c r="T2129" s="203"/>
      <c r="U2129" s="153"/>
      <c r="V2129" s="153"/>
      <c r="W2129" s="153"/>
      <c r="X2129" s="153"/>
      <c r="Y2129" s="153"/>
      <c r="Z2129" s="153"/>
    </row>
    <row r="2130" spans="1:26">
      <c r="A2130" s="200"/>
      <c r="B2130" s="200"/>
      <c r="C2130" s="200"/>
      <c r="D2130" s="200"/>
      <c r="E2130" s="200"/>
      <c r="F2130" s="200"/>
      <c r="G2130" s="200"/>
      <c r="H2130" s="192"/>
      <c r="I2130" s="201"/>
      <c r="J2130" s="201"/>
      <c r="K2130" s="201"/>
      <c r="L2130" s="192"/>
      <c r="M2130" s="200"/>
      <c r="N2130" s="200"/>
      <c r="O2130" s="192"/>
      <c r="P2130" s="192"/>
      <c r="Q2130" s="192"/>
      <c r="R2130" s="192"/>
      <c r="S2130" s="200"/>
      <c r="T2130" s="203"/>
      <c r="U2130" s="153"/>
      <c r="V2130" s="153"/>
      <c r="W2130" s="153"/>
      <c r="X2130" s="153"/>
      <c r="Y2130" s="153"/>
      <c r="Z2130" s="153"/>
    </row>
    <row r="2131" spans="1:26">
      <c r="A2131" s="200"/>
      <c r="B2131" s="200"/>
      <c r="C2131" s="200"/>
      <c r="D2131" s="200"/>
      <c r="E2131" s="200"/>
      <c r="F2131" s="200"/>
      <c r="G2131" s="200"/>
      <c r="H2131" s="192"/>
      <c r="I2131" s="201"/>
      <c r="J2131" s="201"/>
      <c r="K2131" s="201"/>
      <c r="L2131" s="192"/>
      <c r="M2131" s="200"/>
      <c r="N2131" s="200"/>
      <c r="O2131" s="192"/>
      <c r="P2131" s="192"/>
      <c r="Q2131" s="192"/>
      <c r="R2131" s="192"/>
      <c r="S2131" s="200"/>
      <c r="T2131" s="203"/>
      <c r="U2131" s="153"/>
      <c r="V2131" s="153"/>
      <c r="W2131" s="153"/>
      <c r="X2131" s="153"/>
      <c r="Y2131" s="153"/>
      <c r="Z2131" s="153"/>
    </row>
    <row r="2132" spans="1:26">
      <c r="A2132" s="200"/>
      <c r="B2132" s="200"/>
      <c r="C2132" s="200"/>
      <c r="D2132" s="200"/>
      <c r="E2132" s="200"/>
      <c r="F2132" s="200"/>
      <c r="G2132" s="200"/>
      <c r="H2132" s="192"/>
      <c r="I2132" s="201"/>
      <c r="J2132" s="201"/>
      <c r="K2132" s="201"/>
      <c r="L2132" s="192"/>
      <c r="M2132" s="200"/>
      <c r="N2132" s="200"/>
      <c r="O2132" s="192"/>
      <c r="P2132" s="192"/>
      <c r="Q2132" s="192"/>
      <c r="R2132" s="192"/>
      <c r="S2132" s="200"/>
      <c r="T2132" s="203"/>
      <c r="U2132" s="153"/>
      <c r="V2132" s="153"/>
      <c r="W2132" s="153"/>
      <c r="X2132" s="153"/>
      <c r="Y2132" s="153"/>
      <c r="Z2132" s="153"/>
    </row>
    <row r="2133" spans="1:26">
      <c r="A2133" s="200"/>
      <c r="B2133" s="200"/>
      <c r="C2133" s="200"/>
      <c r="D2133" s="200"/>
      <c r="E2133" s="200"/>
      <c r="F2133" s="200"/>
      <c r="G2133" s="200"/>
      <c r="H2133" s="192"/>
      <c r="I2133" s="201"/>
      <c r="J2133" s="201"/>
      <c r="K2133" s="201"/>
      <c r="L2133" s="192"/>
      <c r="M2133" s="200"/>
      <c r="N2133" s="200"/>
      <c r="O2133" s="192"/>
      <c r="P2133" s="192"/>
      <c r="Q2133" s="192"/>
      <c r="R2133" s="192"/>
      <c r="S2133" s="200"/>
      <c r="T2133" s="203"/>
      <c r="U2133" s="153"/>
      <c r="V2133" s="153"/>
      <c r="W2133" s="153"/>
      <c r="X2133" s="153"/>
      <c r="Y2133" s="153"/>
      <c r="Z2133" s="153"/>
    </row>
    <row r="2134" spans="1:26">
      <c r="A2134" s="200"/>
      <c r="B2134" s="200"/>
      <c r="C2134" s="200"/>
      <c r="D2134" s="200"/>
      <c r="E2134" s="200"/>
      <c r="F2134" s="200"/>
      <c r="G2134" s="200"/>
      <c r="H2134" s="192"/>
      <c r="I2134" s="201"/>
      <c r="J2134" s="201"/>
      <c r="K2134" s="201"/>
      <c r="L2134" s="192"/>
      <c r="M2134" s="200"/>
      <c r="N2134" s="200"/>
      <c r="O2134" s="192"/>
      <c r="P2134" s="192"/>
      <c r="Q2134" s="192"/>
      <c r="R2134" s="192"/>
      <c r="S2134" s="200"/>
      <c r="T2134" s="203"/>
      <c r="U2134" s="153"/>
      <c r="V2134" s="153"/>
      <c r="W2134" s="153"/>
      <c r="X2134" s="153"/>
      <c r="Y2134" s="153"/>
      <c r="Z2134" s="153"/>
    </row>
    <row r="2135" spans="1:26">
      <c r="A2135" s="200"/>
      <c r="B2135" s="200"/>
      <c r="C2135" s="200"/>
      <c r="D2135" s="200"/>
      <c r="E2135" s="200"/>
      <c r="F2135" s="200"/>
      <c r="G2135" s="200"/>
      <c r="H2135" s="192"/>
      <c r="I2135" s="201"/>
      <c r="J2135" s="201"/>
      <c r="K2135" s="201"/>
      <c r="L2135" s="192"/>
      <c r="M2135" s="200"/>
      <c r="N2135" s="200"/>
      <c r="O2135" s="192"/>
      <c r="P2135" s="192"/>
      <c r="Q2135" s="192"/>
      <c r="R2135" s="192"/>
      <c r="S2135" s="200"/>
      <c r="T2135" s="203"/>
      <c r="U2135" s="153"/>
      <c r="V2135" s="153"/>
      <c r="W2135" s="153"/>
      <c r="X2135" s="153"/>
      <c r="Y2135" s="153"/>
      <c r="Z2135" s="153"/>
    </row>
    <row r="2136" spans="1:26">
      <c r="A2136" s="200"/>
      <c r="B2136" s="200"/>
      <c r="C2136" s="200"/>
      <c r="D2136" s="200"/>
      <c r="E2136" s="200"/>
      <c r="F2136" s="200"/>
      <c r="G2136" s="200"/>
      <c r="H2136" s="192"/>
      <c r="I2136" s="201"/>
      <c r="J2136" s="201"/>
      <c r="K2136" s="201"/>
      <c r="L2136" s="192"/>
      <c r="M2136" s="200"/>
      <c r="N2136" s="200"/>
      <c r="O2136" s="192"/>
      <c r="P2136" s="192"/>
      <c r="Q2136" s="192"/>
      <c r="R2136" s="192"/>
      <c r="S2136" s="200"/>
      <c r="T2136" s="203"/>
      <c r="U2136" s="153"/>
      <c r="V2136" s="153"/>
      <c r="W2136" s="153"/>
      <c r="X2136" s="153"/>
      <c r="Y2136" s="153"/>
      <c r="Z2136" s="153"/>
    </row>
    <row r="2137" spans="1:26">
      <c r="A2137" s="200"/>
      <c r="B2137" s="200"/>
      <c r="C2137" s="200"/>
      <c r="D2137" s="200"/>
      <c r="E2137" s="200"/>
      <c r="F2137" s="200"/>
      <c r="G2137" s="200"/>
      <c r="H2137" s="192"/>
      <c r="I2137" s="201"/>
      <c r="J2137" s="201"/>
      <c r="K2137" s="201"/>
      <c r="L2137" s="192"/>
      <c r="M2137" s="200"/>
      <c r="N2137" s="200"/>
      <c r="O2137" s="192"/>
      <c r="P2137" s="192"/>
      <c r="Q2137" s="192"/>
      <c r="R2137" s="192"/>
      <c r="S2137" s="200"/>
      <c r="T2137" s="203"/>
      <c r="U2137" s="153"/>
      <c r="V2137" s="153"/>
      <c r="W2137" s="153"/>
      <c r="X2137" s="153"/>
      <c r="Y2137" s="153"/>
      <c r="Z2137" s="153"/>
    </row>
    <row r="2138" spans="1:26">
      <c r="A2138" s="200"/>
      <c r="B2138" s="200"/>
      <c r="C2138" s="200"/>
      <c r="D2138" s="200"/>
      <c r="E2138" s="200"/>
      <c r="F2138" s="200"/>
      <c r="G2138" s="200"/>
      <c r="H2138" s="192"/>
      <c r="I2138" s="201"/>
      <c r="J2138" s="201"/>
      <c r="K2138" s="201"/>
      <c r="L2138" s="192"/>
      <c r="M2138" s="200"/>
      <c r="N2138" s="200"/>
      <c r="O2138" s="192"/>
      <c r="P2138" s="192"/>
      <c r="Q2138" s="192"/>
      <c r="R2138" s="192"/>
      <c r="S2138" s="200"/>
      <c r="T2138" s="203"/>
      <c r="U2138" s="153"/>
      <c r="V2138" s="153"/>
      <c r="W2138" s="153"/>
      <c r="X2138" s="153"/>
      <c r="Y2138" s="153"/>
      <c r="Z2138" s="153"/>
    </row>
    <row r="2139" spans="1:26">
      <c r="A2139" s="200"/>
      <c r="B2139" s="200"/>
      <c r="C2139" s="200"/>
      <c r="D2139" s="200"/>
      <c r="E2139" s="200"/>
      <c r="F2139" s="200"/>
      <c r="G2139" s="200"/>
      <c r="H2139" s="192"/>
      <c r="I2139" s="201"/>
      <c r="J2139" s="201"/>
      <c r="K2139" s="201"/>
      <c r="L2139" s="192"/>
      <c r="M2139" s="200"/>
      <c r="N2139" s="200"/>
      <c r="O2139" s="192"/>
      <c r="P2139" s="192"/>
      <c r="Q2139" s="192"/>
      <c r="R2139" s="192"/>
      <c r="S2139" s="200"/>
      <c r="T2139" s="203"/>
      <c r="U2139" s="153"/>
      <c r="V2139" s="153"/>
      <c r="W2139" s="153"/>
      <c r="X2139" s="153"/>
      <c r="Y2139" s="153"/>
      <c r="Z2139" s="153"/>
    </row>
    <row r="2140" spans="1:26">
      <c r="A2140" s="200"/>
      <c r="B2140" s="200"/>
      <c r="C2140" s="200"/>
      <c r="D2140" s="200"/>
      <c r="E2140" s="200"/>
      <c r="F2140" s="200"/>
      <c r="G2140" s="200"/>
      <c r="H2140" s="192"/>
      <c r="I2140" s="201"/>
      <c r="J2140" s="201"/>
      <c r="K2140" s="201"/>
      <c r="L2140" s="192"/>
      <c r="M2140" s="200"/>
      <c r="N2140" s="200"/>
      <c r="O2140" s="192"/>
      <c r="P2140" s="192"/>
      <c r="Q2140" s="192"/>
      <c r="R2140" s="192"/>
      <c r="S2140" s="200"/>
      <c r="T2140" s="203"/>
      <c r="U2140" s="153"/>
      <c r="V2140" s="153"/>
      <c r="W2140" s="153"/>
      <c r="X2140" s="153"/>
      <c r="Y2140" s="153"/>
      <c r="Z2140" s="153"/>
    </row>
    <row r="2141" spans="1:26">
      <c r="A2141" s="200"/>
      <c r="B2141" s="200"/>
      <c r="C2141" s="200"/>
      <c r="D2141" s="200"/>
      <c r="E2141" s="200"/>
      <c r="F2141" s="200"/>
      <c r="G2141" s="200"/>
      <c r="H2141" s="192"/>
      <c r="I2141" s="201"/>
      <c r="J2141" s="201"/>
      <c r="K2141" s="201"/>
      <c r="L2141" s="192"/>
      <c r="M2141" s="200"/>
      <c r="N2141" s="200"/>
      <c r="O2141" s="192"/>
      <c r="P2141" s="192"/>
      <c r="Q2141" s="192"/>
      <c r="R2141" s="192"/>
      <c r="S2141" s="200"/>
      <c r="T2141" s="203"/>
      <c r="U2141" s="153"/>
      <c r="V2141" s="153"/>
      <c r="W2141" s="153"/>
      <c r="X2141" s="153"/>
      <c r="Y2141" s="153"/>
      <c r="Z2141" s="153"/>
    </row>
    <row r="2142" spans="1:26">
      <c r="A2142" s="200"/>
      <c r="B2142" s="200"/>
      <c r="C2142" s="200"/>
      <c r="D2142" s="200"/>
      <c r="E2142" s="200"/>
      <c r="F2142" s="200"/>
      <c r="G2142" s="200"/>
      <c r="H2142" s="192"/>
      <c r="I2142" s="201"/>
      <c r="J2142" s="201"/>
      <c r="K2142" s="201"/>
      <c r="L2142" s="192"/>
      <c r="M2142" s="200"/>
      <c r="N2142" s="200"/>
      <c r="O2142" s="192"/>
      <c r="P2142" s="192"/>
      <c r="Q2142" s="192"/>
      <c r="R2142" s="192"/>
      <c r="S2142" s="200"/>
      <c r="T2142" s="203"/>
      <c r="U2142" s="153"/>
      <c r="V2142" s="153"/>
      <c r="W2142" s="153"/>
      <c r="X2142" s="153"/>
      <c r="Y2142" s="153"/>
      <c r="Z2142" s="153"/>
    </row>
    <row r="2143" spans="1:26">
      <c r="A2143" s="200"/>
      <c r="B2143" s="200"/>
      <c r="C2143" s="200"/>
      <c r="D2143" s="200"/>
      <c r="E2143" s="200"/>
      <c r="F2143" s="200"/>
      <c r="G2143" s="200"/>
      <c r="H2143" s="192"/>
      <c r="I2143" s="201"/>
      <c r="J2143" s="201"/>
      <c r="K2143" s="201"/>
      <c r="L2143" s="192"/>
      <c r="M2143" s="200"/>
      <c r="N2143" s="200"/>
      <c r="O2143" s="192"/>
      <c r="P2143" s="192"/>
      <c r="Q2143" s="192"/>
      <c r="R2143" s="192"/>
      <c r="S2143" s="200"/>
      <c r="T2143" s="203"/>
      <c r="U2143" s="153"/>
      <c r="V2143" s="153"/>
      <c r="W2143" s="153"/>
      <c r="X2143" s="153"/>
      <c r="Y2143" s="153"/>
      <c r="Z2143" s="153"/>
    </row>
    <row r="2144" spans="1:26">
      <c r="A2144" s="200"/>
      <c r="B2144" s="200"/>
      <c r="C2144" s="200"/>
      <c r="D2144" s="200"/>
      <c r="E2144" s="200"/>
      <c r="F2144" s="200"/>
      <c r="G2144" s="200"/>
      <c r="H2144" s="192"/>
      <c r="I2144" s="201"/>
      <c r="J2144" s="201"/>
      <c r="K2144" s="201"/>
      <c r="L2144" s="192"/>
      <c r="M2144" s="200"/>
      <c r="N2144" s="200"/>
      <c r="O2144" s="192"/>
      <c r="P2144" s="192"/>
      <c r="Q2144" s="192"/>
      <c r="R2144" s="192"/>
      <c r="S2144" s="200"/>
      <c r="T2144" s="203"/>
      <c r="U2144" s="153"/>
      <c r="V2144" s="153"/>
      <c r="W2144" s="153"/>
      <c r="X2144" s="153"/>
      <c r="Y2144" s="153"/>
      <c r="Z2144" s="153"/>
    </row>
    <row r="2145" spans="1:26">
      <c r="A2145" s="200"/>
      <c r="B2145" s="200"/>
      <c r="C2145" s="200"/>
      <c r="D2145" s="200"/>
      <c r="E2145" s="200"/>
      <c r="F2145" s="200"/>
      <c r="G2145" s="200"/>
      <c r="H2145" s="192"/>
      <c r="I2145" s="201"/>
      <c r="J2145" s="201"/>
      <c r="K2145" s="201"/>
      <c r="L2145" s="192"/>
      <c r="M2145" s="200"/>
      <c r="N2145" s="200"/>
      <c r="O2145" s="192"/>
      <c r="P2145" s="192"/>
      <c r="Q2145" s="192"/>
      <c r="R2145" s="192"/>
      <c r="S2145" s="200"/>
      <c r="T2145" s="203"/>
      <c r="U2145" s="153"/>
      <c r="V2145" s="153"/>
      <c r="W2145" s="153"/>
      <c r="X2145" s="153"/>
      <c r="Y2145" s="153"/>
      <c r="Z2145" s="153"/>
    </row>
    <row r="2146" spans="1:26">
      <c r="A2146" s="200"/>
      <c r="B2146" s="200"/>
      <c r="C2146" s="200"/>
      <c r="D2146" s="200"/>
      <c r="E2146" s="200"/>
      <c r="F2146" s="200"/>
      <c r="G2146" s="200"/>
      <c r="H2146" s="192"/>
      <c r="I2146" s="201"/>
      <c r="J2146" s="201"/>
      <c r="K2146" s="201"/>
      <c r="L2146" s="192"/>
      <c r="M2146" s="200"/>
      <c r="N2146" s="200"/>
      <c r="O2146" s="192"/>
      <c r="P2146" s="192"/>
      <c r="Q2146" s="192"/>
      <c r="R2146" s="192"/>
      <c r="S2146" s="200"/>
      <c r="T2146" s="203"/>
      <c r="U2146" s="153"/>
      <c r="V2146" s="153"/>
      <c r="W2146" s="153"/>
      <c r="X2146" s="153"/>
      <c r="Y2146" s="153"/>
      <c r="Z2146" s="153"/>
    </row>
    <row r="2147" spans="1:26">
      <c r="A2147" s="200"/>
      <c r="B2147" s="200"/>
      <c r="C2147" s="200"/>
      <c r="D2147" s="200"/>
      <c r="E2147" s="200"/>
      <c r="F2147" s="200"/>
      <c r="G2147" s="200"/>
      <c r="H2147" s="192"/>
      <c r="I2147" s="201"/>
      <c r="J2147" s="201"/>
      <c r="K2147" s="201"/>
      <c r="L2147" s="192"/>
      <c r="M2147" s="200"/>
      <c r="N2147" s="200"/>
      <c r="O2147" s="192"/>
      <c r="P2147" s="192"/>
      <c r="Q2147" s="192"/>
      <c r="R2147" s="192"/>
      <c r="S2147" s="200"/>
      <c r="T2147" s="203"/>
      <c r="U2147" s="153"/>
      <c r="V2147" s="153"/>
      <c r="W2147" s="153"/>
      <c r="X2147" s="153"/>
      <c r="Y2147" s="153"/>
      <c r="Z2147" s="153"/>
    </row>
    <row r="2148" spans="1:26">
      <c r="A2148" s="200"/>
      <c r="B2148" s="200"/>
      <c r="C2148" s="200"/>
      <c r="D2148" s="200"/>
      <c r="E2148" s="200"/>
      <c r="F2148" s="200"/>
      <c r="G2148" s="200"/>
      <c r="H2148" s="192"/>
      <c r="I2148" s="201"/>
      <c r="J2148" s="201"/>
      <c r="K2148" s="201"/>
      <c r="L2148" s="192"/>
      <c r="M2148" s="200"/>
      <c r="N2148" s="200"/>
      <c r="O2148" s="192"/>
      <c r="P2148" s="192"/>
      <c r="Q2148" s="192"/>
      <c r="R2148" s="192"/>
      <c r="S2148" s="200"/>
      <c r="T2148" s="203"/>
      <c r="U2148" s="153"/>
      <c r="V2148" s="153"/>
      <c r="W2148" s="153"/>
      <c r="X2148" s="153"/>
      <c r="Y2148" s="153"/>
      <c r="Z2148" s="153"/>
    </row>
    <row r="2149" spans="1:26">
      <c r="A2149" s="200"/>
      <c r="B2149" s="200"/>
      <c r="C2149" s="200"/>
      <c r="D2149" s="200"/>
      <c r="E2149" s="200"/>
      <c r="F2149" s="200"/>
      <c r="G2149" s="200"/>
      <c r="H2149" s="192"/>
      <c r="I2149" s="201"/>
      <c r="J2149" s="201"/>
      <c r="K2149" s="201"/>
      <c r="L2149" s="192"/>
      <c r="M2149" s="200"/>
      <c r="N2149" s="200"/>
      <c r="O2149" s="192"/>
      <c r="P2149" s="192"/>
      <c r="Q2149" s="192"/>
      <c r="R2149" s="192"/>
      <c r="S2149" s="200"/>
      <c r="T2149" s="203"/>
      <c r="U2149" s="153"/>
      <c r="V2149" s="153"/>
      <c r="W2149" s="153"/>
      <c r="X2149" s="153"/>
      <c r="Y2149" s="153"/>
      <c r="Z2149" s="153"/>
    </row>
    <row r="2150" spans="1:26">
      <c r="A2150" s="200"/>
      <c r="B2150" s="200"/>
      <c r="C2150" s="200"/>
      <c r="D2150" s="200"/>
      <c r="E2150" s="200"/>
      <c r="F2150" s="200"/>
      <c r="G2150" s="200"/>
      <c r="H2150" s="192"/>
      <c r="I2150" s="201"/>
      <c r="J2150" s="201"/>
      <c r="K2150" s="201"/>
      <c r="L2150" s="192"/>
      <c r="M2150" s="200"/>
      <c r="N2150" s="200"/>
      <c r="O2150" s="192"/>
      <c r="P2150" s="192"/>
      <c r="Q2150" s="192"/>
      <c r="R2150" s="192"/>
      <c r="S2150" s="200"/>
      <c r="T2150" s="203"/>
      <c r="U2150" s="153"/>
      <c r="V2150" s="153"/>
      <c r="W2150" s="153"/>
      <c r="X2150" s="153"/>
      <c r="Y2150" s="153"/>
      <c r="Z2150" s="153"/>
    </row>
    <row r="2151" spans="1:26">
      <c r="A2151" s="200"/>
      <c r="B2151" s="200"/>
      <c r="C2151" s="200"/>
      <c r="D2151" s="200"/>
      <c r="E2151" s="200"/>
      <c r="F2151" s="200"/>
      <c r="G2151" s="200"/>
      <c r="H2151" s="192"/>
      <c r="I2151" s="201"/>
      <c r="J2151" s="201"/>
      <c r="K2151" s="201"/>
      <c r="L2151" s="192"/>
      <c r="M2151" s="200"/>
      <c r="N2151" s="200"/>
      <c r="O2151" s="192"/>
      <c r="P2151" s="192"/>
      <c r="Q2151" s="192"/>
      <c r="R2151" s="192"/>
      <c r="S2151" s="200"/>
      <c r="T2151" s="203"/>
      <c r="U2151" s="153"/>
      <c r="V2151" s="153"/>
      <c r="W2151" s="153"/>
      <c r="X2151" s="153"/>
      <c r="Y2151" s="153"/>
      <c r="Z2151" s="153"/>
    </row>
    <row r="2152" spans="1:26">
      <c r="A2152" s="200"/>
      <c r="B2152" s="200"/>
      <c r="C2152" s="200"/>
      <c r="D2152" s="200"/>
      <c r="E2152" s="200"/>
      <c r="F2152" s="200"/>
      <c r="G2152" s="200"/>
      <c r="H2152" s="192"/>
      <c r="I2152" s="201"/>
      <c r="J2152" s="201"/>
      <c r="K2152" s="201"/>
      <c r="L2152" s="192"/>
      <c r="M2152" s="200"/>
      <c r="N2152" s="200"/>
      <c r="O2152" s="192"/>
      <c r="P2152" s="192"/>
      <c r="Q2152" s="192"/>
      <c r="R2152" s="192"/>
      <c r="S2152" s="200"/>
      <c r="T2152" s="203"/>
      <c r="U2152" s="153"/>
      <c r="V2152" s="153"/>
      <c r="W2152" s="153"/>
      <c r="X2152" s="153"/>
      <c r="Y2152" s="153"/>
      <c r="Z2152" s="153"/>
    </row>
    <row r="2153" spans="1:26">
      <c r="A2153" s="200"/>
      <c r="B2153" s="200"/>
      <c r="C2153" s="200"/>
      <c r="D2153" s="200"/>
      <c r="E2153" s="200"/>
      <c r="F2153" s="200"/>
      <c r="G2153" s="200"/>
      <c r="H2153" s="192"/>
      <c r="I2153" s="201"/>
      <c r="J2153" s="201"/>
      <c r="K2153" s="201"/>
      <c r="L2153" s="192"/>
      <c r="M2153" s="200"/>
      <c r="N2153" s="200"/>
      <c r="O2153" s="192"/>
      <c r="P2153" s="192"/>
      <c r="Q2153" s="192"/>
      <c r="R2153" s="192"/>
      <c r="S2153" s="200"/>
      <c r="T2153" s="203"/>
      <c r="U2153" s="153"/>
      <c r="V2153" s="153"/>
      <c r="W2153" s="153"/>
      <c r="X2153" s="153"/>
      <c r="Y2153" s="153"/>
      <c r="Z2153" s="153"/>
    </row>
    <row r="2154" spans="1:26">
      <c r="A2154" s="200"/>
      <c r="B2154" s="200"/>
      <c r="C2154" s="200"/>
      <c r="D2154" s="200"/>
      <c r="E2154" s="200"/>
      <c r="F2154" s="200"/>
      <c r="G2154" s="200"/>
      <c r="H2154" s="192"/>
      <c r="I2154" s="201"/>
      <c r="J2154" s="201"/>
      <c r="K2154" s="201"/>
      <c r="L2154" s="192"/>
      <c r="M2154" s="200"/>
      <c r="N2154" s="200"/>
      <c r="O2154" s="192"/>
      <c r="P2154" s="192"/>
      <c r="Q2154" s="192"/>
      <c r="R2154" s="192"/>
      <c r="S2154" s="200"/>
      <c r="T2154" s="203"/>
      <c r="U2154" s="153"/>
      <c r="V2154" s="153"/>
      <c r="W2154" s="153"/>
      <c r="X2154" s="153"/>
      <c r="Y2154" s="153"/>
      <c r="Z2154" s="153"/>
    </row>
    <row r="2155" spans="1:26">
      <c r="A2155" s="200"/>
      <c r="B2155" s="200"/>
      <c r="C2155" s="200"/>
      <c r="D2155" s="200"/>
      <c r="E2155" s="200"/>
      <c r="F2155" s="200"/>
      <c r="G2155" s="200"/>
      <c r="H2155" s="192"/>
      <c r="I2155" s="201"/>
      <c r="J2155" s="201"/>
      <c r="K2155" s="201"/>
      <c r="L2155" s="192"/>
      <c r="M2155" s="200"/>
      <c r="N2155" s="200"/>
      <c r="O2155" s="192"/>
      <c r="P2155" s="192"/>
      <c r="Q2155" s="192"/>
      <c r="R2155" s="192"/>
      <c r="S2155" s="200"/>
      <c r="T2155" s="203"/>
      <c r="U2155" s="153"/>
      <c r="V2155" s="153"/>
      <c r="W2155" s="153"/>
      <c r="X2155" s="153"/>
      <c r="Y2155" s="153"/>
      <c r="Z2155" s="153"/>
    </row>
    <row r="2156" spans="1:26">
      <c r="A2156" s="200"/>
      <c r="B2156" s="200"/>
      <c r="C2156" s="200"/>
      <c r="D2156" s="200"/>
      <c r="E2156" s="200"/>
      <c r="F2156" s="200"/>
      <c r="G2156" s="200"/>
      <c r="H2156" s="192"/>
      <c r="I2156" s="201"/>
      <c r="J2156" s="201"/>
      <c r="K2156" s="201"/>
      <c r="L2156" s="192"/>
      <c r="M2156" s="200"/>
      <c r="N2156" s="200"/>
      <c r="O2156" s="192"/>
      <c r="P2156" s="192"/>
      <c r="Q2156" s="192"/>
      <c r="R2156" s="192"/>
      <c r="S2156" s="200"/>
      <c r="T2156" s="203"/>
      <c r="U2156" s="153"/>
      <c r="V2156" s="153"/>
      <c r="W2156" s="153"/>
      <c r="X2156" s="153"/>
      <c r="Y2156" s="153"/>
      <c r="Z2156" s="153"/>
    </row>
    <row r="2157" spans="1:26">
      <c r="A2157" s="200"/>
      <c r="B2157" s="200"/>
      <c r="C2157" s="200"/>
      <c r="D2157" s="200"/>
      <c r="E2157" s="200"/>
      <c r="F2157" s="200"/>
      <c r="G2157" s="200"/>
      <c r="H2157" s="192"/>
      <c r="I2157" s="201"/>
      <c r="J2157" s="201"/>
      <c r="K2157" s="201"/>
      <c r="L2157" s="192"/>
      <c r="M2157" s="200"/>
      <c r="N2157" s="200"/>
      <c r="O2157" s="192"/>
      <c r="P2157" s="192"/>
      <c r="Q2157" s="192"/>
      <c r="R2157" s="192"/>
      <c r="S2157" s="200"/>
      <c r="T2157" s="203"/>
      <c r="U2157" s="153"/>
      <c r="V2157" s="153"/>
      <c r="W2157" s="153"/>
      <c r="X2157" s="153"/>
      <c r="Y2157" s="153"/>
      <c r="Z2157" s="153"/>
    </row>
    <row r="2158" spans="1:26">
      <c r="A2158" s="200"/>
      <c r="B2158" s="200"/>
      <c r="C2158" s="200"/>
      <c r="D2158" s="200"/>
      <c r="E2158" s="200"/>
      <c r="F2158" s="200"/>
      <c r="G2158" s="200"/>
      <c r="H2158" s="192"/>
      <c r="I2158" s="201"/>
      <c r="J2158" s="201"/>
      <c r="K2158" s="201"/>
      <c r="L2158" s="192"/>
      <c r="M2158" s="200"/>
      <c r="N2158" s="200"/>
      <c r="O2158" s="192"/>
      <c r="P2158" s="192"/>
      <c r="Q2158" s="192"/>
      <c r="R2158" s="192"/>
      <c r="S2158" s="200"/>
      <c r="T2158" s="203"/>
      <c r="U2158" s="153"/>
      <c r="V2158" s="153"/>
      <c r="W2158" s="153"/>
      <c r="X2158" s="153"/>
      <c r="Y2158" s="153"/>
      <c r="Z2158" s="153"/>
    </row>
    <row r="2159" spans="1:26">
      <c r="A2159" s="200"/>
      <c r="B2159" s="200"/>
      <c r="C2159" s="200"/>
      <c r="D2159" s="200"/>
      <c r="E2159" s="200"/>
      <c r="F2159" s="200"/>
      <c r="G2159" s="200"/>
      <c r="H2159" s="192"/>
      <c r="I2159" s="201"/>
      <c r="J2159" s="201"/>
      <c r="K2159" s="201"/>
      <c r="L2159" s="192"/>
      <c r="M2159" s="200"/>
      <c r="N2159" s="200"/>
      <c r="O2159" s="192"/>
      <c r="P2159" s="192"/>
      <c r="Q2159" s="192"/>
      <c r="R2159" s="192"/>
      <c r="S2159" s="200"/>
      <c r="T2159" s="203"/>
      <c r="U2159" s="153"/>
      <c r="V2159" s="153"/>
      <c r="W2159" s="153"/>
      <c r="X2159" s="153"/>
      <c r="Y2159" s="153"/>
      <c r="Z2159" s="153"/>
    </row>
    <row r="2160" spans="1:26">
      <c r="A2160" s="200"/>
      <c r="B2160" s="200"/>
      <c r="C2160" s="200"/>
      <c r="D2160" s="200"/>
      <c r="E2160" s="200"/>
      <c r="F2160" s="200"/>
      <c r="G2160" s="200"/>
      <c r="H2160" s="192"/>
      <c r="I2160" s="201"/>
      <c r="J2160" s="201"/>
      <c r="K2160" s="201"/>
      <c r="L2160" s="192"/>
      <c r="M2160" s="200"/>
      <c r="N2160" s="200"/>
      <c r="O2160" s="192"/>
      <c r="P2160" s="192"/>
      <c r="Q2160" s="192"/>
      <c r="R2160" s="192"/>
      <c r="S2160" s="200"/>
      <c r="T2160" s="203"/>
      <c r="U2160" s="153"/>
      <c r="V2160" s="153"/>
      <c r="W2160" s="153"/>
      <c r="X2160" s="153"/>
      <c r="Y2160" s="153"/>
      <c r="Z2160" s="153"/>
    </row>
    <row r="2161" spans="1:26">
      <c r="A2161" s="200"/>
      <c r="B2161" s="200"/>
      <c r="C2161" s="200"/>
      <c r="D2161" s="200"/>
      <c r="E2161" s="200"/>
      <c r="F2161" s="200"/>
      <c r="G2161" s="200"/>
      <c r="H2161" s="192"/>
      <c r="I2161" s="201"/>
      <c r="J2161" s="201"/>
      <c r="K2161" s="201"/>
      <c r="L2161" s="192"/>
      <c r="M2161" s="200"/>
      <c r="N2161" s="200"/>
      <c r="O2161" s="192"/>
      <c r="P2161" s="192"/>
      <c r="Q2161" s="192"/>
      <c r="R2161" s="192"/>
      <c r="S2161" s="200"/>
      <c r="T2161" s="203"/>
      <c r="U2161" s="153"/>
      <c r="V2161" s="153"/>
      <c r="W2161" s="153"/>
      <c r="X2161" s="153"/>
      <c r="Y2161" s="153"/>
      <c r="Z2161" s="153"/>
    </row>
    <row r="2162" spans="1:26">
      <c r="A2162" s="200"/>
      <c r="B2162" s="200"/>
      <c r="C2162" s="200"/>
      <c r="D2162" s="200"/>
      <c r="E2162" s="200"/>
      <c r="F2162" s="200"/>
      <c r="G2162" s="200"/>
      <c r="H2162" s="192"/>
      <c r="I2162" s="201"/>
      <c r="J2162" s="201"/>
      <c r="K2162" s="201"/>
      <c r="L2162" s="192"/>
      <c r="M2162" s="200"/>
      <c r="N2162" s="200"/>
      <c r="O2162" s="192"/>
      <c r="P2162" s="192"/>
      <c r="Q2162" s="192"/>
      <c r="R2162" s="192"/>
      <c r="S2162" s="200"/>
      <c r="T2162" s="203"/>
      <c r="U2162" s="153"/>
      <c r="V2162" s="153"/>
      <c r="W2162" s="153"/>
      <c r="X2162" s="153"/>
      <c r="Y2162" s="153"/>
      <c r="Z2162" s="153"/>
    </row>
    <row r="2163" spans="1:26">
      <c r="A2163" s="200"/>
      <c r="B2163" s="200"/>
      <c r="C2163" s="200"/>
      <c r="D2163" s="200"/>
      <c r="E2163" s="200"/>
      <c r="F2163" s="200"/>
      <c r="G2163" s="200"/>
      <c r="H2163" s="192"/>
      <c r="I2163" s="201"/>
      <c r="J2163" s="201"/>
      <c r="K2163" s="201"/>
      <c r="L2163" s="192"/>
      <c r="M2163" s="200"/>
      <c r="N2163" s="200"/>
      <c r="O2163" s="192"/>
      <c r="P2163" s="192"/>
      <c r="Q2163" s="192"/>
      <c r="R2163" s="192"/>
      <c r="S2163" s="200"/>
      <c r="T2163" s="203"/>
      <c r="U2163" s="153"/>
      <c r="V2163" s="153"/>
      <c r="W2163" s="153"/>
      <c r="X2163" s="153"/>
      <c r="Y2163" s="153"/>
      <c r="Z2163" s="153"/>
    </row>
    <row r="2164" spans="1:26">
      <c r="A2164" s="200"/>
      <c r="B2164" s="200"/>
      <c r="C2164" s="200"/>
      <c r="D2164" s="200"/>
      <c r="E2164" s="200"/>
      <c r="F2164" s="200"/>
      <c r="G2164" s="200"/>
      <c r="H2164" s="192"/>
      <c r="I2164" s="201"/>
      <c r="J2164" s="201"/>
      <c r="K2164" s="201"/>
      <c r="L2164" s="192"/>
      <c r="M2164" s="200"/>
      <c r="N2164" s="200"/>
      <c r="O2164" s="192"/>
      <c r="P2164" s="192"/>
      <c r="Q2164" s="192"/>
      <c r="R2164" s="192"/>
      <c r="S2164" s="200"/>
      <c r="T2164" s="203"/>
      <c r="U2164" s="153"/>
      <c r="V2164" s="153"/>
      <c r="W2164" s="153"/>
      <c r="X2164" s="153"/>
      <c r="Y2164" s="153"/>
      <c r="Z2164" s="153"/>
    </row>
    <row r="2165" spans="1:26">
      <c r="A2165" s="200"/>
      <c r="B2165" s="200"/>
      <c r="C2165" s="200"/>
      <c r="D2165" s="200"/>
      <c r="E2165" s="200"/>
      <c r="F2165" s="200"/>
      <c r="G2165" s="200"/>
      <c r="H2165" s="192"/>
      <c r="I2165" s="201"/>
      <c r="J2165" s="201"/>
      <c r="K2165" s="201"/>
      <c r="L2165" s="192"/>
      <c r="M2165" s="200"/>
      <c r="N2165" s="200"/>
      <c r="O2165" s="192"/>
      <c r="P2165" s="192"/>
      <c r="Q2165" s="192"/>
      <c r="R2165" s="192"/>
      <c r="S2165" s="200"/>
      <c r="T2165" s="203"/>
      <c r="U2165" s="153"/>
      <c r="V2165" s="153"/>
      <c r="W2165" s="153"/>
      <c r="X2165" s="153"/>
      <c r="Y2165" s="153"/>
      <c r="Z2165" s="153"/>
    </row>
    <row r="2166" spans="1:26">
      <c r="A2166" s="200"/>
      <c r="B2166" s="200"/>
      <c r="C2166" s="200"/>
      <c r="D2166" s="200"/>
      <c r="E2166" s="200"/>
      <c r="F2166" s="200"/>
      <c r="G2166" s="200"/>
      <c r="H2166" s="192"/>
      <c r="I2166" s="201"/>
      <c r="J2166" s="201"/>
      <c r="K2166" s="201"/>
      <c r="L2166" s="192"/>
      <c r="M2166" s="200"/>
      <c r="N2166" s="200"/>
      <c r="O2166" s="192"/>
      <c r="P2166" s="192"/>
      <c r="Q2166" s="192"/>
      <c r="R2166" s="192"/>
      <c r="S2166" s="200"/>
      <c r="T2166" s="203"/>
      <c r="U2166" s="153"/>
      <c r="V2166" s="153"/>
      <c r="W2166" s="153"/>
      <c r="X2166" s="153"/>
      <c r="Y2166" s="153"/>
      <c r="Z2166" s="153"/>
    </row>
    <row r="2167" spans="1:26">
      <c r="A2167" s="200"/>
      <c r="B2167" s="200"/>
      <c r="C2167" s="200"/>
      <c r="D2167" s="200"/>
      <c r="E2167" s="200"/>
      <c r="F2167" s="200"/>
      <c r="G2167" s="200"/>
      <c r="H2167" s="192"/>
      <c r="I2167" s="201"/>
      <c r="J2167" s="201"/>
      <c r="K2167" s="201"/>
      <c r="L2167" s="192"/>
      <c r="M2167" s="200"/>
      <c r="N2167" s="200"/>
      <c r="O2167" s="192"/>
      <c r="P2167" s="192"/>
      <c r="Q2167" s="192"/>
      <c r="R2167" s="192"/>
      <c r="S2167" s="200"/>
      <c r="T2167" s="203"/>
      <c r="U2167" s="153"/>
      <c r="V2167" s="153"/>
      <c r="W2167" s="153"/>
      <c r="X2167" s="153"/>
      <c r="Y2167" s="153"/>
      <c r="Z2167" s="153"/>
    </row>
    <row r="2168" spans="1:26">
      <c r="A2168" s="200"/>
      <c r="B2168" s="200"/>
      <c r="C2168" s="200"/>
      <c r="D2168" s="200"/>
      <c r="E2168" s="200"/>
      <c r="F2168" s="200"/>
      <c r="G2168" s="200"/>
      <c r="H2168" s="192"/>
      <c r="I2168" s="201"/>
      <c r="J2168" s="201"/>
      <c r="K2168" s="201"/>
      <c r="L2168" s="192"/>
      <c r="M2168" s="200"/>
      <c r="N2168" s="200"/>
      <c r="O2168" s="192"/>
      <c r="P2168" s="192"/>
      <c r="Q2168" s="192"/>
      <c r="R2168" s="192"/>
      <c r="S2168" s="200"/>
      <c r="T2168" s="203"/>
      <c r="U2168" s="153"/>
      <c r="V2168" s="153"/>
      <c r="W2168" s="153"/>
      <c r="X2168" s="153"/>
      <c r="Y2168" s="153"/>
      <c r="Z2168" s="153"/>
    </row>
    <row r="2169" spans="1:26">
      <c r="A2169" s="200"/>
      <c r="B2169" s="200"/>
      <c r="C2169" s="200"/>
      <c r="D2169" s="200"/>
      <c r="E2169" s="200"/>
      <c r="F2169" s="200"/>
      <c r="G2169" s="200"/>
      <c r="H2169" s="192"/>
      <c r="I2169" s="201"/>
      <c r="J2169" s="201"/>
      <c r="K2169" s="201"/>
      <c r="L2169" s="192"/>
      <c r="M2169" s="200"/>
      <c r="N2169" s="200"/>
      <c r="O2169" s="192"/>
      <c r="P2169" s="192"/>
      <c r="Q2169" s="192"/>
      <c r="R2169" s="192"/>
      <c r="S2169" s="200"/>
      <c r="T2169" s="203"/>
      <c r="U2169" s="153"/>
      <c r="V2169" s="153"/>
      <c r="W2169" s="153"/>
      <c r="X2169" s="153"/>
      <c r="Y2169" s="153"/>
      <c r="Z2169" s="153"/>
    </row>
    <row r="2170" spans="1:26">
      <c r="A2170" s="200"/>
      <c r="B2170" s="200"/>
      <c r="C2170" s="200"/>
      <c r="D2170" s="200"/>
      <c r="E2170" s="200"/>
      <c r="F2170" s="200"/>
      <c r="G2170" s="200"/>
      <c r="H2170" s="192"/>
      <c r="I2170" s="201"/>
      <c r="J2170" s="201"/>
      <c r="K2170" s="201"/>
      <c r="L2170" s="192"/>
      <c r="M2170" s="200"/>
      <c r="N2170" s="200"/>
      <c r="O2170" s="192"/>
      <c r="P2170" s="192"/>
      <c r="Q2170" s="192"/>
      <c r="R2170" s="192"/>
      <c r="S2170" s="200"/>
      <c r="T2170" s="203"/>
      <c r="U2170" s="153"/>
      <c r="V2170" s="153"/>
      <c r="W2170" s="153"/>
      <c r="X2170" s="153"/>
      <c r="Y2170" s="153"/>
      <c r="Z2170" s="153"/>
    </row>
    <row r="2171" spans="1:26">
      <c r="A2171" s="200"/>
      <c r="B2171" s="200"/>
      <c r="C2171" s="200"/>
      <c r="D2171" s="200"/>
      <c r="E2171" s="200"/>
      <c r="F2171" s="200"/>
      <c r="G2171" s="200"/>
      <c r="H2171" s="192"/>
      <c r="I2171" s="201"/>
      <c r="J2171" s="201"/>
      <c r="K2171" s="201"/>
      <c r="L2171" s="192"/>
      <c r="M2171" s="200"/>
      <c r="N2171" s="200"/>
      <c r="O2171" s="192"/>
      <c r="P2171" s="192"/>
      <c r="Q2171" s="192"/>
      <c r="R2171" s="192"/>
      <c r="S2171" s="200"/>
      <c r="T2171" s="203"/>
      <c r="U2171" s="153"/>
      <c r="V2171" s="153"/>
      <c r="W2171" s="153"/>
      <c r="X2171" s="153"/>
      <c r="Y2171" s="153"/>
      <c r="Z2171" s="153"/>
    </row>
    <row r="2172" spans="1:26">
      <c r="A2172" s="200"/>
      <c r="B2172" s="200"/>
      <c r="C2172" s="200"/>
      <c r="D2172" s="200"/>
      <c r="E2172" s="200"/>
      <c r="F2172" s="200"/>
      <c r="G2172" s="200"/>
      <c r="H2172" s="192"/>
      <c r="I2172" s="201"/>
      <c r="J2172" s="201"/>
      <c r="K2172" s="201"/>
      <c r="L2172" s="192"/>
      <c r="M2172" s="200"/>
      <c r="N2172" s="200"/>
      <c r="O2172" s="192"/>
      <c r="P2172" s="192"/>
      <c r="Q2172" s="192"/>
      <c r="R2172" s="192"/>
      <c r="S2172" s="200"/>
      <c r="T2172" s="203"/>
      <c r="U2172" s="153"/>
      <c r="V2172" s="153"/>
      <c r="W2172" s="153"/>
      <c r="X2172" s="153"/>
      <c r="Y2172" s="153"/>
      <c r="Z2172" s="153"/>
    </row>
    <row r="2173" spans="1:26">
      <c r="A2173" s="200"/>
      <c r="B2173" s="200"/>
      <c r="C2173" s="200"/>
      <c r="D2173" s="200"/>
      <c r="E2173" s="200"/>
      <c r="F2173" s="200"/>
      <c r="G2173" s="200"/>
      <c r="H2173" s="192"/>
      <c r="I2173" s="201"/>
      <c r="J2173" s="201"/>
      <c r="K2173" s="201"/>
      <c r="L2173" s="192"/>
      <c r="M2173" s="200"/>
      <c r="N2173" s="200"/>
      <c r="O2173" s="192"/>
      <c r="P2173" s="192"/>
      <c r="Q2173" s="192"/>
      <c r="R2173" s="192"/>
      <c r="S2173" s="200"/>
      <c r="T2173" s="203"/>
      <c r="U2173" s="153"/>
      <c r="V2173" s="153"/>
      <c r="W2173" s="153"/>
      <c r="X2173" s="153"/>
      <c r="Y2173" s="153"/>
      <c r="Z2173" s="153"/>
    </row>
    <row r="2174" spans="1:26">
      <c r="A2174" s="200"/>
      <c r="B2174" s="200"/>
      <c r="C2174" s="200"/>
      <c r="D2174" s="200"/>
      <c r="E2174" s="200"/>
      <c r="F2174" s="200"/>
      <c r="G2174" s="200"/>
      <c r="H2174" s="192"/>
      <c r="I2174" s="201"/>
      <c r="J2174" s="201"/>
      <c r="K2174" s="201"/>
      <c r="L2174" s="192"/>
      <c r="M2174" s="200"/>
      <c r="N2174" s="200"/>
      <c r="O2174" s="192"/>
      <c r="P2174" s="192"/>
      <c r="Q2174" s="192"/>
      <c r="R2174" s="192"/>
      <c r="S2174" s="200"/>
      <c r="T2174" s="203"/>
      <c r="U2174" s="153"/>
      <c r="V2174" s="153"/>
      <c r="W2174" s="153"/>
      <c r="X2174" s="153"/>
      <c r="Y2174" s="153"/>
      <c r="Z2174" s="153"/>
    </row>
    <row r="2175" spans="1:26">
      <c r="A2175" s="200"/>
      <c r="B2175" s="200"/>
      <c r="C2175" s="200"/>
      <c r="D2175" s="200"/>
      <c r="E2175" s="200"/>
      <c r="F2175" s="200"/>
      <c r="G2175" s="200"/>
      <c r="H2175" s="192"/>
      <c r="I2175" s="201"/>
      <c r="J2175" s="201"/>
      <c r="K2175" s="201"/>
      <c r="L2175" s="192"/>
      <c r="M2175" s="200"/>
      <c r="N2175" s="200"/>
      <c r="O2175" s="192"/>
      <c r="P2175" s="192"/>
      <c r="Q2175" s="192"/>
      <c r="R2175" s="192"/>
      <c r="S2175" s="200"/>
      <c r="T2175" s="203"/>
      <c r="U2175" s="153"/>
      <c r="V2175" s="153"/>
      <c r="W2175" s="153"/>
      <c r="X2175" s="153"/>
      <c r="Y2175" s="153"/>
      <c r="Z2175" s="153"/>
    </row>
    <row r="2176" spans="1:26">
      <c r="A2176" s="200"/>
      <c r="B2176" s="200"/>
      <c r="C2176" s="200"/>
      <c r="D2176" s="200"/>
      <c r="E2176" s="200"/>
      <c r="F2176" s="200"/>
      <c r="G2176" s="200"/>
      <c r="H2176" s="192"/>
      <c r="I2176" s="201"/>
      <c r="J2176" s="201"/>
      <c r="K2176" s="201"/>
      <c r="L2176" s="192"/>
      <c r="M2176" s="200"/>
      <c r="N2176" s="200"/>
      <c r="O2176" s="192"/>
      <c r="P2176" s="192"/>
      <c r="Q2176" s="192"/>
      <c r="R2176" s="192"/>
      <c r="S2176" s="200"/>
      <c r="T2176" s="203"/>
      <c r="U2176" s="153"/>
      <c r="V2176" s="153"/>
      <c r="W2176" s="153"/>
      <c r="X2176" s="153"/>
      <c r="Y2176" s="153"/>
      <c r="Z2176" s="153"/>
    </row>
    <row r="2177" spans="1:26">
      <c r="A2177" s="200"/>
      <c r="B2177" s="200"/>
      <c r="C2177" s="200"/>
      <c r="D2177" s="200"/>
      <c r="E2177" s="200"/>
      <c r="F2177" s="200"/>
      <c r="G2177" s="200"/>
      <c r="H2177" s="192"/>
      <c r="I2177" s="201"/>
      <c r="J2177" s="201"/>
      <c r="K2177" s="201"/>
      <c r="L2177" s="192"/>
      <c r="M2177" s="200"/>
      <c r="N2177" s="200"/>
      <c r="O2177" s="192"/>
      <c r="P2177" s="192"/>
      <c r="Q2177" s="192"/>
      <c r="R2177" s="192"/>
      <c r="S2177" s="200"/>
      <c r="T2177" s="203"/>
      <c r="U2177" s="153"/>
      <c r="V2177" s="153"/>
      <c r="W2177" s="153"/>
      <c r="X2177" s="153"/>
      <c r="Y2177" s="153"/>
      <c r="Z2177" s="153"/>
    </row>
    <row r="2178" spans="1:26">
      <c r="A2178" s="200"/>
      <c r="B2178" s="200"/>
      <c r="C2178" s="200"/>
      <c r="D2178" s="200"/>
      <c r="E2178" s="200"/>
      <c r="F2178" s="200"/>
      <c r="G2178" s="200"/>
      <c r="H2178" s="192"/>
      <c r="I2178" s="201"/>
      <c r="J2178" s="201"/>
      <c r="K2178" s="201"/>
      <c r="L2178" s="192"/>
      <c r="M2178" s="200"/>
      <c r="N2178" s="200"/>
      <c r="O2178" s="192"/>
      <c r="P2178" s="192"/>
      <c r="Q2178" s="192"/>
      <c r="R2178" s="192"/>
      <c r="S2178" s="200"/>
      <c r="T2178" s="203"/>
      <c r="U2178" s="153"/>
      <c r="V2178" s="153"/>
      <c r="W2178" s="153"/>
      <c r="X2178" s="153"/>
      <c r="Y2178" s="153"/>
      <c r="Z2178" s="153"/>
    </row>
    <row r="2179" spans="1:26">
      <c r="A2179" s="200"/>
      <c r="B2179" s="200"/>
      <c r="C2179" s="200"/>
      <c r="D2179" s="200"/>
      <c r="E2179" s="200"/>
      <c r="F2179" s="200"/>
      <c r="G2179" s="200"/>
      <c r="H2179" s="192"/>
      <c r="I2179" s="201"/>
      <c r="J2179" s="201"/>
      <c r="K2179" s="201"/>
      <c r="L2179" s="192"/>
      <c r="M2179" s="200"/>
      <c r="N2179" s="200"/>
      <c r="O2179" s="192"/>
      <c r="P2179" s="192"/>
      <c r="Q2179" s="192"/>
      <c r="R2179" s="192"/>
      <c r="S2179" s="200"/>
      <c r="T2179" s="203"/>
      <c r="U2179" s="153"/>
      <c r="V2179" s="153"/>
      <c r="W2179" s="153"/>
      <c r="X2179" s="153"/>
      <c r="Y2179" s="153"/>
      <c r="Z2179" s="153"/>
    </row>
    <row r="2180" spans="1:26">
      <c r="A2180" s="200"/>
      <c r="B2180" s="200"/>
      <c r="C2180" s="200"/>
      <c r="D2180" s="200"/>
      <c r="E2180" s="200"/>
      <c r="F2180" s="200"/>
      <c r="G2180" s="200"/>
      <c r="H2180" s="192"/>
      <c r="I2180" s="201"/>
      <c r="J2180" s="201"/>
      <c r="K2180" s="201"/>
      <c r="L2180" s="192"/>
      <c r="M2180" s="200"/>
      <c r="N2180" s="200"/>
      <c r="O2180" s="192"/>
      <c r="P2180" s="192"/>
      <c r="Q2180" s="192"/>
      <c r="R2180" s="192"/>
      <c r="S2180" s="200"/>
      <c r="T2180" s="203"/>
      <c r="U2180" s="153"/>
      <c r="V2180" s="153"/>
      <c r="W2180" s="153"/>
      <c r="X2180" s="153"/>
      <c r="Y2180" s="153"/>
      <c r="Z2180" s="153"/>
    </row>
    <row r="2181" spans="1:26">
      <c r="A2181" s="200"/>
      <c r="B2181" s="200"/>
      <c r="C2181" s="200"/>
      <c r="D2181" s="200"/>
      <c r="E2181" s="200"/>
      <c r="F2181" s="200"/>
      <c r="G2181" s="200"/>
      <c r="H2181" s="192"/>
      <c r="I2181" s="201"/>
      <c r="J2181" s="201"/>
      <c r="K2181" s="201"/>
      <c r="L2181" s="192"/>
      <c r="M2181" s="200"/>
      <c r="N2181" s="200"/>
      <c r="O2181" s="192"/>
      <c r="P2181" s="192"/>
      <c r="Q2181" s="192"/>
      <c r="R2181" s="192"/>
      <c r="S2181" s="200"/>
      <c r="T2181" s="203"/>
      <c r="U2181" s="153"/>
      <c r="V2181" s="153"/>
      <c r="W2181" s="153"/>
      <c r="X2181" s="153"/>
      <c r="Y2181" s="153"/>
      <c r="Z2181" s="153"/>
    </row>
    <row r="2182" spans="1:26">
      <c r="A2182" s="200"/>
      <c r="B2182" s="200"/>
      <c r="C2182" s="200"/>
      <c r="D2182" s="200"/>
      <c r="E2182" s="200"/>
      <c r="F2182" s="200"/>
      <c r="G2182" s="200"/>
      <c r="H2182" s="192"/>
      <c r="I2182" s="201"/>
      <c r="J2182" s="201"/>
      <c r="K2182" s="201"/>
      <c r="L2182" s="192"/>
      <c r="M2182" s="200"/>
      <c r="N2182" s="200"/>
      <c r="O2182" s="192"/>
      <c r="P2182" s="192"/>
      <c r="Q2182" s="192"/>
      <c r="R2182" s="192"/>
      <c r="S2182" s="200"/>
      <c r="T2182" s="203"/>
      <c r="U2182" s="153"/>
      <c r="V2182" s="153"/>
      <c r="W2182" s="153"/>
      <c r="X2182" s="153"/>
      <c r="Y2182" s="153"/>
      <c r="Z2182" s="153"/>
    </row>
    <row r="2183" spans="1:26">
      <c r="A2183" s="200"/>
      <c r="B2183" s="200"/>
      <c r="C2183" s="200"/>
      <c r="D2183" s="200"/>
      <c r="E2183" s="200"/>
      <c r="F2183" s="200"/>
      <c r="G2183" s="200"/>
      <c r="H2183" s="192"/>
      <c r="I2183" s="201"/>
      <c r="J2183" s="201"/>
      <c r="K2183" s="201"/>
      <c r="L2183" s="192"/>
      <c r="M2183" s="200"/>
      <c r="N2183" s="200"/>
      <c r="O2183" s="192"/>
      <c r="P2183" s="192"/>
      <c r="Q2183" s="192"/>
      <c r="R2183" s="192"/>
      <c r="S2183" s="200"/>
      <c r="T2183" s="203"/>
      <c r="U2183" s="153"/>
      <c r="V2183" s="153"/>
      <c r="W2183" s="153"/>
      <c r="X2183" s="153"/>
      <c r="Y2183" s="153"/>
      <c r="Z2183" s="153"/>
    </row>
    <row r="2184" spans="1:26">
      <c r="A2184" s="200"/>
      <c r="B2184" s="200"/>
      <c r="C2184" s="200"/>
      <c r="D2184" s="200"/>
      <c r="E2184" s="200"/>
      <c r="F2184" s="200"/>
      <c r="G2184" s="200"/>
      <c r="H2184" s="192"/>
      <c r="I2184" s="201"/>
      <c r="J2184" s="201"/>
      <c r="K2184" s="201"/>
      <c r="L2184" s="192"/>
      <c r="M2184" s="200"/>
      <c r="N2184" s="200"/>
      <c r="O2184" s="192"/>
      <c r="P2184" s="192"/>
      <c r="Q2184" s="192"/>
      <c r="R2184" s="192"/>
      <c r="S2184" s="200"/>
      <c r="T2184" s="203"/>
      <c r="U2184" s="153"/>
      <c r="V2184" s="153"/>
      <c r="W2184" s="153"/>
      <c r="X2184" s="153"/>
      <c r="Y2184" s="153"/>
      <c r="Z2184" s="153"/>
    </row>
    <row r="2185" spans="1:26">
      <c r="A2185" s="200"/>
      <c r="B2185" s="200"/>
      <c r="C2185" s="200"/>
      <c r="D2185" s="200"/>
      <c r="E2185" s="200"/>
      <c r="F2185" s="200"/>
      <c r="G2185" s="200"/>
      <c r="H2185" s="192"/>
      <c r="I2185" s="201"/>
      <c r="J2185" s="201"/>
      <c r="K2185" s="201"/>
      <c r="L2185" s="192"/>
      <c r="M2185" s="200"/>
      <c r="N2185" s="200"/>
      <c r="O2185" s="192"/>
      <c r="P2185" s="192"/>
      <c r="Q2185" s="192"/>
      <c r="R2185" s="192"/>
      <c r="S2185" s="200"/>
      <c r="T2185" s="203"/>
      <c r="U2185" s="153"/>
      <c r="V2185" s="153"/>
      <c r="W2185" s="153"/>
      <c r="X2185" s="153"/>
      <c r="Y2185" s="153"/>
      <c r="Z2185" s="153"/>
    </row>
    <row r="2186" spans="1:26">
      <c r="A2186" s="200"/>
      <c r="B2186" s="200"/>
      <c r="C2186" s="200"/>
      <c r="D2186" s="200"/>
      <c r="E2186" s="200"/>
      <c r="F2186" s="200"/>
      <c r="G2186" s="200"/>
      <c r="H2186" s="192"/>
      <c r="I2186" s="201"/>
      <c r="J2186" s="201"/>
      <c r="K2186" s="201"/>
      <c r="L2186" s="192"/>
      <c r="M2186" s="200"/>
      <c r="N2186" s="200"/>
      <c r="O2186" s="192"/>
      <c r="P2186" s="192"/>
      <c r="Q2186" s="192"/>
      <c r="R2186" s="192"/>
      <c r="S2186" s="200"/>
      <c r="T2186" s="203"/>
      <c r="U2186" s="153"/>
      <c r="V2186" s="153"/>
      <c r="W2186" s="153"/>
      <c r="X2186" s="153"/>
      <c r="Y2186" s="153"/>
      <c r="Z2186" s="153"/>
    </row>
    <row r="2187" spans="1:26">
      <c r="A2187" s="200"/>
      <c r="B2187" s="200"/>
      <c r="C2187" s="200"/>
      <c r="D2187" s="200"/>
      <c r="E2187" s="200"/>
      <c r="F2187" s="200"/>
      <c r="G2187" s="200"/>
      <c r="H2187" s="192"/>
      <c r="I2187" s="201"/>
      <c r="J2187" s="201"/>
      <c r="K2187" s="201"/>
      <c r="L2187" s="192"/>
      <c r="M2187" s="200"/>
      <c r="N2187" s="200"/>
      <c r="O2187" s="192"/>
      <c r="P2187" s="192"/>
      <c r="Q2187" s="192"/>
      <c r="R2187" s="192"/>
      <c r="S2187" s="200"/>
      <c r="T2187" s="203"/>
      <c r="U2187" s="153"/>
      <c r="V2187" s="153"/>
      <c r="W2187" s="153"/>
      <c r="X2187" s="153"/>
      <c r="Y2187" s="153"/>
      <c r="Z2187" s="153"/>
    </row>
    <row r="2188" spans="1:26">
      <c r="A2188" s="200"/>
      <c r="B2188" s="200"/>
      <c r="C2188" s="200"/>
      <c r="D2188" s="200"/>
      <c r="E2188" s="200"/>
      <c r="F2188" s="200"/>
      <c r="G2188" s="200"/>
      <c r="H2188" s="192"/>
      <c r="I2188" s="201"/>
      <c r="J2188" s="201"/>
      <c r="K2188" s="201"/>
      <c r="L2188" s="192"/>
      <c r="M2188" s="200"/>
      <c r="N2188" s="200"/>
      <c r="O2188" s="192"/>
      <c r="P2188" s="192"/>
      <c r="Q2188" s="192"/>
      <c r="R2188" s="192"/>
      <c r="S2188" s="200"/>
      <c r="T2188" s="203"/>
      <c r="U2188" s="153"/>
      <c r="V2188" s="153"/>
      <c r="W2188" s="153"/>
      <c r="X2188" s="153"/>
      <c r="Y2188" s="153"/>
      <c r="Z2188" s="153"/>
    </row>
    <row r="2189" spans="1:26">
      <c r="A2189" s="200"/>
      <c r="B2189" s="200"/>
      <c r="C2189" s="200"/>
      <c r="D2189" s="200"/>
      <c r="E2189" s="200"/>
      <c r="F2189" s="200"/>
      <c r="G2189" s="200"/>
      <c r="H2189" s="192"/>
      <c r="I2189" s="201"/>
      <c r="J2189" s="201"/>
      <c r="K2189" s="201"/>
      <c r="L2189" s="192"/>
      <c r="M2189" s="200"/>
      <c r="N2189" s="200"/>
      <c r="O2189" s="192"/>
      <c r="P2189" s="192"/>
      <c r="Q2189" s="192"/>
      <c r="R2189" s="192"/>
      <c r="S2189" s="200"/>
      <c r="T2189" s="203"/>
      <c r="U2189" s="153"/>
      <c r="V2189" s="153"/>
      <c r="W2189" s="153"/>
      <c r="X2189" s="153"/>
      <c r="Y2189" s="153"/>
      <c r="Z2189" s="153"/>
    </row>
    <row r="2190" spans="1:26">
      <c r="A2190" s="200"/>
      <c r="B2190" s="200"/>
      <c r="C2190" s="200"/>
      <c r="D2190" s="200"/>
      <c r="E2190" s="200"/>
      <c r="F2190" s="200"/>
      <c r="G2190" s="200"/>
      <c r="H2190" s="192"/>
      <c r="I2190" s="201"/>
      <c r="J2190" s="201"/>
      <c r="K2190" s="201"/>
      <c r="L2190" s="192"/>
      <c r="M2190" s="200"/>
      <c r="N2190" s="200"/>
      <c r="O2190" s="192"/>
      <c r="P2190" s="192"/>
      <c r="Q2190" s="192"/>
      <c r="R2190" s="192"/>
      <c r="S2190" s="200"/>
      <c r="T2190" s="203"/>
      <c r="U2190" s="153"/>
      <c r="V2190" s="153"/>
      <c r="W2190" s="153"/>
      <c r="X2190" s="153"/>
      <c r="Y2190" s="153"/>
      <c r="Z2190" s="153"/>
    </row>
    <row r="2191" spans="1:26">
      <c r="A2191" s="200"/>
      <c r="B2191" s="200"/>
      <c r="C2191" s="200"/>
      <c r="D2191" s="200"/>
      <c r="E2191" s="200"/>
      <c r="F2191" s="200"/>
      <c r="G2191" s="200"/>
      <c r="H2191" s="192"/>
      <c r="I2191" s="201"/>
      <c r="J2191" s="201"/>
      <c r="K2191" s="201"/>
      <c r="L2191" s="192"/>
      <c r="M2191" s="200"/>
      <c r="N2191" s="200"/>
      <c r="O2191" s="192"/>
      <c r="P2191" s="192"/>
      <c r="Q2191" s="192"/>
      <c r="R2191" s="192"/>
      <c r="S2191" s="200"/>
      <c r="T2191" s="203"/>
      <c r="U2191" s="153"/>
      <c r="V2191" s="153"/>
      <c r="W2191" s="153"/>
      <c r="X2191" s="153"/>
      <c r="Y2191" s="153"/>
      <c r="Z2191" s="153"/>
    </row>
    <row r="2192" spans="1:26">
      <c r="A2192" s="200"/>
      <c r="B2192" s="200"/>
      <c r="C2192" s="200"/>
      <c r="D2192" s="200"/>
      <c r="E2192" s="200"/>
      <c r="F2192" s="200"/>
      <c r="G2192" s="200"/>
      <c r="H2192" s="192"/>
      <c r="I2192" s="201"/>
      <c r="J2192" s="201"/>
      <c r="K2192" s="201"/>
      <c r="L2192" s="192"/>
      <c r="M2192" s="200"/>
      <c r="N2192" s="200"/>
      <c r="O2192" s="192"/>
      <c r="P2192" s="192"/>
      <c r="Q2192" s="192"/>
      <c r="R2192" s="192"/>
      <c r="S2192" s="200"/>
      <c r="T2192" s="203"/>
      <c r="U2192" s="153"/>
      <c r="V2192" s="153"/>
      <c r="W2192" s="153"/>
      <c r="X2192" s="153"/>
      <c r="Y2192" s="153"/>
      <c r="Z2192" s="153"/>
    </row>
    <row r="2193" spans="1:26">
      <c r="A2193" s="200"/>
      <c r="B2193" s="200"/>
      <c r="C2193" s="200"/>
      <c r="D2193" s="200"/>
      <c r="E2193" s="200"/>
      <c r="F2193" s="200"/>
      <c r="G2193" s="200"/>
      <c r="H2193" s="192"/>
      <c r="I2193" s="201"/>
      <c r="J2193" s="201"/>
      <c r="K2193" s="201"/>
      <c r="L2193" s="192"/>
      <c r="M2193" s="200"/>
      <c r="N2193" s="200"/>
      <c r="O2193" s="192"/>
      <c r="P2193" s="192"/>
      <c r="Q2193" s="192"/>
      <c r="R2193" s="192"/>
      <c r="S2193" s="200"/>
      <c r="T2193" s="203"/>
      <c r="U2193" s="153"/>
      <c r="V2193" s="153"/>
      <c r="W2193" s="153"/>
      <c r="X2193" s="153"/>
      <c r="Y2193" s="153"/>
      <c r="Z2193" s="153"/>
    </row>
    <row r="2194" spans="1:26">
      <c r="A2194" s="200"/>
      <c r="B2194" s="200"/>
      <c r="C2194" s="200"/>
      <c r="D2194" s="200"/>
      <c r="E2194" s="200"/>
      <c r="F2194" s="200"/>
      <c r="G2194" s="200"/>
      <c r="H2194" s="192"/>
      <c r="I2194" s="201"/>
      <c r="J2194" s="201"/>
      <c r="K2194" s="201"/>
      <c r="L2194" s="192"/>
      <c r="M2194" s="200"/>
      <c r="N2194" s="200"/>
      <c r="O2194" s="192"/>
      <c r="P2194" s="192"/>
      <c r="Q2194" s="192"/>
      <c r="R2194" s="192"/>
      <c r="S2194" s="200"/>
      <c r="T2194" s="203"/>
      <c r="U2194" s="153"/>
      <c r="V2194" s="153"/>
      <c r="W2194" s="153"/>
      <c r="X2194" s="153"/>
      <c r="Y2194" s="153"/>
      <c r="Z2194" s="153"/>
    </row>
    <row r="2195" spans="1:26">
      <c r="A2195" s="200"/>
      <c r="B2195" s="200"/>
      <c r="C2195" s="200"/>
      <c r="D2195" s="200"/>
      <c r="E2195" s="200"/>
      <c r="F2195" s="200"/>
      <c r="G2195" s="200"/>
      <c r="H2195" s="192"/>
      <c r="I2195" s="201"/>
      <c r="J2195" s="201"/>
      <c r="K2195" s="201"/>
      <c r="L2195" s="192"/>
      <c r="M2195" s="200"/>
      <c r="N2195" s="200"/>
      <c r="O2195" s="192"/>
      <c r="P2195" s="192"/>
      <c r="Q2195" s="192"/>
      <c r="R2195" s="192"/>
      <c r="S2195" s="200"/>
      <c r="T2195" s="203"/>
      <c r="U2195" s="153"/>
      <c r="V2195" s="153"/>
      <c r="W2195" s="153"/>
      <c r="X2195" s="153"/>
      <c r="Y2195" s="153"/>
      <c r="Z2195" s="153"/>
    </row>
    <row r="2196" spans="1:26">
      <c r="A2196" s="200"/>
      <c r="B2196" s="200"/>
      <c r="C2196" s="200"/>
      <c r="D2196" s="200"/>
      <c r="E2196" s="200"/>
      <c r="F2196" s="200"/>
      <c r="G2196" s="200"/>
      <c r="H2196" s="192"/>
      <c r="I2196" s="201"/>
      <c r="J2196" s="201"/>
      <c r="K2196" s="201"/>
      <c r="L2196" s="192"/>
      <c r="M2196" s="200"/>
      <c r="N2196" s="200"/>
      <c r="O2196" s="192"/>
      <c r="P2196" s="192"/>
      <c r="Q2196" s="192"/>
      <c r="R2196" s="192"/>
      <c r="S2196" s="200"/>
      <c r="T2196" s="203"/>
      <c r="U2196" s="153"/>
      <c r="V2196" s="153"/>
      <c r="W2196" s="153"/>
      <c r="X2196" s="153"/>
      <c r="Y2196" s="153"/>
      <c r="Z2196" s="153"/>
    </row>
    <row r="2197" spans="1:26">
      <c r="A2197" s="200"/>
      <c r="B2197" s="200"/>
      <c r="C2197" s="200"/>
      <c r="D2197" s="200"/>
      <c r="E2197" s="200"/>
      <c r="F2197" s="200"/>
      <c r="G2197" s="200"/>
      <c r="H2197" s="192"/>
      <c r="I2197" s="201"/>
      <c r="J2197" s="201"/>
      <c r="K2197" s="201"/>
      <c r="L2197" s="192"/>
      <c r="M2197" s="200"/>
      <c r="N2197" s="200"/>
      <c r="O2197" s="192"/>
      <c r="P2197" s="192"/>
      <c r="Q2197" s="192"/>
      <c r="R2197" s="192"/>
      <c r="S2197" s="200"/>
      <c r="T2197" s="203"/>
      <c r="U2197" s="153"/>
      <c r="V2197" s="153"/>
      <c r="W2197" s="153"/>
      <c r="X2197" s="153"/>
      <c r="Y2197" s="153"/>
      <c r="Z2197" s="153"/>
    </row>
    <row r="2198" spans="1:26">
      <c r="A2198" s="200"/>
      <c r="B2198" s="200"/>
      <c r="C2198" s="200"/>
      <c r="D2198" s="200"/>
      <c r="E2198" s="200"/>
      <c r="F2198" s="200"/>
      <c r="G2198" s="200"/>
      <c r="H2198" s="192"/>
      <c r="I2198" s="201"/>
      <c r="J2198" s="201"/>
      <c r="K2198" s="201"/>
      <c r="L2198" s="192"/>
      <c r="M2198" s="200"/>
      <c r="N2198" s="200"/>
      <c r="O2198" s="192"/>
      <c r="P2198" s="192"/>
      <c r="Q2198" s="192"/>
      <c r="R2198" s="192"/>
      <c r="S2198" s="200"/>
      <c r="T2198" s="203"/>
      <c r="U2198" s="153"/>
      <c r="V2198" s="153"/>
      <c r="W2198" s="153"/>
      <c r="X2198" s="153"/>
      <c r="Y2198" s="153"/>
      <c r="Z2198" s="153"/>
    </row>
    <row r="2199" spans="1:26">
      <c r="A2199" s="200"/>
      <c r="B2199" s="200"/>
      <c r="C2199" s="200"/>
      <c r="D2199" s="200"/>
      <c r="E2199" s="200"/>
      <c r="F2199" s="200"/>
      <c r="G2199" s="200"/>
      <c r="H2199" s="192"/>
      <c r="I2199" s="201"/>
      <c r="J2199" s="201"/>
      <c r="K2199" s="201"/>
      <c r="L2199" s="192"/>
      <c r="M2199" s="200"/>
      <c r="N2199" s="200"/>
      <c r="O2199" s="192"/>
      <c r="P2199" s="192"/>
      <c r="Q2199" s="192"/>
      <c r="R2199" s="192"/>
      <c r="S2199" s="200"/>
      <c r="T2199" s="203"/>
      <c r="U2199" s="153"/>
      <c r="V2199" s="153"/>
      <c r="W2199" s="153"/>
      <c r="X2199" s="153"/>
      <c r="Y2199" s="153"/>
      <c r="Z2199" s="153"/>
    </row>
    <row r="2200" spans="1:26">
      <c r="A2200" s="200"/>
      <c r="B2200" s="200"/>
      <c r="C2200" s="200"/>
      <c r="D2200" s="200"/>
      <c r="E2200" s="200"/>
      <c r="F2200" s="200"/>
      <c r="G2200" s="200"/>
      <c r="H2200" s="192"/>
      <c r="I2200" s="201"/>
      <c r="J2200" s="201"/>
      <c r="K2200" s="201"/>
      <c r="L2200" s="192"/>
      <c r="M2200" s="200"/>
      <c r="N2200" s="200"/>
      <c r="O2200" s="192"/>
      <c r="P2200" s="192"/>
      <c r="Q2200" s="192"/>
      <c r="R2200" s="192"/>
      <c r="S2200" s="200"/>
      <c r="T2200" s="203"/>
      <c r="U2200" s="153"/>
      <c r="V2200" s="153"/>
      <c r="W2200" s="153"/>
      <c r="X2200" s="153"/>
      <c r="Y2200" s="153"/>
      <c r="Z2200" s="153"/>
    </row>
    <row r="2201" spans="1:26">
      <c r="A2201" s="200"/>
      <c r="B2201" s="200"/>
      <c r="C2201" s="200"/>
      <c r="D2201" s="200"/>
      <c r="E2201" s="200"/>
      <c r="F2201" s="200"/>
      <c r="G2201" s="200"/>
      <c r="H2201" s="192"/>
      <c r="I2201" s="201"/>
      <c r="J2201" s="201"/>
      <c r="K2201" s="201"/>
      <c r="L2201" s="192"/>
      <c r="M2201" s="200"/>
      <c r="N2201" s="200"/>
      <c r="O2201" s="192"/>
      <c r="P2201" s="192"/>
      <c r="Q2201" s="192"/>
      <c r="R2201" s="192"/>
      <c r="S2201" s="200"/>
      <c r="T2201" s="203"/>
      <c r="U2201" s="153"/>
      <c r="V2201" s="153"/>
      <c r="W2201" s="153"/>
      <c r="X2201" s="153"/>
      <c r="Y2201" s="153"/>
      <c r="Z2201" s="153"/>
    </row>
    <row r="2202" spans="1:26">
      <c r="A2202" s="200"/>
      <c r="B2202" s="200"/>
      <c r="C2202" s="200"/>
      <c r="D2202" s="200"/>
      <c r="E2202" s="200"/>
      <c r="F2202" s="200"/>
      <c r="G2202" s="200"/>
      <c r="H2202" s="192"/>
      <c r="I2202" s="201"/>
      <c r="J2202" s="201"/>
      <c r="K2202" s="201"/>
      <c r="L2202" s="192"/>
      <c r="M2202" s="200"/>
      <c r="N2202" s="200"/>
      <c r="O2202" s="192"/>
      <c r="P2202" s="192"/>
      <c r="Q2202" s="192"/>
      <c r="R2202" s="192"/>
      <c r="S2202" s="200"/>
      <c r="T2202" s="203"/>
      <c r="U2202" s="153"/>
      <c r="V2202" s="153"/>
      <c r="W2202" s="153"/>
      <c r="X2202" s="153"/>
      <c r="Y2202" s="153"/>
      <c r="Z2202" s="153"/>
    </row>
    <row r="2203" spans="1:26">
      <c r="A2203" s="200"/>
      <c r="B2203" s="200"/>
      <c r="C2203" s="200"/>
      <c r="D2203" s="200"/>
      <c r="E2203" s="200"/>
      <c r="F2203" s="200"/>
      <c r="G2203" s="200"/>
      <c r="H2203" s="192"/>
      <c r="I2203" s="201"/>
      <c r="J2203" s="201"/>
      <c r="K2203" s="201"/>
      <c r="L2203" s="192"/>
      <c r="M2203" s="200"/>
      <c r="N2203" s="200"/>
      <c r="O2203" s="192"/>
      <c r="P2203" s="192"/>
      <c r="Q2203" s="192"/>
      <c r="R2203" s="192"/>
      <c r="S2203" s="200"/>
      <c r="T2203" s="203"/>
      <c r="U2203" s="153"/>
      <c r="V2203" s="153"/>
      <c r="W2203" s="153"/>
      <c r="X2203" s="153"/>
      <c r="Y2203" s="153"/>
      <c r="Z2203" s="153"/>
    </row>
    <row r="2204" spans="1:26">
      <c r="A2204" s="200"/>
      <c r="B2204" s="200"/>
      <c r="C2204" s="200"/>
      <c r="D2204" s="200"/>
      <c r="E2204" s="200"/>
      <c r="F2204" s="200"/>
      <c r="G2204" s="200"/>
      <c r="H2204" s="192"/>
      <c r="I2204" s="201"/>
      <c r="J2204" s="201"/>
      <c r="K2204" s="201"/>
      <c r="L2204" s="192"/>
      <c r="M2204" s="200"/>
      <c r="N2204" s="200"/>
      <c r="O2204" s="192"/>
      <c r="P2204" s="192"/>
      <c r="Q2204" s="192"/>
      <c r="R2204" s="192"/>
      <c r="S2204" s="200"/>
      <c r="T2204" s="203"/>
      <c r="U2204" s="153"/>
      <c r="V2204" s="153"/>
      <c r="W2204" s="153"/>
      <c r="X2204" s="153"/>
      <c r="Y2204" s="153"/>
      <c r="Z2204" s="153"/>
    </row>
    <row r="2205" spans="1:26">
      <c r="A2205" s="200"/>
      <c r="B2205" s="200"/>
      <c r="C2205" s="200"/>
      <c r="D2205" s="200"/>
      <c r="E2205" s="200"/>
      <c r="F2205" s="200"/>
      <c r="G2205" s="200"/>
      <c r="H2205" s="192"/>
      <c r="I2205" s="201"/>
      <c r="J2205" s="201"/>
      <c r="K2205" s="201"/>
      <c r="L2205" s="192"/>
      <c r="M2205" s="200"/>
      <c r="N2205" s="200"/>
      <c r="O2205" s="192"/>
      <c r="P2205" s="192"/>
      <c r="Q2205" s="192"/>
      <c r="R2205" s="192"/>
      <c r="S2205" s="200"/>
      <c r="T2205" s="203"/>
      <c r="U2205" s="153"/>
      <c r="V2205" s="153"/>
      <c r="W2205" s="153"/>
      <c r="X2205" s="153"/>
      <c r="Y2205" s="153"/>
      <c r="Z2205" s="153"/>
    </row>
    <row r="2206" spans="1:26">
      <c r="A2206" s="200"/>
      <c r="B2206" s="200"/>
      <c r="C2206" s="200"/>
      <c r="D2206" s="200"/>
      <c r="E2206" s="200"/>
      <c r="F2206" s="200"/>
      <c r="G2206" s="200"/>
      <c r="H2206" s="192"/>
      <c r="I2206" s="201"/>
      <c r="J2206" s="201"/>
      <c r="K2206" s="201"/>
      <c r="L2206" s="192"/>
      <c r="M2206" s="200"/>
      <c r="N2206" s="200"/>
      <c r="O2206" s="192"/>
      <c r="P2206" s="192"/>
      <c r="Q2206" s="192"/>
      <c r="R2206" s="192"/>
      <c r="S2206" s="200"/>
      <c r="T2206" s="203"/>
      <c r="U2206" s="153"/>
      <c r="V2206" s="153"/>
      <c r="W2206" s="153"/>
      <c r="X2206" s="153"/>
      <c r="Y2206" s="153"/>
      <c r="Z2206" s="153"/>
    </row>
    <row r="2207" spans="1:26">
      <c r="A2207" s="200"/>
      <c r="B2207" s="200"/>
      <c r="C2207" s="200"/>
      <c r="D2207" s="200"/>
      <c r="E2207" s="200"/>
      <c r="F2207" s="200"/>
      <c r="G2207" s="200"/>
      <c r="H2207" s="192"/>
      <c r="I2207" s="201"/>
      <c r="J2207" s="201"/>
      <c r="K2207" s="201"/>
      <c r="L2207" s="192"/>
      <c r="M2207" s="200"/>
      <c r="N2207" s="200"/>
      <c r="O2207" s="192"/>
      <c r="P2207" s="192"/>
      <c r="Q2207" s="192"/>
      <c r="R2207" s="192"/>
      <c r="S2207" s="200"/>
      <c r="T2207" s="203"/>
      <c r="U2207" s="153"/>
      <c r="V2207" s="153"/>
      <c r="W2207" s="153"/>
      <c r="X2207" s="153"/>
      <c r="Y2207" s="153"/>
      <c r="Z2207" s="153"/>
    </row>
    <row r="2208" spans="1:26">
      <c r="A2208" s="200"/>
      <c r="B2208" s="200"/>
      <c r="C2208" s="200"/>
      <c r="D2208" s="200"/>
      <c r="E2208" s="200"/>
      <c r="F2208" s="200"/>
      <c r="G2208" s="200"/>
      <c r="H2208" s="192"/>
      <c r="I2208" s="201"/>
      <c r="J2208" s="201"/>
      <c r="K2208" s="201"/>
      <c r="L2208" s="192"/>
      <c r="M2208" s="200"/>
      <c r="N2208" s="200"/>
      <c r="O2208" s="192"/>
      <c r="P2208" s="192"/>
      <c r="Q2208" s="192"/>
      <c r="R2208" s="192"/>
      <c r="S2208" s="200"/>
      <c r="T2208" s="203"/>
      <c r="U2208" s="153"/>
      <c r="V2208" s="153"/>
      <c r="W2208" s="153"/>
      <c r="X2208" s="153"/>
      <c r="Y2208" s="153"/>
      <c r="Z2208" s="153"/>
    </row>
    <row r="2209" spans="1:26">
      <c r="A2209" s="200"/>
      <c r="B2209" s="200"/>
      <c r="C2209" s="200"/>
      <c r="D2209" s="200"/>
      <c r="E2209" s="200"/>
      <c r="F2209" s="200"/>
      <c r="G2209" s="200"/>
      <c r="H2209" s="192"/>
      <c r="I2209" s="201"/>
      <c r="J2209" s="201"/>
      <c r="K2209" s="201"/>
      <c r="L2209" s="192"/>
      <c r="M2209" s="200"/>
      <c r="N2209" s="200"/>
      <c r="O2209" s="192"/>
      <c r="P2209" s="192"/>
      <c r="Q2209" s="192"/>
      <c r="R2209" s="192"/>
      <c r="S2209" s="200"/>
      <c r="T2209" s="203"/>
      <c r="U2209" s="153"/>
      <c r="V2209" s="153"/>
      <c r="W2209" s="153"/>
      <c r="X2209" s="153"/>
      <c r="Y2209" s="153"/>
      <c r="Z2209" s="153"/>
    </row>
    <row r="2210" spans="1:26">
      <c r="A2210" s="200"/>
      <c r="B2210" s="200"/>
      <c r="C2210" s="200"/>
      <c r="D2210" s="200"/>
      <c r="E2210" s="200"/>
      <c r="F2210" s="200"/>
      <c r="G2210" s="200"/>
      <c r="H2210" s="192"/>
      <c r="I2210" s="201"/>
      <c r="J2210" s="201"/>
      <c r="K2210" s="201"/>
      <c r="L2210" s="192"/>
      <c r="M2210" s="200"/>
      <c r="N2210" s="200"/>
      <c r="O2210" s="192"/>
      <c r="P2210" s="192"/>
      <c r="Q2210" s="192"/>
      <c r="R2210" s="192"/>
      <c r="S2210" s="200"/>
      <c r="T2210" s="203"/>
      <c r="U2210" s="153"/>
      <c r="V2210" s="153"/>
      <c r="W2210" s="153"/>
      <c r="X2210" s="153"/>
      <c r="Y2210" s="153"/>
      <c r="Z2210" s="153"/>
    </row>
    <row r="2211" spans="1:26">
      <c r="A2211" s="200"/>
      <c r="B2211" s="200"/>
      <c r="C2211" s="200"/>
      <c r="D2211" s="200"/>
      <c r="E2211" s="200"/>
      <c r="F2211" s="200"/>
      <c r="G2211" s="200"/>
      <c r="H2211" s="192"/>
      <c r="I2211" s="201"/>
      <c r="J2211" s="201"/>
      <c r="K2211" s="201"/>
      <c r="L2211" s="192"/>
      <c r="M2211" s="200"/>
      <c r="N2211" s="200"/>
      <c r="O2211" s="192"/>
      <c r="P2211" s="192"/>
      <c r="Q2211" s="192"/>
      <c r="R2211" s="192"/>
      <c r="S2211" s="200"/>
      <c r="T2211" s="203"/>
      <c r="U2211" s="153"/>
      <c r="V2211" s="153"/>
      <c r="W2211" s="153"/>
      <c r="X2211" s="153"/>
      <c r="Y2211" s="153"/>
      <c r="Z2211" s="153"/>
    </row>
    <row r="2212" spans="1:26">
      <c r="A2212" s="200"/>
      <c r="B2212" s="200"/>
      <c r="C2212" s="200"/>
      <c r="D2212" s="200"/>
      <c r="E2212" s="200"/>
      <c r="F2212" s="200"/>
      <c r="G2212" s="200"/>
      <c r="H2212" s="192"/>
      <c r="I2212" s="201"/>
      <c r="J2212" s="201"/>
      <c r="K2212" s="201"/>
      <c r="L2212" s="192"/>
      <c r="M2212" s="200"/>
      <c r="N2212" s="200"/>
      <c r="O2212" s="192"/>
      <c r="P2212" s="192"/>
      <c r="Q2212" s="192"/>
      <c r="R2212" s="192"/>
      <c r="S2212" s="200"/>
      <c r="T2212" s="203"/>
      <c r="U2212" s="153"/>
      <c r="V2212" s="153"/>
      <c r="W2212" s="153"/>
      <c r="X2212" s="153"/>
      <c r="Y2212" s="153"/>
      <c r="Z2212" s="153"/>
    </row>
    <row r="2213" spans="1:26">
      <c r="A2213" s="200"/>
      <c r="B2213" s="200"/>
      <c r="C2213" s="200"/>
      <c r="D2213" s="200"/>
      <c r="E2213" s="200"/>
      <c r="F2213" s="200"/>
      <c r="G2213" s="200"/>
      <c r="H2213" s="192"/>
      <c r="I2213" s="201"/>
      <c r="J2213" s="201"/>
      <c r="K2213" s="201"/>
      <c r="L2213" s="192"/>
      <c r="M2213" s="200"/>
      <c r="N2213" s="200"/>
      <c r="O2213" s="192"/>
      <c r="P2213" s="192"/>
      <c r="Q2213" s="192"/>
      <c r="R2213" s="192"/>
      <c r="S2213" s="200"/>
      <c r="T2213" s="203"/>
      <c r="U2213" s="153"/>
      <c r="V2213" s="153"/>
      <c r="W2213" s="153"/>
      <c r="X2213" s="153"/>
      <c r="Y2213" s="153"/>
      <c r="Z2213" s="153"/>
    </row>
    <row r="2214" spans="1:26">
      <c r="A2214" s="200"/>
      <c r="B2214" s="200"/>
      <c r="C2214" s="200"/>
      <c r="D2214" s="200"/>
      <c r="E2214" s="200"/>
      <c r="F2214" s="200"/>
      <c r="G2214" s="200"/>
      <c r="H2214" s="192"/>
      <c r="I2214" s="201"/>
      <c r="J2214" s="201"/>
      <c r="K2214" s="201"/>
      <c r="L2214" s="192"/>
      <c r="M2214" s="200"/>
      <c r="N2214" s="200"/>
      <c r="O2214" s="192"/>
      <c r="P2214" s="192"/>
      <c r="Q2214" s="192"/>
      <c r="R2214" s="192"/>
      <c r="S2214" s="200"/>
      <c r="T2214" s="203"/>
      <c r="U2214" s="153"/>
      <c r="V2214" s="153"/>
      <c r="W2214" s="153"/>
      <c r="X2214" s="153"/>
      <c r="Y2214" s="153"/>
      <c r="Z2214" s="153"/>
    </row>
    <row r="2215" spans="1:26">
      <c r="A2215" s="200"/>
      <c r="B2215" s="200"/>
      <c r="C2215" s="200"/>
      <c r="D2215" s="200"/>
      <c r="E2215" s="200"/>
      <c r="F2215" s="200"/>
      <c r="G2215" s="200"/>
      <c r="H2215" s="192"/>
      <c r="I2215" s="201"/>
      <c r="J2215" s="201"/>
      <c r="K2215" s="201"/>
      <c r="L2215" s="192"/>
      <c r="M2215" s="200"/>
      <c r="N2215" s="200"/>
      <c r="O2215" s="192"/>
      <c r="P2215" s="192"/>
      <c r="Q2215" s="192"/>
      <c r="R2215" s="192"/>
      <c r="S2215" s="200"/>
      <c r="T2215" s="203"/>
      <c r="U2215" s="153"/>
      <c r="V2215" s="153"/>
      <c r="W2215" s="153"/>
      <c r="X2215" s="153"/>
      <c r="Y2215" s="153"/>
      <c r="Z2215" s="153"/>
    </row>
    <row r="2216" spans="1:26">
      <c r="A2216" s="200"/>
      <c r="B2216" s="200"/>
      <c r="C2216" s="200"/>
      <c r="D2216" s="200"/>
      <c r="E2216" s="200"/>
      <c r="F2216" s="200"/>
      <c r="G2216" s="200"/>
      <c r="H2216" s="192"/>
      <c r="I2216" s="201"/>
      <c r="J2216" s="201"/>
      <c r="K2216" s="201"/>
      <c r="L2216" s="192"/>
      <c r="M2216" s="200"/>
      <c r="N2216" s="200"/>
      <c r="O2216" s="192"/>
      <c r="P2216" s="192"/>
      <c r="Q2216" s="192"/>
      <c r="R2216" s="192"/>
      <c r="S2216" s="200"/>
      <c r="T2216" s="203"/>
      <c r="U2216" s="153"/>
      <c r="V2216" s="153"/>
      <c r="W2216" s="153"/>
      <c r="X2216" s="153"/>
      <c r="Y2216" s="153"/>
      <c r="Z2216" s="153"/>
    </row>
    <row r="2217" spans="1:26">
      <c r="A2217" s="200"/>
      <c r="B2217" s="200"/>
      <c r="C2217" s="200"/>
      <c r="D2217" s="200"/>
      <c r="E2217" s="200"/>
      <c r="F2217" s="200"/>
      <c r="G2217" s="200"/>
      <c r="H2217" s="192"/>
      <c r="I2217" s="201"/>
      <c r="J2217" s="201"/>
      <c r="K2217" s="201"/>
      <c r="L2217" s="192"/>
      <c r="M2217" s="200"/>
      <c r="N2217" s="200"/>
      <c r="O2217" s="192"/>
      <c r="P2217" s="192"/>
      <c r="Q2217" s="192"/>
      <c r="R2217" s="192"/>
      <c r="S2217" s="200"/>
      <c r="T2217" s="203"/>
      <c r="U2217" s="153"/>
      <c r="V2217" s="153"/>
      <c r="W2217" s="153"/>
      <c r="X2217" s="153"/>
      <c r="Y2217" s="153"/>
      <c r="Z2217" s="153"/>
    </row>
    <row r="2218" spans="1:26">
      <c r="A2218" s="200"/>
      <c r="B2218" s="200"/>
      <c r="C2218" s="200"/>
      <c r="D2218" s="200"/>
      <c r="E2218" s="200"/>
      <c r="F2218" s="200"/>
      <c r="G2218" s="200"/>
      <c r="H2218" s="192"/>
      <c r="I2218" s="201"/>
      <c r="J2218" s="201"/>
      <c r="K2218" s="201"/>
      <c r="L2218" s="192"/>
      <c r="M2218" s="200"/>
      <c r="N2218" s="200"/>
      <c r="O2218" s="192"/>
      <c r="P2218" s="192"/>
      <c r="Q2218" s="192"/>
      <c r="R2218" s="192"/>
      <c r="S2218" s="200"/>
      <c r="T2218" s="203"/>
      <c r="U2218" s="153"/>
      <c r="V2218" s="153"/>
      <c r="W2218" s="153"/>
      <c r="X2218" s="153"/>
      <c r="Y2218" s="153"/>
      <c r="Z2218" s="153"/>
    </row>
    <row r="2219" spans="1:26">
      <c r="A2219" s="200"/>
      <c r="B2219" s="200"/>
      <c r="C2219" s="200"/>
      <c r="D2219" s="200"/>
      <c r="E2219" s="200"/>
      <c r="F2219" s="200"/>
      <c r="G2219" s="200"/>
      <c r="H2219" s="192"/>
      <c r="I2219" s="201"/>
      <c r="J2219" s="201"/>
      <c r="K2219" s="201"/>
      <c r="L2219" s="192"/>
      <c r="M2219" s="200"/>
      <c r="N2219" s="200"/>
      <c r="O2219" s="192"/>
      <c r="P2219" s="192"/>
      <c r="Q2219" s="192"/>
      <c r="R2219" s="192"/>
      <c r="S2219" s="200"/>
      <c r="T2219" s="203"/>
      <c r="U2219" s="153"/>
      <c r="V2219" s="153"/>
      <c r="W2219" s="153"/>
      <c r="X2219" s="153"/>
      <c r="Y2219" s="153"/>
      <c r="Z2219" s="153"/>
    </row>
    <row r="2220" spans="1:26">
      <c r="A2220" s="200"/>
      <c r="B2220" s="200"/>
      <c r="C2220" s="200"/>
      <c r="D2220" s="200"/>
      <c r="E2220" s="200"/>
      <c r="F2220" s="200"/>
      <c r="G2220" s="200"/>
      <c r="H2220" s="192"/>
      <c r="I2220" s="201"/>
      <c r="J2220" s="201"/>
      <c r="K2220" s="201"/>
      <c r="L2220" s="192"/>
      <c r="M2220" s="200"/>
      <c r="N2220" s="200"/>
      <c r="O2220" s="192"/>
      <c r="P2220" s="192"/>
      <c r="Q2220" s="192"/>
      <c r="R2220" s="192"/>
      <c r="S2220" s="200"/>
      <c r="T2220" s="203"/>
      <c r="U2220" s="153"/>
      <c r="V2220" s="153"/>
      <c r="W2220" s="153"/>
      <c r="X2220" s="153"/>
      <c r="Y2220" s="153"/>
      <c r="Z2220" s="153"/>
    </row>
    <row r="2221" spans="1:26">
      <c r="A2221" s="200"/>
      <c r="B2221" s="200"/>
      <c r="C2221" s="200"/>
      <c r="D2221" s="200"/>
      <c r="E2221" s="200"/>
      <c r="F2221" s="200"/>
      <c r="G2221" s="200"/>
      <c r="H2221" s="192"/>
      <c r="I2221" s="201"/>
      <c r="J2221" s="201"/>
      <c r="K2221" s="201"/>
      <c r="L2221" s="192"/>
      <c r="M2221" s="200"/>
      <c r="N2221" s="200"/>
      <c r="O2221" s="192"/>
      <c r="P2221" s="192"/>
      <c r="Q2221" s="192"/>
      <c r="R2221" s="192"/>
      <c r="S2221" s="200"/>
      <c r="T2221" s="203"/>
      <c r="U2221" s="153"/>
      <c r="V2221" s="153"/>
      <c r="W2221" s="153"/>
      <c r="X2221" s="153"/>
      <c r="Y2221" s="153"/>
      <c r="Z2221" s="153"/>
    </row>
    <row r="2222" spans="1:26">
      <c r="A2222" s="200"/>
      <c r="B2222" s="200"/>
      <c r="C2222" s="200"/>
      <c r="D2222" s="200"/>
      <c r="E2222" s="200"/>
      <c r="F2222" s="200"/>
      <c r="G2222" s="200"/>
      <c r="H2222" s="192"/>
      <c r="I2222" s="201"/>
      <c r="J2222" s="201"/>
      <c r="K2222" s="201"/>
      <c r="L2222" s="192"/>
      <c r="M2222" s="200"/>
      <c r="N2222" s="200"/>
      <c r="O2222" s="192"/>
      <c r="P2222" s="192"/>
      <c r="Q2222" s="192"/>
      <c r="R2222" s="192"/>
      <c r="S2222" s="200"/>
      <c r="T2222" s="203"/>
      <c r="U2222" s="153"/>
      <c r="V2222" s="153"/>
      <c r="W2222" s="153"/>
      <c r="X2222" s="153"/>
      <c r="Y2222" s="153"/>
      <c r="Z2222" s="153"/>
    </row>
    <row r="2223" spans="1:26">
      <c r="A2223" s="200"/>
      <c r="B2223" s="200"/>
      <c r="C2223" s="200"/>
      <c r="D2223" s="200"/>
      <c r="E2223" s="200"/>
      <c r="F2223" s="200"/>
      <c r="G2223" s="200"/>
      <c r="H2223" s="192"/>
      <c r="I2223" s="201"/>
      <c r="J2223" s="201"/>
      <c r="K2223" s="201"/>
      <c r="L2223" s="192"/>
      <c r="M2223" s="200"/>
      <c r="N2223" s="200"/>
      <c r="O2223" s="192"/>
      <c r="P2223" s="192"/>
      <c r="Q2223" s="192"/>
      <c r="R2223" s="192"/>
      <c r="S2223" s="200"/>
      <c r="T2223" s="203"/>
      <c r="U2223" s="153"/>
      <c r="V2223" s="153"/>
      <c r="W2223" s="153"/>
      <c r="X2223" s="153"/>
      <c r="Y2223" s="153"/>
      <c r="Z2223" s="153"/>
    </row>
    <row r="2224" spans="1:26">
      <c r="A2224" s="200"/>
      <c r="B2224" s="200"/>
      <c r="C2224" s="200"/>
      <c r="D2224" s="200"/>
      <c r="E2224" s="200"/>
      <c r="F2224" s="200"/>
      <c r="G2224" s="200"/>
      <c r="H2224" s="192"/>
      <c r="I2224" s="201"/>
      <c r="J2224" s="201"/>
      <c r="K2224" s="201"/>
      <c r="L2224" s="192"/>
      <c r="M2224" s="200"/>
      <c r="N2224" s="200"/>
      <c r="O2224" s="192"/>
      <c r="P2224" s="192"/>
      <c r="Q2224" s="192"/>
      <c r="R2224" s="192"/>
      <c r="S2224" s="200"/>
      <c r="T2224" s="203"/>
      <c r="U2224" s="153"/>
      <c r="V2224" s="153"/>
      <c r="W2224" s="153"/>
      <c r="X2224" s="153"/>
      <c r="Y2224" s="153"/>
      <c r="Z2224" s="153"/>
    </row>
    <row r="2225" spans="1:26">
      <c r="A2225" s="200"/>
      <c r="B2225" s="200"/>
      <c r="C2225" s="200"/>
      <c r="D2225" s="200"/>
      <c r="E2225" s="200"/>
      <c r="F2225" s="200"/>
      <c r="G2225" s="200"/>
      <c r="H2225" s="192"/>
      <c r="I2225" s="201"/>
      <c r="J2225" s="201"/>
      <c r="K2225" s="201"/>
      <c r="L2225" s="192"/>
      <c r="M2225" s="200"/>
      <c r="N2225" s="200"/>
      <c r="O2225" s="192"/>
      <c r="P2225" s="192"/>
      <c r="Q2225" s="192"/>
      <c r="R2225" s="192"/>
      <c r="S2225" s="200"/>
      <c r="T2225" s="203"/>
      <c r="U2225" s="153"/>
      <c r="V2225" s="153"/>
      <c r="W2225" s="153"/>
      <c r="X2225" s="153"/>
      <c r="Y2225" s="153"/>
      <c r="Z2225" s="153"/>
    </row>
    <row r="2226" spans="1:26">
      <c r="A2226" s="200"/>
      <c r="B2226" s="200"/>
      <c r="C2226" s="200"/>
      <c r="D2226" s="200"/>
      <c r="E2226" s="200"/>
      <c r="F2226" s="200"/>
      <c r="G2226" s="200"/>
      <c r="H2226" s="192"/>
      <c r="I2226" s="201"/>
      <c r="J2226" s="201"/>
      <c r="K2226" s="201"/>
      <c r="L2226" s="192"/>
      <c r="M2226" s="200"/>
      <c r="N2226" s="200"/>
      <c r="O2226" s="192"/>
      <c r="P2226" s="192"/>
      <c r="Q2226" s="192"/>
      <c r="R2226" s="192"/>
      <c r="S2226" s="200"/>
      <c r="T2226" s="203"/>
      <c r="U2226" s="153"/>
      <c r="V2226" s="153"/>
      <c r="W2226" s="153"/>
      <c r="X2226" s="153"/>
      <c r="Y2226" s="153"/>
      <c r="Z2226" s="153"/>
    </row>
    <row r="2227" spans="1:26">
      <c r="A2227" s="200"/>
      <c r="B2227" s="200"/>
      <c r="C2227" s="200"/>
      <c r="D2227" s="200"/>
      <c r="E2227" s="200"/>
      <c r="F2227" s="200"/>
      <c r="G2227" s="200"/>
      <c r="H2227" s="192"/>
      <c r="I2227" s="201"/>
      <c r="J2227" s="201"/>
      <c r="K2227" s="201"/>
      <c r="L2227" s="192"/>
      <c r="M2227" s="200"/>
      <c r="N2227" s="200"/>
      <c r="O2227" s="192"/>
      <c r="P2227" s="192"/>
      <c r="Q2227" s="192"/>
      <c r="R2227" s="192"/>
      <c r="S2227" s="200"/>
      <c r="T2227" s="203"/>
      <c r="U2227" s="153"/>
      <c r="V2227" s="153"/>
      <c r="W2227" s="153"/>
      <c r="X2227" s="153"/>
      <c r="Y2227" s="153"/>
      <c r="Z2227" s="153"/>
    </row>
    <row r="2228" spans="1:26">
      <c r="A2228" s="200"/>
      <c r="B2228" s="200"/>
      <c r="C2228" s="200"/>
      <c r="D2228" s="200"/>
      <c r="E2228" s="200"/>
      <c r="F2228" s="200"/>
      <c r="G2228" s="200"/>
      <c r="H2228" s="192"/>
      <c r="I2228" s="201"/>
      <c r="J2228" s="201"/>
      <c r="K2228" s="201"/>
      <c r="L2228" s="192"/>
      <c r="M2228" s="200"/>
      <c r="N2228" s="200"/>
      <c r="O2228" s="192"/>
      <c r="P2228" s="192"/>
      <c r="Q2228" s="192"/>
      <c r="R2228" s="192"/>
      <c r="S2228" s="200"/>
      <c r="T2228" s="203"/>
      <c r="U2228" s="153"/>
      <c r="V2228" s="153"/>
      <c r="W2228" s="153"/>
      <c r="X2228" s="153"/>
      <c r="Y2228" s="153"/>
      <c r="Z2228" s="153"/>
    </row>
    <row r="2229" spans="1:26">
      <c r="A2229" s="200"/>
      <c r="B2229" s="200"/>
      <c r="C2229" s="200"/>
      <c r="D2229" s="200"/>
      <c r="E2229" s="200"/>
      <c r="F2229" s="200"/>
      <c r="G2229" s="200"/>
      <c r="H2229" s="192"/>
      <c r="I2229" s="201"/>
      <c r="J2229" s="201"/>
      <c r="K2229" s="201"/>
      <c r="L2229" s="192"/>
      <c r="M2229" s="200"/>
      <c r="N2229" s="200"/>
      <c r="O2229" s="192"/>
      <c r="P2229" s="192"/>
      <c r="Q2229" s="192"/>
      <c r="R2229" s="192"/>
      <c r="S2229" s="200"/>
      <c r="T2229" s="203"/>
      <c r="U2229" s="153"/>
      <c r="V2229" s="153"/>
      <c r="W2229" s="153"/>
      <c r="X2229" s="153"/>
      <c r="Y2229" s="153"/>
      <c r="Z2229" s="153"/>
    </row>
    <row r="2230" spans="1:26">
      <c r="A2230" s="200"/>
      <c r="B2230" s="200"/>
      <c r="C2230" s="200"/>
      <c r="D2230" s="200"/>
      <c r="E2230" s="200"/>
      <c r="F2230" s="200"/>
      <c r="G2230" s="200"/>
      <c r="H2230" s="192"/>
      <c r="I2230" s="201"/>
      <c r="J2230" s="201"/>
      <c r="K2230" s="201"/>
      <c r="L2230" s="192"/>
      <c r="M2230" s="200"/>
      <c r="N2230" s="200"/>
      <c r="O2230" s="192"/>
      <c r="P2230" s="192"/>
      <c r="Q2230" s="192"/>
      <c r="R2230" s="192"/>
      <c r="S2230" s="200"/>
      <c r="T2230" s="203"/>
      <c r="U2230" s="153"/>
      <c r="V2230" s="153"/>
      <c r="W2230" s="153"/>
      <c r="X2230" s="153"/>
      <c r="Y2230" s="153"/>
      <c r="Z2230" s="153"/>
    </row>
    <row r="2231" spans="1:26">
      <c r="A2231" s="200"/>
      <c r="B2231" s="200"/>
      <c r="C2231" s="200"/>
      <c r="D2231" s="200"/>
      <c r="E2231" s="200"/>
      <c r="F2231" s="200"/>
      <c r="G2231" s="200"/>
      <c r="H2231" s="192"/>
      <c r="I2231" s="201"/>
      <c r="J2231" s="201"/>
      <c r="K2231" s="201"/>
      <c r="L2231" s="192"/>
      <c r="M2231" s="200"/>
      <c r="N2231" s="200"/>
      <c r="O2231" s="192"/>
      <c r="P2231" s="192"/>
      <c r="Q2231" s="192"/>
      <c r="R2231" s="192"/>
      <c r="S2231" s="200"/>
      <c r="T2231" s="203"/>
      <c r="U2231" s="153"/>
      <c r="V2231" s="153"/>
      <c r="W2231" s="153"/>
      <c r="X2231" s="153"/>
      <c r="Y2231" s="153"/>
      <c r="Z2231" s="153"/>
    </row>
    <row r="2232" spans="1:26">
      <c r="A2232" s="200"/>
      <c r="B2232" s="200"/>
      <c r="C2232" s="200"/>
      <c r="D2232" s="200"/>
      <c r="E2232" s="200"/>
      <c r="F2232" s="200"/>
      <c r="G2232" s="200"/>
      <c r="H2232" s="192"/>
      <c r="I2232" s="201"/>
      <c r="J2232" s="201"/>
      <c r="K2232" s="201"/>
      <c r="L2232" s="192"/>
      <c r="M2232" s="200"/>
      <c r="N2232" s="200"/>
      <c r="O2232" s="192"/>
      <c r="P2232" s="192"/>
      <c r="Q2232" s="192"/>
      <c r="R2232" s="192"/>
      <c r="S2232" s="200"/>
      <c r="T2232" s="203"/>
      <c r="U2232" s="153"/>
      <c r="V2232" s="153"/>
      <c r="W2232" s="153"/>
      <c r="X2232" s="153"/>
      <c r="Y2232" s="153"/>
      <c r="Z2232" s="153"/>
    </row>
    <row r="2233" spans="1:26">
      <c r="A2233" s="200"/>
      <c r="B2233" s="200"/>
      <c r="C2233" s="200"/>
      <c r="D2233" s="200"/>
      <c r="E2233" s="200"/>
      <c r="F2233" s="200"/>
      <c r="G2233" s="200"/>
      <c r="H2233" s="192"/>
      <c r="I2233" s="201"/>
      <c r="J2233" s="201"/>
      <c r="K2233" s="201"/>
      <c r="L2233" s="192"/>
      <c r="M2233" s="200"/>
      <c r="N2233" s="200"/>
      <c r="O2233" s="192"/>
      <c r="P2233" s="192"/>
      <c r="Q2233" s="192"/>
      <c r="R2233" s="192"/>
      <c r="S2233" s="200"/>
      <c r="T2233" s="203"/>
      <c r="U2233" s="153"/>
      <c r="V2233" s="153"/>
      <c r="W2233" s="153"/>
      <c r="X2233" s="153"/>
      <c r="Y2233" s="153"/>
      <c r="Z2233" s="153"/>
    </row>
    <row r="2234" spans="1:26">
      <c r="A2234" s="200"/>
      <c r="B2234" s="200"/>
      <c r="C2234" s="200"/>
      <c r="D2234" s="200"/>
      <c r="E2234" s="200"/>
      <c r="F2234" s="200"/>
      <c r="G2234" s="200"/>
      <c r="H2234" s="192"/>
      <c r="I2234" s="201"/>
      <c r="J2234" s="201"/>
      <c r="K2234" s="201"/>
      <c r="L2234" s="192"/>
      <c r="M2234" s="200"/>
      <c r="N2234" s="200"/>
      <c r="O2234" s="192"/>
      <c r="P2234" s="192"/>
      <c r="Q2234" s="192"/>
      <c r="R2234" s="192"/>
      <c r="S2234" s="200"/>
      <c r="T2234" s="203"/>
      <c r="U2234" s="153"/>
      <c r="V2234" s="153"/>
      <c r="W2234" s="153"/>
      <c r="X2234" s="153"/>
      <c r="Y2234" s="153"/>
      <c r="Z2234" s="153"/>
    </row>
    <row r="2235" spans="1:26">
      <c r="A2235" s="200"/>
      <c r="B2235" s="200"/>
      <c r="C2235" s="200"/>
      <c r="D2235" s="200"/>
      <c r="E2235" s="200"/>
      <c r="F2235" s="200"/>
      <c r="G2235" s="200"/>
      <c r="H2235" s="192"/>
      <c r="I2235" s="201"/>
      <c r="J2235" s="201"/>
      <c r="K2235" s="201"/>
      <c r="L2235" s="192"/>
      <c r="M2235" s="200"/>
      <c r="N2235" s="200"/>
      <c r="O2235" s="192"/>
      <c r="P2235" s="192"/>
      <c r="Q2235" s="192"/>
      <c r="R2235" s="192"/>
      <c r="S2235" s="200"/>
      <c r="T2235" s="203"/>
      <c r="U2235" s="153"/>
      <c r="V2235" s="153"/>
      <c r="W2235" s="153"/>
      <c r="X2235" s="153"/>
      <c r="Y2235" s="153"/>
      <c r="Z2235" s="153"/>
    </row>
    <row r="2236" spans="1:26">
      <c r="A2236" s="200"/>
      <c r="B2236" s="200"/>
      <c r="C2236" s="200"/>
      <c r="D2236" s="200"/>
      <c r="E2236" s="200"/>
      <c r="F2236" s="200"/>
      <c r="G2236" s="200"/>
      <c r="H2236" s="192"/>
      <c r="I2236" s="201"/>
      <c r="J2236" s="201"/>
      <c r="K2236" s="201"/>
      <c r="L2236" s="192"/>
      <c r="M2236" s="200"/>
      <c r="N2236" s="200"/>
      <c r="O2236" s="192"/>
      <c r="P2236" s="192"/>
      <c r="Q2236" s="192"/>
      <c r="R2236" s="192"/>
      <c r="S2236" s="200"/>
      <c r="T2236" s="203"/>
      <c r="U2236" s="153"/>
      <c r="V2236" s="153"/>
      <c r="W2236" s="153"/>
      <c r="X2236" s="153"/>
      <c r="Y2236" s="153"/>
      <c r="Z2236" s="153"/>
    </row>
    <row r="2237" spans="1:26">
      <c r="A2237" s="200"/>
      <c r="B2237" s="200"/>
      <c r="C2237" s="200"/>
      <c r="D2237" s="200"/>
      <c r="E2237" s="200"/>
      <c r="F2237" s="200"/>
      <c r="G2237" s="200"/>
      <c r="H2237" s="192"/>
      <c r="I2237" s="201"/>
      <c r="J2237" s="201"/>
      <c r="K2237" s="201"/>
      <c r="L2237" s="192"/>
      <c r="M2237" s="200"/>
      <c r="N2237" s="200"/>
      <c r="O2237" s="192"/>
      <c r="P2237" s="192"/>
      <c r="Q2237" s="192"/>
      <c r="R2237" s="192"/>
      <c r="S2237" s="200"/>
      <c r="T2237" s="203"/>
      <c r="U2237" s="153"/>
      <c r="V2237" s="153"/>
      <c r="W2237" s="153"/>
      <c r="X2237" s="153"/>
      <c r="Y2237" s="153"/>
      <c r="Z2237" s="153"/>
    </row>
    <row r="2238" spans="1:26">
      <c r="A2238" s="200"/>
      <c r="B2238" s="200"/>
      <c r="C2238" s="200"/>
      <c r="D2238" s="200"/>
      <c r="E2238" s="200"/>
      <c r="F2238" s="200"/>
      <c r="G2238" s="200"/>
      <c r="H2238" s="192"/>
      <c r="I2238" s="201"/>
      <c r="J2238" s="201"/>
      <c r="K2238" s="201"/>
      <c r="L2238" s="192"/>
      <c r="M2238" s="200"/>
      <c r="N2238" s="200"/>
      <c r="O2238" s="192"/>
      <c r="P2238" s="192"/>
      <c r="Q2238" s="192"/>
      <c r="R2238" s="192"/>
      <c r="S2238" s="200"/>
      <c r="T2238" s="203"/>
      <c r="U2238" s="153"/>
      <c r="V2238" s="153"/>
      <c r="W2238" s="153"/>
      <c r="X2238" s="153"/>
      <c r="Y2238" s="153"/>
      <c r="Z2238" s="153"/>
    </row>
    <row r="2239" spans="1:26">
      <c r="A2239" s="200"/>
      <c r="B2239" s="200"/>
      <c r="C2239" s="200"/>
      <c r="D2239" s="200"/>
      <c r="E2239" s="200"/>
      <c r="F2239" s="200"/>
      <c r="G2239" s="200"/>
      <c r="H2239" s="192"/>
      <c r="I2239" s="201"/>
      <c r="J2239" s="201"/>
      <c r="K2239" s="201"/>
      <c r="L2239" s="192"/>
      <c r="M2239" s="200"/>
      <c r="N2239" s="200"/>
      <c r="O2239" s="192"/>
      <c r="P2239" s="192"/>
      <c r="Q2239" s="192"/>
      <c r="R2239" s="192"/>
      <c r="S2239" s="200"/>
      <c r="T2239" s="203"/>
      <c r="U2239" s="153"/>
      <c r="V2239" s="153"/>
      <c r="W2239" s="153"/>
      <c r="X2239" s="153"/>
      <c r="Y2239" s="153"/>
      <c r="Z2239" s="153"/>
    </row>
    <row r="2240" spans="1:26">
      <c r="A2240" s="200"/>
      <c r="B2240" s="200"/>
      <c r="C2240" s="200"/>
      <c r="D2240" s="200"/>
      <c r="E2240" s="200"/>
      <c r="F2240" s="200"/>
      <c r="G2240" s="200"/>
      <c r="H2240" s="192"/>
      <c r="I2240" s="201"/>
      <c r="J2240" s="201"/>
      <c r="K2240" s="201"/>
      <c r="L2240" s="192"/>
      <c r="M2240" s="200"/>
      <c r="N2240" s="200"/>
      <c r="O2240" s="192"/>
      <c r="P2240" s="192"/>
      <c r="Q2240" s="192"/>
      <c r="R2240" s="192"/>
      <c r="S2240" s="200"/>
      <c r="T2240" s="203"/>
      <c r="U2240" s="153"/>
      <c r="V2240" s="153"/>
      <c r="W2240" s="153"/>
      <c r="X2240" s="153"/>
      <c r="Y2240" s="153"/>
      <c r="Z2240" s="153"/>
    </row>
    <row r="2241" spans="1:26">
      <c r="A2241" s="200"/>
      <c r="B2241" s="200"/>
      <c r="C2241" s="200"/>
      <c r="D2241" s="200"/>
      <c r="E2241" s="200"/>
      <c r="F2241" s="200"/>
      <c r="G2241" s="200"/>
      <c r="H2241" s="192"/>
      <c r="I2241" s="201"/>
      <c r="J2241" s="201"/>
      <c r="K2241" s="201"/>
      <c r="L2241" s="192"/>
      <c r="M2241" s="200"/>
      <c r="N2241" s="200"/>
      <c r="O2241" s="192"/>
      <c r="P2241" s="192"/>
      <c r="Q2241" s="192"/>
      <c r="R2241" s="192"/>
      <c r="S2241" s="200"/>
      <c r="T2241" s="203"/>
      <c r="U2241" s="153"/>
      <c r="V2241" s="153"/>
      <c r="W2241" s="153"/>
      <c r="X2241" s="153"/>
      <c r="Y2241" s="153"/>
      <c r="Z2241" s="153"/>
    </row>
    <row r="2242" spans="1:26">
      <c r="A2242" s="200"/>
      <c r="B2242" s="200"/>
      <c r="C2242" s="200"/>
      <c r="D2242" s="200"/>
      <c r="E2242" s="200"/>
      <c r="F2242" s="200"/>
      <c r="G2242" s="200"/>
      <c r="H2242" s="192"/>
      <c r="I2242" s="201"/>
      <c r="J2242" s="201"/>
      <c r="K2242" s="201"/>
      <c r="L2242" s="192"/>
      <c r="M2242" s="200"/>
      <c r="N2242" s="200"/>
      <c r="O2242" s="192"/>
      <c r="P2242" s="192"/>
      <c r="Q2242" s="192"/>
      <c r="R2242" s="192"/>
      <c r="S2242" s="200"/>
      <c r="T2242" s="203"/>
      <c r="U2242" s="153"/>
      <c r="V2242" s="153"/>
      <c r="W2242" s="153"/>
      <c r="X2242" s="153"/>
      <c r="Y2242" s="153"/>
      <c r="Z2242" s="153"/>
    </row>
    <row r="2243" spans="1:26">
      <c r="A2243" s="200"/>
      <c r="B2243" s="200"/>
      <c r="C2243" s="200"/>
      <c r="D2243" s="200"/>
      <c r="E2243" s="200"/>
      <c r="F2243" s="200"/>
      <c r="G2243" s="200"/>
      <c r="H2243" s="192"/>
      <c r="I2243" s="201"/>
      <c r="J2243" s="201"/>
      <c r="K2243" s="201"/>
      <c r="L2243" s="192"/>
      <c r="M2243" s="200"/>
      <c r="N2243" s="200"/>
      <c r="O2243" s="192"/>
      <c r="P2243" s="192"/>
      <c r="Q2243" s="192"/>
      <c r="R2243" s="192"/>
      <c r="S2243" s="200"/>
      <c r="T2243" s="203"/>
      <c r="U2243" s="153"/>
      <c r="V2243" s="153"/>
      <c r="W2243" s="153"/>
      <c r="X2243" s="153"/>
      <c r="Y2243" s="153"/>
      <c r="Z2243" s="153"/>
    </row>
    <row r="2244" spans="1:26">
      <c r="A2244" s="200"/>
      <c r="B2244" s="200"/>
      <c r="C2244" s="200"/>
      <c r="D2244" s="200"/>
      <c r="E2244" s="200"/>
      <c r="F2244" s="200"/>
      <c r="G2244" s="200"/>
      <c r="H2244" s="192"/>
      <c r="I2244" s="201"/>
      <c r="J2244" s="201"/>
      <c r="K2244" s="201"/>
      <c r="L2244" s="192"/>
      <c r="M2244" s="200"/>
      <c r="N2244" s="200"/>
      <c r="O2244" s="192"/>
      <c r="P2244" s="192"/>
      <c r="Q2244" s="192"/>
      <c r="R2244" s="192"/>
      <c r="S2244" s="200"/>
      <c r="T2244" s="203"/>
      <c r="U2244" s="153"/>
      <c r="V2244" s="153"/>
      <c r="W2244" s="153"/>
      <c r="X2244" s="153"/>
      <c r="Y2244" s="153"/>
      <c r="Z2244" s="153"/>
    </row>
    <row r="2245" spans="1:26">
      <c r="A2245" s="200"/>
      <c r="B2245" s="200"/>
      <c r="C2245" s="200"/>
      <c r="D2245" s="200"/>
      <c r="E2245" s="200"/>
      <c r="F2245" s="200"/>
      <c r="G2245" s="200"/>
      <c r="H2245" s="192"/>
      <c r="I2245" s="201"/>
      <c r="J2245" s="201"/>
      <c r="K2245" s="201"/>
      <c r="L2245" s="192"/>
      <c r="M2245" s="200"/>
      <c r="N2245" s="200"/>
      <c r="O2245" s="192"/>
      <c r="P2245" s="192"/>
      <c r="Q2245" s="192"/>
      <c r="R2245" s="192"/>
      <c r="S2245" s="200"/>
      <c r="T2245" s="203"/>
      <c r="U2245" s="153"/>
      <c r="V2245" s="153"/>
      <c r="W2245" s="153"/>
      <c r="X2245" s="153"/>
      <c r="Y2245" s="153"/>
      <c r="Z2245" s="153"/>
    </row>
    <row r="2246" spans="1:26">
      <c r="A2246" s="200"/>
      <c r="B2246" s="200"/>
      <c r="C2246" s="200"/>
      <c r="D2246" s="200"/>
      <c r="E2246" s="200"/>
      <c r="F2246" s="200"/>
      <c r="G2246" s="200"/>
      <c r="H2246" s="192"/>
      <c r="I2246" s="201"/>
      <c r="J2246" s="201"/>
      <c r="K2246" s="201"/>
      <c r="L2246" s="192"/>
      <c r="M2246" s="200"/>
      <c r="N2246" s="200"/>
      <c r="O2246" s="192"/>
      <c r="P2246" s="192"/>
      <c r="Q2246" s="192"/>
      <c r="R2246" s="192"/>
      <c r="S2246" s="200"/>
      <c r="T2246" s="203"/>
      <c r="U2246" s="153"/>
      <c r="V2246" s="153"/>
      <c r="W2246" s="153"/>
      <c r="X2246" s="153"/>
      <c r="Y2246" s="153"/>
      <c r="Z2246" s="153"/>
    </row>
    <row r="2247" spans="1:26">
      <c r="A2247" s="200"/>
      <c r="B2247" s="200"/>
      <c r="C2247" s="200"/>
      <c r="D2247" s="200"/>
      <c r="E2247" s="200"/>
      <c r="F2247" s="200"/>
      <c r="G2247" s="200"/>
      <c r="H2247" s="192"/>
      <c r="I2247" s="201"/>
      <c r="J2247" s="201"/>
      <c r="K2247" s="201"/>
      <c r="L2247" s="192"/>
      <c r="M2247" s="200"/>
      <c r="N2247" s="200"/>
      <c r="O2247" s="192"/>
      <c r="P2247" s="192"/>
      <c r="Q2247" s="192"/>
      <c r="R2247" s="192"/>
      <c r="S2247" s="200"/>
      <c r="T2247" s="203"/>
      <c r="U2247" s="153"/>
      <c r="V2247" s="153"/>
      <c r="W2247" s="153"/>
      <c r="X2247" s="153"/>
      <c r="Y2247" s="153"/>
      <c r="Z2247" s="153"/>
    </row>
    <row r="2248" spans="1:26">
      <c r="A2248" s="200"/>
      <c r="B2248" s="200"/>
      <c r="C2248" s="200"/>
      <c r="D2248" s="200"/>
      <c r="E2248" s="200"/>
      <c r="F2248" s="200"/>
      <c r="G2248" s="200"/>
      <c r="H2248" s="192"/>
      <c r="I2248" s="201"/>
      <c r="J2248" s="201"/>
      <c r="K2248" s="201"/>
      <c r="L2248" s="192"/>
      <c r="M2248" s="200"/>
      <c r="N2248" s="200"/>
      <c r="O2248" s="192"/>
      <c r="P2248" s="192"/>
      <c r="Q2248" s="192"/>
      <c r="R2248" s="192"/>
      <c r="S2248" s="200"/>
      <c r="T2248" s="203"/>
      <c r="U2248" s="153"/>
      <c r="V2248" s="153"/>
      <c r="W2248" s="153"/>
      <c r="X2248" s="153"/>
      <c r="Y2248" s="153"/>
      <c r="Z2248" s="153"/>
    </row>
    <row r="2249" spans="1:26">
      <c r="A2249" s="200"/>
      <c r="B2249" s="200"/>
      <c r="C2249" s="200"/>
      <c r="D2249" s="200"/>
      <c r="E2249" s="200"/>
      <c r="F2249" s="200"/>
      <c r="G2249" s="200"/>
      <c r="H2249" s="192"/>
      <c r="I2249" s="201"/>
      <c r="J2249" s="201"/>
      <c r="K2249" s="201"/>
      <c r="L2249" s="192"/>
      <c r="M2249" s="200"/>
      <c r="N2249" s="200"/>
      <c r="O2249" s="192"/>
      <c r="P2249" s="192"/>
      <c r="Q2249" s="192"/>
      <c r="R2249" s="192"/>
      <c r="S2249" s="200"/>
      <c r="T2249" s="203"/>
      <c r="U2249" s="153"/>
      <c r="V2249" s="153"/>
      <c r="W2249" s="153"/>
      <c r="X2249" s="153"/>
      <c r="Y2249" s="153"/>
      <c r="Z2249" s="153"/>
    </row>
    <row r="2250" spans="1:26">
      <c r="A2250" s="200"/>
      <c r="B2250" s="200"/>
      <c r="C2250" s="200"/>
      <c r="D2250" s="200"/>
      <c r="E2250" s="200"/>
      <c r="F2250" s="200"/>
      <c r="G2250" s="200"/>
      <c r="H2250" s="192"/>
      <c r="I2250" s="201"/>
      <c r="J2250" s="201"/>
      <c r="K2250" s="201"/>
      <c r="L2250" s="192"/>
      <c r="M2250" s="200"/>
      <c r="N2250" s="200"/>
      <c r="O2250" s="192"/>
      <c r="P2250" s="192"/>
      <c r="Q2250" s="192"/>
      <c r="R2250" s="192"/>
      <c r="S2250" s="200"/>
      <c r="T2250" s="203"/>
      <c r="U2250" s="153"/>
      <c r="V2250" s="153"/>
      <c r="W2250" s="153"/>
      <c r="X2250" s="153"/>
      <c r="Y2250" s="153"/>
      <c r="Z2250" s="153"/>
    </row>
    <row r="2251" spans="1:26">
      <c r="A2251" s="200"/>
      <c r="B2251" s="200"/>
      <c r="C2251" s="200"/>
      <c r="D2251" s="200"/>
      <c r="E2251" s="200"/>
      <c r="F2251" s="200"/>
      <c r="G2251" s="200"/>
      <c r="H2251" s="192"/>
      <c r="I2251" s="201"/>
      <c r="J2251" s="201"/>
      <c r="K2251" s="201"/>
      <c r="L2251" s="192"/>
      <c r="M2251" s="200"/>
      <c r="N2251" s="200"/>
      <c r="O2251" s="192"/>
      <c r="P2251" s="192"/>
      <c r="Q2251" s="192"/>
      <c r="R2251" s="192"/>
      <c r="S2251" s="200"/>
      <c r="T2251" s="203"/>
      <c r="U2251" s="153"/>
      <c r="V2251" s="153"/>
      <c r="W2251" s="153"/>
      <c r="X2251" s="153"/>
      <c r="Y2251" s="153"/>
      <c r="Z2251" s="153"/>
    </row>
    <row r="2252" spans="1:26">
      <c r="A2252" s="200"/>
      <c r="B2252" s="200"/>
      <c r="C2252" s="200"/>
      <c r="D2252" s="200"/>
      <c r="E2252" s="200"/>
      <c r="F2252" s="200"/>
      <c r="G2252" s="200"/>
      <c r="H2252" s="192"/>
      <c r="I2252" s="201"/>
      <c r="J2252" s="201"/>
      <c r="K2252" s="201"/>
      <c r="L2252" s="192"/>
      <c r="M2252" s="200"/>
      <c r="N2252" s="200"/>
      <c r="O2252" s="192"/>
      <c r="P2252" s="192"/>
      <c r="Q2252" s="192"/>
      <c r="R2252" s="192"/>
      <c r="S2252" s="200"/>
      <c r="T2252" s="203"/>
      <c r="U2252" s="153"/>
      <c r="V2252" s="153"/>
      <c r="W2252" s="153"/>
      <c r="X2252" s="153"/>
      <c r="Y2252" s="153"/>
      <c r="Z2252" s="153"/>
    </row>
    <row r="2253" spans="1:26">
      <c r="A2253" s="200"/>
      <c r="B2253" s="200"/>
      <c r="C2253" s="200"/>
      <c r="D2253" s="200"/>
      <c r="E2253" s="200"/>
      <c r="F2253" s="200"/>
      <c r="G2253" s="200"/>
      <c r="H2253" s="192"/>
      <c r="I2253" s="201"/>
      <c r="J2253" s="201"/>
      <c r="K2253" s="201"/>
      <c r="L2253" s="192"/>
      <c r="M2253" s="200"/>
      <c r="N2253" s="200"/>
      <c r="O2253" s="192"/>
      <c r="P2253" s="192"/>
      <c r="Q2253" s="192"/>
      <c r="R2253" s="192"/>
      <c r="S2253" s="200"/>
      <c r="T2253" s="203"/>
      <c r="U2253" s="153"/>
      <c r="V2253" s="153"/>
      <c r="W2253" s="153"/>
      <c r="X2253" s="153"/>
      <c r="Y2253" s="153"/>
      <c r="Z2253" s="153"/>
    </row>
    <row r="2254" spans="1:26">
      <c r="A2254" s="200"/>
      <c r="B2254" s="200"/>
      <c r="C2254" s="200"/>
      <c r="D2254" s="200"/>
      <c r="E2254" s="200"/>
      <c r="F2254" s="200"/>
      <c r="G2254" s="200"/>
      <c r="H2254" s="192"/>
      <c r="I2254" s="201"/>
      <c r="J2254" s="201"/>
      <c r="K2254" s="201"/>
      <c r="L2254" s="192"/>
      <c r="M2254" s="200"/>
      <c r="N2254" s="200"/>
      <c r="O2254" s="192"/>
      <c r="P2254" s="192"/>
      <c r="Q2254" s="192"/>
      <c r="R2254" s="192"/>
      <c r="S2254" s="200"/>
      <c r="T2254" s="203"/>
      <c r="U2254" s="153"/>
      <c r="V2254" s="153"/>
      <c r="W2254" s="153"/>
      <c r="X2254" s="153"/>
      <c r="Y2254" s="153"/>
      <c r="Z2254" s="153"/>
    </row>
    <row r="2255" spans="1:26">
      <c r="A2255" s="200"/>
      <c r="B2255" s="200"/>
      <c r="C2255" s="200"/>
      <c r="D2255" s="200"/>
      <c r="E2255" s="200"/>
      <c r="F2255" s="200"/>
      <c r="G2255" s="200"/>
      <c r="H2255" s="192"/>
      <c r="I2255" s="201"/>
      <c r="J2255" s="201"/>
      <c r="K2255" s="201"/>
      <c r="L2255" s="192"/>
      <c r="M2255" s="200"/>
      <c r="N2255" s="200"/>
      <c r="O2255" s="192"/>
      <c r="P2255" s="192"/>
      <c r="Q2255" s="192"/>
      <c r="R2255" s="192"/>
      <c r="S2255" s="200"/>
      <c r="T2255" s="203"/>
      <c r="U2255" s="153"/>
      <c r="V2255" s="153"/>
      <c r="W2255" s="153"/>
      <c r="X2255" s="153"/>
      <c r="Y2255" s="153"/>
      <c r="Z2255" s="153"/>
    </row>
    <row r="2256" spans="1:26">
      <c r="A2256" s="200"/>
      <c r="B2256" s="200"/>
      <c r="C2256" s="200"/>
      <c r="D2256" s="200"/>
      <c r="E2256" s="200"/>
      <c r="F2256" s="200"/>
      <c r="G2256" s="200"/>
      <c r="H2256" s="192"/>
      <c r="I2256" s="201"/>
      <c r="J2256" s="201"/>
      <c r="K2256" s="201"/>
      <c r="L2256" s="192"/>
      <c r="M2256" s="200"/>
      <c r="N2256" s="200"/>
      <c r="O2256" s="192"/>
      <c r="P2256" s="192"/>
      <c r="Q2256" s="192"/>
      <c r="R2256" s="192"/>
      <c r="S2256" s="200"/>
      <c r="T2256" s="203"/>
      <c r="U2256" s="153"/>
      <c r="V2256" s="153"/>
      <c r="W2256" s="153"/>
      <c r="X2256" s="153"/>
      <c r="Y2256" s="153"/>
      <c r="Z2256" s="153"/>
    </row>
    <row r="2257" spans="1:26">
      <c r="A2257" s="200"/>
      <c r="B2257" s="200"/>
      <c r="C2257" s="200"/>
      <c r="D2257" s="200"/>
      <c r="E2257" s="200"/>
      <c r="F2257" s="200"/>
      <c r="G2257" s="200"/>
      <c r="H2257" s="192"/>
      <c r="I2257" s="201"/>
      <c r="J2257" s="201"/>
      <c r="K2257" s="201"/>
      <c r="L2257" s="192"/>
      <c r="M2257" s="200"/>
      <c r="N2257" s="200"/>
      <c r="O2257" s="192"/>
      <c r="P2257" s="192"/>
      <c r="Q2257" s="192"/>
      <c r="R2257" s="192"/>
      <c r="S2257" s="200"/>
      <c r="T2257" s="203"/>
      <c r="U2257" s="153"/>
      <c r="V2257" s="153"/>
      <c r="W2257" s="153"/>
      <c r="X2257" s="153"/>
      <c r="Y2257" s="153"/>
      <c r="Z2257" s="153"/>
    </row>
    <row r="2258" spans="1:26">
      <c r="A2258" s="200"/>
      <c r="B2258" s="200"/>
      <c r="C2258" s="200"/>
      <c r="D2258" s="200"/>
      <c r="E2258" s="200"/>
      <c r="F2258" s="200"/>
      <c r="G2258" s="200"/>
      <c r="H2258" s="192"/>
      <c r="I2258" s="201"/>
      <c r="J2258" s="201"/>
      <c r="K2258" s="201"/>
      <c r="L2258" s="192"/>
      <c r="M2258" s="200"/>
      <c r="N2258" s="200"/>
      <c r="O2258" s="192"/>
      <c r="P2258" s="192"/>
      <c r="Q2258" s="192"/>
      <c r="R2258" s="192"/>
      <c r="S2258" s="200"/>
      <c r="T2258" s="203"/>
      <c r="U2258" s="153"/>
      <c r="V2258" s="153"/>
      <c r="W2258" s="153"/>
      <c r="X2258" s="153"/>
      <c r="Y2258" s="153"/>
      <c r="Z2258" s="153"/>
    </row>
    <row r="2259" spans="1:26">
      <c r="A2259" s="200"/>
      <c r="B2259" s="200"/>
      <c r="C2259" s="200"/>
      <c r="D2259" s="200"/>
      <c r="E2259" s="200"/>
      <c r="F2259" s="200"/>
      <c r="G2259" s="200"/>
      <c r="H2259" s="192"/>
      <c r="I2259" s="201"/>
      <c r="J2259" s="201"/>
      <c r="K2259" s="201"/>
      <c r="L2259" s="192"/>
      <c r="M2259" s="200"/>
      <c r="N2259" s="200"/>
      <c r="O2259" s="192"/>
      <c r="P2259" s="192"/>
      <c r="Q2259" s="192"/>
      <c r="R2259" s="192"/>
      <c r="S2259" s="200"/>
      <c r="T2259" s="203"/>
      <c r="U2259" s="153"/>
      <c r="V2259" s="153"/>
      <c r="W2259" s="153"/>
      <c r="X2259" s="153"/>
      <c r="Y2259" s="153"/>
      <c r="Z2259" s="153"/>
    </row>
    <row r="2260" spans="1:26">
      <c r="A2260" s="200"/>
      <c r="B2260" s="200"/>
      <c r="C2260" s="200"/>
      <c r="D2260" s="200"/>
      <c r="E2260" s="200"/>
      <c r="F2260" s="200"/>
      <c r="G2260" s="200"/>
      <c r="H2260" s="192"/>
      <c r="I2260" s="201"/>
      <c r="J2260" s="201"/>
      <c r="K2260" s="201"/>
      <c r="L2260" s="192"/>
      <c r="M2260" s="200"/>
      <c r="N2260" s="200"/>
      <c r="O2260" s="192"/>
      <c r="P2260" s="192"/>
      <c r="Q2260" s="192"/>
      <c r="R2260" s="192"/>
      <c r="S2260" s="200"/>
      <c r="T2260" s="203"/>
      <c r="U2260" s="153"/>
      <c r="V2260" s="153"/>
      <c r="W2260" s="153"/>
      <c r="X2260" s="153"/>
      <c r="Y2260" s="153"/>
      <c r="Z2260" s="153"/>
    </row>
    <row r="2261" spans="1:26">
      <c r="A2261" s="200"/>
      <c r="B2261" s="200"/>
      <c r="C2261" s="200"/>
      <c r="D2261" s="200"/>
      <c r="E2261" s="200"/>
      <c r="F2261" s="200"/>
      <c r="G2261" s="200"/>
      <c r="H2261" s="192"/>
      <c r="I2261" s="201"/>
      <c r="J2261" s="201"/>
      <c r="K2261" s="201"/>
      <c r="L2261" s="192"/>
      <c r="M2261" s="200"/>
      <c r="N2261" s="200"/>
      <c r="O2261" s="192"/>
      <c r="P2261" s="192"/>
      <c r="Q2261" s="192"/>
      <c r="R2261" s="192"/>
      <c r="S2261" s="200"/>
      <c r="T2261" s="203"/>
      <c r="U2261" s="153"/>
      <c r="V2261" s="153"/>
      <c r="W2261" s="153"/>
      <c r="X2261" s="153"/>
      <c r="Y2261" s="153"/>
      <c r="Z2261" s="153"/>
    </row>
    <row r="2262" spans="1:26">
      <c r="A2262" s="200"/>
      <c r="B2262" s="200"/>
      <c r="C2262" s="200"/>
      <c r="D2262" s="200"/>
      <c r="E2262" s="200"/>
      <c r="F2262" s="200"/>
      <c r="G2262" s="200"/>
      <c r="H2262" s="192"/>
      <c r="I2262" s="201"/>
      <c r="J2262" s="201"/>
      <c r="K2262" s="201"/>
      <c r="L2262" s="192"/>
      <c r="M2262" s="200"/>
      <c r="N2262" s="200"/>
      <c r="O2262" s="192"/>
      <c r="P2262" s="192"/>
      <c r="Q2262" s="192"/>
      <c r="R2262" s="192"/>
      <c r="S2262" s="200"/>
      <c r="T2262" s="203"/>
      <c r="U2262" s="153"/>
      <c r="V2262" s="153"/>
      <c r="W2262" s="153"/>
      <c r="X2262" s="153"/>
      <c r="Y2262" s="153"/>
      <c r="Z2262" s="153"/>
    </row>
    <row r="2263" spans="1:26">
      <c r="A2263" s="200"/>
      <c r="B2263" s="200"/>
      <c r="C2263" s="200"/>
      <c r="D2263" s="200"/>
      <c r="E2263" s="200"/>
      <c r="F2263" s="200"/>
      <c r="G2263" s="200"/>
      <c r="H2263" s="192"/>
      <c r="I2263" s="201"/>
      <c r="J2263" s="201"/>
      <c r="K2263" s="201"/>
      <c r="L2263" s="192"/>
      <c r="M2263" s="200"/>
      <c r="N2263" s="200"/>
      <c r="O2263" s="192"/>
      <c r="P2263" s="192"/>
      <c r="Q2263" s="192"/>
      <c r="R2263" s="192"/>
      <c r="S2263" s="200"/>
      <c r="T2263" s="203"/>
      <c r="U2263" s="153"/>
      <c r="V2263" s="153"/>
      <c r="W2263" s="153"/>
      <c r="X2263" s="153"/>
      <c r="Y2263" s="153"/>
      <c r="Z2263" s="153"/>
    </row>
    <row r="2264" spans="1:26">
      <c r="A2264" s="200"/>
      <c r="B2264" s="200"/>
      <c r="C2264" s="200"/>
      <c r="D2264" s="200"/>
      <c r="E2264" s="200"/>
      <c r="F2264" s="200"/>
      <c r="G2264" s="200"/>
      <c r="H2264" s="192"/>
      <c r="I2264" s="201"/>
      <c r="J2264" s="201"/>
      <c r="K2264" s="201"/>
      <c r="L2264" s="192"/>
      <c r="M2264" s="200"/>
      <c r="N2264" s="200"/>
      <c r="O2264" s="192"/>
      <c r="P2264" s="192"/>
      <c r="Q2264" s="192"/>
      <c r="R2264" s="192"/>
      <c r="S2264" s="200"/>
      <c r="T2264" s="203"/>
      <c r="U2264" s="153"/>
      <c r="V2264" s="153"/>
      <c r="W2264" s="153"/>
      <c r="X2264" s="153"/>
      <c r="Y2264" s="153"/>
      <c r="Z2264" s="153"/>
    </row>
    <row r="2265" spans="1:26">
      <c r="A2265" s="200"/>
      <c r="B2265" s="200"/>
      <c r="C2265" s="200"/>
      <c r="D2265" s="200"/>
      <c r="E2265" s="200"/>
      <c r="F2265" s="200"/>
      <c r="G2265" s="200"/>
      <c r="H2265" s="192"/>
      <c r="I2265" s="201"/>
      <c r="J2265" s="201"/>
      <c r="K2265" s="201"/>
      <c r="L2265" s="192"/>
      <c r="M2265" s="200"/>
      <c r="N2265" s="200"/>
      <c r="O2265" s="192"/>
      <c r="P2265" s="192"/>
      <c r="Q2265" s="192"/>
      <c r="R2265" s="192"/>
      <c r="S2265" s="200"/>
      <c r="T2265" s="203"/>
      <c r="U2265" s="153"/>
      <c r="V2265" s="153"/>
      <c r="W2265" s="153"/>
      <c r="X2265" s="153"/>
      <c r="Y2265" s="153"/>
      <c r="Z2265" s="153"/>
    </row>
    <row r="2266" spans="1:26">
      <c r="A2266" s="200"/>
      <c r="B2266" s="200"/>
      <c r="C2266" s="200"/>
      <c r="D2266" s="200"/>
      <c r="E2266" s="200"/>
      <c r="F2266" s="200"/>
      <c r="G2266" s="200"/>
      <c r="H2266" s="192"/>
      <c r="I2266" s="201"/>
      <c r="J2266" s="201"/>
      <c r="K2266" s="201"/>
      <c r="L2266" s="192"/>
      <c r="M2266" s="200"/>
      <c r="N2266" s="200"/>
      <c r="O2266" s="192"/>
      <c r="P2266" s="192"/>
      <c r="Q2266" s="192"/>
      <c r="R2266" s="192"/>
      <c r="S2266" s="200"/>
      <c r="T2266" s="203"/>
      <c r="U2266" s="153"/>
      <c r="V2266" s="153"/>
      <c r="W2266" s="153"/>
      <c r="X2266" s="153"/>
      <c r="Y2266" s="153"/>
      <c r="Z2266" s="153"/>
    </row>
    <row r="2267" spans="1:26">
      <c r="A2267" s="200"/>
      <c r="B2267" s="200"/>
      <c r="C2267" s="200"/>
      <c r="D2267" s="200"/>
      <c r="E2267" s="200"/>
      <c r="F2267" s="200"/>
      <c r="G2267" s="200"/>
      <c r="H2267" s="192"/>
      <c r="I2267" s="201"/>
      <c r="J2267" s="201"/>
      <c r="K2267" s="201"/>
      <c r="L2267" s="192"/>
      <c r="M2267" s="200"/>
      <c r="N2267" s="200"/>
      <c r="O2267" s="192"/>
      <c r="P2267" s="192"/>
      <c r="Q2267" s="192"/>
      <c r="R2267" s="192"/>
      <c r="S2267" s="200"/>
      <c r="T2267" s="203"/>
      <c r="U2267" s="153"/>
      <c r="V2267" s="153"/>
      <c r="W2267" s="153"/>
      <c r="X2267" s="153"/>
      <c r="Y2267" s="153"/>
      <c r="Z2267" s="153"/>
    </row>
    <row r="2268" spans="1:26">
      <c r="A2268" s="200"/>
      <c r="B2268" s="200"/>
      <c r="C2268" s="200"/>
      <c r="D2268" s="200"/>
      <c r="E2268" s="200"/>
      <c r="F2268" s="200"/>
      <c r="G2268" s="200"/>
      <c r="H2268" s="192"/>
      <c r="I2268" s="201"/>
      <c r="J2268" s="201"/>
      <c r="K2268" s="201"/>
      <c r="L2268" s="192"/>
      <c r="M2268" s="200"/>
      <c r="N2268" s="200"/>
      <c r="O2268" s="192"/>
      <c r="P2268" s="192"/>
      <c r="Q2268" s="192"/>
      <c r="R2268" s="192"/>
      <c r="S2268" s="200"/>
      <c r="T2268" s="203"/>
      <c r="U2268" s="153"/>
      <c r="V2268" s="153"/>
      <c r="W2268" s="153"/>
      <c r="X2268" s="153"/>
      <c r="Y2268" s="153"/>
      <c r="Z2268" s="153"/>
    </row>
    <row r="2269" spans="1:26">
      <c r="A2269" s="200"/>
      <c r="B2269" s="200"/>
      <c r="C2269" s="200"/>
      <c r="D2269" s="200"/>
      <c r="E2269" s="200"/>
      <c r="F2269" s="200"/>
      <c r="G2269" s="200"/>
      <c r="H2269" s="192"/>
      <c r="I2269" s="201"/>
      <c r="J2269" s="201"/>
      <c r="K2269" s="201"/>
      <c r="L2269" s="192"/>
      <c r="M2269" s="200"/>
      <c r="N2269" s="200"/>
      <c r="O2269" s="192"/>
      <c r="P2269" s="192"/>
      <c r="Q2269" s="192"/>
      <c r="R2269" s="192"/>
      <c r="S2269" s="200"/>
      <c r="T2269" s="203"/>
      <c r="U2269" s="153"/>
      <c r="V2269" s="153"/>
      <c r="W2269" s="153"/>
      <c r="X2269" s="153"/>
      <c r="Y2269" s="153"/>
      <c r="Z2269" s="153"/>
    </row>
    <row r="2270" spans="1:26">
      <c r="A2270" s="200"/>
      <c r="B2270" s="200"/>
      <c r="C2270" s="200"/>
      <c r="D2270" s="200"/>
      <c r="E2270" s="200"/>
      <c r="F2270" s="200"/>
      <c r="G2270" s="200"/>
      <c r="H2270" s="192"/>
      <c r="I2270" s="201"/>
      <c r="J2270" s="201"/>
      <c r="K2270" s="201"/>
      <c r="L2270" s="192"/>
      <c r="M2270" s="200"/>
      <c r="N2270" s="200"/>
      <c r="O2270" s="192"/>
      <c r="P2270" s="192"/>
      <c r="Q2270" s="192"/>
      <c r="R2270" s="192"/>
      <c r="S2270" s="200"/>
      <c r="T2270" s="203"/>
      <c r="U2270" s="153"/>
      <c r="V2270" s="153"/>
      <c r="W2270" s="153"/>
      <c r="X2270" s="153"/>
      <c r="Y2270" s="153"/>
      <c r="Z2270" s="153"/>
    </row>
    <row r="2271" spans="1:26">
      <c r="A2271" s="200"/>
      <c r="B2271" s="200"/>
      <c r="C2271" s="200"/>
      <c r="D2271" s="200"/>
      <c r="E2271" s="200"/>
      <c r="F2271" s="200"/>
      <c r="G2271" s="200"/>
      <c r="H2271" s="192"/>
      <c r="I2271" s="201"/>
      <c r="J2271" s="201"/>
      <c r="K2271" s="201"/>
      <c r="L2271" s="192"/>
      <c r="M2271" s="200"/>
      <c r="N2271" s="200"/>
      <c r="O2271" s="192"/>
      <c r="P2271" s="192"/>
      <c r="Q2271" s="192"/>
      <c r="R2271" s="192"/>
      <c r="S2271" s="200"/>
      <c r="T2271" s="203"/>
      <c r="U2271" s="153"/>
      <c r="V2271" s="153"/>
      <c r="W2271" s="153"/>
      <c r="X2271" s="153"/>
      <c r="Y2271" s="153"/>
      <c r="Z2271" s="153"/>
    </row>
    <row r="2272" spans="1:26">
      <c r="A2272" s="200"/>
      <c r="B2272" s="200"/>
      <c r="C2272" s="200"/>
      <c r="D2272" s="200"/>
      <c r="E2272" s="200"/>
      <c r="F2272" s="200"/>
      <c r="G2272" s="200"/>
      <c r="H2272" s="192"/>
      <c r="I2272" s="201"/>
      <c r="J2272" s="201"/>
      <c r="K2272" s="201"/>
      <c r="L2272" s="192"/>
      <c r="M2272" s="200"/>
      <c r="N2272" s="200"/>
      <c r="O2272" s="192"/>
      <c r="P2272" s="192"/>
      <c r="Q2272" s="192"/>
      <c r="R2272" s="192"/>
      <c r="S2272" s="200"/>
      <c r="T2272" s="203"/>
      <c r="U2272" s="153"/>
      <c r="V2272" s="153"/>
      <c r="W2272" s="153"/>
      <c r="X2272" s="153"/>
      <c r="Y2272" s="153"/>
      <c r="Z2272" s="153"/>
    </row>
    <row r="2273" spans="1:26">
      <c r="A2273" s="200"/>
      <c r="B2273" s="200"/>
      <c r="C2273" s="200"/>
      <c r="D2273" s="200"/>
      <c r="E2273" s="200"/>
      <c r="F2273" s="200"/>
      <c r="G2273" s="200"/>
      <c r="H2273" s="192"/>
      <c r="I2273" s="201"/>
      <c r="J2273" s="201"/>
      <c r="K2273" s="201"/>
      <c r="L2273" s="192"/>
      <c r="M2273" s="200"/>
      <c r="N2273" s="200"/>
      <c r="O2273" s="192"/>
      <c r="P2273" s="192"/>
      <c r="Q2273" s="192"/>
      <c r="R2273" s="192"/>
      <c r="S2273" s="200"/>
      <c r="T2273" s="203"/>
      <c r="U2273" s="153"/>
      <c r="V2273" s="153"/>
      <c r="W2273" s="153"/>
      <c r="X2273" s="153"/>
      <c r="Y2273" s="153"/>
      <c r="Z2273" s="153"/>
    </row>
    <row r="2274" spans="1:26">
      <c r="A2274" s="200"/>
      <c r="B2274" s="200"/>
      <c r="C2274" s="200"/>
      <c r="D2274" s="200"/>
      <c r="E2274" s="200"/>
      <c r="F2274" s="200"/>
      <c r="G2274" s="200"/>
      <c r="H2274" s="192"/>
      <c r="I2274" s="201"/>
      <c r="J2274" s="201"/>
      <c r="K2274" s="201"/>
      <c r="L2274" s="192"/>
      <c r="M2274" s="200"/>
      <c r="N2274" s="200"/>
      <c r="O2274" s="192"/>
      <c r="P2274" s="192"/>
      <c r="Q2274" s="192"/>
      <c r="R2274" s="192"/>
      <c r="S2274" s="200"/>
      <c r="T2274" s="203"/>
      <c r="U2274" s="153"/>
      <c r="V2274" s="153"/>
      <c r="W2274" s="153"/>
      <c r="X2274" s="153"/>
      <c r="Y2274" s="153"/>
      <c r="Z2274" s="153"/>
    </row>
    <row r="2275" spans="1:26">
      <c r="A2275" s="200"/>
      <c r="B2275" s="200"/>
      <c r="C2275" s="200"/>
      <c r="D2275" s="200"/>
      <c r="E2275" s="200"/>
      <c r="F2275" s="200"/>
      <c r="G2275" s="200"/>
      <c r="H2275" s="192"/>
      <c r="I2275" s="201"/>
      <c r="J2275" s="201"/>
      <c r="K2275" s="201"/>
      <c r="L2275" s="192"/>
      <c r="M2275" s="200"/>
      <c r="N2275" s="200"/>
      <c r="O2275" s="192"/>
      <c r="P2275" s="192"/>
      <c r="Q2275" s="192"/>
      <c r="R2275" s="192"/>
      <c r="S2275" s="200"/>
      <c r="T2275" s="203"/>
      <c r="U2275" s="153"/>
      <c r="V2275" s="153"/>
      <c r="W2275" s="153"/>
      <c r="X2275" s="153"/>
      <c r="Y2275" s="153"/>
      <c r="Z2275" s="153"/>
    </row>
    <row r="2276" spans="1:26">
      <c r="A2276" s="200"/>
      <c r="B2276" s="200"/>
      <c r="C2276" s="200"/>
      <c r="D2276" s="200"/>
      <c r="E2276" s="200"/>
      <c r="F2276" s="200"/>
      <c r="G2276" s="200"/>
      <c r="H2276" s="192"/>
      <c r="I2276" s="201"/>
      <c r="J2276" s="201"/>
      <c r="K2276" s="201"/>
      <c r="L2276" s="192"/>
      <c r="M2276" s="200"/>
      <c r="N2276" s="200"/>
      <c r="O2276" s="192"/>
      <c r="P2276" s="192"/>
      <c r="Q2276" s="192"/>
      <c r="R2276" s="192"/>
      <c r="S2276" s="200"/>
      <c r="T2276" s="203"/>
      <c r="U2276" s="153"/>
      <c r="V2276" s="153"/>
      <c r="W2276" s="153"/>
      <c r="X2276" s="153"/>
      <c r="Y2276" s="153"/>
      <c r="Z2276" s="153"/>
    </row>
    <row r="2277" spans="1:26">
      <c r="A2277" s="200"/>
      <c r="B2277" s="200"/>
      <c r="C2277" s="200"/>
      <c r="D2277" s="200"/>
      <c r="E2277" s="200"/>
      <c r="F2277" s="200"/>
      <c r="G2277" s="200"/>
      <c r="H2277" s="192"/>
      <c r="I2277" s="201"/>
      <c r="J2277" s="201"/>
      <c r="K2277" s="201"/>
      <c r="L2277" s="192"/>
      <c r="M2277" s="200"/>
      <c r="N2277" s="200"/>
      <c r="O2277" s="192"/>
      <c r="P2277" s="192"/>
      <c r="Q2277" s="192"/>
      <c r="R2277" s="192"/>
      <c r="S2277" s="200"/>
      <c r="T2277" s="203"/>
      <c r="U2277" s="153"/>
      <c r="V2277" s="153"/>
      <c r="W2277" s="153"/>
      <c r="X2277" s="153"/>
      <c r="Y2277" s="153"/>
      <c r="Z2277" s="153"/>
    </row>
    <row r="2278" spans="1:26">
      <c r="A2278" s="200"/>
      <c r="B2278" s="200"/>
      <c r="C2278" s="200"/>
      <c r="D2278" s="200"/>
      <c r="E2278" s="200"/>
      <c r="F2278" s="200"/>
      <c r="G2278" s="200"/>
      <c r="H2278" s="192"/>
      <c r="I2278" s="201"/>
      <c r="J2278" s="201"/>
      <c r="K2278" s="201"/>
      <c r="L2278" s="192"/>
      <c r="M2278" s="200"/>
      <c r="N2278" s="200"/>
      <c r="O2278" s="192"/>
      <c r="P2278" s="192"/>
      <c r="Q2278" s="192"/>
      <c r="R2278" s="192"/>
      <c r="S2278" s="200"/>
      <c r="T2278" s="203"/>
      <c r="U2278" s="153"/>
      <c r="V2278" s="153"/>
      <c r="W2278" s="153"/>
      <c r="X2278" s="153"/>
      <c r="Y2278" s="153"/>
      <c r="Z2278" s="153"/>
    </row>
    <row r="2279" spans="1:26">
      <c r="A2279" s="200"/>
      <c r="B2279" s="200"/>
      <c r="C2279" s="200"/>
      <c r="D2279" s="200"/>
      <c r="E2279" s="200"/>
      <c r="F2279" s="200"/>
      <c r="G2279" s="200"/>
      <c r="H2279" s="192"/>
      <c r="I2279" s="201"/>
      <c r="J2279" s="201"/>
      <c r="K2279" s="201"/>
      <c r="L2279" s="192"/>
      <c r="M2279" s="200"/>
      <c r="N2279" s="200"/>
      <c r="O2279" s="192"/>
      <c r="P2279" s="192"/>
      <c r="Q2279" s="192"/>
      <c r="R2279" s="192"/>
      <c r="S2279" s="200"/>
      <c r="T2279" s="203"/>
      <c r="U2279" s="153"/>
      <c r="V2279" s="153"/>
      <c r="W2279" s="153"/>
      <c r="X2279" s="153"/>
      <c r="Y2279" s="153"/>
      <c r="Z2279" s="153"/>
    </row>
    <row r="2280" spans="1:26">
      <c r="A2280" s="200"/>
      <c r="B2280" s="200"/>
      <c r="C2280" s="200"/>
      <c r="D2280" s="200"/>
      <c r="E2280" s="200"/>
      <c r="F2280" s="200"/>
      <c r="G2280" s="200"/>
      <c r="H2280" s="192"/>
      <c r="I2280" s="201"/>
      <c r="J2280" s="201"/>
      <c r="K2280" s="201"/>
      <c r="L2280" s="192"/>
      <c r="M2280" s="200"/>
      <c r="N2280" s="200"/>
      <c r="O2280" s="192"/>
      <c r="P2280" s="192"/>
      <c r="Q2280" s="192"/>
      <c r="R2280" s="192"/>
      <c r="S2280" s="200"/>
      <c r="T2280" s="203"/>
      <c r="U2280" s="153"/>
      <c r="V2280" s="153"/>
      <c r="W2280" s="153"/>
      <c r="X2280" s="153"/>
      <c r="Y2280" s="153"/>
      <c r="Z2280" s="153"/>
    </row>
    <row r="2281" spans="1:26">
      <c r="A2281" s="200"/>
      <c r="B2281" s="200"/>
      <c r="C2281" s="200"/>
      <c r="D2281" s="200"/>
      <c r="E2281" s="200"/>
      <c r="F2281" s="200"/>
      <c r="G2281" s="200"/>
      <c r="H2281" s="192"/>
      <c r="I2281" s="201"/>
      <c r="J2281" s="201"/>
      <c r="K2281" s="201"/>
      <c r="L2281" s="192"/>
      <c r="M2281" s="200"/>
      <c r="N2281" s="200"/>
      <c r="O2281" s="192"/>
      <c r="P2281" s="192"/>
      <c r="Q2281" s="192"/>
      <c r="R2281" s="192"/>
      <c r="S2281" s="200"/>
      <c r="T2281" s="203"/>
      <c r="U2281" s="153"/>
      <c r="V2281" s="153"/>
      <c r="W2281" s="153"/>
      <c r="X2281" s="153"/>
      <c r="Y2281" s="153"/>
      <c r="Z2281" s="153"/>
    </row>
    <row r="2282" spans="1:26">
      <c r="A2282" s="200"/>
      <c r="B2282" s="200"/>
      <c r="C2282" s="200"/>
      <c r="D2282" s="200"/>
      <c r="E2282" s="200"/>
      <c r="F2282" s="200"/>
      <c r="G2282" s="200"/>
      <c r="H2282" s="192"/>
      <c r="I2282" s="201"/>
      <c r="J2282" s="201"/>
      <c r="K2282" s="201"/>
      <c r="L2282" s="192"/>
      <c r="M2282" s="200"/>
      <c r="N2282" s="200"/>
      <c r="O2282" s="192"/>
      <c r="P2282" s="192"/>
      <c r="Q2282" s="192"/>
      <c r="R2282" s="192"/>
      <c r="S2282" s="200"/>
      <c r="T2282" s="203"/>
      <c r="U2282" s="153"/>
      <c r="V2282" s="153"/>
      <c r="W2282" s="153"/>
      <c r="X2282" s="153"/>
      <c r="Y2282" s="153"/>
      <c r="Z2282" s="153"/>
    </row>
    <row r="2283" spans="1:26">
      <c r="A2283" s="200"/>
      <c r="B2283" s="200"/>
      <c r="C2283" s="200"/>
      <c r="D2283" s="200"/>
      <c r="E2283" s="200"/>
      <c r="F2283" s="200"/>
      <c r="G2283" s="200"/>
      <c r="H2283" s="192"/>
      <c r="I2283" s="201"/>
      <c r="J2283" s="201"/>
      <c r="K2283" s="201"/>
      <c r="L2283" s="192"/>
      <c r="M2283" s="200"/>
      <c r="N2283" s="200"/>
      <c r="O2283" s="192"/>
      <c r="P2283" s="192"/>
      <c r="Q2283" s="192"/>
      <c r="R2283" s="192"/>
      <c r="S2283" s="200"/>
      <c r="T2283" s="203"/>
      <c r="U2283" s="153"/>
      <c r="V2283" s="153"/>
      <c r="W2283" s="153"/>
      <c r="X2283" s="153"/>
      <c r="Y2283" s="153"/>
      <c r="Z2283" s="153"/>
    </row>
    <row r="2284" spans="1:26">
      <c r="A2284" s="200"/>
      <c r="B2284" s="200"/>
      <c r="C2284" s="200"/>
      <c r="D2284" s="200"/>
      <c r="E2284" s="200"/>
      <c r="F2284" s="200"/>
      <c r="G2284" s="200"/>
      <c r="H2284" s="192"/>
      <c r="I2284" s="201"/>
      <c r="J2284" s="201"/>
      <c r="K2284" s="201"/>
      <c r="L2284" s="192"/>
      <c r="M2284" s="200"/>
      <c r="N2284" s="200"/>
      <c r="O2284" s="192"/>
      <c r="P2284" s="192"/>
      <c r="Q2284" s="192"/>
      <c r="R2284" s="192"/>
      <c r="S2284" s="200"/>
      <c r="T2284" s="203"/>
      <c r="U2284" s="153"/>
      <c r="V2284" s="153"/>
      <c r="W2284" s="153"/>
      <c r="X2284" s="153"/>
      <c r="Y2284" s="153"/>
      <c r="Z2284" s="153"/>
    </row>
  </sheetData>
  <mergeCells count="119">
    <mergeCell ref="R1:R2"/>
    <mergeCell ref="S1:S2"/>
    <mergeCell ref="T1:T2"/>
    <mergeCell ref="H1:H2"/>
    <mergeCell ref="L1:L2"/>
    <mergeCell ref="M1:M2"/>
    <mergeCell ref="N1:N2"/>
    <mergeCell ref="O1:O2"/>
    <mergeCell ref="P1:P2"/>
    <mergeCell ref="Q1:Q2"/>
    <mergeCell ref="A1:A2"/>
    <mergeCell ref="B1:B2"/>
    <mergeCell ref="C1:C2"/>
    <mergeCell ref="D1:D2"/>
    <mergeCell ref="E1:E2"/>
    <mergeCell ref="F1:F2"/>
    <mergeCell ref="G1:G2"/>
    <mergeCell ref="A3:A4"/>
    <mergeCell ref="A6:A8"/>
    <mergeCell ref="A9:A10"/>
    <mergeCell ref="A12:A17"/>
    <mergeCell ref="A18:A20"/>
    <mergeCell ref="A22:A29"/>
    <mergeCell ref="A30:A40"/>
    <mergeCell ref="A41:A55"/>
    <mergeCell ref="A56:A63"/>
    <mergeCell ref="A64:A66"/>
    <mergeCell ref="A67:A74"/>
    <mergeCell ref="A371:A372"/>
    <mergeCell ref="A373:A383"/>
    <mergeCell ref="A384:A403"/>
    <mergeCell ref="A407:A409"/>
    <mergeCell ref="A410:A417"/>
    <mergeCell ref="A418:A597"/>
    <mergeCell ref="A598:A602"/>
    <mergeCell ref="A603:A606"/>
    <mergeCell ref="A75:A254"/>
    <mergeCell ref="A255:A259"/>
    <mergeCell ref="A260:A263"/>
    <mergeCell ref="A264:A269"/>
    <mergeCell ref="A270:A276"/>
    <mergeCell ref="A277:A282"/>
    <mergeCell ref="A283:A288"/>
    <mergeCell ref="A289:A291"/>
    <mergeCell ref="A292:A302"/>
    <mergeCell ref="A1235:A1242"/>
    <mergeCell ref="A1243:A1250"/>
    <mergeCell ref="A1251:A1252"/>
    <mergeCell ref="A1253:A1254"/>
    <mergeCell ref="A1255:A1267"/>
    <mergeCell ref="A1268:A1280"/>
    <mergeCell ref="A1281:A1282"/>
    <mergeCell ref="A1283:A1284"/>
    <mergeCell ref="A303:A306"/>
    <mergeCell ref="A307:A310"/>
    <mergeCell ref="A311:A312"/>
    <mergeCell ref="A313:A314"/>
    <mergeCell ref="A315:A316"/>
    <mergeCell ref="A317:A319"/>
    <mergeCell ref="A320:A326"/>
    <mergeCell ref="A327:A332"/>
    <mergeCell ref="A1227:A1230"/>
    <mergeCell ref="A333:A335"/>
    <mergeCell ref="A336:A337"/>
    <mergeCell ref="A338:A345"/>
    <mergeCell ref="A346:A353"/>
    <mergeCell ref="A355:A363"/>
    <mergeCell ref="A365:A368"/>
    <mergeCell ref="A369:A370"/>
    <mergeCell ref="A679:A680"/>
    <mergeCell ref="A681:A688"/>
    <mergeCell ref="J691:M691"/>
    <mergeCell ref="A1328:A1330"/>
    <mergeCell ref="A1331:A1334"/>
    <mergeCell ref="S1455:S1459"/>
    <mergeCell ref="S1460:S1463"/>
    <mergeCell ref="A1335:A1338"/>
    <mergeCell ref="A1349:A1373"/>
    <mergeCell ref="A1374:A1398"/>
    <mergeCell ref="A1407:A1423"/>
    <mergeCell ref="A1424:A1440"/>
    <mergeCell ref="S1449:S1450"/>
    <mergeCell ref="S1451:S1454"/>
    <mergeCell ref="A1285:A1291"/>
    <mergeCell ref="A1292:A1298"/>
    <mergeCell ref="A1299:A1302"/>
    <mergeCell ref="A1303:A1306"/>
    <mergeCell ref="A1307:A1308"/>
    <mergeCell ref="A1309:A1310"/>
    <mergeCell ref="A1313:A1318"/>
    <mergeCell ref="A1319:A1324"/>
    <mergeCell ref="A1325:A1327"/>
    <mergeCell ref="A1231:A1234"/>
    <mergeCell ref="A654:A655"/>
    <mergeCell ref="A656:A657"/>
    <mergeCell ref="A658:A659"/>
    <mergeCell ref="A660:A662"/>
    <mergeCell ref="A663:A669"/>
    <mergeCell ref="A670:A675"/>
    <mergeCell ref="A676:A678"/>
    <mergeCell ref="A607:A612"/>
    <mergeCell ref="A613:A625"/>
    <mergeCell ref="A626:A632"/>
    <mergeCell ref="A635:A645"/>
    <mergeCell ref="A646:A649"/>
    <mergeCell ref="A650:A653"/>
    <mergeCell ref="A805:A808"/>
    <mergeCell ref="A811:A831"/>
    <mergeCell ref="A832:A852"/>
    <mergeCell ref="A853:A1030"/>
    <mergeCell ref="A1031:A1208"/>
    <mergeCell ref="A1209:A1217"/>
    <mergeCell ref="A1218:A1226"/>
    <mergeCell ref="N692:N716"/>
    <mergeCell ref="L693:L694"/>
    <mergeCell ref="L696:L700"/>
    <mergeCell ref="L701:L702"/>
    <mergeCell ref="L703:L705"/>
    <mergeCell ref="L711:L712"/>
  </mergeCells>
  <pageMargins left="0" right="0" top="0" bottom="0" header="0" footer="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Y992"/>
  <sheetViews>
    <sheetView workbookViewId="0">
      <pane xSplit="9" topLeftCell="J1" activePane="topRight" state="frozen"/>
      <selection pane="topRight" activeCell="K2" sqref="K2"/>
    </sheetView>
  </sheetViews>
  <sheetFormatPr defaultColWidth="12.5703125" defaultRowHeight="15.75" customHeight="1"/>
  <cols>
    <col min="1" max="1" width="9.7109375" customWidth="1"/>
    <col min="3" max="3" width="15.140625" customWidth="1"/>
    <col min="4" max="4" width="44.140625" customWidth="1"/>
    <col min="5" max="5" width="7.5703125" customWidth="1"/>
    <col min="6" max="6" width="36.7109375" customWidth="1"/>
    <col min="7" max="7" width="13.140625" customWidth="1"/>
    <col min="9" max="9" width="0.42578125" customWidth="1"/>
    <col min="13" max="13" width="25.42578125" customWidth="1"/>
    <col min="14" max="14" width="13.7109375" customWidth="1"/>
    <col min="20" max="20" width="13.7109375" customWidth="1"/>
  </cols>
  <sheetData>
    <row r="1" spans="1:25">
      <c r="A1" s="699" t="s">
        <v>1707</v>
      </c>
      <c r="B1" s="699" t="s">
        <v>1708</v>
      </c>
      <c r="C1" s="699" t="s">
        <v>1709</v>
      </c>
      <c r="D1" s="699" t="s">
        <v>1710</v>
      </c>
      <c r="E1" s="699" t="s">
        <v>1711</v>
      </c>
      <c r="F1" s="699" t="s">
        <v>1712</v>
      </c>
      <c r="G1" s="699"/>
      <c r="H1" s="699" t="s">
        <v>3697</v>
      </c>
      <c r="I1" s="699" t="s">
        <v>1714</v>
      </c>
      <c r="J1" s="208" t="s">
        <v>1715</v>
      </c>
      <c r="K1" s="209"/>
      <c r="L1" s="209"/>
      <c r="M1" s="699" t="s">
        <v>1716</v>
      </c>
      <c r="N1" s="699" t="s">
        <v>1717</v>
      </c>
      <c r="O1" s="699" t="s">
        <v>1718</v>
      </c>
      <c r="P1" s="699" t="s">
        <v>1719</v>
      </c>
      <c r="Q1" s="699" t="s">
        <v>1720</v>
      </c>
      <c r="R1" s="700" t="s">
        <v>1721</v>
      </c>
      <c r="S1" s="700" t="s">
        <v>1722</v>
      </c>
      <c r="T1" s="701" t="s">
        <v>1723</v>
      </c>
      <c r="U1" s="702" t="s">
        <v>1724</v>
      </c>
    </row>
    <row r="2" spans="1:25">
      <c r="A2" s="773"/>
      <c r="B2" s="773"/>
      <c r="C2" s="773"/>
      <c r="D2" s="773"/>
      <c r="E2" s="773"/>
      <c r="F2" s="773"/>
      <c r="G2" s="773"/>
      <c r="H2" s="773"/>
      <c r="I2" s="773"/>
      <c r="J2" s="208" t="s">
        <v>3698</v>
      </c>
      <c r="K2" s="209" t="s">
        <v>1726</v>
      </c>
      <c r="L2" s="209" t="s">
        <v>1727</v>
      </c>
      <c r="M2" s="773"/>
      <c r="N2" s="773"/>
      <c r="O2" s="773"/>
      <c r="P2" s="773"/>
      <c r="Q2" s="773"/>
      <c r="R2" s="773"/>
      <c r="S2" s="773"/>
      <c r="T2" s="773"/>
      <c r="U2" s="773"/>
    </row>
    <row r="3" spans="1:25">
      <c r="A3" s="696" t="s">
        <v>3699</v>
      </c>
      <c r="B3" s="212" t="s">
        <v>3700</v>
      </c>
      <c r="C3" s="213" t="s">
        <v>3701</v>
      </c>
      <c r="D3" s="213" t="s">
        <v>3702</v>
      </c>
      <c r="E3" s="212" t="s">
        <v>1732</v>
      </c>
      <c r="F3" s="212" t="s">
        <v>3703</v>
      </c>
      <c r="G3" s="212"/>
      <c r="H3" s="212"/>
      <c r="I3" s="213" t="s">
        <v>3704</v>
      </c>
      <c r="J3" s="214" t="s">
        <v>1736</v>
      </c>
      <c r="K3" s="214" t="s">
        <v>1737</v>
      </c>
      <c r="L3" s="214" t="s">
        <v>1737</v>
      </c>
      <c r="M3" s="213" t="s">
        <v>3705</v>
      </c>
      <c r="N3" s="215" t="s">
        <v>3706</v>
      </c>
      <c r="O3" s="216" t="s">
        <v>3707</v>
      </c>
      <c r="P3" s="212"/>
      <c r="Q3" s="212"/>
      <c r="R3" s="212"/>
      <c r="S3" s="212"/>
      <c r="T3" s="217"/>
      <c r="U3" s="171" t="s">
        <v>3708</v>
      </c>
      <c r="Y3" s="218"/>
    </row>
    <row r="4" spans="1:25">
      <c r="A4" s="774"/>
      <c r="B4" s="212" t="s">
        <v>3709</v>
      </c>
      <c r="C4" s="213" t="s">
        <v>3701</v>
      </c>
      <c r="D4" s="213" t="s">
        <v>3710</v>
      </c>
      <c r="E4" s="212" t="s">
        <v>1732</v>
      </c>
      <c r="F4" s="212" t="s">
        <v>3703</v>
      </c>
      <c r="G4" s="212"/>
      <c r="H4" s="212"/>
      <c r="I4" s="213" t="s">
        <v>3704</v>
      </c>
      <c r="J4" s="214" t="s">
        <v>1736</v>
      </c>
      <c r="K4" s="214" t="s">
        <v>1737</v>
      </c>
      <c r="L4" s="214" t="s">
        <v>1737</v>
      </c>
      <c r="M4" s="213" t="s">
        <v>3705</v>
      </c>
      <c r="N4" s="215" t="s">
        <v>3706</v>
      </c>
      <c r="O4" s="219" t="s">
        <v>3711</v>
      </c>
      <c r="P4" s="212"/>
      <c r="Q4" s="212"/>
      <c r="R4" s="212"/>
      <c r="S4" s="212"/>
      <c r="T4" s="217"/>
      <c r="U4" s="171" t="s">
        <v>3708</v>
      </c>
      <c r="Y4" s="218"/>
    </row>
    <row r="5" spans="1:25">
      <c r="A5" s="774"/>
      <c r="B5" s="212" t="s">
        <v>3712</v>
      </c>
      <c r="C5" s="213" t="s">
        <v>3701</v>
      </c>
      <c r="D5" s="213" t="s">
        <v>3713</v>
      </c>
      <c r="E5" s="212" t="s">
        <v>1743</v>
      </c>
      <c r="F5" s="212" t="s">
        <v>3714</v>
      </c>
      <c r="G5" s="212"/>
      <c r="H5" s="212"/>
      <c r="I5" s="213" t="s">
        <v>3715</v>
      </c>
      <c r="J5" s="214" t="s">
        <v>1736</v>
      </c>
      <c r="K5" s="214" t="s">
        <v>1737</v>
      </c>
      <c r="L5" s="214" t="s">
        <v>1737</v>
      </c>
      <c r="M5" s="213" t="s">
        <v>3705</v>
      </c>
      <c r="N5" s="215" t="s">
        <v>3706</v>
      </c>
      <c r="O5" s="219" t="s">
        <v>3716</v>
      </c>
      <c r="P5" s="212"/>
      <c r="Q5" s="212"/>
      <c r="R5" s="212"/>
      <c r="S5" s="212"/>
      <c r="T5" s="217"/>
      <c r="U5" s="171" t="s">
        <v>3708</v>
      </c>
      <c r="Y5" s="218"/>
    </row>
    <row r="6" spans="1:25">
      <c r="A6" s="774"/>
      <c r="B6" s="212" t="s">
        <v>3717</v>
      </c>
      <c r="C6" s="213" t="s">
        <v>3701</v>
      </c>
      <c r="D6" s="213" t="s">
        <v>3718</v>
      </c>
      <c r="E6" s="212" t="s">
        <v>1743</v>
      </c>
      <c r="F6" s="212" t="s">
        <v>3719</v>
      </c>
      <c r="G6" s="212"/>
      <c r="H6" s="212"/>
      <c r="I6" s="213" t="s">
        <v>3720</v>
      </c>
      <c r="J6" s="214" t="s">
        <v>1736</v>
      </c>
      <c r="K6" s="214" t="s">
        <v>1737</v>
      </c>
      <c r="L6" s="214" t="s">
        <v>1737</v>
      </c>
      <c r="M6" s="213" t="s">
        <v>3705</v>
      </c>
      <c r="N6" s="215" t="s">
        <v>3721</v>
      </c>
      <c r="O6" s="219" t="s">
        <v>3722</v>
      </c>
      <c r="P6" s="212"/>
      <c r="Q6" s="212"/>
      <c r="R6" s="212"/>
      <c r="S6" s="212"/>
      <c r="T6" s="217"/>
      <c r="U6" s="171" t="s">
        <v>3708</v>
      </c>
      <c r="Y6" s="218"/>
    </row>
    <row r="7" spans="1:25">
      <c r="A7" s="774"/>
      <c r="B7" s="212" t="s">
        <v>3723</v>
      </c>
      <c r="C7" s="213" t="s">
        <v>3701</v>
      </c>
      <c r="D7" s="213" t="s">
        <v>3724</v>
      </c>
      <c r="E7" s="212" t="s">
        <v>1743</v>
      </c>
      <c r="F7" s="212" t="s">
        <v>3725</v>
      </c>
      <c r="G7" s="212"/>
      <c r="H7" s="212"/>
      <c r="I7" s="213" t="s">
        <v>3726</v>
      </c>
      <c r="J7" s="214" t="s">
        <v>1736</v>
      </c>
      <c r="K7" s="214" t="s">
        <v>1737</v>
      </c>
      <c r="L7" s="214" t="s">
        <v>1737</v>
      </c>
      <c r="M7" s="213" t="s">
        <v>3705</v>
      </c>
      <c r="N7" s="215" t="s">
        <v>3706</v>
      </c>
      <c r="O7" s="219" t="s">
        <v>3727</v>
      </c>
      <c r="P7" s="212"/>
      <c r="Q7" s="212"/>
      <c r="R7" s="212"/>
      <c r="S7" s="212"/>
      <c r="T7" s="217"/>
      <c r="U7" s="171" t="s">
        <v>3708</v>
      </c>
      <c r="Y7" s="218"/>
    </row>
    <row r="8" spans="1:25">
      <c r="A8" s="774"/>
      <c r="B8" s="212" t="s">
        <v>3728</v>
      </c>
      <c r="C8" s="213" t="s">
        <v>3701</v>
      </c>
      <c r="D8" s="213" t="s">
        <v>3729</v>
      </c>
      <c r="E8" s="212" t="s">
        <v>1743</v>
      </c>
      <c r="F8" s="212" t="s">
        <v>3730</v>
      </c>
      <c r="G8" s="212"/>
      <c r="H8" s="212"/>
      <c r="I8" s="212"/>
      <c r="J8" s="214" t="s">
        <v>1736</v>
      </c>
      <c r="K8" s="214" t="s">
        <v>1737</v>
      </c>
      <c r="L8" s="214" t="s">
        <v>1737</v>
      </c>
      <c r="M8" s="213" t="s">
        <v>3705</v>
      </c>
      <c r="N8" s="215" t="s">
        <v>3721</v>
      </c>
      <c r="O8" s="219" t="s">
        <v>3731</v>
      </c>
      <c r="P8" s="212"/>
      <c r="Q8" s="212"/>
      <c r="R8" s="212"/>
      <c r="S8" s="212"/>
      <c r="T8" s="217"/>
      <c r="U8" s="171" t="s">
        <v>3708</v>
      </c>
      <c r="Y8" s="218"/>
    </row>
    <row r="9" spans="1:25">
      <c r="A9" s="773"/>
      <c r="B9" s="212" t="s">
        <v>3732</v>
      </c>
      <c r="C9" s="213" t="s">
        <v>3701</v>
      </c>
      <c r="D9" s="213" t="s">
        <v>3733</v>
      </c>
      <c r="E9" s="212" t="s">
        <v>1743</v>
      </c>
      <c r="F9" s="212" t="s">
        <v>3734</v>
      </c>
      <c r="G9" s="212"/>
      <c r="H9" s="212"/>
      <c r="I9" s="213" t="s">
        <v>3726</v>
      </c>
      <c r="J9" s="214" t="s">
        <v>1736</v>
      </c>
      <c r="K9" s="214" t="s">
        <v>1737</v>
      </c>
      <c r="L9" s="214" t="s">
        <v>1737</v>
      </c>
      <c r="M9" s="213" t="s">
        <v>3705</v>
      </c>
      <c r="N9" s="215" t="s">
        <v>3706</v>
      </c>
      <c r="O9" s="216" t="s">
        <v>3735</v>
      </c>
      <c r="P9" s="212"/>
      <c r="Q9" s="212"/>
      <c r="R9" s="212"/>
      <c r="S9" s="212"/>
      <c r="T9" s="217"/>
      <c r="U9" s="171" t="s">
        <v>3708</v>
      </c>
      <c r="Y9" s="218"/>
    </row>
    <row r="10" spans="1:25">
      <c r="A10" s="696" t="s">
        <v>3736</v>
      </c>
      <c r="B10" s="212" t="s">
        <v>3737</v>
      </c>
      <c r="C10" s="213" t="s">
        <v>3738</v>
      </c>
      <c r="D10" s="213" t="s">
        <v>3739</v>
      </c>
      <c r="E10" s="212" t="s">
        <v>1732</v>
      </c>
      <c r="F10" s="212" t="s">
        <v>3740</v>
      </c>
      <c r="G10" s="212"/>
      <c r="H10" s="212"/>
      <c r="I10" s="213" t="s">
        <v>3741</v>
      </c>
      <c r="J10" s="214" t="s">
        <v>1736</v>
      </c>
      <c r="K10" s="214" t="s">
        <v>1737</v>
      </c>
      <c r="L10" s="214" t="s">
        <v>1737</v>
      </c>
      <c r="M10" s="212"/>
      <c r="N10" s="215" t="s">
        <v>3742</v>
      </c>
      <c r="O10" s="219" t="s">
        <v>3743</v>
      </c>
      <c r="P10" s="212"/>
      <c r="Q10" s="212"/>
      <c r="R10" s="212"/>
      <c r="S10" s="212"/>
      <c r="T10" s="215" t="s">
        <v>3742</v>
      </c>
      <c r="U10" s="171" t="s">
        <v>3708</v>
      </c>
      <c r="Y10" s="218"/>
    </row>
    <row r="11" spans="1:25">
      <c r="A11" s="774"/>
      <c r="B11" s="212" t="s">
        <v>3744</v>
      </c>
      <c r="C11" s="213" t="s">
        <v>3738</v>
      </c>
      <c r="D11" s="213" t="s">
        <v>3745</v>
      </c>
      <c r="E11" s="212" t="s">
        <v>1732</v>
      </c>
      <c r="F11" s="212" t="s">
        <v>3740</v>
      </c>
      <c r="G11" s="212"/>
      <c r="H11" s="212"/>
      <c r="I11" s="213" t="s">
        <v>3746</v>
      </c>
      <c r="J11" s="214" t="s">
        <v>1736</v>
      </c>
      <c r="K11" s="214" t="s">
        <v>1737</v>
      </c>
      <c r="L11" s="214" t="s">
        <v>1737</v>
      </c>
      <c r="M11" s="212"/>
      <c r="N11" s="215" t="s">
        <v>3742</v>
      </c>
      <c r="O11" s="219" t="s">
        <v>3747</v>
      </c>
      <c r="P11" s="212"/>
      <c r="Q11" s="212"/>
      <c r="R11" s="212"/>
      <c r="S11" s="212"/>
      <c r="T11" s="215" t="s">
        <v>3742</v>
      </c>
      <c r="U11" s="171" t="s">
        <v>3708</v>
      </c>
      <c r="Y11" s="218"/>
    </row>
    <row r="12" spans="1:25">
      <c r="A12" s="774"/>
      <c r="B12" s="212" t="s">
        <v>3748</v>
      </c>
      <c r="C12" s="213" t="s">
        <v>3738</v>
      </c>
      <c r="D12" s="213" t="s">
        <v>3749</v>
      </c>
      <c r="E12" s="212" t="s">
        <v>1732</v>
      </c>
      <c r="F12" s="212" t="s">
        <v>3740</v>
      </c>
      <c r="G12" s="212"/>
      <c r="H12" s="212"/>
      <c r="I12" s="213" t="s">
        <v>3750</v>
      </c>
      <c r="J12" s="214" t="s">
        <v>1736</v>
      </c>
      <c r="K12" s="214" t="s">
        <v>1737</v>
      </c>
      <c r="L12" s="214" t="s">
        <v>1737</v>
      </c>
      <c r="M12" s="212"/>
      <c r="N12" s="215" t="s">
        <v>3742</v>
      </c>
      <c r="O12" s="219" t="s">
        <v>3751</v>
      </c>
      <c r="P12" s="212"/>
      <c r="Q12" s="212"/>
      <c r="R12" s="212"/>
      <c r="S12" s="212"/>
      <c r="T12" s="215" t="s">
        <v>3742</v>
      </c>
      <c r="U12" s="171" t="s">
        <v>3708</v>
      </c>
      <c r="Y12" s="218"/>
    </row>
    <row r="13" spans="1:25">
      <c r="A13" s="774"/>
      <c r="B13" s="212" t="s">
        <v>3752</v>
      </c>
      <c r="C13" s="213" t="s">
        <v>3738</v>
      </c>
      <c r="D13" s="213" t="s">
        <v>3753</v>
      </c>
      <c r="E13" s="212" t="s">
        <v>1732</v>
      </c>
      <c r="F13" s="212" t="s">
        <v>3740</v>
      </c>
      <c r="G13" s="212"/>
      <c r="H13" s="212"/>
      <c r="I13" s="213" t="s">
        <v>3754</v>
      </c>
      <c r="J13" s="214" t="s">
        <v>1736</v>
      </c>
      <c r="K13" s="214" t="s">
        <v>1737</v>
      </c>
      <c r="L13" s="214" t="s">
        <v>1737</v>
      </c>
      <c r="M13" s="212"/>
      <c r="N13" s="215" t="s">
        <v>3742</v>
      </c>
      <c r="O13" s="220" t="s">
        <v>3755</v>
      </c>
      <c r="P13" s="212"/>
      <c r="Q13" s="212"/>
      <c r="R13" s="212"/>
      <c r="S13" s="212"/>
      <c r="T13" s="215" t="s">
        <v>3742</v>
      </c>
      <c r="U13" s="171" t="s">
        <v>3708</v>
      </c>
      <c r="Y13" s="218"/>
    </row>
    <row r="14" spans="1:25">
      <c r="A14" s="773"/>
      <c r="B14" s="212" t="s">
        <v>3756</v>
      </c>
      <c r="C14" s="213" t="s">
        <v>3738</v>
      </c>
      <c r="D14" s="213" t="s">
        <v>3757</v>
      </c>
      <c r="E14" s="212" t="s">
        <v>1743</v>
      </c>
      <c r="F14" s="212"/>
      <c r="G14" s="212"/>
      <c r="H14" s="212"/>
      <c r="I14" s="212"/>
      <c r="J14" s="214" t="s">
        <v>1736</v>
      </c>
      <c r="K14" s="214" t="s">
        <v>1737</v>
      </c>
      <c r="L14" s="214" t="s">
        <v>1737</v>
      </c>
      <c r="M14" s="212"/>
      <c r="N14" s="215" t="s">
        <v>3742</v>
      </c>
      <c r="O14" s="219" t="s">
        <v>3758</v>
      </c>
      <c r="P14" s="212"/>
      <c r="Q14" s="212"/>
      <c r="R14" s="212"/>
      <c r="S14" s="212"/>
      <c r="T14" s="215" t="s">
        <v>3742</v>
      </c>
      <c r="U14" s="171" t="s">
        <v>3708</v>
      </c>
      <c r="Y14" s="218"/>
    </row>
    <row r="15" spans="1:25">
      <c r="A15" s="696" t="s">
        <v>3759</v>
      </c>
      <c r="B15" s="212" t="s">
        <v>3760</v>
      </c>
      <c r="C15" s="213" t="s">
        <v>3761</v>
      </c>
      <c r="D15" s="213" t="s">
        <v>3762</v>
      </c>
      <c r="E15" s="212" t="s">
        <v>1732</v>
      </c>
      <c r="F15" s="212"/>
      <c r="G15" s="212"/>
      <c r="H15" s="212"/>
      <c r="I15" s="213" t="s">
        <v>3763</v>
      </c>
      <c r="J15" s="215" t="s">
        <v>1736</v>
      </c>
      <c r="K15" s="215"/>
      <c r="L15" s="215"/>
      <c r="M15" s="212"/>
      <c r="N15" s="215"/>
      <c r="O15" s="219"/>
      <c r="P15" s="212"/>
      <c r="Q15" s="212"/>
      <c r="R15" s="212"/>
      <c r="S15" s="212"/>
      <c r="T15" s="215"/>
      <c r="U15" s="171" t="s">
        <v>3708</v>
      </c>
      <c r="Y15" s="218"/>
    </row>
    <row r="16" spans="1:25">
      <c r="A16" s="774"/>
      <c r="B16" s="212" t="s">
        <v>3764</v>
      </c>
      <c r="C16" s="213" t="s">
        <v>3761</v>
      </c>
      <c r="D16" s="213" t="s">
        <v>3765</v>
      </c>
      <c r="E16" s="212" t="s">
        <v>1732</v>
      </c>
      <c r="F16" s="212"/>
      <c r="G16" s="212"/>
      <c r="H16" s="212"/>
      <c r="I16" s="213" t="s">
        <v>3766</v>
      </c>
      <c r="J16" s="215" t="s">
        <v>1736</v>
      </c>
      <c r="K16" s="215"/>
      <c r="L16" s="215"/>
      <c r="M16" s="212"/>
      <c r="N16" s="215"/>
      <c r="O16" s="219"/>
      <c r="P16" s="212"/>
      <c r="Q16" s="212"/>
      <c r="R16" s="212"/>
      <c r="S16" s="212"/>
      <c r="T16" s="215"/>
      <c r="U16" s="171" t="s">
        <v>3708</v>
      </c>
      <c r="Y16" s="218"/>
    </row>
    <row r="17" spans="1:25">
      <c r="A17" s="774"/>
      <c r="B17" s="212" t="s">
        <v>3767</v>
      </c>
      <c r="C17" s="213" t="s">
        <v>3761</v>
      </c>
      <c r="D17" s="213" t="s">
        <v>3768</v>
      </c>
      <c r="E17" s="212" t="s">
        <v>1743</v>
      </c>
      <c r="F17" s="212"/>
      <c r="G17" s="212"/>
      <c r="H17" s="212"/>
      <c r="I17" s="213" t="s">
        <v>114</v>
      </c>
      <c r="J17" s="214" t="s">
        <v>1736</v>
      </c>
      <c r="K17" s="214" t="s">
        <v>1737</v>
      </c>
      <c r="L17" s="214" t="s">
        <v>1737</v>
      </c>
      <c r="M17" s="212"/>
      <c r="N17" s="215" t="s">
        <v>3769</v>
      </c>
      <c r="O17" s="219" t="s">
        <v>3770</v>
      </c>
      <c r="P17" s="212"/>
      <c r="Q17" s="212"/>
      <c r="R17" s="212"/>
      <c r="S17" s="212"/>
      <c r="T17" s="215" t="s">
        <v>3769</v>
      </c>
      <c r="U17" s="171" t="s">
        <v>3708</v>
      </c>
      <c r="Y17" s="218"/>
    </row>
    <row r="18" spans="1:25">
      <c r="A18" s="774"/>
      <c r="B18" s="212" t="s">
        <v>3771</v>
      </c>
      <c r="C18" s="213" t="s">
        <v>3761</v>
      </c>
      <c r="D18" s="213" t="s">
        <v>3772</v>
      </c>
      <c r="E18" s="212" t="s">
        <v>1743</v>
      </c>
      <c r="F18" s="212"/>
      <c r="G18" s="212"/>
      <c r="H18" s="212"/>
      <c r="I18" s="213" t="s">
        <v>3773</v>
      </c>
      <c r="J18" s="215" t="s">
        <v>1736</v>
      </c>
      <c r="K18" s="215"/>
      <c r="L18" s="215"/>
      <c r="M18" s="212"/>
      <c r="N18" s="215"/>
      <c r="O18" s="219"/>
      <c r="P18" s="212"/>
      <c r="Q18" s="212"/>
      <c r="R18" s="212"/>
      <c r="S18" s="212"/>
      <c r="T18" s="215"/>
      <c r="U18" s="171" t="s">
        <v>3708</v>
      </c>
      <c r="Y18" s="218"/>
    </row>
    <row r="19" spans="1:25">
      <c r="A19" s="774"/>
      <c r="B19" s="221" t="s">
        <v>3774</v>
      </c>
      <c r="C19" s="222" t="s">
        <v>3761</v>
      </c>
      <c r="D19" s="222" t="s">
        <v>3775</v>
      </c>
      <c r="E19" s="221" t="s">
        <v>1732</v>
      </c>
      <c r="F19" s="221" t="s">
        <v>3776</v>
      </c>
      <c r="G19" s="212"/>
      <c r="H19" s="212"/>
      <c r="I19" s="213" t="s">
        <v>3777</v>
      </c>
      <c r="J19" s="215" t="s">
        <v>1736</v>
      </c>
      <c r="K19" s="215"/>
      <c r="L19" s="215"/>
      <c r="M19" s="212"/>
      <c r="N19" s="215"/>
      <c r="O19" s="219"/>
      <c r="P19" s="212"/>
      <c r="Q19" s="212"/>
      <c r="R19" s="212"/>
      <c r="S19" s="212"/>
      <c r="T19" s="215"/>
      <c r="U19" s="171" t="s">
        <v>3708</v>
      </c>
      <c r="Y19" s="218"/>
    </row>
    <row r="20" spans="1:25">
      <c r="A20" s="774"/>
      <c r="B20" s="221" t="s">
        <v>3778</v>
      </c>
      <c r="C20" s="222" t="s">
        <v>3761</v>
      </c>
      <c r="D20" s="222" t="s">
        <v>3779</v>
      </c>
      <c r="E20" s="221" t="s">
        <v>1732</v>
      </c>
      <c r="F20" s="221" t="s">
        <v>3776</v>
      </c>
      <c r="G20" s="212"/>
      <c r="H20" s="212"/>
      <c r="I20" s="213" t="s">
        <v>3780</v>
      </c>
      <c r="J20" s="215" t="s">
        <v>1736</v>
      </c>
      <c r="K20" s="215"/>
      <c r="L20" s="215"/>
      <c r="M20" s="212"/>
      <c r="N20" s="215"/>
      <c r="O20" s="219"/>
      <c r="P20" s="212"/>
      <c r="Q20" s="212"/>
      <c r="R20" s="212"/>
      <c r="S20" s="212"/>
      <c r="T20" s="215"/>
      <c r="U20" s="171" t="s">
        <v>3708</v>
      </c>
    </row>
    <row r="21" spans="1:25">
      <c r="A21" s="774"/>
      <c r="B21" s="221" t="s">
        <v>3781</v>
      </c>
      <c r="C21" s="222" t="s">
        <v>3761</v>
      </c>
      <c r="D21" s="222" t="s">
        <v>3782</v>
      </c>
      <c r="E21" s="221" t="s">
        <v>1732</v>
      </c>
      <c r="F21" s="221" t="s">
        <v>3776</v>
      </c>
      <c r="G21" s="212"/>
      <c r="H21" s="212"/>
      <c r="I21" s="213" t="s">
        <v>3783</v>
      </c>
      <c r="J21" s="215" t="s">
        <v>1736</v>
      </c>
      <c r="K21" s="215"/>
      <c r="L21" s="215"/>
      <c r="M21" s="212"/>
      <c r="N21" s="215"/>
      <c r="O21" s="219"/>
      <c r="P21" s="212"/>
      <c r="Q21" s="212"/>
      <c r="R21" s="212"/>
      <c r="S21" s="212"/>
      <c r="T21" s="215"/>
      <c r="U21" s="171" t="s">
        <v>3708</v>
      </c>
    </row>
    <row r="22" spans="1:25">
      <c r="A22" s="774"/>
      <c r="B22" s="212" t="s">
        <v>3784</v>
      </c>
      <c r="C22" s="213" t="s">
        <v>3761</v>
      </c>
      <c r="D22" s="213" t="s">
        <v>3785</v>
      </c>
      <c r="E22" s="212" t="s">
        <v>1743</v>
      </c>
      <c r="F22" s="212"/>
      <c r="G22" s="212"/>
      <c r="H22" s="212"/>
      <c r="I22" s="213" t="s">
        <v>3786</v>
      </c>
      <c r="J22" s="214" t="s">
        <v>1736</v>
      </c>
      <c r="K22" s="214" t="s">
        <v>1737</v>
      </c>
      <c r="L22" s="214" t="s">
        <v>1737</v>
      </c>
      <c r="M22" s="212"/>
      <c r="N22" s="215" t="s">
        <v>3787</v>
      </c>
      <c r="O22" s="219" t="s">
        <v>3788</v>
      </c>
      <c r="P22" s="212"/>
      <c r="Q22" s="212"/>
      <c r="R22" s="212"/>
      <c r="S22" s="212"/>
      <c r="T22" s="215"/>
      <c r="U22" s="171" t="s">
        <v>3708</v>
      </c>
    </row>
    <row r="23" spans="1:25">
      <c r="A23" s="774"/>
      <c r="B23" s="212" t="s">
        <v>3789</v>
      </c>
      <c r="C23" s="213" t="s">
        <v>3761</v>
      </c>
      <c r="D23" s="213" t="s">
        <v>3790</v>
      </c>
      <c r="E23" s="212" t="s">
        <v>1743</v>
      </c>
      <c r="F23" s="212"/>
      <c r="G23" s="212"/>
      <c r="H23" s="212"/>
      <c r="I23" s="213"/>
      <c r="J23" s="215" t="s">
        <v>1736</v>
      </c>
      <c r="K23" s="215"/>
      <c r="L23" s="215"/>
      <c r="M23" s="212"/>
      <c r="N23" s="215"/>
      <c r="O23" s="219"/>
      <c r="P23" s="212"/>
      <c r="Q23" s="212"/>
      <c r="R23" s="212"/>
      <c r="S23" s="212"/>
      <c r="T23" s="215"/>
      <c r="U23" s="171" t="s">
        <v>3708</v>
      </c>
    </row>
    <row r="24" spans="1:25">
      <c r="A24" s="774"/>
      <c r="B24" s="221" t="s">
        <v>3791</v>
      </c>
      <c r="C24" s="222" t="s">
        <v>3761</v>
      </c>
      <c r="D24" s="222" t="s">
        <v>3792</v>
      </c>
      <c r="E24" s="221" t="s">
        <v>1732</v>
      </c>
      <c r="F24" s="221" t="s">
        <v>3776</v>
      </c>
      <c r="G24" s="212"/>
      <c r="H24" s="212"/>
      <c r="I24" s="213" t="s">
        <v>3793</v>
      </c>
      <c r="J24" s="215" t="s">
        <v>1736</v>
      </c>
      <c r="K24" s="215"/>
      <c r="L24" s="215"/>
      <c r="M24" s="212"/>
      <c r="N24" s="215"/>
      <c r="O24" s="219"/>
      <c r="P24" s="212"/>
      <c r="Q24" s="212"/>
      <c r="R24" s="212"/>
      <c r="S24" s="212"/>
      <c r="T24" s="215"/>
      <c r="U24" s="171" t="s">
        <v>3708</v>
      </c>
    </row>
    <row r="25" spans="1:25">
      <c r="A25" s="774"/>
      <c r="B25" s="221" t="s">
        <v>3794</v>
      </c>
      <c r="C25" s="222" t="s">
        <v>3761</v>
      </c>
      <c r="D25" s="222" t="s">
        <v>3795</v>
      </c>
      <c r="E25" s="221" t="s">
        <v>1732</v>
      </c>
      <c r="F25" s="221" t="s">
        <v>3776</v>
      </c>
      <c r="G25" s="212"/>
      <c r="H25" s="212"/>
      <c r="I25" s="213" t="s">
        <v>3796</v>
      </c>
      <c r="J25" s="215" t="s">
        <v>1736</v>
      </c>
      <c r="K25" s="215"/>
      <c r="L25" s="215"/>
      <c r="M25" s="212"/>
      <c r="N25" s="215"/>
      <c r="O25" s="219"/>
      <c r="P25" s="212"/>
      <c r="Q25" s="212"/>
      <c r="R25" s="212"/>
      <c r="S25" s="212"/>
      <c r="T25" s="215"/>
      <c r="U25" s="171" t="s">
        <v>3708</v>
      </c>
    </row>
    <row r="26" spans="1:25">
      <c r="A26" s="774"/>
      <c r="B26" s="221" t="s">
        <v>3797</v>
      </c>
      <c r="C26" s="222" t="s">
        <v>3761</v>
      </c>
      <c r="D26" s="222" t="s">
        <v>3798</v>
      </c>
      <c r="E26" s="221" t="s">
        <v>1743</v>
      </c>
      <c r="F26" s="221" t="s">
        <v>3776</v>
      </c>
      <c r="G26" s="212"/>
      <c r="H26" s="212"/>
      <c r="I26" s="213" t="s">
        <v>3799</v>
      </c>
      <c r="J26" s="215" t="s">
        <v>1736</v>
      </c>
      <c r="K26" s="215"/>
      <c r="L26" s="215"/>
      <c r="M26" s="212"/>
      <c r="N26" s="215"/>
      <c r="O26" s="219"/>
      <c r="P26" s="212"/>
      <c r="Q26" s="212"/>
      <c r="R26" s="212"/>
      <c r="S26" s="212"/>
      <c r="T26" s="215"/>
      <c r="U26" s="171" t="s">
        <v>3708</v>
      </c>
    </row>
    <row r="27" spans="1:25">
      <c r="A27" s="774"/>
      <c r="B27" s="212" t="s">
        <v>3800</v>
      </c>
      <c r="C27" s="213" t="s">
        <v>3761</v>
      </c>
      <c r="D27" s="213" t="s">
        <v>3801</v>
      </c>
      <c r="E27" s="212" t="s">
        <v>1743</v>
      </c>
      <c r="F27" s="212"/>
      <c r="G27" s="212"/>
      <c r="H27" s="212"/>
      <c r="I27" s="213" t="s">
        <v>3802</v>
      </c>
      <c r="J27" s="214" t="s">
        <v>1736</v>
      </c>
      <c r="K27" s="214" t="s">
        <v>1737</v>
      </c>
      <c r="L27" s="214" t="s">
        <v>1737</v>
      </c>
      <c r="M27" s="212"/>
      <c r="N27" s="215" t="s">
        <v>3787</v>
      </c>
      <c r="O27" s="219" t="s">
        <v>3803</v>
      </c>
      <c r="P27" s="212"/>
      <c r="Q27" s="212"/>
      <c r="R27" s="212"/>
      <c r="S27" s="212"/>
      <c r="T27" s="215"/>
      <c r="U27" s="171" t="s">
        <v>3708</v>
      </c>
    </row>
    <row r="28" spans="1:25">
      <c r="A28" s="774"/>
      <c r="B28" s="212" t="s">
        <v>3804</v>
      </c>
      <c r="C28" s="213" t="s">
        <v>3761</v>
      </c>
      <c r="D28" s="213" t="s">
        <v>3805</v>
      </c>
      <c r="E28" s="212" t="s">
        <v>1743</v>
      </c>
      <c r="F28" s="212"/>
      <c r="G28" s="212"/>
      <c r="H28" s="212"/>
      <c r="I28" s="213" t="s">
        <v>3806</v>
      </c>
      <c r="J28" s="215" t="s">
        <v>1736</v>
      </c>
      <c r="K28" s="215"/>
      <c r="L28" s="215"/>
      <c r="M28" s="212"/>
      <c r="N28" s="215"/>
      <c r="O28" s="219"/>
      <c r="P28" s="212"/>
      <c r="Q28" s="212"/>
      <c r="R28" s="212"/>
      <c r="S28" s="212"/>
      <c r="T28" s="215"/>
      <c r="U28" s="171" t="s">
        <v>3708</v>
      </c>
    </row>
    <row r="29" spans="1:25">
      <c r="A29" s="774"/>
      <c r="B29" s="212" t="s">
        <v>3807</v>
      </c>
      <c r="C29" s="213" t="s">
        <v>3761</v>
      </c>
      <c r="D29" s="213" t="s">
        <v>3808</v>
      </c>
      <c r="E29" s="212" t="s">
        <v>1732</v>
      </c>
      <c r="F29" s="212"/>
      <c r="G29" s="212"/>
      <c r="H29" s="212"/>
      <c r="I29" s="213" t="s">
        <v>3809</v>
      </c>
      <c r="J29" s="214" t="s">
        <v>1736</v>
      </c>
      <c r="K29" s="214" t="s">
        <v>1737</v>
      </c>
      <c r="L29" s="214" t="s">
        <v>1737</v>
      </c>
      <c r="M29" s="212"/>
      <c r="N29" s="215" t="s">
        <v>3810</v>
      </c>
      <c r="O29" s="219" t="s">
        <v>3811</v>
      </c>
      <c r="P29" s="212"/>
      <c r="Q29" s="212"/>
      <c r="R29" s="212"/>
      <c r="S29" s="212"/>
      <c r="T29" s="215" t="s">
        <v>3810</v>
      </c>
      <c r="U29" s="171" t="s">
        <v>3708</v>
      </c>
    </row>
    <row r="30" spans="1:25">
      <c r="A30" s="774"/>
      <c r="B30" s="212" t="s">
        <v>3812</v>
      </c>
      <c r="C30" s="213" t="s">
        <v>3761</v>
      </c>
      <c r="D30" s="213" t="s">
        <v>3813</v>
      </c>
      <c r="E30" s="212" t="s">
        <v>1732</v>
      </c>
      <c r="F30" s="212"/>
      <c r="G30" s="212"/>
      <c r="H30" s="212"/>
      <c r="I30" s="213" t="s">
        <v>3814</v>
      </c>
      <c r="J30" s="214" t="s">
        <v>1736</v>
      </c>
      <c r="K30" s="214" t="s">
        <v>1737</v>
      </c>
      <c r="L30" s="214" t="s">
        <v>1737</v>
      </c>
      <c r="M30" s="212"/>
      <c r="N30" s="215" t="s">
        <v>3810</v>
      </c>
      <c r="O30" s="219" t="s">
        <v>3815</v>
      </c>
      <c r="P30" s="212"/>
      <c r="Q30" s="212"/>
      <c r="R30" s="212"/>
      <c r="S30" s="212"/>
      <c r="T30" s="215" t="s">
        <v>3810</v>
      </c>
      <c r="U30" s="171" t="s">
        <v>3708</v>
      </c>
    </row>
    <row r="31" spans="1:25">
      <c r="A31" s="774"/>
      <c r="B31" s="212" t="s">
        <v>3816</v>
      </c>
      <c r="C31" s="213" t="s">
        <v>3761</v>
      </c>
      <c r="D31" s="213" t="s">
        <v>3817</v>
      </c>
      <c r="E31" s="212" t="s">
        <v>1743</v>
      </c>
      <c r="F31" s="212"/>
      <c r="G31" s="212"/>
      <c r="H31" s="212"/>
      <c r="I31" s="213" t="s">
        <v>3818</v>
      </c>
      <c r="J31" s="214" t="s">
        <v>1736</v>
      </c>
      <c r="K31" s="214" t="s">
        <v>1737</v>
      </c>
      <c r="L31" s="214" t="s">
        <v>1737</v>
      </c>
      <c r="M31" s="212"/>
      <c r="N31" s="215" t="s">
        <v>3199</v>
      </c>
      <c r="O31" s="219" t="s">
        <v>3819</v>
      </c>
      <c r="P31" s="212"/>
      <c r="Q31" s="212"/>
      <c r="R31" s="212"/>
      <c r="S31" s="212"/>
      <c r="T31" s="215"/>
      <c r="U31" s="171" t="s">
        <v>3708</v>
      </c>
    </row>
    <row r="32" spans="1:25">
      <c r="A32" s="774"/>
      <c r="B32" s="212" t="s">
        <v>3820</v>
      </c>
      <c r="C32" s="213" t="s">
        <v>3761</v>
      </c>
      <c r="D32" s="213" t="s">
        <v>3821</v>
      </c>
      <c r="E32" s="212" t="s">
        <v>1743</v>
      </c>
      <c r="F32" s="212"/>
      <c r="G32" s="212"/>
      <c r="H32" s="212"/>
      <c r="I32" s="213" t="s">
        <v>3822</v>
      </c>
      <c r="J32" s="215" t="s">
        <v>1736</v>
      </c>
      <c r="K32" s="215"/>
      <c r="L32" s="215"/>
      <c r="M32" s="212"/>
      <c r="N32" s="215"/>
      <c r="O32" s="219"/>
      <c r="P32" s="212"/>
      <c r="Q32" s="212"/>
      <c r="R32" s="212"/>
      <c r="S32" s="212"/>
      <c r="T32" s="215"/>
      <c r="U32" s="171" t="s">
        <v>3708</v>
      </c>
    </row>
    <row r="33" spans="1:21">
      <c r="A33" s="774"/>
      <c r="B33" s="212" t="s">
        <v>3823</v>
      </c>
      <c r="C33" s="213" t="s">
        <v>3761</v>
      </c>
      <c r="D33" s="213" t="s">
        <v>3824</v>
      </c>
      <c r="E33" s="212" t="s">
        <v>1732</v>
      </c>
      <c r="F33" s="212"/>
      <c r="G33" s="212"/>
      <c r="H33" s="212"/>
      <c r="I33" s="213" t="s">
        <v>3825</v>
      </c>
      <c r="J33" s="214" t="s">
        <v>1736</v>
      </c>
      <c r="K33" s="214" t="s">
        <v>1737</v>
      </c>
      <c r="L33" s="214" t="s">
        <v>1737</v>
      </c>
      <c r="M33" s="212"/>
      <c r="N33" s="215" t="s">
        <v>3787</v>
      </c>
      <c r="O33" s="219" t="s">
        <v>3826</v>
      </c>
      <c r="P33" s="212"/>
      <c r="Q33" s="212"/>
      <c r="R33" s="212"/>
      <c r="S33" s="212"/>
      <c r="T33" s="215"/>
      <c r="U33" s="171" t="s">
        <v>3708</v>
      </c>
    </row>
    <row r="34" spans="1:21">
      <c r="A34" s="774"/>
      <c r="B34" s="212" t="s">
        <v>3827</v>
      </c>
      <c r="C34" s="213" t="s">
        <v>3761</v>
      </c>
      <c r="D34" s="213" t="s">
        <v>3828</v>
      </c>
      <c r="E34" s="212" t="s">
        <v>1743</v>
      </c>
      <c r="F34" s="212"/>
      <c r="G34" s="212"/>
      <c r="H34" s="212"/>
      <c r="I34" s="213" t="s">
        <v>3829</v>
      </c>
      <c r="J34" s="215" t="s">
        <v>1736</v>
      </c>
      <c r="K34" s="215"/>
      <c r="L34" s="215"/>
      <c r="M34" s="212"/>
      <c r="N34" s="215"/>
      <c r="O34" s="219"/>
      <c r="P34" s="212"/>
      <c r="Q34" s="212"/>
      <c r="R34" s="212"/>
      <c r="S34" s="212"/>
      <c r="T34" s="215"/>
      <c r="U34" s="171" t="s">
        <v>3708</v>
      </c>
    </row>
    <row r="35" spans="1:21">
      <c r="A35" s="773"/>
      <c r="B35" s="212" t="s">
        <v>3830</v>
      </c>
      <c r="C35" s="213" t="s">
        <v>3761</v>
      </c>
      <c r="D35" s="213" t="s">
        <v>3831</v>
      </c>
      <c r="E35" s="212" t="s">
        <v>1743</v>
      </c>
      <c r="F35" s="212"/>
      <c r="G35" s="212"/>
      <c r="H35" s="212"/>
      <c r="I35" s="213" t="s">
        <v>3832</v>
      </c>
      <c r="J35" s="214" t="s">
        <v>1736</v>
      </c>
      <c r="K35" s="214" t="s">
        <v>1737</v>
      </c>
      <c r="L35" s="214" t="s">
        <v>1737</v>
      </c>
      <c r="M35" s="212"/>
      <c r="N35" s="215" t="s">
        <v>3787</v>
      </c>
      <c r="O35" s="219" t="s">
        <v>3833</v>
      </c>
      <c r="P35" s="212"/>
      <c r="Q35" s="212"/>
      <c r="R35" s="212"/>
      <c r="S35" s="212"/>
      <c r="T35" s="215"/>
      <c r="U35" s="171" t="s">
        <v>3708</v>
      </c>
    </row>
    <row r="36" spans="1:21">
      <c r="A36" s="696" t="s">
        <v>3834</v>
      </c>
      <c r="B36" s="223" t="s">
        <v>3835</v>
      </c>
      <c r="C36" s="212" t="s">
        <v>3836</v>
      </c>
      <c r="D36" s="213" t="s">
        <v>3837</v>
      </c>
      <c r="E36" s="212" t="s">
        <v>1732</v>
      </c>
      <c r="F36" s="212"/>
      <c r="G36" s="212"/>
      <c r="H36" s="212"/>
      <c r="I36" s="213" t="s">
        <v>3838</v>
      </c>
      <c r="J36" s="214" t="s">
        <v>1736</v>
      </c>
      <c r="K36" s="214" t="s">
        <v>1737</v>
      </c>
      <c r="L36" s="214" t="s">
        <v>1737</v>
      </c>
      <c r="M36" s="212"/>
      <c r="N36" s="215" t="s">
        <v>3742</v>
      </c>
      <c r="O36" s="219" t="s">
        <v>3839</v>
      </c>
      <c r="P36" s="212"/>
      <c r="Q36" s="212"/>
      <c r="R36" s="212"/>
      <c r="S36" s="212"/>
      <c r="T36" s="215" t="s">
        <v>3742</v>
      </c>
      <c r="U36" s="171" t="s">
        <v>3708</v>
      </c>
    </row>
    <row r="37" spans="1:21">
      <c r="A37" s="774"/>
      <c r="B37" s="223" t="s">
        <v>3840</v>
      </c>
      <c r="C37" s="212" t="s">
        <v>3836</v>
      </c>
      <c r="D37" s="213" t="s">
        <v>3841</v>
      </c>
      <c r="E37" s="212" t="s">
        <v>1732</v>
      </c>
      <c r="F37" s="212"/>
      <c r="G37" s="212"/>
      <c r="H37" s="212"/>
      <c r="I37" s="213" t="s">
        <v>3842</v>
      </c>
      <c r="J37" s="214" t="s">
        <v>1736</v>
      </c>
      <c r="K37" s="214" t="s">
        <v>1737</v>
      </c>
      <c r="L37" s="214" t="s">
        <v>1737</v>
      </c>
      <c r="M37" s="212"/>
      <c r="N37" s="215" t="s">
        <v>3769</v>
      </c>
      <c r="O37" s="219" t="s">
        <v>3843</v>
      </c>
      <c r="P37" s="212"/>
      <c r="Q37" s="212"/>
      <c r="R37" s="212"/>
      <c r="S37" s="212"/>
      <c r="T37" s="215" t="s">
        <v>3769</v>
      </c>
      <c r="U37" s="171" t="s">
        <v>3708</v>
      </c>
    </row>
    <row r="38" spans="1:21">
      <c r="A38" s="774"/>
      <c r="B38" s="223" t="s">
        <v>3844</v>
      </c>
      <c r="C38" s="212" t="s">
        <v>3836</v>
      </c>
      <c r="D38" s="213" t="s">
        <v>3845</v>
      </c>
      <c r="E38" s="212" t="s">
        <v>1743</v>
      </c>
      <c r="F38" s="212"/>
      <c r="G38" s="212"/>
      <c r="H38" s="212"/>
      <c r="I38" s="213" t="s">
        <v>3846</v>
      </c>
      <c r="J38" s="214" t="s">
        <v>1736</v>
      </c>
      <c r="K38" s="214" t="s">
        <v>1737</v>
      </c>
      <c r="L38" s="214" t="s">
        <v>1737</v>
      </c>
      <c r="M38" s="212"/>
      <c r="N38" s="215" t="s">
        <v>3742</v>
      </c>
      <c r="O38" s="219" t="s">
        <v>3847</v>
      </c>
      <c r="P38" s="212"/>
      <c r="Q38" s="212"/>
      <c r="R38" s="212"/>
      <c r="S38" s="212"/>
      <c r="T38" s="215" t="s">
        <v>3742</v>
      </c>
      <c r="U38" s="171" t="s">
        <v>3708</v>
      </c>
    </row>
    <row r="39" spans="1:21">
      <c r="A39" s="774"/>
      <c r="B39" s="223" t="s">
        <v>3848</v>
      </c>
      <c r="C39" s="212" t="s">
        <v>3836</v>
      </c>
      <c r="D39" s="213" t="s">
        <v>3849</v>
      </c>
      <c r="E39" s="212" t="s">
        <v>1732</v>
      </c>
      <c r="F39" s="212"/>
      <c r="G39" s="212"/>
      <c r="H39" s="212"/>
      <c r="I39" s="213"/>
      <c r="J39" s="214" t="s">
        <v>1736</v>
      </c>
      <c r="K39" s="214" t="s">
        <v>1737</v>
      </c>
      <c r="L39" s="214" t="s">
        <v>1737</v>
      </c>
      <c r="M39" s="212"/>
      <c r="N39" s="215" t="s">
        <v>3850</v>
      </c>
      <c r="O39" s="219" t="s">
        <v>3851</v>
      </c>
      <c r="P39" s="212"/>
      <c r="Q39" s="212"/>
      <c r="R39" s="212"/>
      <c r="S39" s="212"/>
      <c r="T39" s="215"/>
      <c r="U39" s="171" t="s">
        <v>3708</v>
      </c>
    </row>
    <row r="40" spans="1:21">
      <c r="A40" s="774"/>
      <c r="B40" s="223" t="s">
        <v>3852</v>
      </c>
      <c r="C40" s="212" t="s">
        <v>3836</v>
      </c>
      <c r="D40" s="213" t="s">
        <v>3853</v>
      </c>
      <c r="E40" s="212" t="s">
        <v>1732</v>
      </c>
      <c r="F40" s="212"/>
      <c r="G40" s="212"/>
      <c r="H40" s="212"/>
      <c r="I40" s="213"/>
      <c r="J40" s="214" t="s">
        <v>1736</v>
      </c>
      <c r="K40" s="214" t="s">
        <v>1737</v>
      </c>
      <c r="L40" s="214" t="s">
        <v>1737</v>
      </c>
      <c r="M40" s="212"/>
      <c r="N40" s="215" t="s">
        <v>3854</v>
      </c>
      <c r="O40" s="219" t="s">
        <v>3855</v>
      </c>
      <c r="P40" s="212"/>
      <c r="Q40" s="212"/>
      <c r="R40" s="212"/>
      <c r="S40" s="212"/>
      <c r="T40" s="215"/>
      <c r="U40" s="171" t="s">
        <v>3708</v>
      </c>
    </row>
    <row r="41" spans="1:21">
      <c r="A41" s="774"/>
      <c r="B41" s="223" t="s">
        <v>3856</v>
      </c>
      <c r="C41" s="212" t="s">
        <v>3836</v>
      </c>
      <c r="D41" s="213" t="s">
        <v>3857</v>
      </c>
      <c r="E41" s="212" t="s">
        <v>1732</v>
      </c>
      <c r="F41" s="212"/>
      <c r="G41" s="212"/>
      <c r="H41" s="212"/>
      <c r="I41" s="213"/>
      <c r="J41" s="214" t="s">
        <v>1736</v>
      </c>
      <c r="K41" s="214" t="s">
        <v>1737</v>
      </c>
      <c r="L41" s="214" t="s">
        <v>1737</v>
      </c>
      <c r="M41" s="212"/>
      <c r="N41" s="215" t="s">
        <v>3850</v>
      </c>
      <c r="O41" s="219" t="s">
        <v>3858</v>
      </c>
      <c r="P41" s="212"/>
      <c r="Q41" s="212"/>
      <c r="R41" s="212"/>
      <c r="S41" s="212"/>
      <c r="T41" s="215"/>
      <c r="U41" s="171" t="s">
        <v>3708</v>
      </c>
    </row>
    <row r="42" spans="1:21">
      <c r="A42" s="774"/>
      <c r="B42" s="223" t="s">
        <v>3859</v>
      </c>
      <c r="C42" s="212" t="s">
        <v>3836</v>
      </c>
      <c r="D42" s="213" t="s">
        <v>3860</v>
      </c>
      <c r="E42" s="212" t="s">
        <v>1732</v>
      </c>
      <c r="F42" s="212"/>
      <c r="G42" s="212"/>
      <c r="H42" s="212"/>
      <c r="I42" s="213"/>
      <c r="J42" s="214" t="s">
        <v>1736</v>
      </c>
      <c r="K42" s="214" t="s">
        <v>1737</v>
      </c>
      <c r="L42" s="214" t="s">
        <v>1737</v>
      </c>
      <c r="M42" s="212"/>
      <c r="N42" s="215" t="s">
        <v>3861</v>
      </c>
      <c r="O42" s="219" t="s">
        <v>3862</v>
      </c>
      <c r="P42" s="212"/>
      <c r="Q42" s="212"/>
      <c r="R42" s="212"/>
      <c r="S42" s="212"/>
      <c r="T42" s="215"/>
      <c r="U42" s="171" t="s">
        <v>3708</v>
      </c>
    </row>
    <row r="43" spans="1:21">
      <c r="A43" s="773"/>
      <c r="B43" s="223" t="s">
        <v>3863</v>
      </c>
      <c r="C43" s="212" t="s">
        <v>3836</v>
      </c>
      <c r="D43" s="213" t="s">
        <v>3864</v>
      </c>
      <c r="E43" s="212" t="s">
        <v>1743</v>
      </c>
      <c r="F43" s="212"/>
      <c r="G43" s="212"/>
      <c r="H43" s="212"/>
      <c r="I43" s="213"/>
      <c r="J43" s="214" t="s">
        <v>1736</v>
      </c>
      <c r="K43" s="214" t="s">
        <v>1737</v>
      </c>
      <c r="L43" s="214" t="s">
        <v>1737</v>
      </c>
      <c r="M43" s="212"/>
      <c r="N43" s="215" t="s">
        <v>3861</v>
      </c>
      <c r="O43" s="219" t="s">
        <v>3865</v>
      </c>
      <c r="P43" s="212"/>
      <c r="Q43" s="212"/>
      <c r="R43" s="212"/>
      <c r="S43" s="212"/>
      <c r="T43" s="215"/>
      <c r="U43" s="171" t="s">
        <v>3708</v>
      </c>
    </row>
    <row r="44" spans="1:21">
      <c r="A44" s="696" t="s">
        <v>3866</v>
      </c>
      <c r="B44" s="223" t="s">
        <v>3867</v>
      </c>
      <c r="C44" s="212" t="s">
        <v>3868</v>
      </c>
      <c r="D44" s="213" t="s">
        <v>3869</v>
      </c>
      <c r="E44" s="212" t="s">
        <v>1732</v>
      </c>
      <c r="F44" s="212"/>
      <c r="G44" s="212"/>
      <c r="H44" s="212"/>
      <c r="I44" s="213" t="s">
        <v>3870</v>
      </c>
      <c r="J44" s="214" t="s">
        <v>1736</v>
      </c>
      <c r="K44" s="214" t="s">
        <v>1737</v>
      </c>
      <c r="L44" s="214" t="s">
        <v>1737</v>
      </c>
      <c r="M44" s="212"/>
      <c r="N44" s="215" t="s">
        <v>3871</v>
      </c>
      <c r="O44" s="219" t="s">
        <v>3872</v>
      </c>
      <c r="P44" s="212"/>
      <c r="Q44" s="212"/>
      <c r="R44" s="212"/>
      <c r="S44" s="212"/>
      <c r="T44" s="215"/>
      <c r="U44" s="171" t="s">
        <v>3708</v>
      </c>
    </row>
    <row r="45" spans="1:21">
      <c r="A45" s="774"/>
      <c r="B45" s="223" t="s">
        <v>3873</v>
      </c>
      <c r="C45" s="212" t="s">
        <v>3868</v>
      </c>
      <c r="D45" s="213" t="s">
        <v>3874</v>
      </c>
      <c r="E45" s="212" t="s">
        <v>1732</v>
      </c>
      <c r="F45" s="212"/>
      <c r="G45" s="212"/>
      <c r="H45" s="212"/>
      <c r="I45" s="213" t="s">
        <v>3870</v>
      </c>
      <c r="J45" s="214" t="s">
        <v>1736</v>
      </c>
      <c r="K45" s="214" t="s">
        <v>1737</v>
      </c>
      <c r="L45" s="214" t="s">
        <v>1737</v>
      </c>
      <c r="M45" s="212"/>
      <c r="N45" s="215" t="s">
        <v>3706</v>
      </c>
      <c r="O45" s="219" t="s">
        <v>3875</v>
      </c>
      <c r="P45" s="212"/>
      <c r="Q45" s="212"/>
      <c r="R45" s="212"/>
      <c r="S45" s="212"/>
      <c r="T45" s="215"/>
      <c r="U45" s="171" t="s">
        <v>3708</v>
      </c>
    </row>
    <row r="46" spans="1:21">
      <c r="A46" s="774"/>
      <c r="B46" s="223" t="s">
        <v>3876</v>
      </c>
      <c r="C46" s="212" t="s">
        <v>3868</v>
      </c>
      <c r="D46" s="213" t="s">
        <v>3877</v>
      </c>
      <c r="E46" s="212" t="s">
        <v>1732</v>
      </c>
      <c r="F46" s="212"/>
      <c r="G46" s="212"/>
      <c r="H46" s="212"/>
      <c r="I46" s="213" t="s">
        <v>3870</v>
      </c>
      <c r="J46" s="214" t="s">
        <v>1736</v>
      </c>
      <c r="K46" s="214" t="s">
        <v>1737</v>
      </c>
      <c r="L46" s="214" t="s">
        <v>1737</v>
      </c>
      <c r="M46" s="212"/>
      <c r="N46" s="215" t="s">
        <v>3878</v>
      </c>
      <c r="O46" s="219" t="s">
        <v>3879</v>
      </c>
      <c r="P46" s="212"/>
      <c r="Q46" s="212"/>
      <c r="R46" s="212"/>
      <c r="S46" s="212"/>
      <c r="T46" s="215"/>
      <c r="U46" s="171" t="s">
        <v>3708</v>
      </c>
    </row>
    <row r="47" spans="1:21">
      <c r="A47" s="774"/>
      <c r="B47" s="223" t="s">
        <v>3880</v>
      </c>
      <c r="C47" s="212" t="s">
        <v>3868</v>
      </c>
      <c r="D47" s="213" t="s">
        <v>3881</v>
      </c>
      <c r="E47" s="212" t="s">
        <v>1732</v>
      </c>
      <c r="F47" s="212"/>
      <c r="G47" s="212"/>
      <c r="H47" s="212"/>
      <c r="I47" s="213"/>
      <c r="J47" s="214" t="s">
        <v>1736</v>
      </c>
      <c r="K47" s="214" t="s">
        <v>1737</v>
      </c>
      <c r="L47" s="214" t="s">
        <v>1737</v>
      </c>
      <c r="M47" s="212"/>
      <c r="N47" s="215" t="s">
        <v>3878</v>
      </c>
      <c r="O47" s="219" t="s">
        <v>3882</v>
      </c>
      <c r="P47" s="212"/>
      <c r="Q47" s="212"/>
      <c r="R47" s="212"/>
      <c r="S47" s="212"/>
      <c r="T47" s="215"/>
      <c r="U47" s="171" t="s">
        <v>3708</v>
      </c>
    </row>
    <row r="48" spans="1:21">
      <c r="A48" s="774"/>
      <c r="B48" s="223" t="s">
        <v>3883</v>
      </c>
      <c r="C48" s="212" t="s">
        <v>3868</v>
      </c>
      <c r="D48" s="213" t="s">
        <v>3884</v>
      </c>
      <c r="E48" s="212" t="s">
        <v>1743</v>
      </c>
      <c r="F48" s="212"/>
      <c r="G48" s="212"/>
      <c r="H48" s="212"/>
      <c r="I48" s="213" t="s">
        <v>3885</v>
      </c>
      <c r="J48" s="214" t="s">
        <v>1736</v>
      </c>
      <c r="K48" s="214" t="s">
        <v>1737</v>
      </c>
      <c r="L48" s="214" t="s">
        <v>1737</v>
      </c>
      <c r="M48" s="212"/>
      <c r="N48" s="215" t="s">
        <v>3886</v>
      </c>
      <c r="O48" s="219" t="s">
        <v>3887</v>
      </c>
      <c r="P48" s="212"/>
      <c r="Q48" s="212"/>
      <c r="R48" s="212"/>
      <c r="S48" s="212"/>
      <c r="T48" s="215" t="s">
        <v>3886</v>
      </c>
      <c r="U48" s="171" t="s">
        <v>3708</v>
      </c>
    </row>
    <row r="49" spans="1:21">
      <c r="A49" s="774"/>
      <c r="B49" s="223" t="s">
        <v>3888</v>
      </c>
      <c r="C49" s="212" t="s">
        <v>3868</v>
      </c>
      <c r="D49" s="213" t="s">
        <v>3889</v>
      </c>
      <c r="E49" s="212" t="s">
        <v>1743</v>
      </c>
      <c r="F49" s="212"/>
      <c r="G49" s="212"/>
      <c r="H49" s="212"/>
      <c r="I49" s="213" t="s">
        <v>3885</v>
      </c>
      <c r="J49" s="214" t="s">
        <v>1736</v>
      </c>
      <c r="K49" s="214" t="s">
        <v>1737</v>
      </c>
      <c r="L49" s="214" t="s">
        <v>1737</v>
      </c>
      <c r="M49" s="212"/>
      <c r="N49" s="215" t="s">
        <v>3886</v>
      </c>
      <c r="O49" s="219" t="s">
        <v>3887</v>
      </c>
      <c r="P49" s="212"/>
      <c r="Q49" s="212"/>
      <c r="R49" s="212"/>
      <c r="S49" s="212"/>
      <c r="T49" s="215" t="s">
        <v>3886</v>
      </c>
      <c r="U49" s="171" t="s">
        <v>3708</v>
      </c>
    </row>
    <row r="50" spans="1:21">
      <c r="A50" s="774"/>
      <c r="B50" s="223" t="s">
        <v>3890</v>
      </c>
      <c r="C50" s="212" t="s">
        <v>3868</v>
      </c>
      <c r="D50" s="213" t="s">
        <v>3891</v>
      </c>
      <c r="E50" s="212" t="s">
        <v>1743</v>
      </c>
      <c r="F50" s="212"/>
      <c r="G50" s="212"/>
      <c r="H50" s="212"/>
      <c r="I50" s="213" t="s">
        <v>3885</v>
      </c>
      <c r="J50" s="214" t="s">
        <v>1736</v>
      </c>
      <c r="K50" s="214" t="s">
        <v>1737</v>
      </c>
      <c r="L50" s="214" t="s">
        <v>1737</v>
      </c>
      <c r="M50" s="212"/>
      <c r="N50" s="215" t="s">
        <v>3871</v>
      </c>
      <c r="O50" s="219" t="s">
        <v>3892</v>
      </c>
      <c r="P50" s="212"/>
      <c r="Q50" s="212"/>
      <c r="R50" s="212"/>
      <c r="S50" s="212"/>
      <c r="T50" s="215"/>
      <c r="U50" s="171" t="s">
        <v>3708</v>
      </c>
    </row>
    <row r="51" spans="1:21">
      <c r="A51" s="774"/>
      <c r="B51" s="223" t="s">
        <v>3893</v>
      </c>
      <c r="C51" s="212" t="s">
        <v>3868</v>
      </c>
      <c r="D51" s="213" t="s">
        <v>3894</v>
      </c>
      <c r="E51" s="212" t="s">
        <v>1743</v>
      </c>
      <c r="F51" s="212"/>
      <c r="G51" s="212"/>
      <c r="H51" s="212"/>
      <c r="I51" s="213" t="s">
        <v>3885</v>
      </c>
      <c r="J51" s="214" t="s">
        <v>1736</v>
      </c>
      <c r="K51" s="214" t="s">
        <v>1737</v>
      </c>
      <c r="L51" s="214" t="s">
        <v>1737</v>
      </c>
      <c r="M51" s="212"/>
      <c r="N51" s="215" t="s">
        <v>3878</v>
      </c>
      <c r="O51" s="219" t="s">
        <v>3895</v>
      </c>
      <c r="P51" s="212"/>
      <c r="Q51" s="212"/>
      <c r="R51" s="212"/>
      <c r="S51" s="212"/>
      <c r="T51" s="215"/>
      <c r="U51" s="171" t="s">
        <v>3708</v>
      </c>
    </row>
    <row r="52" spans="1:21">
      <c r="A52" s="774"/>
      <c r="B52" s="223" t="s">
        <v>3896</v>
      </c>
      <c r="C52" s="212" t="s">
        <v>3868</v>
      </c>
      <c r="D52" s="213" t="s">
        <v>3897</v>
      </c>
      <c r="E52" s="212" t="s">
        <v>1743</v>
      </c>
      <c r="F52" s="212"/>
      <c r="G52" s="212"/>
      <c r="H52" s="212"/>
      <c r="I52" s="213" t="s">
        <v>3885</v>
      </c>
      <c r="J52" s="214" t="s">
        <v>1736</v>
      </c>
      <c r="K52" s="214" t="s">
        <v>1737</v>
      </c>
      <c r="L52" s="214" t="s">
        <v>1737</v>
      </c>
      <c r="M52" s="212"/>
      <c r="N52" s="215" t="s">
        <v>3871</v>
      </c>
      <c r="O52" s="219" t="s">
        <v>3898</v>
      </c>
      <c r="P52" s="212"/>
      <c r="Q52" s="212"/>
      <c r="R52" s="212"/>
      <c r="S52" s="212"/>
      <c r="T52" s="215"/>
      <c r="U52" s="171" t="s">
        <v>3708</v>
      </c>
    </row>
    <row r="53" spans="1:21">
      <c r="A53" s="774"/>
      <c r="B53" s="223" t="s">
        <v>3899</v>
      </c>
      <c r="C53" s="212" t="s">
        <v>3868</v>
      </c>
      <c r="D53" s="213" t="s">
        <v>3900</v>
      </c>
      <c r="E53" s="212" t="s">
        <v>1743</v>
      </c>
      <c r="F53" s="212"/>
      <c r="G53" s="212"/>
      <c r="H53" s="212"/>
      <c r="I53" s="213" t="s">
        <v>3885</v>
      </c>
      <c r="J53" s="214" t="s">
        <v>1736</v>
      </c>
      <c r="K53" s="214" t="s">
        <v>1737</v>
      </c>
      <c r="L53" s="214" t="s">
        <v>1737</v>
      </c>
      <c r="M53" s="212"/>
      <c r="N53" s="215" t="s">
        <v>3901</v>
      </c>
      <c r="O53" s="219" t="s">
        <v>3902</v>
      </c>
      <c r="P53" s="212"/>
      <c r="Q53" s="212"/>
      <c r="R53" s="212"/>
      <c r="S53" s="212"/>
      <c r="T53" s="215"/>
      <c r="U53" s="171" t="s">
        <v>3708</v>
      </c>
    </row>
    <row r="54" spans="1:21">
      <c r="A54" s="774"/>
      <c r="B54" s="223" t="s">
        <v>3903</v>
      </c>
      <c r="C54" s="212" t="s">
        <v>3868</v>
      </c>
      <c r="D54" s="213" t="s">
        <v>3904</v>
      </c>
      <c r="E54" s="212" t="s">
        <v>1743</v>
      </c>
      <c r="F54" s="212"/>
      <c r="G54" s="212"/>
      <c r="H54" s="212"/>
      <c r="I54" s="213" t="s">
        <v>3885</v>
      </c>
      <c r="J54" s="215" t="s">
        <v>1736</v>
      </c>
      <c r="K54" s="215"/>
      <c r="L54" s="215"/>
      <c r="M54" s="212"/>
      <c r="N54" s="215"/>
      <c r="O54" s="219"/>
      <c r="P54" s="212"/>
      <c r="Q54" s="212"/>
      <c r="R54" s="212"/>
      <c r="S54" s="212"/>
      <c r="T54" s="215"/>
      <c r="U54" s="171" t="s">
        <v>3708</v>
      </c>
    </row>
    <row r="55" spans="1:21">
      <c r="A55" s="773"/>
      <c r="B55" s="223" t="s">
        <v>3905</v>
      </c>
      <c r="C55" s="212" t="s">
        <v>3868</v>
      </c>
      <c r="D55" s="213" t="s">
        <v>3906</v>
      </c>
      <c r="E55" s="212" t="s">
        <v>1743</v>
      </c>
      <c r="F55" s="212"/>
      <c r="G55" s="212"/>
      <c r="H55" s="212"/>
      <c r="I55" s="213" t="s">
        <v>3885</v>
      </c>
      <c r="J55" s="215" t="s">
        <v>1736</v>
      </c>
      <c r="K55" s="215"/>
      <c r="L55" s="215"/>
      <c r="M55" s="212"/>
      <c r="N55" s="36"/>
      <c r="O55" s="36"/>
      <c r="P55" s="212"/>
      <c r="Q55" s="212"/>
      <c r="R55" s="212"/>
      <c r="S55" s="212"/>
      <c r="T55" s="36"/>
      <c r="U55" s="171" t="s">
        <v>3708</v>
      </c>
    </row>
    <row r="56" spans="1:21">
      <c r="A56" s="696" t="s">
        <v>3907</v>
      </c>
      <c r="B56" s="223" t="s">
        <v>3908</v>
      </c>
      <c r="C56" s="212" t="s">
        <v>3909</v>
      </c>
      <c r="D56" s="213" t="s">
        <v>3910</v>
      </c>
      <c r="E56" s="212" t="s">
        <v>1732</v>
      </c>
      <c r="F56" s="212"/>
      <c r="G56" s="212"/>
      <c r="H56" s="212"/>
      <c r="I56" s="213" t="s">
        <v>3870</v>
      </c>
      <c r="J56" s="214" t="s">
        <v>1736</v>
      </c>
      <c r="K56" s="214" t="s">
        <v>1737</v>
      </c>
      <c r="L56" s="214" t="s">
        <v>1737</v>
      </c>
      <c r="M56" s="212"/>
      <c r="N56" s="215" t="s">
        <v>3911</v>
      </c>
      <c r="O56" s="219" t="s">
        <v>3912</v>
      </c>
      <c r="P56" s="212"/>
      <c r="Q56" s="212"/>
      <c r="R56" s="212"/>
      <c r="S56" s="212"/>
      <c r="T56" s="215" t="s">
        <v>3911</v>
      </c>
      <c r="U56" s="171" t="s">
        <v>3708</v>
      </c>
    </row>
    <row r="57" spans="1:21">
      <c r="A57" s="774"/>
      <c r="B57" s="223" t="s">
        <v>3913</v>
      </c>
      <c r="C57" s="212" t="s">
        <v>3909</v>
      </c>
      <c r="D57" s="213" t="s">
        <v>3914</v>
      </c>
      <c r="E57" s="212" t="s">
        <v>1732</v>
      </c>
      <c r="F57" s="212"/>
      <c r="G57" s="212"/>
      <c r="H57" s="212"/>
      <c r="I57" s="213" t="s">
        <v>3870</v>
      </c>
      <c r="J57" s="215" t="s">
        <v>1736</v>
      </c>
      <c r="K57" s="215"/>
      <c r="L57" s="215"/>
      <c r="M57" s="18" t="s">
        <v>3915</v>
      </c>
      <c r="N57" s="215"/>
      <c r="O57" s="219"/>
      <c r="P57" s="212"/>
      <c r="Q57" s="212"/>
      <c r="R57" s="212"/>
      <c r="S57" s="212"/>
      <c r="T57" s="215"/>
      <c r="U57" s="171" t="s">
        <v>3708</v>
      </c>
    </row>
    <row r="58" spans="1:21">
      <c r="A58" s="774"/>
      <c r="B58" s="223" t="s">
        <v>3916</v>
      </c>
      <c r="C58" s="212" t="s">
        <v>3909</v>
      </c>
      <c r="D58" s="213" t="s">
        <v>3917</v>
      </c>
      <c r="E58" s="212" t="s">
        <v>1732</v>
      </c>
      <c r="F58" s="212"/>
      <c r="G58" s="212"/>
      <c r="H58" s="212"/>
      <c r="I58" s="213" t="s">
        <v>3870</v>
      </c>
      <c r="J58" s="215" t="s">
        <v>1736</v>
      </c>
      <c r="K58" s="215"/>
      <c r="L58" s="215"/>
      <c r="M58" s="18" t="s">
        <v>3915</v>
      </c>
      <c r="N58" s="215"/>
      <c r="O58" s="219"/>
      <c r="P58" s="212"/>
      <c r="Q58" s="212"/>
      <c r="R58" s="212"/>
      <c r="S58" s="212"/>
      <c r="T58" s="215"/>
      <c r="U58" s="171" t="s">
        <v>3708</v>
      </c>
    </row>
    <row r="59" spans="1:21">
      <c r="A59" s="774"/>
      <c r="B59" s="223" t="s">
        <v>3918</v>
      </c>
      <c r="C59" s="212" t="s">
        <v>3909</v>
      </c>
      <c r="D59" s="213" t="s">
        <v>3919</v>
      </c>
      <c r="E59" s="212" t="s">
        <v>1732</v>
      </c>
      <c r="F59" s="212"/>
      <c r="G59" s="212"/>
      <c r="H59" s="212"/>
      <c r="I59" s="213" t="s">
        <v>3870</v>
      </c>
      <c r="J59" s="215" t="s">
        <v>1736</v>
      </c>
      <c r="K59" s="215"/>
      <c r="L59" s="215"/>
      <c r="M59" s="18" t="s">
        <v>3915</v>
      </c>
      <c r="N59" s="215"/>
      <c r="O59" s="219"/>
      <c r="P59" s="212"/>
      <c r="Q59" s="212"/>
      <c r="R59" s="212"/>
      <c r="S59" s="212"/>
      <c r="T59" s="215"/>
      <c r="U59" s="171" t="s">
        <v>3708</v>
      </c>
    </row>
    <row r="60" spans="1:21">
      <c r="A60" s="774"/>
      <c r="B60" s="223" t="s">
        <v>3920</v>
      </c>
      <c r="C60" s="212" t="s">
        <v>3909</v>
      </c>
      <c r="D60" s="213" t="s">
        <v>3921</v>
      </c>
      <c r="E60" s="212" t="s">
        <v>1732</v>
      </c>
      <c r="F60" s="212"/>
      <c r="G60" s="212"/>
      <c r="H60" s="212"/>
      <c r="I60" s="213" t="s">
        <v>3870</v>
      </c>
      <c r="J60" s="214" t="s">
        <v>1736</v>
      </c>
      <c r="K60" s="214" t="s">
        <v>1737</v>
      </c>
      <c r="L60" s="214" t="s">
        <v>1737</v>
      </c>
      <c r="M60" s="212"/>
      <c r="N60" s="215" t="s">
        <v>3911</v>
      </c>
      <c r="O60" s="219" t="s">
        <v>3922</v>
      </c>
      <c r="P60" s="212"/>
      <c r="Q60" s="212"/>
      <c r="R60" s="212"/>
      <c r="S60" s="212"/>
      <c r="T60" s="215" t="s">
        <v>3911</v>
      </c>
      <c r="U60" s="171" t="s">
        <v>3708</v>
      </c>
    </row>
    <row r="61" spans="1:21">
      <c r="A61" s="774"/>
      <c r="B61" s="223" t="s">
        <v>3923</v>
      </c>
      <c r="C61" s="212" t="s">
        <v>3909</v>
      </c>
      <c r="D61" s="213" t="s">
        <v>3924</v>
      </c>
      <c r="E61" s="212" t="s">
        <v>1732</v>
      </c>
      <c r="F61" s="212"/>
      <c r="G61" s="212"/>
      <c r="H61" s="212"/>
      <c r="I61" s="213" t="s">
        <v>3870</v>
      </c>
      <c r="J61" s="214" t="s">
        <v>1736</v>
      </c>
      <c r="K61" s="214" t="s">
        <v>1737</v>
      </c>
      <c r="L61" s="214" t="s">
        <v>1737</v>
      </c>
      <c r="M61" s="212"/>
      <c r="N61" s="215" t="s">
        <v>3911</v>
      </c>
      <c r="O61" s="219" t="s">
        <v>3925</v>
      </c>
      <c r="P61" s="212"/>
      <c r="Q61" s="212"/>
      <c r="R61" s="212"/>
      <c r="S61" s="212"/>
      <c r="T61" s="215" t="s">
        <v>3911</v>
      </c>
      <c r="U61" s="171" t="s">
        <v>3708</v>
      </c>
    </row>
    <row r="62" spans="1:21">
      <c r="A62" s="774"/>
      <c r="B62" s="223" t="s">
        <v>3926</v>
      </c>
      <c r="C62" s="212" t="s">
        <v>3909</v>
      </c>
      <c r="D62" s="213" t="s">
        <v>3927</v>
      </c>
      <c r="E62" s="212" t="s">
        <v>1732</v>
      </c>
      <c r="F62" s="212"/>
      <c r="G62" s="212"/>
      <c r="H62" s="212"/>
      <c r="I62" s="213"/>
      <c r="J62" s="214" t="s">
        <v>1736</v>
      </c>
      <c r="K62" s="214" t="s">
        <v>1737</v>
      </c>
      <c r="L62" s="214" t="s">
        <v>1737</v>
      </c>
      <c r="M62" s="212"/>
      <c r="N62" s="215" t="s">
        <v>3911</v>
      </c>
      <c r="O62" s="219" t="s">
        <v>3928</v>
      </c>
      <c r="P62" s="212"/>
      <c r="Q62" s="212"/>
      <c r="R62" s="212"/>
      <c r="S62" s="212"/>
      <c r="T62" s="215" t="s">
        <v>3911</v>
      </c>
      <c r="U62" s="171" t="s">
        <v>3708</v>
      </c>
    </row>
    <row r="63" spans="1:21">
      <c r="A63" s="774"/>
      <c r="B63" s="223" t="s">
        <v>3929</v>
      </c>
      <c r="C63" s="212" t="s">
        <v>3909</v>
      </c>
      <c r="D63" s="213" t="s">
        <v>3930</v>
      </c>
      <c r="E63" s="212" t="s">
        <v>1732</v>
      </c>
      <c r="F63" s="212"/>
      <c r="G63" s="212"/>
      <c r="H63" s="212"/>
      <c r="I63" s="213"/>
      <c r="J63" s="214" t="s">
        <v>1736</v>
      </c>
      <c r="K63" s="214" t="s">
        <v>1737</v>
      </c>
      <c r="L63" s="214" t="s">
        <v>1737</v>
      </c>
      <c r="M63" s="212"/>
      <c r="N63" s="215" t="s">
        <v>3911</v>
      </c>
      <c r="O63" s="219" t="s">
        <v>3931</v>
      </c>
      <c r="P63" s="212"/>
      <c r="Q63" s="212"/>
      <c r="R63" s="212"/>
      <c r="S63" s="212"/>
      <c r="T63" s="215" t="s">
        <v>3911</v>
      </c>
      <c r="U63" s="171" t="s">
        <v>3708</v>
      </c>
    </row>
    <row r="64" spans="1:21">
      <c r="A64" s="774"/>
      <c r="B64" s="223" t="s">
        <v>3932</v>
      </c>
      <c r="C64" s="212" t="s">
        <v>3909</v>
      </c>
      <c r="D64" s="213" t="s">
        <v>3933</v>
      </c>
      <c r="E64" s="212" t="s">
        <v>1732</v>
      </c>
      <c r="F64" s="212"/>
      <c r="G64" s="212"/>
      <c r="H64" s="212"/>
      <c r="I64" s="213"/>
      <c r="J64" s="214" t="s">
        <v>1736</v>
      </c>
      <c r="K64" s="214" t="s">
        <v>1737</v>
      </c>
      <c r="L64" s="214" t="s">
        <v>1737</v>
      </c>
      <c r="M64" s="212"/>
      <c r="N64" s="215" t="s">
        <v>3911</v>
      </c>
      <c r="O64" s="219" t="s">
        <v>3934</v>
      </c>
      <c r="P64" s="212"/>
      <c r="Q64" s="212"/>
      <c r="R64" s="212"/>
      <c r="S64" s="212"/>
      <c r="T64" s="215" t="s">
        <v>3911</v>
      </c>
      <c r="U64" s="171" t="s">
        <v>3708</v>
      </c>
    </row>
    <row r="65" spans="1:21">
      <c r="A65" s="774"/>
      <c r="B65" s="223" t="s">
        <v>3935</v>
      </c>
      <c r="C65" s="212" t="s">
        <v>3909</v>
      </c>
      <c r="D65" s="213" t="s">
        <v>3936</v>
      </c>
      <c r="E65" s="212" t="s">
        <v>1743</v>
      </c>
      <c r="F65" s="212"/>
      <c r="G65" s="212"/>
      <c r="H65" s="212"/>
      <c r="I65" s="213" t="s">
        <v>3885</v>
      </c>
      <c r="J65" s="214" t="s">
        <v>1736</v>
      </c>
      <c r="K65" s="214" t="s">
        <v>1737</v>
      </c>
      <c r="L65" s="214" t="s">
        <v>1737</v>
      </c>
      <c r="M65" s="212"/>
      <c r="N65" s="215" t="s">
        <v>3937</v>
      </c>
      <c r="O65" s="219" t="s">
        <v>3938</v>
      </c>
      <c r="P65" s="212"/>
      <c r="Q65" s="212"/>
      <c r="R65" s="212"/>
      <c r="S65" s="212"/>
      <c r="T65" s="215" t="s">
        <v>3937</v>
      </c>
      <c r="U65" s="171" t="s">
        <v>3708</v>
      </c>
    </row>
    <row r="66" spans="1:21">
      <c r="A66" s="774"/>
      <c r="B66" s="223" t="s">
        <v>3939</v>
      </c>
      <c r="C66" s="212" t="s">
        <v>3909</v>
      </c>
      <c r="D66" s="213" t="s">
        <v>3940</v>
      </c>
      <c r="E66" s="212" t="s">
        <v>1743</v>
      </c>
      <c r="F66" s="212"/>
      <c r="G66" s="212"/>
      <c r="H66" s="212"/>
      <c r="I66" s="213" t="s">
        <v>3885</v>
      </c>
      <c r="J66" s="214" t="s">
        <v>1736</v>
      </c>
      <c r="K66" s="214" t="s">
        <v>1737</v>
      </c>
      <c r="L66" s="214" t="s">
        <v>1737</v>
      </c>
      <c r="M66" s="212"/>
      <c r="N66" s="215" t="s">
        <v>3937</v>
      </c>
      <c r="O66" s="219" t="s">
        <v>3941</v>
      </c>
      <c r="P66" s="212"/>
      <c r="Q66" s="212"/>
      <c r="R66" s="212"/>
      <c r="S66" s="212"/>
      <c r="T66" s="215" t="s">
        <v>3937</v>
      </c>
      <c r="U66" s="171" t="s">
        <v>3708</v>
      </c>
    </row>
    <row r="67" spans="1:21">
      <c r="A67" s="774"/>
      <c r="B67" s="223" t="s">
        <v>3942</v>
      </c>
      <c r="C67" s="212" t="s">
        <v>3909</v>
      </c>
      <c r="D67" s="213" t="s">
        <v>3943</v>
      </c>
      <c r="E67" s="212" t="s">
        <v>1743</v>
      </c>
      <c r="F67" s="212"/>
      <c r="G67" s="212"/>
      <c r="H67" s="212"/>
      <c r="I67" s="213" t="s">
        <v>3885</v>
      </c>
      <c r="J67" s="214" t="s">
        <v>1736</v>
      </c>
      <c r="K67" s="214" t="s">
        <v>1737</v>
      </c>
      <c r="L67" s="214" t="s">
        <v>1737</v>
      </c>
      <c r="M67" s="212"/>
      <c r="N67" s="215" t="s">
        <v>3937</v>
      </c>
      <c r="O67" s="219" t="s">
        <v>3944</v>
      </c>
      <c r="P67" s="212"/>
      <c r="Q67" s="212"/>
      <c r="R67" s="212"/>
      <c r="S67" s="212"/>
      <c r="T67" s="215" t="s">
        <v>3937</v>
      </c>
      <c r="U67" s="171" t="s">
        <v>3708</v>
      </c>
    </row>
    <row r="68" spans="1:21">
      <c r="A68" s="774"/>
      <c r="B68" s="223" t="s">
        <v>3945</v>
      </c>
      <c r="C68" s="212" t="s">
        <v>3909</v>
      </c>
      <c r="D68" s="213" t="s">
        <v>3946</v>
      </c>
      <c r="E68" s="212" t="s">
        <v>1743</v>
      </c>
      <c r="F68" s="212"/>
      <c r="G68" s="212"/>
      <c r="H68" s="212"/>
      <c r="I68" s="213" t="s">
        <v>3885</v>
      </c>
      <c r="J68" s="214" t="s">
        <v>1736</v>
      </c>
      <c r="K68" s="214" t="s">
        <v>1737</v>
      </c>
      <c r="L68" s="214" t="s">
        <v>1737</v>
      </c>
      <c r="M68" s="212"/>
      <c r="N68" s="215" t="s">
        <v>3937</v>
      </c>
      <c r="O68" s="219" t="s">
        <v>3947</v>
      </c>
      <c r="P68" s="212"/>
      <c r="Q68" s="212"/>
      <c r="R68" s="212"/>
      <c r="S68" s="212"/>
      <c r="T68" s="215" t="s">
        <v>3937</v>
      </c>
      <c r="U68" s="171" t="s">
        <v>3708</v>
      </c>
    </row>
    <row r="69" spans="1:21">
      <c r="A69" s="774"/>
      <c r="B69" s="223" t="s">
        <v>3948</v>
      </c>
      <c r="C69" s="212" t="s">
        <v>3909</v>
      </c>
      <c r="D69" s="213" t="s">
        <v>3949</v>
      </c>
      <c r="E69" s="212" t="s">
        <v>1743</v>
      </c>
      <c r="F69" s="212"/>
      <c r="G69" s="212"/>
      <c r="H69" s="212"/>
      <c r="I69" s="213" t="s">
        <v>3885</v>
      </c>
      <c r="J69" s="214" t="s">
        <v>1736</v>
      </c>
      <c r="K69" s="214" t="s">
        <v>1737</v>
      </c>
      <c r="L69" s="214" t="s">
        <v>1737</v>
      </c>
      <c r="M69" s="212"/>
      <c r="N69" s="215" t="s">
        <v>3937</v>
      </c>
      <c r="O69" s="219" t="s">
        <v>3950</v>
      </c>
      <c r="P69" s="212"/>
      <c r="Q69" s="212"/>
      <c r="R69" s="212"/>
      <c r="S69" s="212"/>
      <c r="T69" s="215" t="s">
        <v>3937</v>
      </c>
      <c r="U69" s="171" t="s">
        <v>3708</v>
      </c>
    </row>
    <row r="70" spans="1:21">
      <c r="A70" s="774"/>
      <c r="B70" s="223" t="s">
        <v>3951</v>
      </c>
      <c r="C70" s="212" t="s">
        <v>3909</v>
      </c>
      <c r="D70" s="213" t="s">
        <v>3952</v>
      </c>
      <c r="E70" s="212" t="s">
        <v>1743</v>
      </c>
      <c r="F70" s="212"/>
      <c r="G70" s="212"/>
      <c r="H70" s="212"/>
      <c r="I70" s="213" t="s">
        <v>3885</v>
      </c>
      <c r="J70" s="214" t="s">
        <v>1736</v>
      </c>
      <c r="K70" s="214" t="s">
        <v>1737</v>
      </c>
      <c r="L70" s="214" t="s">
        <v>1737</v>
      </c>
      <c r="M70" s="212"/>
      <c r="N70" s="215" t="s">
        <v>3937</v>
      </c>
      <c r="O70" s="219" t="s">
        <v>3953</v>
      </c>
      <c r="P70" s="212"/>
      <c r="Q70" s="212"/>
      <c r="R70" s="212"/>
      <c r="S70" s="212"/>
      <c r="T70" s="215" t="s">
        <v>3937</v>
      </c>
      <c r="U70" s="171" t="s">
        <v>3708</v>
      </c>
    </row>
    <row r="71" spans="1:21">
      <c r="A71" s="774"/>
      <c r="B71" s="223" t="s">
        <v>3954</v>
      </c>
      <c r="C71" s="212" t="s">
        <v>3909</v>
      </c>
      <c r="D71" s="213" t="s">
        <v>3955</v>
      </c>
      <c r="E71" s="212" t="s">
        <v>1743</v>
      </c>
      <c r="F71" s="212"/>
      <c r="G71" s="212"/>
      <c r="H71" s="212"/>
      <c r="I71" s="213" t="s">
        <v>3885</v>
      </c>
      <c r="J71" s="214" t="s">
        <v>1736</v>
      </c>
      <c r="K71" s="214" t="s">
        <v>1737</v>
      </c>
      <c r="L71" s="214" t="s">
        <v>1737</v>
      </c>
      <c r="M71" s="212"/>
      <c r="N71" s="215" t="s">
        <v>3937</v>
      </c>
      <c r="O71" s="219" t="s">
        <v>3956</v>
      </c>
      <c r="P71" s="212"/>
      <c r="Q71" s="212"/>
      <c r="R71" s="212"/>
      <c r="S71" s="212"/>
      <c r="T71" s="215" t="s">
        <v>3937</v>
      </c>
      <c r="U71" s="171" t="s">
        <v>3708</v>
      </c>
    </row>
    <row r="72" spans="1:21">
      <c r="A72" s="774"/>
      <c r="B72" s="223" t="s">
        <v>3957</v>
      </c>
      <c r="C72" s="212" t="s">
        <v>3909</v>
      </c>
      <c r="D72" s="213" t="s">
        <v>3958</v>
      </c>
      <c r="E72" s="212" t="s">
        <v>1743</v>
      </c>
      <c r="F72" s="212"/>
      <c r="G72" s="212"/>
      <c r="H72" s="212"/>
      <c r="I72" s="213" t="s">
        <v>3885</v>
      </c>
      <c r="J72" s="214" t="s">
        <v>1736</v>
      </c>
      <c r="K72" s="214" t="s">
        <v>1737</v>
      </c>
      <c r="L72" s="214" t="s">
        <v>1737</v>
      </c>
      <c r="M72" s="212"/>
      <c r="N72" s="215" t="s">
        <v>3937</v>
      </c>
      <c r="O72" s="219" t="s">
        <v>3959</v>
      </c>
      <c r="P72" s="212"/>
      <c r="Q72" s="212"/>
      <c r="R72" s="212"/>
      <c r="S72" s="212"/>
      <c r="T72" s="215" t="s">
        <v>3937</v>
      </c>
      <c r="U72" s="171" t="s">
        <v>3708</v>
      </c>
    </row>
    <row r="73" spans="1:21">
      <c r="A73" s="774"/>
      <c r="B73" s="223" t="s">
        <v>3960</v>
      </c>
      <c r="C73" s="212" t="s">
        <v>3909</v>
      </c>
      <c r="D73" s="213" t="s">
        <v>3961</v>
      </c>
      <c r="E73" s="212" t="s">
        <v>1743</v>
      </c>
      <c r="F73" s="212"/>
      <c r="G73" s="212"/>
      <c r="H73" s="212"/>
      <c r="I73" s="213" t="s">
        <v>3885</v>
      </c>
      <c r="J73" s="214" t="s">
        <v>1736</v>
      </c>
      <c r="K73" s="214" t="s">
        <v>1737</v>
      </c>
      <c r="L73" s="214" t="s">
        <v>1737</v>
      </c>
      <c r="M73" s="212"/>
      <c r="N73" s="215" t="s">
        <v>3937</v>
      </c>
      <c r="O73" s="219" t="s">
        <v>3962</v>
      </c>
      <c r="P73" s="212"/>
      <c r="Q73" s="212"/>
      <c r="R73" s="212"/>
      <c r="S73" s="212"/>
      <c r="T73" s="215" t="s">
        <v>3937</v>
      </c>
      <c r="U73" s="171" t="s">
        <v>3708</v>
      </c>
    </row>
    <row r="74" spans="1:21">
      <c r="A74" s="774"/>
      <c r="B74" s="223" t="s">
        <v>3963</v>
      </c>
      <c r="C74" s="212" t="s">
        <v>3909</v>
      </c>
      <c r="D74" s="213" t="s">
        <v>3964</v>
      </c>
      <c r="E74" s="212" t="s">
        <v>1743</v>
      </c>
      <c r="F74" s="212"/>
      <c r="G74" s="212"/>
      <c r="H74" s="212"/>
      <c r="I74" s="213" t="s">
        <v>3885</v>
      </c>
      <c r="J74" s="214" t="s">
        <v>1736</v>
      </c>
      <c r="K74" s="214" t="s">
        <v>1737</v>
      </c>
      <c r="L74" s="214" t="s">
        <v>1737</v>
      </c>
      <c r="M74" s="212"/>
      <c r="N74" s="224">
        <v>44895</v>
      </c>
      <c r="O74" s="219" t="s">
        <v>3965</v>
      </c>
      <c r="P74" s="212"/>
      <c r="Q74" s="212"/>
      <c r="R74" s="212"/>
      <c r="S74" s="212"/>
      <c r="T74" s="224">
        <v>44895</v>
      </c>
      <c r="U74" s="171" t="s">
        <v>3708</v>
      </c>
    </row>
    <row r="75" spans="1:21">
      <c r="A75" s="774"/>
      <c r="B75" s="223" t="s">
        <v>3966</v>
      </c>
      <c r="C75" s="212" t="s">
        <v>3909</v>
      </c>
      <c r="D75" s="213" t="s">
        <v>3967</v>
      </c>
      <c r="E75" s="212" t="s">
        <v>1743</v>
      </c>
      <c r="F75" s="212"/>
      <c r="G75" s="212"/>
      <c r="H75" s="212"/>
      <c r="I75" s="213" t="s">
        <v>3885</v>
      </c>
      <c r="J75" s="214" t="s">
        <v>1736</v>
      </c>
      <c r="K75" s="214" t="s">
        <v>1737</v>
      </c>
      <c r="L75" s="214" t="s">
        <v>1737</v>
      </c>
      <c r="M75" s="212"/>
      <c r="N75" s="224">
        <v>44895</v>
      </c>
      <c r="O75" s="219" t="s">
        <v>3968</v>
      </c>
      <c r="P75" s="212"/>
      <c r="Q75" s="212"/>
      <c r="R75" s="212"/>
      <c r="S75" s="212"/>
      <c r="T75" s="224">
        <v>44895</v>
      </c>
      <c r="U75" s="171" t="s">
        <v>3708</v>
      </c>
    </row>
    <row r="76" spans="1:21">
      <c r="A76" s="774"/>
      <c r="B76" s="223" t="s">
        <v>3969</v>
      </c>
      <c r="C76" s="212" t="s">
        <v>3909</v>
      </c>
      <c r="D76" s="213" t="s">
        <v>3970</v>
      </c>
      <c r="E76" s="212" t="s">
        <v>1743</v>
      </c>
      <c r="F76" s="212"/>
      <c r="G76" s="212"/>
      <c r="H76" s="212"/>
      <c r="I76" s="213" t="s">
        <v>3885</v>
      </c>
      <c r="J76" s="214" t="s">
        <v>1736</v>
      </c>
      <c r="K76" s="214" t="s">
        <v>1737</v>
      </c>
      <c r="L76" s="214" t="s">
        <v>1737</v>
      </c>
      <c r="M76" s="212"/>
      <c r="N76" s="224">
        <v>44895</v>
      </c>
      <c r="O76" s="219" t="s">
        <v>3971</v>
      </c>
      <c r="P76" s="212"/>
      <c r="Q76" s="212"/>
      <c r="R76" s="212"/>
      <c r="S76" s="212"/>
      <c r="T76" s="224">
        <v>44895</v>
      </c>
      <c r="U76" s="171" t="s">
        <v>3708</v>
      </c>
    </row>
    <row r="77" spans="1:21">
      <c r="A77" s="774"/>
      <c r="B77" s="225" t="s">
        <v>3972</v>
      </c>
      <c r="C77" s="226" t="s">
        <v>3909</v>
      </c>
      <c r="D77" s="227" t="s">
        <v>3973</v>
      </c>
      <c r="E77" s="226" t="s">
        <v>1743</v>
      </c>
      <c r="F77" s="226"/>
      <c r="G77" s="212"/>
      <c r="H77" s="212"/>
      <c r="I77" s="213" t="s">
        <v>3885</v>
      </c>
      <c r="J77" s="215" t="s">
        <v>1736</v>
      </c>
      <c r="K77" s="215"/>
      <c r="L77" s="215"/>
      <c r="M77" s="212"/>
      <c r="N77" s="215"/>
      <c r="O77" s="219"/>
      <c r="P77" s="212"/>
      <c r="Q77" s="212"/>
      <c r="R77" s="212"/>
      <c r="S77" s="212"/>
      <c r="T77" s="215"/>
      <c r="U77" s="171" t="s">
        <v>3708</v>
      </c>
    </row>
    <row r="78" spans="1:21">
      <c r="A78" s="774"/>
      <c r="B78" s="225" t="s">
        <v>3974</v>
      </c>
      <c r="C78" s="226" t="s">
        <v>3909</v>
      </c>
      <c r="D78" s="227" t="s">
        <v>3975</v>
      </c>
      <c r="E78" s="226" t="s">
        <v>1743</v>
      </c>
      <c r="F78" s="226"/>
      <c r="G78" s="212"/>
      <c r="H78" s="212"/>
      <c r="I78" s="213" t="s">
        <v>3885</v>
      </c>
      <c r="J78" s="215" t="s">
        <v>1736</v>
      </c>
      <c r="K78" s="215"/>
      <c r="L78" s="215"/>
      <c r="M78" s="212"/>
      <c r="N78" s="215"/>
      <c r="O78" s="219"/>
      <c r="P78" s="212"/>
      <c r="Q78" s="212"/>
      <c r="R78" s="212"/>
      <c r="S78" s="212"/>
      <c r="T78" s="215"/>
      <c r="U78" s="171" t="s">
        <v>3708</v>
      </c>
    </row>
    <row r="79" spans="1:21">
      <c r="A79" s="774"/>
      <c r="B79" s="225" t="s">
        <v>3976</v>
      </c>
      <c r="C79" s="226" t="s">
        <v>3909</v>
      </c>
      <c r="D79" s="227" t="s">
        <v>3977</v>
      </c>
      <c r="E79" s="226" t="s">
        <v>1743</v>
      </c>
      <c r="F79" s="226"/>
      <c r="G79" s="212"/>
      <c r="H79" s="212"/>
      <c r="I79" s="213" t="s">
        <v>3885</v>
      </c>
      <c r="J79" s="215" t="s">
        <v>1736</v>
      </c>
      <c r="K79" s="215"/>
      <c r="L79" s="215"/>
      <c r="M79" s="212"/>
      <c r="N79" s="215"/>
      <c r="O79" s="219"/>
      <c r="P79" s="212"/>
      <c r="Q79" s="212"/>
      <c r="R79" s="212"/>
      <c r="S79" s="212"/>
      <c r="T79" s="215"/>
      <c r="U79" s="171" t="s">
        <v>3708</v>
      </c>
    </row>
    <row r="80" spans="1:21">
      <c r="A80" s="774"/>
      <c r="B80" s="223" t="s">
        <v>3978</v>
      </c>
      <c r="C80" s="212" t="s">
        <v>3909</v>
      </c>
      <c r="D80" s="213" t="s">
        <v>3979</v>
      </c>
      <c r="E80" s="212" t="s">
        <v>1743</v>
      </c>
      <c r="F80" s="212"/>
      <c r="G80" s="212"/>
      <c r="H80" s="212"/>
      <c r="I80" s="213" t="s">
        <v>3885</v>
      </c>
      <c r="J80" s="214" t="s">
        <v>1736</v>
      </c>
      <c r="K80" s="214" t="s">
        <v>1737</v>
      </c>
      <c r="L80" s="214" t="s">
        <v>1737</v>
      </c>
      <c r="M80" s="212"/>
      <c r="N80" s="215" t="s">
        <v>3810</v>
      </c>
      <c r="O80" s="219" t="s">
        <v>3980</v>
      </c>
      <c r="P80" s="212"/>
      <c r="Q80" s="212"/>
      <c r="R80" s="212"/>
      <c r="S80" s="212"/>
      <c r="T80" s="215" t="s">
        <v>3810</v>
      </c>
      <c r="U80" s="171" t="s">
        <v>3708</v>
      </c>
    </row>
    <row r="81" spans="1:21">
      <c r="A81" s="774"/>
      <c r="B81" s="223" t="s">
        <v>3981</v>
      </c>
      <c r="C81" s="212" t="s">
        <v>3909</v>
      </c>
      <c r="D81" s="213" t="s">
        <v>3982</v>
      </c>
      <c r="E81" s="212" t="s">
        <v>1743</v>
      </c>
      <c r="F81" s="212"/>
      <c r="G81" s="212"/>
      <c r="H81" s="212"/>
      <c r="I81" s="213" t="s">
        <v>3885</v>
      </c>
      <c r="J81" s="214" t="s">
        <v>1736</v>
      </c>
      <c r="K81" s="214" t="s">
        <v>1737</v>
      </c>
      <c r="L81" s="214" t="s">
        <v>1737</v>
      </c>
      <c r="M81" s="212"/>
      <c r="N81" s="215" t="s">
        <v>3810</v>
      </c>
      <c r="O81" s="219" t="s">
        <v>3983</v>
      </c>
      <c r="P81" s="212"/>
      <c r="Q81" s="212"/>
      <c r="R81" s="212"/>
      <c r="S81" s="212"/>
      <c r="T81" s="215" t="s">
        <v>3810</v>
      </c>
      <c r="U81" s="171" t="s">
        <v>3708</v>
      </c>
    </row>
    <row r="82" spans="1:21">
      <c r="A82" s="774"/>
      <c r="B82" s="223" t="s">
        <v>3984</v>
      </c>
      <c r="C82" s="212" t="s">
        <v>3909</v>
      </c>
      <c r="D82" s="213" t="s">
        <v>3985</v>
      </c>
      <c r="E82" s="212" t="s">
        <v>1743</v>
      </c>
      <c r="F82" s="212"/>
      <c r="G82" s="212"/>
      <c r="H82" s="212"/>
      <c r="I82" s="213" t="s">
        <v>3885</v>
      </c>
      <c r="J82" s="214" t="s">
        <v>1736</v>
      </c>
      <c r="K82" s="214" t="s">
        <v>1737</v>
      </c>
      <c r="L82" s="214" t="s">
        <v>1737</v>
      </c>
      <c r="M82" s="212"/>
      <c r="N82" s="215" t="s">
        <v>3810</v>
      </c>
      <c r="O82" s="219" t="s">
        <v>3986</v>
      </c>
      <c r="P82" s="212"/>
      <c r="Q82" s="212"/>
      <c r="R82" s="212"/>
      <c r="S82" s="212"/>
      <c r="T82" s="215" t="s">
        <v>3810</v>
      </c>
      <c r="U82" s="171" t="s">
        <v>3708</v>
      </c>
    </row>
    <row r="83" spans="1:21">
      <c r="A83" s="774"/>
      <c r="B83" s="223" t="s">
        <v>3987</v>
      </c>
      <c r="C83" s="212" t="s">
        <v>3909</v>
      </c>
      <c r="D83" s="213" t="s">
        <v>3988</v>
      </c>
      <c r="E83" s="212" t="s">
        <v>1743</v>
      </c>
      <c r="F83" s="212"/>
      <c r="G83" s="212"/>
      <c r="H83" s="212"/>
      <c r="I83" s="213" t="s">
        <v>3885</v>
      </c>
      <c r="J83" s="214" t="s">
        <v>1736</v>
      </c>
      <c r="K83" s="214" t="s">
        <v>1737</v>
      </c>
      <c r="L83" s="214" t="s">
        <v>1737</v>
      </c>
      <c r="M83" s="212"/>
      <c r="N83" s="215" t="s">
        <v>3787</v>
      </c>
      <c r="O83" s="219" t="s">
        <v>3989</v>
      </c>
      <c r="P83" s="212"/>
      <c r="Q83" s="212"/>
      <c r="R83" s="212"/>
      <c r="S83" s="212"/>
      <c r="T83" s="215"/>
      <c r="U83" s="171" t="s">
        <v>3708</v>
      </c>
    </row>
    <row r="84" spans="1:21">
      <c r="A84" s="774"/>
      <c r="B84" s="223" t="s">
        <v>3990</v>
      </c>
      <c r="C84" s="212" t="s">
        <v>3909</v>
      </c>
      <c r="D84" s="213" t="s">
        <v>3991</v>
      </c>
      <c r="E84" s="212" t="s">
        <v>1743</v>
      </c>
      <c r="F84" s="212"/>
      <c r="G84" s="212"/>
      <c r="H84" s="212"/>
      <c r="I84" s="213" t="s">
        <v>3885</v>
      </c>
      <c r="J84" s="214" t="s">
        <v>1736</v>
      </c>
      <c r="K84" s="214" t="s">
        <v>1737</v>
      </c>
      <c r="L84" s="214" t="s">
        <v>1737</v>
      </c>
      <c r="M84" s="212"/>
      <c r="N84" s="215" t="s">
        <v>3787</v>
      </c>
      <c r="O84" s="219" t="s">
        <v>3992</v>
      </c>
      <c r="P84" s="212"/>
      <c r="Q84" s="212"/>
      <c r="R84" s="212"/>
      <c r="S84" s="212"/>
      <c r="T84" s="215"/>
      <c r="U84" s="171" t="s">
        <v>3708</v>
      </c>
    </row>
    <row r="85" spans="1:21">
      <c r="A85" s="774"/>
      <c r="B85" s="223" t="s">
        <v>3993</v>
      </c>
      <c r="C85" s="212" t="s">
        <v>3909</v>
      </c>
      <c r="D85" s="213" t="s">
        <v>3994</v>
      </c>
      <c r="E85" s="212" t="s">
        <v>1743</v>
      </c>
      <c r="F85" s="212"/>
      <c r="G85" s="212"/>
      <c r="H85" s="212"/>
      <c r="I85" s="213" t="s">
        <v>3885</v>
      </c>
      <c r="J85" s="214" t="s">
        <v>1736</v>
      </c>
      <c r="K85" s="214" t="s">
        <v>1737</v>
      </c>
      <c r="L85" s="214" t="s">
        <v>1737</v>
      </c>
      <c r="M85" s="212"/>
      <c r="N85" s="215" t="s">
        <v>3787</v>
      </c>
      <c r="O85" s="219" t="s">
        <v>3995</v>
      </c>
      <c r="P85" s="212"/>
      <c r="Q85" s="212"/>
      <c r="R85" s="212"/>
      <c r="S85" s="212"/>
      <c r="T85" s="215"/>
      <c r="U85" s="171" t="s">
        <v>3708</v>
      </c>
    </row>
    <row r="86" spans="1:21">
      <c r="A86" s="774"/>
      <c r="B86" s="223" t="s">
        <v>3996</v>
      </c>
      <c r="C86" s="212" t="s">
        <v>3909</v>
      </c>
      <c r="D86" s="213" t="s">
        <v>3997</v>
      </c>
      <c r="E86" s="212" t="s">
        <v>1743</v>
      </c>
      <c r="F86" s="212"/>
      <c r="G86" s="212"/>
      <c r="H86" s="212"/>
      <c r="I86" s="213" t="s">
        <v>3885</v>
      </c>
      <c r="J86" s="214" t="s">
        <v>1736</v>
      </c>
      <c r="K86" s="214" t="s">
        <v>1737</v>
      </c>
      <c r="L86" s="214" t="s">
        <v>1737</v>
      </c>
      <c r="M86" s="212"/>
      <c r="N86" s="215" t="s">
        <v>3247</v>
      </c>
      <c r="O86" s="219" t="s">
        <v>3998</v>
      </c>
      <c r="P86" s="212"/>
      <c r="Q86" s="212"/>
      <c r="R86" s="212"/>
      <c r="S86" s="212"/>
      <c r="T86" s="215"/>
      <c r="U86" s="171" t="s">
        <v>3708</v>
      </c>
    </row>
    <row r="87" spans="1:21">
      <c r="A87" s="774"/>
      <c r="B87" s="223" t="s">
        <v>3999</v>
      </c>
      <c r="C87" s="212" t="s">
        <v>3909</v>
      </c>
      <c r="D87" s="213" t="s">
        <v>4000</v>
      </c>
      <c r="E87" s="212" t="s">
        <v>1743</v>
      </c>
      <c r="F87" s="212"/>
      <c r="G87" s="212"/>
      <c r="H87" s="212"/>
      <c r="I87" s="213" t="s">
        <v>3885</v>
      </c>
      <c r="J87" s="214" t="s">
        <v>1736</v>
      </c>
      <c r="K87" s="214" t="s">
        <v>1737</v>
      </c>
      <c r="L87" s="214" t="s">
        <v>1737</v>
      </c>
      <c r="M87" s="212"/>
      <c r="N87" s="215" t="s">
        <v>3247</v>
      </c>
      <c r="O87" s="219" t="s">
        <v>4001</v>
      </c>
      <c r="P87" s="212"/>
      <c r="Q87" s="212"/>
      <c r="R87" s="212"/>
      <c r="S87" s="212"/>
      <c r="T87" s="215"/>
      <c r="U87" s="171" t="s">
        <v>3708</v>
      </c>
    </row>
    <row r="88" spans="1:21">
      <c r="A88" s="773"/>
      <c r="B88" s="223" t="s">
        <v>4002</v>
      </c>
      <c r="C88" s="212" t="s">
        <v>3909</v>
      </c>
      <c r="D88" s="213" t="s">
        <v>4003</v>
      </c>
      <c r="E88" s="212" t="s">
        <v>1743</v>
      </c>
      <c r="F88" s="212"/>
      <c r="G88" s="212"/>
      <c r="H88" s="212"/>
      <c r="I88" s="213" t="s">
        <v>3885</v>
      </c>
      <c r="J88" s="214" t="s">
        <v>1736</v>
      </c>
      <c r="K88" s="214" t="s">
        <v>1737</v>
      </c>
      <c r="L88" s="214" t="s">
        <v>1737</v>
      </c>
      <c r="M88" s="212"/>
      <c r="N88" s="215" t="s">
        <v>3247</v>
      </c>
      <c r="O88" s="219" t="s">
        <v>4004</v>
      </c>
      <c r="P88" s="212"/>
      <c r="Q88" s="212"/>
      <c r="R88" s="212"/>
      <c r="S88" s="212"/>
      <c r="T88" s="215"/>
      <c r="U88" s="171" t="s">
        <v>3708</v>
      </c>
    </row>
    <row r="89" spans="1:21">
      <c r="A89" s="696" t="s">
        <v>4005</v>
      </c>
      <c r="B89" s="223" t="s">
        <v>4006</v>
      </c>
      <c r="C89" s="212" t="s">
        <v>3909</v>
      </c>
      <c r="D89" s="213" t="s">
        <v>4007</v>
      </c>
      <c r="E89" s="212" t="s">
        <v>1732</v>
      </c>
      <c r="F89" s="212"/>
      <c r="G89" s="212"/>
      <c r="H89" s="212"/>
      <c r="I89" s="213" t="s">
        <v>3870</v>
      </c>
      <c r="J89" s="214" t="s">
        <v>1736</v>
      </c>
      <c r="K89" s="214" t="s">
        <v>1737</v>
      </c>
      <c r="L89" s="214" t="s">
        <v>1737</v>
      </c>
      <c r="M89" s="212"/>
      <c r="N89" s="215" t="s">
        <v>4008</v>
      </c>
      <c r="O89" s="219" t="s">
        <v>4009</v>
      </c>
      <c r="P89" s="212"/>
      <c r="Q89" s="212"/>
      <c r="R89" s="212"/>
      <c r="S89" s="212"/>
      <c r="T89" s="215" t="s">
        <v>4008</v>
      </c>
      <c r="U89" s="171" t="s">
        <v>3708</v>
      </c>
    </row>
    <row r="90" spans="1:21">
      <c r="A90" s="774"/>
      <c r="B90" s="223" t="s">
        <v>4010</v>
      </c>
      <c r="C90" s="212" t="s">
        <v>3909</v>
      </c>
      <c r="D90" s="213" t="s">
        <v>4011</v>
      </c>
      <c r="E90" s="212" t="s">
        <v>1732</v>
      </c>
      <c r="F90" s="212"/>
      <c r="G90" s="212"/>
      <c r="H90" s="212"/>
      <c r="I90" s="213" t="s">
        <v>3870</v>
      </c>
      <c r="J90" s="215" t="s">
        <v>1736</v>
      </c>
      <c r="K90" s="215"/>
      <c r="L90" s="215"/>
      <c r="M90" s="18" t="s">
        <v>3915</v>
      </c>
      <c r="N90" s="215"/>
      <c r="O90" s="219"/>
      <c r="P90" s="212"/>
      <c r="Q90" s="212"/>
      <c r="R90" s="212"/>
      <c r="S90" s="212"/>
      <c r="T90" s="215"/>
      <c r="U90" s="171" t="s">
        <v>3708</v>
      </c>
    </row>
    <row r="91" spans="1:21">
      <c r="A91" s="774"/>
      <c r="B91" s="223" t="s">
        <v>4012</v>
      </c>
      <c r="C91" s="212" t="s">
        <v>3909</v>
      </c>
      <c r="D91" s="213" t="s">
        <v>4013</v>
      </c>
      <c r="E91" s="212" t="s">
        <v>1732</v>
      </c>
      <c r="F91" s="212"/>
      <c r="G91" s="212"/>
      <c r="H91" s="212"/>
      <c r="I91" s="213" t="s">
        <v>3870</v>
      </c>
      <c r="J91" s="215" t="s">
        <v>1736</v>
      </c>
      <c r="K91" s="215"/>
      <c r="L91" s="215"/>
      <c r="M91" s="18" t="s">
        <v>3915</v>
      </c>
      <c r="N91" s="215"/>
      <c r="O91" s="219"/>
      <c r="P91" s="212"/>
      <c r="Q91" s="212"/>
      <c r="R91" s="212"/>
      <c r="S91" s="212"/>
      <c r="T91" s="215"/>
      <c r="U91" s="171" t="s">
        <v>3708</v>
      </c>
    </row>
    <row r="92" spans="1:21">
      <c r="A92" s="774"/>
      <c r="B92" s="223" t="s">
        <v>4014</v>
      </c>
      <c r="C92" s="212" t="s">
        <v>3909</v>
      </c>
      <c r="D92" s="213" t="s">
        <v>4015</v>
      </c>
      <c r="E92" s="212" t="s">
        <v>1732</v>
      </c>
      <c r="F92" s="212"/>
      <c r="G92" s="212"/>
      <c r="H92" s="212"/>
      <c r="I92" s="213" t="s">
        <v>3870</v>
      </c>
      <c r="J92" s="215" t="s">
        <v>1736</v>
      </c>
      <c r="K92" s="215"/>
      <c r="L92" s="215"/>
      <c r="M92" s="18" t="s">
        <v>3915</v>
      </c>
      <c r="N92" s="215"/>
      <c r="O92" s="219"/>
      <c r="P92" s="212"/>
      <c r="Q92" s="212"/>
      <c r="R92" s="212"/>
      <c r="S92" s="212"/>
      <c r="T92" s="215"/>
      <c r="U92" s="171" t="s">
        <v>3708</v>
      </c>
    </row>
    <row r="93" spans="1:21">
      <c r="A93" s="774"/>
      <c r="B93" s="223" t="s">
        <v>4016</v>
      </c>
      <c r="C93" s="212" t="s">
        <v>3909</v>
      </c>
      <c r="D93" s="213" t="s">
        <v>4017</v>
      </c>
      <c r="E93" s="212" t="s">
        <v>1732</v>
      </c>
      <c r="F93" s="212"/>
      <c r="G93" s="212"/>
      <c r="H93" s="212"/>
      <c r="I93" s="213" t="s">
        <v>3870</v>
      </c>
      <c r="J93" s="214" t="s">
        <v>1736</v>
      </c>
      <c r="K93" s="214" t="s">
        <v>1737</v>
      </c>
      <c r="L93" s="214" t="s">
        <v>1737</v>
      </c>
      <c r="M93" s="212"/>
      <c r="N93" s="215" t="s">
        <v>4008</v>
      </c>
      <c r="O93" s="219" t="s">
        <v>4018</v>
      </c>
      <c r="P93" s="212"/>
      <c r="Q93" s="212"/>
      <c r="R93" s="212"/>
      <c r="S93" s="212"/>
      <c r="T93" s="215" t="s">
        <v>4008</v>
      </c>
      <c r="U93" s="171" t="s">
        <v>3708</v>
      </c>
    </row>
    <row r="94" spans="1:21">
      <c r="A94" s="774"/>
      <c r="B94" s="223" t="s">
        <v>4019</v>
      </c>
      <c r="C94" s="212" t="s">
        <v>3909</v>
      </c>
      <c r="D94" s="213" t="s">
        <v>4020</v>
      </c>
      <c r="E94" s="212" t="s">
        <v>1732</v>
      </c>
      <c r="F94" s="212"/>
      <c r="G94" s="212"/>
      <c r="H94" s="212"/>
      <c r="I94" s="213" t="s">
        <v>3870</v>
      </c>
      <c r="J94" s="214" t="s">
        <v>1736</v>
      </c>
      <c r="K94" s="214" t="s">
        <v>1737</v>
      </c>
      <c r="L94" s="214" t="s">
        <v>1737</v>
      </c>
      <c r="M94" s="212"/>
      <c r="N94" s="215" t="s">
        <v>4021</v>
      </c>
      <c r="O94" s="219" t="s">
        <v>4022</v>
      </c>
      <c r="P94" s="212"/>
      <c r="Q94" s="212"/>
      <c r="R94" s="212"/>
      <c r="S94" s="212"/>
      <c r="T94" s="215"/>
      <c r="U94" s="171" t="s">
        <v>3708</v>
      </c>
    </row>
    <row r="95" spans="1:21">
      <c r="A95" s="774"/>
      <c r="B95" s="223" t="s">
        <v>4023</v>
      </c>
      <c r="C95" s="212" t="s">
        <v>3909</v>
      </c>
      <c r="D95" s="213" t="s">
        <v>4024</v>
      </c>
      <c r="E95" s="212" t="s">
        <v>1732</v>
      </c>
      <c r="F95" s="212"/>
      <c r="G95" s="212"/>
      <c r="H95" s="212"/>
      <c r="I95" s="213"/>
      <c r="J95" s="214" t="s">
        <v>1736</v>
      </c>
      <c r="K95" s="214" t="s">
        <v>1737</v>
      </c>
      <c r="L95" s="214" t="s">
        <v>1737</v>
      </c>
      <c r="M95" s="212"/>
      <c r="N95" s="215" t="s">
        <v>4008</v>
      </c>
      <c r="O95" s="219" t="s">
        <v>4025</v>
      </c>
      <c r="P95" s="212"/>
      <c r="Q95" s="212"/>
      <c r="R95" s="212"/>
      <c r="S95" s="212"/>
      <c r="T95" s="215" t="s">
        <v>4008</v>
      </c>
      <c r="U95" s="171" t="s">
        <v>3708</v>
      </c>
    </row>
    <row r="96" spans="1:21">
      <c r="A96" s="774"/>
      <c r="B96" s="223" t="s">
        <v>4026</v>
      </c>
      <c r="C96" s="212" t="s">
        <v>3909</v>
      </c>
      <c r="D96" s="213" t="s">
        <v>4027</v>
      </c>
      <c r="E96" s="212" t="s">
        <v>1743</v>
      </c>
      <c r="F96" s="212"/>
      <c r="G96" s="212"/>
      <c r="H96" s="212"/>
      <c r="I96" s="213" t="s">
        <v>3885</v>
      </c>
      <c r="J96" s="214" t="s">
        <v>1736</v>
      </c>
      <c r="K96" s="214" t="s">
        <v>1737</v>
      </c>
      <c r="L96" s="214" t="s">
        <v>1737</v>
      </c>
      <c r="M96" s="212"/>
      <c r="N96" s="215" t="s">
        <v>4008</v>
      </c>
      <c r="O96" s="219" t="s">
        <v>4028</v>
      </c>
      <c r="P96" s="212"/>
      <c r="Q96" s="212"/>
      <c r="R96" s="212"/>
      <c r="S96" s="212"/>
      <c r="T96" s="215" t="s">
        <v>4008</v>
      </c>
      <c r="U96" s="171" t="s">
        <v>3708</v>
      </c>
    </row>
    <row r="97" spans="1:21">
      <c r="A97" s="774"/>
      <c r="B97" s="223" t="s">
        <v>4029</v>
      </c>
      <c r="C97" s="212" t="s">
        <v>3909</v>
      </c>
      <c r="D97" s="213" t="s">
        <v>4030</v>
      </c>
      <c r="E97" s="212" t="s">
        <v>1743</v>
      </c>
      <c r="F97" s="212"/>
      <c r="G97" s="212"/>
      <c r="H97" s="212"/>
      <c r="I97" s="213" t="s">
        <v>3885</v>
      </c>
      <c r="J97" s="214" t="s">
        <v>1736</v>
      </c>
      <c r="K97" s="214" t="s">
        <v>1737</v>
      </c>
      <c r="L97" s="214" t="s">
        <v>1737</v>
      </c>
      <c r="M97" s="212"/>
      <c r="N97" s="215" t="s">
        <v>4008</v>
      </c>
      <c r="O97" s="219" t="s">
        <v>4031</v>
      </c>
      <c r="P97" s="212"/>
      <c r="Q97" s="212"/>
      <c r="R97" s="212"/>
      <c r="S97" s="212"/>
      <c r="T97" s="215" t="s">
        <v>4008</v>
      </c>
      <c r="U97" s="171" t="s">
        <v>3708</v>
      </c>
    </row>
    <row r="98" spans="1:21">
      <c r="A98" s="774"/>
      <c r="B98" s="223" t="s">
        <v>4032</v>
      </c>
      <c r="C98" s="212" t="s">
        <v>3909</v>
      </c>
      <c r="D98" s="213" t="s">
        <v>4033</v>
      </c>
      <c r="E98" s="212" t="s">
        <v>1743</v>
      </c>
      <c r="F98" s="212"/>
      <c r="G98" s="212"/>
      <c r="H98" s="212"/>
      <c r="I98" s="213" t="s">
        <v>3885</v>
      </c>
      <c r="J98" s="214" t="s">
        <v>1736</v>
      </c>
      <c r="K98" s="214" t="s">
        <v>1737</v>
      </c>
      <c r="L98" s="214" t="s">
        <v>1737</v>
      </c>
      <c r="M98" s="212"/>
      <c r="N98" s="215" t="s">
        <v>4008</v>
      </c>
      <c r="O98" s="219" t="s">
        <v>4034</v>
      </c>
      <c r="P98" s="212"/>
      <c r="Q98" s="212"/>
      <c r="R98" s="212"/>
      <c r="S98" s="212"/>
      <c r="T98" s="215" t="s">
        <v>4008</v>
      </c>
      <c r="U98" s="171" t="s">
        <v>3708</v>
      </c>
    </row>
    <row r="99" spans="1:21">
      <c r="A99" s="773"/>
      <c r="B99" s="223" t="s">
        <v>4035</v>
      </c>
      <c r="C99" s="212" t="s">
        <v>3909</v>
      </c>
      <c r="D99" s="213" t="s">
        <v>4036</v>
      </c>
      <c r="E99" s="212" t="s">
        <v>1743</v>
      </c>
      <c r="F99" s="212"/>
      <c r="G99" s="212"/>
      <c r="H99" s="212"/>
      <c r="I99" s="213" t="s">
        <v>3885</v>
      </c>
      <c r="J99" s="214" t="s">
        <v>1736</v>
      </c>
      <c r="K99" s="214" t="s">
        <v>1737</v>
      </c>
      <c r="L99" s="214" t="s">
        <v>1737</v>
      </c>
      <c r="M99" s="212"/>
      <c r="N99" s="215" t="s">
        <v>4037</v>
      </c>
      <c r="O99" s="219" t="s">
        <v>4038</v>
      </c>
      <c r="P99" s="212"/>
      <c r="Q99" s="212"/>
      <c r="R99" s="212"/>
      <c r="S99" s="212"/>
      <c r="T99" s="215"/>
      <c r="U99" s="171" t="s">
        <v>3708</v>
      </c>
    </row>
    <row r="100" spans="1:21">
      <c r="A100" s="696" t="s">
        <v>4039</v>
      </c>
      <c r="B100" s="223" t="s">
        <v>4040</v>
      </c>
      <c r="C100" s="223" t="s">
        <v>4041</v>
      </c>
      <c r="D100" s="228" t="s">
        <v>4042</v>
      </c>
      <c r="E100" s="223" t="s">
        <v>1732</v>
      </c>
      <c r="F100" s="223"/>
      <c r="G100" s="223"/>
      <c r="H100" s="223"/>
      <c r="I100" s="213" t="s">
        <v>3870</v>
      </c>
      <c r="J100" s="229" t="s">
        <v>1736</v>
      </c>
      <c r="K100" s="214" t="s">
        <v>1737</v>
      </c>
      <c r="L100" s="214" t="s">
        <v>1737</v>
      </c>
      <c r="M100" s="212"/>
      <c r="N100" s="215" t="s">
        <v>3769</v>
      </c>
      <c r="O100" s="219" t="s">
        <v>4043</v>
      </c>
      <c r="P100" s="212"/>
      <c r="Q100" s="212"/>
      <c r="R100" s="212"/>
      <c r="S100" s="212"/>
      <c r="T100" s="215" t="s">
        <v>3769</v>
      </c>
      <c r="U100" s="171" t="s">
        <v>3708</v>
      </c>
    </row>
    <row r="101" spans="1:21">
      <c r="A101" s="774"/>
      <c r="B101" s="223" t="s">
        <v>4044</v>
      </c>
      <c r="C101" s="213" t="s">
        <v>4041</v>
      </c>
      <c r="D101" s="213" t="s">
        <v>4045</v>
      </c>
      <c r="E101" s="212" t="s">
        <v>1732</v>
      </c>
      <c r="F101" s="212"/>
      <c r="G101" s="212"/>
      <c r="H101" s="212"/>
      <c r="I101" s="213" t="s">
        <v>3870</v>
      </c>
      <c r="J101" s="215" t="s">
        <v>1736</v>
      </c>
      <c r="K101" s="215"/>
      <c r="L101" s="215"/>
      <c r="M101" s="18" t="s">
        <v>3915</v>
      </c>
      <c r="N101" s="215"/>
      <c r="O101" s="219"/>
      <c r="P101" s="212"/>
      <c r="Q101" s="212"/>
      <c r="R101" s="212"/>
      <c r="S101" s="212"/>
      <c r="T101" s="215"/>
      <c r="U101" s="171" t="s">
        <v>3708</v>
      </c>
    </row>
    <row r="102" spans="1:21">
      <c r="A102" s="774"/>
      <c r="B102" s="223" t="s">
        <v>4046</v>
      </c>
      <c r="C102" s="213" t="s">
        <v>4041</v>
      </c>
      <c r="D102" s="213" t="s">
        <v>4047</v>
      </c>
      <c r="E102" s="212" t="s">
        <v>1732</v>
      </c>
      <c r="F102" s="212"/>
      <c r="G102" s="212"/>
      <c r="H102" s="212"/>
      <c r="I102" s="213" t="s">
        <v>3870</v>
      </c>
      <c r="J102" s="215" t="s">
        <v>1736</v>
      </c>
      <c r="K102" s="215"/>
      <c r="L102" s="215"/>
      <c r="M102" s="18" t="s">
        <v>3915</v>
      </c>
      <c r="N102" s="215"/>
      <c r="O102" s="219"/>
      <c r="P102" s="212"/>
      <c r="Q102" s="212"/>
      <c r="R102" s="212"/>
      <c r="S102" s="212"/>
      <c r="T102" s="215"/>
      <c r="U102" s="171" t="s">
        <v>3708</v>
      </c>
    </row>
    <row r="103" spans="1:21">
      <c r="A103" s="774"/>
      <c r="B103" s="223" t="s">
        <v>4048</v>
      </c>
      <c r="C103" s="213" t="s">
        <v>4041</v>
      </c>
      <c r="D103" s="213" t="s">
        <v>4049</v>
      </c>
      <c r="E103" s="212" t="s">
        <v>1732</v>
      </c>
      <c r="F103" s="212"/>
      <c r="G103" s="212"/>
      <c r="H103" s="212"/>
      <c r="I103" s="213" t="s">
        <v>3870</v>
      </c>
      <c r="J103" s="215" t="s">
        <v>1736</v>
      </c>
      <c r="K103" s="215"/>
      <c r="L103" s="215"/>
      <c r="M103" s="18" t="s">
        <v>3915</v>
      </c>
      <c r="N103" s="215"/>
      <c r="O103" s="219"/>
      <c r="P103" s="212"/>
      <c r="Q103" s="212"/>
      <c r="R103" s="212"/>
      <c r="S103" s="212"/>
      <c r="T103" s="215"/>
      <c r="U103" s="171" t="s">
        <v>3708</v>
      </c>
    </row>
    <row r="104" spans="1:21">
      <c r="A104" s="774"/>
      <c r="B104" s="223" t="s">
        <v>4050</v>
      </c>
      <c r="C104" s="213" t="s">
        <v>4041</v>
      </c>
      <c r="D104" s="213" t="s">
        <v>4051</v>
      </c>
      <c r="E104" s="212" t="s">
        <v>1732</v>
      </c>
      <c r="F104" s="212"/>
      <c r="G104" s="212"/>
      <c r="H104" s="212"/>
      <c r="I104" s="213" t="s">
        <v>3870</v>
      </c>
      <c r="J104" s="214" t="s">
        <v>1736</v>
      </c>
      <c r="K104" s="214" t="s">
        <v>1737</v>
      </c>
      <c r="L104" s="214" t="s">
        <v>1737</v>
      </c>
      <c r="M104" s="212"/>
      <c r="N104" s="215" t="s">
        <v>3901</v>
      </c>
      <c r="O104" s="219" t="s">
        <v>4052</v>
      </c>
      <c r="P104" s="212"/>
      <c r="Q104" s="212"/>
      <c r="R104" s="212"/>
      <c r="S104" s="212"/>
      <c r="T104" s="215"/>
      <c r="U104" s="171" t="s">
        <v>3708</v>
      </c>
    </row>
    <row r="105" spans="1:21">
      <c r="A105" s="774"/>
      <c r="B105" s="223" t="s">
        <v>4053</v>
      </c>
      <c r="C105" s="213" t="s">
        <v>4041</v>
      </c>
      <c r="D105" s="213" t="s">
        <v>4054</v>
      </c>
      <c r="E105" s="212" t="s">
        <v>1743</v>
      </c>
      <c r="F105" s="212"/>
      <c r="G105" s="212"/>
      <c r="H105" s="212"/>
      <c r="I105" s="213" t="s">
        <v>3885</v>
      </c>
      <c r="J105" s="214" t="s">
        <v>1736</v>
      </c>
      <c r="K105" s="214" t="s">
        <v>1737</v>
      </c>
      <c r="L105" s="214" t="s">
        <v>1737</v>
      </c>
      <c r="M105" s="212"/>
      <c r="N105" s="215" t="s">
        <v>3769</v>
      </c>
      <c r="O105" s="219" t="s">
        <v>4055</v>
      </c>
      <c r="P105" s="212"/>
      <c r="Q105" s="212"/>
      <c r="R105" s="212"/>
      <c r="S105" s="212"/>
      <c r="T105" s="215"/>
      <c r="U105" s="171" t="s">
        <v>3708</v>
      </c>
    </row>
    <row r="106" spans="1:21">
      <c r="A106" s="774"/>
      <c r="B106" s="223" t="s">
        <v>4056</v>
      </c>
      <c r="C106" s="213" t="s">
        <v>4041</v>
      </c>
      <c r="D106" s="213" t="s">
        <v>4057</v>
      </c>
      <c r="E106" s="212" t="s">
        <v>1743</v>
      </c>
      <c r="F106" s="212"/>
      <c r="G106" s="212"/>
      <c r="H106" s="212"/>
      <c r="I106" s="213" t="s">
        <v>3885</v>
      </c>
      <c r="J106" s="214" t="s">
        <v>1736</v>
      </c>
      <c r="K106" s="214" t="s">
        <v>1737</v>
      </c>
      <c r="L106" s="214" t="s">
        <v>1737</v>
      </c>
      <c r="M106" s="212"/>
      <c r="N106" s="215" t="s">
        <v>3901</v>
      </c>
      <c r="O106" s="219" t="s">
        <v>4058</v>
      </c>
      <c r="P106" s="212"/>
      <c r="Q106" s="212"/>
      <c r="R106" s="212"/>
      <c r="S106" s="212"/>
      <c r="T106" s="215"/>
      <c r="U106" s="171" t="s">
        <v>3708</v>
      </c>
    </row>
    <row r="107" spans="1:21">
      <c r="A107" s="774"/>
      <c r="B107" s="223" t="s">
        <v>4059</v>
      </c>
      <c r="C107" s="213" t="s">
        <v>4041</v>
      </c>
      <c r="D107" s="213" t="s">
        <v>4060</v>
      </c>
      <c r="E107" s="212" t="s">
        <v>1743</v>
      </c>
      <c r="F107" s="212"/>
      <c r="G107" s="212"/>
      <c r="H107" s="212"/>
      <c r="I107" s="213" t="s">
        <v>3885</v>
      </c>
      <c r="J107" s="214" t="s">
        <v>1736</v>
      </c>
      <c r="K107" s="214" t="s">
        <v>1737</v>
      </c>
      <c r="L107" s="214" t="s">
        <v>1737</v>
      </c>
      <c r="M107" s="212"/>
      <c r="N107" s="215" t="s">
        <v>4061</v>
      </c>
      <c r="O107" s="219" t="s">
        <v>4062</v>
      </c>
      <c r="P107" s="212"/>
      <c r="Q107" s="212"/>
      <c r="R107" s="212"/>
      <c r="S107" s="212"/>
      <c r="T107" s="215"/>
      <c r="U107" s="171" t="s">
        <v>3708</v>
      </c>
    </row>
    <row r="108" spans="1:21">
      <c r="A108" s="774"/>
      <c r="B108" s="223" t="s">
        <v>4063</v>
      </c>
      <c r="C108" s="213" t="s">
        <v>4041</v>
      </c>
      <c r="D108" s="213" t="s">
        <v>4064</v>
      </c>
      <c r="E108" s="212" t="s">
        <v>1743</v>
      </c>
      <c r="F108" s="212"/>
      <c r="G108" s="212"/>
      <c r="H108" s="212"/>
      <c r="I108" s="213" t="s">
        <v>3885</v>
      </c>
      <c r="J108" s="214" t="s">
        <v>1736</v>
      </c>
      <c r="K108" s="214" t="s">
        <v>1737</v>
      </c>
      <c r="L108" s="214" t="s">
        <v>1737</v>
      </c>
      <c r="M108" s="212"/>
      <c r="N108" s="186" t="s">
        <v>4065</v>
      </c>
      <c r="O108" s="219" t="s">
        <v>4066</v>
      </c>
      <c r="P108" s="212"/>
      <c r="Q108" s="212"/>
      <c r="R108" s="212"/>
      <c r="S108" s="212"/>
      <c r="T108" s="215"/>
      <c r="U108" s="171" t="s">
        <v>3708</v>
      </c>
    </row>
    <row r="109" spans="1:21">
      <c r="A109" s="774"/>
      <c r="B109" s="223" t="s">
        <v>4067</v>
      </c>
      <c r="C109" s="213" t="s">
        <v>4041</v>
      </c>
      <c r="D109" s="213" t="s">
        <v>4068</v>
      </c>
      <c r="E109" s="212" t="s">
        <v>1732</v>
      </c>
      <c r="F109" s="212"/>
      <c r="G109" s="212"/>
      <c r="H109" s="212"/>
      <c r="I109" s="213" t="s">
        <v>3870</v>
      </c>
      <c r="J109" s="214" t="s">
        <v>1736</v>
      </c>
      <c r="K109" s="214" t="s">
        <v>1737</v>
      </c>
      <c r="L109" s="214" t="s">
        <v>1737</v>
      </c>
      <c r="M109" s="212"/>
      <c r="N109" s="215" t="s">
        <v>4069</v>
      </c>
      <c r="O109" s="219" t="s">
        <v>4070</v>
      </c>
      <c r="P109" s="212"/>
      <c r="Q109" s="212"/>
      <c r="R109" s="212"/>
      <c r="S109" s="212"/>
      <c r="T109" s="215" t="s">
        <v>4069</v>
      </c>
      <c r="U109" s="171" t="s">
        <v>3708</v>
      </c>
    </row>
    <row r="110" spans="1:21">
      <c r="A110" s="774"/>
      <c r="B110" s="223" t="s">
        <v>4071</v>
      </c>
      <c r="C110" s="213" t="s">
        <v>4041</v>
      </c>
      <c r="D110" s="213" t="s">
        <v>4072</v>
      </c>
      <c r="E110" s="212" t="s">
        <v>1732</v>
      </c>
      <c r="F110" s="212"/>
      <c r="G110" s="212"/>
      <c r="H110" s="212"/>
      <c r="I110" s="213" t="s">
        <v>3870</v>
      </c>
      <c r="J110" s="215" t="s">
        <v>1736</v>
      </c>
      <c r="K110" s="215"/>
      <c r="L110" s="215"/>
      <c r="M110" s="18" t="s">
        <v>3915</v>
      </c>
      <c r="N110" s="215"/>
      <c r="O110" s="219"/>
      <c r="P110" s="212"/>
      <c r="Q110" s="212"/>
      <c r="R110" s="212"/>
      <c r="S110" s="212"/>
      <c r="T110" s="215"/>
      <c r="U110" s="171" t="s">
        <v>3708</v>
      </c>
    </row>
    <row r="111" spans="1:21">
      <c r="A111" s="774"/>
      <c r="B111" s="223" t="s">
        <v>4073</v>
      </c>
      <c r="C111" s="213" t="s">
        <v>4041</v>
      </c>
      <c r="D111" s="213" t="s">
        <v>4074</v>
      </c>
      <c r="E111" s="212" t="s">
        <v>1732</v>
      </c>
      <c r="F111" s="212"/>
      <c r="G111" s="212"/>
      <c r="H111" s="212"/>
      <c r="I111" s="213" t="s">
        <v>3870</v>
      </c>
      <c r="J111" s="215" t="s">
        <v>1736</v>
      </c>
      <c r="K111" s="215"/>
      <c r="L111" s="215"/>
      <c r="M111" s="18" t="s">
        <v>3915</v>
      </c>
      <c r="N111" s="215"/>
      <c r="O111" s="219"/>
      <c r="P111" s="212"/>
      <c r="Q111" s="212"/>
      <c r="R111" s="212"/>
      <c r="S111" s="212"/>
      <c r="T111" s="215"/>
      <c r="U111" s="171" t="s">
        <v>3708</v>
      </c>
    </row>
    <row r="112" spans="1:21">
      <c r="A112" s="774"/>
      <c r="B112" s="223" t="s">
        <v>4075</v>
      </c>
      <c r="C112" s="213" t="s">
        <v>4041</v>
      </c>
      <c r="D112" s="213" t="s">
        <v>4076</v>
      </c>
      <c r="E112" s="212" t="s">
        <v>1732</v>
      </c>
      <c r="F112" s="212"/>
      <c r="G112" s="212"/>
      <c r="H112" s="212"/>
      <c r="I112" s="213" t="s">
        <v>3870</v>
      </c>
      <c r="J112" s="215" t="s">
        <v>1736</v>
      </c>
      <c r="K112" s="215"/>
      <c r="L112" s="215"/>
      <c r="M112" s="18" t="s">
        <v>3915</v>
      </c>
      <c r="N112" s="215"/>
      <c r="O112" s="219"/>
      <c r="P112" s="212"/>
      <c r="Q112" s="212"/>
      <c r="R112" s="212"/>
      <c r="S112" s="212"/>
      <c r="T112" s="215"/>
      <c r="U112" s="171" t="s">
        <v>3708</v>
      </c>
    </row>
    <row r="113" spans="1:21">
      <c r="A113" s="774"/>
      <c r="B113" s="223" t="s">
        <v>4077</v>
      </c>
      <c r="C113" s="213" t="s">
        <v>4041</v>
      </c>
      <c r="D113" s="213" t="s">
        <v>4078</v>
      </c>
      <c r="E113" s="212" t="s">
        <v>1732</v>
      </c>
      <c r="F113" s="212"/>
      <c r="G113" s="212"/>
      <c r="H113" s="212"/>
      <c r="I113" s="213"/>
      <c r="J113" s="214" t="s">
        <v>1736</v>
      </c>
      <c r="K113" s="214" t="s">
        <v>1737</v>
      </c>
      <c r="L113" s="214" t="s">
        <v>1737</v>
      </c>
      <c r="M113" s="212"/>
      <c r="N113" s="215" t="s">
        <v>4079</v>
      </c>
      <c r="O113" s="219" t="s">
        <v>4080</v>
      </c>
      <c r="P113" s="212"/>
      <c r="Q113" s="212"/>
      <c r="R113" s="212"/>
      <c r="S113" s="212"/>
      <c r="T113" s="215"/>
      <c r="U113" s="171" t="s">
        <v>3708</v>
      </c>
    </row>
    <row r="114" spans="1:21">
      <c r="A114" s="774"/>
      <c r="B114" s="223" t="s">
        <v>4081</v>
      </c>
      <c r="C114" s="213" t="s">
        <v>4041</v>
      </c>
      <c r="D114" s="213" t="s">
        <v>4082</v>
      </c>
      <c r="E114" s="212" t="s">
        <v>1743</v>
      </c>
      <c r="F114" s="212"/>
      <c r="G114" s="212"/>
      <c r="H114" s="212"/>
      <c r="I114" s="213" t="s">
        <v>3885</v>
      </c>
      <c r="J114" s="214" t="s">
        <v>1736</v>
      </c>
      <c r="K114" s="214" t="s">
        <v>1737</v>
      </c>
      <c r="L114" s="214" t="s">
        <v>1737</v>
      </c>
      <c r="M114" s="212"/>
      <c r="N114" s="215" t="s">
        <v>3901</v>
      </c>
      <c r="O114" s="219" t="s">
        <v>4083</v>
      </c>
      <c r="P114" s="212"/>
      <c r="Q114" s="212"/>
      <c r="R114" s="212"/>
      <c r="S114" s="212"/>
      <c r="T114" s="215"/>
      <c r="U114" s="171" t="s">
        <v>3708</v>
      </c>
    </row>
    <row r="115" spans="1:21">
      <c r="A115" s="774"/>
      <c r="B115" s="223" t="s">
        <v>4084</v>
      </c>
      <c r="C115" s="213" t="s">
        <v>4041</v>
      </c>
      <c r="D115" s="213" t="s">
        <v>4085</v>
      </c>
      <c r="E115" s="212" t="s">
        <v>1743</v>
      </c>
      <c r="F115" s="212"/>
      <c r="G115" s="212"/>
      <c r="H115" s="212"/>
      <c r="I115" s="213" t="s">
        <v>3885</v>
      </c>
      <c r="J115" s="214" t="s">
        <v>1736</v>
      </c>
      <c r="K115" s="214" t="s">
        <v>1737</v>
      </c>
      <c r="L115" s="214" t="s">
        <v>1737</v>
      </c>
      <c r="M115" s="212"/>
      <c r="N115" s="215" t="s">
        <v>3901</v>
      </c>
      <c r="O115" s="219" t="s">
        <v>4086</v>
      </c>
      <c r="P115" s="212"/>
      <c r="Q115" s="212"/>
      <c r="R115" s="212"/>
      <c r="S115" s="212"/>
      <c r="T115" s="215"/>
      <c r="U115" s="171" t="s">
        <v>3708</v>
      </c>
    </row>
    <row r="116" spans="1:21">
      <c r="A116" s="774"/>
      <c r="B116" s="223" t="s">
        <v>4087</v>
      </c>
      <c r="C116" s="213" t="s">
        <v>4041</v>
      </c>
      <c r="D116" s="213" t="s">
        <v>4088</v>
      </c>
      <c r="E116" s="212" t="s">
        <v>1743</v>
      </c>
      <c r="F116" s="212"/>
      <c r="G116" s="212"/>
      <c r="H116" s="212"/>
      <c r="I116" s="213" t="s">
        <v>3885</v>
      </c>
      <c r="J116" s="214" t="s">
        <v>1736</v>
      </c>
      <c r="K116" s="214" t="s">
        <v>1737</v>
      </c>
      <c r="L116" s="214" t="s">
        <v>1737</v>
      </c>
      <c r="M116" s="212"/>
      <c r="N116" s="215" t="s">
        <v>4061</v>
      </c>
      <c r="O116" s="219" t="s">
        <v>4089</v>
      </c>
      <c r="P116" s="212"/>
      <c r="Q116" s="212"/>
      <c r="R116" s="212"/>
      <c r="S116" s="212"/>
      <c r="T116" s="215"/>
      <c r="U116" s="171" t="s">
        <v>3708</v>
      </c>
    </row>
    <row r="117" spans="1:21">
      <c r="A117" s="774"/>
      <c r="B117" s="223" t="s">
        <v>4090</v>
      </c>
      <c r="C117" s="213" t="s">
        <v>4041</v>
      </c>
      <c r="D117" s="213" t="s">
        <v>4091</v>
      </c>
      <c r="E117" s="212" t="s">
        <v>1743</v>
      </c>
      <c r="F117" s="212"/>
      <c r="G117" s="212"/>
      <c r="H117" s="212"/>
      <c r="I117" s="213" t="s">
        <v>3885</v>
      </c>
      <c r="J117" s="214" t="s">
        <v>1736</v>
      </c>
      <c r="K117" s="214" t="s">
        <v>1737</v>
      </c>
      <c r="L117" s="214" t="s">
        <v>1737</v>
      </c>
      <c r="M117" s="212"/>
      <c r="N117" s="215" t="s">
        <v>4065</v>
      </c>
      <c r="O117" s="219" t="s">
        <v>4092</v>
      </c>
      <c r="P117" s="212"/>
      <c r="Q117" s="212"/>
      <c r="R117" s="212"/>
      <c r="S117" s="212"/>
      <c r="T117" s="215"/>
      <c r="U117" s="171" t="s">
        <v>3708</v>
      </c>
    </row>
    <row r="118" spans="1:21">
      <c r="A118" s="774"/>
      <c r="B118" s="223" t="s">
        <v>4093</v>
      </c>
      <c r="C118" s="213" t="s">
        <v>4041</v>
      </c>
      <c r="D118" s="213" t="s">
        <v>4094</v>
      </c>
      <c r="E118" s="212" t="s">
        <v>1732</v>
      </c>
      <c r="F118" s="212"/>
      <c r="G118" s="212"/>
      <c r="H118" s="212"/>
      <c r="I118" s="213" t="s">
        <v>3870</v>
      </c>
      <c r="J118" s="214" t="s">
        <v>1736</v>
      </c>
      <c r="K118" s="214" t="s">
        <v>1737</v>
      </c>
      <c r="L118" s="214" t="s">
        <v>1737</v>
      </c>
      <c r="M118" s="212"/>
      <c r="N118" s="215" t="s">
        <v>4061</v>
      </c>
      <c r="O118" s="219" t="s">
        <v>4095</v>
      </c>
      <c r="P118" s="212"/>
      <c r="Q118" s="212"/>
      <c r="R118" s="212"/>
      <c r="S118" s="212"/>
      <c r="T118" s="215"/>
      <c r="U118" s="171" t="s">
        <v>3708</v>
      </c>
    </row>
    <row r="119" spans="1:21">
      <c r="A119" s="774"/>
      <c r="B119" s="223" t="s">
        <v>4096</v>
      </c>
      <c r="C119" s="213" t="s">
        <v>4041</v>
      </c>
      <c r="D119" s="213" t="s">
        <v>4097</v>
      </c>
      <c r="E119" s="212" t="s">
        <v>1732</v>
      </c>
      <c r="F119" s="212"/>
      <c r="G119" s="212"/>
      <c r="H119" s="212"/>
      <c r="I119" s="213" t="s">
        <v>3870</v>
      </c>
      <c r="J119" s="215" t="s">
        <v>1736</v>
      </c>
      <c r="K119" s="215"/>
      <c r="L119" s="215"/>
      <c r="M119" s="18" t="s">
        <v>3915</v>
      </c>
      <c r="N119" s="215"/>
      <c r="O119" s="219"/>
      <c r="P119" s="212"/>
      <c r="Q119" s="212"/>
      <c r="R119" s="212"/>
      <c r="S119" s="212"/>
      <c r="T119" s="215"/>
      <c r="U119" s="171" t="s">
        <v>3708</v>
      </c>
    </row>
    <row r="120" spans="1:21">
      <c r="A120" s="774"/>
      <c r="B120" s="223" t="s">
        <v>4098</v>
      </c>
      <c r="C120" s="213" t="s">
        <v>4041</v>
      </c>
      <c r="D120" s="213" t="s">
        <v>4099</v>
      </c>
      <c r="E120" s="212" t="s">
        <v>1732</v>
      </c>
      <c r="F120" s="212"/>
      <c r="G120" s="212"/>
      <c r="H120" s="212"/>
      <c r="I120" s="213" t="s">
        <v>3870</v>
      </c>
      <c r="J120" s="215" t="s">
        <v>1736</v>
      </c>
      <c r="K120" s="215"/>
      <c r="L120" s="215"/>
      <c r="M120" s="18" t="s">
        <v>3915</v>
      </c>
      <c r="N120" s="215"/>
      <c r="O120" s="219"/>
      <c r="P120" s="212"/>
      <c r="Q120" s="212"/>
      <c r="R120" s="212"/>
      <c r="S120" s="212"/>
      <c r="T120" s="215"/>
      <c r="U120" s="171" t="s">
        <v>3708</v>
      </c>
    </row>
    <row r="121" spans="1:21">
      <c r="A121" s="774"/>
      <c r="B121" s="223" t="s">
        <v>4100</v>
      </c>
      <c r="C121" s="213" t="s">
        <v>4041</v>
      </c>
      <c r="D121" s="213" t="s">
        <v>4101</v>
      </c>
      <c r="E121" s="212" t="s">
        <v>1732</v>
      </c>
      <c r="F121" s="212"/>
      <c r="G121" s="212"/>
      <c r="H121" s="212"/>
      <c r="I121" s="213" t="s">
        <v>3870</v>
      </c>
      <c r="J121" s="215" t="s">
        <v>1736</v>
      </c>
      <c r="K121" s="215"/>
      <c r="L121" s="215"/>
      <c r="M121" s="18" t="s">
        <v>3915</v>
      </c>
      <c r="N121" s="215"/>
      <c r="O121" s="219"/>
      <c r="P121" s="212"/>
      <c r="Q121" s="212"/>
      <c r="R121" s="212"/>
      <c r="S121" s="212"/>
      <c r="T121" s="215"/>
      <c r="U121" s="171" t="s">
        <v>3708</v>
      </c>
    </row>
    <row r="122" spans="1:21">
      <c r="A122" s="774"/>
      <c r="B122" s="223" t="s">
        <v>4102</v>
      </c>
      <c r="C122" s="213" t="s">
        <v>4041</v>
      </c>
      <c r="D122" s="213" t="s">
        <v>4103</v>
      </c>
      <c r="E122" s="212" t="s">
        <v>1732</v>
      </c>
      <c r="F122" s="212"/>
      <c r="G122" s="212"/>
      <c r="H122" s="212"/>
      <c r="I122" s="213"/>
      <c r="J122" s="214" t="s">
        <v>1736</v>
      </c>
      <c r="K122" s="214" t="s">
        <v>1737</v>
      </c>
      <c r="L122" s="214" t="s">
        <v>1737</v>
      </c>
      <c r="M122" s="212"/>
      <c r="N122" s="215" t="s">
        <v>4104</v>
      </c>
      <c r="O122" s="219" t="s">
        <v>4105</v>
      </c>
      <c r="P122" s="212"/>
      <c r="Q122" s="212"/>
      <c r="R122" s="212"/>
      <c r="S122" s="212"/>
      <c r="T122" s="215"/>
      <c r="U122" s="171" t="s">
        <v>3708</v>
      </c>
    </row>
    <row r="123" spans="1:21">
      <c r="A123" s="774"/>
      <c r="B123" s="223" t="s">
        <v>4106</v>
      </c>
      <c r="C123" s="213" t="s">
        <v>4041</v>
      </c>
      <c r="D123" s="213" t="s">
        <v>4107</v>
      </c>
      <c r="E123" s="212" t="s">
        <v>1743</v>
      </c>
      <c r="F123" s="212"/>
      <c r="G123" s="212"/>
      <c r="H123" s="212"/>
      <c r="I123" s="213" t="s">
        <v>3885</v>
      </c>
      <c r="J123" s="214" t="s">
        <v>1736</v>
      </c>
      <c r="K123" s="214" t="s">
        <v>1737</v>
      </c>
      <c r="L123" s="214" t="s">
        <v>1737</v>
      </c>
      <c r="M123" s="212"/>
      <c r="N123" s="215" t="s">
        <v>3901</v>
      </c>
      <c r="O123" s="219" t="s">
        <v>4108</v>
      </c>
      <c r="P123" s="212"/>
      <c r="Q123" s="212"/>
      <c r="R123" s="212"/>
      <c r="S123" s="212"/>
      <c r="T123" s="215"/>
      <c r="U123" s="171" t="s">
        <v>3708</v>
      </c>
    </row>
    <row r="124" spans="1:21">
      <c r="A124" s="774"/>
      <c r="B124" s="223" t="s">
        <v>4109</v>
      </c>
      <c r="C124" s="213" t="s">
        <v>4041</v>
      </c>
      <c r="D124" s="213" t="s">
        <v>4110</v>
      </c>
      <c r="E124" s="212" t="s">
        <v>1743</v>
      </c>
      <c r="F124" s="212"/>
      <c r="G124" s="212"/>
      <c r="H124" s="212"/>
      <c r="I124" s="213" t="s">
        <v>3885</v>
      </c>
      <c r="J124" s="214" t="s">
        <v>1736</v>
      </c>
      <c r="K124" s="214" t="s">
        <v>1737</v>
      </c>
      <c r="L124" s="214" t="s">
        <v>1737</v>
      </c>
      <c r="M124" s="212"/>
      <c r="N124" s="215" t="s">
        <v>3901</v>
      </c>
      <c r="O124" s="219" t="s">
        <v>4111</v>
      </c>
      <c r="P124" s="212"/>
      <c r="Q124" s="212"/>
      <c r="R124" s="212"/>
      <c r="S124" s="212"/>
      <c r="T124" s="215"/>
      <c r="U124" s="171" t="s">
        <v>3708</v>
      </c>
    </row>
    <row r="125" spans="1:21">
      <c r="A125" s="774"/>
      <c r="B125" s="223" t="s">
        <v>4112</v>
      </c>
      <c r="C125" s="213" t="s">
        <v>4041</v>
      </c>
      <c r="D125" s="213" t="s">
        <v>4113</v>
      </c>
      <c r="E125" s="212" t="s">
        <v>1743</v>
      </c>
      <c r="F125" s="212"/>
      <c r="G125" s="212"/>
      <c r="H125" s="212"/>
      <c r="I125" s="213" t="s">
        <v>3885</v>
      </c>
      <c r="J125" s="214" t="s">
        <v>1736</v>
      </c>
      <c r="K125" s="214" t="s">
        <v>1737</v>
      </c>
      <c r="L125" s="214" t="s">
        <v>1737</v>
      </c>
      <c r="M125" s="212"/>
      <c r="N125" s="215" t="s">
        <v>4061</v>
      </c>
      <c r="O125" s="219" t="s">
        <v>4114</v>
      </c>
      <c r="P125" s="212"/>
      <c r="Q125" s="212"/>
      <c r="R125" s="212"/>
      <c r="S125" s="212"/>
      <c r="T125" s="215"/>
      <c r="U125" s="171" t="s">
        <v>3708</v>
      </c>
    </row>
    <row r="126" spans="1:21">
      <c r="A126" s="774"/>
      <c r="B126" s="223" t="s">
        <v>4115</v>
      </c>
      <c r="C126" s="213" t="s">
        <v>4041</v>
      </c>
      <c r="D126" s="213" t="s">
        <v>4116</v>
      </c>
      <c r="E126" s="212" t="s">
        <v>1743</v>
      </c>
      <c r="F126" s="212"/>
      <c r="G126" s="212"/>
      <c r="H126" s="212"/>
      <c r="I126" s="213" t="s">
        <v>3885</v>
      </c>
      <c r="J126" s="214" t="s">
        <v>1736</v>
      </c>
      <c r="K126" s="214" t="s">
        <v>1737</v>
      </c>
      <c r="L126" s="214" t="s">
        <v>1737</v>
      </c>
      <c r="M126" s="212"/>
      <c r="N126" s="215" t="s">
        <v>4065</v>
      </c>
      <c r="O126" s="219" t="s">
        <v>4117</v>
      </c>
      <c r="P126" s="212"/>
      <c r="Q126" s="212"/>
      <c r="R126" s="212"/>
      <c r="S126" s="212"/>
      <c r="T126" s="215"/>
      <c r="U126" s="171" t="s">
        <v>3708</v>
      </c>
    </row>
    <row r="127" spans="1:21">
      <c r="A127" s="774"/>
      <c r="B127" s="223" t="s">
        <v>4118</v>
      </c>
      <c r="C127" s="213" t="s">
        <v>4041</v>
      </c>
      <c r="D127" s="213" t="s">
        <v>4119</v>
      </c>
      <c r="E127" s="212" t="s">
        <v>1732</v>
      </c>
      <c r="F127" s="212"/>
      <c r="G127" s="212"/>
      <c r="H127" s="212"/>
      <c r="I127" s="213" t="s">
        <v>3870</v>
      </c>
      <c r="J127" s="214" t="s">
        <v>1736</v>
      </c>
      <c r="K127" s="214" t="s">
        <v>1737</v>
      </c>
      <c r="L127" s="214" t="s">
        <v>1737</v>
      </c>
      <c r="M127" s="212"/>
      <c r="N127" s="215" t="s">
        <v>4079</v>
      </c>
      <c r="O127" s="219" t="s">
        <v>4120</v>
      </c>
      <c r="P127" s="212"/>
      <c r="Q127" s="212"/>
      <c r="R127" s="212"/>
      <c r="S127" s="212"/>
      <c r="T127" s="215"/>
      <c r="U127" s="171" t="s">
        <v>3708</v>
      </c>
    </row>
    <row r="128" spans="1:21">
      <c r="A128" s="774"/>
      <c r="B128" s="223" t="s">
        <v>4121</v>
      </c>
      <c r="C128" s="213" t="s">
        <v>4041</v>
      </c>
      <c r="D128" s="213" t="s">
        <v>4122</v>
      </c>
      <c r="E128" s="212" t="s">
        <v>1732</v>
      </c>
      <c r="F128" s="212"/>
      <c r="G128" s="212"/>
      <c r="H128" s="212"/>
      <c r="I128" s="213" t="s">
        <v>3870</v>
      </c>
      <c r="J128" s="215" t="s">
        <v>1736</v>
      </c>
      <c r="K128" s="215"/>
      <c r="L128" s="215"/>
      <c r="M128" s="18" t="s">
        <v>3915</v>
      </c>
      <c r="N128" s="215"/>
      <c r="O128" s="219"/>
      <c r="P128" s="212"/>
      <c r="Q128" s="212"/>
      <c r="R128" s="212"/>
      <c r="S128" s="212"/>
      <c r="T128" s="215"/>
      <c r="U128" s="171" t="s">
        <v>3708</v>
      </c>
    </row>
    <row r="129" spans="1:21">
      <c r="A129" s="774"/>
      <c r="B129" s="223" t="s">
        <v>4123</v>
      </c>
      <c r="C129" s="213" t="s">
        <v>4041</v>
      </c>
      <c r="D129" s="213" t="s">
        <v>4124</v>
      </c>
      <c r="E129" s="212" t="s">
        <v>1732</v>
      </c>
      <c r="F129" s="212"/>
      <c r="G129" s="212"/>
      <c r="H129" s="212"/>
      <c r="I129" s="213" t="s">
        <v>3870</v>
      </c>
      <c r="J129" s="215" t="s">
        <v>1736</v>
      </c>
      <c r="K129" s="215"/>
      <c r="L129" s="215"/>
      <c r="M129" s="18" t="s">
        <v>3915</v>
      </c>
      <c r="N129" s="215"/>
      <c r="O129" s="219"/>
      <c r="P129" s="212"/>
      <c r="Q129" s="212"/>
      <c r="R129" s="212"/>
      <c r="S129" s="212"/>
      <c r="T129" s="215"/>
      <c r="U129" s="171" t="s">
        <v>3708</v>
      </c>
    </row>
    <row r="130" spans="1:21">
      <c r="A130" s="774"/>
      <c r="B130" s="223" t="s">
        <v>4125</v>
      </c>
      <c r="C130" s="213" t="s">
        <v>4041</v>
      </c>
      <c r="D130" s="213" t="s">
        <v>4126</v>
      </c>
      <c r="E130" s="212" t="s">
        <v>1732</v>
      </c>
      <c r="F130" s="212"/>
      <c r="G130" s="212"/>
      <c r="H130" s="212"/>
      <c r="I130" s="213" t="s">
        <v>3870</v>
      </c>
      <c r="J130" s="215" t="s">
        <v>1736</v>
      </c>
      <c r="K130" s="215"/>
      <c r="L130" s="215"/>
      <c r="M130" s="18" t="s">
        <v>3915</v>
      </c>
      <c r="N130" s="215"/>
      <c r="O130" s="219"/>
      <c r="P130" s="212"/>
      <c r="Q130" s="212"/>
      <c r="R130" s="212"/>
      <c r="S130" s="212"/>
      <c r="T130" s="215"/>
      <c r="U130" s="171" t="s">
        <v>3708</v>
      </c>
    </row>
    <row r="131" spans="1:21">
      <c r="A131" s="774"/>
      <c r="B131" s="223" t="s">
        <v>4127</v>
      </c>
      <c r="C131" s="213" t="s">
        <v>4041</v>
      </c>
      <c r="D131" s="213" t="s">
        <v>4128</v>
      </c>
      <c r="E131" s="212" t="s">
        <v>1732</v>
      </c>
      <c r="F131" s="212"/>
      <c r="G131" s="212"/>
      <c r="H131" s="212"/>
      <c r="I131" s="213"/>
      <c r="J131" s="214" t="s">
        <v>1736</v>
      </c>
      <c r="K131" s="214" t="s">
        <v>1737</v>
      </c>
      <c r="L131" s="214" t="s">
        <v>1737</v>
      </c>
      <c r="M131" s="212"/>
      <c r="N131" s="215" t="s">
        <v>4104</v>
      </c>
      <c r="O131" s="219" t="s">
        <v>4129</v>
      </c>
      <c r="P131" s="212"/>
      <c r="Q131" s="212"/>
      <c r="R131" s="212"/>
      <c r="S131" s="212"/>
      <c r="T131" s="215"/>
      <c r="U131" s="171" t="s">
        <v>3708</v>
      </c>
    </row>
    <row r="132" spans="1:21">
      <c r="A132" s="774"/>
      <c r="B132" s="223" t="s">
        <v>4130</v>
      </c>
      <c r="C132" s="213" t="s">
        <v>4041</v>
      </c>
      <c r="D132" s="213" t="s">
        <v>4131</v>
      </c>
      <c r="E132" s="212" t="s">
        <v>1743</v>
      </c>
      <c r="F132" s="212"/>
      <c r="G132" s="212"/>
      <c r="H132" s="212"/>
      <c r="I132" s="213" t="s">
        <v>3885</v>
      </c>
      <c r="J132" s="214" t="s">
        <v>1736</v>
      </c>
      <c r="K132" s="214" t="s">
        <v>1737</v>
      </c>
      <c r="L132" s="214" t="s">
        <v>1737</v>
      </c>
      <c r="M132" s="212"/>
      <c r="N132" s="215" t="s">
        <v>3901</v>
      </c>
      <c r="O132" s="219" t="s">
        <v>4132</v>
      </c>
      <c r="P132" s="212"/>
      <c r="Q132" s="212"/>
      <c r="R132" s="212"/>
      <c r="S132" s="212"/>
      <c r="T132" s="215"/>
      <c r="U132" s="171" t="s">
        <v>3708</v>
      </c>
    </row>
    <row r="133" spans="1:21">
      <c r="A133" s="774"/>
      <c r="B133" s="223" t="s">
        <v>4133</v>
      </c>
      <c r="C133" s="213" t="s">
        <v>4041</v>
      </c>
      <c r="D133" s="213" t="s">
        <v>4134</v>
      </c>
      <c r="E133" s="212" t="s">
        <v>1743</v>
      </c>
      <c r="F133" s="212"/>
      <c r="G133" s="212"/>
      <c r="H133" s="212"/>
      <c r="I133" s="213" t="s">
        <v>3885</v>
      </c>
      <c r="J133" s="214" t="s">
        <v>1736</v>
      </c>
      <c r="K133" s="214" t="s">
        <v>1737</v>
      </c>
      <c r="L133" s="214" t="s">
        <v>1737</v>
      </c>
      <c r="M133" s="212"/>
      <c r="N133" s="215" t="s">
        <v>3901</v>
      </c>
      <c r="O133" s="219" t="s">
        <v>4135</v>
      </c>
      <c r="P133" s="212"/>
      <c r="Q133" s="212"/>
      <c r="R133" s="212"/>
      <c r="S133" s="212"/>
      <c r="T133" s="215"/>
      <c r="U133" s="171" t="s">
        <v>3708</v>
      </c>
    </row>
    <row r="134" spans="1:21">
      <c r="A134" s="774"/>
      <c r="B134" s="223" t="s">
        <v>4136</v>
      </c>
      <c r="C134" s="213" t="s">
        <v>4041</v>
      </c>
      <c r="D134" s="213" t="s">
        <v>4137</v>
      </c>
      <c r="E134" s="212" t="s">
        <v>1743</v>
      </c>
      <c r="F134" s="212"/>
      <c r="G134" s="212"/>
      <c r="H134" s="212"/>
      <c r="I134" s="213" t="s">
        <v>3885</v>
      </c>
      <c r="J134" s="214" t="s">
        <v>1736</v>
      </c>
      <c r="K134" s="214" t="s">
        <v>1737</v>
      </c>
      <c r="L134" s="214" t="s">
        <v>1737</v>
      </c>
      <c r="M134" s="212"/>
      <c r="N134" s="215" t="s">
        <v>4061</v>
      </c>
      <c r="O134" s="219" t="s">
        <v>4138</v>
      </c>
      <c r="P134" s="212"/>
      <c r="Q134" s="212"/>
      <c r="R134" s="212"/>
      <c r="S134" s="212"/>
      <c r="T134" s="215"/>
      <c r="U134" s="171" t="s">
        <v>3708</v>
      </c>
    </row>
    <row r="135" spans="1:21">
      <c r="A135" s="774"/>
      <c r="B135" s="223" t="s">
        <v>4139</v>
      </c>
      <c r="C135" s="213" t="s">
        <v>4041</v>
      </c>
      <c r="D135" s="213" t="s">
        <v>4140</v>
      </c>
      <c r="E135" s="212" t="s">
        <v>1743</v>
      </c>
      <c r="F135" s="212"/>
      <c r="G135" s="212"/>
      <c r="H135" s="212"/>
      <c r="I135" s="213" t="s">
        <v>3885</v>
      </c>
      <c r="J135" s="214" t="s">
        <v>1736</v>
      </c>
      <c r="K135" s="214" t="s">
        <v>1737</v>
      </c>
      <c r="L135" s="214" t="s">
        <v>1737</v>
      </c>
      <c r="M135" s="212"/>
      <c r="N135" s="215" t="s">
        <v>4065</v>
      </c>
      <c r="O135" s="219" t="s">
        <v>4141</v>
      </c>
      <c r="P135" s="212"/>
      <c r="Q135" s="212"/>
      <c r="R135" s="212"/>
      <c r="S135" s="212"/>
      <c r="T135" s="215"/>
      <c r="U135" s="171" t="s">
        <v>3708</v>
      </c>
    </row>
    <row r="136" spans="1:21">
      <c r="A136" s="774"/>
      <c r="B136" s="223" t="s">
        <v>4142</v>
      </c>
      <c r="C136" s="213" t="s">
        <v>4041</v>
      </c>
      <c r="D136" s="213" t="s">
        <v>4143</v>
      </c>
      <c r="E136" s="212" t="s">
        <v>1732</v>
      </c>
      <c r="F136" s="212"/>
      <c r="G136" s="212"/>
      <c r="H136" s="212"/>
      <c r="I136" s="213" t="s">
        <v>3870</v>
      </c>
      <c r="J136" s="214" t="s">
        <v>1736</v>
      </c>
      <c r="K136" s="214" t="s">
        <v>1737</v>
      </c>
      <c r="L136" s="214" t="s">
        <v>1737</v>
      </c>
      <c r="M136" s="212"/>
      <c r="N136" s="215" t="s">
        <v>4079</v>
      </c>
      <c r="O136" s="219" t="s">
        <v>4144</v>
      </c>
      <c r="P136" s="212"/>
      <c r="Q136" s="212"/>
      <c r="R136" s="212"/>
      <c r="S136" s="212"/>
      <c r="T136" s="215"/>
      <c r="U136" s="171" t="s">
        <v>3708</v>
      </c>
    </row>
    <row r="137" spans="1:21">
      <c r="A137" s="774"/>
      <c r="B137" s="223" t="s">
        <v>4145</v>
      </c>
      <c r="C137" s="213" t="s">
        <v>4041</v>
      </c>
      <c r="D137" s="213" t="s">
        <v>4146</v>
      </c>
      <c r="E137" s="212" t="s">
        <v>1732</v>
      </c>
      <c r="F137" s="212"/>
      <c r="G137" s="212"/>
      <c r="H137" s="212"/>
      <c r="I137" s="213" t="s">
        <v>3870</v>
      </c>
      <c r="J137" s="215" t="s">
        <v>1736</v>
      </c>
      <c r="K137" s="215"/>
      <c r="L137" s="215"/>
      <c r="M137" s="18" t="s">
        <v>3915</v>
      </c>
      <c r="N137" s="215"/>
      <c r="O137" s="219"/>
      <c r="P137" s="212"/>
      <c r="Q137" s="212"/>
      <c r="R137" s="212"/>
      <c r="S137" s="212"/>
      <c r="T137" s="215"/>
      <c r="U137" s="171" t="s">
        <v>3708</v>
      </c>
    </row>
    <row r="138" spans="1:21">
      <c r="A138" s="774"/>
      <c r="B138" s="223" t="s">
        <v>4147</v>
      </c>
      <c r="C138" s="213" t="s">
        <v>4041</v>
      </c>
      <c r="D138" s="213" t="s">
        <v>4148</v>
      </c>
      <c r="E138" s="212" t="s">
        <v>1732</v>
      </c>
      <c r="F138" s="212"/>
      <c r="G138" s="212"/>
      <c r="H138" s="212"/>
      <c r="I138" s="213" t="s">
        <v>3870</v>
      </c>
      <c r="J138" s="215" t="s">
        <v>1736</v>
      </c>
      <c r="K138" s="215"/>
      <c r="L138" s="215"/>
      <c r="M138" s="18" t="s">
        <v>3915</v>
      </c>
      <c r="N138" s="215"/>
      <c r="O138" s="219"/>
      <c r="P138" s="212"/>
      <c r="Q138" s="212"/>
      <c r="R138" s="212"/>
      <c r="S138" s="212"/>
      <c r="T138" s="215"/>
      <c r="U138" s="171" t="s">
        <v>3708</v>
      </c>
    </row>
    <row r="139" spans="1:21">
      <c r="A139" s="774"/>
      <c r="B139" s="223" t="s">
        <v>4149</v>
      </c>
      <c r="C139" s="213" t="s">
        <v>4041</v>
      </c>
      <c r="D139" s="213" t="s">
        <v>4150</v>
      </c>
      <c r="E139" s="212" t="s">
        <v>1732</v>
      </c>
      <c r="F139" s="212"/>
      <c r="G139" s="212"/>
      <c r="H139" s="212"/>
      <c r="I139" s="213" t="s">
        <v>3870</v>
      </c>
      <c r="J139" s="215" t="s">
        <v>1736</v>
      </c>
      <c r="K139" s="215"/>
      <c r="L139" s="215"/>
      <c r="M139" s="18" t="s">
        <v>3915</v>
      </c>
      <c r="N139" s="215"/>
      <c r="O139" s="219"/>
      <c r="P139" s="212"/>
      <c r="Q139" s="212"/>
      <c r="R139" s="212"/>
      <c r="S139" s="212"/>
      <c r="T139" s="215"/>
      <c r="U139" s="171" t="s">
        <v>3708</v>
      </c>
    </row>
    <row r="140" spans="1:21">
      <c r="A140" s="774"/>
      <c r="B140" s="223" t="s">
        <v>4151</v>
      </c>
      <c r="C140" s="213" t="s">
        <v>4041</v>
      </c>
      <c r="D140" s="213" t="s">
        <v>4152</v>
      </c>
      <c r="E140" s="212" t="s">
        <v>1732</v>
      </c>
      <c r="F140" s="212"/>
      <c r="G140" s="212"/>
      <c r="H140" s="212"/>
      <c r="I140" s="213"/>
      <c r="J140" s="214" t="s">
        <v>1736</v>
      </c>
      <c r="K140" s="214" t="s">
        <v>1737</v>
      </c>
      <c r="L140" s="214" t="s">
        <v>1737</v>
      </c>
      <c r="M140" s="212"/>
      <c r="N140" s="215" t="s">
        <v>4104</v>
      </c>
      <c r="O140" s="219" t="s">
        <v>4153</v>
      </c>
      <c r="P140" s="212"/>
      <c r="Q140" s="212"/>
      <c r="R140" s="212"/>
      <c r="S140" s="212"/>
      <c r="T140" s="215"/>
      <c r="U140" s="171" t="s">
        <v>3708</v>
      </c>
    </row>
    <row r="141" spans="1:21">
      <c r="A141" s="774"/>
      <c r="B141" s="223" t="s">
        <v>4154</v>
      </c>
      <c r="C141" s="213" t="s">
        <v>4041</v>
      </c>
      <c r="D141" s="213" t="s">
        <v>4155</v>
      </c>
      <c r="E141" s="212" t="s">
        <v>1743</v>
      </c>
      <c r="F141" s="212"/>
      <c r="G141" s="212"/>
      <c r="H141" s="212"/>
      <c r="I141" s="213" t="s">
        <v>3885</v>
      </c>
      <c r="J141" s="214" t="s">
        <v>1736</v>
      </c>
      <c r="K141" s="214" t="s">
        <v>1737</v>
      </c>
      <c r="L141" s="214" t="s">
        <v>1737</v>
      </c>
      <c r="M141" s="212"/>
      <c r="N141" s="215" t="s">
        <v>3901</v>
      </c>
      <c r="O141" s="219" t="s">
        <v>4156</v>
      </c>
      <c r="P141" s="212"/>
      <c r="Q141" s="212"/>
      <c r="R141" s="212"/>
      <c r="S141" s="212"/>
      <c r="T141" s="215"/>
      <c r="U141" s="171" t="s">
        <v>3708</v>
      </c>
    </row>
    <row r="142" spans="1:21">
      <c r="A142" s="774"/>
      <c r="B142" s="223" t="s">
        <v>4157</v>
      </c>
      <c r="C142" s="213" t="s">
        <v>4041</v>
      </c>
      <c r="D142" s="213" t="s">
        <v>4158</v>
      </c>
      <c r="E142" s="212" t="s">
        <v>1743</v>
      </c>
      <c r="F142" s="212"/>
      <c r="G142" s="212"/>
      <c r="H142" s="212"/>
      <c r="I142" s="213" t="s">
        <v>3885</v>
      </c>
      <c r="J142" s="214" t="s">
        <v>1736</v>
      </c>
      <c r="K142" s="214" t="s">
        <v>1737</v>
      </c>
      <c r="L142" s="214" t="s">
        <v>1737</v>
      </c>
      <c r="M142" s="212"/>
      <c r="N142" s="215" t="s">
        <v>3901</v>
      </c>
      <c r="O142" s="219" t="s">
        <v>4159</v>
      </c>
      <c r="P142" s="212"/>
      <c r="Q142" s="212"/>
      <c r="R142" s="212"/>
      <c r="S142" s="212"/>
      <c r="T142" s="215"/>
      <c r="U142" s="171" t="s">
        <v>3708</v>
      </c>
    </row>
    <row r="143" spans="1:21">
      <c r="A143" s="774"/>
      <c r="B143" s="223" t="s">
        <v>4160</v>
      </c>
      <c r="C143" s="213" t="s">
        <v>4041</v>
      </c>
      <c r="D143" s="213" t="s">
        <v>4161</v>
      </c>
      <c r="E143" s="212" t="s">
        <v>1743</v>
      </c>
      <c r="F143" s="212"/>
      <c r="G143" s="212"/>
      <c r="H143" s="212"/>
      <c r="I143" s="213" t="s">
        <v>3885</v>
      </c>
      <c r="J143" s="214" t="s">
        <v>1736</v>
      </c>
      <c r="K143" s="214" t="s">
        <v>1737</v>
      </c>
      <c r="L143" s="214" t="s">
        <v>1737</v>
      </c>
      <c r="M143" s="212"/>
      <c r="N143" s="215" t="s">
        <v>4061</v>
      </c>
      <c r="O143" s="219" t="s">
        <v>4162</v>
      </c>
      <c r="P143" s="212"/>
      <c r="Q143" s="212"/>
      <c r="R143" s="212"/>
      <c r="S143" s="212"/>
      <c r="T143" s="215"/>
      <c r="U143" s="171" t="s">
        <v>3708</v>
      </c>
    </row>
    <row r="144" spans="1:21">
      <c r="A144" s="773"/>
      <c r="B144" s="223" t="s">
        <v>4163</v>
      </c>
      <c r="C144" s="213" t="s">
        <v>4041</v>
      </c>
      <c r="D144" s="213" t="s">
        <v>4164</v>
      </c>
      <c r="E144" s="212" t="s">
        <v>1743</v>
      </c>
      <c r="F144" s="212"/>
      <c r="G144" s="212"/>
      <c r="H144" s="212"/>
      <c r="I144" s="213" t="s">
        <v>3885</v>
      </c>
      <c r="J144" s="214" t="s">
        <v>1736</v>
      </c>
      <c r="K144" s="214" t="s">
        <v>1737</v>
      </c>
      <c r="L144" s="214" t="s">
        <v>1737</v>
      </c>
      <c r="M144" s="212"/>
      <c r="N144" s="215" t="s">
        <v>4065</v>
      </c>
      <c r="O144" s="219" t="s">
        <v>4165</v>
      </c>
      <c r="P144" s="212"/>
      <c r="Q144" s="212"/>
      <c r="R144" s="212"/>
      <c r="S144" s="212"/>
      <c r="T144" s="215"/>
      <c r="U144" s="171" t="s">
        <v>3708</v>
      </c>
    </row>
    <row r="145" spans="1:21">
      <c r="A145" s="696" t="s">
        <v>4166</v>
      </c>
      <c r="B145" s="223" t="s">
        <v>4167</v>
      </c>
      <c r="C145" s="213" t="s">
        <v>4041</v>
      </c>
      <c r="D145" s="213" t="s">
        <v>4168</v>
      </c>
      <c r="E145" s="212" t="s">
        <v>1732</v>
      </c>
      <c r="F145" s="212"/>
      <c r="G145" s="212"/>
      <c r="H145" s="212"/>
      <c r="I145" s="212"/>
      <c r="J145" s="214" t="s">
        <v>1736</v>
      </c>
      <c r="K145" s="214" t="s">
        <v>1737</v>
      </c>
      <c r="L145" s="214" t="s">
        <v>1737</v>
      </c>
      <c r="M145" s="212"/>
      <c r="N145" s="215" t="s">
        <v>4169</v>
      </c>
      <c r="O145" s="219" t="s">
        <v>4170</v>
      </c>
      <c r="P145" s="212"/>
      <c r="Q145" s="212"/>
      <c r="R145" s="212"/>
      <c r="S145" s="212"/>
      <c r="T145" s="215" t="s">
        <v>4169</v>
      </c>
      <c r="U145" s="171" t="s">
        <v>3708</v>
      </c>
    </row>
    <row r="146" spans="1:21">
      <c r="A146" s="774"/>
      <c r="B146" s="223" t="s">
        <v>4171</v>
      </c>
      <c r="C146" s="213" t="s">
        <v>4041</v>
      </c>
      <c r="D146" s="213" t="s">
        <v>4172</v>
      </c>
      <c r="E146" s="212" t="s">
        <v>1732</v>
      </c>
      <c r="F146" s="212"/>
      <c r="G146" s="212"/>
      <c r="H146" s="212"/>
      <c r="I146" s="212"/>
      <c r="J146" s="215" t="s">
        <v>1736</v>
      </c>
      <c r="K146" s="215"/>
      <c r="L146" s="215"/>
      <c r="M146" s="18" t="s">
        <v>3915</v>
      </c>
      <c r="N146" s="215"/>
      <c r="O146" s="219"/>
      <c r="P146" s="212"/>
      <c r="Q146" s="212"/>
      <c r="R146" s="212"/>
      <c r="S146" s="212"/>
      <c r="T146" s="215"/>
      <c r="U146" s="171" t="s">
        <v>3708</v>
      </c>
    </row>
    <row r="147" spans="1:21">
      <c r="A147" s="774"/>
      <c r="B147" s="223" t="s">
        <v>4173</v>
      </c>
      <c r="C147" s="213" t="s">
        <v>4041</v>
      </c>
      <c r="D147" s="213" t="s">
        <v>4174</v>
      </c>
      <c r="E147" s="212" t="s">
        <v>1732</v>
      </c>
      <c r="F147" s="212"/>
      <c r="G147" s="212"/>
      <c r="H147" s="212"/>
      <c r="I147" s="212"/>
      <c r="J147" s="215" t="s">
        <v>1736</v>
      </c>
      <c r="K147" s="215"/>
      <c r="L147" s="215"/>
      <c r="M147" s="18" t="s">
        <v>3915</v>
      </c>
      <c r="N147" s="215"/>
      <c r="O147" s="219"/>
      <c r="P147" s="212"/>
      <c r="Q147" s="212"/>
      <c r="R147" s="212"/>
      <c r="S147" s="212"/>
      <c r="T147" s="215"/>
      <c r="U147" s="171" t="s">
        <v>3708</v>
      </c>
    </row>
    <row r="148" spans="1:21">
      <c r="A148" s="774"/>
      <c r="B148" s="223" t="s">
        <v>4175</v>
      </c>
      <c r="C148" s="213" t="s">
        <v>4041</v>
      </c>
      <c r="D148" s="213" t="s">
        <v>4176</v>
      </c>
      <c r="E148" s="212" t="s">
        <v>1732</v>
      </c>
      <c r="F148" s="212"/>
      <c r="G148" s="212"/>
      <c r="H148" s="212"/>
      <c r="I148" s="212"/>
      <c r="J148" s="215" t="s">
        <v>1736</v>
      </c>
      <c r="K148" s="215"/>
      <c r="L148" s="215"/>
      <c r="M148" s="18" t="s">
        <v>3915</v>
      </c>
      <c r="N148" s="215"/>
      <c r="O148" s="219"/>
      <c r="P148" s="212"/>
      <c r="Q148" s="212"/>
      <c r="R148" s="212"/>
      <c r="S148" s="212"/>
      <c r="T148" s="215"/>
      <c r="U148" s="171" t="s">
        <v>3708</v>
      </c>
    </row>
    <row r="149" spans="1:21">
      <c r="A149" s="774"/>
      <c r="B149" s="223" t="s">
        <v>4177</v>
      </c>
      <c r="C149" s="213" t="s">
        <v>4041</v>
      </c>
      <c r="D149" s="213" t="s">
        <v>4178</v>
      </c>
      <c r="E149" s="212" t="s">
        <v>1743</v>
      </c>
      <c r="F149" s="212"/>
      <c r="G149" s="212"/>
      <c r="H149" s="212"/>
      <c r="I149" s="212"/>
      <c r="J149" s="214" t="s">
        <v>1736</v>
      </c>
      <c r="K149" s="214" t="s">
        <v>1737</v>
      </c>
      <c r="L149" s="214" t="s">
        <v>1737</v>
      </c>
      <c r="M149" s="212"/>
      <c r="N149" s="215" t="s">
        <v>4169</v>
      </c>
      <c r="O149" s="219" t="s">
        <v>4179</v>
      </c>
      <c r="P149" s="212"/>
      <c r="Q149" s="212"/>
      <c r="R149" s="212"/>
      <c r="S149" s="212"/>
      <c r="T149" s="215" t="s">
        <v>4169</v>
      </c>
      <c r="U149" s="171" t="s">
        <v>3708</v>
      </c>
    </row>
    <row r="150" spans="1:21">
      <c r="A150" s="774"/>
      <c r="B150" s="223" t="s">
        <v>4180</v>
      </c>
      <c r="C150" s="213" t="s">
        <v>4041</v>
      </c>
      <c r="D150" s="213" t="s">
        <v>4181</v>
      </c>
      <c r="E150" s="212" t="s">
        <v>1743</v>
      </c>
      <c r="F150" s="212"/>
      <c r="G150" s="212"/>
      <c r="H150" s="212"/>
      <c r="I150" s="212"/>
      <c r="J150" s="214" t="s">
        <v>1736</v>
      </c>
      <c r="K150" s="214" t="s">
        <v>1737</v>
      </c>
      <c r="L150" s="214" t="s">
        <v>1737</v>
      </c>
      <c r="M150" s="212"/>
      <c r="N150" s="215" t="s">
        <v>4079</v>
      </c>
      <c r="O150" s="219" t="s">
        <v>4182</v>
      </c>
      <c r="P150" s="212"/>
      <c r="Q150" s="212"/>
      <c r="R150" s="212"/>
      <c r="S150" s="212"/>
      <c r="T150" s="215"/>
      <c r="U150" s="171" t="s">
        <v>3708</v>
      </c>
    </row>
    <row r="151" spans="1:21">
      <c r="A151" s="774"/>
      <c r="B151" s="223" t="s">
        <v>4183</v>
      </c>
      <c r="C151" s="213" t="s">
        <v>4041</v>
      </c>
      <c r="D151" s="213" t="s">
        <v>4184</v>
      </c>
      <c r="E151" s="212" t="s">
        <v>1743</v>
      </c>
      <c r="F151" s="212"/>
      <c r="G151" s="212"/>
      <c r="H151" s="212"/>
      <c r="I151" s="212"/>
      <c r="J151" s="214" t="s">
        <v>1736</v>
      </c>
      <c r="K151" s="214" t="s">
        <v>1737</v>
      </c>
      <c r="L151" s="214" t="s">
        <v>1737</v>
      </c>
      <c r="M151" s="212"/>
      <c r="N151" s="215" t="s">
        <v>4061</v>
      </c>
      <c r="O151" s="219" t="s">
        <v>4185</v>
      </c>
      <c r="P151" s="212"/>
      <c r="Q151" s="212"/>
      <c r="R151" s="212"/>
      <c r="S151" s="212"/>
      <c r="T151" s="215"/>
      <c r="U151" s="171" t="s">
        <v>3708</v>
      </c>
    </row>
    <row r="152" spans="1:21">
      <c r="A152" s="774"/>
      <c r="B152" s="223" t="s">
        <v>4186</v>
      </c>
      <c r="C152" s="213" t="s">
        <v>4041</v>
      </c>
      <c r="D152" s="213" t="s">
        <v>4187</v>
      </c>
      <c r="E152" s="212" t="s">
        <v>1732</v>
      </c>
      <c r="F152" s="212"/>
      <c r="G152" s="212"/>
      <c r="H152" s="212"/>
      <c r="I152" s="212"/>
      <c r="J152" s="214" t="s">
        <v>1736</v>
      </c>
      <c r="K152" s="214" t="s">
        <v>1737</v>
      </c>
      <c r="L152" s="214" t="s">
        <v>1737</v>
      </c>
      <c r="M152" s="212"/>
      <c r="N152" s="215" t="s">
        <v>3878</v>
      </c>
      <c r="O152" s="219" t="s">
        <v>4188</v>
      </c>
      <c r="P152" s="212"/>
      <c r="Q152" s="212"/>
      <c r="R152" s="212"/>
      <c r="S152" s="212"/>
      <c r="T152" s="215"/>
      <c r="U152" s="171" t="s">
        <v>3708</v>
      </c>
    </row>
    <row r="153" spans="1:21">
      <c r="A153" s="774"/>
      <c r="B153" s="223" t="s">
        <v>4189</v>
      </c>
      <c r="C153" s="213" t="s">
        <v>4041</v>
      </c>
      <c r="D153" s="213" t="s">
        <v>4190</v>
      </c>
      <c r="E153" s="212" t="s">
        <v>1732</v>
      </c>
      <c r="F153" s="212"/>
      <c r="G153" s="212"/>
      <c r="H153" s="212"/>
      <c r="I153" s="212"/>
      <c r="J153" s="215" t="s">
        <v>1736</v>
      </c>
      <c r="K153" s="215"/>
      <c r="L153" s="215"/>
      <c r="M153" s="18" t="s">
        <v>3915</v>
      </c>
      <c r="N153" s="215"/>
      <c r="O153" s="219"/>
      <c r="P153" s="212"/>
      <c r="Q153" s="212"/>
      <c r="R153" s="212"/>
      <c r="S153" s="212"/>
      <c r="T153" s="215"/>
      <c r="U153" s="171" t="s">
        <v>3708</v>
      </c>
    </row>
    <row r="154" spans="1:21">
      <c r="A154" s="774"/>
      <c r="B154" s="223" t="s">
        <v>4191</v>
      </c>
      <c r="C154" s="213" t="s">
        <v>4041</v>
      </c>
      <c r="D154" s="213" t="s">
        <v>4192</v>
      </c>
      <c r="E154" s="212" t="s">
        <v>1732</v>
      </c>
      <c r="F154" s="212"/>
      <c r="G154" s="212"/>
      <c r="H154" s="212"/>
      <c r="I154" s="212"/>
      <c r="J154" s="215" t="s">
        <v>1736</v>
      </c>
      <c r="K154" s="215"/>
      <c r="L154" s="215"/>
      <c r="M154" s="18" t="s">
        <v>3915</v>
      </c>
      <c r="N154" s="215"/>
      <c r="O154" s="219"/>
      <c r="P154" s="212"/>
      <c r="Q154" s="212"/>
      <c r="R154" s="212"/>
      <c r="S154" s="212"/>
      <c r="T154" s="215"/>
      <c r="U154" s="171" t="s">
        <v>3708</v>
      </c>
    </row>
    <row r="155" spans="1:21">
      <c r="A155" s="774"/>
      <c r="B155" s="223" t="s">
        <v>4193</v>
      </c>
      <c r="C155" s="213" t="s">
        <v>4041</v>
      </c>
      <c r="D155" s="213" t="s">
        <v>4194</v>
      </c>
      <c r="E155" s="212" t="s">
        <v>1732</v>
      </c>
      <c r="F155" s="212"/>
      <c r="G155" s="212"/>
      <c r="H155" s="212"/>
      <c r="I155" s="212"/>
      <c r="J155" s="215" t="s">
        <v>1736</v>
      </c>
      <c r="K155" s="215"/>
      <c r="L155" s="215"/>
      <c r="M155" s="18" t="s">
        <v>3915</v>
      </c>
      <c r="N155" s="215"/>
      <c r="O155" s="219"/>
      <c r="P155" s="212"/>
      <c r="Q155" s="212"/>
      <c r="R155" s="212"/>
      <c r="S155" s="212"/>
      <c r="T155" s="215"/>
      <c r="U155" s="171" t="s">
        <v>3708</v>
      </c>
    </row>
    <row r="156" spans="1:21">
      <c r="A156" s="774"/>
      <c r="B156" s="223" t="s">
        <v>4195</v>
      </c>
      <c r="C156" s="213" t="s">
        <v>4041</v>
      </c>
      <c r="D156" s="213" t="s">
        <v>4196</v>
      </c>
      <c r="E156" s="212" t="s">
        <v>1743</v>
      </c>
      <c r="F156" s="212"/>
      <c r="G156" s="212"/>
      <c r="H156" s="212"/>
      <c r="I156" s="212"/>
      <c r="J156" s="214" t="s">
        <v>1736</v>
      </c>
      <c r="K156" s="214" t="s">
        <v>1737</v>
      </c>
      <c r="L156" s="214" t="s">
        <v>1737</v>
      </c>
      <c r="M156" s="212"/>
      <c r="N156" s="215" t="s">
        <v>3878</v>
      </c>
      <c r="O156" s="219" t="s">
        <v>4197</v>
      </c>
      <c r="P156" s="212"/>
      <c r="Q156" s="212"/>
      <c r="R156" s="212"/>
      <c r="S156" s="212"/>
      <c r="T156" s="215"/>
      <c r="U156" s="171" t="s">
        <v>3708</v>
      </c>
    </row>
    <row r="157" spans="1:21">
      <c r="A157" s="774"/>
      <c r="B157" s="223" t="s">
        <v>4198</v>
      </c>
      <c r="C157" s="213" t="s">
        <v>4041</v>
      </c>
      <c r="D157" s="213" t="s">
        <v>4199</v>
      </c>
      <c r="E157" s="212" t="s">
        <v>1743</v>
      </c>
      <c r="F157" s="212"/>
      <c r="G157" s="212"/>
      <c r="H157" s="212"/>
      <c r="I157" s="212"/>
      <c r="J157" s="214" t="s">
        <v>1736</v>
      </c>
      <c r="K157" s="214" t="s">
        <v>1737</v>
      </c>
      <c r="L157" s="214" t="s">
        <v>1737</v>
      </c>
      <c r="M157" s="212"/>
      <c r="N157" s="215" t="s">
        <v>3850</v>
      </c>
      <c r="O157" s="219" t="s">
        <v>4200</v>
      </c>
      <c r="P157" s="212"/>
      <c r="Q157" s="212"/>
      <c r="R157" s="212"/>
      <c r="S157" s="212"/>
      <c r="T157" s="215"/>
      <c r="U157" s="171" t="s">
        <v>3708</v>
      </c>
    </row>
    <row r="158" spans="1:21">
      <c r="A158" s="774"/>
      <c r="B158" s="223" t="s">
        <v>4201</v>
      </c>
      <c r="C158" s="213" t="s">
        <v>4041</v>
      </c>
      <c r="D158" s="213" t="s">
        <v>4202</v>
      </c>
      <c r="E158" s="212" t="s">
        <v>1743</v>
      </c>
      <c r="F158" s="212"/>
      <c r="G158" s="212"/>
      <c r="H158" s="212"/>
      <c r="I158" s="212"/>
      <c r="J158" s="214" t="s">
        <v>1736</v>
      </c>
      <c r="K158" s="214" t="s">
        <v>1737</v>
      </c>
      <c r="L158" s="214" t="s">
        <v>1737</v>
      </c>
      <c r="M158" s="212"/>
      <c r="N158" s="215" t="s">
        <v>4061</v>
      </c>
      <c r="O158" s="219" t="s">
        <v>4203</v>
      </c>
      <c r="P158" s="212"/>
      <c r="Q158" s="212"/>
      <c r="R158" s="212"/>
      <c r="S158" s="212"/>
      <c r="T158" s="215"/>
      <c r="U158" s="171" t="s">
        <v>3708</v>
      </c>
    </row>
    <row r="159" spans="1:21">
      <c r="A159" s="774"/>
      <c r="B159" s="223" t="s">
        <v>4204</v>
      </c>
      <c r="C159" s="213" t="s">
        <v>4041</v>
      </c>
      <c r="D159" s="213" t="s">
        <v>4205</v>
      </c>
      <c r="E159" s="212" t="s">
        <v>1732</v>
      </c>
      <c r="F159" s="212"/>
      <c r="G159" s="212"/>
      <c r="H159" s="212"/>
      <c r="I159" s="212"/>
      <c r="J159" s="214" t="s">
        <v>1736</v>
      </c>
      <c r="K159" s="214" t="s">
        <v>1737</v>
      </c>
      <c r="L159" s="214" t="s">
        <v>1737</v>
      </c>
      <c r="M159" s="212"/>
      <c r="N159" s="215" t="s">
        <v>3878</v>
      </c>
      <c r="O159" s="219" t="s">
        <v>4206</v>
      </c>
      <c r="P159" s="212"/>
      <c r="Q159" s="212"/>
      <c r="R159" s="212"/>
      <c r="S159" s="212"/>
      <c r="T159" s="215"/>
      <c r="U159" s="171" t="s">
        <v>3708</v>
      </c>
    </row>
    <row r="160" spans="1:21">
      <c r="A160" s="774"/>
      <c r="B160" s="223" t="s">
        <v>4207</v>
      </c>
      <c r="C160" s="213" t="s">
        <v>4041</v>
      </c>
      <c r="D160" s="213" t="s">
        <v>4208</v>
      </c>
      <c r="E160" s="212" t="s">
        <v>1732</v>
      </c>
      <c r="F160" s="212"/>
      <c r="G160" s="212"/>
      <c r="H160" s="212"/>
      <c r="I160" s="212"/>
      <c r="J160" s="215" t="s">
        <v>1736</v>
      </c>
      <c r="K160" s="215"/>
      <c r="L160" s="215"/>
      <c r="M160" s="18" t="s">
        <v>3915</v>
      </c>
      <c r="N160" s="215"/>
      <c r="O160" s="219"/>
      <c r="P160" s="212"/>
      <c r="Q160" s="212"/>
      <c r="R160" s="212"/>
      <c r="S160" s="212"/>
      <c r="T160" s="215"/>
      <c r="U160" s="171" t="s">
        <v>3708</v>
      </c>
    </row>
    <row r="161" spans="1:21">
      <c r="A161" s="774"/>
      <c r="B161" s="223" t="s">
        <v>4209</v>
      </c>
      <c r="C161" s="213" t="s">
        <v>4041</v>
      </c>
      <c r="D161" s="213" t="s">
        <v>4210</v>
      </c>
      <c r="E161" s="212" t="s">
        <v>1732</v>
      </c>
      <c r="F161" s="212"/>
      <c r="G161" s="212"/>
      <c r="H161" s="212"/>
      <c r="I161" s="212"/>
      <c r="J161" s="215" t="s">
        <v>1736</v>
      </c>
      <c r="K161" s="215"/>
      <c r="L161" s="215"/>
      <c r="M161" s="18" t="s">
        <v>3915</v>
      </c>
      <c r="N161" s="215"/>
      <c r="O161" s="219"/>
      <c r="P161" s="212"/>
      <c r="Q161" s="212"/>
      <c r="R161" s="212"/>
      <c r="S161" s="212"/>
      <c r="T161" s="215"/>
      <c r="U161" s="171" t="s">
        <v>3708</v>
      </c>
    </row>
    <row r="162" spans="1:21">
      <c r="A162" s="774"/>
      <c r="B162" s="223" t="s">
        <v>4211</v>
      </c>
      <c r="C162" s="213" t="s">
        <v>4041</v>
      </c>
      <c r="D162" s="213" t="s">
        <v>4212</v>
      </c>
      <c r="E162" s="212" t="s">
        <v>1743</v>
      </c>
      <c r="F162" s="212"/>
      <c r="G162" s="212"/>
      <c r="H162" s="212"/>
      <c r="I162" s="212"/>
      <c r="J162" s="215" t="s">
        <v>1736</v>
      </c>
      <c r="K162" s="215"/>
      <c r="L162" s="215"/>
      <c r="M162" s="18" t="s">
        <v>3915</v>
      </c>
      <c r="N162" s="215"/>
      <c r="O162" s="219"/>
      <c r="P162" s="212"/>
      <c r="Q162" s="212"/>
      <c r="R162" s="212"/>
      <c r="S162" s="212"/>
      <c r="T162" s="215"/>
      <c r="U162" s="171" t="s">
        <v>3708</v>
      </c>
    </row>
    <row r="163" spans="1:21">
      <c r="A163" s="774"/>
      <c r="B163" s="223" t="s">
        <v>4213</v>
      </c>
      <c r="C163" s="213" t="s">
        <v>4041</v>
      </c>
      <c r="D163" s="213" t="s">
        <v>4214</v>
      </c>
      <c r="E163" s="212" t="s">
        <v>1743</v>
      </c>
      <c r="F163" s="212"/>
      <c r="G163" s="212"/>
      <c r="H163" s="212"/>
      <c r="I163" s="212"/>
      <c r="J163" s="214" t="s">
        <v>1736</v>
      </c>
      <c r="K163" s="214" t="s">
        <v>1737</v>
      </c>
      <c r="L163" s="214" t="s">
        <v>1737</v>
      </c>
      <c r="M163" s="212"/>
      <c r="N163" s="215" t="s">
        <v>3878</v>
      </c>
      <c r="O163" s="219" t="s">
        <v>4215</v>
      </c>
      <c r="P163" s="212"/>
      <c r="Q163" s="212"/>
      <c r="R163" s="212"/>
      <c r="S163" s="212"/>
      <c r="T163" s="215"/>
      <c r="U163" s="171" t="s">
        <v>3708</v>
      </c>
    </row>
    <row r="164" spans="1:21">
      <c r="A164" s="774"/>
      <c r="B164" s="223" t="s">
        <v>4216</v>
      </c>
      <c r="C164" s="213" t="s">
        <v>4041</v>
      </c>
      <c r="D164" s="213" t="s">
        <v>4217</v>
      </c>
      <c r="E164" s="212" t="s">
        <v>1743</v>
      </c>
      <c r="F164" s="212"/>
      <c r="G164" s="212"/>
      <c r="H164" s="212"/>
      <c r="I164" s="212"/>
      <c r="J164" s="214" t="s">
        <v>1736</v>
      </c>
      <c r="K164" s="214" t="s">
        <v>1737</v>
      </c>
      <c r="L164" s="214" t="s">
        <v>1737</v>
      </c>
      <c r="M164" s="212"/>
      <c r="N164" s="215" t="s">
        <v>3850</v>
      </c>
      <c r="O164" s="219" t="s">
        <v>4218</v>
      </c>
      <c r="P164" s="212"/>
      <c r="Q164" s="212"/>
      <c r="R164" s="212"/>
      <c r="S164" s="212"/>
      <c r="T164" s="215"/>
      <c r="U164" s="171" t="s">
        <v>3708</v>
      </c>
    </row>
    <row r="165" spans="1:21">
      <c r="A165" s="774"/>
      <c r="B165" s="223" t="s">
        <v>4219</v>
      </c>
      <c r="C165" s="213" t="s">
        <v>4041</v>
      </c>
      <c r="D165" s="213" t="s">
        <v>4220</v>
      </c>
      <c r="E165" s="212" t="s">
        <v>1743</v>
      </c>
      <c r="F165" s="212"/>
      <c r="G165" s="212"/>
      <c r="H165" s="212"/>
      <c r="I165" s="212"/>
      <c r="J165" s="214" t="s">
        <v>1736</v>
      </c>
      <c r="K165" s="214" t="s">
        <v>1737</v>
      </c>
      <c r="L165" s="214" t="s">
        <v>1737</v>
      </c>
      <c r="M165" s="212"/>
      <c r="N165" s="215" t="s">
        <v>4061</v>
      </c>
      <c r="O165" s="219" t="s">
        <v>4221</v>
      </c>
      <c r="P165" s="212"/>
      <c r="Q165" s="212"/>
      <c r="R165" s="212"/>
      <c r="S165" s="212"/>
      <c r="T165" s="215"/>
      <c r="U165" s="171" t="s">
        <v>3708</v>
      </c>
    </row>
    <row r="166" spans="1:21">
      <c r="A166" s="774"/>
      <c r="B166" s="230" t="s">
        <v>4222</v>
      </c>
      <c r="C166" s="222" t="s">
        <v>4041</v>
      </c>
      <c r="D166" s="222" t="s">
        <v>4223</v>
      </c>
      <c r="E166" s="221" t="s">
        <v>1732</v>
      </c>
      <c r="F166" s="222" t="s">
        <v>4224</v>
      </c>
      <c r="G166" s="221"/>
      <c r="H166" s="212"/>
      <c r="I166" s="212"/>
      <c r="J166" s="215" t="s">
        <v>1736</v>
      </c>
      <c r="K166" s="215"/>
      <c r="L166" s="215"/>
      <c r="M166" s="212"/>
      <c r="N166" s="215"/>
      <c r="O166" s="219"/>
      <c r="P166" s="212"/>
      <c r="Q166" s="212"/>
      <c r="R166" s="212"/>
      <c r="S166" s="212"/>
      <c r="T166" s="215"/>
      <c r="U166" s="171" t="s">
        <v>3708</v>
      </c>
    </row>
    <row r="167" spans="1:21">
      <c r="A167" s="774"/>
      <c r="B167" s="230" t="s">
        <v>4225</v>
      </c>
      <c r="C167" s="222" t="s">
        <v>4041</v>
      </c>
      <c r="D167" s="222" t="s">
        <v>4226</v>
      </c>
      <c r="E167" s="221" t="s">
        <v>1732</v>
      </c>
      <c r="F167" s="221"/>
      <c r="G167" s="221"/>
      <c r="H167" s="212"/>
      <c r="I167" s="212"/>
      <c r="J167" s="215" t="s">
        <v>1736</v>
      </c>
      <c r="K167" s="215"/>
      <c r="L167" s="215"/>
      <c r="M167" s="18" t="s">
        <v>3915</v>
      </c>
      <c r="N167" s="215"/>
      <c r="O167" s="219"/>
      <c r="P167" s="212"/>
      <c r="Q167" s="212"/>
      <c r="R167" s="212"/>
      <c r="S167" s="212"/>
      <c r="T167" s="215"/>
      <c r="U167" s="171" t="s">
        <v>3708</v>
      </c>
    </row>
    <row r="168" spans="1:21">
      <c r="A168" s="774"/>
      <c r="B168" s="230" t="s">
        <v>4227</v>
      </c>
      <c r="C168" s="222" t="s">
        <v>4041</v>
      </c>
      <c r="D168" s="222" t="s">
        <v>4228</v>
      </c>
      <c r="E168" s="221" t="s">
        <v>1732</v>
      </c>
      <c r="F168" s="221"/>
      <c r="G168" s="221"/>
      <c r="H168" s="212"/>
      <c r="I168" s="212"/>
      <c r="J168" s="215" t="s">
        <v>1736</v>
      </c>
      <c r="K168" s="215"/>
      <c r="L168" s="215"/>
      <c r="M168" s="18" t="s">
        <v>3915</v>
      </c>
      <c r="N168" s="215"/>
      <c r="O168" s="219"/>
      <c r="P168" s="212"/>
      <c r="Q168" s="212"/>
      <c r="R168" s="212"/>
      <c r="S168" s="212"/>
      <c r="T168" s="215"/>
      <c r="U168" s="171" t="s">
        <v>3708</v>
      </c>
    </row>
    <row r="169" spans="1:21">
      <c r="A169" s="774"/>
      <c r="B169" s="230" t="s">
        <v>4229</v>
      </c>
      <c r="C169" s="222" t="s">
        <v>4041</v>
      </c>
      <c r="D169" s="222" t="s">
        <v>4230</v>
      </c>
      <c r="E169" s="221" t="s">
        <v>1732</v>
      </c>
      <c r="F169" s="221"/>
      <c r="G169" s="221"/>
      <c r="H169" s="212"/>
      <c r="I169" s="212"/>
      <c r="J169" s="215" t="s">
        <v>1736</v>
      </c>
      <c r="K169" s="215"/>
      <c r="L169" s="215"/>
      <c r="M169" s="18" t="s">
        <v>3915</v>
      </c>
      <c r="N169" s="215"/>
      <c r="O169" s="219"/>
      <c r="P169" s="212"/>
      <c r="Q169" s="212"/>
      <c r="R169" s="212"/>
      <c r="S169" s="212"/>
      <c r="T169" s="215"/>
      <c r="U169" s="171" t="s">
        <v>3708</v>
      </c>
    </row>
    <row r="170" spans="1:21">
      <c r="A170" s="774"/>
      <c r="B170" s="230" t="s">
        <v>4231</v>
      </c>
      <c r="C170" s="222" t="s">
        <v>4041</v>
      </c>
      <c r="D170" s="222" t="s">
        <v>4232</v>
      </c>
      <c r="E170" s="221" t="s">
        <v>1743</v>
      </c>
      <c r="F170" s="221"/>
      <c r="G170" s="221"/>
      <c r="H170" s="212"/>
      <c r="I170" s="212"/>
      <c r="J170" s="215" t="s">
        <v>1736</v>
      </c>
      <c r="K170" s="215"/>
      <c r="L170" s="215"/>
      <c r="M170" s="212"/>
      <c r="N170" s="215"/>
      <c r="O170" s="219"/>
      <c r="P170" s="212"/>
      <c r="Q170" s="212"/>
      <c r="R170" s="212"/>
      <c r="S170" s="212"/>
      <c r="T170" s="215"/>
      <c r="U170" s="171" t="s">
        <v>3708</v>
      </c>
    </row>
    <row r="171" spans="1:21">
      <c r="A171" s="774"/>
      <c r="B171" s="230" t="s">
        <v>4233</v>
      </c>
      <c r="C171" s="222" t="s">
        <v>4041</v>
      </c>
      <c r="D171" s="222" t="s">
        <v>4234</v>
      </c>
      <c r="E171" s="221" t="s">
        <v>1743</v>
      </c>
      <c r="F171" s="221"/>
      <c r="G171" s="221"/>
      <c r="H171" s="212"/>
      <c r="I171" s="212"/>
      <c r="J171" s="215" t="s">
        <v>1736</v>
      </c>
      <c r="K171" s="215"/>
      <c r="L171" s="215"/>
      <c r="M171" s="212"/>
      <c r="N171" s="215"/>
      <c r="O171" s="219"/>
      <c r="P171" s="212"/>
      <c r="Q171" s="212"/>
      <c r="R171" s="212"/>
      <c r="S171" s="212"/>
      <c r="T171" s="215"/>
      <c r="U171" s="171" t="s">
        <v>3708</v>
      </c>
    </row>
    <row r="172" spans="1:21">
      <c r="A172" s="774"/>
      <c r="B172" s="230" t="s">
        <v>4235</v>
      </c>
      <c r="C172" s="222" t="s">
        <v>4041</v>
      </c>
      <c r="D172" s="222" t="s">
        <v>4236</v>
      </c>
      <c r="E172" s="221" t="s">
        <v>1743</v>
      </c>
      <c r="F172" s="221"/>
      <c r="G172" s="221"/>
      <c r="H172" s="212"/>
      <c r="I172" s="212"/>
      <c r="J172" s="215" t="s">
        <v>1736</v>
      </c>
      <c r="K172" s="215"/>
      <c r="L172" s="215"/>
      <c r="M172" s="212"/>
      <c r="N172" s="215"/>
      <c r="O172" s="219"/>
      <c r="P172" s="212"/>
      <c r="Q172" s="212"/>
      <c r="R172" s="212"/>
      <c r="S172" s="212"/>
      <c r="T172" s="215"/>
      <c r="U172" s="171" t="s">
        <v>3708</v>
      </c>
    </row>
    <row r="173" spans="1:21">
      <c r="A173" s="774"/>
      <c r="B173" s="230" t="s">
        <v>4237</v>
      </c>
      <c r="C173" s="222" t="s">
        <v>4041</v>
      </c>
      <c r="D173" s="222" t="s">
        <v>4238</v>
      </c>
      <c r="E173" s="221" t="s">
        <v>1732</v>
      </c>
      <c r="F173" s="222" t="s">
        <v>4224</v>
      </c>
      <c r="G173" s="221"/>
      <c r="H173" s="212"/>
      <c r="I173" s="212"/>
      <c r="J173" s="215" t="s">
        <v>1736</v>
      </c>
      <c r="K173" s="215"/>
      <c r="L173" s="215"/>
      <c r="M173" s="212"/>
      <c r="N173" s="215"/>
      <c r="O173" s="219"/>
      <c r="P173" s="212"/>
      <c r="Q173" s="212"/>
      <c r="R173" s="212"/>
      <c r="S173" s="212"/>
      <c r="T173" s="215"/>
      <c r="U173" s="171" t="s">
        <v>3708</v>
      </c>
    </row>
    <row r="174" spans="1:21">
      <c r="A174" s="774"/>
      <c r="B174" s="230" t="s">
        <v>4239</v>
      </c>
      <c r="C174" s="222" t="s">
        <v>4041</v>
      </c>
      <c r="D174" s="222" t="s">
        <v>4240</v>
      </c>
      <c r="E174" s="221" t="s">
        <v>1732</v>
      </c>
      <c r="F174" s="221"/>
      <c r="G174" s="221"/>
      <c r="H174" s="212"/>
      <c r="I174" s="212"/>
      <c r="J174" s="215" t="s">
        <v>1736</v>
      </c>
      <c r="K174" s="215"/>
      <c r="L174" s="215"/>
      <c r="M174" s="18" t="s">
        <v>3915</v>
      </c>
      <c r="N174" s="215"/>
      <c r="O174" s="219"/>
      <c r="P174" s="212"/>
      <c r="Q174" s="212"/>
      <c r="R174" s="212"/>
      <c r="S174" s="212"/>
      <c r="T174" s="215"/>
      <c r="U174" s="171" t="s">
        <v>3708</v>
      </c>
    </row>
    <row r="175" spans="1:21">
      <c r="A175" s="774"/>
      <c r="B175" s="230" t="s">
        <v>4241</v>
      </c>
      <c r="C175" s="222" t="s">
        <v>4041</v>
      </c>
      <c r="D175" s="222" t="s">
        <v>4242</v>
      </c>
      <c r="E175" s="221" t="s">
        <v>1732</v>
      </c>
      <c r="F175" s="221"/>
      <c r="G175" s="221"/>
      <c r="H175" s="212"/>
      <c r="I175" s="212"/>
      <c r="J175" s="215" t="s">
        <v>1736</v>
      </c>
      <c r="K175" s="215"/>
      <c r="L175" s="215"/>
      <c r="M175" s="18" t="s">
        <v>3915</v>
      </c>
      <c r="N175" s="215"/>
      <c r="O175" s="219"/>
      <c r="P175" s="212"/>
      <c r="Q175" s="212"/>
      <c r="R175" s="212"/>
      <c r="S175" s="212"/>
      <c r="T175" s="215"/>
      <c r="U175" s="171" t="s">
        <v>3708</v>
      </c>
    </row>
    <row r="176" spans="1:21">
      <c r="A176" s="774"/>
      <c r="B176" s="230" t="s">
        <v>4243</v>
      </c>
      <c r="C176" s="222" t="s">
        <v>4041</v>
      </c>
      <c r="D176" s="222" t="s">
        <v>4244</v>
      </c>
      <c r="E176" s="221" t="s">
        <v>1732</v>
      </c>
      <c r="F176" s="221"/>
      <c r="G176" s="221"/>
      <c r="H176" s="212"/>
      <c r="I176" s="212"/>
      <c r="J176" s="215" t="s">
        <v>1736</v>
      </c>
      <c r="K176" s="215"/>
      <c r="L176" s="215"/>
      <c r="M176" s="18" t="s">
        <v>3915</v>
      </c>
      <c r="N176" s="215"/>
      <c r="O176" s="219"/>
      <c r="P176" s="212"/>
      <c r="Q176" s="212"/>
      <c r="R176" s="212"/>
      <c r="S176" s="212"/>
      <c r="T176" s="215"/>
      <c r="U176" s="171" t="s">
        <v>3708</v>
      </c>
    </row>
    <row r="177" spans="1:21">
      <c r="A177" s="774"/>
      <c r="B177" s="230" t="s">
        <v>4245</v>
      </c>
      <c r="C177" s="222" t="s">
        <v>4041</v>
      </c>
      <c r="D177" s="222" t="s">
        <v>4246</v>
      </c>
      <c r="E177" s="221" t="s">
        <v>1743</v>
      </c>
      <c r="F177" s="221"/>
      <c r="G177" s="221"/>
      <c r="H177" s="212"/>
      <c r="I177" s="212"/>
      <c r="J177" s="215" t="s">
        <v>1736</v>
      </c>
      <c r="K177" s="215"/>
      <c r="L177" s="215"/>
      <c r="M177" s="212"/>
      <c r="N177" s="215"/>
      <c r="O177" s="219"/>
      <c r="P177" s="212"/>
      <c r="Q177" s="212"/>
      <c r="R177" s="212"/>
      <c r="S177" s="212"/>
      <c r="T177" s="215"/>
      <c r="U177" s="171" t="s">
        <v>3708</v>
      </c>
    </row>
    <row r="178" spans="1:21">
      <c r="A178" s="774"/>
      <c r="B178" s="230" t="s">
        <v>4247</v>
      </c>
      <c r="C178" s="222" t="s">
        <v>4041</v>
      </c>
      <c r="D178" s="222" t="s">
        <v>4248</v>
      </c>
      <c r="E178" s="221" t="s">
        <v>1743</v>
      </c>
      <c r="F178" s="221"/>
      <c r="G178" s="221"/>
      <c r="H178" s="212"/>
      <c r="I178" s="212"/>
      <c r="J178" s="215" t="s">
        <v>1736</v>
      </c>
      <c r="K178" s="215"/>
      <c r="L178" s="215"/>
      <c r="M178" s="212"/>
      <c r="N178" s="215"/>
      <c r="O178" s="219"/>
      <c r="P178" s="212"/>
      <c r="Q178" s="212"/>
      <c r="R178" s="212"/>
      <c r="S178" s="212"/>
      <c r="T178" s="215"/>
      <c r="U178" s="171" t="s">
        <v>3708</v>
      </c>
    </row>
    <row r="179" spans="1:21">
      <c r="A179" s="773"/>
      <c r="B179" s="230" t="s">
        <v>4249</v>
      </c>
      <c r="C179" s="222" t="s">
        <v>4041</v>
      </c>
      <c r="D179" s="222" t="s">
        <v>4250</v>
      </c>
      <c r="E179" s="221" t="s">
        <v>1743</v>
      </c>
      <c r="F179" s="221"/>
      <c r="G179" s="221"/>
      <c r="H179" s="212"/>
      <c r="I179" s="212"/>
      <c r="J179" s="215" t="s">
        <v>1736</v>
      </c>
      <c r="K179" s="215"/>
      <c r="L179" s="215"/>
      <c r="M179" s="212"/>
      <c r="N179" s="215"/>
      <c r="O179" s="219"/>
      <c r="P179" s="212"/>
      <c r="Q179" s="212"/>
      <c r="R179" s="212"/>
      <c r="S179" s="212"/>
      <c r="T179" s="215"/>
      <c r="U179" s="171" t="s">
        <v>3708</v>
      </c>
    </row>
    <row r="180" spans="1:21">
      <c r="A180" s="696" t="s">
        <v>4251</v>
      </c>
      <c r="B180" s="230" t="s">
        <v>4252</v>
      </c>
      <c r="C180" s="222" t="s">
        <v>4253</v>
      </c>
      <c r="D180" s="222" t="s">
        <v>4254</v>
      </c>
      <c r="E180" s="221" t="s">
        <v>1732</v>
      </c>
      <c r="F180" s="221" t="s">
        <v>4255</v>
      </c>
      <c r="G180" s="221"/>
      <c r="H180" s="212"/>
      <c r="I180" s="212"/>
      <c r="J180" s="215" t="s">
        <v>1736</v>
      </c>
      <c r="K180" s="215"/>
      <c r="L180" s="215"/>
      <c r="M180" s="212"/>
      <c r="N180" s="215"/>
      <c r="O180" s="219"/>
      <c r="P180" s="212"/>
      <c r="Q180" s="212"/>
      <c r="R180" s="212"/>
      <c r="S180" s="212"/>
      <c r="T180" s="215"/>
      <c r="U180" s="171" t="s">
        <v>3708</v>
      </c>
    </row>
    <row r="181" spans="1:21">
      <c r="A181" s="774"/>
      <c r="B181" s="230" t="s">
        <v>4256</v>
      </c>
      <c r="C181" s="222" t="s">
        <v>4253</v>
      </c>
      <c r="D181" s="222" t="s">
        <v>4257</v>
      </c>
      <c r="E181" s="221" t="s">
        <v>1732</v>
      </c>
      <c r="F181" s="221" t="s">
        <v>4255</v>
      </c>
      <c r="G181" s="221"/>
      <c r="H181" s="212"/>
      <c r="I181" s="212"/>
      <c r="J181" s="215" t="s">
        <v>1736</v>
      </c>
      <c r="K181" s="215"/>
      <c r="L181" s="215"/>
      <c r="M181" s="18" t="s">
        <v>3915</v>
      </c>
      <c r="N181" s="215"/>
      <c r="O181" s="219"/>
      <c r="P181" s="212"/>
      <c r="Q181" s="212"/>
      <c r="R181" s="212"/>
      <c r="S181" s="212"/>
      <c r="T181" s="215"/>
      <c r="U181" s="171" t="s">
        <v>3708</v>
      </c>
    </row>
    <row r="182" spans="1:21">
      <c r="A182" s="774"/>
      <c r="B182" s="230" t="s">
        <v>4258</v>
      </c>
      <c r="C182" s="222" t="s">
        <v>4253</v>
      </c>
      <c r="D182" s="222" t="s">
        <v>4259</v>
      </c>
      <c r="E182" s="221" t="s">
        <v>1732</v>
      </c>
      <c r="F182" s="221" t="s">
        <v>4255</v>
      </c>
      <c r="G182" s="221"/>
      <c r="H182" s="212"/>
      <c r="I182" s="212"/>
      <c r="J182" s="215" t="s">
        <v>1736</v>
      </c>
      <c r="K182" s="215"/>
      <c r="L182" s="215"/>
      <c r="M182" s="18" t="s">
        <v>3915</v>
      </c>
      <c r="N182" s="215"/>
      <c r="O182" s="219"/>
      <c r="P182" s="212"/>
      <c r="Q182" s="212"/>
      <c r="R182" s="212"/>
      <c r="S182" s="212"/>
      <c r="T182" s="215"/>
      <c r="U182" s="171" t="s">
        <v>3708</v>
      </c>
    </row>
    <row r="183" spans="1:21">
      <c r="A183" s="774"/>
      <c r="B183" s="230" t="s">
        <v>4260</v>
      </c>
      <c r="C183" s="222" t="s">
        <v>4253</v>
      </c>
      <c r="D183" s="222" t="s">
        <v>4261</v>
      </c>
      <c r="E183" s="221" t="s">
        <v>1732</v>
      </c>
      <c r="F183" s="221" t="s">
        <v>4255</v>
      </c>
      <c r="G183" s="221"/>
      <c r="H183" s="212"/>
      <c r="I183" s="212"/>
      <c r="J183" s="215" t="s">
        <v>1736</v>
      </c>
      <c r="K183" s="215"/>
      <c r="L183" s="215"/>
      <c r="M183" s="18" t="s">
        <v>3915</v>
      </c>
      <c r="N183" s="215"/>
      <c r="O183" s="219"/>
      <c r="P183" s="212"/>
      <c r="Q183" s="212"/>
      <c r="R183" s="212"/>
      <c r="S183" s="212"/>
      <c r="T183" s="215"/>
      <c r="U183" s="171" t="s">
        <v>3708</v>
      </c>
    </row>
    <row r="184" spans="1:21">
      <c r="A184" s="774"/>
      <c r="B184" s="230" t="s">
        <v>4262</v>
      </c>
      <c r="C184" s="222" t="s">
        <v>4253</v>
      </c>
      <c r="D184" s="222" t="s">
        <v>4263</v>
      </c>
      <c r="E184" s="221" t="s">
        <v>1732</v>
      </c>
      <c r="F184" s="221" t="s">
        <v>4255</v>
      </c>
      <c r="G184" s="221"/>
      <c r="H184" s="212"/>
      <c r="I184" s="213"/>
      <c r="J184" s="215" t="s">
        <v>1736</v>
      </c>
      <c r="K184" s="215"/>
      <c r="L184" s="215"/>
      <c r="M184" s="212"/>
      <c r="N184" s="215"/>
      <c r="O184" s="219"/>
      <c r="P184" s="212"/>
      <c r="Q184" s="212"/>
      <c r="R184" s="212"/>
      <c r="S184" s="212"/>
      <c r="T184" s="215"/>
      <c r="U184" s="171" t="s">
        <v>3708</v>
      </c>
    </row>
    <row r="185" spans="1:21">
      <c r="A185" s="774"/>
      <c r="B185" s="230" t="s">
        <v>4264</v>
      </c>
      <c r="C185" s="222" t="s">
        <v>4253</v>
      </c>
      <c r="D185" s="222" t="s">
        <v>4265</v>
      </c>
      <c r="E185" s="221" t="s">
        <v>1743</v>
      </c>
      <c r="F185" s="221" t="s">
        <v>4255</v>
      </c>
      <c r="G185" s="221"/>
      <c r="H185" s="212"/>
      <c r="I185" s="212"/>
      <c r="J185" s="215" t="s">
        <v>1736</v>
      </c>
      <c r="K185" s="215"/>
      <c r="L185" s="215"/>
      <c r="M185" s="212"/>
      <c r="N185" s="215"/>
      <c r="O185" s="219"/>
      <c r="P185" s="212"/>
      <c r="Q185" s="212"/>
      <c r="R185" s="212"/>
      <c r="S185" s="212"/>
      <c r="T185" s="215"/>
      <c r="U185" s="171" t="s">
        <v>3708</v>
      </c>
    </row>
    <row r="186" spans="1:21">
      <c r="A186" s="774"/>
      <c r="B186" s="230" t="s">
        <v>4266</v>
      </c>
      <c r="C186" s="222" t="s">
        <v>4253</v>
      </c>
      <c r="D186" s="222" t="s">
        <v>4267</v>
      </c>
      <c r="E186" s="221" t="s">
        <v>1743</v>
      </c>
      <c r="F186" s="221" t="s">
        <v>4255</v>
      </c>
      <c r="G186" s="221"/>
      <c r="H186" s="212"/>
      <c r="I186" s="212"/>
      <c r="J186" s="215" t="s">
        <v>1736</v>
      </c>
      <c r="K186" s="215"/>
      <c r="L186" s="215"/>
      <c r="M186" s="212"/>
      <c r="N186" s="215"/>
      <c r="O186" s="219"/>
      <c r="P186" s="212"/>
      <c r="Q186" s="212"/>
      <c r="R186" s="212"/>
      <c r="S186" s="212"/>
      <c r="T186" s="215"/>
      <c r="U186" s="171" t="s">
        <v>3708</v>
      </c>
    </row>
    <row r="187" spans="1:21">
      <c r="A187" s="774"/>
      <c r="B187" s="230" t="s">
        <v>4268</v>
      </c>
      <c r="C187" s="222" t="s">
        <v>4253</v>
      </c>
      <c r="D187" s="222" t="s">
        <v>4269</v>
      </c>
      <c r="E187" s="221" t="s">
        <v>1743</v>
      </c>
      <c r="F187" s="221" t="s">
        <v>4255</v>
      </c>
      <c r="G187" s="221"/>
      <c r="H187" s="212"/>
      <c r="I187" s="212"/>
      <c r="J187" s="215" t="s">
        <v>1736</v>
      </c>
      <c r="K187" s="215"/>
      <c r="L187" s="215"/>
      <c r="M187" s="212"/>
      <c r="N187" s="215"/>
      <c r="O187" s="219"/>
      <c r="P187" s="212"/>
      <c r="Q187" s="212"/>
      <c r="R187" s="212"/>
      <c r="S187" s="212"/>
      <c r="T187" s="215"/>
      <c r="U187" s="171" t="s">
        <v>3708</v>
      </c>
    </row>
    <row r="188" spans="1:21">
      <c r="A188" s="774"/>
      <c r="B188" s="230" t="s">
        <v>4270</v>
      </c>
      <c r="C188" s="222" t="s">
        <v>4253</v>
      </c>
      <c r="D188" s="222" t="s">
        <v>4271</v>
      </c>
      <c r="E188" s="221" t="s">
        <v>1743</v>
      </c>
      <c r="F188" s="221" t="s">
        <v>4255</v>
      </c>
      <c r="G188" s="221"/>
      <c r="H188" s="212"/>
      <c r="I188" s="212"/>
      <c r="J188" s="215" t="s">
        <v>1736</v>
      </c>
      <c r="K188" s="215"/>
      <c r="L188" s="215"/>
      <c r="M188" s="212"/>
      <c r="N188" s="215"/>
      <c r="O188" s="219"/>
      <c r="P188" s="212"/>
      <c r="Q188" s="212"/>
      <c r="R188" s="212"/>
      <c r="S188" s="212"/>
      <c r="T188" s="215"/>
      <c r="U188" s="171" t="s">
        <v>3708</v>
      </c>
    </row>
    <row r="189" spans="1:21">
      <c r="A189" s="774"/>
      <c r="B189" s="230" t="s">
        <v>4272</v>
      </c>
      <c r="C189" s="222" t="s">
        <v>4253</v>
      </c>
      <c r="D189" s="222" t="s">
        <v>4273</v>
      </c>
      <c r="E189" s="221" t="s">
        <v>1743</v>
      </c>
      <c r="F189" s="221" t="s">
        <v>4255</v>
      </c>
      <c r="G189" s="221"/>
      <c r="H189" s="212"/>
      <c r="I189" s="212"/>
      <c r="J189" s="215" t="s">
        <v>1736</v>
      </c>
      <c r="K189" s="215"/>
      <c r="L189" s="215"/>
      <c r="M189" s="212"/>
      <c r="N189" s="215"/>
      <c r="O189" s="219"/>
      <c r="P189" s="212"/>
      <c r="Q189" s="212"/>
      <c r="R189" s="212"/>
      <c r="S189" s="212"/>
      <c r="T189" s="215"/>
      <c r="U189" s="171" t="s">
        <v>3708</v>
      </c>
    </row>
    <row r="190" spans="1:21">
      <c r="A190" s="774"/>
      <c r="B190" s="230" t="s">
        <v>4274</v>
      </c>
      <c r="C190" s="222" t="s">
        <v>4253</v>
      </c>
      <c r="D190" s="222" t="s">
        <v>4275</v>
      </c>
      <c r="E190" s="221" t="s">
        <v>1743</v>
      </c>
      <c r="F190" s="221" t="s">
        <v>4255</v>
      </c>
      <c r="G190" s="221"/>
      <c r="H190" s="212"/>
      <c r="I190" s="212"/>
      <c r="J190" s="215" t="s">
        <v>1736</v>
      </c>
      <c r="K190" s="215"/>
      <c r="L190" s="215"/>
      <c r="M190" s="212"/>
      <c r="N190" s="215"/>
      <c r="O190" s="219"/>
      <c r="P190" s="212"/>
      <c r="Q190" s="212"/>
      <c r="R190" s="212"/>
      <c r="S190" s="212"/>
      <c r="T190" s="215"/>
      <c r="U190" s="171" t="s">
        <v>3708</v>
      </c>
    </row>
    <row r="191" spans="1:21">
      <c r="A191" s="774"/>
      <c r="B191" s="223" t="s">
        <v>4276</v>
      </c>
      <c r="C191" s="213" t="s">
        <v>4253</v>
      </c>
      <c r="D191" s="213" t="s">
        <v>4277</v>
      </c>
      <c r="E191" s="212" t="s">
        <v>1732</v>
      </c>
      <c r="F191" s="212"/>
      <c r="G191" s="212"/>
      <c r="H191" s="212"/>
      <c r="I191" s="213" t="s">
        <v>4278</v>
      </c>
      <c r="J191" s="214" t="s">
        <v>1736</v>
      </c>
      <c r="K191" s="214" t="s">
        <v>1737</v>
      </c>
      <c r="L191" s="214" t="s">
        <v>1737</v>
      </c>
      <c r="M191" s="212"/>
      <c r="N191" s="215" t="s">
        <v>3878</v>
      </c>
      <c r="O191" s="219" t="s">
        <v>4279</v>
      </c>
      <c r="P191" s="212"/>
      <c r="Q191" s="212"/>
      <c r="R191" s="212"/>
      <c r="S191" s="212"/>
      <c r="T191" s="215"/>
      <c r="U191" s="171" t="s">
        <v>3708</v>
      </c>
    </row>
    <row r="192" spans="1:21">
      <c r="A192" s="774"/>
      <c r="B192" s="223" t="s">
        <v>4280</v>
      </c>
      <c r="C192" s="213" t="s">
        <v>4253</v>
      </c>
      <c r="D192" s="213" t="s">
        <v>4281</v>
      </c>
      <c r="E192" s="212" t="s">
        <v>1732</v>
      </c>
      <c r="F192" s="212"/>
      <c r="G192" s="212"/>
      <c r="H192" s="212"/>
      <c r="I192" s="213" t="s">
        <v>4282</v>
      </c>
      <c r="J192" s="215" t="s">
        <v>1736</v>
      </c>
      <c r="K192" s="215"/>
      <c r="L192" s="215"/>
      <c r="M192" s="547" t="s">
        <v>3915</v>
      </c>
      <c r="N192" s="215"/>
      <c r="O192" s="219"/>
      <c r="P192" s="212"/>
      <c r="Q192" s="212"/>
      <c r="R192" s="212"/>
      <c r="S192" s="212"/>
      <c r="T192" s="215"/>
      <c r="U192" s="171" t="s">
        <v>3708</v>
      </c>
    </row>
    <row r="193" spans="1:21">
      <c r="A193" s="774"/>
      <c r="B193" s="223" t="s">
        <v>4283</v>
      </c>
      <c r="C193" s="213" t="s">
        <v>4253</v>
      </c>
      <c r="D193" s="213" t="s">
        <v>4284</v>
      </c>
      <c r="E193" s="212" t="s">
        <v>1732</v>
      </c>
      <c r="F193" s="212"/>
      <c r="G193" s="212"/>
      <c r="H193" s="212"/>
      <c r="I193" s="213" t="s">
        <v>4285</v>
      </c>
      <c r="J193" s="215" t="s">
        <v>1736</v>
      </c>
      <c r="K193" s="215"/>
      <c r="L193" s="215"/>
      <c r="M193" s="547" t="s">
        <v>3915</v>
      </c>
      <c r="N193" s="215"/>
      <c r="O193" s="219"/>
      <c r="P193" s="212"/>
      <c r="Q193" s="212"/>
      <c r="R193" s="212"/>
      <c r="S193" s="212"/>
      <c r="T193" s="215"/>
      <c r="U193" s="171" t="s">
        <v>3708</v>
      </c>
    </row>
    <row r="194" spans="1:21">
      <c r="A194" s="774"/>
      <c r="B194" s="223" t="s">
        <v>4286</v>
      </c>
      <c r="C194" s="213" t="s">
        <v>4253</v>
      </c>
      <c r="D194" s="213" t="s">
        <v>4287</v>
      </c>
      <c r="E194" s="212" t="s">
        <v>1732</v>
      </c>
      <c r="F194" s="212"/>
      <c r="G194" s="212"/>
      <c r="H194" s="212"/>
      <c r="I194" s="213" t="s">
        <v>4288</v>
      </c>
      <c r="J194" s="215" t="s">
        <v>1736</v>
      </c>
      <c r="K194" s="215"/>
      <c r="L194" s="215"/>
      <c r="M194" s="547" t="s">
        <v>3915</v>
      </c>
      <c r="N194" s="215"/>
      <c r="O194" s="219"/>
      <c r="P194" s="212"/>
      <c r="Q194" s="212"/>
      <c r="R194" s="212"/>
      <c r="S194" s="212"/>
      <c r="T194" s="215"/>
      <c r="U194" s="171" t="s">
        <v>3708</v>
      </c>
    </row>
    <row r="195" spans="1:21">
      <c r="A195" s="774"/>
      <c r="B195" s="223" t="s">
        <v>4289</v>
      </c>
      <c r="C195" s="213" t="s">
        <v>4253</v>
      </c>
      <c r="D195" s="213" t="s">
        <v>4290</v>
      </c>
      <c r="E195" s="212" t="s">
        <v>1732</v>
      </c>
      <c r="F195" s="212"/>
      <c r="G195" s="212"/>
      <c r="H195" s="212"/>
      <c r="I195" s="213" t="s">
        <v>3870</v>
      </c>
      <c r="J195" s="214" t="s">
        <v>1736</v>
      </c>
      <c r="K195" s="214" t="s">
        <v>1737</v>
      </c>
      <c r="L195" s="214" t="s">
        <v>1737</v>
      </c>
      <c r="M195" s="212"/>
      <c r="N195" s="215" t="s">
        <v>4104</v>
      </c>
      <c r="O195" s="219" t="s">
        <v>4291</v>
      </c>
      <c r="P195" s="212"/>
      <c r="Q195" s="212"/>
      <c r="R195" s="212"/>
      <c r="S195" s="212"/>
      <c r="T195" s="215"/>
      <c r="U195" s="171" t="s">
        <v>3708</v>
      </c>
    </row>
    <row r="196" spans="1:21">
      <c r="A196" s="774"/>
      <c r="B196" s="223" t="s">
        <v>4292</v>
      </c>
      <c r="C196" s="213" t="s">
        <v>4253</v>
      </c>
      <c r="D196" s="213" t="s">
        <v>4293</v>
      </c>
      <c r="E196" s="212" t="s">
        <v>1743</v>
      </c>
      <c r="F196" s="212"/>
      <c r="G196" s="212"/>
      <c r="H196" s="212"/>
      <c r="I196" s="213" t="s">
        <v>3885</v>
      </c>
      <c r="J196" s="214" t="s">
        <v>1736</v>
      </c>
      <c r="K196" s="214" t="s">
        <v>1737</v>
      </c>
      <c r="L196" s="214" t="s">
        <v>1737</v>
      </c>
      <c r="M196" s="212"/>
      <c r="N196" s="215" t="s">
        <v>4104</v>
      </c>
      <c r="O196" s="219" t="s">
        <v>4294</v>
      </c>
      <c r="P196" s="212"/>
      <c r="Q196" s="212"/>
      <c r="R196" s="212"/>
      <c r="S196" s="212"/>
      <c r="T196" s="215"/>
      <c r="U196" s="171" t="s">
        <v>3708</v>
      </c>
    </row>
    <row r="197" spans="1:21">
      <c r="A197" s="774"/>
      <c r="B197" s="223" t="s">
        <v>4295</v>
      </c>
      <c r="C197" s="213" t="s">
        <v>4253</v>
      </c>
      <c r="D197" s="213" t="s">
        <v>4296</v>
      </c>
      <c r="E197" s="212" t="s">
        <v>1743</v>
      </c>
      <c r="F197" s="212"/>
      <c r="G197" s="212"/>
      <c r="H197" s="212"/>
      <c r="I197" s="213" t="s">
        <v>3885</v>
      </c>
      <c r="J197" s="214" t="s">
        <v>1736</v>
      </c>
      <c r="K197" s="214" t="s">
        <v>1737</v>
      </c>
      <c r="L197" s="214" t="s">
        <v>1737</v>
      </c>
      <c r="M197" s="212"/>
      <c r="N197" s="215" t="s">
        <v>4104</v>
      </c>
      <c r="O197" s="219" t="s">
        <v>4297</v>
      </c>
      <c r="P197" s="212"/>
      <c r="Q197" s="212"/>
      <c r="R197" s="212"/>
      <c r="S197" s="212"/>
      <c r="T197" s="215"/>
      <c r="U197" s="171" t="s">
        <v>3708</v>
      </c>
    </row>
    <row r="198" spans="1:21">
      <c r="A198" s="774"/>
      <c r="B198" s="223" t="s">
        <v>4298</v>
      </c>
      <c r="C198" s="213" t="s">
        <v>4253</v>
      </c>
      <c r="D198" s="213" t="s">
        <v>4299</v>
      </c>
      <c r="E198" s="212" t="s">
        <v>1743</v>
      </c>
      <c r="F198" s="212"/>
      <c r="G198" s="212"/>
      <c r="H198" s="212"/>
      <c r="I198" s="213" t="s">
        <v>3885</v>
      </c>
      <c r="J198" s="214" t="s">
        <v>1736</v>
      </c>
      <c r="K198" s="214" t="s">
        <v>1737</v>
      </c>
      <c r="L198" s="214" t="s">
        <v>1737</v>
      </c>
      <c r="M198" s="212"/>
      <c r="N198" s="215" t="s">
        <v>4300</v>
      </c>
      <c r="O198" s="219" t="s">
        <v>4301</v>
      </c>
      <c r="P198" s="212"/>
      <c r="Q198" s="212"/>
      <c r="R198" s="212"/>
      <c r="S198" s="212"/>
      <c r="T198" s="215"/>
      <c r="U198" s="171" t="s">
        <v>3708</v>
      </c>
    </row>
    <row r="199" spans="1:21">
      <c r="A199" s="774"/>
      <c r="B199" s="223" t="s">
        <v>4302</v>
      </c>
      <c r="C199" s="213" t="s">
        <v>4253</v>
      </c>
      <c r="D199" s="213" t="s">
        <v>4303</v>
      </c>
      <c r="E199" s="212" t="s">
        <v>1743</v>
      </c>
      <c r="F199" s="212"/>
      <c r="G199" s="212"/>
      <c r="H199" s="212"/>
      <c r="I199" s="213" t="s">
        <v>3885</v>
      </c>
      <c r="J199" s="214" t="s">
        <v>1736</v>
      </c>
      <c r="K199" s="214" t="s">
        <v>1737</v>
      </c>
      <c r="L199" s="214" t="s">
        <v>1737</v>
      </c>
      <c r="M199" s="212"/>
      <c r="N199" s="215" t="s">
        <v>4021</v>
      </c>
      <c r="O199" s="219" t="s">
        <v>4304</v>
      </c>
      <c r="P199" s="212"/>
      <c r="Q199" s="212"/>
      <c r="R199" s="212"/>
      <c r="S199" s="212"/>
      <c r="T199" s="215"/>
      <c r="U199" s="171" t="s">
        <v>3708</v>
      </c>
    </row>
    <row r="200" spans="1:21">
      <c r="A200" s="774"/>
      <c r="B200" s="223" t="s">
        <v>4305</v>
      </c>
      <c r="C200" s="213" t="s">
        <v>4253</v>
      </c>
      <c r="D200" s="213" t="s">
        <v>4306</v>
      </c>
      <c r="E200" s="212" t="s">
        <v>1743</v>
      </c>
      <c r="F200" s="212"/>
      <c r="G200" s="212"/>
      <c r="H200" s="212"/>
      <c r="I200" s="213" t="s">
        <v>3885</v>
      </c>
      <c r="J200" s="214" t="s">
        <v>1736</v>
      </c>
      <c r="K200" s="214" t="s">
        <v>1737</v>
      </c>
      <c r="L200" s="214" t="s">
        <v>1737</v>
      </c>
      <c r="M200" s="212"/>
      <c r="N200" s="215" t="s">
        <v>4307</v>
      </c>
      <c r="O200" s="219" t="s">
        <v>4308</v>
      </c>
      <c r="P200" s="212"/>
      <c r="Q200" s="212"/>
      <c r="R200" s="212"/>
      <c r="S200" s="212"/>
      <c r="T200" s="215"/>
      <c r="U200" s="171" t="s">
        <v>3708</v>
      </c>
    </row>
    <row r="201" spans="1:21">
      <c r="A201" s="774"/>
      <c r="B201" s="223" t="s">
        <v>4309</v>
      </c>
      <c r="C201" s="213" t="s">
        <v>4253</v>
      </c>
      <c r="D201" s="213" t="s">
        <v>4310</v>
      </c>
      <c r="E201" s="212" t="s">
        <v>1743</v>
      </c>
      <c r="F201" s="212"/>
      <c r="G201" s="212"/>
      <c r="H201" s="212"/>
      <c r="I201" s="213" t="s">
        <v>3885</v>
      </c>
      <c r="J201" s="214" t="s">
        <v>1736</v>
      </c>
      <c r="K201" s="214" t="s">
        <v>1737</v>
      </c>
      <c r="L201" s="214" t="s">
        <v>1737</v>
      </c>
      <c r="M201" s="212"/>
      <c r="N201" s="215" t="s">
        <v>3901</v>
      </c>
      <c r="O201" s="219" t="s">
        <v>4311</v>
      </c>
      <c r="P201" s="212"/>
      <c r="Q201" s="212"/>
      <c r="R201" s="212"/>
      <c r="S201" s="212"/>
      <c r="T201" s="215"/>
      <c r="U201" s="171" t="s">
        <v>3708</v>
      </c>
    </row>
    <row r="202" spans="1:21">
      <c r="A202" s="774"/>
      <c r="B202" s="223" t="s">
        <v>4312</v>
      </c>
      <c r="C202" s="213" t="s">
        <v>4253</v>
      </c>
      <c r="D202" s="213" t="s">
        <v>4313</v>
      </c>
      <c r="E202" s="212" t="s">
        <v>1732</v>
      </c>
      <c r="F202" s="212"/>
      <c r="G202" s="212"/>
      <c r="H202" s="212"/>
      <c r="I202" s="212"/>
      <c r="J202" s="215" t="s">
        <v>1736</v>
      </c>
      <c r="K202" s="215"/>
      <c r="L202" s="215"/>
      <c r="M202" s="213" t="s">
        <v>4314</v>
      </c>
      <c r="N202" s="215"/>
      <c r="O202" s="219"/>
      <c r="P202" s="212"/>
      <c r="Q202" s="212"/>
      <c r="R202" s="212"/>
      <c r="S202" s="212"/>
      <c r="T202" s="215"/>
      <c r="U202" s="171" t="s">
        <v>3708</v>
      </c>
    </row>
    <row r="203" spans="1:21">
      <c r="A203" s="774"/>
      <c r="B203" s="223" t="s">
        <v>4315</v>
      </c>
      <c r="C203" s="213" t="s">
        <v>4253</v>
      </c>
      <c r="D203" s="213" t="s">
        <v>4316</v>
      </c>
      <c r="E203" s="212" t="s">
        <v>1732</v>
      </c>
      <c r="F203" s="212"/>
      <c r="G203" s="212"/>
      <c r="H203" s="212"/>
      <c r="I203" s="212"/>
      <c r="J203" s="215" t="s">
        <v>1736</v>
      </c>
      <c r="K203" s="215"/>
      <c r="L203" s="215"/>
      <c r="M203" s="547" t="s">
        <v>3915</v>
      </c>
      <c r="N203" s="215"/>
      <c r="O203" s="219"/>
      <c r="P203" s="212"/>
      <c r="Q203" s="212"/>
      <c r="R203" s="212"/>
      <c r="S203" s="212"/>
      <c r="T203" s="215"/>
      <c r="U203" s="171" t="s">
        <v>3708</v>
      </c>
    </row>
    <row r="204" spans="1:21">
      <c r="A204" s="774"/>
      <c r="B204" s="223" t="s">
        <v>4317</v>
      </c>
      <c r="C204" s="213" t="s">
        <v>4253</v>
      </c>
      <c r="D204" s="213" t="s">
        <v>4318</v>
      </c>
      <c r="E204" s="212" t="s">
        <v>1732</v>
      </c>
      <c r="F204" s="212"/>
      <c r="G204" s="212"/>
      <c r="H204" s="212"/>
      <c r="I204" s="212"/>
      <c r="J204" s="215" t="s">
        <v>1736</v>
      </c>
      <c r="K204" s="215"/>
      <c r="L204" s="215"/>
      <c r="M204" s="547" t="s">
        <v>3915</v>
      </c>
      <c r="N204" s="215"/>
      <c r="O204" s="219"/>
      <c r="P204" s="212"/>
      <c r="Q204" s="212"/>
      <c r="R204" s="212"/>
      <c r="S204" s="212"/>
      <c r="T204" s="215"/>
      <c r="U204" s="171" t="s">
        <v>3708</v>
      </c>
    </row>
    <row r="205" spans="1:21">
      <c r="A205" s="774"/>
      <c r="B205" s="223" t="s">
        <v>4319</v>
      </c>
      <c r="C205" s="213" t="s">
        <v>4253</v>
      </c>
      <c r="D205" s="213" t="s">
        <v>4320</v>
      </c>
      <c r="E205" s="212" t="s">
        <v>1732</v>
      </c>
      <c r="F205" s="212"/>
      <c r="G205" s="212"/>
      <c r="H205" s="212"/>
      <c r="I205" s="212"/>
      <c r="J205" s="215" t="s">
        <v>1736</v>
      </c>
      <c r="K205" s="215"/>
      <c r="L205" s="215"/>
      <c r="M205" s="547" t="s">
        <v>3915</v>
      </c>
      <c r="N205" s="215"/>
      <c r="O205" s="219"/>
      <c r="P205" s="212"/>
      <c r="Q205" s="212"/>
      <c r="R205" s="212"/>
      <c r="S205" s="212"/>
      <c r="T205" s="215"/>
      <c r="U205" s="171" t="s">
        <v>3708</v>
      </c>
    </row>
    <row r="206" spans="1:21">
      <c r="A206" s="774"/>
      <c r="B206" s="223" t="s">
        <v>4321</v>
      </c>
      <c r="C206" s="213" t="s">
        <v>4253</v>
      </c>
      <c r="D206" s="213" t="s">
        <v>4322</v>
      </c>
      <c r="E206" s="212" t="s">
        <v>1743</v>
      </c>
      <c r="F206" s="212"/>
      <c r="G206" s="212"/>
      <c r="H206" s="212"/>
      <c r="I206" s="212"/>
      <c r="J206" s="214" t="s">
        <v>1736</v>
      </c>
      <c r="K206" s="214" t="s">
        <v>1737</v>
      </c>
      <c r="L206" s="214" t="s">
        <v>1737</v>
      </c>
      <c r="M206" s="212"/>
      <c r="N206" s="215" t="s">
        <v>3850</v>
      </c>
      <c r="O206" s="219" t="s">
        <v>4323</v>
      </c>
      <c r="P206" s="212"/>
      <c r="Q206" s="212"/>
      <c r="R206" s="212"/>
      <c r="S206" s="212"/>
      <c r="T206" s="215"/>
      <c r="U206" s="171" t="s">
        <v>3708</v>
      </c>
    </row>
    <row r="207" spans="1:21">
      <c r="A207" s="774"/>
      <c r="B207" s="223" t="s">
        <v>4324</v>
      </c>
      <c r="C207" s="213" t="s">
        <v>4253</v>
      </c>
      <c r="D207" s="213" t="s">
        <v>4325</v>
      </c>
      <c r="E207" s="212" t="s">
        <v>1743</v>
      </c>
      <c r="F207" s="212"/>
      <c r="G207" s="212"/>
      <c r="H207" s="212"/>
      <c r="I207" s="212"/>
      <c r="J207" s="214" t="s">
        <v>1736</v>
      </c>
      <c r="K207" s="214" t="s">
        <v>1737</v>
      </c>
      <c r="L207" s="214" t="s">
        <v>1737</v>
      </c>
      <c r="M207" s="212"/>
      <c r="N207" s="215" t="s">
        <v>3850</v>
      </c>
      <c r="O207" s="219" t="s">
        <v>4326</v>
      </c>
      <c r="P207" s="212"/>
      <c r="Q207" s="212"/>
      <c r="R207" s="212"/>
      <c r="S207" s="212"/>
      <c r="T207" s="215"/>
      <c r="U207" s="171" t="s">
        <v>3708</v>
      </c>
    </row>
    <row r="208" spans="1:21">
      <c r="A208" s="774"/>
      <c r="B208" s="223" t="s">
        <v>4327</v>
      </c>
      <c r="C208" s="213" t="s">
        <v>4253</v>
      </c>
      <c r="D208" s="213" t="s">
        <v>4328</v>
      </c>
      <c r="E208" s="212" t="s">
        <v>1743</v>
      </c>
      <c r="F208" s="212"/>
      <c r="G208" s="212"/>
      <c r="H208" s="212"/>
      <c r="I208" s="212"/>
      <c r="J208" s="214" t="s">
        <v>1736</v>
      </c>
      <c r="K208" s="214" t="s">
        <v>1737</v>
      </c>
      <c r="L208" s="214" t="s">
        <v>1737</v>
      </c>
      <c r="M208" s="212"/>
      <c r="N208" s="215" t="s">
        <v>3871</v>
      </c>
      <c r="O208" s="219" t="s">
        <v>4329</v>
      </c>
      <c r="P208" s="212"/>
      <c r="Q208" s="212"/>
      <c r="R208" s="212"/>
      <c r="S208" s="212"/>
      <c r="T208" s="215"/>
      <c r="U208" s="171" t="s">
        <v>3708</v>
      </c>
    </row>
    <row r="209" spans="1:21">
      <c r="A209" s="774"/>
      <c r="B209" s="223" t="s">
        <v>4330</v>
      </c>
      <c r="C209" s="213" t="s">
        <v>4253</v>
      </c>
      <c r="D209" s="213" t="s">
        <v>4331</v>
      </c>
      <c r="E209" s="212" t="s">
        <v>1743</v>
      </c>
      <c r="F209" s="212"/>
      <c r="G209" s="212"/>
      <c r="H209" s="212"/>
      <c r="I209" s="212"/>
      <c r="J209" s="214" t="s">
        <v>1736</v>
      </c>
      <c r="K209" s="214" t="s">
        <v>1737</v>
      </c>
      <c r="L209" s="214" t="s">
        <v>1737</v>
      </c>
      <c r="M209" s="212"/>
      <c r="N209" s="215" t="s">
        <v>4332</v>
      </c>
      <c r="O209" s="219" t="s">
        <v>4333</v>
      </c>
      <c r="P209" s="212"/>
      <c r="Q209" s="212"/>
      <c r="R209" s="212"/>
      <c r="S209" s="212"/>
      <c r="T209" s="215"/>
      <c r="U209" s="171" t="s">
        <v>3708</v>
      </c>
    </row>
    <row r="210" spans="1:21">
      <c r="A210" s="774"/>
      <c r="B210" s="223" t="s">
        <v>4334</v>
      </c>
      <c r="C210" s="213" t="s">
        <v>4253</v>
      </c>
      <c r="D210" s="213" t="s">
        <v>4335</v>
      </c>
      <c r="E210" s="212" t="s">
        <v>1743</v>
      </c>
      <c r="F210" s="212"/>
      <c r="G210" s="212"/>
      <c r="H210" s="212"/>
      <c r="I210" s="212"/>
      <c r="J210" s="214" t="s">
        <v>1736</v>
      </c>
      <c r="K210" s="214" t="s">
        <v>1737</v>
      </c>
      <c r="L210" s="214" t="s">
        <v>1737</v>
      </c>
      <c r="M210" s="212"/>
      <c r="N210" s="215" t="s">
        <v>4307</v>
      </c>
      <c r="O210" s="219" t="s">
        <v>4336</v>
      </c>
      <c r="P210" s="212"/>
      <c r="Q210" s="212"/>
      <c r="R210" s="212"/>
      <c r="S210" s="212"/>
      <c r="T210" s="215"/>
      <c r="U210" s="171" t="s">
        <v>3708</v>
      </c>
    </row>
    <row r="211" spans="1:21">
      <c r="A211" s="774"/>
      <c r="B211" s="223" t="s">
        <v>4337</v>
      </c>
      <c r="C211" s="213" t="s">
        <v>4253</v>
      </c>
      <c r="D211" s="213" t="s">
        <v>4338</v>
      </c>
      <c r="E211" s="212" t="s">
        <v>1732</v>
      </c>
      <c r="F211" s="212"/>
      <c r="G211" s="212"/>
      <c r="H211" s="212"/>
      <c r="I211" s="212"/>
      <c r="J211" s="215" t="s">
        <v>1736</v>
      </c>
      <c r="K211" s="215"/>
      <c r="L211" s="215"/>
      <c r="M211" s="213" t="s">
        <v>4314</v>
      </c>
      <c r="N211" s="215"/>
      <c r="O211" s="219"/>
      <c r="P211" s="212"/>
      <c r="Q211" s="212"/>
      <c r="R211" s="212"/>
      <c r="S211" s="212"/>
      <c r="T211" s="215"/>
      <c r="U211" s="171" t="s">
        <v>3708</v>
      </c>
    </row>
    <row r="212" spans="1:21">
      <c r="A212" s="774"/>
      <c r="B212" s="223" t="s">
        <v>4339</v>
      </c>
      <c r="C212" s="213" t="s">
        <v>4253</v>
      </c>
      <c r="D212" s="213" t="s">
        <v>4340</v>
      </c>
      <c r="E212" s="212" t="s">
        <v>1732</v>
      </c>
      <c r="F212" s="212"/>
      <c r="G212" s="212"/>
      <c r="H212" s="212"/>
      <c r="I212" s="212"/>
      <c r="J212" s="215" t="s">
        <v>1736</v>
      </c>
      <c r="K212" s="215"/>
      <c r="L212" s="215"/>
      <c r="M212" s="547" t="s">
        <v>3915</v>
      </c>
      <c r="N212" s="215"/>
      <c r="O212" s="219"/>
      <c r="P212" s="212"/>
      <c r="Q212" s="212"/>
      <c r="R212" s="212"/>
      <c r="S212" s="212"/>
      <c r="T212" s="215"/>
      <c r="U212" s="171" t="s">
        <v>3708</v>
      </c>
    </row>
    <row r="213" spans="1:21">
      <c r="A213" s="774"/>
      <c r="B213" s="223" t="s">
        <v>4341</v>
      </c>
      <c r="C213" s="213" t="s">
        <v>4253</v>
      </c>
      <c r="D213" s="213" t="s">
        <v>4342</v>
      </c>
      <c r="E213" s="212" t="s">
        <v>1732</v>
      </c>
      <c r="F213" s="212"/>
      <c r="G213" s="212"/>
      <c r="H213" s="212"/>
      <c r="I213" s="212"/>
      <c r="J213" s="215" t="s">
        <v>1736</v>
      </c>
      <c r="K213" s="215"/>
      <c r="L213" s="215"/>
      <c r="M213" s="547" t="s">
        <v>3915</v>
      </c>
      <c r="N213" s="215"/>
      <c r="O213" s="219"/>
      <c r="P213" s="212"/>
      <c r="Q213" s="212"/>
      <c r="R213" s="212"/>
      <c r="S213" s="212"/>
      <c r="T213" s="215"/>
      <c r="U213" s="171" t="s">
        <v>3708</v>
      </c>
    </row>
    <row r="214" spans="1:21">
      <c r="A214" s="774"/>
      <c r="B214" s="223" t="s">
        <v>4343</v>
      </c>
      <c r="C214" s="213" t="s">
        <v>4253</v>
      </c>
      <c r="D214" s="213" t="s">
        <v>4344</v>
      </c>
      <c r="E214" s="212" t="s">
        <v>1732</v>
      </c>
      <c r="F214" s="212"/>
      <c r="G214" s="212"/>
      <c r="H214" s="212"/>
      <c r="I214" s="212"/>
      <c r="J214" s="215" t="s">
        <v>1736</v>
      </c>
      <c r="K214" s="215"/>
      <c r="L214" s="215"/>
      <c r="M214" s="547" t="s">
        <v>3915</v>
      </c>
      <c r="N214" s="215"/>
      <c r="O214" s="219"/>
      <c r="P214" s="212"/>
      <c r="Q214" s="212"/>
      <c r="R214" s="212"/>
      <c r="S214" s="212"/>
      <c r="T214" s="215"/>
      <c r="U214" s="171" t="s">
        <v>3708</v>
      </c>
    </row>
    <row r="215" spans="1:21">
      <c r="A215" s="774"/>
      <c r="B215" s="223" t="s">
        <v>4345</v>
      </c>
      <c r="C215" s="213" t="s">
        <v>4253</v>
      </c>
      <c r="D215" s="213" t="s">
        <v>4346</v>
      </c>
      <c r="E215" s="212" t="s">
        <v>1743</v>
      </c>
      <c r="F215" s="212"/>
      <c r="G215" s="212"/>
      <c r="H215" s="212"/>
      <c r="I215" s="212"/>
      <c r="J215" s="214" t="s">
        <v>1736</v>
      </c>
      <c r="K215" s="214" t="s">
        <v>1737</v>
      </c>
      <c r="L215" s="214" t="s">
        <v>1737</v>
      </c>
      <c r="M215" s="212"/>
      <c r="N215" s="215" t="s">
        <v>4065</v>
      </c>
      <c r="O215" s="219" t="s">
        <v>4347</v>
      </c>
      <c r="P215" s="212"/>
      <c r="Q215" s="212"/>
      <c r="R215" s="212"/>
      <c r="S215" s="212"/>
      <c r="T215" s="215"/>
      <c r="U215" s="171" t="s">
        <v>3708</v>
      </c>
    </row>
    <row r="216" spans="1:21">
      <c r="A216" s="774"/>
      <c r="B216" s="223" t="s">
        <v>4348</v>
      </c>
      <c r="C216" s="213" t="s">
        <v>4253</v>
      </c>
      <c r="D216" s="213" t="s">
        <v>4349</v>
      </c>
      <c r="E216" s="212" t="s">
        <v>1743</v>
      </c>
      <c r="F216" s="212"/>
      <c r="G216" s="212"/>
      <c r="H216" s="212"/>
      <c r="I216" s="212"/>
      <c r="J216" s="214" t="s">
        <v>1736</v>
      </c>
      <c r="K216" s="214" t="s">
        <v>1737</v>
      </c>
      <c r="L216" s="214" t="s">
        <v>1737</v>
      </c>
      <c r="M216" s="212"/>
      <c r="N216" s="215" t="s">
        <v>4065</v>
      </c>
      <c r="O216" s="219" t="s">
        <v>4350</v>
      </c>
      <c r="P216" s="212"/>
      <c r="Q216" s="212"/>
      <c r="R216" s="212"/>
      <c r="S216" s="212"/>
      <c r="T216" s="215"/>
      <c r="U216" s="171" t="s">
        <v>3708</v>
      </c>
    </row>
    <row r="217" spans="1:21">
      <c r="A217" s="774"/>
      <c r="B217" s="223" t="s">
        <v>4351</v>
      </c>
      <c r="C217" s="213" t="s">
        <v>4253</v>
      </c>
      <c r="D217" s="213" t="s">
        <v>4352</v>
      </c>
      <c r="E217" s="212" t="s">
        <v>1743</v>
      </c>
      <c r="F217" s="212"/>
      <c r="G217" s="212"/>
      <c r="H217" s="212"/>
      <c r="I217" s="212"/>
      <c r="J217" s="214" t="s">
        <v>1736</v>
      </c>
      <c r="K217" s="214" t="s">
        <v>1737</v>
      </c>
      <c r="L217" s="214" t="s">
        <v>1737</v>
      </c>
      <c r="M217" s="212"/>
      <c r="N217" s="215" t="s">
        <v>4300</v>
      </c>
      <c r="O217" s="219" t="s">
        <v>4353</v>
      </c>
      <c r="P217" s="212"/>
      <c r="Q217" s="212"/>
      <c r="R217" s="212"/>
      <c r="S217" s="212"/>
      <c r="T217" s="215"/>
      <c r="U217" s="171" t="s">
        <v>3708</v>
      </c>
    </row>
    <row r="218" spans="1:21">
      <c r="A218" s="774"/>
      <c r="B218" s="223" t="s">
        <v>4354</v>
      </c>
      <c r="C218" s="213" t="s">
        <v>4253</v>
      </c>
      <c r="D218" s="213" t="s">
        <v>4355</v>
      </c>
      <c r="E218" s="212" t="s">
        <v>1743</v>
      </c>
      <c r="F218" s="212"/>
      <c r="G218" s="212"/>
      <c r="H218" s="212"/>
      <c r="I218" s="212"/>
      <c r="J218" s="214" t="s">
        <v>1736</v>
      </c>
      <c r="K218" s="214" t="s">
        <v>1737</v>
      </c>
      <c r="L218" s="214" t="s">
        <v>1737</v>
      </c>
      <c r="M218" s="212"/>
      <c r="N218" s="215" t="s">
        <v>4021</v>
      </c>
      <c r="O218" s="219" t="s">
        <v>4356</v>
      </c>
      <c r="P218" s="212"/>
      <c r="Q218" s="212"/>
      <c r="R218" s="212"/>
      <c r="S218" s="212"/>
      <c r="T218" s="215"/>
      <c r="U218" s="171" t="s">
        <v>3708</v>
      </c>
    </row>
    <row r="219" spans="1:21">
      <c r="A219" s="774"/>
      <c r="B219" s="223" t="s">
        <v>4357</v>
      </c>
      <c r="C219" s="213" t="s">
        <v>4253</v>
      </c>
      <c r="D219" s="213" t="s">
        <v>4358</v>
      </c>
      <c r="E219" s="212" t="s">
        <v>1743</v>
      </c>
      <c r="F219" s="212"/>
      <c r="G219" s="212"/>
      <c r="H219" s="212"/>
      <c r="I219" s="212"/>
      <c r="J219" s="214" t="s">
        <v>1736</v>
      </c>
      <c r="K219" s="214" t="s">
        <v>1737</v>
      </c>
      <c r="L219" s="214" t="s">
        <v>1737</v>
      </c>
      <c r="M219" s="212"/>
      <c r="N219" s="215" t="s">
        <v>4065</v>
      </c>
      <c r="O219" s="219" t="s">
        <v>4359</v>
      </c>
      <c r="P219" s="212"/>
      <c r="Q219" s="212"/>
      <c r="R219" s="212"/>
      <c r="S219" s="212"/>
      <c r="T219" s="215"/>
      <c r="U219" s="171" t="s">
        <v>3708</v>
      </c>
    </row>
    <row r="220" spans="1:21">
      <c r="A220" s="774"/>
      <c r="B220" s="223" t="s">
        <v>4360</v>
      </c>
      <c r="C220" s="213" t="s">
        <v>4253</v>
      </c>
      <c r="D220" s="213" t="s">
        <v>4361</v>
      </c>
      <c r="E220" s="212" t="s">
        <v>1732</v>
      </c>
      <c r="F220" s="212"/>
      <c r="G220" s="212"/>
      <c r="H220" s="212"/>
      <c r="I220" s="212"/>
      <c r="J220" s="215" t="s">
        <v>1736</v>
      </c>
      <c r="K220" s="215"/>
      <c r="L220" s="215"/>
      <c r="M220" s="213" t="s">
        <v>4314</v>
      </c>
      <c r="N220" s="215"/>
      <c r="O220" s="219"/>
      <c r="P220" s="212"/>
      <c r="Q220" s="212"/>
      <c r="R220" s="212"/>
      <c r="S220" s="212"/>
      <c r="T220" s="215"/>
      <c r="U220" s="171" t="s">
        <v>3708</v>
      </c>
    </row>
    <row r="221" spans="1:21">
      <c r="A221" s="774"/>
      <c r="B221" s="223" t="s">
        <v>4362</v>
      </c>
      <c r="C221" s="213" t="s">
        <v>4253</v>
      </c>
      <c r="D221" s="213" t="s">
        <v>4363</v>
      </c>
      <c r="E221" s="212" t="s">
        <v>1732</v>
      </c>
      <c r="F221" s="212"/>
      <c r="G221" s="212"/>
      <c r="H221" s="212"/>
      <c r="I221" s="212"/>
      <c r="J221" s="215" t="s">
        <v>1736</v>
      </c>
      <c r="K221" s="215"/>
      <c r="L221" s="215"/>
      <c r="M221" s="547" t="s">
        <v>3915</v>
      </c>
      <c r="N221" s="215"/>
      <c r="O221" s="219"/>
      <c r="P221" s="212"/>
      <c r="Q221" s="212"/>
      <c r="R221" s="212"/>
      <c r="S221" s="212"/>
      <c r="T221" s="215"/>
      <c r="U221" s="171" t="s">
        <v>3708</v>
      </c>
    </row>
    <row r="222" spans="1:21">
      <c r="A222" s="774"/>
      <c r="B222" s="223" t="s">
        <v>4364</v>
      </c>
      <c r="C222" s="213" t="s">
        <v>4253</v>
      </c>
      <c r="D222" s="213" t="s">
        <v>4365</v>
      </c>
      <c r="E222" s="212" t="s">
        <v>1732</v>
      </c>
      <c r="F222" s="212"/>
      <c r="G222" s="212"/>
      <c r="H222" s="212"/>
      <c r="I222" s="212"/>
      <c r="J222" s="215" t="s">
        <v>1736</v>
      </c>
      <c r="K222" s="215"/>
      <c r="L222" s="215"/>
      <c r="M222" s="547" t="s">
        <v>3915</v>
      </c>
      <c r="N222" s="215"/>
      <c r="O222" s="219"/>
      <c r="P222" s="212"/>
      <c r="Q222" s="212"/>
      <c r="R222" s="212"/>
      <c r="S222" s="212"/>
      <c r="T222" s="215"/>
      <c r="U222" s="171" t="s">
        <v>3708</v>
      </c>
    </row>
    <row r="223" spans="1:21">
      <c r="A223" s="774"/>
      <c r="B223" s="223" t="s">
        <v>4366</v>
      </c>
      <c r="C223" s="213" t="s">
        <v>4253</v>
      </c>
      <c r="D223" s="213" t="s">
        <v>4367</v>
      </c>
      <c r="E223" s="212" t="s">
        <v>1732</v>
      </c>
      <c r="F223" s="212"/>
      <c r="G223" s="212"/>
      <c r="H223" s="212"/>
      <c r="I223" s="212"/>
      <c r="J223" s="215" t="s">
        <v>1736</v>
      </c>
      <c r="K223" s="215"/>
      <c r="L223" s="215"/>
      <c r="M223" s="547" t="s">
        <v>3915</v>
      </c>
      <c r="N223" s="215"/>
      <c r="O223" s="219"/>
      <c r="P223" s="212"/>
      <c r="Q223" s="212"/>
      <c r="R223" s="212"/>
      <c r="S223" s="212"/>
      <c r="T223" s="215"/>
      <c r="U223" s="171" t="s">
        <v>3708</v>
      </c>
    </row>
    <row r="224" spans="1:21">
      <c r="A224" s="774"/>
      <c r="B224" s="223" t="s">
        <v>4368</v>
      </c>
      <c r="C224" s="213" t="s">
        <v>4253</v>
      </c>
      <c r="D224" s="213" t="s">
        <v>4369</v>
      </c>
      <c r="E224" s="212" t="s">
        <v>1743</v>
      </c>
      <c r="F224" s="212"/>
      <c r="G224" s="212"/>
      <c r="H224" s="212"/>
      <c r="I224" s="212"/>
      <c r="J224" s="214" t="s">
        <v>1736</v>
      </c>
      <c r="K224" s="214" t="s">
        <v>1737</v>
      </c>
      <c r="L224" s="214" t="s">
        <v>1737</v>
      </c>
      <c r="M224" s="212"/>
      <c r="N224" s="215" t="s">
        <v>3850</v>
      </c>
      <c r="O224" s="219" t="s">
        <v>4370</v>
      </c>
      <c r="P224" s="212"/>
      <c r="Q224" s="212"/>
      <c r="R224" s="212"/>
      <c r="S224" s="212"/>
      <c r="T224" s="215"/>
      <c r="U224" s="171" t="s">
        <v>3708</v>
      </c>
    </row>
    <row r="225" spans="1:21">
      <c r="A225" s="774"/>
      <c r="B225" s="223" t="s">
        <v>4371</v>
      </c>
      <c r="C225" s="213" t="s">
        <v>4253</v>
      </c>
      <c r="D225" s="213" t="s">
        <v>4372</v>
      </c>
      <c r="E225" s="212" t="s">
        <v>1743</v>
      </c>
      <c r="F225" s="212"/>
      <c r="G225" s="212"/>
      <c r="H225" s="212"/>
      <c r="I225" s="212"/>
      <c r="J225" s="214" t="s">
        <v>1736</v>
      </c>
      <c r="K225" s="214" t="s">
        <v>1737</v>
      </c>
      <c r="L225" s="214" t="s">
        <v>1737</v>
      </c>
      <c r="M225" s="212"/>
      <c r="N225" s="215" t="s">
        <v>3850</v>
      </c>
      <c r="O225" s="219" t="s">
        <v>4373</v>
      </c>
      <c r="P225" s="212"/>
      <c r="Q225" s="212"/>
      <c r="R225" s="212"/>
      <c r="S225" s="212"/>
      <c r="T225" s="215"/>
      <c r="U225" s="171" t="s">
        <v>3708</v>
      </c>
    </row>
    <row r="226" spans="1:21">
      <c r="A226" s="774"/>
      <c r="B226" s="223" t="s">
        <v>4374</v>
      </c>
      <c r="C226" s="213" t="s">
        <v>4253</v>
      </c>
      <c r="D226" s="213" t="s">
        <v>4375</v>
      </c>
      <c r="E226" s="212" t="s">
        <v>1743</v>
      </c>
      <c r="F226" s="212"/>
      <c r="G226" s="212"/>
      <c r="H226" s="212"/>
      <c r="I226" s="212"/>
      <c r="J226" s="214" t="s">
        <v>1736</v>
      </c>
      <c r="K226" s="214" t="s">
        <v>1737</v>
      </c>
      <c r="L226" s="214" t="s">
        <v>1737</v>
      </c>
      <c r="M226" s="212"/>
      <c r="N226" s="215" t="s">
        <v>3871</v>
      </c>
      <c r="O226" s="219" t="s">
        <v>4376</v>
      </c>
      <c r="P226" s="212"/>
      <c r="Q226" s="212"/>
      <c r="R226" s="212"/>
      <c r="S226" s="212"/>
      <c r="T226" s="215"/>
      <c r="U226" s="171" t="s">
        <v>3708</v>
      </c>
    </row>
    <row r="227" spans="1:21">
      <c r="A227" s="774"/>
      <c r="B227" s="223" t="s">
        <v>4377</v>
      </c>
      <c r="C227" s="213" t="s">
        <v>4253</v>
      </c>
      <c r="D227" s="213" t="s">
        <v>4378</v>
      </c>
      <c r="E227" s="212" t="s">
        <v>1743</v>
      </c>
      <c r="F227" s="212"/>
      <c r="G227" s="212"/>
      <c r="H227" s="212"/>
      <c r="I227" s="212"/>
      <c r="J227" s="214" t="s">
        <v>1736</v>
      </c>
      <c r="K227" s="214" t="s">
        <v>1737</v>
      </c>
      <c r="L227" s="214" t="s">
        <v>1737</v>
      </c>
      <c r="M227" s="212"/>
      <c r="N227" s="215" t="s">
        <v>4332</v>
      </c>
      <c r="O227" s="219" t="s">
        <v>4379</v>
      </c>
      <c r="P227" s="212"/>
      <c r="Q227" s="212"/>
      <c r="R227" s="212"/>
      <c r="S227" s="212"/>
      <c r="T227" s="215"/>
      <c r="U227" s="171" t="s">
        <v>3708</v>
      </c>
    </row>
    <row r="228" spans="1:21">
      <c r="A228" s="773"/>
      <c r="B228" s="223" t="s">
        <v>4380</v>
      </c>
      <c r="C228" s="213" t="s">
        <v>4253</v>
      </c>
      <c r="D228" s="213" t="s">
        <v>4381</v>
      </c>
      <c r="E228" s="212" t="s">
        <v>1743</v>
      </c>
      <c r="F228" s="212"/>
      <c r="G228" s="212"/>
      <c r="H228" s="212"/>
      <c r="I228" s="212"/>
      <c r="J228" s="214" t="s">
        <v>1736</v>
      </c>
      <c r="K228" s="214" t="s">
        <v>1737</v>
      </c>
      <c r="L228" s="214" t="s">
        <v>1737</v>
      </c>
      <c r="M228" s="212"/>
      <c r="N228" s="215" t="s">
        <v>4065</v>
      </c>
      <c r="O228" s="219" t="s">
        <v>4382</v>
      </c>
      <c r="P228" s="212"/>
      <c r="Q228" s="212"/>
      <c r="R228" s="212"/>
      <c r="S228" s="212"/>
      <c r="T228" s="215"/>
      <c r="U228" s="171" t="s">
        <v>3708</v>
      </c>
    </row>
    <row r="229" spans="1:21">
      <c r="A229" s="696" t="s">
        <v>4383</v>
      </c>
      <c r="B229" s="223" t="s">
        <v>4384</v>
      </c>
      <c r="C229" s="213" t="s">
        <v>3836</v>
      </c>
      <c r="D229" s="213" t="s">
        <v>4385</v>
      </c>
      <c r="E229" s="212" t="s">
        <v>1732</v>
      </c>
      <c r="F229" s="212"/>
      <c r="G229" s="212"/>
      <c r="H229" s="212"/>
      <c r="I229" s="213" t="s">
        <v>4386</v>
      </c>
      <c r="J229" s="214" t="s">
        <v>1736</v>
      </c>
      <c r="K229" s="214" t="s">
        <v>1737</v>
      </c>
      <c r="L229" s="214" t="s">
        <v>1737</v>
      </c>
      <c r="M229" s="212"/>
      <c r="N229" s="215" t="s">
        <v>4387</v>
      </c>
      <c r="O229" s="219" t="s">
        <v>4388</v>
      </c>
      <c r="P229" s="212"/>
      <c r="Q229" s="212"/>
      <c r="R229" s="212"/>
      <c r="S229" s="212"/>
      <c r="T229" s="215"/>
      <c r="U229" s="171" t="s">
        <v>3708</v>
      </c>
    </row>
    <row r="230" spans="1:21">
      <c r="A230" s="774"/>
      <c r="B230" s="223" t="s">
        <v>4389</v>
      </c>
      <c r="C230" s="213" t="s">
        <v>3836</v>
      </c>
      <c r="D230" s="213" t="s">
        <v>4390</v>
      </c>
      <c r="E230" s="212" t="s">
        <v>1732</v>
      </c>
      <c r="F230" s="212"/>
      <c r="G230" s="212"/>
      <c r="H230" s="212"/>
      <c r="I230" s="213" t="s">
        <v>4391</v>
      </c>
      <c r="J230" s="214" t="s">
        <v>1736</v>
      </c>
      <c r="K230" s="214" t="s">
        <v>1737</v>
      </c>
      <c r="L230" s="214" t="s">
        <v>1737</v>
      </c>
      <c r="M230" s="212"/>
      <c r="N230" s="215" t="s">
        <v>4387</v>
      </c>
      <c r="O230" s="219" t="s">
        <v>4392</v>
      </c>
      <c r="P230" s="212"/>
      <c r="Q230" s="212"/>
      <c r="R230" s="212"/>
      <c r="S230" s="212"/>
      <c r="T230" s="215"/>
      <c r="U230" s="171" t="s">
        <v>3708</v>
      </c>
    </row>
    <row r="231" spans="1:21">
      <c r="A231" s="774"/>
      <c r="B231" s="223" t="s">
        <v>4393</v>
      </c>
      <c r="C231" s="213" t="s">
        <v>3836</v>
      </c>
      <c r="D231" s="213" t="s">
        <v>4394</v>
      </c>
      <c r="E231" s="212" t="s">
        <v>1732</v>
      </c>
      <c r="F231" s="212"/>
      <c r="G231" s="212"/>
      <c r="H231" s="212"/>
      <c r="I231" s="213" t="s">
        <v>4395</v>
      </c>
      <c r="J231" s="214" t="s">
        <v>1736</v>
      </c>
      <c r="K231" s="214" t="s">
        <v>1737</v>
      </c>
      <c r="L231" s="214" t="s">
        <v>1737</v>
      </c>
      <c r="M231" s="212"/>
      <c r="N231" s="215" t="s">
        <v>4104</v>
      </c>
      <c r="O231" s="219" t="s">
        <v>4396</v>
      </c>
      <c r="P231" s="212"/>
      <c r="Q231" s="212"/>
      <c r="R231" s="212"/>
      <c r="S231" s="212"/>
      <c r="T231" s="215"/>
      <c r="U231" s="171" t="s">
        <v>3708</v>
      </c>
    </row>
    <row r="232" spans="1:21">
      <c r="A232" s="774"/>
      <c r="B232" s="223" t="s">
        <v>4397</v>
      </c>
      <c r="C232" s="213" t="s">
        <v>3836</v>
      </c>
      <c r="D232" s="213" t="s">
        <v>4398</v>
      </c>
      <c r="E232" s="212" t="s">
        <v>1732</v>
      </c>
      <c r="F232" s="212"/>
      <c r="G232" s="212"/>
      <c r="H232" s="212"/>
      <c r="I232" s="213" t="s">
        <v>4399</v>
      </c>
      <c r="J232" s="214" t="s">
        <v>1736</v>
      </c>
      <c r="K232" s="214" t="s">
        <v>1737</v>
      </c>
      <c r="L232" s="214" t="s">
        <v>1737</v>
      </c>
      <c r="M232" s="212"/>
      <c r="N232" s="215" t="s">
        <v>4300</v>
      </c>
      <c r="O232" s="219" t="s">
        <v>4400</v>
      </c>
      <c r="P232" s="212"/>
      <c r="Q232" s="212"/>
      <c r="R232" s="212"/>
      <c r="S232" s="212"/>
      <c r="T232" s="215"/>
      <c r="U232" s="171" t="s">
        <v>3708</v>
      </c>
    </row>
    <row r="233" spans="1:21">
      <c r="A233" s="774"/>
      <c r="B233" s="223" t="s">
        <v>4401</v>
      </c>
      <c r="C233" s="213" t="s">
        <v>3836</v>
      </c>
      <c r="D233" s="213" t="s">
        <v>4402</v>
      </c>
      <c r="E233" s="212" t="s">
        <v>1732</v>
      </c>
      <c r="F233" s="212"/>
      <c r="G233" s="212"/>
      <c r="H233" s="212"/>
      <c r="I233" s="213"/>
      <c r="J233" s="214" t="s">
        <v>1736</v>
      </c>
      <c r="K233" s="214" t="s">
        <v>1737</v>
      </c>
      <c r="L233" s="214" t="s">
        <v>1737</v>
      </c>
      <c r="M233" s="212"/>
      <c r="N233" s="215" t="s">
        <v>4403</v>
      </c>
      <c r="O233" s="219" t="s">
        <v>4404</v>
      </c>
      <c r="P233" s="212"/>
      <c r="Q233" s="212"/>
      <c r="R233" s="212"/>
      <c r="S233" s="212"/>
      <c r="T233" s="215"/>
      <c r="U233" s="171" t="s">
        <v>3708</v>
      </c>
    </row>
    <row r="234" spans="1:21">
      <c r="A234" s="774"/>
      <c r="B234" s="223" t="s">
        <v>4405</v>
      </c>
      <c r="C234" s="213" t="s">
        <v>3836</v>
      </c>
      <c r="D234" s="213" t="s">
        <v>4406</v>
      </c>
      <c r="E234" s="212" t="s">
        <v>1732</v>
      </c>
      <c r="F234" s="212"/>
      <c r="G234" s="212"/>
      <c r="H234" s="212"/>
      <c r="I234" s="213" t="s">
        <v>4407</v>
      </c>
      <c r="J234" s="214" t="s">
        <v>1736</v>
      </c>
      <c r="K234" s="214" t="s">
        <v>1737</v>
      </c>
      <c r="L234" s="214" t="s">
        <v>1737</v>
      </c>
      <c r="M234" s="212"/>
      <c r="N234" s="215" t="s">
        <v>4403</v>
      </c>
      <c r="O234" s="219" t="s">
        <v>4408</v>
      </c>
      <c r="P234" s="212"/>
      <c r="Q234" s="212"/>
      <c r="R234" s="212"/>
      <c r="S234" s="212"/>
      <c r="T234" s="215"/>
      <c r="U234" s="171" t="s">
        <v>3708</v>
      </c>
    </row>
    <row r="235" spans="1:21">
      <c r="A235" s="774"/>
      <c r="B235" s="223" t="s">
        <v>4409</v>
      </c>
      <c r="C235" s="213" t="s">
        <v>3836</v>
      </c>
      <c r="D235" s="213" t="s">
        <v>4410</v>
      </c>
      <c r="E235" s="212" t="s">
        <v>1732</v>
      </c>
      <c r="F235" s="212"/>
      <c r="G235" s="212"/>
      <c r="H235" s="212"/>
      <c r="I235" s="213" t="s">
        <v>4411</v>
      </c>
      <c r="J235" s="214" t="s">
        <v>1736</v>
      </c>
      <c r="K235" s="214" t="s">
        <v>1737</v>
      </c>
      <c r="L235" s="214" t="s">
        <v>1737</v>
      </c>
      <c r="M235" s="212"/>
      <c r="N235" s="215" t="s">
        <v>4387</v>
      </c>
      <c r="O235" s="219" t="s">
        <v>4412</v>
      </c>
      <c r="P235" s="212"/>
      <c r="Q235" s="212"/>
      <c r="R235" s="212"/>
      <c r="S235" s="212"/>
      <c r="T235" s="215"/>
      <c r="U235" s="171" t="s">
        <v>3708</v>
      </c>
    </row>
    <row r="236" spans="1:21">
      <c r="A236" s="774"/>
      <c r="B236" s="223" t="s">
        <v>4413</v>
      </c>
      <c r="C236" s="213" t="s">
        <v>3836</v>
      </c>
      <c r="D236" s="213" t="s">
        <v>4414</v>
      </c>
      <c r="E236" s="212" t="s">
        <v>1743</v>
      </c>
      <c r="F236" s="212"/>
      <c r="G236" s="212"/>
      <c r="H236" s="212"/>
      <c r="I236" s="213" t="s">
        <v>4415</v>
      </c>
      <c r="J236" s="214" t="s">
        <v>1736</v>
      </c>
      <c r="K236" s="214" t="s">
        <v>1737</v>
      </c>
      <c r="L236" s="214" t="s">
        <v>1737</v>
      </c>
      <c r="M236" s="212"/>
      <c r="N236" s="215" t="s">
        <v>4300</v>
      </c>
      <c r="O236" s="219" t="s">
        <v>4416</v>
      </c>
      <c r="P236" s="212"/>
      <c r="Q236" s="212"/>
      <c r="R236" s="212"/>
      <c r="S236" s="212"/>
      <c r="T236" s="215"/>
      <c r="U236" s="171" t="s">
        <v>3708</v>
      </c>
    </row>
    <row r="237" spans="1:21">
      <c r="A237" s="774"/>
      <c r="B237" s="223" t="s">
        <v>4417</v>
      </c>
      <c r="C237" s="213" t="s">
        <v>3836</v>
      </c>
      <c r="D237" s="213" t="s">
        <v>3831</v>
      </c>
      <c r="E237" s="212" t="s">
        <v>1743</v>
      </c>
      <c r="F237" s="212"/>
      <c r="G237" s="212"/>
      <c r="H237" s="212"/>
      <c r="I237" s="212"/>
      <c r="J237" s="214" t="s">
        <v>1736</v>
      </c>
      <c r="K237" s="214" t="s">
        <v>1737</v>
      </c>
      <c r="L237" s="214" t="s">
        <v>1737</v>
      </c>
      <c r="M237" s="212"/>
      <c r="N237" s="215" t="s">
        <v>4300</v>
      </c>
      <c r="O237" s="219" t="s">
        <v>4418</v>
      </c>
      <c r="P237" s="212"/>
      <c r="Q237" s="212"/>
      <c r="R237" s="212"/>
      <c r="S237" s="212"/>
      <c r="T237" s="215"/>
      <c r="U237" s="171" t="s">
        <v>3708</v>
      </c>
    </row>
    <row r="238" spans="1:21">
      <c r="A238" s="774"/>
      <c r="B238" s="223" t="s">
        <v>4419</v>
      </c>
      <c r="C238" s="213" t="s">
        <v>3836</v>
      </c>
      <c r="D238" s="213" t="s">
        <v>4420</v>
      </c>
      <c r="E238" s="212" t="s">
        <v>1732</v>
      </c>
      <c r="F238" s="212"/>
      <c r="G238" s="212"/>
      <c r="H238" s="212"/>
      <c r="I238" s="213" t="s">
        <v>4421</v>
      </c>
      <c r="J238" s="214" t="s">
        <v>1736</v>
      </c>
      <c r="K238" s="214" t="s">
        <v>1737</v>
      </c>
      <c r="L238" s="214" t="s">
        <v>1737</v>
      </c>
      <c r="M238" s="212"/>
      <c r="N238" s="215" t="s">
        <v>4422</v>
      </c>
      <c r="O238" s="219" t="s">
        <v>4423</v>
      </c>
      <c r="P238" s="212"/>
      <c r="Q238" s="212"/>
      <c r="R238" s="212"/>
      <c r="S238" s="212"/>
      <c r="T238" s="215"/>
      <c r="U238" s="171" t="s">
        <v>3708</v>
      </c>
    </row>
    <row r="239" spans="1:21">
      <c r="A239" s="774"/>
      <c r="B239" s="223" t="s">
        <v>4424</v>
      </c>
      <c r="C239" s="213" t="s">
        <v>3836</v>
      </c>
      <c r="D239" s="213" t="s">
        <v>4425</v>
      </c>
      <c r="E239" s="212" t="s">
        <v>1732</v>
      </c>
      <c r="F239" s="212"/>
      <c r="G239" s="212"/>
      <c r="H239" s="212"/>
      <c r="I239" s="213" t="s">
        <v>4426</v>
      </c>
      <c r="J239" s="214" t="s">
        <v>1736</v>
      </c>
      <c r="K239" s="214" t="s">
        <v>1737</v>
      </c>
      <c r="L239" s="214" t="s">
        <v>1737</v>
      </c>
      <c r="M239" s="212"/>
      <c r="N239" s="215" t="s">
        <v>4422</v>
      </c>
      <c r="O239" s="219" t="s">
        <v>4427</v>
      </c>
      <c r="P239" s="212"/>
      <c r="Q239" s="212"/>
      <c r="R239" s="212"/>
      <c r="S239" s="212"/>
      <c r="T239" s="215"/>
      <c r="U239" s="171" t="s">
        <v>3708</v>
      </c>
    </row>
    <row r="240" spans="1:21">
      <c r="A240" s="774"/>
      <c r="B240" s="223" t="s">
        <v>4428</v>
      </c>
      <c r="C240" s="213" t="s">
        <v>3836</v>
      </c>
      <c r="D240" s="213" t="s">
        <v>4429</v>
      </c>
      <c r="E240" s="212" t="s">
        <v>1732</v>
      </c>
      <c r="F240" s="212"/>
      <c r="G240" s="212"/>
      <c r="H240" s="212"/>
      <c r="I240" s="213" t="s">
        <v>4430</v>
      </c>
      <c r="J240" s="214" t="s">
        <v>1736</v>
      </c>
      <c r="K240" s="214" t="s">
        <v>1737</v>
      </c>
      <c r="L240" s="214" t="s">
        <v>1737</v>
      </c>
      <c r="M240" s="212"/>
      <c r="N240" s="215" t="s">
        <v>4422</v>
      </c>
      <c r="O240" s="219" t="s">
        <v>4431</v>
      </c>
      <c r="P240" s="212"/>
      <c r="Q240" s="212"/>
      <c r="R240" s="212"/>
      <c r="S240" s="212"/>
      <c r="T240" s="215"/>
      <c r="U240" s="171" t="s">
        <v>3708</v>
      </c>
    </row>
    <row r="241" spans="1:21">
      <c r="A241" s="774"/>
      <c r="B241" s="223" t="s">
        <v>4432</v>
      </c>
      <c r="C241" s="213" t="s">
        <v>3836</v>
      </c>
      <c r="D241" s="213" t="s">
        <v>4433</v>
      </c>
      <c r="E241" s="212" t="s">
        <v>1732</v>
      </c>
      <c r="F241" s="212"/>
      <c r="G241" s="212"/>
      <c r="H241" s="212"/>
      <c r="I241" s="213"/>
      <c r="J241" s="214" t="s">
        <v>1736</v>
      </c>
      <c r="K241" s="214" t="s">
        <v>1737</v>
      </c>
      <c r="L241" s="214" t="s">
        <v>1737</v>
      </c>
      <c r="M241" s="212"/>
      <c r="N241" s="215" t="s">
        <v>4422</v>
      </c>
      <c r="O241" s="219" t="s">
        <v>4434</v>
      </c>
      <c r="P241" s="212"/>
      <c r="Q241" s="212"/>
      <c r="R241" s="212"/>
      <c r="S241" s="212"/>
      <c r="T241" s="215"/>
      <c r="U241" s="171" t="s">
        <v>3708</v>
      </c>
    </row>
    <row r="242" spans="1:21">
      <c r="A242" s="774"/>
      <c r="B242" s="223" t="s">
        <v>4435</v>
      </c>
      <c r="C242" s="213" t="s">
        <v>3836</v>
      </c>
      <c r="D242" s="213" t="s">
        <v>4436</v>
      </c>
      <c r="E242" s="212" t="s">
        <v>1732</v>
      </c>
      <c r="F242" s="212"/>
      <c r="G242" s="212"/>
      <c r="H242" s="212"/>
      <c r="I242" s="213"/>
      <c r="J242" s="214" t="s">
        <v>1736</v>
      </c>
      <c r="K242" s="214" t="s">
        <v>1737</v>
      </c>
      <c r="L242" s="214" t="s">
        <v>1737</v>
      </c>
      <c r="M242" s="212"/>
      <c r="N242" s="215" t="s">
        <v>4422</v>
      </c>
      <c r="O242" s="219" t="s">
        <v>4431</v>
      </c>
      <c r="P242" s="212"/>
      <c r="Q242" s="212"/>
      <c r="R242" s="212"/>
      <c r="S242" s="212"/>
      <c r="T242" s="215"/>
      <c r="U242" s="171" t="s">
        <v>3708</v>
      </c>
    </row>
    <row r="243" spans="1:21">
      <c r="A243" s="774"/>
      <c r="B243" s="223" t="s">
        <v>4437</v>
      </c>
      <c r="C243" s="213" t="s">
        <v>3836</v>
      </c>
      <c r="D243" s="213" t="s">
        <v>4438</v>
      </c>
      <c r="E243" s="212" t="s">
        <v>1732</v>
      </c>
      <c r="F243" s="212"/>
      <c r="G243" s="212"/>
      <c r="H243" s="212"/>
      <c r="I243" s="213"/>
      <c r="J243" s="214" t="s">
        <v>1736</v>
      </c>
      <c r="K243" s="214" t="s">
        <v>1737</v>
      </c>
      <c r="L243" s="214" t="s">
        <v>1737</v>
      </c>
      <c r="M243" s="212"/>
      <c r="N243" s="215" t="s">
        <v>4403</v>
      </c>
      <c r="O243" s="219" t="s">
        <v>4439</v>
      </c>
      <c r="P243" s="212"/>
      <c r="Q243" s="212"/>
      <c r="R243" s="212"/>
      <c r="S243" s="212"/>
      <c r="T243" s="215"/>
      <c r="U243" s="171" t="s">
        <v>3708</v>
      </c>
    </row>
    <row r="244" spans="1:21">
      <c r="A244" s="774"/>
      <c r="B244" s="223" t="s">
        <v>4440</v>
      </c>
      <c r="C244" s="213" t="s">
        <v>3836</v>
      </c>
      <c r="D244" s="213" t="s">
        <v>4441</v>
      </c>
      <c r="E244" s="212" t="s">
        <v>1743</v>
      </c>
      <c r="F244" s="212"/>
      <c r="G244" s="212"/>
      <c r="H244" s="212"/>
      <c r="I244" s="213" t="s">
        <v>4442</v>
      </c>
      <c r="J244" s="214" t="s">
        <v>1736</v>
      </c>
      <c r="K244" s="214" t="s">
        <v>1737</v>
      </c>
      <c r="L244" s="214" t="s">
        <v>1737</v>
      </c>
      <c r="M244" s="212"/>
      <c r="N244" s="215" t="s">
        <v>4300</v>
      </c>
      <c r="O244" s="219" t="s">
        <v>4443</v>
      </c>
      <c r="P244" s="212"/>
      <c r="Q244" s="212"/>
      <c r="R244" s="212"/>
      <c r="S244" s="212"/>
      <c r="T244" s="215"/>
      <c r="U244" s="171" t="s">
        <v>3708</v>
      </c>
    </row>
    <row r="245" spans="1:21">
      <c r="A245" s="774"/>
      <c r="B245" s="223" t="s">
        <v>4444</v>
      </c>
      <c r="C245" s="213" t="s">
        <v>3836</v>
      </c>
      <c r="D245" s="213" t="s">
        <v>3831</v>
      </c>
      <c r="E245" s="212" t="s">
        <v>1743</v>
      </c>
      <c r="F245" s="212"/>
      <c r="G245" s="212"/>
      <c r="H245" s="212"/>
      <c r="I245" s="212" t="s">
        <v>4445</v>
      </c>
      <c r="J245" s="214" t="s">
        <v>1736</v>
      </c>
      <c r="K245" s="214" t="s">
        <v>1737</v>
      </c>
      <c r="L245" s="214" t="s">
        <v>1737</v>
      </c>
      <c r="M245" s="212"/>
      <c r="N245" s="215" t="s">
        <v>4422</v>
      </c>
      <c r="O245" s="219" t="s">
        <v>4446</v>
      </c>
      <c r="P245" s="212"/>
      <c r="Q245" s="212"/>
      <c r="R245" s="212"/>
      <c r="S245" s="212"/>
      <c r="T245" s="215"/>
      <c r="U245" s="171" t="s">
        <v>3708</v>
      </c>
    </row>
    <row r="246" spans="1:21">
      <c r="A246" s="774"/>
      <c r="B246" s="223" t="s">
        <v>4447</v>
      </c>
      <c r="C246" s="213" t="s">
        <v>3836</v>
      </c>
      <c r="D246" s="213" t="s">
        <v>4448</v>
      </c>
      <c r="E246" s="212" t="s">
        <v>1732</v>
      </c>
      <c r="F246" s="212"/>
      <c r="G246" s="212"/>
      <c r="H246" s="212"/>
      <c r="I246" s="213" t="s">
        <v>4449</v>
      </c>
      <c r="J246" s="214" t="s">
        <v>1736</v>
      </c>
      <c r="K246" s="214" t="s">
        <v>1737</v>
      </c>
      <c r="L246" s="214" t="s">
        <v>1737</v>
      </c>
      <c r="M246" s="212"/>
      <c r="N246" s="215" t="s">
        <v>4422</v>
      </c>
      <c r="O246" s="219" t="s">
        <v>4450</v>
      </c>
      <c r="P246" s="212"/>
      <c r="Q246" s="212"/>
      <c r="R246" s="212"/>
      <c r="S246" s="212"/>
      <c r="T246" s="215"/>
      <c r="U246" s="171" t="s">
        <v>3708</v>
      </c>
    </row>
    <row r="247" spans="1:21">
      <c r="A247" s="774"/>
      <c r="B247" s="223" t="s">
        <v>4451</v>
      </c>
      <c r="C247" s="213" t="s">
        <v>3836</v>
      </c>
      <c r="D247" s="213" t="s">
        <v>4452</v>
      </c>
      <c r="E247" s="212" t="s">
        <v>1732</v>
      </c>
      <c r="F247" s="212"/>
      <c r="G247" s="212"/>
      <c r="H247" s="212"/>
      <c r="I247" s="213" t="s">
        <v>4453</v>
      </c>
      <c r="J247" s="214" t="s">
        <v>1736</v>
      </c>
      <c r="K247" s="214" t="s">
        <v>1737</v>
      </c>
      <c r="L247" s="214" t="s">
        <v>1737</v>
      </c>
      <c r="M247" s="212"/>
      <c r="N247" s="215" t="s">
        <v>4454</v>
      </c>
      <c r="O247" s="219" t="s">
        <v>4455</v>
      </c>
      <c r="P247" s="212"/>
      <c r="Q247" s="212"/>
      <c r="R247" s="212"/>
      <c r="S247" s="212"/>
      <c r="T247" s="215"/>
      <c r="U247" s="171" t="s">
        <v>3708</v>
      </c>
    </row>
    <row r="248" spans="1:21">
      <c r="A248" s="774"/>
      <c r="B248" s="223" t="s">
        <v>4456</v>
      </c>
      <c r="C248" s="213" t="s">
        <v>3836</v>
      </c>
      <c r="D248" s="213" t="s">
        <v>4457</v>
      </c>
      <c r="E248" s="212" t="s">
        <v>1732</v>
      </c>
      <c r="F248" s="212"/>
      <c r="G248" s="212"/>
      <c r="H248" s="212"/>
      <c r="I248" s="213" t="s">
        <v>4458</v>
      </c>
      <c r="J248" s="214" t="s">
        <v>1736</v>
      </c>
      <c r="K248" s="214" t="s">
        <v>1737</v>
      </c>
      <c r="L248" s="214" t="s">
        <v>1737</v>
      </c>
      <c r="M248" s="212"/>
      <c r="N248" s="215" t="s">
        <v>4454</v>
      </c>
      <c r="O248" s="219" t="s">
        <v>4459</v>
      </c>
      <c r="P248" s="212"/>
      <c r="Q248" s="212"/>
      <c r="R248" s="212"/>
      <c r="S248" s="212"/>
      <c r="T248" s="215"/>
      <c r="U248" s="171" t="s">
        <v>3708</v>
      </c>
    </row>
    <row r="249" spans="1:21">
      <c r="A249" s="774"/>
      <c r="B249" s="223" t="s">
        <v>4460</v>
      </c>
      <c r="C249" s="213" t="s">
        <v>3836</v>
      </c>
      <c r="D249" s="213" t="s">
        <v>4461</v>
      </c>
      <c r="E249" s="212" t="s">
        <v>1743</v>
      </c>
      <c r="F249" s="212"/>
      <c r="G249" s="212"/>
      <c r="H249" s="212"/>
      <c r="I249" s="213" t="s">
        <v>4462</v>
      </c>
      <c r="J249" s="214" t="s">
        <v>1736</v>
      </c>
      <c r="K249" s="214" t="s">
        <v>1737</v>
      </c>
      <c r="L249" s="214" t="s">
        <v>1737</v>
      </c>
      <c r="M249" s="212"/>
      <c r="N249" s="215" t="s">
        <v>4300</v>
      </c>
      <c r="O249" s="219" t="s">
        <v>4463</v>
      </c>
      <c r="P249" s="212"/>
      <c r="Q249" s="212"/>
      <c r="R249" s="212"/>
      <c r="S249" s="212"/>
      <c r="T249" s="215"/>
      <c r="U249" s="171" t="s">
        <v>3708</v>
      </c>
    </row>
    <row r="250" spans="1:21">
      <c r="A250" s="774"/>
      <c r="B250" s="223" t="s">
        <v>4464</v>
      </c>
      <c r="C250" s="213" t="s">
        <v>3836</v>
      </c>
      <c r="D250" s="213" t="s">
        <v>3831</v>
      </c>
      <c r="E250" s="212" t="s">
        <v>1743</v>
      </c>
      <c r="F250" s="212"/>
      <c r="G250" s="212"/>
      <c r="H250" s="212"/>
      <c r="I250" s="213" t="s">
        <v>4465</v>
      </c>
      <c r="J250" s="214" t="s">
        <v>1736</v>
      </c>
      <c r="K250" s="214" t="s">
        <v>1737</v>
      </c>
      <c r="L250" s="214" t="s">
        <v>1737</v>
      </c>
      <c r="M250" s="212"/>
      <c r="N250" s="215" t="s">
        <v>4422</v>
      </c>
      <c r="O250" s="219" t="s">
        <v>4466</v>
      </c>
      <c r="P250" s="212"/>
      <c r="Q250" s="212"/>
      <c r="R250" s="212"/>
      <c r="S250" s="212"/>
      <c r="T250" s="215"/>
      <c r="U250" s="171" t="s">
        <v>3708</v>
      </c>
    </row>
    <row r="251" spans="1:21">
      <c r="A251" s="774"/>
      <c r="B251" s="223" t="s">
        <v>4467</v>
      </c>
      <c r="C251" s="213" t="s">
        <v>3836</v>
      </c>
      <c r="D251" s="213" t="s">
        <v>4468</v>
      </c>
      <c r="E251" s="212" t="s">
        <v>1732</v>
      </c>
      <c r="F251" s="212"/>
      <c r="G251" s="212"/>
      <c r="H251" s="212"/>
      <c r="I251" s="213" t="s">
        <v>4469</v>
      </c>
      <c r="J251" s="214" t="s">
        <v>1736</v>
      </c>
      <c r="K251" s="214" t="s">
        <v>1737</v>
      </c>
      <c r="L251" s="214" t="s">
        <v>1737</v>
      </c>
      <c r="M251" s="212"/>
      <c r="N251" s="215" t="s">
        <v>4454</v>
      </c>
      <c r="O251" s="219" t="s">
        <v>4470</v>
      </c>
      <c r="P251" s="212"/>
      <c r="Q251" s="212"/>
      <c r="R251" s="212"/>
      <c r="S251" s="212"/>
      <c r="T251" s="215"/>
      <c r="U251" s="171" t="s">
        <v>3708</v>
      </c>
    </row>
    <row r="252" spans="1:21">
      <c r="A252" s="774"/>
      <c r="B252" s="223" t="s">
        <v>4471</v>
      </c>
      <c r="C252" s="213" t="s">
        <v>3836</v>
      </c>
      <c r="D252" s="213" t="s">
        <v>4472</v>
      </c>
      <c r="E252" s="212" t="s">
        <v>1732</v>
      </c>
      <c r="F252" s="212"/>
      <c r="G252" s="212"/>
      <c r="H252" s="212"/>
      <c r="I252" s="213" t="s">
        <v>4473</v>
      </c>
      <c r="J252" s="214" t="s">
        <v>1736</v>
      </c>
      <c r="K252" s="214" t="s">
        <v>1737</v>
      </c>
      <c r="L252" s="214" t="s">
        <v>1737</v>
      </c>
      <c r="M252" s="212"/>
      <c r="N252" s="215" t="s">
        <v>4454</v>
      </c>
      <c r="O252" s="219" t="s">
        <v>4474</v>
      </c>
      <c r="P252" s="212"/>
      <c r="Q252" s="212"/>
      <c r="R252" s="212"/>
      <c r="S252" s="212"/>
      <c r="T252" s="215"/>
      <c r="U252" s="171" t="s">
        <v>3708</v>
      </c>
    </row>
    <row r="253" spans="1:21">
      <c r="A253" s="773"/>
      <c r="B253" s="223" t="s">
        <v>4475</v>
      </c>
      <c r="C253" s="213" t="s">
        <v>3836</v>
      </c>
      <c r="D253" s="213" t="s">
        <v>4476</v>
      </c>
      <c r="E253" s="212" t="s">
        <v>1732</v>
      </c>
      <c r="F253" s="212"/>
      <c r="G253" s="212"/>
      <c r="H253" s="212"/>
      <c r="I253" s="213" t="s">
        <v>4477</v>
      </c>
      <c r="J253" s="214" t="s">
        <v>1736</v>
      </c>
      <c r="K253" s="214" t="s">
        <v>1737</v>
      </c>
      <c r="L253" s="214" t="s">
        <v>1737</v>
      </c>
      <c r="M253" s="212"/>
      <c r="N253" s="215" t="s">
        <v>4104</v>
      </c>
      <c r="O253" s="219" t="s">
        <v>4478</v>
      </c>
      <c r="P253" s="212"/>
      <c r="Q253" s="212"/>
      <c r="R253" s="212"/>
      <c r="S253" s="212"/>
      <c r="T253" s="215"/>
      <c r="U253" s="171" t="s">
        <v>3708</v>
      </c>
    </row>
    <row r="254" spans="1:21">
      <c r="A254" s="696" t="s">
        <v>4479</v>
      </c>
      <c r="B254" s="223" t="s">
        <v>4480</v>
      </c>
      <c r="C254" s="213" t="s">
        <v>4481</v>
      </c>
      <c r="D254" s="213" t="s">
        <v>4482</v>
      </c>
      <c r="E254" s="212" t="s">
        <v>1732</v>
      </c>
      <c r="F254" s="212"/>
      <c r="G254" s="212"/>
      <c r="H254" s="212"/>
      <c r="I254" s="213" t="s">
        <v>4483</v>
      </c>
      <c r="J254" s="214" t="s">
        <v>1736</v>
      </c>
      <c r="K254" s="214" t="s">
        <v>1737</v>
      </c>
      <c r="L254" s="214" t="s">
        <v>1737</v>
      </c>
      <c r="M254" s="212"/>
      <c r="N254" s="215" t="s">
        <v>4169</v>
      </c>
      <c r="O254" s="219" t="s">
        <v>4484</v>
      </c>
      <c r="P254" s="212"/>
      <c r="Q254" s="212"/>
      <c r="R254" s="212"/>
      <c r="S254" s="212"/>
      <c r="T254" s="215" t="s">
        <v>4169</v>
      </c>
      <c r="U254" s="171" t="s">
        <v>3708</v>
      </c>
    </row>
    <row r="255" spans="1:21">
      <c r="A255" s="774"/>
      <c r="B255" s="223" t="s">
        <v>4485</v>
      </c>
      <c r="C255" s="213" t="s">
        <v>4481</v>
      </c>
      <c r="D255" s="213" t="s">
        <v>4486</v>
      </c>
      <c r="E255" s="212" t="s">
        <v>1743</v>
      </c>
      <c r="F255" s="212"/>
      <c r="G255" s="212"/>
      <c r="H255" s="212"/>
      <c r="I255" s="213" t="s">
        <v>4487</v>
      </c>
      <c r="J255" s="214" t="s">
        <v>1736</v>
      </c>
      <c r="K255" s="214" t="s">
        <v>1737</v>
      </c>
      <c r="L255" s="214" t="s">
        <v>1737</v>
      </c>
      <c r="M255" s="212"/>
      <c r="N255" s="215" t="s">
        <v>4169</v>
      </c>
      <c r="O255" s="219" t="s">
        <v>4488</v>
      </c>
      <c r="P255" s="212"/>
      <c r="Q255" s="212"/>
      <c r="R255" s="212"/>
      <c r="S255" s="212"/>
      <c r="T255" s="215" t="s">
        <v>4169</v>
      </c>
      <c r="U255" s="171" t="s">
        <v>3708</v>
      </c>
    </row>
    <row r="256" spans="1:21">
      <c r="A256" s="774"/>
      <c r="B256" s="223" t="s">
        <v>4489</v>
      </c>
      <c r="C256" s="213" t="s">
        <v>4481</v>
      </c>
      <c r="D256" s="213" t="s">
        <v>4490</v>
      </c>
      <c r="E256" s="212" t="s">
        <v>1743</v>
      </c>
      <c r="F256" s="212"/>
      <c r="G256" s="212"/>
      <c r="H256" s="212"/>
      <c r="I256" s="213" t="s">
        <v>4491</v>
      </c>
      <c r="J256" s="214" t="s">
        <v>1736</v>
      </c>
      <c r="K256" s="214" t="s">
        <v>1737</v>
      </c>
      <c r="L256" s="214" t="s">
        <v>1737</v>
      </c>
      <c r="M256" s="212"/>
      <c r="N256" s="215" t="s">
        <v>4169</v>
      </c>
      <c r="O256" s="219" t="s">
        <v>4492</v>
      </c>
      <c r="P256" s="212"/>
      <c r="Q256" s="212"/>
      <c r="R256" s="212"/>
      <c r="S256" s="212"/>
      <c r="T256" s="215" t="s">
        <v>4169</v>
      </c>
      <c r="U256" s="171" t="s">
        <v>3708</v>
      </c>
    </row>
    <row r="257" spans="1:21">
      <c r="A257" s="774"/>
      <c r="B257" s="223" t="s">
        <v>4493</v>
      </c>
      <c r="C257" s="213" t="s">
        <v>4481</v>
      </c>
      <c r="D257" s="213" t="s">
        <v>4494</v>
      </c>
      <c r="E257" s="212" t="s">
        <v>1743</v>
      </c>
      <c r="F257" s="212"/>
      <c r="G257" s="212"/>
      <c r="H257" s="212"/>
      <c r="I257" s="213" t="s">
        <v>4495</v>
      </c>
      <c r="J257" s="214" t="s">
        <v>1736</v>
      </c>
      <c r="K257" s="214" t="s">
        <v>1737</v>
      </c>
      <c r="L257" s="214" t="s">
        <v>1737</v>
      </c>
      <c r="M257" s="212"/>
      <c r="N257" s="215" t="s">
        <v>4169</v>
      </c>
      <c r="O257" s="219" t="s">
        <v>4496</v>
      </c>
      <c r="P257" s="212"/>
      <c r="Q257" s="212"/>
      <c r="R257" s="212"/>
      <c r="S257" s="212"/>
      <c r="T257" s="215" t="s">
        <v>4169</v>
      </c>
      <c r="U257" s="171" t="s">
        <v>3708</v>
      </c>
    </row>
    <row r="258" spans="1:21">
      <c r="A258" s="774"/>
      <c r="B258" s="223" t="s">
        <v>4497</v>
      </c>
      <c r="C258" s="213" t="s">
        <v>4481</v>
      </c>
      <c r="D258" s="213" t="s">
        <v>4498</v>
      </c>
      <c r="E258" s="212" t="s">
        <v>1743</v>
      </c>
      <c r="F258" s="212"/>
      <c r="G258" s="212"/>
      <c r="H258" s="212"/>
      <c r="I258" s="213" t="s">
        <v>4499</v>
      </c>
      <c r="J258" s="214" t="s">
        <v>1736</v>
      </c>
      <c r="K258" s="214" t="s">
        <v>1737</v>
      </c>
      <c r="L258" s="214" t="s">
        <v>1737</v>
      </c>
      <c r="M258" s="212"/>
      <c r="N258" s="215" t="s">
        <v>4169</v>
      </c>
      <c r="O258" s="219" t="s">
        <v>4500</v>
      </c>
      <c r="P258" s="212"/>
      <c r="Q258" s="212"/>
      <c r="R258" s="212"/>
      <c r="S258" s="212"/>
      <c r="T258" s="215" t="s">
        <v>4169</v>
      </c>
      <c r="U258" s="171" t="s">
        <v>3708</v>
      </c>
    </row>
    <row r="259" spans="1:21">
      <c r="A259" s="774"/>
      <c r="B259" s="223" t="s">
        <v>4501</v>
      </c>
      <c r="C259" s="213" t="s">
        <v>4481</v>
      </c>
      <c r="D259" s="213" t="s">
        <v>4502</v>
      </c>
      <c r="E259" s="212" t="s">
        <v>1732</v>
      </c>
      <c r="F259" s="212"/>
      <c r="G259" s="212"/>
      <c r="H259" s="212"/>
      <c r="I259" s="213" t="s">
        <v>4503</v>
      </c>
      <c r="J259" s="214" t="s">
        <v>1736</v>
      </c>
      <c r="K259" s="214" t="s">
        <v>1737</v>
      </c>
      <c r="L259" s="214" t="s">
        <v>1737</v>
      </c>
      <c r="M259" s="212"/>
      <c r="N259" s="215" t="s">
        <v>3810</v>
      </c>
      <c r="O259" s="219" t="s">
        <v>4504</v>
      </c>
      <c r="P259" s="212"/>
      <c r="Q259" s="212"/>
      <c r="R259" s="212"/>
      <c r="S259" s="212"/>
      <c r="T259" s="215" t="s">
        <v>3810</v>
      </c>
      <c r="U259" s="171" t="s">
        <v>3708</v>
      </c>
    </row>
    <row r="260" spans="1:21">
      <c r="A260" s="774"/>
      <c r="B260" s="223" t="s">
        <v>4505</v>
      </c>
      <c r="C260" s="213" t="s">
        <v>4481</v>
      </c>
      <c r="D260" s="213" t="s">
        <v>4506</v>
      </c>
      <c r="E260" s="212" t="s">
        <v>1743</v>
      </c>
      <c r="F260" s="212"/>
      <c r="G260" s="212"/>
      <c r="H260" s="212"/>
      <c r="I260" s="213" t="s">
        <v>4507</v>
      </c>
      <c r="J260" s="214" t="s">
        <v>1736</v>
      </c>
      <c r="K260" s="214" t="s">
        <v>1737</v>
      </c>
      <c r="L260" s="214" t="s">
        <v>1737</v>
      </c>
      <c r="M260" s="212"/>
      <c r="N260" s="215" t="s">
        <v>3878</v>
      </c>
      <c r="O260" s="219" t="s">
        <v>4508</v>
      </c>
      <c r="P260" s="212"/>
      <c r="Q260" s="212"/>
      <c r="R260" s="212"/>
      <c r="S260" s="212"/>
      <c r="T260" s="215"/>
      <c r="U260" s="171" t="s">
        <v>3708</v>
      </c>
    </row>
    <row r="261" spans="1:21">
      <c r="A261" s="773"/>
      <c r="B261" s="223" t="s">
        <v>4509</v>
      </c>
      <c r="C261" s="213" t="s">
        <v>4481</v>
      </c>
      <c r="D261" s="213" t="s">
        <v>4510</v>
      </c>
      <c r="E261" s="212" t="s">
        <v>1743</v>
      </c>
      <c r="F261" s="212"/>
      <c r="G261" s="212"/>
      <c r="H261" s="212"/>
      <c r="I261" s="213" t="s">
        <v>4511</v>
      </c>
      <c r="J261" s="214" t="s">
        <v>1736</v>
      </c>
      <c r="K261" s="214" t="s">
        <v>1737</v>
      </c>
      <c r="L261" s="214" t="s">
        <v>1737</v>
      </c>
      <c r="M261" s="212"/>
      <c r="N261" s="215" t="s">
        <v>4037</v>
      </c>
      <c r="O261" s="219" t="s">
        <v>4512</v>
      </c>
      <c r="P261" s="212"/>
      <c r="Q261" s="212"/>
      <c r="R261" s="212"/>
      <c r="S261" s="212"/>
      <c r="T261" s="215"/>
      <c r="U261" s="171" t="s">
        <v>3708</v>
      </c>
    </row>
    <row r="262" spans="1:21">
      <c r="A262" s="696" t="s">
        <v>4513</v>
      </c>
      <c r="B262" s="223" t="s">
        <v>4514</v>
      </c>
      <c r="C262" s="213" t="s">
        <v>4481</v>
      </c>
      <c r="D262" s="213" t="s">
        <v>4515</v>
      </c>
      <c r="E262" s="212" t="s">
        <v>1732</v>
      </c>
      <c r="F262" s="212"/>
      <c r="G262" s="212"/>
      <c r="H262" s="212"/>
      <c r="I262" s="213" t="s">
        <v>4516</v>
      </c>
      <c r="J262" s="214" t="s">
        <v>1736</v>
      </c>
      <c r="K262" s="214" t="s">
        <v>1737</v>
      </c>
      <c r="L262" s="214" t="s">
        <v>1737</v>
      </c>
      <c r="M262" s="212"/>
      <c r="N262" s="215" t="s">
        <v>3706</v>
      </c>
      <c r="O262" s="219" t="s">
        <v>4517</v>
      </c>
      <c r="P262" s="212"/>
      <c r="Q262" s="212"/>
      <c r="R262" s="212"/>
      <c r="S262" s="212"/>
      <c r="T262" s="215"/>
      <c r="U262" s="171" t="s">
        <v>3708</v>
      </c>
    </row>
    <row r="263" spans="1:21">
      <c r="A263" s="774"/>
      <c r="B263" s="223" t="s">
        <v>4518</v>
      </c>
      <c r="C263" s="213" t="s">
        <v>4481</v>
      </c>
      <c r="D263" s="213" t="s">
        <v>4519</v>
      </c>
      <c r="E263" s="212" t="s">
        <v>1732</v>
      </c>
      <c r="F263" s="212"/>
      <c r="G263" s="212"/>
      <c r="H263" s="212"/>
      <c r="I263" s="213" t="s">
        <v>4520</v>
      </c>
      <c r="J263" s="214" t="s">
        <v>1736</v>
      </c>
      <c r="K263" s="214" t="s">
        <v>1737</v>
      </c>
      <c r="L263" s="214" t="s">
        <v>1737</v>
      </c>
      <c r="M263" s="212"/>
      <c r="N263" s="215" t="s">
        <v>4104</v>
      </c>
      <c r="O263" s="219" t="s">
        <v>4521</v>
      </c>
      <c r="P263" s="212"/>
      <c r="Q263" s="212"/>
      <c r="R263" s="212"/>
      <c r="S263" s="212"/>
      <c r="T263" s="215"/>
      <c r="U263" s="171" t="s">
        <v>3708</v>
      </c>
    </row>
    <row r="264" spans="1:21">
      <c r="A264" s="774"/>
      <c r="B264" s="223" t="s">
        <v>4522</v>
      </c>
      <c r="C264" s="213" t="s">
        <v>4481</v>
      </c>
      <c r="D264" s="213" t="s">
        <v>4523</v>
      </c>
      <c r="E264" s="212" t="s">
        <v>1743</v>
      </c>
      <c r="F264" s="212"/>
      <c r="G264" s="212"/>
      <c r="H264" s="212"/>
      <c r="I264" s="212"/>
      <c r="J264" s="214" t="s">
        <v>1736</v>
      </c>
      <c r="K264" s="214" t="s">
        <v>1737</v>
      </c>
      <c r="L264" s="214" t="s">
        <v>1737</v>
      </c>
      <c r="M264" s="212"/>
      <c r="N264" s="215" t="s">
        <v>4169</v>
      </c>
      <c r="O264" s="219" t="s">
        <v>4524</v>
      </c>
      <c r="P264" s="212"/>
      <c r="Q264" s="212"/>
      <c r="R264" s="212"/>
      <c r="S264" s="212"/>
      <c r="T264" s="215" t="s">
        <v>4169</v>
      </c>
      <c r="U264" s="171" t="s">
        <v>3708</v>
      </c>
    </row>
    <row r="265" spans="1:21">
      <c r="A265" s="774"/>
      <c r="B265" s="223" t="s">
        <v>4525</v>
      </c>
      <c r="C265" s="213" t="s">
        <v>4481</v>
      </c>
      <c r="D265" s="213" t="s">
        <v>4526</v>
      </c>
      <c r="E265" s="212" t="s">
        <v>1743</v>
      </c>
      <c r="F265" s="212"/>
      <c r="G265" s="212"/>
      <c r="H265" s="212"/>
      <c r="I265" s="213" t="s">
        <v>4527</v>
      </c>
      <c r="J265" s="214" t="s">
        <v>1736</v>
      </c>
      <c r="K265" s="214" t="s">
        <v>1737</v>
      </c>
      <c r="L265" s="214" t="s">
        <v>1737</v>
      </c>
      <c r="M265" s="212"/>
      <c r="N265" s="215" t="s">
        <v>3706</v>
      </c>
      <c r="O265" s="219" t="s">
        <v>4528</v>
      </c>
      <c r="P265" s="212"/>
      <c r="Q265" s="212"/>
      <c r="R265" s="212"/>
      <c r="S265" s="212"/>
      <c r="T265" s="215"/>
      <c r="U265" s="171" t="s">
        <v>3708</v>
      </c>
    </row>
    <row r="266" spans="1:21">
      <c r="A266" s="774"/>
      <c r="B266" s="223" t="s">
        <v>4529</v>
      </c>
      <c r="C266" s="213" t="s">
        <v>4481</v>
      </c>
      <c r="D266" s="213" t="s">
        <v>4530</v>
      </c>
      <c r="E266" s="212" t="s">
        <v>1743</v>
      </c>
      <c r="F266" s="212"/>
      <c r="G266" s="212"/>
      <c r="H266" s="212"/>
      <c r="I266" s="213" t="s">
        <v>4531</v>
      </c>
      <c r="J266" s="214" t="s">
        <v>1736</v>
      </c>
      <c r="K266" s="214" t="s">
        <v>1737</v>
      </c>
      <c r="L266" s="214" t="s">
        <v>1737</v>
      </c>
      <c r="M266" s="212"/>
      <c r="N266" s="215" t="s">
        <v>4169</v>
      </c>
      <c r="O266" s="219" t="s">
        <v>4532</v>
      </c>
      <c r="P266" s="212"/>
      <c r="Q266" s="212"/>
      <c r="R266" s="212"/>
      <c r="S266" s="212"/>
      <c r="T266" s="215" t="s">
        <v>4169</v>
      </c>
      <c r="U266" s="171" t="s">
        <v>3708</v>
      </c>
    </row>
    <row r="267" spans="1:21">
      <c r="A267" s="774"/>
      <c r="B267" s="223" t="s">
        <v>4533</v>
      </c>
      <c r="C267" s="213" t="s">
        <v>4481</v>
      </c>
      <c r="D267" s="213" t="s">
        <v>4534</v>
      </c>
      <c r="E267" s="212" t="s">
        <v>1743</v>
      </c>
      <c r="F267" s="212"/>
      <c r="G267" s="212"/>
      <c r="H267" s="212"/>
      <c r="I267" s="213" t="s">
        <v>4535</v>
      </c>
      <c r="J267" s="214" t="s">
        <v>1736</v>
      </c>
      <c r="K267" s="214" t="s">
        <v>1737</v>
      </c>
      <c r="L267" s="214" t="s">
        <v>1737</v>
      </c>
      <c r="M267" s="212"/>
      <c r="N267" s="215" t="s">
        <v>4169</v>
      </c>
      <c r="O267" s="219" t="s">
        <v>4536</v>
      </c>
      <c r="P267" s="212"/>
      <c r="Q267" s="212"/>
      <c r="R267" s="212"/>
      <c r="S267" s="212"/>
      <c r="T267" s="215" t="s">
        <v>4169</v>
      </c>
      <c r="U267" s="171" t="s">
        <v>3708</v>
      </c>
    </row>
    <row r="268" spans="1:21">
      <c r="A268" s="773"/>
      <c r="B268" s="223" t="s">
        <v>4537</v>
      </c>
      <c r="C268" s="213" t="s">
        <v>4481</v>
      </c>
      <c r="D268" s="213" t="s">
        <v>4538</v>
      </c>
      <c r="E268" s="212" t="s">
        <v>1743</v>
      </c>
      <c r="F268" s="212"/>
      <c r="G268" s="212"/>
      <c r="H268" s="212"/>
      <c r="I268" s="213"/>
      <c r="J268" s="214" t="s">
        <v>1736</v>
      </c>
      <c r="K268" s="214" t="s">
        <v>1737</v>
      </c>
      <c r="L268" s="214" t="s">
        <v>1737</v>
      </c>
      <c r="M268" s="212"/>
      <c r="N268" s="215" t="s">
        <v>4169</v>
      </c>
      <c r="O268" s="219" t="s">
        <v>4539</v>
      </c>
      <c r="P268" s="212"/>
      <c r="Q268" s="212"/>
      <c r="R268" s="212"/>
      <c r="S268" s="212"/>
      <c r="T268" s="215" t="s">
        <v>4169</v>
      </c>
      <c r="U268" s="171" t="s">
        <v>3708</v>
      </c>
    </row>
    <row r="269" spans="1:21">
      <c r="A269" s="696" t="s">
        <v>4540</v>
      </c>
      <c r="B269" s="223" t="s">
        <v>4541</v>
      </c>
      <c r="C269" s="213" t="s">
        <v>4481</v>
      </c>
      <c r="D269" s="213" t="s">
        <v>4542</v>
      </c>
      <c r="E269" s="212" t="s">
        <v>1732</v>
      </c>
      <c r="F269" s="212"/>
      <c r="G269" s="212"/>
      <c r="H269" s="212"/>
      <c r="I269" s="212"/>
      <c r="J269" s="214" t="s">
        <v>1736</v>
      </c>
      <c r="K269" s="214" t="s">
        <v>1737</v>
      </c>
      <c r="L269" s="214" t="s">
        <v>1737</v>
      </c>
      <c r="M269" s="212"/>
      <c r="N269" s="215" t="s">
        <v>4169</v>
      </c>
      <c r="O269" s="219" t="s">
        <v>4543</v>
      </c>
      <c r="P269" s="212"/>
      <c r="Q269" s="212"/>
      <c r="R269" s="212"/>
      <c r="S269" s="212"/>
      <c r="T269" s="215" t="s">
        <v>4169</v>
      </c>
      <c r="U269" s="171" t="s">
        <v>3708</v>
      </c>
    </row>
    <row r="270" spans="1:21">
      <c r="A270" s="774"/>
      <c r="B270" s="223" t="s">
        <v>4544</v>
      </c>
      <c r="C270" s="213" t="s">
        <v>4545</v>
      </c>
      <c r="D270" s="213" t="s">
        <v>4546</v>
      </c>
      <c r="E270" s="212" t="s">
        <v>1743</v>
      </c>
      <c r="F270" s="212"/>
      <c r="G270" s="212"/>
      <c r="H270" s="212"/>
      <c r="I270" s="212"/>
      <c r="J270" s="214" t="s">
        <v>1736</v>
      </c>
      <c r="K270" s="214" t="s">
        <v>1737</v>
      </c>
      <c r="L270" s="214" t="s">
        <v>1737</v>
      </c>
      <c r="M270" s="212"/>
      <c r="N270" s="215" t="s">
        <v>3911</v>
      </c>
      <c r="O270" s="219" t="s">
        <v>4547</v>
      </c>
      <c r="P270" s="212"/>
      <c r="Q270" s="212"/>
      <c r="R270" s="212"/>
      <c r="S270" s="212"/>
      <c r="T270" s="215" t="s">
        <v>3911</v>
      </c>
      <c r="U270" s="171" t="s">
        <v>3708</v>
      </c>
    </row>
    <row r="271" spans="1:21">
      <c r="A271" s="774"/>
      <c r="B271" s="223" t="s">
        <v>4548</v>
      </c>
      <c r="C271" s="213" t="s">
        <v>4545</v>
      </c>
      <c r="D271" s="213" t="s">
        <v>4549</v>
      </c>
      <c r="E271" s="212" t="s">
        <v>1743</v>
      </c>
      <c r="F271" s="212"/>
      <c r="G271" s="212"/>
      <c r="H271" s="212"/>
      <c r="I271" s="212"/>
      <c r="J271" s="214" t="s">
        <v>1736</v>
      </c>
      <c r="K271" s="214" t="s">
        <v>1737</v>
      </c>
      <c r="L271" s="214" t="s">
        <v>1737</v>
      </c>
      <c r="M271" s="212"/>
      <c r="N271" s="215" t="s">
        <v>4169</v>
      </c>
      <c r="O271" s="219" t="s">
        <v>4550</v>
      </c>
      <c r="P271" s="212"/>
      <c r="Q271" s="212"/>
      <c r="R271" s="212"/>
      <c r="S271" s="212"/>
      <c r="T271" s="215" t="s">
        <v>4169</v>
      </c>
      <c r="U271" s="171" t="s">
        <v>3708</v>
      </c>
    </row>
    <row r="272" spans="1:21">
      <c r="A272" s="774"/>
      <c r="B272" s="223" t="s">
        <v>4551</v>
      </c>
      <c r="C272" s="213" t="s">
        <v>4545</v>
      </c>
      <c r="D272" s="213" t="s">
        <v>4552</v>
      </c>
      <c r="E272" s="212" t="s">
        <v>1743</v>
      </c>
      <c r="F272" s="212"/>
      <c r="G272" s="212"/>
      <c r="H272" s="212"/>
      <c r="I272" s="212"/>
      <c r="J272" s="214" t="s">
        <v>1736</v>
      </c>
      <c r="K272" s="214" t="s">
        <v>1737</v>
      </c>
      <c r="L272" s="214" t="s">
        <v>1737</v>
      </c>
      <c r="M272" s="212"/>
      <c r="N272" s="215" t="s">
        <v>4169</v>
      </c>
      <c r="O272" s="219" t="s">
        <v>4553</v>
      </c>
      <c r="P272" s="212"/>
      <c r="Q272" s="212"/>
      <c r="R272" s="212"/>
      <c r="S272" s="212"/>
      <c r="T272" s="215" t="s">
        <v>4169</v>
      </c>
      <c r="U272" s="171" t="s">
        <v>3708</v>
      </c>
    </row>
    <row r="273" spans="1:21">
      <c r="A273" s="773"/>
      <c r="B273" s="223" t="s">
        <v>4554</v>
      </c>
      <c r="C273" s="213" t="s">
        <v>4545</v>
      </c>
      <c r="D273" s="213" t="s">
        <v>4555</v>
      </c>
      <c r="E273" s="212" t="s">
        <v>1743</v>
      </c>
      <c r="F273" s="212"/>
      <c r="G273" s="212"/>
      <c r="H273" s="212"/>
      <c r="I273" s="212"/>
      <c r="J273" s="214" t="s">
        <v>1736</v>
      </c>
      <c r="K273" s="214" t="s">
        <v>1737</v>
      </c>
      <c r="L273" s="214" t="s">
        <v>1737</v>
      </c>
      <c r="M273" s="212"/>
      <c r="N273" s="215" t="s">
        <v>4169</v>
      </c>
      <c r="O273" s="219" t="s">
        <v>4556</v>
      </c>
      <c r="P273" s="212"/>
      <c r="Q273" s="212"/>
      <c r="R273" s="212"/>
      <c r="S273" s="212"/>
      <c r="T273" s="215" t="s">
        <v>4169</v>
      </c>
      <c r="U273" s="171" t="s">
        <v>3708</v>
      </c>
    </row>
    <row r="274" spans="1:21">
      <c r="A274" s="696" t="s">
        <v>4557</v>
      </c>
      <c r="B274" s="223" t="s">
        <v>4558</v>
      </c>
      <c r="C274" s="213" t="s">
        <v>4559</v>
      </c>
      <c r="D274" s="213" t="s">
        <v>4560</v>
      </c>
      <c r="E274" s="212" t="s">
        <v>1732</v>
      </c>
      <c r="F274" s="212"/>
      <c r="G274" s="212"/>
      <c r="H274" s="212"/>
      <c r="I274" s="212"/>
      <c r="J274" s="215" t="s">
        <v>1736</v>
      </c>
      <c r="K274" s="215"/>
      <c r="L274" s="215"/>
      <c r="M274" s="212"/>
      <c r="N274" s="215"/>
      <c r="O274" s="219"/>
      <c r="P274" s="212"/>
      <c r="Q274" s="212"/>
      <c r="R274" s="212"/>
      <c r="S274" s="212"/>
      <c r="T274" s="215"/>
      <c r="U274" s="171" t="s">
        <v>3708</v>
      </c>
    </row>
    <row r="275" spans="1:21">
      <c r="A275" s="774"/>
      <c r="B275" s="223" t="s">
        <v>4561</v>
      </c>
      <c r="C275" s="213" t="s">
        <v>4559</v>
      </c>
      <c r="D275" s="213" t="s">
        <v>4562</v>
      </c>
      <c r="E275" s="212" t="s">
        <v>1732</v>
      </c>
      <c r="F275" s="212"/>
      <c r="G275" s="212"/>
      <c r="H275" s="212"/>
      <c r="I275" s="212"/>
      <c r="J275" s="215" t="s">
        <v>1736</v>
      </c>
      <c r="K275" s="215"/>
      <c r="L275" s="215"/>
      <c r="M275" s="212"/>
      <c r="N275" s="215"/>
      <c r="O275" s="219"/>
      <c r="P275" s="212"/>
      <c r="Q275" s="212"/>
      <c r="R275" s="212"/>
      <c r="S275" s="212"/>
      <c r="T275" s="215"/>
      <c r="U275" s="171" t="s">
        <v>3708</v>
      </c>
    </row>
    <row r="276" spans="1:21">
      <c r="A276" s="774"/>
      <c r="B276" s="223" t="s">
        <v>4563</v>
      </c>
      <c r="C276" s="213" t="s">
        <v>4559</v>
      </c>
      <c r="D276" s="213" t="s">
        <v>4564</v>
      </c>
      <c r="E276" s="212" t="s">
        <v>1743</v>
      </c>
      <c r="F276" s="212"/>
      <c r="G276" s="212"/>
      <c r="H276" s="212"/>
      <c r="I276" s="212"/>
      <c r="J276" s="215" t="s">
        <v>1736</v>
      </c>
      <c r="K276" s="215"/>
      <c r="L276" s="215"/>
      <c r="M276" s="212"/>
      <c r="N276" s="215"/>
      <c r="O276" s="219"/>
      <c r="P276" s="212"/>
      <c r="Q276" s="212"/>
      <c r="R276" s="212"/>
      <c r="S276" s="212"/>
      <c r="T276" s="215"/>
      <c r="U276" s="171" t="s">
        <v>3708</v>
      </c>
    </row>
    <row r="277" spans="1:21">
      <c r="A277" s="774"/>
      <c r="B277" s="223" t="s">
        <v>4565</v>
      </c>
      <c r="C277" s="213" t="s">
        <v>4559</v>
      </c>
      <c r="D277" s="213" t="s">
        <v>4566</v>
      </c>
      <c r="E277" s="212" t="s">
        <v>1743</v>
      </c>
      <c r="F277" s="212"/>
      <c r="G277" s="212"/>
      <c r="H277" s="212"/>
      <c r="I277" s="212"/>
      <c r="J277" s="215" t="s">
        <v>1736</v>
      </c>
      <c r="K277" s="215"/>
      <c r="L277" s="215"/>
      <c r="M277" s="212"/>
      <c r="N277" s="215"/>
      <c r="O277" s="219"/>
      <c r="P277" s="212"/>
      <c r="Q277" s="212"/>
      <c r="R277" s="212"/>
      <c r="S277" s="212"/>
      <c r="T277" s="215"/>
      <c r="U277" s="171" t="s">
        <v>3708</v>
      </c>
    </row>
    <row r="278" spans="1:21">
      <c r="A278" s="774"/>
      <c r="B278" s="223" t="s">
        <v>4567</v>
      </c>
      <c r="C278" s="213" t="s">
        <v>4559</v>
      </c>
      <c r="D278" s="213" t="s">
        <v>4568</v>
      </c>
      <c r="E278" s="212" t="s">
        <v>1743</v>
      </c>
      <c r="F278" s="212"/>
      <c r="G278" s="212"/>
      <c r="H278" s="212"/>
      <c r="I278" s="212"/>
      <c r="J278" s="215" t="s">
        <v>1736</v>
      </c>
      <c r="K278" s="215"/>
      <c r="L278" s="215"/>
      <c r="M278" s="212"/>
      <c r="N278" s="215"/>
      <c r="O278" s="219"/>
      <c r="P278" s="212"/>
      <c r="Q278" s="212"/>
      <c r="R278" s="212"/>
      <c r="S278" s="212"/>
      <c r="T278" s="215"/>
      <c r="U278" s="171" t="s">
        <v>3708</v>
      </c>
    </row>
    <row r="279" spans="1:21">
      <c r="A279" s="774"/>
      <c r="B279" s="223" t="s">
        <v>4569</v>
      </c>
      <c r="C279" s="213" t="s">
        <v>4559</v>
      </c>
      <c r="D279" s="213" t="s">
        <v>4570</v>
      </c>
      <c r="E279" s="212" t="s">
        <v>1743</v>
      </c>
      <c r="F279" s="212"/>
      <c r="G279" s="212"/>
      <c r="H279" s="212"/>
      <c r="I279" s="212"/>
      <c r="J279" s="215" t="s">
        <v>1736</v>
      </c>
      <c r="K279" s="215"/>
      <c r="L279" s="215"/>
      <c r="M279" s="212"/>
      <c r="N279" s="215"/>
      <c r="O279" s="219"/>
      <c r="P279" s="212"/>
      <c r="Q279" s="212"/>
      <c r="R279" s="212"/>
      <c r="S279" s="212"/>
      <c r="T279" s="215"/>
      <c r="U279" s="171" t="s">
        <v>3708</v>
      </c>
    </row>
    <row r="280" spans="1:21">
      <c r="A280" s="774"/>
      <c r="B280" s="223" t="s">
        <v>4571</v>
      </c>
      <c r="C280" s="213" t="s">
        <v>4559</v>
      </c>
      <c r="D280" s="213" t="s">
        <v>4572</v>
      </c>
      <c r="E280" s="212" t="s">
        <v>1743</v>
      </c>
      <c r="F280" s="212"/>
      <c r="G280" s="212"/>
      <c r="H280" s="212"/>
      <c r="I280" s="212"/>
      <c r="J280" s="215" t="s">
        <v>1736</v>
      </c>
      <c r="K280" s="215"/>
      <c r="L280" s="215"/>
      <c r="M280" s="212"/>
      <c r="N280" s="215"/>
      <c r="O280" s="219"/>
      <c r="P280" s="212"/>
      <c r="Q280" s="212"/>
      <c r="R280" s="212"/>
      <c r="S280" s="212"/>
      <c r="T280" s="215"/>
      <c r="U280" s="171" t="s">
        <v>3708</v>
      </c>
    </row>
    <row r="281" spans="1:21">
      <c r="A281" s="774"/>
      <c r="B281" s="223" t="s">
        <v>4573</v>
      </c>
      <c r="C281" s="213" t="s">
        <v>4559</v>
      </c>
      <c r="D281" s="213" t="s">
        <v>4574</v>
      </c>
      <c r="E281" s="212" t="s">
        <v>1743</v>
      </c>
      <c r="F281" s="212"/>
      <c r="G281" s="212"/>
      <c r="H281" s="212"/>
      <c r="I281" s="212"/>
      <c r="J281" s="215" t="s">
        <v>1736</v>
      </c>
      <c r="K281" s="215"/>
      <c r="L281" s="215"/>
      <c r="M281" s="212"/>
      <c r="N281" s="215"/>
      <c r="O281" s="219"/>
      <c r="P281" s="212"/>
      <c r="Q281" s="212"/>
      <c r="R281" s="212"/>
      <c r="S281" s="212"/>
      <c r="T281" s="215"/>
      <c r="U281" s="171" t="s">
        <v>3708</v>
      </c>
    </row>
    <row r="282" spans="1:21">
      <c r="A282" s="774"/>
      <c r="B282" s="223" t="s">
        <v>4575</v>
      </c>
      <c r="C282" s="213" t="s">
        <v>4559</v>
      </c>
      <c r="D282" s="213" t="s">
        <v>4576</v>
      </c>
      <c r="E282" s="212" t="s">
        <v>1732</v>
      </c>
      <c r="F282" s="212"/>
      <c r="G282" s="212"/>
      <c r="H282" s="212"/>
      <c r="I282" s="212"/>
      <c r="J282" s="215" t="s">
        <v>1736</v>
      </c>
      <c r="K282" s="215"/>
      <c r="L282" s="215"/>
      <c r="M282" s="212"/>
      <c r="N282" s="215"/>
      <c r="O282" s="219"/>
      <c r="P282" s="212"/>
      <c r="Q282" s="212"/>
      <c r="R282" s="212"/>
      <c r="S282" s="212"/>
      <c r="T282" s="215"/>
      <c r="U282" s="171" t="s">
        <v>3708</v>
      </c>
    </row>
    <row r="283" spans="1:21">
      <c r="A283" s="774"/>
      <c r="B283" s="223" t="s">
        <v>4577</v>
      </c>
      <c r="C283" s="213" t="s">
        <v>4559</v>
      </c>
      <c r="D283" s="213" t="s">
        <v>4578</v>
      </c>
      <c r="E283" s="212" t="s">
        <v>1732</v>
      </c>
      <c r="F283" s="212"/>
      <c r="G283" s="212"/>
      <c r="H283" s="212"/>
      <c r="I283" s="212"/>
      <c r="J283" s="215" t="s">
        <v>1736</v>
      </c>
      <c r="K283" s="215"/>
      <c r="L283" s="215"/>
      <c r="M283" s="212"/>
      <c r="N283" s="215"/>
      <c r="O283" s="219"/>
      <c r="P283" s="212"/>
      <c r="Q283" s="212"/>
      <c r="R283" s="212"/>
      <c r="S283" s="212"/>
      <c r="T283" s="215"/>
      <c r="U283" s="171" t="s">
        <v>3708</v>
      </c>
    </row>
    <row r="284" spans="1:21">
      <c r="A284" s="774"/>
      <c r="B284" s="223" t="s">
        <v>4579</v>
      </c>
      <c r="C284" s="213" t="s">
        <v>4559</v>
      </c>
      <c r="D284" s="213" t="s">
        <v>4580</v>
      </c>
      <c r="E284" s="212" t="s">
        <v>1743</v>
      </c>
      <c r="F284" s="212"/>
      <c r="G284" s="212"/>
      <c r="H284" s="212"/>
      <c r="I284" s="212"/>
      <c r="J284" s="215" t="s">
        <v>1736</v>
      </c>
      <c r="K284" s="215"/>
      <c r="L284" s="215"/>
      <c r="M284" s="212"/>
      <c r="N284" s="215"/>
      <c r="O284" s="219"/>
      <c r="P284" s="212"/>
      <c r="Q284" s="212"/>
      <c r="R284" s="212"/>
      <c r="S284" s="212"/>
      <c r="T284" s="215"/>
      <c r="U284" s="171" t="s">
        <v>3708</v>
      </c>
    </row>
    <row r="285" spans="1:21">
      <c r="A285" s="774"/>
      <c r="B285" s="223" t="s">
        <v>4581</v>
      </c>
      <c r="C285" s="213" t="s">
        <v>4559</v>
      </c>
      <c r="D285" s="213" t="s">
        <v>4568</v>
      </c>
      <c r="E285" s="212" t="s">
        <v>1743</v>
      </c>
      <c r="F285" s="212"/>
      <c r="G285" s="212"/>
      <c r="H285" s="212"/>
      <c r="I285" s="212"/>
      <c r="J285" s="215" t="s">
        <v>1736</v>
      </c>
      <c r="K285" s="215"/>
      <c r="L285" s="215"/>
      <c r="M285" s="212"/>
      <c r="N285" s="215"/>
      <c r="O285" s="219"/>
      <c r="P285" s="212"/>
      <c r="Q285" s="212"/>
      <c r="R285" s="212"/>
      <c r="S285" s="212"/>
      <c r="T285" s="215"/>
      <c r="U285" s="171" t="s">
        <v>3708</v>
      </c>
    </row>
    <row r="286" spans="1:21">
      <c r="A286" s="774"/>
      <c r="B286" s="223" t="s">
        <v>4582</v>
      </c>
      <c r="C286" s="213" t="s">
        <v>4559</v>
      </c>
      <c r="D286" s="213" t="s">
        <v>4583</v>
      </c>
      <c r="E286" s="212" t="s">
        <v>1743</v>
      </c>
      <c r="F286" s="212"/>
      <c r="G286" s="212"/>
      <c r="H286" s="212"/>
      <c r="I286" s="212"/>
      <c r="J286" s="215" t="s">
        <v>1736</v>
      </c>
      <c r="K286" s="215"/>
      <c r="L286" s="215"/>
      <c r="M286" s="212"/>
      <c r="N286" s="215"/>
      <c r="O286" s="219"/>
      <c r="P286" s="212"/>
      <c r="Q286" s="212"/>
      <c r="R286" s="212"/>
      <c r="S286" s="212"/>
      <c r="T286" s="215"/>
      <c r="U286" s="171" t="s">
        <v>3708</v>
      </c>
    </row>
    <row r="287" spans="1:21">
      <c r="A287" s="774"/>
      <c r="B287" s="223" t="s">
        <v>4584</v>
      </c>
      <c r="C287" s="213" t="s">
        <v>4559</v>
      </c>
      <c r="D287" s="213" t="s">
        <v>4585</v>
      </c>
      <c r="E287" s="212" t="s">
        <v>1743</v>
      </c>
      <c r="F287" s="212"/>
      <c r="G287" s="212"/>
      <c r="H287" s="212"/>
      <c r="I287" s="212"/>
      <c r="J287" s="215" t="s">
        <v>1736</v>
      </c>
      <c r="K287" s="215"/>
      <c r="L287" s="215"/>
      <c r="M287" s="212"/>
      <c r="N287" s="215"/>
      <c r="O287" s="219"/>
      <c r="P287" s="212"/>
      <c r="Q287" s="212"/>
      <c r="R287" s="212"/>
      <c r="S287" s="212"/>
      <c r="T287" s="215"/>
      <c r="U287" s="171" t="s">
        <v>3708</v>
      </c>
    </row>
    <row r="288" spans="1:21">
      <c r="A288" s="774"/>
      <c r="B288" s="223" t="s">
        <v>4586</v>
      </c>
      <c r="C288" s="213" t="s">
        <v>4559</v>
      </c>
      <c r="D288" s="213" t="s">
        <v>4570</v>
      </c>
      <c r="E288" s="212" t="s">
        <v>1743</v>
      </c>
      <c r="F288" s="212"/>
      <c r="G288" s="212"/>
      <c r="H288" s="212"/>
      <c r="I288" s="212"/>
      <c r="J288" s="215" t="s">
        <v>1736</v>
      </c>
      <c r="K288" s="215"/>
      <c r="L288" s="215"/>
      <c r="M288" s="212"/>
      <c r="N288" s="215"/>
      <c r="O288" s="219"/>
      <c r="P288" s="212"/>
      <c r="Q288" s="212"/>
      <c r="R288" s="212"/>
      <c r="S288" s="212"/>
      <c r="T288" s="215"/>
      <c r="U288" s="171" t="s">
        <v>3708</v>
      </c>
    </row>
    <row r="289" spans="1:21">
      <c r="A289" s="774"/>
      <c r="B289" s="223" t="s">
        <v>4587</v>
      </c>
      <c r="C289" s="213" t="s">
        <v>4559</v>
      </c>
      <c r="D289" s="213" t="s">
        <v>4574</v>
      </c>
      <c r="E289" s="212" t="s">
        <v>1743</v>
      </c>
      <c r="F289" s="212"/>
      <c r="G289" s="212"/>
      <c r="H289" s="212"/>
      <c r="I289" s="212"/>
      <c r="J289" s="215" t="s">
        <v>1736</v>
      </c>
      <c r="K289" s="215"/>
      <c r="L289" s="215"/>
      <c r="M289" s="212"/>
      <c r="N289" s="215"/>
      <c r="O289" s="219"/>
      <c r="P289" s="212"/>
      <c r="Q289" s="212"/>
      <c r="R289" s="212"/>
      <c r="S289" s="212"/>
      <c r="T289" s="215"/>
      <c r="U289" s="171" t="s">
        <v>3708</v>
      </c>
    </row>
    <row r="290" spans="1:21">
      <c r="A290" s="773"/>
      <c r="B290" s="223" t="s">
        <v>4588</v>
      </c>
      <c r="C290" s="213" t="s">
        <v>4559</v>
      </c>
      <c r="D290" s="213" t="s">
        <v>4589</v>
      </c>
      <c r="E290" s="212" t="s">
        <v>1743</v>
      </c>
      <c r="F290" s="212"/>
      <c r="G290" s="212"/>
      <c r="H290" s="212"/>
      <c r="I290" s="212"/>
      <c r="J290" s="215" t="s">
        <v>1736</v>
      </c>
      <c r="K290" s="215"/>
      <c r="L290" s="215"/>
      <c r="M290" s="212"/>
      <c r="N290" s="215"/>
      <c r="O290" s="219"/>
      <c r="P290" s="212"/>
      <c r="Q290" s="212"/>
      <c r="R290" s="212"/>
      <c r="S290" s="212"/>
      <c r="T290" s="215"/>
      <c r="U290" s="171" t="s">
        <v>3708</v>
      </c>
    </row>
    <row r="291" spans="1:21">
      <c r="A291" s="696" t="s">
        <v>4590</v>
      </c>
      <c r="B291" s="223" t="s">
        <v>4591</v>
      </c>
      <c r="C291" s="213" t="s">
        <v>658</v>
      </c>
      <c r="D291" s="213" t="s">
        <v>4592</v>
      </c>
      <c r="E291" s="212" t="s">
        <v>1732</v>
      </c>
      <c r="F291" s="212"/>
      <c r="G291" s="212"/>
      <c r="H291" s="212"/>
      <c r="I291" s="213" t="s">
        <v>4593</v>
      </c>
      <c r="J291" s="214" t="s">
        <v>1736</v>
      </c>
      <c r="K291" s="214" t="s">
        <v>1737</v>
      </c>
      <c r="L291" s="214" t="s">
        <v>1737</v>
      </c>
      <c r="M291" s="212"/>
      <c r="N291" s="215" t="s">
        <v>3810</v>
      </c>
      <c r="O291" s="219" t="s">
        <v>4594</v>
      </c>
      <c r="P291" s="212"/>
      <c r="Q291" s="212"/>
      <c r="R291" s="212"/>
      <c r="S291" s="212"/>
      <c r="T291" s="215" t="s">
        <v>3810</v>
      </c>
      <c r="U291" s="171" t="s">
        <v>3708</v>
      </c>
    </row>
    <row r="292" spans="1:21">
      <c r="A292" s="774"/>
      <c r="B292" s="223" t="s">
        <v>4595</v>
      </c>
      <c r="C292" s="213" t="s">
        <v>658</v>
      </c>
      <c r="D292" s="213" t="s">
        <v>4596</v>
      </c>
      <c r="E292" s="212" t="s">
        <v>1732</v>
      </c>
      <c r="F292" s="212"/>
      <c r="G292" s="212"/>
      <c r="H292" s="212"/>
      <c r="I292" s="213" t="s">
        <v>4597</v>
      </c>
      <c r="J292" s="214" t="s">
        <v>1736</v>
      </c>
      <c r="K292" s="214" t="s">
        <v>1737</v>
      </c>
      <c r="L292" s="214" t="s">
        <v>1737</v>
      </c>
      <c r="M292" s="212"/>
      <c r="N292" s="215" t="s">
        <v>3901</v>
      </c>
      <c r="O292" s="219" t="s">
        <v>4598</v>
      </c>
      <c r="P292" s="212"/>
      <c r="Q292" s="212"/>
      <c r="R292" s="212"/>
      <c r="S292" s="212"/>
      <c r="T292" s="215"/>
      <c r="U292" s="171" t="s">
        <v>3708</v>
      </c>
    </row>
    <row r="293" spans="1:21">
      <c r="A293" s="774"/>
      <c r="B293" s="223" t="s">
        <v>4599</v>
      </c>
      <c r="C293" s="213" t="s">
        <v>658</v>
      </c>
      <c r="D293" s="213" t="s">
        <v>4600</v>
      </c>
      <c r="E293" s="212" t="s">
        <v>1743</v>
      </c>
      <c r="F293" s="212"/>
      <c r="G293" s="212"/>
      <c r="H293" s="212"/>
      <c r="I293" s="213" t="s">
        <v>4601</v>
      </c>
      <c r="J293" s="214" t="s">
        <v>1736</v>
      </c>
      <c r="K293" s="214" t="s">
        <v>1737</v>
      </c>
      <c r="L293" s="214" t="s">
        <v>1737</v>
      </c>
      <c r="M293" s="212"/>
      <c r="N293" s="215" t="s">
        <v>3163</v>
      </c>
      <c r="O293" s="219" t="s">
        <v>4602</v>
      </c>
      <c r="P293" s="212"/>
      <c r="Q293" s="212"/>
      <c r="R293" s="212"/>
      <c r="S293" s="212"/>
      <c r="T293" s="215"/>
      <c r="U293" s="171" t="s">
        <v>3708</v>
      </c>
    </row>
    <row r="294" spans="1:21">
      <c r="A294" s="774"/>
      <c r="B294" s="223" t="s">
        <v>4603</v>
      </c>
      <c r="C294" s="213" t="s">
        <v>658</v>
      </c>
      <c r="D294" s="213" t="s">
        <v>4604</v>
      </c>
      <c r="E294" s="212" t="s">
        <v>1743</v>
      </c>
      <c r="F294" s="212"/>
      <c r="G294" s="212"/>
      <c r="H294" s="212"/>
      <c r="I294" s="213" t="s">
        <v>4605</v>
      </c>
      <c r="J294" s="214" t="s">
        <v>1736</v>
      </c>
      <c r="K294" s="214" t="s">
        <v>1737</v>
      </c>
      <c r="L294" s="214" t="s">
        <v>1737</v>
      </c>
      <c r="M294" s="212"/>
      <c r="N294" s="215" t="s">
        <v>3154</v>
      </c>
      <c r="O294" s="219" t="s">
        <v>4606</v>
      </c>
      <c r="P294" s="212"/>
      <c r="Q294" s="212"/>
      <c r="R294" s="212"/>
      <c r="S294" s="212"/>
      <c r="T294" s="215"/>
      <c r="U294" s="171" t="s">
        <v>3708</v>
      </c>
    </row>
    <row r="295" spans="1:21">
      <c r="A295" s="774"/>
      <c r="B295" s="223" t="s">
        <v>4607</v>
      </c>
      <c r="C295" s="213" t="s">
        <v>658</v>
      </c>
      <c r="D295" s="213" t="s">
        <v>4608</v>
      </c>
      <c r="E295" s="212" t="s">
        <v>1743</v>
      </c>
      <c r="F295" s="212"/>
      <c r="G295" s="212"/>
      <c r="H295" s="212"/>
      <c r="I295" s="213" t="s">
        <v>4609</v>
      </c>
      <c r="J295" s="214" t="s">
        <v>1736</v>
      </c>
      <c r="K295" s="214" t="s">
        <v>1737</v>
      </c>
      <c r="L295" s="214" t="s">
        <v>1737</v>
      </c>
      <c r="M295" s="212"/>
      <c r="N295" s="215" t="s">
        <v>3154</v>
      </c>
      <c r="O295" s="219" t="s">
        <v>4610</v>
      </c>
      <c r="P295" s="212"/>
      <c r="Q295" s="212"/>
      <c r="R295" s="212"/>
      <c r="S295" s="212"/>
      <c r="T295" s="215"/>
      <c r="U295" s="171" t="s">
        <v>3708</v>
      </c>
    </row>
    <row r="296" spans="1:21">
      <c r="A296" s="774"/>
      <c r="B296" s="223" t="s">
        <v>4611</v>
      </c>
      <c r="C296" s="213" t="s">
        <v>658</v>
      </c>
      <c r="D296" s="213" t="s">
        <v>4612</v>
      </c>
      <c r="E296" s="212" t="s">
        <v>1743</v>
      </c>
      <c r="F296" s="212"/>
      <c r="G296" s="212"/>
      <c r="H296" s="212"/>
      <c r="I296" s="213" t="s">
        <v>4613</v>
      </c>
      <c r="J296" s="214" t="s">
        <v>1736</v>
      </c>
      <c r="K296" s="214" t="s">
        <v>1737</v>
      </c>
      <c r="L296" s="214" t="s">
        <v>1737</v>
      </c>
      <c r="M296" s="212"/>
      <c r="N296" s="215" t="s">
        <v>4307</v>
      </c>
      <c r="O296" s="219" t="s">
        <v>4614</v>
      </c>
      <c r="P296" s="212"/>
      <c r="Q296" s="212"/>
      <c r="R296" s="212"/>
      <c r="S296" s="212"/>
      <c r="T296" s="215"/>
      <c r="U296" s="171" t="s">
        <v>3708</v>
      </c>
    </row>
    <row r="297" spans="1:21">
      <c r="A297" s="773"/>
      <c r="B297" s="223" t="s">
        <v>4615</v>
      </c>
      <c r="C297" s="213" t="s">
        <v>658</v>
      </c>
      <c r="D297" s="213" t="s">
        <v>4538</v>
      </c>
      <c r="E297" s="212" t="s">
        <v>1743</v>
      </c>
      <c r="F297" s="212"/>
      <c r="G297" s="212"/>
      <c r="H297" s="212"/>
      <c r="I297" s="213" t="s">
        <v>4616</v>
      </c>
      <c r="J297" s="214" t="s">
        <v>1736</v>
      </c>
      <c r="K297" s="214" t="s">
        <v>1737</v>
      </c>
      <c r="L297" s="214" t="s">
        <v>1737</v>
      </c>
      <c r="M297" s="212"/>
      <c r="N297" s="215" t="s">
        <v>3810</v>
      </c>
      <c r="O297" s="219" t="s">
        <v>4617</v>
      </c>
      <c r="P297" s="212"/>
      <c r="Q297" s="212"/>
      <c r="R297" s="212"/>
      <c r="S297" s="212"/>
      <c r="T297" s="215" t="s">
        <v>3810</v>
      </c>
      <c r="U297" s="171" t="s">
        <v>3708</v>
      </c>
    </row>
    <row r="298" spans="1:21">
      <c r="A298" s="696" t="s">
        <v>4618</v>
      </c>
      <c r="B298" s="223" t="s">
        <v>4619</v>
      </c>
      <c r="C298" s="213" t="s">
        <v>3836</v>
      </c>
      <c r="D298" s="213" t="s">
        <v>4620</v>
      </c>
      <c r="E298" s="212" t="s">
        <v>1732</v>
      </c>
      <c r="F298" s="212"/>
      <c r="G298" s="212"/>
      <c r="H298" s="212"/>
      <c r="I298" s="213" t="s">
        <v>4621</v>
      </c>
      <c r="J298" s="214" t="s">
        <v>1736</v>
      </c>
      <c r="K298" s="214" t="s">
        <v>1737</v>
      </c>
      <c r="L298" s="214" t="s">
        <v>1737</v>
      </c>
      <c r="M298" s="212"/>
      <c r="N298" s="215" t="s">
        <v>4079</v>
      </c>
      <c r="O298" s="219" t="s">
        <v>4622</v>
      </c>
      <c r="P298" s="212"/>
      <c r="Q298" s="212"/>
      <c r="R298" s="212"/>
      <c r="S298" s="212"/>
      <c r="T298" s="215"/>
      <c r="U298" s="171" t="s">
        <v>3708</v>
      </c>
    </row>
    <row r="299" spans="1:21">
      <c r="A299" s="774"/>
      <c r="B299" s="223" t="s">
        <v>4623</v>
      </c>
      <c r="C299" s="213" t="s">
        <v>3836</v>
      </c>
      <c r="D299" s="213" t="s">
        <v>4624</v>
      </c>
      <c r="E299" s="212" t="s">
        <v>1732</v>
      </c>
      <c r="F299" s="212"/>
      <c r="G299" s="212"/>
      <c r="H299" s="212"/>
      <c r="I299" s="213" t="s">
        <v>4625</v>
      </c>
      <c r="J299" s="214" t="s">
        <v>1736</v>
      </c>
      <c r="K299" s="214" t="s">
        <v>1737</v>
      </c>
      <c r="L299" s="214" t="s">
        <v>1737</v>
      </c>
      <c r="M299" s="212"/>
      <c r="N299" s="215" t="s">
        <v>4079</v>
      </c>
      <c r="O299" s="219" t="s">
        <v>4626</v>
      </c>
      <c r="P299" s="212"/>
      <c r="Q299" s="212"/>
      <c r="R299" s="212"/>
      <c r="S299" s="212"/>
      <c r="T299" s="215"/>
      <c r="U299" s="171" t="s">
        <v>3708</v>
      </c>
    </row>
    <row r="300" spans="1:21">
      <c r="A300" s="774"/>
      <c r="B300" s="223" t="s">
        <v>4627</v>
      </c>
      <c r="C300" s="213" t="s">
        <v>3836</v>
      </c>
      <c r="D300" s="213" t="s">
        <v>4628</v>
      </c>
      <c r="E300" s="212" t="s">
        <v>1732</v>
      </c>
      <c r="F300" s="212"/>
      <c r="G300" s="212"/>
      <c r="H300" s="212"/>
      <c r="I300" s="213" t="s">
        <v>4629</v>
      </c>
      <c r="J300" s="214" t="s">
        <v>1736</v>
      </c>
      <c r="K300" s="214" t="s">
        <v>1737</v>
      </c>
      <c r="L300" s="214" t="s">
        <v>1737</v>
      </c>
      <c r="M300" s="212"/>
      <c r="N300" s="215" t="s">
        <v>4079</v>
      </c>
      <c r="O300" s="219" t="s">
        <v>4630</v>
      </c>
      <c r="P300" s="212"/>
      <c r="Q300" s="212"/>
      <c r="R300" s="212"/>
      <c r="S300" s="212"/>
      <c r="T300" s="215"/>
      <c r="U300" s="171" t="s">
        <v>3708</v>
      </c>
    </row>
    <row r="301" spans="1:21">
      <c r="A301" s="774"/>
      <c r="B301" s="223" t="s">
        <v>4631</v>
      </c>
      <c r="C301" s="213" t="s">
        <v>3836</v>
      </c>
      <c r="D301" s="213" t="s">
        <v>4632</v>
      </c>
      <c r="E301" s="212" t="s">
        <v>1732</v>
      </c>
      <c r="F301" s="212"/>
      <c r="G301" s="212"/>
      <c r="H301" s="212"/>
      <c r="I301" s="213" t="s">
        <v>4633</v>
      </c>
      <c r="J301" s="214" t="s">
        <v>1736</v>
      </c>
      <c r="K301" s="214" t="s">
        <v>1737</v>
      </c>
      <c r="L301" s="214" t="s">
        <v>1737</v>
      </c>
      <c r="M301" s="212"/>
      <c r="N301" s="215" t="s">
        <v>3850</v>
      </c>
      <c r="O301" s="219" t="s">
        <v>4634</v>
      </c>
      <c r="P301" s="212"/>
      <c r="Q301" s="212"/>
      <c r="R301" s="212"/>
      <c r="S301" s="212"/>
      <c r="T301" s="215"/>
      <c r="U301" s="171" t="s">
        <v>3708</v>
      </c>
    </row>
    <row r="302" spans="1:21">
      <c r="A302" s="774"/>
      <c r="B302" s="223" t="s">
        <v>4635</v>
      </c>
      <c r="C302" s="213" t="s">
        <v>3836</v>
      </c>
      <c r="D302" s="213" t="s">
        <v>4636</v>
      </c>
      <c r="E302" s="212" t="s">
        <v>1732</v>
      </c>
      <c r="F302" s="212"/>
      <c r="G302" s="212"/>
      <c r="H302" s="212"/>
      <c r="I302" s="213" t="s">
        <v>4637</v>
      </c>
      <c r="J302" s="214" t="s">
        <v>1736</v>
      </c>
      <c r="K302" s="214" t="s">
        <v>1737</v>
      </c>
      <c r="L302" s="214" t="s">
        <v>1737</v>
      </c>
      <c r="M302" s="212"/>
      <c r="N302" s="215" t="s">
        <v>4638</v>
      </c>
      <c r="O302" s="219" t="s">
        <v>4639</v>
      </c>
      <c r="P302" s="212"/>
      <c r="Q302" s="212"/>
      <c r="R302" s="212"/>
      <c r="S302" s="212"/>
      <c r="T302" s="215"/>
      <c r="U302" s="171" t="s">
        <v>3708</v>
      </c>
    </row>
    <row r="303" spans="1:21">
      <c r="A303" s="774"/>
      <c r="B303" s="223" t="s">
        <v>4640</v>
      </c>
      <c r="C303" s="213" t="s">
        <v>3836</v>
      </c>
      <c r="D303" s="213" t="s">
        <v>4641</v>
      </c>
      <c r="E303" s="212" t="s">
        <v>1732</v>
      </c>
      <c r="F303" s="212"/>
      <c r="G303" s="212"/>
      <c r="H303" s="212"/>
      <c r="I303" s="213" t="s">
        <v>4642</v>
      </c>
      <c r="J303" s="214" t="s">
        <v>1736</v>
      </c>
      <c r="K303" s="214" t="s">
        <v>1737</v>
      </c>
      <c r="L303" s="214" t="s">
        <v>1737</v>
      </c>
      <c r="M303" s="212"/>
      <c r="N303" s="215" t="s">
        <v>3147</v>
      </c>
      <c r="O303" s="219" t="s">
        <v>4643</v>
      </c>
      <c r="P303" s="212"/>
      <c r="Q303" s="212"/>
      <c r="R303" s="212"/>
      <c r="S303" s="212"/>
      <c r="T303" s="215"/>
      <c r="U303" s="171" t="s">
        <v>3708</v>
      </c>
    </row>
    <row r="304" spans="1:21">
      <c r="A304" s="774"/>
      <c r="B304" s="223" t="s">
        <v>4644</v>
      </c>
      <c r="C304" s="213" t="s">
        <v>3836</v>
      </c>
      <c r="D304" s="213" t="s">
        <v>4645</v>
      </c>
      <c r="E304" s="212" t="s">
        <v>1732</v>
      </c>
      <c r="F304" s="212"/>
      <c r="G304" s="212"/>
      <c r="H304" s="212"/>
      <c r="I304" s="213" t="s">
        <v>4646</v>
      </c>
      <c r="J304" s="215" t="s">
        <v>1736</v>
      </c>
      <c r="K304" s="215"/>
      <c r="L304" s="215"/>
      <c r="M304" s="212"/>
      <c r="N304" s="215"/>
      <c r="O304" s="219"/>
      <c r="P304" s="212"/>
      <c r="Q304" s="212"/>
      <c r="R304" s="212"/>
      <c r="S304" s="212"/>
      <c r="T304" s="215"/>
      <c r="U304" s="171" t="s">
        <v>3708</v>
      </c>
    </row>
    <row r="305" spans="1:21">
      <c r="A305" s="774"/>
      <c r="B305" s="223" t="s">
        <v>4647</v>
      </c>
      <c r="C305" s="213" t="s">
        <v>3836</v>
      </c>
      <c r="D305" s="213" t="s">
        <v>4648</v>
      </c>
      <c r="E305" s="212" t="s">
        <v>1732</v>
      </c>
      <c r="F305" s="212"/>
      <c r="G305" s="212"/>
      <c r="H305" s="212"/>
      <c r="I305" s="213" t="s">
        <v>4649</v>
      </c>
      <c r="J305" s="214" t="s">
        <v>1736</v>
      </c>
      <c r="K305" s="214" t="s">
        <v>1737</v>
      </c>
      <c r="L305" s="214" t="s">
        <v>1737</v>
      </c>
      <c r="M305" s="212"/>
      <c r="N305" s="215" t="s">
        <v>3154</v>
      </c>
      <c r="O305" s="219" t="s">
        <v>4650</v>
      </c>
      <c r="P305" s="212"/>
      <c r="Q305" s="212"/>
      <c r="R305" s="212"/>
      <c r="S305" s="212"/>
      <c r="T305" s="215"/>
      <c r="U305" s="171" t="s">
        <v>3708</v>
      </c>
    </row>
    <row r="306" spans="1:21">
      <c r="A306" s="774"/>
      <c r="B306" s="223" t="s">
        <v>4651</v>
      </c>
      <c r="C306" s="213" t="s">
        <v>3836</v>
      </c>
      <c r="D306" s="213" t="s">
        <v>4652</v>
      </c>
      <c r="E306" s="212" t="s">
        <v>1732</v>
      </c>
      <c r="F306" s="212"/>
      <c r="G306" s="212"/>
      <c r="H306" s="212"/>
      <c r="I306" s="213" t="s">
        <v>4653</v>
      </c>
      <c r="J306" s="214" t="s">
        <v>1736</v>
      </c>
      <c r="K306" s="214" t="s">
        <v>1737</v>
      </c>
      <c r="L306" s="214" t="s">
        <v>1737</v>
      </c>
      <c r="M306" s="212"/>
      <c r="N306" s="215" t="s">
        <v>4638</v>
      </c>
      <c r="O306" s="219" t="s">
        <v>4654</v>
      </c>
      <c r="P306" s="212"/>
      <c r="Q306" s="212"/>
      <c r="R306" s="212"/>
      <c r="S306" s="212"/>
      <c r="T306" s="215"/>
      <c r="U306" s="171" t="s">
        <v>3708</v>
      </c>
    </row>
    <row r="307" spans="1:21">
      <c r="A307" s="774"/>
      <c r="B307" s="223" t="s">
        <v>4655</v>
      </c>
      <c r="C307" s="213" t="s">
        <v>3836</v>
      </c>
      <c r="D307" s="213" t="s">
        <v>4656</v>
      </c>
      <c r="E307" s="212" t="s">
        <v>1732</v>
      </c>
      <c r="F307" s="212"/>
      <c r="G307" s="212"/>
      <c r="H307" s="212"/>
      <c r="I307" s="213" t="s">
        <v>4657</v>
      </c>
      <c r="J307" s="214" t="s">
        <v>1736</v>
      </c>
      <c r="K307" s="214" t="s">
        <v>1737</v>
      </c>
      <c r="L307" s="214" t="s">
        <v>1737</v>
      </c>
      <c r="M307" s="212"/>
      <c r="N307" s="215" t="s">
        <v>4658</v>
      </c>
      <c r="O307" s="219" t="s">
        <v>4659</v>
      </c>
      <c r="P307" s="212"/>
      <c r="Q307" s="212"/>
      <c r="R307" s="212"/>
      <c r="S307" s="212"/>
      <c r="T307" s="215"/>
      <c r="U307" s="171" t="s">
        <v>3708</v>
      </c>
    </row>
    <row r="308" spans="1:21">
      <c r="A308" s="774"/>
      <c r="B308" s="223" t="s">
        <v>4660</v>
      </c>
      <c r="C308" s="213" t="s">
        <v>3836</v>
      </c>
      <c r="D308" s="213" t="s">
        <v>4661</v>
      </c>
      <c r="E308" s="212" t="s">
        <v>1732</v>
      </c>
      <c r="F308" s="212"/>
      <c r="G308" s="212"/>
      <c r="H308" s="212"/>
      <c r="I308" s="212"/>
      <c r="J308" s="214" t="s">
        <v>1736</v>
      </c>
      <c r="K308" s="214" t="s">
        <v>1737</v>
      </c>
      <c r="L308" s="214" t="s">
        <v>1737</v>
      </c>
      <c r="M308" s="212"/>
      <c r="N308" s="215" t="s">
        <v>4658</v>
      </c>
      <c r="O308" s="219" t="s">
        <v>4662</v>
      </c>
      <c r="P308" s="212"/>
      <c r="Q308" s="212"/>
      <c r="R308" s="212"/>
      <c r="S308" s="212"/>
      <c r="T308" s="215"/>
      <c r="U308" s="171" t="s">
        <v>3708</v>
      </c>
    </row>
    <row r="309" spans="1:21">
      <c r="A309" s="774"/>
      <c r="B309" s="223" t="s">
        <v>4663</v>
      </c>
      <c r="C309" s="213" t="s">
        <v>3836</v>
      </c>
      <c r="D309" s="213" t="s">
        <v>4664</v>
      </c>
      <c r="E309" s="212" t="s">
        <v>1743</v>
      </c>
      <c r="F309" s="212"/>
      <c r="G309" s="212"/>
      <c r="H309" s="212"/>
      <c r="I309" s="212"/>
      <c r="J309" s="214" t="s">
        <v>1736</v>
      </c>
      <c r="K309" s="214" t="s">
        <v>1737</v>
      </c>
      <c r="L309" s="214" t="s">
        <v>1737</v>
      </c>
      <c r="M309" s="212"/>
      <c r="N309" s="215" t="s">
        <v>3861</v>
      </c>
      <c r="O309" s="219" t="s">
        <v>4665</v>
      </c>
      <c r="P309" s="212"/>
      <c r="Q309" s="212"/>
      <c r="R309" s="212"/>
      <c r="S309" s="212"/>
      <c r="T309" s="215"/>
      <c r="U309" s="171" t="s">
        <v>3708</v>
      </c>
    </row>
    <row r="310" spans="1:21">
      <c r="A310" s="774"/>
      <c r="B310" s="231" t="s">
        <v>4666</v>
      </c>
      <c r="C310" s="213" t="s">
        <v>3836</v>
      </c>
      <c r="D310" s="213" t="s">
        <v>4620</v>
      </c>
      <c r="E310" s="212" t="s">
        <v>1732</v>
      </c>
      <c r="F310" s="212"/>
      <c r="G310" s="212"/>
      <c r="H310" s="212"/>
      <c r="I310" s="213" t="s">
        <v>4667</v>
      </c>
      <c r="J310" s="214" t="s">
        <v>1736</v>
      </c>
      <c r="K310" s="214" t="s">
        <v>1737</v>
      </c>
      <c r="L310" s="214" t="s">
        <v>1737</v>
      </c>
      <c r="M310" s="212"/>
      <c r="N310" s="215" t="s">
        <v>4079</v>
      </c>
      <c r="O310" s="219" t="s">
        <v>4668</v>
      </c>
      <c r="P310" s="212"/>
      <c r="Q310" s="212"/>
      <c r="R310" s="212"/>
      <c r="S310" s="212"/>
      <c r="T310" s="215"/>
      <c r="U310" s="171" t="s">
        <v>3708</v>
      </c>
    </row>
    <row r="311" spans="1:21">
      <c r="A311" s="774"/>
      <c r="B311" s="231" t="s">
        <v>4669</v>
      </c>
      <c r="C311" s="213" t="s">
        <v>3836</v>
      </c>
      <c r="D311" s="213" t="s">
        <v>4624</v>
      </c>
      <c r="E311" s="212" t="s">
        <v>1732</v>
      </c>
      <c r="F311" s="212"/>
      <c r="G311" s="212"/>
      <c r="H311" s="212"/>
      <c r="I311" s="213" t="s">
        <v>4670</v>
      </c>
      <c r="J311" s="214" t="s">
        <v>1736</v>
      </c>
      <c r="K311" s="214" t="s">
        <v>1737</v>
      </c>
      <c r="L311" s="214" t="s">
        <v>1737</v>
      </c>
      <c r="M311" s="212"/>
      <c r="N311" s="215" t="s">
        <v>4079</v>
      </c>
      <c r="O311" s="219" t="s">
        <v>4671</v>
      </c>
      <c r="P311" s="212"/>
      <c r="Q311" s="212"/>
      <c r="R311" s="212"/>
      <c r="S311" s="212"/>
      <c r="T311" s="215"/>
      <c r="U311" s="171" t="s">
        <v>3708</v>
      </c>
    </row>
    <row r="312" spans="1:21">
      <c r="A312" s="774"/>
      <c r="B312" s="231" t="s">
        <v>4672</v>
      </c>
      <c r="C312" s="213" t="s">
        <v>3836</v>
      </c>
      <c r="D312" s="213" t="s">
        <v>4628</v>
      </c>
      <c r="E312" s="212" t="s">
        <v>1732</v>
      </c>
      <c r="F312" s="212"/>
      <c r="G312" s="212"/>
      <c r="H312" s="212"/>
      <c r="I312" s="213" t="s">
        <v>4673</v>
      </c>
      <c r="J312" s="214" t="s">
        <v>1736</v>
      </c>
      <c r="K312" s="214" t="s">
        <v>1737</v>
      </c>
      <c r="L312" s="214" t="s">
        <v>1737</v>
      </c>
      <c r="M312" s="212"/>
      <c r="N312" s="215" t="s">
        <v>4079</v>
      </c>
      <c r="O312" s="219" t="s">
        <v>4674</v>
      </c>
      <c r="P312" s="212"/>
      <c r="Q312" s="212"/>
      <c r="R312" s="212"/>
      <c r="S312" s="212"/>
      <c r="T312" s="215"/>
      <c r="U312" s="171" t="s">
        <v>3708</v>
      </c>
    </row>
    <row r="313" spans="1:21">
      <c r="A313" s="774"/>
      <c r="B313" s="231" t="s">
        <v>4675</v>
      </c>
      <c r="C313" s="213" t="s">
        <v>3836</v>
      </c>
      <c r="D313" s="213" t="s">
        <v>4632</v>
      </c>
      <c r="E313" s="212" t="s">
        <v>1732</v>
      </c>
      <c r="F313" s="212"/>
      <c r="G313" s="212"/>
      <c r="H313" s="212"/>
      <c r="I313" s="212"/>
      <c r="J313" s="214" t="s">
        <v>1736</v>
      </c>
      <c r="K313" s="214" t="s">
        <v>1737</v>
      </c>
      <c r="L313" s="214" t="s">
        <v>1737</v>
      </c>
      <c r="M313" s="212"/>
      <c r="N313" s="215" t="s">
        <v>4676</v>
      </c>
      <c r="O313" s="219" t="s">
        <v>4677</v>
      </c>
      <c r="P313" s="212"/>
      <c r="Q313" s="212"/>
      <c r="R313" s="212"/>
      <c r="S313" s="212"/>
      <c r="T313" s="215"/>
      <c r="U313" s="171" t="s">
        <v>3708</v>
      </c>
    </row>
    <row r="314" spans="1:21">
      <c r="A314" s="774"/>
      <c r="B314" s="231" t="s">
        <v>4678</v>
      </c>
      <c r="C314" s="213" t="s">
        <v>3836</v>
      </c>
      <c r="D314" s="213" t="s">
        <v>4656</v>
      </c>
      <c r="E314" s="212" t="s">
        <v>1732</v>
      </c>
      <c r="F314" s="212"/>
      <c r="G314" s="212"/>
      <c r="H314" s="212"/>
      <c r="I314" s="212" t="s">
        <v>4679</v>
      </c>
      <c r="J314" s="214" t="s">
        <v>1736</v>
      </c>
      <c r="K314" s="214" t="s">
        <v>1737</v>
      </c>
      <c r="L314" s="214" t="s">
        <v>1737</v>
      </c>
      <c r="M314" s="212"/>
      <c r="N314" s="215" t="s">
        <v>4332</v>
      </c>
      <c r="O314" s="219" t="s">
        <v>4680</v>
      </c>
      <c r="P314" s="212"/>
      <c r="Q314" s="212"/>
      <c r="R314" s="212"/>
      <c r="S314" s="212"/>
      <c r="T314" s="215"/>
      <c r="U314" s="171" t="s">
        <v>3708</v>
      </c>
    </row>
    <row r="315" spans="1:21">
      <c r="A315" s="774"/>
      <c r="B315" s="231" t="s">
        <v>4681</v>
      </c>
      <c r="C315" s="213" t="s">
        <v>3836</v>
      </c>
      <c r="D315" s="213" t="s">
        <v>4661</v>
      </c>
      <c r="E315" s="212" t="s">
        <v>1732</v>
      </c>
      <c r="F315" s="212"/>
      <c r="G315" s="212"/>
      <c r="H315" s="212"/>
      <c r="I315" s="212"/>
      <c r="J315" s="214" t="s">
        <v>1736</v>
      </c>
      <c r="K315" s="214" t="s">
        <v>1737</v>
      </c>
      <c r="L315" s="214" t="s">
        <v>1737</v>
      </c>
      <c r="M315" s="212"/>
      <c r="N315" s="215" t="s">
        <v>4676</v>
      </c>
      <c r="O315" s="219" t="s">
        <v>4682</v>
      </c>
      <c r="P315" s="212"/>
      <c r="Q315" s="212"/>
      <c r="R315" s="212"/>
      <c r="S315" s="212"/>
      <c r="T315" s="215"/>
      <c r="U315" s="171" t="s">
        <v>3708</v>
      </c>
    </row>
    <row r="316" spans="1:21">
      <c r="A316" s="774"/>
      <c r="B316" s="231" t="s">
        <v>4683</v>
      </c>
      <c r="C316" s="213" t="s">
        <v>3836</v>
      </c>
      <c r="D316" s="213" t="s">
        <v>4664</v>
      </c>
      <c r="E316" s="212" t="s">
        <v>1743</v>
      </c>
      <c r="F316" s="212"/>
      <c r="G316" s="212"/>
      <c r="H316" s="212"/>
      <c r="I316" s="213" t="s">
        <v>4684</v>
      </c>
      <c r="J316" s="214" t="s">
        <v>1736</v>
      </c>
      <c r="K316" s="214" t="s">
        <v>1737</v>
      </c>
      <c r="L316" s="214" t="s">
        <v>1737</v>
      </c>
      <c r="M316" s="212"/>
      <c r="N316" s="215" t="s">
        <v>3861</v>
      </c>
      <c r="O316" s="219" t="s">
        <v>4685</v>
      </c>
      <c r="P316" s="212"/>
      <c r="Q316" s="212"/>
      <c r="R316" s="212"/>
      <c r="S316" s="212"/>
      <c r="T316" s="215"/>
      <c r="U316" s="171" t="s">
        <v>3708</v>
      </c>
    </row>
    <row r="317" spans="1:21">
      <c r="A317" s="774"/>
      <c r="B317" s="231" t="s">
        <v>4686</v>
      </c>
      <c r="C317" s="213" t="s">
        <v>3836</v>
      </c>
      <c r="D317" s="213" t="s">
        <v>4687</v>
      </c>
      <c r="E317" s="212" t="s">
        <v>1743</v>
      </c>
      <c r="F317" s="212"/>
      <c r="G317" s="212"/>
      <c r="H317" s="212"/>
      <c r="I317" s="212" t="s">
        <v>4688</v>
      </c>
      <c r="J317" s="214" t="s">
        <v>1736</v>
      </c>
      <c r="K317" s="214" t="s">
        <v>1737</v>
      </c>
      <c r="L317" s="214" t="s">
        <v>1737</v>
      </c>
      <c r="M317" s="212"/>
      <c r="N317" s="215" t="s">
        <v>3854</v>
      </c>
      <c r="O317" s="219" t="s">
        <v>4689</v>
      </c>
      <c r="P317" s="212"/>
      <c r="Q317" s="212"/>
      <c r="R317" s="212"/>
      <c r="S317" s="212"/>
      <c r="T317" s="215"/>
      <c r="U317" s="171" t="s">
        <v>3708</v>
      </c>
    </row>
    <row r="318" spans="1:21">
      <c r="A318" s="774"/>
      <c r="B318" s="231" t="s">
        <v>4690</v>
      </c>
      <c r="C318" s="213" t="s">
        <v>3836</v>
      </c>
      <c r="D318" s="213" t="s">
        <v>4620</v>
      </c>
      <c r="E318" s="212" t="s">
        <v>1732</v>
      </c>
      <c r="F318" s="212"/>
      <c r="G318" s="212"/>
      <c r="H318" s="212"/>
      <c r="I318" s="213" t="s">
        <v>4691</v>
      </c>
      <c r="J318" s="214" t="s">
        <v>1736</v>
      </c>
      <c r="K318" s="214" t="s">
        <v>1737</v>
      </c>
      <c r="L318" s="214" t="s">
        <v>1737</v>
      </c>
      <c r="M318" s="212"/>
      <c r="N318" s="215" t="s">
        <v>4079</v>
      </c>
      <c r="O318" s="219" t="s">
        <v>4692</v>
      </c>
      <c r="P318" s="212"/>
      <c r="Q318" s="212"/>
      <c r="R318" s="212"/>
      <c r="S318" s="212"/>
      <c r="T318" s="215"/>
      <c r="U318" s="171" t="s">
        <v>3708</v>
      </c>
    </row>
    <row r="319" spans="1:21">
      <c r="A319" s="774"/>
      <c r="B319" s="231" t="s">
        <v>4693</v>
      </c>
      <c r="C319" s="213" t="s">
        <v>3836</v>
      </c>
      <c r="D319" s="213" t="s">
        <v>4624</v>
      </c>
      <c r="E319" s="212" t="s">
        <v>1732</v>
      </c>
      <c r="F319" s="212"/>
      <c r="G319" s="212"/>
      <c r="H319" s="212"/>
      <c r="I319" s="213" t="s">
        <v>4694</v>
      </c>
      <c r="J319" s="214" t="s">
        <v>1736</v>
      </c>
      <c r="K319" s="214" t="s">
        <v>1737</v>
      </c>
      <c r="L319" s="214" t="s">
        <v>1737</v>
      </c>
      <c r="M319" s="212"/>
      <c r="N319" s="215" t="s">
        <v>4079</v>
      </c>
      <c r="O319" s="219" t="s">
        <v>4695</v>
      </c>
      <c r="P319" s="212"/>
      <c r="Q319" s="212"/>
      <c r="R319" s="212"/>
      <c r="S319" s="212"/>
      <c r="T319" s="215"/>
      <c r="U319" s="171" t="s">
        <v>3708</v>
      </c>
    </row>
    <row r="320" spans="1:21">
      <c r="A320" s="774"/>
      <c r="B320" s="231" t="s">
        <v>4696</v>
      </c>
      <c r="C320" s="213" t="s">
        <v>3836</v>
      </c>
      <c r="D320" s="213" t="s">
        <v>4628</v>
      </c>
      <c r="E320" s="212" t="s">
        <v>1732</v>
      </c>
      <c r="F320" s="212"/>
      <c r="G320" s="212"/>
      <c r="H320" s="212"/>
      <c r="I320" s="213" t="s">
        <v>4697</v>
      </c>
      <c r="J320" s="214" t="s">
        <v>1736</v>
      </c>
      <c r="K320" s="214" t="s">
        <v>1737</v>
      </c>
      <c r="L320" s="214" t="s">
        <v>1737</v>
      </c>
      <c r="M320" s="212"/>
      <c r="N320" s="215" t="s">
        <v>4079</v>
      </c>
      <c r="O320" s="219" t="s">
        <v>4698</v>
      </c>
      <c r="P320" s="212"/>
      <c r="Q320" s="212"/>
      <c r="R320" s="212"/>
      <c r="S320" s="212"/>
      <c r="T320" s="215"/>
      <c r="U320" s="171" t="s">
        <v>3708</v>
      </c>
    </row>
    <row r="321" spans="1:21">
      <c r="A321" s="774"/>
      <c r="B321" s="231" t="s">
        <v>4699</v>
      </c>
      <c r="C321" s="213" t="s">
        <v>3836</v>
      </c>
      <c r="D321" s="213" t="s">
        <v>4632</v>
      </c>
      <c r="E321" s="212" t="s">
        <v>1732</v>
      </c>
      <c r="F321" s="212"/>
      <c r="G321" s="212"/>
      <c r="H321" s="212"/>
      <c r="I321" s="213" t="s">
        <v>4700</v>
      </c>
      <c r="J321" s="214" t="s">
        <v>1736</v>
      </c>
      <c r="K321" s="214" t="s">
        <v>1737</v>
      </c>
      <c r="L321" s="214" t="s">
        <v>1737</v>
      </c>
      <c r="M321" s="212"/>
      <c r="N321" s="215" t="s">
        <v>3861</v>
      </c>
      <c r="O321" s="219" t="s">
        <v>4701</v>
      </c>
      <c r="P321" s="212"/>
      <c r="Q321" s="212"/>
      <c r="R321" s="212"/>
      <c r="S321" s="212"/>
      <c r="T321" s="215"/>
      <c r="U321" s="171" t="s">
        <v>3708</v>
      </c>
    </row>
    <row r="322" spans="1:21">
      <c r="A322" s="774"/>
      <c r="B322" s="231" t="s">
        <v>4702</v>
      </c>
      <c r="C322" s="213" t="s">
        <v>3836</v>
      </c>
      <c r="D322" s="213" t="s">
        <v>4656</v>
      </c>
      <c r="E322" s="212" t="s">
        <v>1732</v>
      </c>
      <c r="F322" s="212"/>
      <c r="G322" s="212"/>
      <c r="H322" s="212"/>
      <c r="I322" s="213" t="s">
        <v>4703</v>
      </c>
      <c r="J322" s="214" t="s">
        <v>1736</v>
      </c>
      <c r="K322" s="214" t="s">
        <v>1737</v>
      </c>
      <c r="L322" s="214" t="s">
        <v>1737</v>
      </c>
      <c r="M322" s="212"/>
      <c r="N322" s="215" t="s">
        <v>4332</v>
      </c>
      <c r="O322" s="219" t="s">
        <v>4704</v>
      </c>
      <c r="P322" s="212"/>
      <c r="Q322" s="212"/>
      <c r="R322" s="212"/>
      <c r="S322" s="212"/>
      <c r="T322" s="215"/>
      <c r="U322" s="171" t="s">
        <v>3708</v>
      </c>
    </row>
    <row r="323" spans="1:21">
      <c r="A323" s="774"/>
      <c r="B323" s="231" t="s">
        <v>4705</v>
      </c>
      <c r="C323" s="213" t="s">
        <v>3836</v>
      </c>
      <c r="D323" s="213" t="s">
        <v>4661</v>
      </c>
      <c r="E323" s="212" t="s">
        <v>1732</v>
      </c>
      <c r="F323" s="212"/>
      <c r="G323" s="212"/>
      <c r="H323" s="212"/>
      <c r="I323" s="213" t="s">
        <v>4706</v>
      </c>
      <c r="J323" s="214" t="s">
        <v>1736</v>
      </c>
      <c r="K323" s="214" t="s">
        <v>1737</v>
      </c>
      <c r="L323" s="214" t="s">
        <v>1737</v>
      </c>
      <c r="M323" s="212"/>
      <c r="N323" s="215" t="s">
        <v>4676</v>
      </c>
      <c r="O323" s="219" t="s">
        <v>4707</v>
      </c>
      <c r="P323" s="212"/>
      <c r="Q323" s="212"/>
      <c r="R323" s="212"/>
      <c r="S323" s="212"/>
      <c r="T323" s="215"/>
      <c r="U323" s="171" t="s">
        <v>3708</v>
      </c>
    </row>
    <row r="324" spans="1:21">
      <c r="A324" s="774"/>
      <c r="B324" s="231" t="s">
        <v>4708</v>
      </c>
      <c r="C324" s="213" t="s">
        <v>3836</v>
      </c>
      <c r="D324" s="213" t="s">
        <v>4664</v>
      </c>
      <c r="E324" s="212" t="s">
        <v>1743</v>
      </c>
      <c r="F324" s="212"/>
      <c r="G324" s="212"/>
      <c r="H324" s="212"/>
      <c r="I324" s="213" t="s">
        <v>4709</v>
      </c>
      <c r="J324" s="214" t="s">
        <v>1736</v>
      </c>
      <c r="K324" s="214" t="s">
        <v>1737</v>
      </c>
      <c r="L324" s="214" t="s">
        <v>1737</v>
      </c>
      <c r="M324" s="212"/>
      <c r="N324" s="215" t="s">
        <v>3861</v>
      </c>
      <c r="O324" s="219" t="s">
        <v>4710</v>
      </c>
      <c r="P324" s="212"/>
      <c r="Q324" s="212"/>
      <c r="R324" s="212"/>
      <c r="S324" s="212"/>
      <c r="T324" s="215"/>
      <c r="U324" s="171" t="s">
        <v>3708</v>
      </c>
    </row>
    <row r="325" spans="1:21">
      <c r="A325" s="774"/>
      <c r="B325" s="231" t="s">
        <v>4711</v>
      </c>
      <c r="C325" s="213" t="s">
        <v>3836</v>
      </c>
      <c r="D325" s="213" t="s">
        <v>4687</v>
      </c>
      <c r="E325" s="212" t="s">
        <v>1743</v>
      </c>
      <c r="F325" s="212"/>
      <c r="G325" s="212"/>
      <c r="H325" s="212"/>
      <c r="I325" s="213" t="s">
        <v>4712</v>
      </c>
      <c r="J325" s="214" t="s">
        <v>1736</v>
      </c>
      <c r="K325" s="214" t="s">
        <v>1737</v>
      </c>
      <c r="L325" s="214" t="s">
        <v>1737</v>
      </c>
      <c r="M325" s="212"/>
      <c r="N325" s="215" t="s">
        <v>3854</v>
      </c>
      <c r="O325" s="219" t="s">
        <v>4713</v>
      </c>
      <c r="P325" s="212"/>
      <c r="Q325" s="212"/>
      <c r="R325" s="212"/>
      <c r="S325" s="212"/>
      <c r="T325" s="215"/>
      <c r="U325" s="171" t="s">
        <v>3708</v>
      </c>
    </row>
    <row r="326" spans="1:21">
      <c r="A326" s="774"/>
      <c r="B326" s="223" t="s">
        <v>4714</v>
      </c>
      <c r="C326" s="213" t="s">
        <v>3836</v>
      </c>
      <c r="D326" s="213" t="s">
        <v>4715</v>
      </c>
      <c r="E326" s="212" t="s">
        <v>1732</v>
      </c>
      <c r="F326" s="212"/>
      <c r="G326" s="212"/>
      <c r="H326" s="212"/>
      <c r="I326" s="213" t="s">
        <v>4716</v>
      </c>
      <c r="J326" s="214" t="s">
        <v>1736</v>
      </c>
      <c r="K326" s="214" t="s">
        <v>1737</v>
      </c>
      <c r="L326" s="214" t="s">
        <v>1737</v>
      </c>
      <c r="M326" s="212"/>
      <c r="N326" s="215" t="s">
        <v>4387</v>
      </c>
      <c r="O326" s="219" t="s">
        <v>4717</v>
      </c>
      <c r="P326" s="212"/>
      <c r="Q326" s="212"/>
      <c r="R326" s="212"/>
      <c r="S326" s="212"/>
      <c r="T326" s="215"/>
      <c r="U326" s="171" t="s">
        <v>3708</v>
      </c>
    </row>
    <row r="327" spans="1:21">
      <c r="A327" s="774"/>
      <c r="B327" s="223" t="s">
        <v>4718</v>
      </c>
      <c r="C327" s="213" t="s">
        <v>3836</v>
      </c>
      <c r="D327" s="213" t="s">
        <v>4719</v>
      </c>
      <c r="E327" s="212" t="s">
        <v>1732</v>
      </c>
      <c r="F327" s="212"/>
      <c r="G327" s="212"/>
      <c r="H327" s="212"/>
      <c r="I327" s="213" t="s">
        <v>4720</v>
      </c>
      <c r="J327" s="214" t="s">
        <v>1736</v>
      </c>
      <c r="K327" s="214" t="s">
        <v>1737</v>
      </c>
      <c r="L327" s="214" t="s">
        <v>1737</v>
      </c>
      <c r="M327" s="212"/>
      <c r="N327" s="215" t="s">
        <v>4387</v>
      </c>
      <c r="O327" s="219" t="s">
        <v>4721</v>
      </c>
      <c r="P327" s="212"/>
      <c r="Q327" s="212"/>
      <c r="R327" s="212"/>
      <c r="S327" s="212"/>
      <c r="T327" s="215"/>
      <c r="U327" s="171" t="s">
        <v>3708</v>
      </c>
    </row>
    <row r="328" spans="1:21">
      <c r="A328" s="774"/>
      <c r="B328" s="223" t="s">
        <v>4722</v>
      </c>
      <c r="C328" s="213" t="s">
        <v>3836</v>
      </c>
      <c r="D328" s="213" t="s">
        <v>4723</v>
      </c>
      <c r="E328" s="212" t="s">
        <v>1732</v>
      </c>
      <c r="F328" s="212"/>
      <c r="G328" s="212"/>
      <c r="H328" s="212"/>
      <c r="I328" s="213" t="s">
        <v>4724</v>
      </c>
      <c r="J328" s="215" t="s">
        <v>1736</v>
      </c>
      <c r="K328" s="215"/>
      <c r="L328" s="215"/>
      <c r="M328" s="212"/>
      <c r="N328" s="215"/>
      <c r="O328" s="219"/>
      <c r="P328" s="212"/>
      <c r="Q328" s="212"/>
      <c r="R328" s="212"/>
      <c r="S328" s="212"/>
      <c r="T328" s="215"/>
      <c r="U328" s="171" t="s">
        <v>3708</v>
      </c>
    </row>
    <row r="329" spans="1:21">
      <c r="A329" s="774"/>
      <c r="B329" s="223" t="s">
        <v>4725</v>
      </c>
      <c r="C329" s="213" t="s">
        <v>3836</v>
      </c>
      <c r="D329" s="213" t="s">
        <v>4726</v>
      </c>
      <c r="E329" s="212" t="s">
        <v>1732</v>
      </c>
      <c r="F329" s="212"/>
      <c r="G329" s="212"/>
      <c r="H329" s="212"/>
      <c r="I329" s="213" t="s">
        <v>4727</v>
      </c>
      <c r="J329" s="214" t="s">
        <v>1736</v>
      </c>
      <c r="K329" s="214" t="s">
        <v>1737</v>
      </c>
      <c r="L329" s="214" t="s">
        <v>1737</v>
      </c>
      <c r="M329" s="212"/>
      <c r="N329" s="215" t="s">
        <v>3850</v>
      </c>
      <c r="O329" s="219" t="s">
        <v>4728</v>
      </c>
      <c r="P329" s="212"/>
      <c r="Q329" s="212"/>
      <c r="R329" s="212"/>
      <c r="S329" s="212"/>
      <c r="T329" s="215"/>
      <c r="U329" s="171" t="s">
        <v>3708</v>
      </c>
    </row>
    <row r="330" spans="1:21">
      <c r="A330" s="774"/>
      <c r="B330" s="223" t="s">
        <v>4729</v>
      </c>
      <c r="C330" s="213" t="s">
        <v>3836</v>
      </c>
      <c r="D330" s="213" t="s">
        <v>4730</v>
      </c>
      <c r="E330" s="212" t="s">
        <v>1732</v>
      </c>
      <c r="F330" s="212"/>
      <c r="G330" s="212"/>
      <c r="H330" s="212"/>
      <c r="I330" s="213" t="s">
        <v>4731</v>
      </c>
      <c r="J330" s="214" t="s">
        <v>1736</v>
      </c>
      <c r="K330" s="214" t="s">
        <v>1737</v>
      </c>
      <c r="L330" s="214" t="s">
        <v>1737</v>
      </c>
      <c r="M330" s="212"/>
      <c r="N330" s="215" t="s">
        <v>4732</v>
      </c>
      <c r="O330" s="219" t="s">
        <v>4733</v>
      </c>
      <c r="P330" s="212"/>
      <c r="Q330" s="212"/>
      <c r="R330" s="212"/>
      <c r="S330" s="212"/>
      <c r="T330" s="215"/>
      <c r="U330" s="171" t="s">
        <v>3708</v>
      </c>
    </row>
    <row r="331" spans="1:21">
      <c r="A331" s="774"/>
      <c r="B331" s="223" t="s">
        <v>4734</v>
      </c>
      <c r="C331" s="213" t="s">
        <v>3836</v>
      </c>
      <c r="D331" s="213" t="s">
        <v>4735</v>
      </c>
      <c r="E331" s="212" t="s">
        <v>1743</v>
      </c>
      <c r="F331" s="212"/>
      <c r="G331" s="212"/>
      <c r="H331" s="212"/>
      <c r="I331" s="213" t="s">
        <v>4736</v>
      </c>
      <c r="J331" s="214" t="s">
        <v>1736</v>
      </c>
      <c r="K331" s="214" t="s">
        <v>1737</v>
      </c>
      <c r="L331" s="214" t="s">
        <v>1737</v>
      </c>
      <c r="M331" s="212"/>
      <c r="N331" s="215" t="s">
        <v>4732</v>
      </c>
      <c r="O331" s="219" t="s">
        <v>4737</v>
      </c>
      <c r="P331" s="212"/>
      <c r="Q331" s="212"/>
      <c r="R331" s="212"/>
      <c r="S331" s="212"/>
      <c r="T331" s="215"/>
      <c r="U331" s="171" t="s">
        <v>3708</v>
      </c>
    </row>
    <row r="332" spans="1:21">
      <c r="A332" s="774"/>
      <c r="B332" s="223" t="s">
        <v>4738</v>
      </c>
      <c r="C332" s="213" t="s">
        <v>3836</v>
      </c>
      <c r="D332" s="213" t="s">
        <v>4739</v>
      </c>
      <c r="E332" s="212" t="s">
        <v>1732</v>
      </c>
      <c r="F332" s="212"/>
      <c r="G332" s="212"/>
      <c r="H332" s="212"/>
      <c r="I332" s="213" t="s">
        <v>4740</v>
      </c>
      <c r="J332" s="214" t="s">
        <v>1736</v>
      </c>
      <c r="K332" s="214" t="s">
        <v>1737</v>
      </c>
      <c r="L332" s="214" t="s">
        <v>1737</v>
      </c>
      <c r="M332" s="212"/>
      <c r="N332" s="215" t="s">
        <v>4387</v>
      </c>
      <c r="O332" s="219" t="s">
        <v>4741</v>
      </c>
      <c r="P332" s="212"/>
      <c r="Q332" s="212"/>
      <c r="R332" s="212"/>
      <c r="S332" s="212"/>
      <c r="T332" s="215"/>
      <c r="U332" s="171" t="s">
        <v>3708</v>
      </c>
    </row>
    <row r="333" spans="1:21">
      <c r="A333" s="774"/>
      <c r="B333" s="223" t="s">
        <v>4742</v>
      </c>
      <c r="C333" s="213" t="s">
        <v>3836</v>
      </c>
      <c r="D333" s="213" t="s">
        <v>4743</v>
      </c>
      <c r="E333" s="212" t="s">
        <v>1732</v>
      </c>
      <c r="F333" s="212"/>
      <c r="G333" s="212"/>
      <c r="H333" s="212"/>
      <c r="I333" s="213" t="s">
        <v>4744</v>
      </c>
      <c r="J333" s="214" t="s">
        <v>1736</v>
      </c>
      <c r="K333" s="214" t="s">
        <v>1737</v>
      </c>
      <c r="L333" s="214" t="s">
        <v>1737</v>
      </c>
      <c r="M333" s="212"/>
      <c r="N333" s="215" t="s">
        <v>4732</v>
      </c>
      <c r="O333" s="219" t="s">
        <v>4745</v>
      </c>
      <c r="P333" s="212"/>
      <c r="Q333" s="212"/>
      <c r="R333" s="212"/>
      <c r="S333" s="212"/>
      <c r="T333" s="215"/>
      <c r="U333" s="171" t="s">
        <v>3708</v>
      </c>
    </row>
    <row r="334" spans="1:21">
      <c r="A334" s="774"/>
      <c r="B334" s="223" t="s">
        <v>4746</v>
      </c>
      <c r="C334" s="213" t="s">
        <v>3836</v>
      </c>
      <c r="D334" s="213" t="s">
        <v>4747</v>
      </c>
      <c r="E334" s="212" t="s">
        <v>1732</v>
      </c>
      <c r="F334" s="212"/>
      <c r="G334" s="212"/>
      <c r="H334" s="212"/>
      <c r="I334" s="213" t="s">
        <v>4748</v>
      </c>
      <c r="J334" s="215" t="s">
        <v>1736</v>
      </c>
      <c r="K334" s="215"/>
      <c r="L334" s="215"/>
      <c r="M334" s="212"/>
      <c r="N334" s="215"/>
      <c r="O334" s="219"/>
      <c r="P334" s="212"/>
      <c r="Q334" s="212"/>
      <c r="R334" s="212"/>
      <c r="S334" s="212"/>
      <c r="T334" s="215"/>
      <c r="U334" s="171" t="s">
        <v>3708</v>
      </c>
    </row>
    <row r="335" spans="1:21">
      <c r="A335" s="774"/>
      <c r="B335" s="223" t="s">
        <v>4749</v>
      </c>
      <c r="C335" s="213" t="s">
        <v>3836</v>
      </c>
      <c r="D335" s="213" t="s">
        <v>4750</v>
      </c>
      <c r="E335" s="212" t="s">
        <v>1732</v>
      </c>
      <c r="F335" s="212"/>
      <c r="G335" s="212"/>
      <c r="H335" s="212"/>
      <c r="I335" s="213" t="s">
        <v>4751</v>
      </c>
      <c r="J335" s="214" t="s">
        <v>1736</v>
      </c>
      <c r="K335" s="214" t="s">
        <v>1737</v>
      </c>
      <c r="L335" s="214" t="s">
        <v>1737</v>
      </c>
      <c r="M335" s="212"/>
      <c r="N335" s="215" t="s">
        <v>3850</v>
      </c>
      <c r="O335" s="219" t="s">
        <v>4752</v>
      </c>
      <c r="P335" s="212"/>
      <c r="Q335" s="212"/>
      <c r="R335" s="212"/>
      <c r="S335" s="212"/>
      <c r="T335" s="215"/>
      <c r="U335" s="171" t="s">
        <v>3708</v>
      </c>
    </row>
    <row r="336" spans="1:21">
      <c r="A336" s="774"/>
      <c r="B336" s="223" t="s">
        <v>4753</v>
      </c>
      <c r="C336" s="213" t="s">
        <v>3836</v>
      </c>
      <c r="D336" s="213" t="s">
        <v>4754</v>
      </c>
      <c r="E336" s="212" t="s">
        <v>1732</v>
      </c>
      <c r="F336" s="212"/>
      <c r="G336" s="212"/>
      <c r="H336" s="212"/>
      <c r="I336" s="213" t="s">
        <v>4755</v>
      </c>
      <c r="J336" s="214" t="s">
        <v>1736</v>
      </c>
      <c r="K336" s="214" t="s">
        <v>1737</v>
      </c>
      <c r="L336" s="214" t="s">
        <v>1737</v>
      </c>
      <c r="M336" s="212"/>
      <c r="N336" s="215" t="s">
        <v>4732</v>
      </c>
      <c r="O336" s="219" t="s">
        <v>4756</v>
      </c>
      <c r="P336" s="212"/>
      <c r="Q336" s="212"/>
      <c r="R336" s="212"/>
      <c r="S336" s="212"/>
      <c r="T336" s="215"/>
      <c r="U336" s="171" t="s">
        <v>3708</v>
      </c>
    </row>
    <row r="337" spans="1:21">
      <c r="A337" s="773"/>
      <c r="B337" s="223" t="s">
        <v>4757</v>
      </c>
      <c r="C337" s="213" t="s">
        <v>3836</v>
      </c>
      <c r="D337" s="213" t="s">
        <v>4758</v>
      </c>
      <c r="E337" s="212" t="s">
        <v>1743</v>
      </c>
      <c r="F337" s="212"/>
      <c r="G337" s="212"/>
      <c r="H337" s="212"/>
      <c r="I337" s="213" t="s">
        <v>4759</v>
      </c>
      <c r="J337" s="214" t="s">
        <v>1736</v>
      </c>
      <c r="K337" s="214" t="s">
        <v>1737</v>
      </c>
      <c r="L337" s="214" t="s">
        <v>1737</v>
      </c>
      <c r="M337" s="212"/>
      <c r="N337" s="215" t="s">
        <v>3861</v>
      </c>
      <c r="O337" s="219" t="s">
        <v>4760</v>
      </c>
      <c r="P337" s="212"/>
      <c r="Q337" s="212"/>
      <c r="R337" s="212"/>
      <c r="S337" s="212"/>
      <c r="T337" s="215"/>
      <c r="U337" s="171" t="s">
        <v>3708</v>
      </c>
    </row>
    <row r="338" spans="1:21">
      <c r="D338" s="83"/>
    </row>
    <row r="339" spans="1:21">
      <c r="D339" s="83"/>
    </row>
    <row r="340" spans="1:21">
      <c r="A340" s="232"/>
      <c r="B340" s="233" t="s">
        <v>3688</v>
      </c>
      <c r="C340" s="234" t="s">
        <v>4761</v>
      </c>
      <c r="D340" s="548" t="s">
        <v>3689</v>
      </c>
      <c r="E340" s="549"/>
      <c r="F340" s="549"/>
      <c r="G340" s="549" t="s">
        <v>4762</v>
      </c>
      <c r="H340" s="549" t="s">
        <v>4763</v>
      </c>
      <c r="I340" s="550" t="s">
        <v>449</v>
      </c>
    </row>
    <row r="341" spans="1:21">
      <c r="A341" s="235"/>
      <c r="B341" s="233" t="s">
        <v>3691</v>
      </c>
      <c r="C341" s="98">
        <f>COUNTIFS(N:N,"30 November 2022")</f>
        <v>3</v>
      </c>
      <c r="D341" s="236">
        <v>44895</v>
      </c>
      <c r="E341" s="237">
        <f>COUNTIFS(T:T,"30 November 2022",U:U,"Kevin")</f>
        <v>3</v>
      </c>
      <c r="F341" s="238" t="s">
        <v>4764</v>
      </c>
      <c r="G341" s="239">
        <f>SUM(C341)</f>
        <v>3</v>
      </c>
      <c r="H341" s="240">
        <f>SUM(E341)</f>
        <v>3</v>
      </c>
      <c r="I341" s="693" t="s">
        <v>4765</v>
      </c>
    </row>
    <row r="342" spans="1:21">
      <c r="A342" s="241"/>
      <c r="B342" s="233" t="s">
        <v>3692</v>
      </c>
      <c r="C342" s="242">
        <f>COUNTIFS(N:N,"1 Desember 2022")</f>
        <v>6</v>
      </c>
      <c r="D342" s="243" t="s">
        <v>4008</v>
      </c>
      <c r="E342" s="237">
        <f>COUNTIFS(T:T,"1 Desember 2022",U:U,"Kevin")</f>
        <v>6</v>
      </c>
      <c r="F342" s="694" t="s">
        <v>4766</v>
      </c>
      <c r="G342" s="694">
        <f>SUM(C342:C343)</f>
        <v>7</v>
      </c>
      <c r="H342" s="694">
        <f>SUM(E342:E343)</f>
        <v>7</v>
      </c>
      <c r="I342" s="774"/>
    </row>
    <row r="343" spans="1:21">
      <c r="A343" s="244"/>
      <c r="B343" s="233" t="s">
        <v>3693</v>
      </c>
      <c r="C343" s="98">
        <f>COUNTIFS(N:N,"2 Desember 2022")</f>
        <v>1</v>
      </c>
      <c r="D343" s="245" t="s">
        <v>4069</v>
      </c>
      <c r="E343" s="237">
        <f>COUNTIFS(T:T,"2 Desember 2022",U:U,"Kevin")</f>
        <v>1</v>
      </c>
      <c r="F343" s="773"/>
      <c r="G343" s="773"/>
      <c r="H343" s="773"/>
      <c r="I343" s="774"/>
    </row>
    <row r="344" spans="1:21">
      <c r="A344" s="246"/>
      <c r="B344" s="233" t="s">
        <v>3694</v>
      </c>
      <c r="C344" s="98">
        <f>COUNTIFS(N:N,"5 Desember 2022")</f>
        <v>2</v>
      </c>
      <c r="D344" s="245" t="s">
        <v>3886</v>
      </c>
      <c r="E344" s="237">
        <f>COUNTIFS(T:T,"5 Desember 2022",U:U,"Kevin")</f>
        <v>2</v>
      </c>
      <c r="F344" s="240" t="s">
        <v>4767</v>
      </c>
      <c r="G344" s="240">
        <f t="shared" ref="G344:G345" si="0">SUM(C344)</f>
        <v>2</v>
      </c>
      <c r="H344" s="240">
        <f t="shared" ref="H344:H345" si="1">SUM(E344)</f>
        <v>2</v>
      </c>
      <c r="I344" s="774"/>
    </row>
    <row r="345" spans="1:21">
      <c r="C345" s="98">
        <f>COUNTIFS(N:N,"23 Desember 2022")</f>
        <v>9</v>
      </c>
      <c r="D345" s="245" t="s">
        <v>3937</v>
      </c>
      <c r="E345" s="237">
        <f>COUNTIFS(T:T,"23 Desember 2022",U:U,"Kevin")</f>
        <v>9</v>
      </c>
      <c r="F345" s="240" t="s">
        <v>4768</v>
      </c>
      <c r="G345" s="240">
        <f t="shared" si="0"/>
        <v>9</v>
      </c>
      <c r="H345" s="240">
        <f t="shared" si="1"/>
        <v>9</v>
      </c>
      <c r="I345" s="774"/>
    </row>
    <row r="346" spans="1:21">
      <c r="C346" s="98">
        <f>COUNTIFS(N:N,"26 Desember 2022")</f>
        <v>7</v>
      </c>
      <c r="D346" s="245" t="s">
        <v>3911</v>
      </c>
      <c r="E346" s="237">
        <f>COUNTIFS(T:T,"26 Desember 2022",U:U,"Kevin")</f>
        <v>7</v>
      </c>
      <c r="F346" s="697" t="s">
        <v>4769</v>
      </c>
      <c r="G346" s="697">
        <f>SUM(C346:C349)</f>
        <v>37</v>
      </c>
      <c r="H346" s="695">
        <f>SUM(E346:E349)</f>
        <v>37</v>
      </c>
      <c r="I346" s="774"/>
    </row>
    <row r="347" spans="1:21">
      <c r="C347" s="98">
        <f>COUNTIFS(N:N,"27 Desember 2022")</f>
        <v>15</v>
      </c>
      <c r="D347" s="245" t="s">
        <v>4169</v>
      </c>
      <c r="E347" s="237">
        <f>COUNTIFS(T:T,"27 Desember 2022",U:U,"Kevin")</f>
        <v>15</v>
      </c>
      <c r="F347" s="779"/>
      <c r="G347" s="779"/>
      <c r="H347" s="774"/>
      <c r="I347" s="774"/>
    </row>
    <row r="348" spans="1:21">
      <c r="C348" s="98">
        <f>COUNTIFS(N:N,"28 Desember 2022")</f>
        <v>8</v>
      </c>
      <c r="D348" s="245" t="s">
        <v>3810</v>
      </c>
      <c r="E348" s="237">
        <f>COUNTIFS(T:T,"28 Desember 2022",U:U,"Kevin")</f>
        <v>8</v>
      </c>
      <c r="F348" s="779"/>
      <c r="G348" s="779"/>
      <c r="H348" s="774"/>
      <c r="I348" s="774"/>
    </row>
    <row r="349" spans="1:21">
      <c r="C349" s="98">
        <f>COUNTIFS(N:N,"29 Desember 2022")</f>
        <v>7</v>
      </c>
      <c r="D349" s="243" t="s">
        <v>3742</v>
      </c>
      <c r="E349" s="237">
        <f>COUNTIFS(T:T,"29 Desember 2022",U:U,"Kevin")</f>
        <v>7</v>
      </c>
      <c r="F349" s="771"/>
      <c r="G349" s="771"/>
      <c r="H349" s="773"/>
      <c r="I349" s="774"/>
    </row>
    <row r="350" spans="1:21">
      <c r="C350" s="98">
        <f>COUNTIFS(N:N,"3 Januari 2023")</f>
        <v>4</v>
      </c>
      <c r="D350" s="245" t="s">
        <v>3769</v>
      </c>
      <c r="E350" s="247">
        <f>COUNTIFS(T:T,"3 Januari 2023",U:U,"Kevin")</f>
        <v>3</v>
      </c>
      <c r="F350" s="698" t="s">
        <v>4770</v>
      </c>
      <c r="G350" s="698">
        <f>SUM(C350:C353)</f>
        <v>34</v>
      </c>
      <c r="H350" s="695">
        <f>SUM(E350:E353)</f>
        <v>3</v>
      </c>
      <c r="I350" s="774"/>
    </row>
    <row r="351" spans="1:21">
      <c r="C351" s="98">
        <f>COUNTIFS(N:N,"4 Januari 2023")</f>
        <v>8</v>
      </c>
      <c r="D351" s="245" t="s">
        <v>3706</v>
      </c>
      <c r="E351" s="248">
        <f>COUNTIFS(T:T,"4 Januari 2023",U:U,"Kevin")</f>
        <v>0</v>
      </c>
      <c r="F351" s="774"/>
      <c r="G351" s="774"/>
      <c r="H351" s="774"/>
      <c r="I351" s="774"/>
    </row>
    <row r="352" spans="1:21">
      <c r="C352" s="98">
        <f>COUNTIFS(N:N,"5 Januari 2023")</f>
        <v>9</v>
      </c>
      <c r="D352" s="245" t="s">
        <v>3878</v>
      </c>
      <c r="E352" s="248">
        <f>COUNTIFS(T:T,"5 Januari 2023",U:U,"Kevin")</f>
        <v>0</v>
      </c>
      <c r="F352" s="774"/>
      <c r="G352" s="774"/>
      <c r="H352" s="774"/>
      <c r="I352" s="774"/>
    </row>
    <row r="353" spans="3:9">
      <c r="C353" s="98">
        <f>COUNTIFS(N:N,"6 Januari 2023")</f>
        <v>13</v>
      </c>
      <c r="D353" s="245" t="s">
        <v>3901</v>
      </c>
      <c r="E353" s="248">
        <f>COUNTIFS(T:T,"6 Januari 2023",U:U,"Kevin")</f>
        <v>0</v>
      </c>
      <c r="F353" s="773"/>
      <c r="G353" s="773"/>
      <c r="H353" s="773"/>
      <c r="I353" s="774"/>
    </row>
    <row r="354" spans="3:9">
      <c r="C354" s="98">
        <f>COUNTIFS(N:N,"9 Januari 2023")</f>
        <v>8</v>
      </c>
      <c r="D354" s="245" t="s">
        <v>4422</v>
      </c>
      <c r="E354" s="248">
        <f>COUNTIFS(T:T,"9 Januari 2023",U:U,"Kevin")</f>
        <v>0</v>
      </c>
      <c r="F354" s="692" t="s">
        <v>4771</v>
      </c>
      <c r="G354" s="692">
        <f>SUM(C354:C358)</f>
        <v>30</v>
      </c>
      <c r="H354" s="692">
        <f>SUM(E354:E358)</f>
        <v>0</v>
      </c>
      <c r="I354" s="774"/>
    </row>
    <row r="355" spans="3:9">
      <c r="C355" s="98">
        <f>COUNTIFS(N:N,"10 Januari 2023")</f>
        <v>3</v>
      </c>
      <c r="D355" s="245" t="s">
        <v>4403</v>
      </c>
      <c r="E355" s="248">
        <f>COUNTIFS(T:T,"10 Januari 2023",U:U,"Kevin")</f>
        <v>0</v>
      </c>
      <c r="F355" s="774"/>
      <c r="G355" s="774"/>
      <c r="H355" s="774"/>
      <c r="I355" s="774"/>
    </row>
    <row r="356" spans="3:9">
      <c r="C356" s="98">
        <f>COUNTIFS(N:N,"11 Januari 2023")</f>
        <v>6</v>
      </c>
      <c r="D356" s="245" t="s">
        <v>4387</v>
      </c>
      <c r="E356" s="248">
        <f>COUNTIFS(T:T,"11 Januari 2023",U:U,"Kevin")</f>
        <v>0</v>
      </c>
      <c r="F356" s="774"/>
      <c r="G356" s="774"/>
      <c r="H356" s="774"/>
      <c r="I356" s="774"/>
    </row>
    <row r="357" spans="3:9">
      <c r="C357" s="98">
        <f>COUNTIFS(N:N,"12 Januari 2023")</f>
        <v>4</v>
      </c>
      <c r="D357" s="245" t="s">
        <v>4454</v>
      </c>
      <c r="E357" s="248">
        <f>COUNTIFS(T:T,"12 Januari 2023",U:U,"Kevin")</f>
        <v>0</v>
      </c>
      <c r="F357" s="774"/>
      <c r="G357" s="774"/>
      <c r="H357" s="774"/>
      <c r="I357" s="774"/>
    </row>
    <row r="358" spans="3:9">
      <c r="C358" s="98">
        <f>COUNTIFS(N:N,"13 Januari 2023")</f>
        <v>9</v>
      </c>
      <c r="D358" s="245" t="s">
        <v>4061</v>
      </c>
      <c r="E358" s="248">
        <f>COUNTIFS(T:T,"13 Januari 2023",U:U,"Kevin")</f>
        <v>0</v>
      </c>
      <c r="F358" s="773"/>
      <c r="G358" s="773"/>
      <c r="H358" s="773"/>
      <c r="I358" s="774"/>
    </row>
    <row r="359" spans="3:9">
      <c r="C359" s="98">
        <f>COUNTIFS(N:N,"16 Januari 2023")</f>
        <v>13</v>
      </c>
      <c r="D359" s="245" t="s">
        <v>4079</v>
      </c>
      <c r="E359" s="248">
        <f>COUNTIFS(T:T,"16 Januari 2023",U:U,"Kevin")</f>
        <v>0</v>
      </c>
      <c r="F359" s="692" t="s">
        <v>4772</v>
      </c>
      <c r="G359" s="692">
        <f>SUM(C359:C363)</f>
        <v>35</v>
      </c>
      <c r="H359" s="692">
        <f>SUM(E359:E363)</f>
        <v>0</v>
      </c>
      <c r="I359" s="774"/>
    </row>
    <row r="360" spans="3:9">
      <c r="C360" s="98">
        <f>COUNTIFS(N:N,"17 Januari 2023")</f>
        <v>0</v>
      </c>
      <c r="D360" s="245" t="s">
        <v>4773</v>
      </c>
      <c r="E360" s="248">
        <f>COUNTIFS(T:T,"17 Januari 2023",U:U,"Kevin")</f>
        <v>0</v>
      </c>
      <c r="F360" s="774"/>
      <c r="G360" s="774"/>
      <c r="H360" s="774"/>
      <c r="I360" s="774"/>
    </row>
    <row r="361" spans="3:9">
      <c r="C361" s="98">
        <f>COUNTIFS(N:N,"18 Januari 2023")</f>
        <v>11</v>
      </c>
      <c r="D361" s="245" t="s">
        <v>3850</v>
      </c>
      <c r="E361" s="248">
        <f>COUNTIFS(T:T,"18 Januari 2023",U:U,"Kevin")</f>
        <v>0</v>
      </c>
      <c r="F361" s="774"/>
      <c r="G361" s="774"/>
      <c r="H361" s="774"/>
      <c r="I361" s="774"/>
    </row>
    <row r="362" spans="3:9">
      <c r="C362" s="98">
        <f>COUNTIFS(N:N,"19 Januari 2023")</f>
        <v>4</v>
      </c>
      <c r="D362" s="245" t="s">
        <v>4732</v>
      </c>
      <c r="E362" s="248">
        <f>COUNTIFS(T:T,"19 Januari 2023",U:U,"Kevin")</f>
        <v>0</v>
      </c>
      <c r="F362" s="774"/>
      <c r="G362" s="774"/>
      <c r="H362" s="774"/>
      <c r="I362" s="774"/>
    </row>
    <row r="363" spans="3:9">
      <c r="C363" s="98">
        <f>COUNTIFS(N:N,"20 Januari 2023")</f>
        <v>7</v>
      </c>
      <c r="D363" s="245" t="s">
        <v>3861</v>
      </c>
      <c r="E363" s="248">
        <f>COUNTIFS(T:T,"20 Januari 2023",U:U,"Kevin")</f>
        <v>0</v>
      </c>
      <c r="F363" s="773"/>
      <c r="G363" s="773"/>
      <c r="H363" s="773"/>
      <c r="I363" s="774"/>
    </row>
    <row r="364" spans="3:9">
      <c r="C364" s="98">
        <f>COUNTIFS(N:N,"23 Januari 2023")</f>
        <v>0</v>
      </c>
      <c r="D364" s="245" t="s">
        <v>4774</v>
      </c>
      <c r="E364" s="248">
        <f>COUNTIFS(T:T,"23 Januari 2023",U:U,"Kevin")</f>
        <v>0</v>
      </c>
      <c r="F364" s="692" t="s">
        <v>4775</v>
      </c>
      <c r="G364" s="692">
        <f>SUM(C364:C368)</f>
        <v>28</v>
      </c>
      <c r="H364" s="692">
        <f>SUM(E364:E368)</f>
        <v>0</v>
      </c>
      <c r="I364" s="774"/>
    </row>
    <row r="365" spans="3:9">
      <c r="C365" s="98">
        <f>COUNTIFS(N:N,"24 Januari 2023")</f>
        <v>9</v>
      </c>
      <c r="D365" s="245" t="s">
        <v>4104</v>
      </c>
      <c r="E365" s="248">
        <f>COUNTIFS(T:T,"24 Januari 2023",U:U,"Kevin")</f>
        <v>0</v>
      </c>
      <c r="F365" s="774"/>
      <c r="G365" s="774"/>
      <c r="H365" s="774"/>
      <c r="I365" s="774"/>
    </row>
    <row r="366" spans="3:9">
      <c r="C366" s="98">
        <f>COUNTIFS(N:N,"25 Januari 2023")</f>
        <v>3</v>
      </c>
      <c r="D366" s="245" t="s">
        <v>4307</v>
      </c>
      <c r="E366" s="248">
        <f>COUNTIFS(T:T,"25 Januari 2023",U:U,"Kevin")</f>
        <v>0</v>
      </c>
      <c r="F366" s="774"/>
      <c r="G366" s="774"/>
      <c r="H366" s="774"/>
      <c r="I366" s="774"/>
    </row>
    <row r="367" spans="3:9">
      <c r="C367" s="98">
        <f>COUNTIFS(N:N,"26 Januari 2023")</f>
        <v>7</v>
      </c>
      <c r="D367" s="245" t="s">
        <v>3787</v>
      </c>
      <c r="E367" s="248">
        <f>COUNTIFS(T:T,"26 Januari 2023",U:U,"Kevin")</f>
        <v>0</v>
      </c>
      <c r="F367" s="774"/>
      <c r="G367" s="774"/>
      <c r="H367" s="774"/>
      <c r="I367" s="774"/>
    </row>
    <row r="368" spans="3:9">
      <c r="C368" s="98">
        <f>COUNTIFS(N:N,"27 Januari 2023")</f>
        <v>9</v>
      </c>
      <c r="D368" s="245" t="s">
        <v>4065</v>
      </c>
      <c r="E368" s="248">
        <f>COUNTIFS(T:T,"27 Januari 2023",U:U,"Kevin")</f>
        <v>0</v>
      </c>
      <c r="F368" s="773"/>
      <c r="G368" s="773"/>
      <c r="H368" s="773"/>
      <c r="I368" s="774"/>
    </row>
    <row r="369" spans="3:9">
      <c r="C369" s="98">
        <f>COUNTIFS(N:N,"30 Januari 2023")</f>
        <v>2</v>
      </c>
      <c r="D369" s="245" t="s">
        <v>4037</v>
      </c>
      <c r="E369" s="248">
        <f>COUNTIFS(T:T,"30 Januari 2023",U:U,"Kevin")</f>
        <v>0</v>
      </c>
      <c r="F369" s="692" t="s">
        <v>4776</v>
      </c>
      <c r="G369" s="692">
        <f>SUM(C369:C370)</f>
        <v>9</v>
      </c>
      <c r="H369" s="692">
        <f>SUM(E369:E370)</f>
        <v>0</v>
      </c>
      <c r="I369" s="774"/>
    </row>
    <row r="370" spans="3:9">
      <c r="C370" s="98">
        <f>COUNTIFS(N:N,"31 Januari 2023")</f>
        <v>7</v>
      </c>
      <c r="D370" s="245" t="s">
        <v>4300</v>
      </c>
      <c r="E370" s="248">
        <f>COUNTIFS(T:T,"31 Januari 2023",U:U,"Kevin")</f>
        <v>0</v>
      </c>
      <c r="F370" s="773"/>
      <c r="G370" s="773"/>
      <c r="H370" s="773"/>
      <c r="I370" s="774"/>
    </row>
    <row r="371" spans="3:9">
      <c r="C371" s="98">
        <f>COUNTIFS(N:N,"1 Februari 2023")</f>
        <v>5</v>
      </c>
      <c r="D371" s="245" t="s">
        <v>3871</v>
      </c>
      <c r="E371" s="98">
        <f>COUNTIFS(T:T,"1 Februari 2023",U:U,"Kevin")</f>
        <v>0</v>
      </c>
      <c r="F371" s="692" t="s">
        <v>4777</v>
      </c>
      <c r="G371" s="692">
        <f>SUM(C371:C374)</f>
        <v>12</v>
      </c>
      <c r="H371" s="780"/>
      <c r="I371" s="774"/>
    </row>
    <row r="372" spans="3:9">
      <c r="C372" s="98">
        <f>COUNTIFS(N:N,"2 Februari 2023")</f>
        <v>3</v>
      </c>
      <c r="D372" s="245" t="s">
        <v>4021</v>
      </c>
      <c r="E372" s="98">
        <f>COUNTIFS(T:T,"2 Februari 2023",U:U,"Kevin")</f>
        <v>0</v>
      </c>
      <c r="F372" s="774"/>
      <c r="G372" s="774"/>
      <c r="H372" s="774"/>
      <c r="I372" s="774"/>
    </row>
    <row r="373" spans="3:9">
      <c r="C373" s="98">
        <f>COUNTIFS(N:N,"3 Februari 2023")</f>
        <v>4</v>
      </c>
      <c r="D373" s="245" t="s">
        <v>4332</v>
      </c>
      <c r="E373" s="98">
        <f>COUNTIFS(T:T,"3 Februari 2023",U:U,"Kevin")</f>
        <v>0</v>
      </c>
      <c r="F373" s="774"/>
      <c r="G373" s="774"/>
      <c r="H373" s="774"/>
      <c r="I373" s="774"/>
    </row>
    <row r="374" spans="3:9">
      <c r="C374" s="98">
        <f>COUNTIFS(N:N,"4 Februari 2023")</f>
        <v>0</v>
      </c>
      <c r="D374" s="245" t="s">
        <v>4778</v>
      </c>
      <c r="E374" s="98">
        <f>COUNTIFS(T:T,"4 Februari 2023",U:U,"Kevin")</f>
        <v>0</v>
      </c>
      <c r="F374" s="773"/>
      <c r="G374" s="773"/>
      <c r="H374" s="773"/>
      <c r="I374" s="774"/>
    </row>
    <row r="375" spans="3:9">
      <c r="C375" s="98">
        <f>COUNTIFS(N:N,"5 Februari 2023")</f>
        <v>0</v>
      </c>
      <c r="D375" s="245" t="s">
        <v>4779</v>
      </c>
      <c r="E375" s="98">
        <f>COUNTIFS(T:T,"5 Februari 2023",U:U,"Kevin")</f>
        <v>0</v>
      </c>
      <c r="F375" s="692" t="s">
        <v>4780</v>
      </c>
      <c r="G375" s="692">
        <f>SUM(C375:C381)</f>
        <v>12</v>
      </c>
      <c r="H375" s="780"/>
      <c r="I375" s="774"/>
    </row>
    <row r="376" spans="3:9">
      <c r="C376" s="98">
        <f>COUNTIFS(N:N,"6 Februari 2023")</f>
        <v>2</v>
      </c>
      <c r="D376" s="245" t="s">
        <v>3721</v>
      </c>
      <c r="E376" s="98">
        <f>COUNTIFS(T:T,"6 Februari 2023",U:U,"Kevin")</f>
        <v>0</v>
      </c>
      <c r="F376" s="774"/>
      <c r="G376" s="774"/>
      <c r="H376" s="774"/>
      <c r="I376" s="774"/>
    </row>
    <row r="377" spans="3:9">
      <c r="C377" s="98">
        <f>COUNTIFS(N:N,"7 Februari 2023")</f>
        <v>3</v>
      </c>
      <c r="D377" s="245" t="s">
        <v>3854</v>
      </c>
      <c r="E377" s="98">
        <f>COUNTIFS(T:T,"7 Februari 2023",U:U,"Kevin")</f>
        <v>0</v>
      </c>
      <c r="F377" s="774"/>
      <c r="G377" s="774"/>
      <c r="H377" s="774"/>
      <c r="I377" s="774"/>
    </row>
    <row r="378" spans="3:9">
      <c r="C378" s="98">
        <f>COUNTIFS(N:N,"8 Februari 2023")</f>
        <v>3</v>
      </c>
      <c r="D378" s="245" t="s">
        <v>4676</v>
      </c>
      <c r="E378" s="98">
        <f>COUNTIFS(T:T,"8 Februari 2023",U:U,"Kevin")</f>
        <v>0</v>
      </c>
      <c r="F378" s="774"/>
      <c r="G378" s="774"/>
      <c r="H378" s="774"/>
      <c r="I378" s="774"/>
    </row>
    <row r="379" spans="3:9">
      <c r="C379" s="98">
        <f>COUNTIFS(N:N,"9 Februari 2023")</f>
        <v>2</v>
      </c>
      <c r="D379" s="245" t="s">
        <v>4658</v>
      </c>
      <c r="E379" s="98">
        <f>COUNTIFS(T:T,"9 Februari 2023",U:U,"Kevin")</f>
        <v>0</v>
      </c>
      <c r="F379" s="774"/>
      <c r="G379" s="774"/>
      <c r="H379" s="774"/>
      <c r="I379" s="774"/>
    </row>
    <row r="380" spans="3:9">
      <c r="C380" s="98">
        <f>COUNTIFS(N:N,"10 Februari 2023")</f>
        <v>2</v>
      </c>
      <c r="D380" s="245" t="s">
        <v>4638</v>
      </c>
      <c r="E380" s="98">
        <f>COUNTIFS(T:T,"10 Februari 2023",U:U,"Kevin")</f>
        <v>0</v>
      </c>
      <c r="F380" s="774"/>
      <c r="G380" s="774"/>
      <c r="H380" s="774"/>
      <c r="I380" s="774"/>
    </row>
    <row r="381" spans="3:9">
      <c r="C381" s="98">
        <f>COUNTIFS(N:N,"11 Februari 2023")</f>
        <v>0</v>
      </c>
      <c r="D381" s="245" t="s">
        <v>4781</v>
      </c>
      <c r="E381" s="98">
        <f>COUNTIFS(T:T,"11 Februari 2023",U:U,"Kevin")</f>
        <v>0</v>
      </c>
      <c r="F381" s="773"/>
      <c r="G381" s="773"/>
      <c r="H381" s="773"/>
      <c r="I381" s="774"/>
    </row>
    <row r="382" spans="3:9">
      <c r="C382" s="98">
        <f>COUNTIFS(N:N,"12 Februari 2023")</f>
        <v>0</v>
      </c>
      <c r="D382" s="245" t="s">
        <v>4782</v>
      </c>
      <c r="E382" s="98">
        <f>COUNTIFS(T:T,"12 Februari 2023",U:U,"Kevin")</f>
        <v>0</v>
      </c>
      <c r="F382" s="692" t="s">
        <v>4783</v>
      </c>
      <c r="G382" s="692">
        <f>SUM(C382:C388)</f>
        <v>9</v>
      </c>
      <c r="H382" s="780"/>
      <c r="I382" s="774"/>
    </row>
    <row r="383" spans="3:9">
      <c r="C383" s="98">
        <f>COUNTIFS(N:N,"13 Februari 2023")</f>
        <v>1</v>
      </c>
      <c r="D383" s="245" t="s">
        <v>3147</v>
      </c>
      <c r="E383" s="98">
        <f>COUNTIFS(T:T,"13 Februari 2023",U:U,"Kevin")</f>
        <v>0</v>
      </c>
      <c r="F383" s="774"/>
      <c r="G383" s="774"/>
      <c r="H383" s="774"/>
      <c r="I383" s="774"/>
    </row>
    <row r="384" spans="3:9">
      <c r="C384" s="98">
        <f>COUNTIFS(N:N,"14 Februari 2023")</f>
        <v>3</v>
      </c>
      <c r="D384" s="245" t="s">
        <v>3154</v>
      </c>
      <c r="E384" s="98">
        <f>COUNTIFS(T:T,"14 Februari 2023",U:U,"Kevin")</f>
        <v>0</v>
      </c>
      <c r="F384" s="774"/>
      <c r="G384" s="774"/>
      <c r="H384" s="774"/>
      <c r="I384" s="774"/>
    </row>
    <row r="385" spans="3:9">
      <c r="C385" s="98">
        <f>COUNTIFS(N:N,"15 Februari 2023")</f>
        <v>1</v>
      </c>
      <c r="D385" s="245" t="s">
        <v>3163</v>
      </c>
      <c r="E385" s="98">
        <f>COUNTIFS(T:T,"15 Februari 2023",U:U,"Kevin")</f>
        <v>0</v>
      </c>
      <c r="F385" s="774"/>
      <c r="G385" s="774"/>
      <c r="H385" s="774"/>
      <c r="I385" s="774"/>
    </row>
    <row r="386" spans="3:9">
      <c r="C386" s="98">
        <f>COUNTIFS(N:N,"16 Februari 2023")</f>
        <v>1</v>
      </c>
      <c r="D386" s="245" t="s">
        <v>3199</v>
      </c>
      <c r="E386" s="98">
        <f>COUNTIFS(T:T,"16 Februari 2023",U:U,"Kevin")</f>
        <v>0</v>
      </c>
      <c r="F386" s="774"/>
      <c r="G386" s="774"/>
      <c r="H386" s="774"/>
      <c r="I386" s="774"/>
    </row>
    <row r="387" spans="3:9">
      <c r="C387" s="98">
        <f>COUNTIFS(N:N,"17 Februari 2023")</f>
        <v>3</v>
      </c>
      <c r="D387" s="245" t="s">
        <v>3247</v>
      </c>
      <c r="E387" s="98">
        <f>COUNTIFS(T:T,"17 Februari 2023",U:U,"Kevin")</f>
        <v>0</v>
      </c>
      <c r="F387" s="774"/>
      <c r="G387" s="774"/>
      <c r="H387" s="774"/>
      <c r="I387" s="774"/>
    </row>
    <row r="388" spans="3:9">
      <c r="C388" s="98">
        <f>COUNTIFS(N:N,"18 Februari 2023")</f>
        <v>0</v>
      </c>
      <c r="D388" s="245" t="s">
        <v>4784</v>
      </c>
      <c r="E388" s="98">
        <f>COUNTIFS(T:T,"18 Februari 2023",U:U,"Kevin")</f>
        <v>0</v>
      </c>
      <c r="F388" s="773"/>
      <c r="G388" s="773"/>
      <c r="H388" s="773"/>
      <c r="I388" s="774"/>
    </row>
    <row r="389" spans="3:9">
      <c r="C389" s="98">
        <f>COUNTIFS(N:N,"19 Februari 2023")</f>
        <v>0</v>
      </c>
      <c r="D389" s="245" t="s">
        <v>4785</v>
      </c>
      <c r="E389" s="98">
        <f>COUNTIFS(T:T,"19 Februari 2023",U:U,"Kevin")</f>
        <v>0</v>
      </c>
      <c r="F389" s="692" t="s">
        <v>4786</v>
      </c>
      <c r="G389" s="692">
        <f>SUM(C389:C395)</f>
        <v>0</v>
      </c>
      <c r="H389" s="780"/>
      <c r="I389" s="774"/>
    </row>
    <row r="390" spans="3:9">
      <c r="C390" s="98">
        <f>COUNTIFS(N:N,"20 Februari 2023")</f>
        <v>0</v>
      </c>
      <c r="D390" s="245" t="s">
        <v>3291</v>
      </c>
      <c r="E390" s="98">
        <f>COUNTIFS(T:T,"20 Februari 2023",U:U,"Kevin")</f>
        <v>0</v>
      </c>
      <c r="F390" s="774"/>
      <c r="G390" s="774"/>
      <c r="H390" s="774"/>
      <c r="I390" s="774"/>
    </row>
    <row r="391" spans="3:9">
      <c r="C391" s="98">
        <f>COUNTIFS(N:N,"21 Februari 2023")</f>
        <v>0</v>
      </c>
      <c r="D391" s="245" t="s">
        <v>3316</v>
      </c>
      <c r="E391" s="98">
        <f>COUNTIFS(T:T,"21 Februari 2023",U:U,"Kevin")</f>
        <v>0</v>
      </c>
      <c r="F391" s="774"/>
      <c r="G391" s="774"/>
      <c r="H391" s="774"/>
      <c r="I391" s="774"/>
    </row>
    <row r="392" spans="3:9">
      <c r="C392" s="98">
        <f>COUNTIFS(N:N,"22 Februari 2023")</f>
        <v>0</v>
      </c>
      <c r="D392" s="245" t="s">
        <v>3173</v>
      </c>
      <c r="E392" s="98">
        <f>COUNTIFS(T:T,"22 Februari 2023",U:U,"Kevin")</f>
        <v>0</v>
      </c>
      <c r="F392" s="774"/>
      <c r="G392" s="774"/>
      <c r="H392" s="774"/>
      <c r="I392" s="774"/>
    </row>
    <row r="393" spans="3:9">
      <c r="C393" s="98">
        <f>COUNTIFS(N:N,"23 Februari 2023")</f>
        <v>0</v>
      </c>
      <c r="D393" s="245" t="s">
        <v>3542</v>
      </c>
      <c r="E393" s="98">
        <f>COUNTIFS(T:T,"23 Februari 2023",U:U,"Kevin")</f>
        <v>0</v>
      </c>
      <c r="F393" s="774"/>
      <c r="G393" s="774"/>
      <c r="H393" s="774"/>
      <c r="I393" s="774"/>
    </row>
    <row r="394" spans="3:9">
      <c r="C394" s="98">
        <f>COUNTIFS(N:N,"24 Februari 2023")</f>
        <v>0</v>
      </c>
      <c r="D394" s="245" t="s">
        <v>3577</v>
      </c>
      <c r="E394" s="98">
        <f>COUNTIFS(T:T,"24 Februari 2023",U:U,"Kevin")</f>
        <v>0</v>
      </c>
      <c r="F394" s="774"/>
      <c r="G394" s="774"/>
      <c r="H394" s="774"/>
      <c r="I394" s="774"/>
    </row>
    <row r="395" spans="3:9">
      <c r="C395" s="98">
        <f>COUNTIFS(N:N,"25 Februari 2023")</f>
        <v>0</v>
      </c>
      <c r="D395" s="245" t="s">
        <v>4787</v>
      </c>
      <c r="E395" s="98">
        <f>COUNTIFS(T:T,"25 Februari 2023",U:U,"Kevin")</f>
        <v>0</v>
      </c>
      <c r="F395" s="773"/>
      <c r="G395" s="773"/>
      <c r="H395" s="773"/>
      <c r="I395" s="774"/>
    </row>
    <row r="396" spans="3:9">
      <c r="C396" s="98">
        <f>COUNTIFS(N:N,"26 Februari 2023")</f>
        <v>0</v>
      </c>
      <c r="D396" s="245" t="s">
        <v>4788</v>
      </c>
      <c r="E396" s="98">
        <f>COUNTIFS(T:T,"26 Februari 2023",U:U,"Kevin")</f>
        <v>0</v>
      </c>
      <c r="F396" s="692" t="s">
        <v>4789</v>
      </c>
      <c r="G396" s="692">
        <f>SUM(C396:C398)</f>
        <v>0</v>
      </c>
      <c r="H396" s="780"/>
      <c r="I396" s="774"/>
    </row>
    <row r="397" spans="3:9">
      <c r="C397" s="98">
        <f>COUNTIFS(N:N,"27 Februari 2023")</f>
        <v>0</v>
      </c>
      <c r="D397" s="245" t="s">
        <v>3610</v>
      </c>
      <c r="E397" s="98">
        <f>COUNTIFS(T:T,"27 Februari 2023",U:U,"Kevin")</f>
        <v>0</v>
      </c>
      <c r="F397" s="774"/>
      <c r="G397" s="774"/>
      <c r="H397" s="774"/>
      <c r="I397" s="774"/>
    </row>
    <row r="398" spans="3:9">
      <c r="C398" s="98">
        <f>COUNTIFS(N:N,"28 Februari 2023")</f>
        <v>0</v>
      </c>
      <c r="D398" s="245" t="s">
        <v>4790</v>
      </c>
      <c r="E398" s="98">
        <f>COUNTIFS(T:T,"28 Februari 2023",U:U,"Kevin")</f>
        <v>0</v>
      </c>
      <c r="F398" s="773"/>
      <c r="G398" s="773"/>
      <c r="H398" s="773"/>
      <c r="I398" s="773"/>
    </row>
    <row r="399" spans="3:9">
      <c r="D399" s="83"/>
    </row>
    <row r="400" spans="3:9">
      <c r="D400" s="83"/>
    </row>
    <row r="401" spans="4:4">
      <c r="D401" s="83"/>
    </row>
    <row r="402" spans="4:4">
      <c r="D402" s="83"/>
    </row>
    <row r="403" spans="4:4">
      <c r="D403" s="83"/>
    </row>
    <row r="404" spans="4:4">
      <c r="D404" s="83"/>
    </row>
    <row r="405" spans="4:4">
      <c r="D405" s="83"/>
    </row>
    <row r="406" spans="4:4">
      <c r="D406" s="83"/>
    </row>
    <row r="407" spans="4:4">
      <c r="D407" s="83"/>
    </row>
    <row r="408" spans="4:4">
      <c r="D408" s="83"/>
    </row>
    <row r="409" spans="4:4">
      <c r="D409" s="83"/>
    </row>
    <row r="410" spans="4:4">
      <c r="D410" s="83"/>
    </row>
    <row r="411" spans="4:4">
      <c r="D411" s="83"/>
    </row>
    <row r="412" spans="4:4">
      <c r="D412" s="83"/>
    </row>
    <row r="413" spans="4:4">
      <c r="D413" s="83"/>
    </row>
    <row r="414" spans="4:4">
      <c r="D414" s="83"/>
    </row>
    <row r="415" spans="4:4">
      <c r="D415" s="83"/>
    </row>
    <row r="416" spans="4:4">
      <c r="D416" s="83"/>
    </row>
    <row r="417" spans="4:4">
      <c r="D417" s="83"/>
    </row>
    <row r="418" spans="4:4">
      <c r="D418" s="83"/>
    </row>
    <row r="419" spans="4:4">
      <c r="D419" s="83"/>
    </row>
    <row r="420" spans="4:4">
      <c r="D420" s="83"/>
    </row>
    <row r="421" spans="4:4">
      <c r="D421" s="83"/>
    </row>
    <row r="422" spans="4:4">
      <c r="D422" s="83"/>
    </row>
    <row r="423" spans="4:4">
      <c r="D423" s="83"/>
    </row>
    <row r="424" spans="4:4">
      <c r="D424" s="83"/>
    </row>
    <row r="425" spans="4:4">
      <c r="D425" s="83"/>
    </row>
    <row r="426" spans="4:4">
      <c r="D426" s="83"/>
    </row>
    <row r="427" spans="4:4">
      <c r="D427" s="83"/>
    </row>
    <row r="428" spans="4:4">
      <c r="D428" s="83"/>
    </row>
    <row r="429" spans="4:4">
      <c r="D429" s="83"/>
    </row>
    <row r="430" spans="4:4">
      <c r="D430" s="83"/>
    </row>
    <row r="431" spans="4:4">
      <c r="D431" s="83"/>
    </row>
    <row r="432" spans="4:4">
      <c r="D432" s="83"/>
    </row>
    <row r="433" spans="4:4">
      <c r="D433" s="83"/>
    </row>
    <row r="434" spans="4:4">
      <c r="D434" s="83"/>
    </row>
    <row r="435" spans="4:4">
      <c r="D435" s="83"/>
    </row>
    <row r="436" spans="4:4">
      <c r="D436" s="83"/>
    </row>
    <row r="437" spans="4:4">
      <c r="D437" s="83"/>
    </row>
    <row r="438" spans="4:4">
      <c r="D438" s="83"/>
    </row>
    <row r="439" spans="4:4">
      <c r="D439" s="83"/>
    </row>
    <row r="440" spans="4:4">
      <c r="D440" s="83"/>
    </row>
    <row r="441" spans="4:4">
      <c r="D441" s="83"/>
    </row>
    <row r="442" spans="4:4">
      <c r="D442" s="83"/>
    </row>
    <row r="443" spans="4:4">
      <c r="D443" s="83"/>
    </row>
    <row r="444" spans="4:4">
      <c r="D444" s="83"/>
    </row>
    <row r="445" spans="4:4">
      <c r="D445" s="83"/>
    </row>
    <row r="446" spans="4:4">
      <c r="D446" s="83"/>
    </row>
    <row r="447" spans="4:4">
      <c r="D447" s="83"/>
    </row>
    <row r="448" spans="4:4">
      <c r="D448" s="83"/>
    </row>
    <row r="449" spans="4:4">
      <c r="D449" s="83"/>
    </row>
    <row r="450" spans="4:4">
      <c r="D450" s="83"/>
    </row>
    <row r="451" spans="4:4">
      <c r="D451" s="83"/>
    </row>
    <row r="452" spans="4:4">
      <c r="D452" s="83"/>
    </row>
    <row r="453" spans="4:4">
      <c r="D453" s="83"/>
    </row>
    <row r="454" spans="4:4">
      <c r="D454" s="83"/>
    </row>
    <row r="455" spans="4:4">
      <c r="D455" s="83"/>
    </row>
    <row r="456" spans="4:4">
      <c r="D456" s="83"/>
    </row>
    <row r="457" spans="4:4">
      <c r="D457" s="83"/>
    </row>
    <row r="458" spans="4:4">
      <c r="D458" s="83"/>
    </row>
    <row r="459" spans="4:4">
      <c r="D459" s="83"/>
    </row>
    <row r="460" spans="4:4">
      <c r="D460" s="83"/>
    </row>
    <row r="461" spans="4:4">
      <c r="D461" s="83"/>
    </row>
    <row r="462" spans="4:4">
      <c r="D462" s="83"/>
    </row>
    <row r="463" spans="4:4">
      <c r="D463" s="83"/>
    </row>
    <row r="464" spans="4:4">
      <c r="D464" s="83"/>
    </row>
    <row r="465" spans="4:4">
      <c r="D465" s="83"/>
    </row>
    <row r="466" spans="4:4">
      <c r="D466" s="83"/>
    </row>
    <row r="467" spans="4:4">
      <c r="D467" s="83"/>
    </row>
    <row r="468" spans="4:4">
      <c r="D468" s="83"/>
    </row>
    <row r="469" spans="4:4">
      <c r="D469" s="83"/>
    </row>
    <row r="470" spans="4:4">
      <c r="D470" s="83"/>
    </row>
    <row r="471" spans="4:4">
      <c r="D471" s="83"/>
    </row>
    <row r="472" spans="4:4">
      <c r="D472" s="83"/>
    </row>
    <row r="473" spans="4:4">
      <c r="D473" s="83"/>
    </row>
    <row r="474" spans="4:4">
      <c r="D474" s="83"/>
    </row>
    <row r="475" spans="4:4">
      <c r="D475" s="83"/>
    </row>
    <row r="476" spans="4:4">
      <c r="D476" s="83"/>
    </row>
    <row r="477" spans="4:4">
      <c r="D477" s="83"/>
    </row>
    <row r="478" spans="4:4">
      <c r="D478" s="83"/>
    </row>
    <row r="479" spans="4:4">
      <c r="D479" s="83"/>
    </row>
    <row r="480" spans="4:4">
      <c r="D480" s="83"/>
    </row>
    <row r="481" spans="4:4">
      <c r="D481" s="83"/>
    </row>
    <row r="482" spans="4:4">
      <c r="D482" s="83"/>
    </row>
    <row r="483" spans="4:4">
      <c r="D483" s="83"/>
    </row>
    <row r="484" spans="4:4">
      <c r="D484" s="83"/>
    </row>
    <row r="485" spans="4:4">
      <c r="D485" s="83"/>
    </row>
    <row r="486" spans="4:4">
      <c r="D486" s="83"/>
    </row>
    <row r="487" spans="4:4">
      <c r="D487" s="83"/>
    </row>
    <row r="488" spans="4:4">
      <c r="D488" s="83"/>
    </row>
    <row r="489" spans="4:4">
      <c r="D489" s="83"/>
    </row>
    <row r="490" spans="4:4">
      <c r="D490" s="83"/>
    </row>
    <row r="491" spans="4:4">
      <c r="D491" s="83"/>
    </row>
    <row r="492" spans="4:4">
      <c r="D492" s="83"/>
    </row>
    <row r="493" spans="4:4">
      <c r="D493" s="83"/>
    </row>
    <row r="494" spans="4:4">
      <c r="D494" s="83"/>
    </row>
    <row r="495" spans="4:4">
      <c r="D495" s="83"/>
    </row>
    <row r="496" spans="4:4">
      <c r="D496" s="83"/>
    </row>
    <row r="497" spans="4:4">
      <c r="D497" s="83"/>
    </row>
    <row r="498" spans="4:4">
      <c r="D498" s="83"/>
    </row>
    <row r="499" spans="4:4">
      <c r="D499" s="83"/>
    </row>
    <row r="500" spans="4:4">
      <c r="D500" s="83"/>
    </row>
    <row r="501" spans="4:4">
      <c r="D501" s="83"/>
    </row>
    <row r="502" spans="4:4">
      <c r="D502" s="83"/>
    </row>
    <row r="503" spans="4:4">
      <c r="D503" s="83"/>
    </row>
    <row r="504" spans="4:4">
      <c r="D504" s="83"/>
    </row>
    <row r="505" spans="4:4">
      <c r="D505" s="83"/>
    </row>
    <row r="506" spans="4:4">
      <c r="D506" s="83"/>
    </row>
    <row r="507" spans="4:4">
      <c r="D507" s="83"/>
    </row>
    <row r="508" spans="4:4">
      <c r="D508" s="83"/>
    </row>
    <row r="509" spans="4:4">
      <c r="D509" s="83"/>
    </row>
    <row r="510" spans="4:4">
      <c r="D510" s="83"/>
    </row>
    <row r="511" spans="4:4">
      <c r="D511" s="83"/>
    </row>
    <row r="512" spans="4:4">
      <c r="D512" s="83"/>
    </row>
    <row r="513" spans="2:4">
      <c r="D513" s="83"/>
    </row>
    <row r="514" spans="2:4">
      <c r="D514" s="83"/>
    </row>
    <row r="515" spans="2:4">
      <c r="D515" s="83"/>
    </row>
    <row r="516" spans="2:4">
      <c r="D516" s="83"/>
    </row>
    <row r="517" spans="2:4">
      <c r="D517" s="83"/>
    </row>
    <row r="518" spans="2:4">
      <c r="D518" s="83"/>
    </row>
    <row r="519" spans="2:4">
      <c r="D519" s="83"/>
    </row>
    <row r="520" spans="2:4">
      <c r="D520" s="83"/>
    </row>
    <row r="521" spans="2:4">
      <c r="D521" s="83"/>
    </row>
    <row r="522" spans="2:4">
      <c r="D522" s="83"/>
    </row>
    <row r="523" spans="2:4">
      <c r="D523" s="83"/>
    </row>
    <row r="524" spans="2:4">
      <c r="D524" s="83"/>
    </row>
    <row r="525" spans="2:4">
      <c r="B525" s="249"/>
      <c r="D525" s="83"/>
    </row>
    <row r="526" spans="2:4">
      <c r="B526" s="36"/>
      <c r="D526" s="83"/>
    </row>
    <row r="527" spans="2:4">
      <c r="B527" s="36"/>
      <c r="D527" s="83"/>
    </row>
    <row r="528" spans="2:4">
      <c r="B528" s="36"/>
      <c r="D528" s="83"/>
    </row>
    <row r="529" spans="2:4">
      <c r="B529" s="36"/>
      <c r="D529" s="83"/>
    </row>
    <row r="530" spans="2:4">
      <c r="B530" s="36"/>
      <c r="D530" s="83"/>
    </row>
    <row r="531" spans="2:4">
      <c r="B531" s="36"/>
      <c r="D531" s="83"/>
    </row>
    <row r="532" spans="2:4">
      <c r="B532" s="36"/>
      <c r="D532" s="83"/>
    </row>
    <row r="533" spans="2:4">
      <c r="B533" s="36"/>
      <c r="D533" s="83"/>
    </row>
    <row r="534" spans="2:4">
      <c r="B534" s="36"/>
      <c r="D534" s="83"/>
    </row>
    <row r="535" spans="2:4">
      <c r="B535" s="36"/>
      <c r="D535" s="83"/>
    </row>
    <row r="536" spans="2:4">
      <c r="B536" s="36"/>
      <c r="D536" s="83"/>
    </row>
    <row r="537" spans="2:4">
      <c r="B537" s="36"/>
      <c r="D537" s="83"/>
    </row>
    <row r="538" spans="2:4">
      <c r="B538" s="36"/>
      <c r="D538" s="83"/>
    </row>
    <row r="539" spans="2:4">
      <c r="B539" s="36"/>
      <c r="D539" s="83"/>
    </row>
    <row r="540" spans="2:4">
      <c r="B540" s="36"/>
      <c r="D540" s="83"/>
    </row>
    <row r="541" spans="2:4">
      <c r="B541" s="36"/>
      <c r="D541" s="83"/>
    </row>
    <row r="542" spans="2:4">
      <c r="B542" s="36"/>
      <c r="D542" s="83"/>
    </row>
    <row r="543" spans="2:4">
      <c r="B543" s="36"/>
      <c r="D543" s="83"/>
    </row>
    <row r="544" spans="2:4">
      <c r="B544" s="36"/>
      <c r="D544" s="83"/>
    </row>
    <row r="545" spans="2:4">
      <c r="B545" s="36"/>
      <c r="D545" s="83"/>
    </row>
    <row r="546" spans="2:4">
      <c r="B546" s="36"/>
      <c r="D546" s="83"/>
    </row>
    <row r="547" spans="2:4">
      <c r="B547" s="36"/>
      <c r="D547" s="83"/>
    </row>
    <row r="548" spans="2:4">
      <c r="B548" s="36"/>
      <c r="D548" s="83"/>
    </row>
    <row r="549" spans="2:4">
      <c r="B549" s="36"/>
      <c r="D549" s="83"/>
    </row>
    <row r="550" spans="2:4">
      <c r="B550" s="36"/>
      <c r="D550" s="83"/>
    </row>
    <row r="551" spans="2:4">
      <c r="B551" s="36"/>
      <c r="D551" s="83"/>
    </row>
    <row r="552" spans="2:4">
      <c r="B552" s="36"/>
      <c r="D552" s="83"/>
    </row>
    <row r="553" spans="2:4">
      <c r="B553" s="36"/>
      <c r="D553" s="83"/>
    </row>
    <row r="554" spans="2:4">
      <c r="B554" s="36"/>
      <c r="D554" s="83"/>
    </row>
    <row r="555" spans="2:4">
      <c r="B555" s="36"/>
      <c r="D555" s="83"/>
    </row>
    <row r="556" spans="2:4">
      <c r="B556" s="36"/>
      <c r="D556" s="83"/>
    </row>
    <row r="557" spans="2:4">
      <c r="B557" s="36"/>
      <c r="D557" s="83"/>
    </row>
    <row r="558" spans="2:4">
      <c r="B558" s="36"/>
      <c r="D558" s="83"/>
    </row>
    <row r="559" spans="2:4">
      <c r="B559" s="36"/>
      <c r="D559" s="83"/>
    </row>
    <row r="560" spans="2:4">
      <c r="B560" s="36"/>
      <c r="D560" s="83"/>
    </row>
    <row r="561" spans="2:4">
      <c r="B561" s="36"/>
      <c r="D561" s="83"/>
    </row>
    <row r="562" spans="2:4">
      <c r="B562" s="36"/>
      <c r="D562" s="83"/>
    </row>
    <row r="563" spans="2:4">
      <c r="B563" s="36"/>
      <c r="D563" s="83"/>
    </row>
    <row r="564" spans="2:4">
      <c r="B564" s="36"/>
      <c r="D564" s="83"/>
    </row>
    <row r="565" spans="2:4">
      <c r="B565" s="36"/>
      <c r="D565" s="83"/>
    </row>
    <row r="566" spans="2:4">
      <c r="B566" s="36"/>
      <c r="D566" s="83"/>
    </row>
    <row r="567" spans="2:4">
      <c r="B567" s="36"/>
      <c r="D567" s="83"/>
    </row>
    <row r="568" spans="2:4">
      <c r="B568" s="36"/>
      <c r="D568" s="83"/>
    </row>
    <row r="569" spans="2:4">
      <c r="B569" s="36"/>
      <c r="D569" s="83"/>
    </row>
    <row r="570" spans="2:4">
      <c r="B570" s="36"/>
      <c r="D570" s="83"/>
    </row>
    <row r="571" spans="2:4">
      <c r="B571" s="36"/>
      <c r="D571" s="83"/>
    </row>
    <row r="572" spans="2:4">
      <c r="B572" s="36"/>
      <c r="D572" s="83"/>
    </row>
    <row r="573" spans="2:4">
      <c r="B573" s="36"/>
      <c r="D573" s="83"/>
    </row>
    <row r="574" spans="2:4">
      <c r="B574" s="36"/>
      <c r="D574" s="83"/>
    </row>
    <row r="575" spans="2:4">
      <c r="B575" s="36"/>
      <c r="D575" s="83"/>
    </row>
    <row r="576" spans="2:4">
      <c r="B576" s="36"/>
      <c r="D576" s="83"/>
    </row>
    <row r="577" spans="2:4">
      <c r="B577" s="36"/>
      <c r="D577" s="83"/>
    </row>
    <row r="578" spans="2:4">
      <c r="B578" s="36"/>
      <c r="D578" s="83"/>
    </row>
    <row r="579" spans="2:4">
      <c r="B579" s="36"/>
      <c r="D579" s="83"/>
    </row>
    <row r="580" spans="2:4">
      <c r="B580" s="36"/>
      <c r="D580" s="83"/>
    </row>
    <row r="581" spans="2:4">
      <c r="B581" s="36"/>
      <c r="D581" s="83"/>
    </row>
    <row r="582" spans="2:4">
      <c r="B582" s="36"/>
      <c r="D582" s="83"/>
    </row>
    <row r="583" spans="2:4">
      <c r="B583" s="36"/>
      <c r="D583" s="83"/>
    </row>
    <row r="584" spans="2:4">
      <c r="B584" s="36"/>
      <c r="D584" s="83"/>
    </row>
    <row r="585" spans="2:4">
      <c r="B585" s="36"/>
      <c r="D585" s="83"/>
    </row>
    <row r="586" spans="2:4">
      <c r="B586" s="36"/>
      <c r="D586" s="83"/>
    </row>
    <row r="587" spans="2:4">
      <c r="B587" s="36"/>
      <c r="D587" s="83"/>
    </row>
    <row r="588" spans="2:4">
      <c r="B588" s="36"/>
      <c r="D588" s="83"/>
    </row>
    <row r="589" spans="2:4">
      <c r="B589" s="36"/>
      <c r="D589" s="83"/>
    </row>
    <row r="590" spans="2:4">
      <c r="B590" s="36"/>
      <c r="D590" s="83"/>
    </row>
    <row r="591" spans="2:4">
      <c r="B591" s="36"/>
      <c r="D591" s="83"/>
    </row>
    <row r="592" spans="2:4">
      <c r="B592" s="36"/>
      <c r="D592" s="83"/>
    </row>
    <row r="593" spans="2:4">
      <c r="B593" s="36"/>
      <c r="D593" s="83"/>
    </row>
    <row r="594" spans="2:4">
      <c r="B594" s="36"/>
      <c r="D594" s="83"/>
    </row>
    <row r="595" spans="2:4">
      <c r="B595" s="36"/>
      <c r="D595" s="83"/>
    </row>
    <row r="596" spans="2:4">
      <c r="B596" s="36"/>
      <c r="D596" s="83"/>
    </row>
    <row r="597" spans="2:4">
      <c r="B597" s="36"/>
      <c r="D597" s="83"/>
    </row>
    <row r="598" spans="2:4">
      <c r="B598" s="36"/>
      <c r="D598" s="83"/>
    </row>
    <row r="599" spans="2:4">
      <c r="B599" s="36"/>
      <c r="D599" s="83"/>
    </row>
    <row r="600" spans="2:4">
      <c r="B600" s="36"/>
      <c r="D600" s="83"/>
    </row>
    <row r="601" spans="2:4">
      <c r="B601" s="36"/>
      <c r="D601" s="83"/>
    </row>
    <row r="602" spans="2:4">
      <c r="B602" s="36"/>
      <c r="D602" s="83"/>
    </row>
    <row r="603" spans="2:4">
      <c r="B603" s="36"/>
      <c r="D603" s="83"/>
    </row>
    <row r="604" spans="2:4">
      <c r="B604" s="36"/>
      <c r="D604" s="83"/>
    </row>
    <row r="605" spans="2:4">
      <c r="B605" s="36"/>
      <c r="D605" s="83"/>
    </row>
    <row r="606" spans="2:4">
      <c r="B606" s="36"/>
      <c r="D606" s="83"/>
    </row>
    <row r="607" spans="2:4">
      <c r="B607" s="36"/>
      <c r="D607" s="83"/>
    </row>
    <row r="608" spans="2:4">
      <c r="B608" s="36"/>
      <c r="D608" s="83"/>
    </row>
    <row r="609" spans="2:4">
      <c r="B609" s="36"/>
      <c r="D609" s="83"/>
    </row>
    <row r="610" spans="2:4">
      <c r="B610" s="36"/>
      <c r="D610" s="83"/>
    </row>
    <row r="611" spans="2:4">
      <c r="B611" s="36"/>
      <c r="D611" s="83"/>
    </row>
    <row r="612" spans="2:4">
      <c r="B612" s="36"/>
      <c r="D612" s="83"/>
    </row>
    <row r="613" spans="2:4">
      <c r="B613" s="36"/>
      <c r="D613" s="83"/>
    </row>
    <row r="614" spans="2:4">
      <c r="B614" s="36"/>
      <c r="D614" s="83"/>
    </row>
    <row r="615" spans="2:4">
      <c r="B615" s="36"/>
      <c r="D615" s="83"/>
    </row>
    <row r="616" spans="2:4">
      <c r="B616" s="36"/>
      <c r="D616" s="83"/>
    </row>
    <row r="617" spans="2:4">
      <c r="B617" s="36"/>
      <c r="D617" s="83"/>
    </row>
    <row r="618" spans="2:4">
      <c r="B618" s="36"/>
      <c r="D618" s="83"/>
    </row>
    <row r="619" spans="2:4">
      <c r="B619" s="36"/>
      <c r="D619" s="83"/>
    </row>
    <row r="620" spans="2:4">
      <c r="B620" s="36"/>
      <c r="D620" s="83"/>
    </row>
    <row r="621" spans="2:4">
      <c r="B621" s="36"/>
      <c r="D621" s="83"/>
    </row>
    <row r="622" spans="2:4">
      <c r="B622" s="36"/>
      <c r="D622" s="83"/>
    </row>
    <row r="623" spans="2:4">
      <c r="B623" s="36"/>
      <c r="D623" s="83"/>
    </row>
    <row r="624" spans="2:4">
      <c r="B624" s="36"/>
      <c r="D624" s="83"/>
    </row>
    <row r="625" spans="2:4">
      <c r="B625" s="36"/>
      <c r="D625" s="83"/>
    </row>
    <row r="626" spans="2:4">
      <c r="B626" s="36"/>
      <c r="D626" s="83"/>
    </row>
    <row r="627" spans="2:4">
      <c r="B627" s="36"/>
      <c r="D627" s="83"/>
    </row>
    <row r="628" spans="2:4">
      <c r="B628" s="36"/>
      <c r="D628" s="83"/>
    </row>
    <row r="629" spans="2:4">
      <c r="B629" s="36"/>
      <c r="D629" s="83"/>
    </row>
    <row r="630" spans="2:4">
      <c r="B630" s="36"/>
      <c r="D630" s="83"/>
    </row>
    <row r="631" spans="2:4">
      <c r="B631" s="36"/>
      <c r="D631" s="83"/>
    </row>
    <row r="632" spans="2:4">
      <c r="B632" s="36"/>
      <c r="D632" s="83"/>
    </row>
    <row r="633" spans="2:4">
      <c r="B633" s="36"/>
      <c r="D633" s="83"/>
    </row>
    <row r="634" spans="2:4">
      <c r="B634" s="36"/>
      <c r="D634" s="83"/>
    </row>
    <row r="635" spans="2:4">
      <c r="B635" s="36"/>
      <c r="D635" s="83"/>
    </row>
    <row r="636" spans="2:4">
      <c r="B636" s="36"/>
      <c r="D636" s="83"/>
    </row>
    <row r="637" spans="2:4">
      <c r="B637" s="36"/>
      <c r="D637" s="83"/>
    </row>
    <row r="638" spans="2:4">
      <c r="B638" s="36"/>
      <c r="D638" s="83"/>
    </row>
    <row r="639" spans="2:4">
      <c r="B639" s="36"/>
      <c r="D639" s="83"/>
    </row>
    <row r="640" spans="2:4">
      <c r="B640" s="36"/>
      <c r="D640" s="83"/>
    </row>
    <row r="641" spans="2:4">
      <c r="B641" s="36"/>
      <c r="D641" s="83"/>
    </row>
    <row r="642" spans="2:4">
      <c r="B642" s="36"/>
      <c r="D642" s="83"/>
    </row>
    <row r="643" spans="2:4">
      <c r="B643" s="36"/>
      <c r="D643" s="83"/>
    </row>
    <row r="644" spans="2:4">
      <c r="B644" s="36"/>
      <c r="D644" s="83"/>
    </row>
    <row r="645" spans="2:4">
      <c r="B645" s="36"/>
      <c r="D645" s="83"/>
    </row>
    <row r="646" spans="2:4">
      <c r="B646" s="36"/>
      <c r="D646" s="83"/>
    </row>
    <row r="647" spans="2:4">
      <c r="B647" s="36"/>
      <c r="D647" s="83"/>
    </row>
    <row r="648" spans="2:4">
      <c r="B648" s="36"/>
      <c r="D648" s="83"/>
    </row>
    <row r="649" spans="2:4">
      <c r="B649" s="36"/>
      <c r="D649" s="83"/>
    </row>
    <row r="650" spans="2:4">
      <c r="B650" s="36"/>
      <c r="D650" s="83"/>
    </row>
    <row r="651" spans="2:4">
      <c r="B651" s="36"/>
      <c r="D651" s="83"/>
    </row>
    <row r="652" spans="2:4">
      <c r="B652" s="36"/>
      <c r="D652" s="83"/>
    </row>
    <row r="653" spans="2:4">
      <c r="B653" s="36"/>
      <c r="D653" s="83"/>
    </row>
    <row r="654" spans="2:4">
      <c r="B654" s="36"/>
      <c r="D654" s="83"/>
    </row>
    <row r="655" spans="2:4">
      <c r="B655" s="36"/>
      <c r="D655" s="83"/>
    </row>
    <row r="656" spans="2:4">
      <c r="B656" s="36"/>
      <c r="D656" s="83"/>
    </row>
    <row r="657" spans="2:4">
      <c r="B657" s="36"/>
      <c r="D657" s="83"/>
    </row>
    <row r="658" spans="2:4">
      <c r="B658" s="36"/>
      <c r="D658" s="83"/>
    </row>
    <row r="659" spans="2:4">
      <c r="B659" s="36"/>
      <c r="D659" s="83"/>
    </row>
    <row r="660" spans="2:4">
      <c r="B660" s="36"/>
      <c r="D660" s="83"/>
    </row>
    <row r="661" spans="2:4">
      <c r="B661" s="36"/>
      <c r="D661" s="83"/>
    </row>
    <row r="662" spans="2:4">
      <c r="B662" s="36"/>
      <c r="D662" s="83"/>
    </row>
    <row r="663" spans="2:4">
      <c r="B663" s="36"/>
      <c r="D663" s="83"/>
    </row>
    <row r="664" spans="2:4">
      <c r="B664" s="36"/>
      <c r="D664" s="83"/>
    </row>
    <row r="665" spans="2:4">
      <c r="B665" s="36"/>
      <c r="D665" s="83"/>
    </row>
    <row r="666" spans="2:4">
      <c r="B666" s="36"/>
      <c r="D666" s="83"/>
    </row>
    <row r="667" spans="2:4">
      <c r="B667" s="36"/>
      <c r="D667" s="83"/>
    </row>
    <row r="668" spans="2:4">
      <c r="B668" s="36"/>
      <c r="D668" s="83"/>
    </row>
    <row r="669" spans="2:4">
      <c r="B669" s="36"/>
      <c r="D669" s="83"/>
    </row>
    <row r="670" spans="2:4">
      <c r="B670" s="36"/>
      <c r="D670" s="83"/>
    </row>
    <row r="671" spans="2:4">
      <c r="B671" s="36"/>
      <c r="D671" s="83"/>
    </row>
    <row r="672" spans="2:4">
      <c r="B672" s="36"/>
      <c r="D672" s="83"/>
    </row>
    <row r="673" spans="2:4">
      <c r="B673" s="36"/>
      <c r="D673" s="83"/>
    </row>
    <row r="674" spans="2:4">
      <c r="B674" s="36"/>
      <c r="D674" s="83"/>
    </row>
    <row r="675" spans="2:4">
      <c r="B675" s="36"/>
      <c r="D675" s="83"/>
    </row>
    <row r="676" spans="2:4">
      <c r="B676" s="36"/>
      <c r="D676" s="83"/>
    </row>
    <row r="677" spans="2:4">
      <c r="B677" s="36"/>
      <c r="D677" s="83"/>
    </row>
    <row r="678" spans="2:4">
      <c r="B678" s="36"/>
      <c r="D678" s="83"/>
    </row>
    <row r="679" spans="2:4">
      <c r="B679" s="36"/>
      <c r="D679" s="83"/>
    </row>
    <row r="680" spans="2:4">
      <c r="B680" s="36"/>
      <c r="D680" s="83"/>
    </row>
    <row r="681" spans="2:4">
      <c r="B681" s="36"/>
      <c r="D681" s="83"/>
    </row>
    <row r="682" spans="2:4">
      <c r="B682" s="36"/>
      <c r="D682" s="83"/>
    </row>
    <row r="683" spans="2:4">
      <c r="B683" s="36"/>
      <c r="D683" s="83"/>
    </row>
    <row r="684" spans="2:4">
      <c r="B684" s="36"/>
      <c r="D684" s="83"/>
    </row>
    <row r="685" spans="2:4">
      <c r="B685" s="36"/>
      <c r="D685" s="83"/>
    </row>
    <row r="686" spans="2:4">
      <c r="B686" s="36"/>
      <c r="D686" s="83"/>
    </row>
    <row r="687" spans="2:4">
      <c r="B687" s="36"/>
      <c r="D687" s="83"/>
    </row>
    <row r="688" spans="2:4">
      <c r="B688" s="36"/>
      <c r="D688" s="83"/>
    </row>
    <row r="689" spans="2:4">
      <c r="B689" s="36"/>
      <c r="D689" s="83"/>
    </row>
    <row r="690" spans="2:4">
      <c r="B690" s="36"/>
      <c r="D690" s="83"/>
    </row>
    <row r="691" spans="2:4">
      <c r="B691" s="36"/>
      <c r="D691" s="83"/>
    </row>
    <row r="692" spans="2:4">
      <c r="B692" s="36"/>
      <c r="D692" s="83"/>
    </row>
    <row r="693" spans="2:4">
      <c r="B693" s="36"/>
      <c r="D693" s="83"/>
    </row>
    <row r="694" spans="2:4">
      <c r="B694" s="36"/>
      <c r="D694" s="83"/>
    </row>
    <row r="695" spans="2:4">
      <c r="B695" s="36"/>
      <c r="D695" s="83"/>
    </row>
    <row r="696" spans="2:4">
      <c r="B696" s="36"/>
      <c r="D696" s="83"/>
    </row>
    <row r="697" spans="2:4">
      <c r="B697" s="36"/>
      <c r="D697" s="83"/>
    </row>
    <row r="698" spans="2:4">
      <c r="B698" s="36"/>
      <c r="D698" s="83"/>
    </row>
    <row r="699" spans="2:4">
      <c r="B699" s="36"/>
      <c r="D699" s="83"/>
    </row>
    <row r="700" spans="2:4">
      <c r="B700" s="36"/>
      <c r="D700" s="83"/>
    </row>
    <row r="701" spans="2:4">
      <c r="B701" s="36"/>
      <c r="D701" s="83"/>
    </row>
    <row r="702" spans="2:4">
      <c r="B702" s="36"/>
      <c r="D702" s="83"/>
    </row>
    <row r="703" spans="2:4">
      <c r="B703" s="36"/>
      <c r="D703" s="83"/>
    </row>
    <row r="704" spans="2:4">
      <c r="B704" s="36"/>
      <c r="D704" s="83"/>
    </row>
    <row r="705" spans="2:4">
      <c r="B705" s="36"/>
      <c r="D705" s="83"/>
    </row>
    <row r="706" spans="2:4">
      <c r="B706" s="36"/>
      <c r="D706" s="83"/>
    </row>
    <row r="707" spans="2:4">
      <c r="B707" s="36"/>
      <c r="D707" s="83"/>
    </row>
    <row r="708" spans="2:4">
      <c r="B708" s="36"/>
      <c r="D708" s="83"/>
    </row>
    <row r="709" spans="2:4">
      <c r="B709" s="36"/>
      <c r="D709" s="83"/>
    </row>
    <row r="710" spans="2:4">
      <c r="B710" s="36"/>
      <c r="D710" s="83"/>
    </row>
    <row r="711" spans="2:4">
      <c r="B711" s="36"/>
      <c r="D711" s="83"/>
    </row>
    <row r="712" spans="2:4">
      <c r="B712" s="36"/>
      <c r="D712" s="83"/>
    </row>
    <row r="713" spans="2:4">
      <c r="B713" s="36"/>
      <c r="D713" s="83"/>
    </row>
    <row r="714" spans="2:4">
      <c r="B714" s="36"/>
      <c r="D714" s="83"/>
    </row>
    <row r="715" spans="2:4">
      <c r="B715" s="36"/>
      <c r="D715" s="83"/>
    </row>
    <row r="716" spans="2:4">
      <c r="B716" s="36"/>
      <c r="D716" s="83"/>
    </row>
    <row r="717" spans="2:4">
      <c r="B717" s="36"/>
      <c r="D717" s="83"/>
    </row>
    <row r="718" spans="2:4">
      <c r="B718" s="36"/>
      <c r="D718" s="83"/>
    </row>
    <row r="719" spans="2:4">
      <c r="B719" s="36"/>
      <c r="D719" s="83"/>
    </row>
    <row r="720" spans="2:4">
      <c r="B720" s="36"/>
      <c r="D720" s="83"/>
    </row>
    <row r="721" spans="2:4">
      <c r="B721" s="36"/>
      <c r="D721" s="83"/>
    </row>
    <row r="722" spans="2:4">
      <c r="B722" s="36"/>
      <c r="D722" s="83"/>
    </row>
    <row r="723" spans="2:4">
      <c r="B723" s="36"/>
      <c r="D723" s="83"/>
    </row>
    <row r="724" spans="2:4">
      <c r="B724" s="36"/>
      <c r="D724" s="83"/>
    </row>
    <row r="725" spans="2:4">
      <c r="B725" s="36"/>
      <c r="D725" s="83"/>
    </row>
    <row r="726" spans="2:4">
      <c r="B726" s="36"/>
      <c r="D726" s="83"/>
    </row>
    <row r="727" spans="2:4">
      <c r="B727" s="36"/>
      <c r="D727" s="83"/>
    </row>
    <row r="728" spans="2:4">
      <c r="B728" s="36"/>
      <c r="D728" s="83"/>
    </row>
    <row r="729" spans="2:4">
      <c r="B729" s="36"/>
      <c r="D729" s="83"/>
    </row>
    <row r="730" spans="2:4">
      <c r="B730" s="36"/>
      <c r="D730" s="83"/>
    </row>
    <row r="731" spans="2:4">
      <c r="B731" s="36"/>
      <c r="D731" s="83"/>
    </row>
    <row r="732" spans="2:4">
      <c r="B732" s="36"/>
      <c r="D732" s="83"/>
    </row>
    <row r="733" spans="2:4">
      <c r="B733" s="36"/>
      <c r="D733" s="83"/>
    </row>
    <row r="734" spans="2:4">
      <c r="B734" s="36"/>
      <c r="D734" s="83"/>
    </row>
    <row r="735" spans="2:4">
      <c r="B735" s="36"/>
      <c r="D735" s="83"/>
    </row>
    <row r="736" spans="2:4">
      <c r="B736" s="36"/>
      <c r="D736" s="83"/>
    </row>
    <row r="737" spans="2:4">
      <c r="B737" s="36"/>
      <c r="D737" s="83"/>
    </row>
    <row r="738" spans="2:4">
      <c r="B738" s="36"/>
      <c r="D738" s="83"/>
    </row>
    <row r="739" spans="2:4">
      <c r="B739" s="36"/>
      <c r="D739" s="83"/>
    </row>
    <row r="740" spans="2:4">
      <c r="B740" s="36"/>
      <c r="D740" s="83"/>
    </row>
    <row r="741" spans="2:4">
      <c r="B741" s="36"/>
      <c r="D741" s="83"/>
    </row>
    <row r="742" spans="2:4">
      <c r="B742" s="36"/>
      <c r="D742" s="83"/>
    </row>
    <row r="743" spans="2:4">
      <c r="B743" s="36"/>
      <c r="D743" s="83"/>
    </row>
    <row r="744" spans="2:4">
      <c r="B744" s="36"/>
      <c r="D744" s="83"/>
    </row>
    <row r="745" spans="2:4">
      <c r="B745" s="36"/>
      <c r="D745" s="83"/>
    </row>
    <row r="746" spans="2:4">
      <c r="B746" s="36"/>
      <c r="D746" s="83"/>
    </row>
    <row r="747" spans="2:4">
      <c r="B747" s="36"/>
      <c r="D747" s="83"/>
    </row>
    <row r="748" spans="2:4">
      <c r="B748" s="36"/>
      <c r="D748" s="83"/>
    </row>
    <row r="749" spans="2:4">
      <c r="B749" s="36"/>
      <c r="D749" s="83"/>
    </row>
    <row r="750" spans="2:4">
      <c r="B750" s="36"/>
      <c r="D750" s="83"/>
    </row>
    <row r="751" spans="2:4">
      <c r="B751" s="36"/>
      <c r="D751" s="83"/>
    </row>
    <row r="752" spans="2:4">
      <c r="B752" s="36"/>
      <c r="D752" s="83"/>
    </row>
    <row r="753" spans="2:4">
      <c r="B753" s="36"/>
      <c r="D753" s="83"/>
    </row>
    <row r="754" spans="2:4">
      <c r="B754" s="36"/>
      <c r="D754" s="83"/>
    </row>
    <row r="755" spans="2:4">
      <c r="B755" s="36"/>
      <c r="D755" s="83"/>
    </row>
    <row r="756" spans="2:4">
      <c r="B756" s="36"/>
      <c r="D756" s="83"/>
    </row>
    <row r="757" spans="2:4">
      <c r="B757" s="36"/>
      <c r="D757" s="83"/>
    </row>
    <row r="758" spans="2:4">
      <c r="B758" s="36"/>
      <c r="D758" s="83"/>
    </row>
    <row r="759" spans="2:4">
      <c r="B759" s="36"/>
      <c r="D759" s="83"/>
    </row>
    <row r="760" spans="2:4">
      <c r="B760" s="36"/>
      <c r="D760" s="83"/>
    </row>
    <row r="761" spans="2:4">
      <c r="B761" s="36"/>
      <c r="D761" s="83"/>
    </row>
    <row r="762" spans="2:4">
      <c r="B762" s="36"/>
      <c r="D762" s="83"/>
    </row>
    <row r="763" spans="2:4">
      <c r="B763" s="36"/>
      <c r="D763" s="83"/>
    </row>
    <row r="764" spans="2:4">
      <c r="B764" s="36"/>
      <c r="D764" s="83"/>
    </row>
    <row r="765" spans="2:4">
      <c r="B765" s="36"/>
      <c r="D765" s="83"/>
    </row>
    <row r="766" spans="2:4">
      <c r="B766" s="36"/>
      <c r="D766" s="83"/>
    </row>
    <row r="767" spans="2:4">
      <c r="B767" s="36"/>
      <c r="D767" s="83"/>
    </row>
    <row r="768" spans="2:4">
      <c r="B768" s="36"/>
      <c r="D768" s="83"/>
    </row>
    <row r="769" spans="2:4">
      <c r="B769" s="36"/>
      <c r="D769" s="83"/>
    </row>
    <row r="770" spans="2:4">
      <c r="B770" s="36"/>
      <c r="D770" s="83"/>
    </row>
    <row r="771" spans="2:4">
      <c r="B771" s="36"/>
      <c r="D771" s="83"/>
    </row>
    <row r="772" spans="2:4">
      <c r="B772" s="36"/>
      <c r="D772" s="83"/>
    </row>
    <row r="773" spans="2:4">
      <c r="B773" s="36"/>
      <c r="D773" s="83"/>
    </row>
    <row r="774" spans="2:4">
      <c r="B774" s="36"/>
      <c r="D774" s="83"/>
    </row>
    <row r="775" spans="2:4">
      <c r="B775" s="36"/>
      <c r="D775" s="83"/>
    </row>
    <row r="776" spans="2:4">
      <c r="B776" s="36"/>
      <c r="D776" s="83"/>
    </row>
    <row r="777" spans="2:4">
      <c r="B777" s="36"/>
      <c r="D777" s="83"/>
    </row>
    <row r="778" spans="2:4">
      <c r="B778" s="36"/>
      <c r="D778" s="83"/>
    </row>
    <row r="779" spans="2:4">
      <c r="B779" s="36"/>
      <c r="D779" s="83"/>
    </row>
    <row r="780" spans="2:4">
      <c r="B780" s="36"/>
      <c r="D780" s="83"/>
    </row>
    <row r="781" spans="2:4">
      <c r="B781" s="36"/>
      <c r="D781" s="83"/>
    </row>
    <row r="782" spans="2:4">
      <c r="B782" s="36"/>
      <c r="D782" s="83"/>
    </row>
    <row r="783" spans="2:4">
      <c r="B783" s="36"/>
      <c r="D783" s="83"/>
    </row>
    <row r="784" spans="2:4">
      <c r="B784" s="36"/>
      <c r="D784" s="83"/>
    </row>
    <row r="785" spans="2:4">
      <c r="B785" s="36"/>
      <c r="D785" s="83"/>
    </row>
    <row r="786" spans="2:4">
      <c r="B786" s="36"/>
      <c r="D786" s="83"/>
    </row>
    <row r="787" spans="2:4">
      <c r="B787" s="36"/>
      <c r="D787" s="83"/>
    </row>
    <row r="788" spans="2:4">
      <c r="B788" s="36"/>
      <c r="D788" s="83"/>
    </row>
    <row r="789" spans="2:4">
      <c r="B789" s="36"/>
      <c r="D789" s="83"/>
    </row>
    <row r="790" spans="2:4">
      <c r="B790" s="36"/>
      <c r="D790" s="83"/>
    </row>
    <row r="791" spans="2:4">
      <c r="B791" s="36"/>
      <c r="D791" s="83"/>
    </row>
    <row r="792" spans="2:4">
      <c r="B792" s="36"/>
      <c r="D792" s="83"/>
    </row>
    <row r="793" spans="2:4">
      <c r="B793" s="36"/>
      <c r="D793" s="83"/>
    </row>
    <row r="794" spans="2:4">
      <c r="B794" s="36"/>
      <c r="D794" s="83"/>
    </row>
    <row r="795" spans="2:4">
      <c r="B795" s="36"/>
      <c r="D795" s="83"/>
    </row>
    <row r="796" spans="2:4">
      <c r="B796" s="36"/>
      <c r="D796" s="83"/>
    </row>
    <row r="797" spans="2:4">
      <c r="B797" s="36"/>
      <c r="D797" s="83"/>
    </row>
    <row r="798" spans="2:4">
      <c r="B798" s="36"/>
      <c r="D798" s="83"/>
    </row>
    <row r="799" spans="2:4">
      <c r="B799" s="36"/>
      <c r="D799" s="83"/>
    </row>
    <row r="800" spans="2:4">
      <c r="B800" s="36"/>
      <c r="D800" s="83"/>
    </row>
    <row r="801" spans="2:4">
      <c r="B801" s="36"/>
      <c r="D801" s="83"/>
    </row>
    <row r="802" spans="2:4">
      <c r="B802" s="36"/>
      <c r="D802" s="83"/>
    </row>
    <row r="803" spans="2:4">
      <c r="B803" s="36"/>
      <c r="D803" s="83"/>
    </row>
    <row r="804" spans="2:4">
      <c r="B804" s="36"/>
      <c r="D804" s="83"/>
    </row>
    <row r="805" spans="2:4">
      <c r="B805" s="36"/>
      <c r="D805" s="83"/>
    </row>
    <row r="806" spans="2:4">
      <c r="B806" s="36"/>
      <c r="D806" s="83"/>
    </row>
    <row r="807" spans="2:4">
      <c r="B807" s="36"/>
      <c r="D807" s="83"/>
    </row>
    <row r="808" spans="2:4">
      <c r="B808" s="36"/>
      <c r="D808" s="83"/>
    </row>
    <row r="809" spans="2:4">
      <c r="B809" s="36"/>
      <c r="D809" s="83"/>
    </row>
    <row r="810" spans="2:4">
      <c r="B810" s="36"/>
      <c r="D810" s="83"/>
    </row>
    <row r="811" spans="2:4">
      <c r="B811" s="36"/>
      <c r="D811" s="83"/>
    </row>
    <row r="812" spans="2:4">
      <c r="B812" s="36"/>
      <c r="D812" s="83"/>
    </row>
    <row r="813" spans="2:4">
      <c r="B813" s="36"/>
      <c r="D813" s="83"/>
    </row>
    <row r="814" spans="2:4">
      <c r="B814" s="36"/>
      <c r="D814" s="83"/>
    </row>
    <row r="815" spans="2:4">
      <c r="B815" s="36"/>
      <c r="D815" s="83"/>
    </row>
    <row r="816" spans="2:4">
      <c r="B816" s="36"/>
      <c r="D816" s="83"/>
    </row>
    <row r="817" spans="2:4">
      <c r="B817" s="36"/>
      <c r="D817" s="83"/>
    </row>
    <row r="818" spans="2:4">
      <c r="B818" s="36"/>
      <c r="D818" s="83"/>
    </row>
    <row r="819" spans="2:4">
      <c r="B819" s="36"/>
      <c r="D819" s="83"/>
    </row>
    <row r="820" spans="2:4">
      <c r="B820" s="36"/>
      <c r="D820" s="83"/>
    </row>
    <row r="821" spans="2:4">
      <c r="B821" s="36"/>
      <c r="D821" s="83"/>
    </row>
    <row r="822" spans="2:4">
      <c r="B822" s="36"/>
      <c r="D822" s="83"/>
    </row>
    <row r="823" spans="2:4">
      <c r="B823" s="36"/>
      <c r="D823" s="83"/>
    </row>
    <row r="824" spans="2:4">
      <c r="B824" s="36"/>
      <c r="D824" s="83"/>
    </row>
    <row r="825" spans="2:4">
      <c r="B825" s="36"/>
      <c r="D825" s="83"/>
    </row>
    <row r="826" spans="2:4">
      <c r="B826" s="36"/>
      <c r="D826" s="83"/>
    </row>
    <row r="827" spans="2:4">
      <c r="B827" s="36"/>
      <c r="D827" s="83"/>
    </row>
    <row r="828" spans="2:4">
      <c r="B828" s="36"/>
      <c r="D828" s="83"/>
    </row>
    <row r="829" spans="2:4">
      <c r="B829" s="36"/>
      <c r="D829" s="83"/>
    </row>
    <row r="830" spans="2:4">
      <c r="B830" s="36"/>
      <c r="D830" s="83"/>
    </row>
    <row r="831" spans="2:4">
      <c r="B831" s="36"/>
      <c r="D831" s="83"/>
    </row>
    <row r="832" spans="2:4">
      <c r="B832" s="36"/>
      <c r="D832" s="83"/>
    </row>
    <row r="833" spans="2:4">
      <c r="B833" s="36"/>
      <c r="D833" s="83"/>
    </row>
    <row r="834" spans="2:4">
      <c r="B834" s="36"/>
      <c r="D834" s="83"/>
    </row>
    <row r="835" spans="2:4">
      <c r="B835" s="36"/>
      <c r="D835" s="83"/>
    </row>
    <row r="836" spans="2:4">
      <c r="B836" s="36"/>
      <c r="D836" s="83"/>
    </row>
    <row r="837" spans="2:4">
      <c r="B837" s="36"/>
      <c r="D837" s="83"/>
    </row>
    <row r="838" spans="2:4">
      <c r="B838" s="36"/>
      <c r="D838" s="83"/>
    </row>
    <row r="839" spans="2:4">
      <c r="B839" s="36"/>
      <c r="D839" s="83"/>
    </row>
    <row r="840" spans="2:4">
      <c r="B840" s="36"/>
      <c r="D840" s="83"/>
    </row>
    <row r="841" spans="2:4">
      <c r="B841" s="36"/>
      <c r="D841" s="83"/>
    </row>
    <row r="842" spans="2:4">
      <c r="B842" s="36"/>
      <c r="D842" s="83"/>
    </row>
    <row r="843" spans="2:4">
      <c r="B843" s="36"/>
      <c r="D843" s="83"/>
    </row>
    <row r="844" spans="2:4">
      <c r="B844" s="36"/>
      <c r="D844" s="83"/>
    </row>
    <row r="845" spans="2:4">
      <c r="B845" s="36"/>
      <c r="D845" s="83"/>
    </row>
    <row r="846" spans="2:4">
      <c r="B846" s="36"/>
      <c r="D846" s="83"/>
    </row>
    <row r="847" spans="2:4">
      <c r="B847" s="36"/>
      <c r="D847" s="83"/>
    </row>
    <row r="848" spans="2:4">
      <c r="B848" s="36"/>
      <c r="D848" s="83"/>
    </row>
    <row r="849" spans="2:4">
      <c r="B849" s="36"/>
      <c r="D849" s="83"/>
    </row>
    <row r="850" spans="2:4">
      <c r="B850" s="36"/>
      <c r="D850" s="83"/>
    </row>
    <row r="851" spans="2:4">
      <c r="B851" s="36"/>
      <c r="D851" s="83"/>
    </row>
    <row r="852" spans="2:4">
      <c r="B852" s="36"/>
      <c r="D852" s="83"/>
    </row>
    <row r="853" spans="2:4">
      <c r="B853" s="36"/>
      <c r="D853" s="83"/>
    </row>
    <row r="854" spans="2:4">
      <c r="B854" s="36"/>
      <c r="D854" s="83"/>
    </row>
    <row r="855" spans="2:4">
      <c r="B855" s="36"/>
      <c r="D855" s="83"/>
    </row>
    <row r="856" spans="2:4">
      <c r="B856" s="36"/>
      <c r="D856" s="83"/>
    </row>
    <row r="857" spans="2:4">
      <c r="B857" s="36"/>
      <c r="D857" s="83"/>
    </row>
    <row r="858" spans="2:4">
      <c r="B858" s="36"/>
      <c r="D858" s="83"/>
    </row>
    <row r="859" spans="2:4">
      <c r="B859" s="36"/>
      <c r="D859" s="83"/>
    </row>
    <row r="860" spans="2:4">
      <c r="B860" s="36"/>
      <c r="D860" s="83"/>
    </row>
    <row r="861" spans="2:4">
      <c r="B861" s="36"/>
      <c r="D861" s="83"/>
    </row>
    <row r="862" spans="2:4">
      <c r="B862" s="36"/>
      <c r="D862" s="83"/>
    </row>
    <row r="863" spans="2:4">
      <c r="B863" s="36"/>
      <c r="D863" s="83"/>
    </row>
    <row r="864" spans="2:4">
      <c r="B864" s="36"/>
      <c r="D864" s="83"/>
    </row>
    <row r="865" spans="2:4">
      <c r="B865" s="36"/>
      <c r="D865" s="83"/>
    </row>
    <row r="866" spans="2:4">
      <c r="B866" s="36"/>
      <c r="D866" s="83"/>
    </row>
    <row r="867" spans="2:4">
      <c r="B867" s="36"/>
      <c r="D867" s="83"/>
    </row>
    <row r="868" spans="2:4">
      <c r="B868" s="36"/>
      <c r="D868" s="83"/>
    </row>
    <row r="869" spans="2:4">
      <c r="B869" s="36"/>
      <c r="D869" s="83"/>
    </row>
    <row r="870" spans="2:4">
      <c r="B870" s="36"/>
      <c r="D870" s="83"/>
    </row>
    <row r="871" spans="2:4">
      <c r="B871" s="36"/>
      <c r="D871" s="83"/>
    </row>
    <row r="872" spans="2:4">
      <c r="B872" s="36"/>
      <c r="D872" s="83"/>
    </row>
    <row r="873" spans="2:4">
      <c r="B873" s="36"/>
      <c r="D873" s="83"/>
    </row>
    <row r="874" spans="2:4">
      <c r="B874" s="36"/>
      <c r="D874" s="83"/>
    </row>
    <row r="875" spans="2:4">
      <c r="B875" s="36"/>
      <c r="D875" s="83"/>
    </row>
    <row r="876" spans="2:4">
      <c r="B876" s="36"/>
      <c r="D876" s="83"/>
    </row>
    <row r="877" spans="2:4">
      <c r="B877" s="36"/>
      <c r="D877" s="83"/>
    </row>
    <row r="878" spans="2:4">
      <c r="B878" s="36"/>
      <c r="D878" s="83"/>
    </row>
    <row r="879" spans="2:4">
      <c r="B879" s="36"/>
      <c r="D879" s="83"/>
    </row>
    <row r="880" spans="2:4">
      <c r="B880" s="36"/>
      <c r="D880" s="83"/>
    </row>
    <row r="881" spans="2:4">
      <c r="B881" s="36"/>
      <c r="D881" s="83"/>
    </row>
    <row r="882" spans="2:4">
      <c r="B882" s="36"/>
      <c r="D882" s="83"/>
    </row>
    <row r="883" spans="2:4">
      <c r="B883" s="36"/>
      <c r="D883" s="83"/>
    </row>
    <row r="884" spans="2:4">
      <c r="B884" s="36"/>
      <c r="D884" s="83"/>
    </row>
    <row r="885" spans="2:4">
      <c r="B885" s="36"/>
      <c r="D885" s="83"/>
    </row>
    <row r="886" spans="2:4">
      <c r="B886" s="36"/>
      <c r="D886" s="83"/>
    </row>
    <row r="887" spans="2:4">
      <c r="B887" s="36"/>
      <c r="D887" s="83"/>
    </row>
    <row r="888" spans="2:4">
      <c r="B888" s="36"/>
      <c r="D888" s="83"/>
    </row>
    <row r="889" spans="2:4">
      <c r="B889" s="36"/>
      <c r="D889" s="83"/>
    </row>
    <row r="890" spans="2:4">
      <c r="B890" s="36"/>
      <c r="D890" s="83"/>
    </row>
    <row r="891" spans="2:4">
      <c r="B891" s="36"/>
      <c r="D891" s="83"/>
    </row>
    <row r="892" spans="2:4">
      <c r="B892" s="36"/>
      <c r="D892" s="83"/>
    </row>
    <row r="893" spans="2:4">
      <c r="B893" s="36"/>
      <c r="D893" s="83"/>
    </row>
    <row r="894" spans="2:4">
      <c r="B894" s="36"/>
      <c r="D894" s="83"/>
    </row>
    <row r="895" spans="2:4">
      <c r="B895" s="36"/>
      <c r="D895" s="83"/>
    </row>
    <row r="896" spans="2:4">
      <c r="B896" s="36"/>
      <c r="D896" s="83"/>
    </row>
    <row r="897" spans="2:4">
      <c r="B897" s="36"/>
      <c r="D897" s="83"/>
    </row>
    <row r="898" spans="2:4">
      <c r="B898" s="36"/>
      <c r="D898" s="83"/>
    </row>
    <row r="899" spans="2:4">
      <c r="B899" s="36"/>
      <c r="D899" s="83"/>
    </row>
    <row r="900" spans="2:4">
      <c r="B900" s="36"/>
      <c r="D900" s="83"/>
    </row>
    <row r="901" spans="2:4">
      <c r="B901" s="36"/>
      <c r="D901" s="83"/>
    </row>
    <row r="902" spans="2:4">
      <c r="B902" s="36"/>
      <c r="D902" s="83"/>
    </row>
    <row r="903" spans="2:4">
      <c r="B903" s="36"/>
      <c r="D903" s="83"/>
    </row>
    <row r="904" spans="2:4">
      <c r="B904" s="36"/>
      <c r="D904" s="83"/>
    </row>
    <row r="905" spans="2:4">
      <c r="B905" s="36"/>
      <c r="D905" s="83"/>
    </row>
    <row r="906" spans="2:4">
      <c r="B906" s="36"/>
      <c r="D906" s="83"/>
    </row>
    <row r="907" spans="2:4">
      <c r="B907" s="36"/>
      <c r="D907" s="83"/>
    </row>
    <row r="908" spans="2:4">
      <c r="B908" s="36"/>
      <c r="D908" s="83"/>
    </row>
    <row r="909" spans="2:4">
      <c r="B909" s="36"/>
      <c r="D909" s="83"/>
    </row>
    <row r="910" spans="2:4">
      <c r="B910" s="36"/>
      <c r="D910" s="83"/>
    </row>
    <row r="911" spans="2:4">
      <c r="B911" s="36"/>
      <c r="D911" s="83"/>
    </row>
    <row r="912" spans="2:4">
      <c r="B912" s="36"/>
      <c r="D912" s="83"/>
    </row>
    <row r="913" spans="2:4">
      <c r="B913" s="36"/>
      <c r="D913" s="83"/>
    </row>
    <row r="914" spans="2:4">
      <c r="B914" s="36"/>
      <c r="D914" s="83"/>
    </row>
    <row r="915" spans="2:4">
      <c r="B915" s="36"/>
      <c r="D915" s="83"/>
    </row>
    <row r="916" spans="2:4">
      <c r="B916" s="36"/>
      <c r="D916" s="83"/>
    </row>
    <row r="917" spans="2:4">
      <c r="B917" s="36"/>
      <c r="D917" s="83"/>
    </row>
    <row r="918" spans="2:4">
      <c r="B918" s="36"/>
      <c r="D918" s="83"/>
    </row>
    <row r="919" spans="2:4">
      <c r="B919" s="36"/>
      <c r="D919" s="83"/>
    </row>
    <row r="920" spans="2:4">
      <c r="B920" s="36"/>
      <c r="D920" s="83"/>
    </row>
    <row r="921" spans="2:4">
      <c r="B921" s="36"/>
      <c r="D921" s="83"/>
    </row>
    <row r="922" spans="2:4">
      <c r="B922" s="36"/>
      <c r="D922" s="83"/>
    </row>
    <row r="923" spans="2:4">
      <c r="B923" s="36"/>
      <c r="D923" s="83"/>
    </row>
    <row r="924" spans="2:4">
      <c r="B924" s="36"/>
      <c r="D924" s="83"/>
    </row>
    <row r="925" spans="2:4">
      <c r="B925" s="36"/>
      <c r="D925" s="83"/>
    </row>
    <row r="926" spans="2:4">
      <c r="B926" s="36"/>
      <c r="D926" s="83"/>
    </row>
    <row r="927" spans="2:4">
      <c r="B927" s="36"/>
      <c r="D927" s="83"/>
    </row>
    <row r="928" spans="2:4">
      <c r="B928" s="36"/>
      <c r="D928" s="83"/>
    </row>
    <row r="929" spans="2:4">
      <c r="B929" s="36"/>
      <c r="D929" s="83"/>
    </row>
    <row r="930" spans="2:4">
      <c r="B930" s="36"/>
      <c r="D930" s="83"/>
    </row>
    <row r="931" spans="2:4">
      <c r="B931" s="36"/>
      <c r="D931" s="83"/>
    </row>
    <row r="932" spans="2:4">
      <c r="B932" s="36"/>
      <c r="D932" s="83"/>
    </row>
    <row r="933" spans="2:4">
      <c r="B933" s="36"/>
      <c r="D933" s="83"/>
    </row>
    <row r="934" spans="2:4">
      <c r="B934" s="36"/>
      <c r="D934" s="83"/>
    </row>
    <row r="935" spans="2:4">
      <c r="B935" s="36"/>
      <c r="D935" s="83"/>
    </row>
    <row r="936" spans="2:4">
      <c r="B936" s="36"/>
      <c r="D936" s="83"/>
    </row>
    <row r="937" spans="2:4">
      <c r="B937" s="36"/>
      <c r="D937" s="83"/>
    </row>
    <row r="938" spans="2:4">
      <c r="B938" s="36"/>
      <c r="D938" s="83"/>
    </row>
    <row r="939" spans="2:4">
      <c r="B939" s="36"/>
      <c r="D939" s="83"/>
    </row>
    <row r="940" spans="2:4">
      <c r="B940" s="36"/>
      <c r="D940" s="83"/>
    </row>
    <row r="941" spans="2:4">
      <c r="B941" s="36"/>
      <c r="D941" s="83"/>
    </row>
    <row r="942" spans="2:4">
      <c r="B942" s="36"/>
      <c r="D942" s="83"/>
    </row>
    <row r="943" spans="2:4">
      <c r="B943" s="36"/>
      <c r="D943" s="83"/>
    </row>
    <row r="944" spans="2:4">
      <c r="B944" s="36"/>
      <c r="D944" s="83"/>
    </row>
    <row r="945" spans="2:4">
      <c r="B945" s="36"/>
      <c r="D945" s="83"/>
    </row>
    <row r="946" spans="2:4">
      <c r="B946" s="36"/>
      <c r="D946" s="83"/>
    </row>
    <row r="947" spans="2:4">
      <c r="B947" s="36"/>
      <c r="D947" s="83"/>
    </row>
    <row r="948" spans="2:4">
      <c r="B948" s="36"/>
      <c r="D948" s="83"/>
    </row>
    <row r="949" spans="2:4">
      <c r="B949" s="36"/>
      <c r="D949" s="83"/>
    </row>
    <row r="950" spans="2:4">
      <c r="B950" s="36"/>
      <c r="D950" s="83"/>
    </row>
    <row r="951" spans="2:4">
      <c r="B951" s="36"/>
      <c r="D951" s="83"/>
    </row>
    <row r="952" spans="2:4">
      <c r="B952" s="36"/>
      <c r="D952" s="83"/>
    </row>
    <row r="953" spans="2:4">
      <c r="B953" s="36"/>
      <c r="D953" s="83"/>
    </row>
    <row r="954" spans="2:4">
      <c r="B954" s="36"/>
      <c r="D954" s="83"/>
    </row>
    <row r="955" spans="2:4">
      <c r="B955" s="36"/>
      <c r="D955" s="83"/>
    </row>
    <row r="956" spans="2:4">
      <c r="B956" s="36"/>
      <c r="D956" s="83"/>
    </row>
    <row r="957" spans="2:4">
      <c r="B957" s="36"/>
      <c r="D957" s="83"/>
    </row>
    <row r="958" spans="2:4">
      <c r="B958" s="36"/>
      <c r="D958" s="83"/>
    </row>
    <row r="959" spans="2:4">
      <c r="B959" s="36"/>
      <c r="D959" s="83"/>
    </row>
    <row r="960" spans="2:4">
      <c r="B960" s="36"/>
      <c r="D960" s="83"/>
    </row>
    <row r="961" spans="2:4">
      <c r="B961" s="36"/>
      <c r="D961" s="83"/>
    </row>
    <row r="962" spans="2:4">
      <c r="B962" s="36"/>
      <c r="D962" s="83"/>
    </row>
    <row r="963" spans="2:4">
      <c r="B963" s="36"/>
      <c r="D963" s="83"/>
    </row>
    <row r="964" spans="2:4">
      <c r="B964" s="36"/>
      <c r="D964" s="83"/>
    </row>
    <row r="965" spans="2:4">
      <c r="B965" s="36"/>
      <c r="D965" s="83"/>
    </row>
    <row r="966" spans="2:4">
      <c r="B966" s="36"/>
      <c r="D966" s="83"/>
    </row>
    <row r="967" spans="2:4">
      <c r="B967" s="36"/>
      <c r="D967" s="83"/>
    </row>
    <row r="968" spans="2:4">
      <c r="B968" s="36"/>
      <c r="D968" s="83"/>
    </row>
    <row r="969" spans="2:4">
      <c r="B969" s="36"/>
      <c r="D969" s="83"/>
    </row>
    <row r="970" spans="2:4">
      <c r="B970" s="36"/>
      <c r="D970" s="83"/>
    </row>
    <row r="971" spans="2:4">
      <c r="B971" s="36"/>
      <c r="D971" s="83"/>
    </row>
    <row r="972" spans="2:4">
      <c r="B972" s="36"/>
      <c r="D972" s="83"/>
    </row>
    <row r="973" spans="2:4">
      <c r="B973" s="36"/>
      <c r="D973" s="83"/>
    </row>
    <row r="974" spans="2:4">
      <c r="B974" s="36"/>
      <c r="D974" s="83"/>
    </row>
    <row r="975" spans="2:4">
      <c r="B975" s="36"/>
      <c r="D975" s="83"/>
    </row>
    <row r="976" spans="2:4">
      <c r="B976" s="36"/>
      <c r="D976" s="83"/>
    </row>
    <row r="977" spans="2:4">
      <c r="B977" s="36"/>
      <c r="D977" s="83"/>
    </row>
    <row r="978" spans="2:4">
      <c r="B978" s="36"/>
      <c r="D978" s="83"/>
    </row>
    <row r="979" spans="2:4">
      <c r="B979" s="36"/>
      <c r="D979" s="83"/>
    </row>
    <row r="980" spans="2:4">
      <c r="B980" s="36"/>
      <c r="D980" s="83"/>
    </row>
    <row r="981" spans="2:4">
      <c r="B981" s="36"/>
      <c r="D981" s="83"/>
    </row>
    <row r="982" spans="2:4">
      <c r="B982" s="36"/>
      <c r="D982" s="83"/>
    </row>
    <row r="983" spans="2:4">
      <c r="B983" s="36"/>
      <c r="D983" s="83"/>
    </row>
    <row r="984" spans="2:4">
      <c r="B984" s="36"/>
      <c r="D984" s="83"/>
    </row>
    <row r="985" spans="2:4">
      <c r="B985" s="36"/>
      <c r="D985" s="83"/>
    </row>
    <row r="986" spans="2:4">
      <c r="B986" s="36"/>
      <c r="D986" s="83"/>
    </row>
    <row r="987" spans="2:4">
      <c r="B987" s="36"/>
      <c r="D987" s="83"/>
    </row>
    <row r="988" spans="2:4">
      <c r="B988" s="36"/>
      <c r="D988" s="83"/>
    </row>
    <row r="989" spans="2:4">
      <c r="B989" s="36"/>
      <c r="D989" s="83"/>
    </row>
    <row r="990" spans="2:4">
      <c r="B990" s="36"/>
      <c r="D990" s="83"/>
    </row>
    <row r="991" spans="2:4">
      <c r="B991" s="36"/>
      <c r="D991" s="83"/>
    </row>
    <row r="992" spans="2:4">
      <c r="B992" s="36"/>
      <c r="D992" s="83"/>
    </row>
  </sheetData>
  <mergeCells count="72">
    <mergeCell ref="R1:R2"/>
    <mergeCell ref="S1:S2"/>
    <mergeCell ref="T1:T2"/>
    <mergeCell ref="U1:U2"/>
    <mergeCell ref="H1:H2"/>
    <mergeCell ref="I1:I2"/>
    <mergeCell ref="M1:M2"/>
    <mergeCell ref="N1:N2"/>
    <mergeCell ref="O1:O2"/>
    <mergeCell ref="P1:P2"/>
    <mergeCell ref="Q1:Q2"/>
    <mergeCell ref="F1:F2"/>
    <mergeCell ref="G1:G2"/>
    <mergeCell ref="A3:A9"/>
    <mergeCell ref="A10:A14"/>
    <mergeCell ref="A15:A35"/>
    <mergeCell ref="A1:A2"/>
    <mergeCell ref="B1:B2"/>
    <mergeCell ref="C1:C2"/>
    <mergeCell ref="D1:D2"/>
    <mergeCell ref="E1:E2"/>
    <mergeCell ref="A36:A43"/>
    <mergeCell ref="A44:A55"/>
    <mergeCell ref="A56:A88"/>
    <mergeCell ref="A89:A99"/>
    <mergeCell ref="A100:A144"/>
    <mergeCell ref="A145:A179"/>
    <mergeCell ref="A180:A228"/>
    <mergeCell ref="A229:A253"/>
    <mergeCell ref="A254:A261"/>
    <mergeCell ref="A262:A268"/>
    <mergeCell ref="A269:A273"/>
    <mergeCell ref="F346:F349"/>
    <mergeCell ref="G346:G349"/>
    <mergeCell ref="G350:G353"/>
    <mergeCell ref="H350:H353"/>
    <mergeCell ref="A274:A290"/>
    <mergeCell ref="A291:A297"/>
    <mergeCell ref="A298:A337"/>
    <mergeCell ref="F342:F343"/>
    <mergeCell ref="F350:F353"/>
    <mergeCell ref="F375:F381"/>
    <mergeCell ref="G375:G381"/>
    <mergeCell ref="H375:H381"/>
    <mergeCell ref="H382:H388"/>
    <mergeCell ref="F371:F374"/>
    <mergeCell ref="F382:F388"/>
    <mergeCell ref="F389:F395"/>
    <mergeCell ref="G389:G395"/>
    <mergeCell ref="H389:H395"/>
    <mergeCell ref="F396:F398"/>
    <mergeCell ref="G396:G398"/>
    <mergeCell ref="I341:I398"/>
    <mergeCell ref="G342:G343"/>
    <mergeCell ref="H342:H343"/>
    <mergeCell ref="H346:H349"/>
    <mergeCell ref="H396:H398"/>
    <mergeCell ref="G371:G374"/>
    <mergeCell ref="G382:G388"/>
    <mergeCell ref="H371:H374"/>
    <mergeCell ref="F354:F358"/>
    <mergeCell ref="G354:G358"/>
    <mergeCell ref="H354:H358"/>
    <mergeCell ref="F359:F363"/>
    <mergeCell ref="G359:G363"/>
    <mergeCell ref="H359:H363"/>
    <mergeCell ref="F364:F368"/>
    <mergeCell ref="G364:G368"/>
    <mergeCell ref="H364:H368"/>
    <mergeCell ref="F369:F370"/>
    <mergeCell ref="G369:G370"/>
    <mergeCell ref="H369:H370"/>
  </mergeCells>
  <pageMargins left="0" right="0" top="0" bottom="0" header="0" footer="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V310"/>
  <sheetViews>
    <sheetView workbookViewId="0">
      <pane xSplit="8" ySplit="2" topLeftCell="I3" activePane="bottomRight" state="frozen"/>
      <selection pane="bottomRight" activeCell="I3" sqref="I3"/>
      <selection pane="bottomLeft" activeCell="A3" sqref="A3"/>
      <selection pane="topRight" activeCell="I1" sqref="I1"/>
    </sheetView>
  </sheetViews>
  <sheetFormatPr defaultColWidth="12.5703125" defaultRowHeight="15.75" customHeight="1"/>
  <cols>
    <col min="1" max="1" width="8.85546875" customWidth="1"/>
    <col min="2" max="2" width="10.5703125" customWidth="1"/>
    <col min="3" max="3" width="18.140625" customWidth="1"/>
    <col min="4" max="4" width="20.140625" customWidth="1"/>
    <col min="5" max="5" width="7.5703125" customWidth="1"/>
    <col min="6" max="6" width="21.5703125" customWidth="1"/>
    <col min="7" max="7" width="20.42578125" customWidth="1"/>
    <col min="8" max="8" width="19.7109375" customWidth="1"/>
    <col min="9" max="9" width="6.5703125" customWidth="1"/>
    <col min="10" max="10" width="6.85546875" customWidth="1"/>
    <col min="11" max="11" width="5.7109375" customWidth="1"/>
    <col min="15" max="15" width="13.85546875" customWidth="1"/>
    <col min="21" max="21" width="13.7109375" customWidth="1"/>
  </cols>
  <sheetData>
    <row r="1" spans="1:22">
      <c r="A1" s="699" t="s">
        <v>1707</v>
      </c>
      <c r="B1" s="699" t="s">
        <v>1708</v>
      </c>
      <c r="C1" s="699" t="s">
        <v>1709</v>
      </c>
      <c r="D1" s="699" t="s">
        <v>1710</v>
      </c>
      <c r="E1" s="699" t="s">
        <v>1711</v>
      </c>
      <c r="F1" s="699" t="s">
        <v>1712</v>
      </c>
      <c r="G1" s="699" t="s">
        <v>3697</v>
      </c>
      <c r="H1" s="699" t="s">
        <v>1714</v>
      </c>
      <c r="I1" s="705" t="s">
        <v>1715</v>
      </c>
      <c r="J1" s="775"/>
      <c r="K1" s="770"/>
      <c r="L1" s="250"/>
      <c r="M1" s="250"/>
      <c r="N1" s="699" t="s">
        <v>1716</v>
      </c>
      <c r="O1" s="699" t="s">
        <v>1717</v>
      </c>
      <c r="P1" s="699" t="s">
        <v>1718</v>
      </c>
      <c r="Q1" s="699" t="s">
        <v>1719</v>
      </c>
      <c r="R1" s="699" t="s">
        <v>1720</v>
      </c>
      <c r="S1" s="702" t="s">
        <v>1721</v>
      </c>
      <c r="T1" s="702" t="s">
        <v>1722</v>
      </c>
      <c r="U1" s="701" t="s">
        <v>1723</v>
      </c>
      <c r="V1" s="702" t="s">
        <v>1724</v>
      </c>
    </row>
    <row r="2" spans="1:22">
      <c r="A2" s="773"/>
      <c r="B2" s="773"/>
      <c r="C2" s="773"/>
      <c r="D2" s="773"/>
      <c r="E2" s="773"/>
      <c r="F2" s="773"/>
      <c r="G2" s="773"/>
      <c r="H2" s="773"/>
      <c r="I2" s="251" t="s">
        <v>4791</v>
      </c>
      <c r="J2" s="251" t="s">
        <v>4792</v>
      </c>
      <c r="K2" s="251" t="s">
        <v>4793</v>
      </c>
      <c r="L2" s="209" t="s">
        <v>1726</v>
      </c>
      <c r="M2" s="209" t="s">
        <v>1727</v>
      </c>
      <c r="N2" s="773"/>
      <c r="O2" s="773"/>
      <c r="P2" s="773"/>
      <c r="Q2" s="773"/>
      <c r="R2" s="773"/>
      <c r="S2" s="773"/>
      <c r="T2" s="773"/>
      <c r="U2" s="773"/>
      <c r="V2" s="773"/>
    </row>
    <row r="3" spans="1:22">
      <c r="A3" s="252" t="s">
        <v>4794</v>
      </c>
      <c r="B3" s="252" t="s">
        <v>4795</v>
      </c>
      <c r="C3" s="253" t="s">
        <v>4796</v>
      </c>
      <c r="D3" s="253" t="s">
        <v>4797</v>
      </c>
      <c r="E3" s="252" t="s">
        <v>1732</v>
      </c>
      <c r="F3" s="253" t="s">
        <v>4798</v>
      </c>
      <c r="G3" s="252" t="s">
        <v>4799</v>
      </c>
      <c r="H3" s="252" t="s">
        <v>4800</v>
      </c>
      <c r="I3" s="254" t="s">
        <v>1736</v>
      </c>
      <c r="J3" s="254" t="s">
        <v>1736</v>
      </c>
      <c r="K3" s="254" t="s">
        <v>1736</v>
      </c>
      <c r="L3" s="255" t="s">
        <v>183</v>
      </c>
      <c r="M3" s="255" t="s">
        <v>183</v>
      </c>
      <c r="N3" s="252"/>
      <c r="O3" s="254" t="s">
        <v>4801</v>
      </c>
      <c r="P3" s="253" t="s">
        <v>4802</v>
      </c>
      <c r="Q3" s="252"/>
      <c r="R3" s="252"/>
      <c r="S3" s="252"/>
      <c r="T3" s="252"/>
      <c r="U3" s="254" t="s">
        <v>4801</v>
      </c>
      <c r="V3" s="252" t="s">
        <v>4803</v>
      </c>
    </row>
    <row r="4" spans="1:22">
      <c r="A4" s="252" t="s">
        <v>4804</v>
      </c>
      <c r="B4" s="252" t="s">
        <v>4805</v>
      </c>
      <c r="C4" s="253" t="s">
        <v>4806</v>
      </c>
      <c r="D4" s="253" t="s">
        <v>4797</v>
      </c>
      <c r="E4" s="252" t="s">
        <v>1732</v>
      </c>
      <c r="F4" s="253" t="s">
        <v>4798</v>
      </c>
      <c r="G4" s="252" t="s">
        <v>4807</v>
      </c>
      <c r="H4" s="252" t="s">
        <v>4800</v>
      </c>
      <c r="I4" s="254" t="s">
        <v>1736</v>
      </c>
      <c r="J4" s="254" t="s">
        <v>1736</v>
      </c>
      <c r="K4" s="254" t="s">
        <v>1736</v>
      </c>
      <c r="L4" s="255" t="s">
        <v>183</v>
      </c>
      <c r="M4" s="255" t="s">
        <v>183</v>
      </c>
      <c r="N4" s="252" t="s">
        <v>4808</v>
      </c>
      <c r="O4" s="254" t="s">
        <v>4801</v>
      </c>
      <c r="P4" s="253" t="s">
        <v>4809</v>
      </c>
      <c r="Q4" s="252"/>
      <c r="R4" s="252"/>
      <c r="S4" s="252"/>
      <c r="T4" s="252"/>
      <c r="U4" s="254" t="s">
        <v>4801</v>
      </c>
      <c r="V4" s="252" t="s">
        <v>4803</v>
      </c>
    </row>
    <row r="5" spans="1:22">
      <c r="A5" s="252" t="s">
        <v>4810</v>
      </c>
      <c r="B5" s="252" t="s">
        <v>4811</v>
      </c>
      <c r="C5" s="253" t="s">
        <v>4812</v>
      </c>
      <c r="D5" s="253" t="s">
        <v>4797</v>
      </c>
      <c r="E5" s="252" t="s">
        <v>1732</v>
      </c>
      <c r="F5" s="253" t="s">
        <v>4798</v>
      </c>
      <c r="G5" s="252" t="s">
        <v>4813</v>
      </c>
      <c r="H5" s="252" t="s">
        <v>4800</v>
      </c>
      <c r="I5" s="254" t="s">
        <v>1736</v>
      </c>
      <c r="J5" s="254" t="s">
        <v>1736</v>
      </c>
      <c r="K5" s="254" t="s">
        <v>1736</v>
      </c>
      <c r="L5" s="255" t="s">
        <v>183</v>
      </c>
      <c r="M5" s="255" t="s">
        <v>183</v>
      </c>
      <c r="N5" s="252"/>
      <c r="O5" s="254" t="s">
        <v>4801</v>
      </c>
      <c r="P5" s="253" t="s">
        <v>4814</v>
      </c>
      <c r="Q5" s="252"/>
      <c r="R5" s="252"/>
      <c r="S5" s="252"/>
      <c r="T5" s="252"/>
      <c r="U5" s="254" t="s">
        <v>4801</v>
      </c>
      <c r="V5" s="252" t="s">
        <v>4803</v>
      </c>
    </row>
    <row r="6" spans="1:22">
      <c r="A6" s="252" t="s">
        <v>4815</v>
      </c>
      <c r="B6" s="252" t="s">
        <v>4816</v>
      </c>
      <c r="C6" s="253" t="s">
        <v>4817</v>
      </c>
      <c r="D6" s="253" t="s">
        <v>4797</v>
      </c>
      <c r="E6" s="252" t="s">
        <v>1732</v>
      </c>
      <c r="F6" s="253" t="s">
        <v>4798</v>
      </c>
      <c r="G6" s="252" t="s">
        <v>4818</v>
      </c>
      <c r="H6" s="252" t="s">
        <v>4800</v>
      </c>
      <c r="I6" s="254" t="s">
        <v>1736</v>
      </c>
      <c r="J6" s="254" t="s">
        <v>1736</v>
      </c>
      <c r="K6" s="254" t="s">
        <v>1736</v>
      </c>
      <c r="L6" s="255" t="s">
        <v>183</v>
      </c>
      <c r="M6" s="255" t="s">
        <v>183</v>
      </c>
      <c r="N6" s="252"/>
      <c r="O6" s="254" t="s">
        <v>4801</v>
      </c>
      <c r="P6" s="253" t="s">
        <v>4819</v>
      </c>
      <c r="Q6" s="252"/>
      <c r="R6" s="252"/>
      <c r="S6" s="252"/>
      <c r="T6" s="252"/>
      <c r="U6" s="254" t="s">
        <v>4801</v>
      </c>
      <c r="V6" s="252" t="s">
        <v>4803</v>
      </c>
    </row>
    <row r="7" spans="1:22">
      <c r="A7" s="252" t="s">
        <v>4820</v>
      </c>
      <c r="B7" s="252" t="s">
        <v>4821</v>
      </c>
      <c r="C7" s="253" t="s">
        <v>4822</v>
      </c>
      <c r="D7" s="253" t="s">
        <v>4797</v>
      </c>
      <c r="E7" s="252" t="s">
        <v>1732</v>
      </c>
      <c r="F7" s="253" t="s">
        <v>4798</v>
      </c>
      <c r="G7" s="252" t="s">
        <v>4823</v>
      </c>
      <c r="H7" s="252" t="s">
        <v>4824</v>
      </c>
      <c r="I7" s="254" t="s">
        <v>1736</v>
      </c>
      <c r="J7" s="254" t="s">
        <v>1736</v>
      </c>
      <c r="K7" s="254" t="s">
        <v>1736</v>
      </c>
      <c r="L7" s="255" t="s">
        <v>183</v>
      </c>
      <c r="M7" s="255" t="s">
        <v>183</v>
      </c>
      <c r="N7" s="252"/>
      <c r="O7" s="254" t="s">
        <v>4801</v>
      </c>
      <c r="P7" s="253" t="s">
        <v>4825</v>
      </c>
      <c r="Q7" s="252"/>
      <c r="R7" s="252"/>
      <c r="S7" s="252"/>
      <c r="T7" s="252"/>
      <c r="U7" s="254" t="s">
        <v>4801</v>
      </c>
      <c r="V7" s="252" t="s">
        <v>4803</v>
      </c>
    </row>
    <row r="8" spans="1:22">
      <c r="A8" s="252" t="s">
        <v>4826</v>
      </c>
      <c r="B8" s="252" t="s">
        <v>4827</v>
      </c>
      <c r="C8" s="253" t="s">
        <v>4828</v>
      </c>
      <c r="D8" s="253" t="s">
        <v>4797</v>
      </c>
      <c r="E8" s="252" t="s">
        <v>1732</v>
      </c>
      <c r="F8" s="253" t="s">
        <v>4798</v>
      </c>
      <c r="G8" s="252" t="s">
        <v>4829</v>
      </c>
      <c r="H8" s="252" t="s">
        <v>4824</v>
      </c>
      <c r="I8" s="254" t="s">
        <v>1736</v>
      </c>
      <c r="J8" s="254" t="s">
        <v>1736</v>
      </c>
      <c r="K8" s="254" t="s">
        <v>1736</v>
      </c>
      <c r="L8" s="255" t="s">
        <v>183</v>
      </c>
      <c r="M8" s="255" t="s">
        <v>183</v>
      </c>
      <c r="N8" s="252"/>
      <c r="O8" s="254" t="s">
        <v>4801</v>
      </c>
      <c r="P8" s="253" t="s">
        <v>4830</v>
      </c>
      <c r="Q8" s="252"/>
      <c r="R8" s="252"/>
      <c r="S8" s="252"/>
      <c r="T8" s="252"/>
      <c r="U8" s="254" t="s">
        <v>4801</v>
      </c>
      <c r="V8" s="252" t="s">
        <v>4803</v>
      </c>
    </row>
    <row r="9" spans="1:22">
      <c r="A9" s="252" t="s">
        <v>4831</v>
      </c>
      <c r="B9" s="252" t="s">
        <v>4832</v>
      </c>
      <c r="C9" s="253" t="s">
        <v>4833</v>
      </c>
      <c r="D9" s="253" t="s">
        <v>4797</v>
      </c>
      <c r="E9" s="252" t="s">
        <v>1732</v>
      </c>
      <c r="F9" s="253" t="s">
        <v>4798</v>
      </c>
      <c r="G9" s="252" t="s">
        <v>4834</v>
      </c>
      <c r="H9" s="252" t="s">
        <v>4824</v>
      </c>
      <c r="I9" s="254" t="s">
        <v>1736</v>
      </c>
      <c r="J9" s="254" t="s">
        <v>1736</v>
      </c>
      <c r="K9" s="254" t="s">
        <v>1736</v>
      </c>
      <c r="L9" s="255" t="s">
        <v>183</v>
      </c>
      <c r="M9" s="255" t="s">
        <v>183</v>
      </c>
      <c r="N9" s="252"/>
      <c r="O9" s="254" t="s">
        <v>4801</v>
      </c>
      <c r="P9" s="253" t="s">
        <v>4835</v>
      </c>
      <c r="Q9" s="252"/>
      <c r="R9" s="252"/>
      <c r="S9" s="252"/>
      <c r="T9" s="252"/>
      <c r="U9" s="254" t="s">
        <v>4801</v>
      </c>
      <c r="V9" s="252" t="s">
        <v>4803</v>
      </c>
    </row>
    <row r="10" spans="1:22">
      <c r="A10" s="252" t="s">
        <v>4836</v>
      </c>
      <c r="B10" s="252" t="s">
        <v>4837</v>
      </c>
      <c r="C10" s="253" t="s">
        <v>4838</v>
      </c>
      <c r="D10" s="253" t="s">
        <v>4797</v>
      </c>
      <c r="E10" s="252" t="s">
        <v>1732</v>
      </c>
      <c r="F10" s="253" t="s">
        <v>4798</v>
      </c>
      <c r="G10" s="252" t="s">
        <v>4839</v>
      </c>
      <c r="H10" s="252" t="s">
        <v>4824</v>
      </c>
      <c r="I10" s="254" t="s">
        <v>1736</v>
      </c>
      <c r="J10" s="254" t="s">
        <v>1736</v>
      </c>
      <c r="K10" s="254" t="s">
        <v>1736</v>
      </c>
      <c r="L10" s="255" t="s">
        <v>183</v>
      </c>
      <c r="M10" s="255" t="s">
        <v>183</v>
      </c>
      <c r="N10" s="252"/>
      <c r="O10" s="254" t="s">
        <v>4801</v>
      </c>
      <c r="P10" s="253" t="s">
        <v>4840</v>
      </c>
      <c r="Q10" s="252"/>
      <c r="R10" s="252"/>
      <c r="S10" s="252"/>
      <c r="T10" s="252"/>
      <c r="U10" s="254" t="s">
        <v>4801</v>
      </c>
      <c r="V10" s="252" t="s">
        <v>4803</v>
      </c>
    </row>
    <row r="11" spans="1:22">
      <c r="A11" s="252" t="s">
        <v>4841</v>
      </c>
      <c r="B11" s="252" t="s">
        <v>4842</v>
      </c>
      <c r="C11" s="253" t="s">
        <v>4843</v>
      </c>
      <c r="D11" s="253" t="s">
        <v>4797</v>
      </c>
      <c r="E11" s="252" t="s">
        <v>1732</v>
      </c>
      <c r="F11" s="253" t="s">
        <v>4798</v>
      </c>
      <c r="G11" s="252" t="s">
        <v>4844</v>
      </c>
      <c r="H11" s="252" t="s">
        <v>4824</v>
      </c>
      <c r="I11" s="254" t="s">
        <v>1736</v>
      </c>
      <c r="J11" s="254" t="s">
        <v>1736</v>
      </c>
      <c r="K11" s="254" t="s">
        <v>1736</v>
      </c>
      <c r="L11" s="255" t="s">
        <v>183</v>
      </c>
      <c r="M11" s="255" t="s">
        <v>183</v>
      </c>
      <c r="N11" s="252"/>
      <c r="O11" s="254" t="s">
        <v>4801</v>
      </c>
      <c r="P11" s="253" t="s">
        <v>4845</v>
      </c>
      <c r="Q11" s="252"/>
      <c r="R11" s="252"/>
      <c r="S11" s="252"/>
      <c r="T11" s="252"/>
      <c r="U11" s="254" t="s">
        <v>4801</v>
      </c>
      <c r="V11" s="252" t="s">
        <v>4803</v>
      </c>
    </row>
    <row r="12" spans="1:22">
      <c r="A12" s="252" t="s">
        <v>4846</v>
      </c>
      <c r="B12" s="252" t="s">
        <v>4847</v>
      </c>
      <c r="C12" s="253" t="s">
        <v>4848</v>
      </c>
      <c r="D12" s="253" t="s">
        <v>4797</v>
      </c>
      <c r="E12" s="252" t="s">
        <v>1732</v>
      </c>
      <c r="F12" s="253" t="s">
        <v>4798</v>
      </c>
      <c r="G12" s="252" t="s">
        <v>4849</v>
      </c>
      <c r="H12" s="252" t="s">
        <v>4824</v>
      </c>
      <c r="I12" s="254" t="s">
        <v>1736</v>
      </c>
      <c r="J12" s="254" t="s">
        <v>1736</v>
      </c>
      <c r="K12" s="254" t="s">
        <v>1736</v>
      </c>
      <c r="L12" s="255" t="s">
        <v>183</v>
      </c>
      <c r="M12" s="255" t="s">
        <v>183</v>
      </c>
      <c r="N12" s="252"/>
      <c r="O12" s="254" t="s">
        <v>4801</v>
      </c>
      <c r="P12" s="253" t="s">
        <v>4850</v>
      </c>
      <c r="Q12" s="252"/>
      <c r="R12" s="252"/>
      <c r="S12" s="252"/>
      <c r="T12" s="252"/>
      <c r="U12" s="254" t="s">
        <v>4801</v>
      </c>
      <c r="V12" s="252" t="s">
        <v>4803</v>
      </c>
    </row>
    <row r="13" spans="1:22">
      <c r="A13" s="252" t="s">
        <v>4851</v>
      </c>
      <c r="B13" s="252" t="s">
        <v>4852</v>
      </c>
      <c r="C13" s="253" t="s">
        <v>4853</v>
      </c>
      <c r="D13" s="253" t="s">
        <v>4854</v>
      </c>
      <c r="E13" s="252" t="s">
        <v>1732</v>
      </c>
      <c r="F13" s="253" t="s">
        <v>4855</v>
      </c>
      <c r="G13" s="252" t="s">
        <v>4856</v>
      </c>
      <c r="H13" s="252" t="s">
        <v>4857</v>
      </c>
      <c r="I13" s="254" t="s">
        <v>1736</v>
      </c>
      <c r="J13" s="254" t="s">
        <v>1736</v>
      </c>
      <c r="K13" s="254" t="s">
        <v>1736</v>
      </c>
      <c r="L13" s="255" t="s">
        <v>183</v>
      </c>
      <c r="M13" s="255" t="s">
        <v>183</v>
      </c>
      <c r="N13" s="252"/>
      <c r="O13" s="256">
        <v>44817</v>
      </c>
      <c r="P13" s="253" t="s">
        <v>4858</v>
      </c>
      <c r="Q13" s="252"/>
      <c r="R13" s="252"/>
      <c r="S13" s="252"/>
      <c r="T13" s="252"/>
      <c r="U13" s="256">
        <v>44817</v>
      </c>
      <c r="V13" s="252" t="s">
        <v>4803</v>
      </c>
    </row>
    <row r="14" spans="1:22">
      <c r="A14" s="252" t="s">
        <v>4859</v>
      </c>
      <c r="B14" s="252" t="s">
        <v>4860</v>
      </c>
      <c r="C14" s="253" t="s">
        <v>4861</v>
      </c>
      <c r="D14" s="253" t="s">
        <v>4862</v>
      </c>
      <c r="E14" s="252" t="s">
        <v>1732</v>
      </c>
      <c r="F14" s="253" t="s">
        <v>4855</v>
      </c>
      <c r="G14" s="252" t="s">
        <v>4863</v>
      </c>
      <c r="H14" s="252" t="s">
        <v>4857</v>
      </c>
      <c r="I14" s="254" t="s">
        <v>1736</v>
      </c>
      <c r="J14" s="254" t="s">
        <v>1736</v>
      </c>
      <c r="K14" s="254" t="s">
        <v>1736</v>
      </c>
      <c r="L14" s="255" t="s">
        <v>183</v>
      </c>
      <c r="M14" s="255" t="s">
        <v>183</v>
      </c>
      <c r="N14" s="252"/>
      <c r="O14" s="256">
        <v>44817</v>
      </c>
      <c r="P14" s="253" t="s">
        <v>4864</v>
      </c>
      <c r="Q14" s="252"/>
      <c r="R14" s="252"/>
      <c r="S14" s="252"/>
      <c r="T14" s="252"/>
      <c r="U14" s="256">
        <v>44817</v>
      </c>
      <c r="V14" s="252" t="s">
        <v>4803</v>
      </c>
    </row>
    <row r="15" spans="1:22">
      <c r="A15" s="252" t="s">
        <v>4865</v>
      </c>
      <c r="B15" s="252" t="s">
        <v>4866</v>
      </c>
      <c r="C15" s="253" t="s">
        <v>4867</v>
      </c>
      <c r="D15" s="253" t="s">
        <v>4868</v>
      </c>
      <c r="E15" s="252" t="s">
        <v>1732</v>
      </c>
      <c r="F15" s="253" t="s">
        <v>4855</v>
      </c>
      <c r="G15" s="252" t="s">
        <v>4869</v>
      </c>
      <c r="H15" s="252" t="s">
        <v>4857</v>
      </c>
      <c r="I15" s="254" t="s">
        <v>1736</v>
      </c>
      <c r="J15" s="254" t="s">
        <v>1736</v>
      </c>
      <c r="K15" s="254" t="s">
        <v>1736</v>
      </c>
      <c r="L15" s="255" t="s">
        <v>183</v>
      </c>
      <c r="M15" s="255" t="s">
        <v>183</v>
      </c>
      <c r="N15" s="252"/>
      <c r="O15" s="256">
        <v>44817</v>
      </c>
      <c r="P15" s="253" t="s">
        <v>4870</v>
      </c>
      <c r="Q15" s="252"/>
      <c r="R15" s="252"/>
      <c r="S15" s="252"/>
      <c r="T15" s="252"/>
      <c r="U15" s="256">
        <v>44817</v>
      </c>
      <c r="V15" s="252" t="s">
        <v>4803</v>
      </c>
    </row>
    <row r="16" spans="1:22">
      <c r="A16" s="252" t="s">
        <v>4871</v>
      </c>
      <c r="B16" s="252" t="s">
        <v>4872</v>
      </c>
      <c r="C16" s="253" t="s">
        <v>4873</v>
      </c>
      <c r="D16" s="253" t="s">
        <v>4874</v>
      </c>
      <c r="E16" s="252" t="s">
        <v>1732</v>
      </c>
      <c r="F16" s="253" t="s">
        <v>4855</v>
      </c>
      <c r="G16" s="252" t="s">
        <v>4856</v>
      </c>
      <c r="H16" s="252" t="s">
        <v>4875</v>
      </c>
      <c r="I16" s="254" t="s">
        <v>1736</v>
      </c>
      <c r="J16" s="254" t="s">
        <v>1736</v>
      </c>
      <c r="K16" s="254" t="s">
        <v>1736</v>
      </c>
      <c r="L16" s="255" t="s">
        <v>183</v>
      </c>
      <c r="M16" s="255" t="s">
        <v>183</v>
      </c>
      <c r="N16" s="252"/>
      <c r="O16" s="256">
        <v>44839</v>
      </c>
      <c r="P16" s="253" t="s">
        <v>4876</v>
      </c>
      <c r="Q16" s="252"/>
      <c r="R16" s="252"/>
      <c r="S16" s="252"/>
      <c r="T16" s="252"/>
      <c r="U16" s="256">
        <v>44839</v>
      </c>
      <c r="V16" s="252" t="s">
        <v>4803</v>
      </c>
    </row>
    <row r="17" spans="1:22">
      <c r="A17" s="252" t="s">
        <v>4877</v>
      </c>
      <c r="B17" s="252" t="s">
        <v>4878</v>
      </c>
      <c r="C17" s="253" t="s">
        <v>4879</v>
      </c>
      <c r="D17" s="253" t="s">
        <v>4880</v>
      </c>
      <c r="E17" s="252" t="s">
        <v>1732</v>
      </c>
      <c r="F17" s="253" t="s">
        <v>4855</v>
      </c>
      <c r="G17" s="252" t="s">
        <v>4863</v>
      </c>
      <c r="H17" s="252" t="s">
        <v>4875</v>
      </c>
      <c r="I17" s="254" t="s">
        <v>1736</v>
      </c>
      <c r="J17" s="254" t="s">
        <v>1736</v>
      </c>
      <c r="K17" s="254" t="s">
        <v>1736</v>
      </c>
      <c r="L17" s="255" t="s">
        <v>183</v>
      </c>
      <c r="M17" s="255" t="s">
        <v>183</v>
      </c>
      <c r="N17" s="252"/>
      <c r="O17" s="256">
        <v>44839</v>
      </c>
      <c r="P17" s="253" t="s">
        <v>4881</v>
      </c>
      <c r="Q17" s="252"/>
      <c r="R17" s="252"/>
      <c r="S17" s="252"/>
      <c r="T17" s="252"/>
      <c r="U17" s="256">
        <v>44839</v>
      </c>
      <c r="V17" s="252" t="s">
        <v>4803</v>
      </c>
    </row>
    <row r="18" spans="1:22">
      <c r="A18" s="252" t="s">
        <v>4882</v>
      </c>
      <c r="B18" s="252" t="s">
        <v>4883</v>
      </c>
      <c r="C18" s="253" t="s">
        <v>4884</v>
      </c>
      <c r="D18" s="253" t="s">
        <v>4885</v>
      </c>
      <c r="E18" s="252" t="s">
        <v>1732</v>
      </c>
      <c r="F18" s="253" t="s">
        <v>4855</v>
      </c>
      <c r="G18" s="252" t="s">
        <v>4869</v>
      </c>
      <c r="H18" s="252" t="s">
        <v>4875</v>
      </c>
      <c r="I18" s="254" t="s">
        <v>1736</v>
      </c>
      <c r="J18" s="254" t="s">
        <v>1736</v>
      </c>
      <c r="K18" s="254" t="s">
        <v>1736</v>
      </c>
      <c r="L18" s="255" t="s">
        <v>183</v>
      </c>
      <c r="M18" s="255" t="s">
        <v>183</v>
      </c>
      <c r="N18" s="252"/>
      <c r="O18" s="256">
        <v>44839</v>
      </c>
      <c r="P18" s="253" t="s">
        <v>4886</v>
      </c>
      <c r="Q18" s="252"/>
      <c r="R18" s="252"/>
      <c r="S18" s="252"/>
      <c r="T18" s="252"/>
      <c r="U18" s="256">
        <v>44839</v>
      </c>
      <c r="V18" s="252" t="s">
        <v>4803</v>
      </c>
    </row>
    <row r="19" spans="1:22">
      <c r="A19" s="252" t="s">
        <v>4887</v>
      </c>
      <c r="B19" s="252" t="s">
        <v>4888</v>
      </c>
      <c r="C19" s="253" t="s">
        <v>4889</v>
      </c>
      <c r="D19" s="253" t="s">
        <v>4890</v>
      </c>
      <c r="E19" s="252" t="s">
        <v>1732</v>
      </c>
      <c r="F19" s="253" t="s">
        <v>4891</v>
      </c>
      <c r="G19" s="252" t="s">
        <v>4892</v>
      </c>
      <c r="H19" s="252" t="s">
        <v>4875</v>
      </c>
      <c r="I19" s="254" t="s">
        <v>1736</v>
      </c>
      <c r="J19" s="254" t="s">
        <v>1736</v>
      </c>
      <c r="K19" s="254" t="s">
        <v>1736</v>
      </c>
      <c r="L19" s="255" t="s">
        <v>183</v>
      </c>
      <c r="M19" s="255" t="s">
        <v>183</v>
      </c>
      <c r="N19" s="252"/>
      <c r="O19" s="256">
        <v>44819</v>
      </c>
      <c r="P19" s="253" t="s">
        <v>4893</v>
      </c>
      <c r="Q19" s="252"/>
      <c r="R19" s="252"/>
      <c r="S19" s="252"/>
      <c r="T19" s="252"/>
      <c r="U19" s="256">
        <v>44819</v>
      </c>
      <c r="V19" s="252" t="s">
        <v>4803</v>
      </c>
    </row>
    <row r="20" spans="1:22">
      <c r="A20" s="252" t="s">
        <v>4894</v>
      </c>
      <c r="B20" s="252" t="s">
        <v>4895</v>
      </c>
      <c r="C20" s="253" t="s">
        <v>4896</v>
      </c>
      <c r="D20" s="253" t="s">
        <v>4897</v>
      </c>
      <c r="E20" s="252" t="s">
        <v>1732</v>
      </c>
      <c r="F20" s="253" t="s">
        <v>4891</v>
      </c>
      <c r="G20" s="252" t="s">
        <v>4898</v>
      </c>
      <c r="H20" s="252" t="s">
        <v>4875</v>
      </c>
      <c r="I20" s="254" t="s">
        <v>1736</v>
      </c>
      <c r="J20" s="254" t="s">
        <v>1736</v>
      </c>
      <c r="K20" s="254" t="s">
        <v>1736</v>
      </c>
      <c r="L20" s="255" t="s">
        <v>183</v>
      </c>
      <c r="M20" s="255" t="s">
        <v>183</v>
      </c>
      <c r="N20" s="252"/>
      <c r="O20" s="256">
        <v>44819</v>
      </c>
      <c r="P20" s="253" t="s">
        <v>4899</v>
      </c>
      <c r="Q20" s="252"/>
      <c r="R20" s="252"/>
      <c r="S20" s="252"/>
      <c r="T20" s="252"/>
      <c r="U20" s="256">
        <v>44819</v>
      </c>
      <c r="V20" s="252" t="s">
        <v>4803</v>
      </c>
    </row>
    <row r="21" spans="1:22">
      <c r="A21" s="252" t="s">
        <v>4900</v>
      </c>
      <c r="B21" s="252" t="s">
        <v>4901</v>
      </c>
      <c r="C21" s="253" t="s">
        <v>4902</v>
      </c>
      <c r="D21" s="253" t="s">
        <v>4903</v>
      </c>
      <c r="E21" s="252" t="s">
        <v>1732</v>
      </c>
      <c r="F21" s="253" t="s">
        <v>4891</v>
      </c>
      <c r="G21" s="252" t="s">
        <v>4904</v>
      </c>
      <c r="H21" s="252" t="s">
        <v>4875</v>
      </c>
      <c r="I21" s="254" t="s">
        <v>1736</v>
      </c>
      <c r="J21" s="254" t="s">
        <v>1736</v>
      </c>
      <c r="K21" s="254" t="s">
        <v>1736</v>
      </c>
      <c r="L21" s="255" t="s">
        <v>183</v>
      </c>
      <c r="M21" s="255" t="s">
        <v>183</v>
      </c>
      <c r="N21" s="252"/>
      <c r="O21" s="256">
        <v>44819</v>
      </c>
      <c r="P21" s="253" t="s">
        <v>4905</v>
      </c>
      <c r="Q21" s="252"/>
      <c r="R21" s="252"/>
      <c r="S21" s="252"/>
      <c r="T21" s="252"/>
      <c r="U21" s="256">
        <v>44819</v>
      </c>
      <c r="V21" s="252" t="s">
        <v>4803</v>
      </c>
    </row>
    <row r="22" spans="1:22">
      <c r="A22" s="252" t="s">
        <v>4906</v>
      </c>
      <c r="B22" s="252" t="s">
        <v>4907</v>
      </c>
      <c r="C22" s="253" t="s">
        <v>4908</v>
      </c>
      <c r="D22" s="253" t="s">
        <v>4909</v>
      </c>
      <c r="E22" s="252" t="s">
        <v>1732</v>
      </c>
      <c r="F22" s="253" t="s">
        <v>4910</v>
      </c>
      <c r="G22" s="252" t="s">
        <v>4911</v>
      </c>
      <c r="H22" s="252" t="s">
        <v>4912</v>
      </c>
      <c r="I22" s="254" t="s">
        <v>1736</v>
      </c>
      <c r="J22" s="254" t="s">
        <v>4913</v>
      </c>
      <c r="K22" s="254" t="s">
        <v>4913</v>
      </c>
      <c r="L22" s="255" t="s">
        <v>183</v>
      </c>
      <c r="M22" s="255" t="s">
        <v>183</v>
      </c>
      <c r="N22" s="252"/>
      <c r="O22" s="256">
        <v>44819</v>
      </c>
      <c r="P22" s="253" t="s">
        <v>4914</v>
      </c>
      <c r="Q22" s="252"/>
      <c r="R22" s="252"/>
      <c r="S22" s="252"/>
      <c r="T22" s="252"/>
      <c r="U22" s="256">
        <v>44819</v>
      </c>
      <c r="V22" s="252" t="s">
        <v>4803</v>
      </c>
    </row>
    <row r="23" spans="1:22">
      <c r="A23" s="252" t="s">
        <v>4915</v>
      </c>
      <c r="B23" s="252" t="s">
        <v>4916</v>
      </c>
      <c r="C23" s="253" t="s">
        <v>4917</v>
      </c>
      <c r="D23" s="253" t="s">
        <v>4918</v>
      </c>
      <c r="E23" s="252" t="s">
        <v>1732</v>
      </c>
      <c r="F23" s="253" t="s">
        <v>4910</v>
      </c>
      <c r="G23" s="252" t="s">
        <v>4919</v>
      </c>
      <c r="H23" s="252" t="s">
        <v>4912</v>
      </c>
      <c r="I23" s="254" t="s">
        <v>1736</v>
      </c>
      <c r="J23" s="254" t="s">
        <v>4913</v>
      </c>
      <c r="K23" s="254" t="s">
        <v>4913</v>
      </c>
      <c r="L23" s="255" t="s">
        <v>183</v>
      </c>
      <c r="M23" s="255" t="s">
        <v>183</v>
      </c>
      <c r="N23" s="252"/>
      <c r="O23" s="256">
        <v>44819</v>
      </c>
      <c r="P23" s="253" t="s">
        <v>4920</v>
      </c>
      <c r="Q23" s="252"/>
      <c r="R23" s="252"/>
      <c r="S23" s="252"/>
      <c r="T23" s="252"/>
      <c r="U23" s="256">
        <v>44819</v>
      </c>
      <c r="V23" s="252" t="s">
        <v>4803</v>
      </c>
    </row>
    <row r="24" spans="1:22">
      <c r="A24" s="252" t="s">
        <v>4921</v>
      </c>
      <c r="B24" s="252" t="s">
        <v>4922</v>
      </c>
      <c r="C24" s="253" t="s">
        <v>4923</v>
      </c>
      <c r="D24" s="253" t="s">
        <v>4924</v>
      </c>
      <c r="E24" s="252" t="s">
        <v>1732</v>
      </c>
      <c r="F24" s="253" t="s">
        <v>4910</v>
      </c>
      <c r="G24" s="252" t="s">
        <v>4925</v>
      </c>
      <c r="H24" s="252" t="s">
        <v>4912</v>
      </c>
      <c r="I24" s="254" t="s">
        <v>1736</v>
      </c>
      <c r="J24" s="254" t="s">
        <v>4913</v>
      </c>
      <c r="K24" s="254" t="s">
        <v>4913</v>
      </c>
      <c r="L24" s="255" t="s">
        <v>183</v>
      </c>
      <c r="M24" s="255" t="s">
        <v>183</v>
      </c>
      <c r="N24" s="252"/>
      <c r="O24" s="256">
        <v>44819</v>
      </c>
      <c r="P24" s="253" t="s">
        <v>4926</v>
      </c>
      <c r="Q24" s="252"/>
      <c r="R24" s="252"/>
      <c r="S24" s="252"/>
      <c r="T24" s="252"/>
      <c r="U24" s="256">
        <v>44819</v>
      </c>
      <c r="V24" s="252" t="s">
        <v>4803</v>
      </c>
    </row>
    <row r="25" spans="1:22">
      <c r="A25" s="252" t="s">
        <v>4927</v>
      </c>
      <c r="B25" s="252" t="s">
        <v>4928</v>
      </c>
      <c r="C25" s="253" t="s">
        <v>4929</v>
      </c>
      <c r="D25" s="253" t="s">
        <v>4930</v>
      </c>
      <c r="E25" s="252" t="s">
        <v>1732</v>
      </c>
      <c r="F25" s="253" t="s">
        <v>4910</v>
      </c>
      <c r="G25" s="252" t="s">
        <v>4931</v>
      </c>
      <c r="H25" s="252" t="s">
        <v>4912</v>
      </c>
      <c r="I25" s="254" t="s">
        <v>1736</v>
      </c>
      <c r="J25" s="254" t="s">
        <v>4913</v>
      </c>
      <c r="K25" s="254" t="s">
        <v>4913</v>
      </c>
      <c r="L25" s="255" t="s">
        <v>183</v>
      </c>
      <c r="M25" s="255" t="s">
        <v>183</v>
      </c>
      <c r="N25" s="252"/>
      <c r="O25" s="256">
        <v>44819</v>
      </c>
      <c r="P25" s="253" t="s">
        <v>4932</v>
      </c>
      <c r="Q25" s="252"/>
      <c r="R25" s="252"/>
      <c r="S25" s="252"/>
      <c r="T25" s="252"/>
      <c r="U25" s="256">
        <v>44819</v>
      </c>
      <c r="V25" s="252" t="s">
        <v>4803</v>
      </c>
    </row>
    <row r="26" spans="1:22">
      <c r="A26" s="252" t="s">
        <v>4933</v>
      </c>
      <c r="B26" s="252" t="s">
        <v>4934</v>
      </c>
      <c r="C26" s="253" t="s">
        <v>4935</v>
      </c>
      <c r="D26" s="253" t="s">
        <v>4936</v>
      </c>
      <c r="E26" s="252" t="s">
        <v>1732</v>
      </c>
      <c r="F26" s="253" t="s">
        <v>4910</v>
      </c>
      <c r="G26" s="252" t="s">
        <v>4937</v>
      </c>
      <c r="H26" s="252" t="s">
        <v>4912</v>
      </c>
      <c r="I26" s="254" t="s">
        <v>1736</v>
      </c>
      <c r="J26" s="254" t="s">
        <v>4913</v>
      </c>
      <c r="K26" s="254" t="s">
        <v>4913</v>
      </c>
      <c r="L26" s="255" t="s">
        <v>183</v>
      </c>
      <c r="M26" s="255" t="s">
        <v>183</v>
      </c>
      <c r="N26" s="252"/>
      <c r="O26" s="256">
        <v>44819</v>
      </c>
      <c r="P26" s="253" t="s">
        <v>4938</v>
      </c>
      <c r="Q26" s="252"/>
      <c r="R26" s="252"/>
      <c r="S26" s="252"/>
      <c r="T26" s="252"/>
      <c r="U26" s="256">
        <v>44819</v>
      </c>
      <c r="V26" s="252" t="s">
        <v>4803</v>
      </c>
    </row>
    <row r="27" spans="1:22">
      <c r="A27" s="252" t="s">
        <v>4939</v>
      </c>
      <c r="B27" s="252" t="s">
        <v>4940</v>
      </c>
      <c r="C27" s="253" t="s">
        <v>4941</v>
      </c>
      <c r="D27" s="253" t="s">
        <v>4942</v>
      </c>
      <c r="E27" s="252" t="s">
        <v>1743</v>
      </c>
      <c r="F27" s="253" t="s">
        <v>4910</v>
      </c>
      <c r="G27" s="252" t="s">
        <v>4943</v>
      </c>
      <c r="H27" s="252" t="s">
        <v>4944</v>
      </c>
      <c r="I27" s="254" t="s">
        <v>1736</v>
      </c>
      <c r="J27" s="254" t="s">
        <v>4913</v>
      </c>
      <c r="K27" s="254" t="s">
        <v>4913</v>
      </c>
      <c r="L27" s="255" t="s">
        <v>183</v>
      </c>
      <c r="M27" s="255" t="s">
        <v>183</v>
      </c>
      <c r="N27" s="252"/>
      <c r="O27" s="256">
        <v>44824</v>
      </c>
      <c r="P27" s="253" t="s">
        <v>4945</v>
      </c>
      <c r="Q27" s="252"/>
      <c r="R27" s="252"/>
      <c r="S27" s="252"/>
      <c r="T27" s="252"/>
      <c r="U27" s="256">
        <v>44824</v>
      </c>
      <c r="V27" s="252" t="s">
        <v>4803</v>
      </c>
    </row>
    <row r="28" spans="1:22">
      <c r="A28" s="252" t="s">
        <v>4946</v>
      </c>
      <c r="B28" s="252" t="s">
        <v>4947</v>
      </c>
      <c r="C28" s="253" t="s">
        <v>4948</v>
      </c>
      <c r="D28" s="253" t="s">
        <v>4949</v>
      </c>
      <c r="E28" s="252" t="s">
        <v>1743</v>
      </c>
      <c r="F28" s="253" t="s">
        <v>4950</v>
      </c>
      <c r="G28" s="252" t="s">
        <v>4951</v>
      </c>
      <c r="H28" s="252" t="s">
        <v>4952</v>
      </c>
      <c r="I28" s="254" t="s">
        <v>1736</v>
      </c>
      <c r="J28" s="254" t="s">
        <v>4913</v>
      </c>
      <c r="K28" s="254" t="s">
        <v>4913</v>
      </c>
      <c r="L28" s="255" t="s">
        <v>183</v>
      </c>
      <c r="M28" s="255" t="s">
        <v>183</v>
      </c>
      <c r="N28" s="252"/>
      <c r="O28" s="256">
        <v>44824</v>
      </c>
      <c r="P28" s="253" t="s">
        <v>4953</v>
      </c>
      <c r="Q28" s="252"/>
      <c r="R28" s="252"/>
      <c r="S28" s="252"/>
      <c r="T28" s="252"/>
      <c r="U28" s="256">
        <v>44824</v>
      </c>
      <c r="V28" s="252" t="s">
        <v>4803</v>
      </c>
    </row>
    <row r="29" spans="1:22">
      <c r="A29" s="252" t="s">
        <v>4954</v>
      </c>
      <c r="B29" s="252" t="s">
        <v>4955</v>
      </c>
      <c r="C29" s="253" t="s">
        <v>4956</v>
      </c>
      <c r="D29" s="253" t="s">
        <v>4957</v>
      </c>
      <c r="E29" s="252" t="s">
        <v>1743</v>
      </c>
      <c r="F29" s="253" t="s">
        <v>4910</v>
      </c>
      <c r="G29" s="252" t="s">
        <v>4958</v>
      </c>
      <c r="H29" s="252" t="s">
        <v>4912</v>
      </c>
      <c r="I29" s="254" t="s">
        <v>1736</v>
      </c>
      <c r="J29" s="254" t="s">
        <v>4913</v>
      </c>
      <c r="K29" s="254" t="s">
        <v>4913</v>
      </c>
      <c r="L29" s="255" t="s">
        <v>183</v>
      </c>
      <c r="M29" s="255" t="s">
        <v>183</v>
      </c>
      <c r="N29" s="252"/>
      <c r="O29" s="256">
        <v>44824</v>
      </c>
      <c r="P29" s="253" t="s">
        <v>4959</v>
      </c>
      <c r="Q29" s="252"/>
      <c r="R29" s="252"/>
      <c r="S29" s="252"/>
      <c r="T29" s="252"/>
      <c r="U29" s="256">
        <v>44824</v>
      </c>
      <c r="V29" s="252" t="s">
        <v>4803</v>
      </c>
    </row>
    <row r="30" spans="1:22">
      <c r="A30" s="252" t="s">
        <v>4960</v>
      </c>
      <c r="B30" s="252" t="s">
        <v>4961</v>
      </c>
      <c r="C30" s="253" t="s">
        <v>4962</v>
      </c>
      <c r="D30" s="253" t="s">
        <v>4963</v>
      </c>
      <c r="E30" s="252" t="s">
        <v>1743</v>
      </c>
      <c r="F30" s="253" t="s">
        <v>4910</v>
      </c>
      <c r="G30" s="252" t="s">
        <v>4964</v>
      </c>
      <c r="H30" s="252" t="s">
        <v>4965</v>
      </c>
      <c r="I30" s="254" t="s">
        <v>1736</v>
      </c>
      <c r="J30" s="254" t="s">
        <v>4913</v>
      </c>
      <c r="K30" s="254" t="s">
        <v>4913</v>
      </c>
      <c r="L30" s="255" t="s">
        <v>183</v>
      </c>
      <c r="M30" s="255" t="s">
        <v>183</v>
      </c>
      <c r="N30" s="252"/>
      <c r="O30" s="256">
        <v>44824</v>
      </c>
      <c r="P30" s="253" t="s">
        <v>4966</v>
      </c>
      <c r="Q30" s="252"/>
      <c r="R30" s="252"/>
      <c r="S30" s="252"/>
      <c r="T30" s="252"/>
      <c r="U30" s="256">
        <v>44824</v>
      </c>
      <c r="V30" s="252" t="s">
        <v>4803</v>
      </c>
    </row>
    <row r="31" spans="1:22">
      <c r="A31" s="252" t="s">
        <v>4967</v>
      </c>
      <c r="B31" s="252" t="s">
        <v>4968</v>
      </c>
      <c r="C31" s="253" t="s">
        <v>4969</v>
      </c>
      <c r="D31" s="253" t="s">
        <v>4970</v>
      </c>
      <c r="E31" s="252" t="s">
        <v>1743</v>
      </c>
      <c r="F31" s="253" t="s">
        <v>4910</v>
      </c>
      <c r="G31" s="252" t="s">
        <v>4971</v>
      </c>
      <c r="H31" s="252" t="s">
        <v>4912</v>
      </c>
      <c r="I31" s="254" t="s">
        <v>1736</v>
      </c>
      <c r="J31" s="254" t="s">
        <v>4913</v>
      </c>
      <c r="K31" s="254" t="s">
        <v>4913</v>
      </c>
      <c r="L31" s="255" t="s">
        <v>183</v>
      </c>
      <c r="M31" s="255" t="s">
        <v>183</v>
      </c>
      <c r="N31" s="252"/>
      <c r="O31" s="256">
        <v>44824</v>
      </c>
      <c r="P31" s="253" t="s">
        <v>4972</v>
      </c>
      <c r="Q31" s="252"/>
      <c r="R31" s="252"/>
      <c r="S31" s="252"/>
      <c r="T31" s="252"/>
      <c r="U31" s="256">
        <v>44824</v>
      </c>
      <c r="V31" s="252" t="s">
        <v>4803</v>
      </c>
    </row>
    <row r="32" spans="1:22">
      <c r="A32" s="252" t="s">
        <v>4973</v>
      </c>
      <c r="B32" s="252" t="s">
        <v>4974</v>
      </c>
      <c r="C32" s="253" t="s">
        <v>4975</v>
      </c>
      <c r="D32" s="253" t="s">
        <v>4976</v>
      </c>
      <c r="E32" s="252" t="s">
        <v>1743</v>
      </c>
      <c r="F32" s="253" t="s">
        <v>4950</v>
      </c>
      <c r="G32" s="252" t="s">
        <v>4977</v>
      </c>
      <c r="H32" s="252" t="s">
        <v>4952</v>
      </c>
      <c r="I32" s="254" t="s">
        <v>1736</v>
      </c>
      <c r="J32" s="254" t="s">
        <v>4913</v>
      </c>
      <c r="K32" s="254" t="s">
        <v>4913</v>
      </c>
      <c r="L32" s="255" t="s">
        <v>183</v>
      </c>
      <c r="M32" s="255" t="s">
        <v>183</v>
      </c>
      <c r="N32" s="252"/>
      <c r="O32" s="256">
        <v>44831</v>
      </c>
      <c r="P32" s="253" t="s">
        <v>4978</v>
      </c>
      <c r="Q32" s="252"/>
      <c r="R32" s="252"/>
      <c r="S32" s="252"/>
      <c r="T32" s="252"/>
      <c r="U32" s="256">
        <v>44831</v>
      </c>
      <c r="V32" s="252" t="s">
        <v>4803</v>
      </c>
    </row>
    <row r="33" spans="1:22">
      <c r="A33" s="252" t="s">
        <v>4979</v>
      </c>
      <c r="B33" s="252" t="s">
        <v>4980</v>
      </c>
      <c r="C33" s="253" t="s">
        <v>4981</v>
      </c>
      <c r="D33" s="253" t="s">
        <v>4982</v>
      </c>
      <c r="E33" s="252" t="s">
        <v>1743</v>
      </c>
      <c r="F33" s="253" t="s">
        <v>4910</v>
      </c>
      <c r="G33" s="252" t="s">
        <v>4971</v>
      </c>
      <c r="H33" s="252" t="s">
        <v>4912</v>
      </c>
      <c r="I33" s="254" t="s">
        <v>1736</v>
      </c>
      <c r="J33" s="254" t="s">
        <v>4913</v>
      </c>
      <c r="K33" s="254" t="s">
        <v>4913</v>
      </c>
      <c r="L33" s="255" t="s">
        <v>183</v>
      </c>
      <c r="M33" s="255" t="s">
        <v>183</v>
      </c>
      <c r="N33" s="252"/>
      <c r="O33" s="256">
        <v>44824</v>
      </c>
      <c r="P33" s="253" t="s">
        <v>4983</v>
      </c>
      <c r="Q33" s="252"/>
      <c r="R33" s="252"/>
      <c r="S33" s="252"/>
      <c r="T33" s="252"/>
      <c r="U33" s="256">
        <v>44824</v>
      </c>
      <c r="V33" s="252" t="s">
        <v>4803</v>
      </c>
    </row>
    <row r="34" spans="1:22">
      <c r="A34" s="252" t="s">
        <v>4984</v>
      </c>
      <c r="B34" s="252" t="s">
        <v>4985</v>
      </c>
      <c r="C34" s="253" t="s">
        <v>4986</v>
      </c>
      <c r="D34" s="253" t="s">
        <v>4987</v>
      </c>
      <c r="E34" s="252" t="s">
        <v>1732</v>
      </c>
      <c r="F34" s="253" t="s">
        <v>4988</v>
      </c>
      <c r="G34" s="252" t="s">
        <v>4911</v>
      </c>
      <c r="H34" s="252" t="s">
        <v>4989</v>
      </c>
      <c r="I34" s="254" t="s">
        <v>1736</v>
      </c>
      <c r="J34" s="254" t="s">
        <v>4913</v>
      </c>
      <c r="K34" s="254" t="s">
        <v>4913</v>
      </c>
      <c r="L34" s="255" t="s">
        <v>183</v>
      </c>
      <c r="M34" s="255" t="s">
        <v>183</v>
      </c>
      <c r="N34" s="252"/>
      <c r="O34" s="256">
        <v>44839</v>
      </c>
      <c r="P34" s="253" t="s">
        <v>4990</v>
      </c>
      <c r="Q34" s="252"/>
      <c r="R34" s="252"/>
      <c r="S34" s="252"/>
      <c r="T34" s="252"/>
      <c r="U34" s="256">
        <v>44839</v>
      </c>
      <c r="V34" s="252" t="s">
        <v>4803</v>
      </c>
    </row>
    <row r="35" spans="1:22">
      <c r="A35" s="252" t="s">
        <v>4991</v>
      </c>
      <c r="B35" s="252" t="s">
        <v>4992</v>
      </c>
      <c r="C35" s="253" t="s">
        <v>4993</v>
      </c>
      <c r="D35" s="253" t="s">
        <v>4994</v>
      </c>
      <c r="E35" s="252" t="s">
        <v>1732</v>
      </c>
      <c r="F35" s="253" t="s">
        <v>4988</v>
      </c>
      <c r="G35" s="252" t="s">
        <v>4925</v>
      </c>
      <c r="H35" s="252" t="s">
        <v>4989</v>
      </c>
      <c r="I35" s="254" t="s">
        <v>1736</v>
      </c>
      <c r="J35" s="254" t="s">
        <v>4913</v>
      </c>
      <c r="K35" s="254" t="s">
        <v>4913</v>
      </c>
      <c r="L35" s="255" t="s">
        <v>183</v>
      </c>
      <c r="M35" s="255" t="s">
        <v>183</v>
      </c>
      <c r="N35" s="252"/>
      <c r="O35" s="256">
        <v>44839</v>
      </c>
      <c r="P35" s="253" t="s">
        <v>4995</v>
      </c>
      <c r="Q35" s="252"/>
      <c r="R35" s="252"/>
      <c r="S35" s="252"/>
      <c r="T35" s="252"/>
      <c r="U35" s="256">
        <v>44839</v>
      </c>
      <c r="V35" s="252" t="s">
        <v>4803</v>
      </c>
    </row>
    <row r="36" spans="1:22">
      <c r="A36" s="252" t="s">
        <v>4996</v>
      </c>
      <c r="B36" s="252" t="s">
        <v>4997</v>
      </c>
      <c r="C36" s="253" t="s">
        <v>4998</v>
      </c>
      <c r="D36" s="253" t="s">
        <v>4999</v>
      </c>
      <c r="E36" s="252" t="s">
        <v>1743</v>
      </c>
      <c r="F36" s="253" t="s">
        <v>4988</v>
      </c>
      <c r="G36" s="252" t="s">
        <v>4911</v>
      </c>
      <c r="H36" s="252" t="s">
        <v>4989</v>
      </c>
      <c r="I36" s="254" t="s">
        <v>1736</v>
      </c>
      <c r="J36" s="254" t="s">
        <v>4913</v>
      </c>
      <c r="K36" s="254" t="s">
        <v>4913</v>
      </c>
      <c r="L36" s="255" t="s">
        <v>183</v>
      </c>
      <c r="M36" s="255" t="s">
        <v>183</v>
      </c>
      <c r="N36" s="252"/>
      <c r="O36" s="256">
        <v>44839</v>
      </c>
      <c r="P36" s="253" t="s">
        <v>5000</v>
      </c>
      <c r="Q36" s="252"/>
      <c r="R36" s="252"/>
      <c r="S36" s="252"/>
      <c r="T36" s="252"/>
      <c r="U36" s="256">
        <v>44839</v>
      </c>
      <c r="V36" s="252" t="s">
        <v>4803</v>
      </c>
    </row>
    <row r="37" spans="1:22">
      <c r="A37" s="252" t="s">
        <v>5001</v>
      </c>
      <c r="B37" s="252" t="s">
        <v>5002</v>
      </c>
      <c r="C37" s="253" t="s">
        <v>5003</v>
      </c>
      <c r="D37" s="253" t="s">
        <v>5004</v>
      </c>
      <c r="E37" s="252" t="s">
        <v>1732</v>
      </c>
      <c r="F37" s="253" t="s">
        <v>4988</v>
      </c>
      <c r="G37" s="252" t="s">
        <v>4925</v>
      </c>
      <c r="H37" s="252" t="s">
        <v>4989</v>
      </c>
      <c r="I37" s="254" t="s">
        <v>1736</v>
      </c>
      <c r="J37" s="254" t="s">
        <v>4913</v>
      </c>
      <c r="K37" s="254" t="s">
        <v>4913</v>
      </c>
      <c r="L37" s="255" t="s">
        <v>183</v>
      </c>
      <c r="M37" s="255" t="s">
        <v>183</v>
      </c>
      <c r="N37" s="252"/>
      <c r="O37" s="256">
        <v>44839</v>
      </c>
      <c r="P37" s="253" t="s">
        <v>5005</v>
      </c>
      <c r="Q37" s="252"/>
      <c r="R37" s="252"/>
      <c r="S37" s="252"/>
      <c r="T37" s="252"/>
      <c r="U37" s="256">
        <v>44839</v>
      </c>
      <c r="V37" s="252" t="s">
        <v>4803</v>
      </c>
    </row>
    <row r="38" spans="1:22">
      <c r="A38" s="252" t="s">
        <v>5006</v>
      </c>
      <c r="B38" s="252" t="s">
        <v>5007</v>
      </c>
      <c r="C38" s="253" t="s">
        <v>5008</v>
      </c>
      <c r="D38" s="253" t="s">
        <v>4909</v>
      </c>
      <c r="E38" s="252" t="s">
        <v>1732</v>
      </c>
      <c r="F38" s="253" t="s">
        <v>4910</v>
      </c>
      <c r="G38" s="252" t="s">
        <v>5009</v>
      </c>
      <c r="H38" s="252" t="s">
        <v>5010</v>
      </c>
      <c r="I38" s="254" t="s">
        <v>1736</v>
      </c>
      <c r="J38" s="254" t="s">
        <v>4913</v>
      </c>
      <c r="K38" s="254" t="s">
        <v>4913</v>
      </c>
      <c r="L38" s="255" t="s">
        <v>183</v>
      </c>
      <c r="M38" s="255" t="s">
        <v>183</v>
      </c>
      <c r="N38" s="252"/>
      <c r="O38" s="256">
        <v>44826</v>
      </c>
      <c r="P38" s="253" t="s">
        <v>5011</v>
      </c>
      <c r="Q38" s="252"/>
      <c r="R38" s="252"/>
      <c r="S38" s="252"/>
      <c r="T38" s="252"/>
      <c r="U38" s="256">
        <v>44826</v>
      </c>
      <c r="V38" s="252" t="s">
        <v>4803</v>
      </c>
    </row>
    <row r="39" spans="1:22">
      <c r="A39" s="252" t="s">
        <v>5012</v>
      </c>
      <c r="B39" s="252" t="s">
        <v>5013</v>
      </c>
      <c r="C39" s="253" t="s">
        <v>5014</v>
      </c>
      <c r="D39" s="253" t="s">
        <v>4918</v>
      </c>
      <c r="E39" s="252" t="s">
        <v>1732</v>
      </c>
      <c r="F39" s="253" t="s">
        <v>4910</v>
      </c>
      <c r="G39" s="252" t="s">
        <v>5015</v>
      </c>
      <c r="H39" s="252" t="s">
        <v>5010</v>
      </c>
      <c r="I39" s="254" t="s">
        <v>1736</v>
      </c>
      <c r="J39" s="254" t="s">
        <v>4913</v>
      </c>
      <c r="K39" s="254" t="s">
        <v>4913</v>
      </c>
      <c r="L39" s="255" t="s">
        <v>183</v>
      </c>
      <c r="M39" s="255" t="s">
        <v>183</v>
      </c>
      <c r="N39" s="252" t="s">
        <v>5016</v>
      </c>
      <c r="O39" s="256">
        <v>44826</v>
      </c>
      <c r="P39" s="253" t="s">
        <v>5017</v>
      </c>
      <c r="Q39" s="252"/>
      <c r="R39" s="252"/>
      <c r="S39" s="252"/>
      <c r="T39" s="252"/>
      <c r="U39" s="256">
        <v>44826</v>
      </c>
      <c r="V39" s="252" t="s">
        <v>4803</v>
      </c>
    </row>
    <row r="40" spans="1:22">
      <c r="A40" s="252" t="s">
        <v>5018</v>
      </c>
      <c r="B40" s="252" t="s">
        <v>5019</v>
      </c>
      <c r="C40" s="253" t="s">
        <v>5020</v>
      </c>
      <c r="D40" s="253" t="s">
        <v>4924</v>
      </c>
      <c r="E40" s="252" t="s">
        <v>1732</v>
      </c>
      <c r="F40" s="253" t="s">
        <v>4910</v>
      </c>
      <c r="G40" s="252" t="s">
        <v>5021</v>
      </c>
      <c r="H40" s="252" t="s">
        <v>5010</v>
      </c>
      <c r="I40" s="254" t="s">
        <v>1736</v>
      </c>
      <c r="J40" s="254" t="s">
        <v>4913</v>
      </c>
      <c r="K40" s="254" t="s">
        <v>4913</v>
      </c>
      <c r="L40" s="255" t="s">
        <v>183</v>
      </c>
      <c r="M40" s="255" t="s">
        <v>183</v>
      </c>
      <c r="N40" s="252"/>
      <c r="O40" s="256">
        <v>44839</v>
      </c>
      <c r="P40" s="253" t="s">
        <v>5022</v>
      </c>
      <c r="Q40" s="252"/>
      <c r="R40" s="252"/>
      <c r="S40" s="252"/>
      <c r="T40" s="252"/>
      <c r="U40" s="256">
        <v>44839</v>
      </c>
      <c r="V40" s="252" t="s">
        <v>4803</v>
      </c>
    </row>
    <row r="41" spans="1:22">
      <c r="A41" s="252" t="s">
        <v>5023</v>
      </c>
      <c r="B41" s="252" t="s">
        <v>5024</v>
      </c>
      <c r="C41" s="253" t="s">
        <v>5025</v>
      </c>
      <c r="D41" s="253" t="s">
        <v>4930</v>
      </c>
      <c r="E41" s="252" t="s">
        <v>1732</v>
      </c>
      <c r="F41" s="253" t="s">
        <v>4910</v>
      </c>
      <c r="G41" s="252" t="s">
        <v>5026</v>
      </c>
      <c r="H41" s="252" t="s">
        <v>4912</v>
      </c>
      <c r="I41" s="254" t="s">
        <v>1736</v>
      </c>
      <c r="J41" s="254" t="s">
        <v>4913</v>
      </c>
      <c r="K41" s="254" t="s">
        <v>4913</v>
      </c>
      <c r="L41" s="255" t="s">
        <v>183</v>
      </c>
      <c r="M41" s="255" t="s">
        <v>183</v>
      </c>
      <c r="N41" s="252"/>
      <c r="O41" s="256">
        <v>44826</v>
      </c>
      <c r="P41" s="253" t="s">
        <v>5027</v>
      </c>
      <c r="Q41" s="252"/>
      <c r="R41" s="252"/>
      <c r="S41" s="252"/>
      <c r="T41" s="252"/>
      <c r="U41" s="256">
        <v>44826</v>
      </c>
      <c r="V41" s="252" t="s">
        <v>4803</v>
      </c>
    </row>
    <row r="42" spans="1:22">
      <c r="A42" s="252" t="s">
        <v>5028</v>
      </c>
      <c r="B42" s="252" t="s">
        <v>5029</v>
      </c>
      <c r="C42" s="253" t="s">
        <v>5030</v>
      </c>
      <c r="D42" s="253" t="s">
        <v>4936</v>
      </c>
      <c r="E42" s="252" t="s">
        <v>1732</v>
      </c>
      <c r="F42" s="253" t="s">
        <v>4910</v>
      </c>
      <c r="G42" s="252" t="s">
        <v>5031</v>
      </c>
      <c r="H42" s="252" t="s">
        <v>4912</v>
      </c>
      <c r="I42" s="254" t="s">
        <v>1736</v>
      </c>
      <c r="J42" s="254" t="s">
        <v>4913</v>
      </c>
      <c r="K42" s="254" t="s">
        <v>4913</v>
      </c>
      <c r="L42" s="255" t="s">
        <v>183</v>
      </c>
      <c r="M42" s="255" t="s">
        <v>183</v>
      </c>
      <c r="N42" s="252"/>
      <c r="O42" s="256">
        <v>44826</v>
      </c>
      <c r="P42" s="253" t="s">
        <v>5032</v>
      </c>
      <c r="Q42" s="252"/>
      <c r="R42" s="252"/>
      <c r="S42" s="252"/>
      <c r="T42" s="252"/>
      <c r="U42" s="256">
        <v>44826</v>
      </c>
      <c r="V42" s="252" t="s">
        <v>4803</v>
      </c>
    </row>
    <row r="43" spans="1:22">
      <c r="A43" s="252" t="s">
        <v>5033</v>
      </c>
      <c r="B43" s="252" t="s">
        <v>5034</v>
      </c>
      <c r="C43" s="253" t="s">
        <v>5035</v>
      </c>
      <c r="D43" s="253" t="s">
        <v>4942</v>
      </c>
      <c r="E43" s="252" t="s">
        <v>1743</v>
      </c>
      <c r="F43" s="253" t="s">
        <v>4910</v>
      </c>
      <c r="G43" s="252" t="s">
        <v>5036</v>
      </c>
      <c r="H43" s="252" t="s">
        <v>5037</v>
      </c>
      <c r="I43" s="254" t="s">
        <v>1736</v>
      </c>
      <c r="J43" s="254" t="s">
        <v>4913</v>
      </c>
      <c r="K43" s="254" t="s">
        <v>4913</v>
      </c>
      <c r="L43" s="255" t="s">
        <v>183</v>
      </c>
      <c r="M43" s="255" t="s">
        <v>183</v>
      </c>
      <c r="N43" s="252" t="s">
        <v>5038</v>
      </c>
      <c r="O43" s="256">
        <v>44826</v>
      </c>
      <c r="P43" s="253" t="s">
        <v>5039</v>
      </c>
      <c r="Q43" s="252"/>
      <c r="R43" s="252"/>
      <c r="S43" s="252"/>
      <c r="T43" s="252"/>
      <c r="U43" s="256">
        <v>44826</v>
      </c>
      <c r="V43" s="252" t="s">
        <v>4803</v>
      </c>
    </row>
    <row r="44" spans="1:22">
      <c r="A44" s="252" t="s">
        <v>5040</v>
      </c>
      <c r="B44" s="252" t="s">
        <v>5041</v>
      </c>
      <c r="C44" s="253" t="s">
        <v>5042</v>
      </c>
      <c r="D44" s="253" t="s">
        <v>4949</v>
      </c>
      <c r="E44" s="252" t="s">
        <v>1743</v>
      </c>
      <c r="F44" s="253" t="s">
        <v>4950</v>
      </c>
      <c r="G44" s="252" t="s">
        <v>5043</v>
      </c>
      <c r="H44" s="252" t="s">
        <v>4952</v>
      </c>
      <c r="I44" s="254" t="s">
        <v>1736</v>
      </c>
      <c r="J44" s="254" t="s">
        <v>4913</v>
      </c>
      <c r="K44" s="254" t="s">
        <v>4913</v>
      </c>
      <c r="L44" s="255" t="s">
        <v>183</v>
      </c>
      <c r="M44" s="255" t="s">
        <v>183</v>
      </c>
      <c r="N44" s="252"/>
      <c r="O44" s="256">
        <v>44826</v>
      </c>
      <c r="P44" s="253" t="s">
        <v>5044</v>
      </c>
      <c r="Q44" s="252"/>
      <c r="R44" s="252"/>
      <c r="S44" s="252"/>
      <c r="T44" s="252"/>
      <c r="U44" s="256">
        <v>44826</v>
      </c>
      <c r="V44" s="252" t="s">
        <v>4803</v>
      </c>
    </row>
    <row r="45" spans="1:22">
      <c r="A45" s="252" t="s">
        <v>5045</v>
      </c>
      <c r="B45" s="252" t="s">
        <v>5046</v>
      </c>
      <c r="C45" s="253" t="s">
        <v>5047</v>
      </c>
      <c r="D45" s="253" t="s">
        <v>4957</v>
      </c>
      <c r="E45" s="252" t="s">
        <v>1743</v>
      </c>
      <c r="F45" s="253" t="s">
        <v>4910</v>
      </c>
      <c r="G45" s="252" t="s">
        <v>5048</v>
      </c>
      <c r="H45" s="252" t="s">
        <v>5049</v>
      </c>
      <c r="I45" s="254" t="s">
        <v>1736</v>
      </c>
      <c r="J45" s="254" t="s">
        <v>4913</v>
      </c>
      <c r="K45" s="254" t="s">
        <v>4913</v>
      </c>
      <c r="L45" s="255" t="s">
        <v>183</v>
      </c>
      <c r="M45" s="255" t="s">
        <v>183</v>
      </c>
      <c r="N45" s="252"/>
      <c r="O45" s="256">
        <v>44831</v>
      </c>
      <c r="P45" s="253" t="s">
        <v>5050</v>
      </c>
      <c r="Q45" s="252"/>
      <c r="R45" s="252"/>
      <c r="S45" s="252"/>
      <c r="T45" s="252"/>
      <c r="U45" s="256">
        <v>44831</v>
      </c>
      <c r="V45" s="252" t="s">
        <v>4803</v>
      </c>
    </row>
    <row r="46" spans="1:22">
      <c r="A46" s="252" t="s">
        <v>5051</v>
      </c>
      <c r="B46" s="252" t="s">
        <v>5052</v>
      </c>
      <c r="C46" s="253" t="s">
        <v>5053</v>
      </c>
      <c r="D46" s="253" t="s">
        <v>4963</v>
      </c>
      <c r="E46" s="252" t="s">
        <v>1743</v>
      </c>
      <c r="F46" s="253" t="s">
        <v>4910</v>
      </c>
      <c r="G46" s="252" t="s">
        <v>5054</v>
      </c>
      <c r="H46" s="252" t="s">
        <v>5055</v>
      </c>
      <c r="I46" s="254" t="s">
        <v>1736</v>
      </c>
      <c r="J46" s="254" t="s">
        <v>4913</v>
      </c>
      <c r="K46" s="254" t="s">
        <v>4913</v>
      </c>
      <c r="L46" s="255" t="s">
        <v>183</v>
      </c>
      <c r="M46" s="255" t="s">
        <v>183</v>
      </c>
      <c r="N46" s="252"/>
      <c r="O46" s="256">
        <v>44831</v>
      </c>
      <c r="P46" s="253" t="s">
        <v>5056</v>
      </c>
      <c r="Q46" s="252"/>
      <c r="R46" s="252"/>
      <c r="S46" s="252"/>
      <c r="T46" s="252"/>
      <c r="U46" s="256">
        <v>44831</v>
      </c>
      <c r="V46" s="252" t="s">
        <v>4803</v>
      </c>
    </row>
    <row r="47" spans="1:22">
      <c r="A47" s="252" t="s">
        <v>5057</v>
      </c>
      <c r="B47" s="252" t="s">
        <v>5058</v>
      </c>
      <c r="C47" s="253" t="s">
        <v>5059</v>
      </c>
      <c r="D47" s="253" t="s">
        <v>4970</v>
      </c>
      <c r="E47" s="252" t="s">
        <v>1743</v>
      </c>
      <c r="F47" s="253" t="s">
        <v>4910</v>
      </c>
      <c r="G47" s="252" t="s">
        <v>5036</v>
      </c>
      <c r="H47" s="252" t="s">
        <v>5037</v>
      </c>
      <c r="I47" s="254" t="s">
        <v>1736</v>
      </c>
      <c r="J47" s="254" t="s">
        <v>4913</v>
      </c>
      <c r="K47" s="254" t="s">
        <v>4913</v>
      </c>
      <c r="L47" s="255" t="s">
        <v>183</v>
      </c>
      <c r="M47" s="255" t="s">
        <v>183</v>
      </c>
      <c r="N47" s="252" t="s">
        <v>5038</v>
      </c>
      <c r="O47" s="256">
        <v>44831</v>
      </c>
      <c r="P47" s="253" t="s">
        <v>5060</v>
      </c>
      <c r="Q47" s="252"/>
      <c r="R47" s="252"/>
      <c r="S47" s="252"/>
      <c r="T47" s="252"/>
      <c r="U47" s="256">
        <v>44831</v>
      </c>
      <c r="V47" s="252" t="s">
        <v>4803</v>
      </c>
    </row>
    <row r="48" spans="1:22">
      <c r="A48" s="252" t="s">
        <v>5061</v>
      </c>
      <c r="B48" s="252" t="s">
        <v>5062</v>
      </c>
      <c r="C48" s="253" t="s">
        <v>5063</v>
      </c>
      <c r="D48" s="253" t="s">
        <v>4976</v>
      </c>
      <c r="E48" s="252" t="s">
        <v>1743</v>
      </c>
      <c r="F48" s="253" t="s">
        <v>4950</v>
      </c>
      <c r="G48" s="252" t="s">
        <v>5064</v>
      </c>
      <c r="H48" s="252" t="s">
        <v>4952</v>
      </c>
      <c r="I48" s="254" t="s">
        <v>1736</v>
      </c>
      <c r="J48" s="254" t="s">
        <v>4913</v>
      </c>
      <c r="K48" s="254" t="s">
        <v>4913</v>
      </c>
      <c r="L48" s="255" t="s">
        <v>183</v>
      </c>
      <c r="M48" s="255" t="s">
        <v>183</v>
      </c>
      <c r="N48" s="252"/>
      <c r="O48" s="256">
        <v>44831</v>
      </c>
      <c r="P48" s="253" t="s">
        <v>5065</v>
      </c>
      <c r="Q48" s="252"/>
      <c r="R48" s="252"/>
      <c r="S48" s="252"/>
      <c r="T48" s="252"/>
      <c r="U48" s="256">
        <v>44831</v>
      </c>
      <c r="V48" s="252" t="s">
        <v>4803</v>
      </c>
    </row>
    <row r="49" spans="1:22">
      <c r="A49" s="252" t="s">
        <v>5066</v>
      </c>
      <c r="B49" s="252" t="s">
        <v>5067</v>
      </c>
      <c r="C49" s="253" t="s">
        <v>5068</v>
      </c>
      <c r="D49" s="253" t="s">
        <v>4982</v>
      </c>
      <c r="E49" s="252" t="s">
        <v>1743</v>
      </c>
      <c r="F49" s="253" t="s">
        <v>4910</v>
      </c>
      <c r="G49" s="252" t="s">
        <v>5069</v>
      </c>
      <c r="H49" s="252" t="s">
        <v>5049</v>
      </c>
      <c r="I49" s="254" t="s">
        <v>1736</v>
      </c>
      <c r="J49" s="254" t="s">
        <v>4913</v>
      </c>
      <c r="K49" s="254" t="s">
        <v>4913</v>
      </c>
      <c r="L49" s="255" t="s">
        <v>183</v>
      </c>
      <c r="M49" s="255" t="s">
        <v>183</v>
      </c>
      <c r="N49" s="252"/>
      <c r="O49" s="256">
        <v>44831</v>
      </c>
      <c r="P49" s="253" t="s">
        <v>5070</v>
      </c>
      <c r="Q49" s="252"/>
      <c r="R49" s="252"/>
      <c r="S49" s="252"/>
      <c r="T49" s="252"/>
      <c r="U49" s="256">
        <v>44831</v>
      </c>
      <c r="V49" s="252" t="s">
        <v>4803</v>
      </c>
    </row>
    <row r="50" spans="1:22">
      <c r="A50" s="252" t="s">
        <v>5071</v>
      </c>
      <c r="B50" s="252" t="s">
        <v>5072</v>
      </c>
      <c r="C50" s="253" t="s">
        <v>5073</v>
      </c>
      <c r="D50" s="253" t="s">
        <v>5074</v>
      </c>
      <c r="E50" s="252" t="s">
        <v>1743</v>
      </c>
      <c r="F50" s="253" t="s">
        <v>4988</v>
      </c>
      <c r="G50" s="252" t="s">
        <v>5075</v>
      </c>
      <c r="H50" s="252" t="s">
        <v>5076</v>
      </c>
      <c r="I50" s="254" t="s">
        <v>1736</v>
      </c>
      <c r="J50" s="254" t="s">
        <v>4913</v>
      </c>
      <c r="K50" s="254" t="s">
        <v>4913</v>
      </c>
      <c r="L50" s="255" t="s">
        <v>183</v>
      </c>
      <c r="M50" s="255" t="s">
        <v>183</v>
      </c>
      <c r="N50" s="252"/>
      <c r="O50" s="256">
        <v>44831</v>
      </c>
      <c r="P50" s="253" t="s">
        <v>5077</v>
      </c>
      <c r="Q50" s="252"/>
      <c r="R50" s="252"/>
      <c r="S50" s="252"/>
      <c r="T50" s="252"/>
      <c r="U50" s="256">
        <v>44831</v>
      </c>
      <c r="V50" s="252" t="s">
        <v>4803</v>
      </c>
    </row>
    <row r="51" spans="1:22">
      <c r="A51" s="252" t="s">
        <v>5078</v>
      </c>
      <c r="B51" s="252" t="s">
        <v>5079</v>
      </c>
      <c r="C51" s="253" t="s">
        <v>5080</v>
      </c>
      <c r="D51" s="253" t="s">
        <v>5081</v>
      </c>
      <c r="E51" s="252" t="s">
        <v>1732</v>
      </c>
      <c r="F51" s="253" t="s">
        <v>4988</v>
      </c>
      <c r="G51" s="252" t="s">
        <v>5009</v>
      </c>
      <c r="H51" s="252" t="s">
        <v>5082</v>
      </c>
      <c r="I51" s="254" t="s">
        <v>1736</v>
      </c>
      <c r="J51" s="254" t="s">
        <v>4913</v>
      </c>
      <c r="K51" s="254" t="s">
        <v>4913</v>
      </c>
      <c r="L51" s="255" t="s">
        <v>183</v>
      </c>
      <c r="M51" s="255" t="s">
        <v>183</v>
      </c>
      <c r="N51" s="252"/>
      <c r="O51" s="256">
        <v>44839</v>
      </c>
      <c r="P51" s="253" t="s">
        <v>5083</v>
      </c>
      <c r="Q51" s="252"/>
      <c r="R51" s="252"/>
      <c r="S51" s="252"/>
      <c r="T51" s="252"/>
      <c r="U51" s="256">
        <v>44839</v>
      </c>
      <c r="V51" s="252" t="s">
        <v>4803</v>
      </c>
    </row>
    <row r="52" spans="1:22">
      <c r="A52" s="252" t="s">
        <v>5084</v>
      </c>
      <c r="B52" s="252" t="s">
        <v>5085</v>
      </c>
      <c r="C52" s="253" t="s">
        <v>5086</v>
      </c>
      <c r="D52" s="253" t="s">
        <v>4999</v>
      </c>
      <c r="E52" s="252" t="s">
        <v>1743</v>
      </c>
      <c r="F52" s="253" t="s">
        <v>4988</v>
      </c>
      <c r="G52" s="252" t="s">
        <v>5009</v>
      </c>
      <c r="H52" s="252" t="s">
        <v>5082</v>
      </c>
      <c r="I52" s="254" t="s">
        <v>1736</v>
      </c>
      <c r="J52" s="254" t="s">
        <v>4913</v>
      </c>
      <c r="K52" s="254" t="s">
        <v>4913</v>
      </c>
      <c r="L52" s="255" t="s">
        <v>183</v>
      </c>
      <c r="M52" s="255" t="s">
        <v>183</v>
      </c>
      <c r="N52" s="252"/>
      <c r="O52" s="256">
        <v>44839</v>
      </c>
      <c r="P52" s="253" t="s">
        <v>5087</v>
      </c>
      <c r="Q52" s="252"/>
      <c r="R52" s="252"/>
      <c r="S52" s="252"/>
      <c r="T52" s="252"/>
      <c r="U52" s="256">
        <v>44839</v>
      </c>
      <c r="V52" s="252" t="s">
        <v>4803</v>
      </c>
    </row>
    <row r="53" spans="1:22">
      <c r="A53" s="252" t="s">
        <v>5088</v>
      </c>
      <c r="B53" s="252" t="s">
        <v>5089</v>
      </c>
      <c r="C53" s="253" t="s">
        <v>5090</v>
      </c>
      <c r="D53" s="253" t="s">
        <v>4909</v>
      </c>
      <c r="E53" s="252" t="s">
        <v>1732</v>
      </c>
      <c r="F53" s="253" t="s">
        <v>4910</v>
      </c>
      <c r="G53" s="252" t="s">
        <v>5009</v>
      </c>
      <c r="H53" s="252" t="s">
        <v>5010</v>
      </c>
      <c r="I53" s="254" t="s">
        <v>1736</v>
      </c>
      <c r="J53" s="254" t="s">
        <v>4913</v>
      </c>
      <c r="K53" s="254" t="s">
        <v>4913</v>
      </c>
      <c r="L53" s="255" t="s">
        <v>183</v>
      </c>
      <c r="M53" s="255" t="s">
        <v>183</v>
      </c>
      <c r="N53" s="252"/>
      <c r="O53" s="256">
        <v>44833</v>
      </c>
      <c r="P53" s="253" t="s">
        <v>5091</v>
      </c>
      <c r="Q53" s="252"/>
      <c r="R53" s="252"/>
      <c r="S53" s="252"/>
      <c r="T53" s="252"/>
      <c r="U53" s="256">
        <v>44833</v>
      </c>
      <c r="V53" s="252" t="s">
        <v>4803</v>
      </c>
    </row>
    <row r="54" spans="1:22">
      <c r="A54" s="252" t="s">
        <v>5092</v>
      </c>
      <c r="B54" s="252" t="s">
        <v>5093</v>
      </c>
      <c r="C54" s="253" t="s">
        <v>5094</v>
      </c>
      <c r="D54" s="253" t="s">
        <v>4918</v>
      </c>
      <c r="E54" s="252" t="s">
        <v>1732</v>
      </c>
      <c r="F54" s="253" t="s">
        <v>4910</v>
      </c>
      <c r="G54" s="252" t="s">
        <v>5015</v>
      </c>
      <c r="H54" s="252" t="s">
        <v>4912</v>
      </c>
      <c r="I54" s="254" t="s">
        <v>1736</v>
      </c>
      <c r="J54" s="254" t="s">
        <v>4913</v>
      </c>
      <c r="K54" s="254" t="s">
        <v>4913</v>
      </c>
      <c r="L54" s="255" t="s">
        <v>183</v>
      </c>
      <c r="M54" s="255" t="s">
        <v>183</v>
      </c>
      <c r="N54" s="252" t="s">
        <v>5016</v>
      </c>
      <c r="O54" s="256">
        <v>44833</v>
      </c>
      <c r="P54" s="253" t="s">
        <v>5095</v>
      </c>
      <c r="Q54" s="252"/>
      <c r="R54" s="252"/>
      <c r="S54" s="252"/>
      <c r="T54" s="252"/>
      <c r="U54" s="256">
        <v>44833</v>
      </c>
      <c r="V54" s="252" t="s">
        <v>4803</v>
      </c>
    </row>
    <row r="55" spans="1:22">
      <c r="A55" s="252" t="s">
        <v>5096</v>
      </c>
      <c r="B55" s="252" t="s">
        <v>5097</v>
      </c>
      <c r="C55" s="253" t="s">
        <v>5098</v>
      </c>
      <c r="D55" s="253" t="s">
        <v>4924</v>
      </c>
      <c r="E55" s="252" t="s">
        <v>1732</v>
      </c>
      <c r="F55" s="253" t="s">
        <v>4910</v>
      </c>
      <c r="G55" s="252" t="s">
        <v>5021</v>
      </c>
      <c r="H55" s="252" t="s">
        <v>5010</v>
      </c>
      <c r="I55" s="254" t="s">
        <v>1736</v>
      </c>
      <c r="J55" s="254" t="s">
        <v>4913</v>
      </c>
      <c r="K55" s="254" t="s">
        <v>4913</v>
      </c>
      <c r="L55" s="255" t="s">
        <v>183</v>
      </c>
      <c r="M55" s="255" t="s">
        <v>183</v>
      </c>
      <c r="N55" s="252"/>
      <c r="O55" s="256">
        <v>44839</v>
      </c>
      <c r="P55" s="253" t="s">
        <v>5099</v>
      </c>
      <c r="Q55" s="252"/>
      <c r="R55" s="252"/>
      <c r="S55" s="252"/>
      <c r="T55" s="252"/>
      <c r="U55" s="256">
        <v>44839</v>
      </c>
      <c r="V55" s="252" t="s">
        <v>4803</v>
      </c>
    </row>
    <row r="56" spans="1:22">
      <c r="A56" s="252" t="s">
        <v>5100</v>
      </c>
      <c r="B56" s="252" t="s">
        <v>5101</v>
      </c>
      <c r="C56" s="253" t="s">
        <v>5102</v>
      </c>
      <c r="D56" s="253" t="s">
        <v>4930</v>
      </c>
      <c r="E56" s="252" t="s">
        <v>1732</v>
      </c>
      <c r="F56" s="253" t="s">
        <v>4910</v>
      </c>
      <c r="G56" s="252" t="s">
        <v>5026</v>
      </c>
      <c r="H56" s="252" t="s">
        <v>4912</v>
      </c>
      <c r="I56" s="254" t="s">
        <v>1736</v>
      </c>
      <c r="J56" s="254" t="s">
        <v>4913</v>
      </c>
      <c r="K56" s="254" t="s">
        <v>4913</v>
      </c>
      <c r="L56" s="255" t="s">
        <v>183</v>
      </c>
      <c r="M56" s="255" t="s">
        <v>183</v>
      </c>
      <c r="N56" s="252"/>
      <c r="O56" s="256">
        <v>44833</v>
      </c>
      <c r="P56" s="253" t="s">
        <v>5103</v>
      </c>
      <c r="Q56" s="252"/>
      <c r="R56" s="252"/>
      <c r="S56" s="252"/>
      <c r="T56" s="252"/>
      <c r="U56" s="256">
        <v>44833</v>
      </c>
      <c r="V56" s="252" t="s">
        <v>4803</v>
      </c>
    </row>
    <row r="57" spans="1:22">
      <c r="A57" s="252" t="s">
        <v>5104</v>
      </c>
      <c r="B57" s="252" t="s">
        <v>5105</v>
      </c>
      <c r="C57" s="253" t="s">
        <v>5106</v>
      </c>
      <c r="D57" s="253" t="s">
        <v>4936</v>
      </c>
      <c r="E57" s="252" t="s">
        <v>1732</v>
      </c>
      <c r="F57" s="253" t="s">
        <v>4910</v>
      </c>
      <c r="G57" s="252" t="s">
        <v>5031</v>
      </c>
      <c r="H57" s="252" t="s">
        <v>4912</v>
      </c>
      <c r="I57" s="254" t="s">
        <v>1736</v>
      </c>
      <c r="J57" s="254" t="s">
        <v>4913</v>
      </c>
      <c r="K57" s="254" t="s">
        <v>4913</v>
      </c>
      <c r="L57" s="255" t="s">
        <v>183</v>
      </c>
      <c r="M57" s="255" t="s">
        <v>183</v>
      </c>
      <c r="N57" s="252"/>
      <c r="O57" s="256">
        <v>44833</v>
      </c>
      <c r="P57" s="253" t="s">
        <v>5107</v>
      </c>
      <c r="Q57" s="252"/>
      <c r="R57" s="252"/>
      <c r="S57" s="252"/>
      <c r="T57" s="252"/>
      <c r="U57" s="256">
        <v>44833</v>
      </c>
      <c r="V57" s="252" t="s">
        <v>4803</v>
      </c>
    </row>
    <row r="58" spans="1:22">
      <c r="A58" s="252" t="s">
        <v>5108</v>
      </c>
      <c r="B58" s="252" t="s">
        <v>5109</v>
      </c>
      <c r="C58" s="253" t="s">
        <v>5110</v>
      </c>
      <c r="D58" s="253" t="s">
        <v>4942</v>
      </c>
      <c r="E58" s="252" t="s">
        <v>1743</v>
      </c>
      <c r="F58" s="253" t="s">
        <v>4910</v>
      </c>
      <c r="G58" s="252" t="s">
        <v>5036</v>
      </c>
      <c r="H58" s="252" t="s">
        <v>5037</v>
      </c>
      <c r="I58" s="254" t="s">
        <v>1736</v>
      </c>
      <c r="J58" s="254" t="s">
        <v>4913</v>
      </c>
      <c r="K58" s="254" t="s">
        <v>4913</v>
      </c>
      <c r="L58" s="255" t="s">
        <v>183</v>
      </c>
      <c r="M58" s="255" t="s">
        <v>183</v>
      </c>
      <c r="N58" s="252" t="s">
        <v>5038</v>
      </c>
      <c r="O58" s="256">
        <v>44833</v>
      </c>
      <c r="P58" s="253" t="s">
        <v>5111</v>
      </c>
      <c r="Q58" s="252"/>
      <c r="R58" s="252"/>
      <c r="S58" s="252"/>
      <c r="T58" s="252"/>
      <c r="U58" s="256">
        <v>44833</v>
      </c>
      <c r="V58" s="252" t="s">
        <v>4803</v>
      </c>
    </row>
    <row r="59" spans="1:22">
      <c r="A59" s="252" t="s">
        <v>5112</v>
      </c>
      <c r="B59" s="252" t="s">
        <v>5113</v>
      </c>
      <c r="C59" s="253" t="s">
        <v>5114</v>
      </c>
      <c r="D59" s="253" t="s">
        <v>4949</v>
      </c>
      <c r="E59" s="252" t="s">
        <v>1743</v>
      </c>
      <c r="F59" s="253" t="s">
        <v>4950</v>
      </c>
      <c r="G59" s="252" t="s">
        <v>5043</v>
      </c>
      <c r="H59" s="252" t="s">
        <v>4952</v>
      </c>
      <c r="I59" s="254" t="s">
        <v>1736</v>
      </c>
      <c r="J59" s="254" t="s">
        <v>4913</v>
      </c>
      <c r="K59" s="254" t="s">
        <v>4913</v>
      </c>
      <c r="L59" s="255" t="s">
        <v>183</v>
      </c>
      <c r="M59" s="255" t="s">
        <v>183</v>
      </c>
      <c r="N59" s="252"/>
      <c r="O59" s="256">
        <v>44833</v>
      </c>
      <c r="P59" s="253" t="s">
        <v>5115</v>
      </c>
      <c r="Q59" s="252"/>
      <c r="R59" s="252"/>
      <c r="S59" s="252"/>
      <c r="T59" s="252"/>
      <c r="U59" s="256">
        <v>44833</v>
      </c>
      <c r="V59" s="252" t="s">
        <v>4803</v>
      </c>
    </row>
    <row r="60" spans="1:22">
      <c r="A60" s="252" t="s">
        <v>5116</v>
      </c>
      <c r="B60" s="252" t="s">
        <v>5117</v>
      </c>
      <c r="C60" s="253" t="s">
        <v>5118</v>
      </c>
      <c r="D60" s="253" t="s">
        <v>4957</v>
      </c>
      <c r="E60" s="252" t="s">
        <v>1743</v>
      </c>
      <c r="F60" s="253" t="s">
        <v>4910</v>
      </c>
      <c r="G60" s="252" t="s">
        <v>5048</v>
      </c>
      <c r="H60" s="252" t="s">
        <v>5049</v>
      </c>
      <c r="I60" s="254" t="s">
        <v>1736</v>
      </c>
      <c r="J60" s="254" t="s">
        <v>4913</v>
      </c>
      <c r="K60" s="254" t="s">
        <v>4913</v>
      </c>
      <c r="L60" s="255" t="s">
        <v>183</v>
      </c>
      <c r="M60" s="255" t="s">
        <v>183</v>
      </c>
      <c r="N60" s="252"/>
      <c r="O60" s="256">
        <v>44833</v>
      </c>
      <c r="P60" s="253" t="s">
        <v>5119</v>
      </c>
      <c r="Q60" s="252"/>
      <c r="R60" s="252"/>
      <c r="S60" s="252"/>
      <c r="T60" s="252"/>
      <c r="U60" s="256">
        <v>44833</v>
      </c>
      <c r="V60" s="252" t="s">
        <v>4803</v>
      </c>
    </row>
    <row r="61" spans="1:22">
      <c r="A61" s="252" t="s">
        <v>5120</v>
      </c>
      <c r="B61" s="252" t="s">
        <v>5121</v>
      </c>
      <c r="C61" s="253" t="s">
        <v>5122</v>
      </c>
      <c r="D61" s="253" t="s">
        <v>4963</v>
      </c>
      <c r="E61" s="252" t="s">
        <v>1743</v>
      </c>
      <c r="F61" s="253" t="s">
        <v>4910</v>
      </c>
      <c r="G61" s="252" t="s">
        <v>5054</v>
      </c>
      <c r="H61" s="252" t="s">
        <v>5055</v>
      </c>
      <c r="I61" s="254" t="s">
        <v>1736</v>
      </c>
      <c r="J61" s="254" t="s">
        <v>4913</v>
      </c>
      <c r="K61" s="254" t="s">
        <v>4913</v>
      </c>
      <c r="L61" s="255" t="s">
        <v>183</v>
      </c>
      <c r="M61" s="255" t="s">
        <v>183</v>
      </c>
      <c r="N61" s="252"/>
      <c r="O61" s="256">
        <v>44833</v>
      </c>
      <c r="P61" s="253" t="s">
        <v>5123</v>
      </c>
      <c r="Q61" s="252"/>
      <c r="R61" s="252"/>
      <c r="S61" s="252"/>
      <c r="T61" s="252"/>
      <c r="U61" s="256">
        <v>44833</v>
      </c>
      <c r="V61" s="252" t="s">
        <v>4803</v>
      </c>
    </row>
    <row r="62" spans="1:22">
      <c r="A62" s="252" t="s">
        <v>5124</v>
      </c>
      <c r="B62" s="252" t="s">
        <v>5125</v>
      </c>
      <c r="C62" s="253" t="s">
        <v>5126</v>
      </c>
      <c r="D62" s="253" t="s">
        <v>4970</v>
      </c>
      <c r="E62" s="252" t="s">
        <v>1743</v>
      </c>
      <c r="F62" s="253" t="s">
        <v>4910</v>
      </c>
      <c r="G62" s="252" t="s">
        <v>5036</v>
      </c>
      <c r="H62" s="252" t="s">
        <v>5037</v>
      </c>
      <c r="I62" s="254" t="s">
        <v>1736</v>
      </c>
      <c r="J62" s="254" t="s">
        <v>4913</v>
      </c>
      <c r="K62" s="254" t="s">
        <v>4913</v>
      </c>
      <c r="L62" s="255" t="s">
        <v>183</v>
      </c>
      <c r="M62" s="255" t="s">
        <v>183</v>
      </c>
      <c r="N62" s="252" t="s">
        <v>5038</v>
      </c>
      <c r="O62" s="256">
        <v>44833</v>
      </c>
      <c r="P62" s="253" t="s">
        <v>5127</v>
      </c>
      <c r="Q62" s="252"/>
      <c r="R62" s="252"/>
      <c r="S62" s="252"/>
      <c r="T62" s="252"/>
      <c r="U62" s="256">
        <v>44833</v>
      </c>
      <c r="V62" s="252" t="s">
        <v>4803</v>
      </c>
    </row>
    <row r="63" spans="1:22">
      <c r="A63" s="252" t="s">
        <v>5128</v>
      </c>
      <c r="B63" s="252" t="s">
        <v>5129</v>
      </c>
      <c r="C63" s="253" t="s">
        <v>5130</v>
      </c>
      <c r="D63" s="253" t="s">
        <v>4976</v>
      </c>
      <c r="E63" s="252" t="s">
        <v>1743</v>
      </c>
      <c r="F63" s="253" t="s">
        <v>4950</v>
      </c>
      <c r="G63" s="252" t="s">
        <v>5064</v>
      </c>
      <c r="H63" s="252" t="s">
        <v>4952</v>
      </c>
      <c r="I63" s="254" t="s">
        <v>1736</v>
      </c>
      <c r="J63" s="254" t="s">
        <v>4913</v>
      </c>
      <c r="K63" s="254" t="s">
        <v>4913</v>
      </c>
      <c r="L63" s="255" t="s">
        <v>183</v>
      </c>
      <c r="M63" s="255" t="s">
        <v>183</v>
      </c>
      <c r="N63" s="252"/>
      <c r="O63" s="256">
        <v>44833</v>
      </c>
      <c r="P63" s="253" t="s">
        <v>5131</v>
      </c>
      <c r="Q63" s="252"/>
      <c r="R63" s="252"/>
      <c r="S63" s="252"/>
      <c r="T63" s="252"/>
      <c r="U63" s="256">
        <v>44833</v>
      </c>
      <c r="V63" s="252" t="s">
        <v>4803</v>
      </c>
    </row>
    <row r="64" spans="1:22">
      <c r="A64" s="252" t="s">
        <v>5132</v>
      </c>
      <c r="B64" s="252" t="s">
        <v>5133</v>
      </c>
      <c r="C64" s="253" t="s">
        <v>5134</v>
      </c>
      <c r="D64" s="253" t="s">
        <v>4982</v>
      </c>
      <c r="E64" s="252" t="s">
        <v>1743</v>
      </c>
      <c r="F64" s="253" t="s">
        <v>4910</v>
      </c>
      <c r="G64" s="252" t="s">
        <v>5069</v>
      </c>
      <c r="H64" s="252" t="s">
        <v>5049</v>
      </c>
      <c r="I64" s="254" t="s">
        <v>1736</v>
      </c>
      <c r="J64" s="254" t="s">
        <v>4913</v>
      </c>
      <c r="K64" s="254" t="s">
        <v>4913</v>
      </c>
      <c r="L64" s="255" t="s">
        <v>183</v>
      </c>
      <c r="M64" s="255" t="s">
        <v>183</v>
      </c>
      <c r="N64" s="252"/>
      <c r="O64" s="256">
        <v>44833</v>
      </c>
      <c r="P64" s="253" t="s">
        <v>5135</v>
      </c>
      <c r="Q64" s="252"/>
      <c r="R64" s="252"/>
      <c r="S64" s="252"/>
      <c r="T64" s="252"/>
      <c r="U64" s="256">
        <v>44833</v>
      </c>
      <c r="V64" s="252" t="s">
        <v>4803</v>
      </c>
    </row>
    <row r="65" spans="1:22">
      <c r="A65" s="252" t="s">
        <v>5136</v>
      </c>
      <c r="B65" s="252" t="s">
        <v>5137</v>
      </c>
      <c r="C65" s="253" t="s">
        <v>5138</v>
      </c>
      <c r="D65" s="253" t="s">
        <v>5074</v>
      </c>
      <c r="E65" s="252" t="s">
        <v>1743</v>
      </c>
      <c r="F65" s="253" t="s">
        <v>4988</v>
      </c>
      <c r="G65" s="252" t="s">
        <v>5075</v>
      </c>
      <c r="H65" s="252" t="s">
        <v>5076</v>
      </c>
      <c r="I65" s="254" t="s">
        <v>1736</v>
      </c>
      <c r="J65" s="254" t="s">
        <v>4913</v>
      </c>
      <c r="K65" s="254" t="s">
        <v>4913</v>
      </c>
      <c r="L65" s="255" t="s">
        <v>183</v>
      </c>
      <c r="M65" s="255" t="s">
        <v>183</v>
      </c>
      <c r="N65" s="252"/>
      <c r="O65" s="256">
        <v>44833</v>
      </c>
      <c r="P65" s="253" t="s">
        <v>5139</v>
      </c>
      <c r="Q65" s="252"/>
      <c r="R65" s="252"/>
      <c r="S65" s="252"/>
      <c r="T65" s="252"/>
      <c r="U65" s="256">
        <v>44833</v>
      </c>
      <c r="V65" s="252" t="s">
        <v>4803</v>
      </c>
    </row>
    <row r="66" spans="1:22">
      <c r="A66" s="252" t="s">
        <v>5140</v>
      </c>
      <c r="B66" s="252" t="s">
        <v>5141</v>
      </c>
      <c r="C66" s="253" t="s">
        <v>5142</v>
      </c>
      <c r="D66" s="253" t="s">
        <v>5142</v>
      </c>
      <c r="E66" s="252" t="s">
        <v>1732</v>
      </c>
      <c r="F66" s="253" t="s">
        <v>5143</v>
      </c>
      <c r="G66" s="252" t="s">
        <v>5144</v>
      </c>
      <c r="H66" s="252" t="s">
        <v>5145</v>
      </c>
      <c r="I66" s="254" t="s">
        <v>1736</v>
      </c>
      <c r="J66" s="254" t="s">
        <v>1736</v>
      </c>
      <c r="K66" s="254" t="s">
        <v>1736</v>
      </c>
      <c r="L66" s="255" t="s">
        <v>183</v>
      </c>
      <c r="M66" s="255" t="s">
        <v>183</v>
      </c>
      <c r="N66" s="252"/>
      <c r="O66" s="256">
        <v>44841</v>
      </c>
      <c r="P66" s="253" t="s">
        <v>5146</v>
      </c>
      <c r="Q66" s="252"/>
      <c r="R66" s="252"/>
      <c r="S66" s="252"/>
      <c r="T66" s="252"/>
      <c r="U66" s="256">
        <v>44841</v>
      </c>
      <c r="V66" s="252" t="s">
        <v>4803</v>
      </c>
    </row>
    <row r="67" spans="1:22">
      <c r="A67" s="252" t="s">
        <v>5147</v>
      </c>
      <c r="B67" s="252" t="s">
        <v>5148</v>
      </c>
      <c r="C67" s="253" t="s">
        <v>5149</v>
      </c>
      <c r="D67" s="253" t="s">
        <v>5149</v>
      </c>
      <c r="E67" s="252" t="s">
        <v>1732</v>
      </c>
      <c r="F67" s="253" t="s">
        <v>5143</v>
      </c>
      <c r="G67" s="252" t="s">
        <v>5150</v>
      </c>
      <c r="H67" s="252" t="s">
        <v>5151</v>
      </c>
      <c r="I67" s="254" t="s">
        <v>1736</v>
      </c>
      <c r="J67" s="254" t="s">
        <v>1736</v>
      </c>
      <c r="K67" s="254" t="s">
        <v>1736</v>
      </c>
      <c r="L67" s="255" t="s">
        <v>183</v>
      </c>
      <c r="M67" s="255" t="s">
        <v>183</v>
      </c>
      <c r="N67" s="252"/>
      <c r="O67" s="256">
        <v>44841</v>
      </c>
      <c r="P67" s="253" t="s">
        <v>5152</v>
      </c>
      <c r="Q67" s="252"/>
      <c r="R67" s="252"/>
      <c r="S67" s="252"/>
      <c r="T67" s="252"/>
      <c r="U67" s="256">
        <v>44841</v>
      </c>
      <c r="V67" s="252" t="s">
        <v>4803</v>
      </c>
    </row>
    <row r="68" spans="1:22">
      <c r="A68" s="252" t="s">
        <v>5153</v>
      </c>
      <c r="B68" s="252" t="s">
        <v>5154</v>
      </c>
      <c r="C68" s="253" t="s">
        <v>5155</v>
      </c>
      <c r="D68" s="253" t="s">
        <v>5155</v>
      </c>
      <c r="E68" s="252" t="s">
        <v>1732</v>
      </c>
      <c r="F68" s="253" t="s">
        <v>5156</v>
      </c>
      <c r="G68" s="252" t="s">
        <v>5157</v>
      </c>
      <c r="H68" s="252" t="s">
        <v>5145</v>
      </c>
      <c r="I68" s="254" t="s">
        <v>1736</v>
      </c>
      <c r="J68" s="254" t="s">
        <v>1736</v>
      </c>
      <c r="K68" s="254" t="s">
        <v>1736</v>
      </c>
      <c r="L68" s="255" t="s">
        <v>183</v>
      </c>
      <c r="M68" s="255" t="s">
        <v>183</v>
      </c>
      <c r="N68" s="252"/>
      <c r="O68" s="256">
        <v>44841</v>
      </c>
      <c r="P68" s="253" t="s">
        <v>5158</v>
      </c>
      <c r="Q68" s="252"/>
      <c r="R68" s="252"/>
      <c r="S68" s="252"/>
      <c r="T68" s="252"/>
      <c r="U68" s="256">
        <v>44841</v>
      </c>
      <c r="V68" s="252" t="s">
        <v>4803</v>
      </c>
    </row>
    <row r="69" spans="1:22">
      <c r="A69" s="252" t="s">
        <v>5159</v>
      </c>
      <c r="B69" s="252" t="s">
        <v>5160</v>
      </c>
      <c r="C69" s="253" t="s">
        <v>5161</v>
      </c>
      <c r="D69" s="253" t="s">
        <v>5161</v>
      </c>
      <c r="E69" s="252" t="s">
        <v>1732</v>
      </c>
      <c r="F69" s="253" t="s">
        <v>5156</v>
      </c>
      <c r="G69" s="252" t="s">
        <v>5162</v>
      </c>
      <c r="H69" s="252" t="s">
        <v>5151</v>
      </c>
      <c r="I69" s="254" t="s">
        <v>1736</v>
      </c>
      <c r="J69" s="254" t="s">
        <v>1736</v>
      </c>
      <c r="K69" s="254" t="s">
        <v>1736</v>
      </c>
      <c r="L69" s="255" t="s">
        <v>183</v>
      </c>
      <c r="M69" s="255" t="s">
        <v>183</v>
      </c>
      <c r="N69" s="252"/>
      <c r="O69" s="256">
        <v>44841</v>
      </c>
      <c r="P69" s="253" t="s">
        <v>5163</v>
      </c>
      <c r="Q69" s="252"/>
      <c r="R69" s="252"/>
      <c r="S69" s="252"/>
      <c r="T69" s="252"/>
      <c r="U69" s="256">
        <v>44841</v>
      </c>
      <c r="V69" s="252" t="s">
        <v>4803</v>
      </c>
    </row>
    <row r="70" spans="1:22">
      <c r="A70" s="252" t="s">
        <v>5164</v>
      </c>
      <c r="B70" s="252" t="s">
        <v>5165</v>
      </c>
      <c r="C70" s="253" t="s">
        <v>5166</v>
      </c>
      <c r="D70" s="253" t="s">
        <v>5166</v>
      </c>
      <c r="E70" s="252" t="s">
        <v>1732</v>
      </c>
      <c r="F70" s="253" t="s">
        <v>5167</v>
      </c>
      <c r="G70" s="252" t="s">
        <v>5168</v>
      </c>
      <c r="H70" s="252" t="s">
        <v>5145</v>
      </c>
      <c r="I70" s="254" t="s">
        <v>1736</v>
      </c>
      <c r="J70" s="254" t="s">
        <v>1736</v>
      </c>
      <c r="K70" s="254" t="s">
        <v>1736</v>
      </c>
      <c r="L70" s="255" t="s">
        <v>183</v>
      </c>
      <c r="M70" s="255" t="s">
        <v>183</v>
      </c>
      <c r="N70" s="252"/>
      <c r="O70" s="256">
        <v>44841</v>
      </c>
      <c r="P70" s="253" t="s">
        <v>5169</v>
      </c>
      <c r="Q70" s="252"/>
      <c r="R70" s="252"/>
      <c r="S70" s="252"/>
      <c r="T70" s="252"/>
      <c r="U70" s="256">
        <v>44841</v>
      </c>
      <c r="V70" s="252" t="s">
        <v>4803</v>
      </c>
    </row>
    <row r="71" spans="1:22">
      <c r="A71" s="252" t="s">
        <v>5170</v>
      </c>
      <c r="B71" s="252" t="s">
        <v>5171</v>
      </c>
      <c r="C71" s="253" t="s">
        <v>5172</v>
      </c>
      <c r="D71" s="253" t="s">
        <v>5172</v>
      </c>
      <c r="E71" s="252" t="s">
        <v>1732</v>
      </c>
      <c r="F71" s="253" t="s">
        <v>5167</v>
      </c>
      <c r="G71" s="252" t="s">
        <v>5173</v>
      </c>
      <c r="H71" s="252" t="s">
        <v>5151</v>
      </c>
      <c r="I71" s="254" t="s">
        <v>1736</v>
      </c>
      <c r="J71" s="254" t="s">
        <v>1736</v>
      </c>
      <c r="K71" s="254" t="s">
        <v>1736</v>
      </c>
      <c r="L71" s="255" t="s">
        <v>183</v>
      </c>
      <c r="M71" s="255" t="s">
        <v>183</v>
      </c>
      <c r="N71" s="252"/>
      <c r="O71" s="256">
        <v>44841</v>
      </c>
      <c r="P71" s="253" t="s">
        <v>5174</v>
      </c>
      <c r="Q71" s="252"/>
      <c r="R71" s="252"/>
      <c r="S71" s="252"/>
      <c r="T71" s="252"/>
      <c r="U71" s="256">
        <v>44841</v>
      </c>
      <c r="V71" s="252" t="s">
        <v>4803</v>
      </c>
    </row>
    <row r="72" spans="1:22">
      <c r="A72" s="252" t="s">
        <v>5175</v>
      </c>
      <c r="B72" s="252" t="s">
        <v>5176</v>
      </c>
      <c r="C72" s="253" t="s">
        <v>5177</v>
      </c>
      <c r="D72" s="253" t="s">
        <v>5177</v>
      </c>
      <c r="E72" s="252" t="s">
        <v>1732</v>
      </c>
      <c r="F72" s="253" t="s">
        <v>5178</v>
      </c>
      <c r="G72" s="252" t="s">
        <v>5179</v>
      </c>
      <c r="H72" s="252" t="s">
        <v>5180</v>
      </c>
      <c r="I72" s="254" t="s">
        <v>1736</v>
      </c>
      <c r="J72" s="254" t="s">
        <v>1736</v>
      </c>
      <c r="K72" s="254" t="s">
        <v>1736</v>
      </c>
      <c r="L72" s="255" t="s">
        <v>183</v>
      </c>
      <c r="M72" s="255" t="s">
        <v>183</v>
      </c>
      <c r="N72" s="252"/>
      <c r="O72" s="256">
        <v>44845</v>
      </c>
      <c r="P72" s="253" t="s">
        <v>5181</v>
      </c>
      <c r="Q72" s="252"/>
      <c r="R72" s="252"/>
      <c r="S72" s="252"/>
      <c r="T72" s="252"/>
      <c r="U72" s="256">
        <v>44845</v>
      </c>
      <c r="V72" s="252" t="s">
        <v>4803</v>
      </c>
    </row>
    <row r="73" spans="1:22">
      <c r="A73" s="252" t="s">
        <v>5182</v>
      </c>
      <c r="B73" s="252" t="s">
        <v>5183</v>
      </c>
      <c r="C73" s="253" t="s">
        <v>5184</v>
      </c>
      <c r="D73" s="253" t="s">
        <v>5185</v>
      </c>
      <c r="E73" s="252" t="s">
        <v>1732</v>
      </c>
      <c r="F73" s="253" t="s">
        <v>5186</v>
      </c>
      <c r="G73" s="252" t="s">
        <v>5187</v>
      </c>
      <c r="H73" s="252" t="s">
        <v>5188</v>
      </c>
      <c r="I73" s="254" t="s">
        <v>1736</v>
      </c>
      <c r="J73" s="254" t="s">
        <v>1736</v>
      </c>
      <c r="K73" s="254" t="s">
        <v>1736</v>
      </c>
      <c r="L73" s="255" t="s">
        <v>183</v>
      </c>
      <c r="M73" s="255" t="s">
        <v>183</v>
      </c>
      <c r="N73" s="252"/>
      <c r="O73" s="256">
        <v>44845</v>
      </c>
      <c r="P73" s="253" t="s">
        <v>5189</v>
      </c>
      <c r="Q73" s="252"/>
      <c r="R73" s="252"/>
      <c r="S73" s="252"/>
      <c r="T73" s="252"/>
      <c r="U73" s="256">
        <v>44845</v>
      </c>
      <c r="V73" s="252" t="s">
        <v>4803</v>
      </c>
    </row>
    <row r="74" spans="1:22">
      <c r="A74" s="252" t="s">
        <v>5190</v>
      </c>
      <c r="B74" s="252" t="s">
        <v>5191</v>
      </c>
      <c r="C74" s="253" t="s">
        <v>5192</v>
      </c>
      <c r="D74" s="253" t="s">
        <v>5193</v>
      </c>
      <c r="E74" s="252" t="s">
        <v>1732</v>
      </c>
      <c r="F74" s="253" t="s">
        <v>5194</v>
      </c>
      <c r="G74" s="252" t="s">
        <v>5195</v>
      </c>
      <c r="H74" s="252" t="s">
        <v>5188</v>
      </c>
      <c r="I74" s="254" t="s">
        <v>1736</v>
      </c>
      <c r="J74" s="254" t="s">
        <v>1736</v>
      </c>
      <c r="K74" s="254" t="s">
        <v>1736</v>
      </c>
      <c r="L74" s="255" t="s">
        <v>183</v>
      </c>
      <c r="M74" s="255" t="s">
        <v>183</v>
      </c>
      <c r="N74" s="252"/>
      <c r="O74" s="256">
        <v>44845</v>
      </c>
      <c r="P74" s="253" t="s">
        <v>5196</v>
      </c>
      <c r="Q74" s="252"/>
      <c r="R74" s="252"/>
      <c r="S74" s="252"/>
      <c r="T74" s="252"/>
      <c r="U74" s="256">
        <v>44845</v>
      </c>
      <c r="V74" s="252" t="s">
        <v>4803</v>
      </c>
    </row>
    <row r="75" spans="1:22">
      <c r="A75" s="252" t="s">
        <v>5197</v>
      </c>
      <c r="B75" s="252" t="s">
        <v>5198</v>
      </c>
      <c r="C75" s="253" t="s">
        <v>5199</v>
      </c>
      <c r="D75" s="253" t="s">
        <v>5200</v>
      </c>
      <c r="E75" s="252" t="s">
        <v>1732</v>
      </c>
      <c r="F75" s="253" t="s">
        <v>5194</v>
      </c>
      <c r="G75" s="252" t="s">
        <v>5201</v>
      </c>
      <c r="H75" s="252" t="s">
        <v>5202</v>
      </c>
      <c r="I75" s="254" t="s">
        <v>1736</v>
      </c>
      <c r="J75" s="254" t="s">
        <v>1736</v>
      </c>
      <c r="K75" s="254" t="s">
        <v>1736</v>
      </c>
      <c r="L75" s="255" t="s">
        <v>183</v>
      </c>
      <c r="M75" s="255" t="s">
        <v>183</v>
      </c>
      <c r="N75" s="252"/>
      <c r="O75" s="256">
        <v>44845</v>
      </c>
      <c r="P75" s="253" t="s">
        <v>5203</v>
      </c>
      <c r="Q75" s="252"/>
      <c r="R75" s="252"/>
      <c r="S75" s="252"/>
      <c r="T75" s="252"/>
      <c r="U75" s="256">
        <v>44845</v>
      </c>
      <c r="V75" s="252" t="s">
        <v>4803</v>
      </c>
    </row>
    <row r="76" spans="1:22">
      <c r="A76" s="252" t="s">
        <v>5204</v>
      </c>
      <c r="B76" s="252" t="s">
        <v>5205</v>
      </c>
      <c r="C76" s="253" t="s">
        <v>5206</v>
      </c>
      <c r="D76" s="253" t="s">
        <v>5207</v>
      </c>
      <c r="E76" s="252" t="s">
        <v>1732</v>
      </c>
      <c r="F76" s="253" t="s">
        <v>5208</v>
      </c>
      <c r="G76" s="252" t="s">
        <v>5209</v>
      </c>
      <c r="H76" s="252" t="s">
        <v>5210</v>
      </c>
      <c r="I76" s="254" t="s">
        <v>1736</v>
      </c>
      <c r="J76" s="254" t="s">
        <v>1736</v>
      </c>
      <c r="K76" s="254" t="s">
        <v>4913</v>
      </c>
      <c r="L76" s="255" t="s">
        <v>183</v>
      </c>
      <c r="M76" s="255" t="s">
        <v>183</v>
      </c>
      <c r="N76" s="252"/>
      <c r="O76" s="256">
        <v>44845</v>
      </c>
      <c r="P76" s="253" t="s">
        <v>5211</v>
      </c>
      <c r="Q76" s="252"/>
      <c r="R76" s="252"/>
      <c r="S76" s="252"/>
      <c r="T76" s="252"/>
      <c r="U76" s="256">
        <v>44845</v>
      </c>
      <c r="V76" s="252" t="s">
        <v>4803</v>
      </c>
    </row>
    <row r="77" spans="1:22">
      <c r="A77" s="252" t="s">
        <v>5212</v>
      </c>
      <c r="B77" s="252" t="s">
        <v>5213</v>
      </c>
      <c r="C77" s="253" t="s">
        <v>5214</v>
      </c>
      <c r="D77" s="253" t="s">
        <v>5207</v>
      </c>
      <c r="E77" s="252" t="s">
        <v>1732</v>
      </c>
      <c r="F77" s="253" t="s">
        <v>5208</v>
      </c>
      <c r="G77" s="252" t="s">
        <v>5215</v>
      </c>
      <c r="H77" s="252" t="s">
        <v>5210</v>
      </c>
      <c r="I77" s="254" t="s">
        <v>1736</v>
      </c>
      <c r="J77" s="254" t="s">
        <v>1736</v>
      </c>
      <c r="K77" s="254" t="s">
        <v>4913</v>
      </c>
      <c r="L77" s="255" t="s">
        <v>183</v>
      </c>
      <c r="M77" s="255" t="s">
        <v>183</v>
      </c>
      <c r="N77" s="252"/>
      <c r="O77" s="256">
        <v>44845</v>
      </c>
      <c r="P77" s="253" t="s">
        <v>5216</v>
      </c>
      <c r="Q77" s="252"/>
      <c r="R77" s="252"/>
      <c r="S77" s="252"/>
      <c r="T77" s="252"/>
      <c r="U77" s="256">
        <v>44845</v>
      </c>
      <c r="V77" s="252" t="s">
        <v>4803</v>
      </c>
    </row>
    <row r="78" spans="1:22">
      <c r="A78" s="252" t="s">
        <v>5217</v>
      </c>
      <c r="B78" s="252" t="s">
        <v>5218</v>
      </c>
      <c r="C78" s="253" t="s">
        <v>5219</v>
      </c>
      <c r="D78" s="253" t="s">
        <v>5207</v>
      </c>
      <c r="E78" s="252" t="s">
        <v>1732</v>
      </c>
      <c r="F78" s="253" t="s">
        <v>5208</v>
      </c>
      <c r="G78" s="252" t="s">
        <v>5220</v>
      </c>
      <c r="H78" s="252" t="s">
        <v>5210</v>
      </c>
      <c r="I78" s="254" t="s">
        <v>1736</v>
      </c>
      <c r="J78" s="254" t="s">
        <v>1736</v>
      </c>
      <c r="K78" s="254" t="s">
        <v>4913</v>
      </c>
      <c r="L78" s="255" t="s">
        <v>183</v>
      </c>
      <c r="M78" s="255" t="s">
        <v>183</v>
      </c>
      <c r="N78" s="252"/>
      <c r="O78" s="256">
        <v>44845</v>
      </c>
      <c r="P78" s="253" t="s">
        <v>5221</v>
      </c>
      <c r="Q78" s="252"/>
      <c r="R78" s="252"/>
      <c r="S78" s="252"/>
      <c r="T78" s="252"/>
      <c r="U78" s="256">
        <v>44845</v>
      </c>
      <c r="V78" s="252" t="s">
        <v>4803</v>
      </c>
    </row>
    <row r="79" spans="1:22">
      <c r="A79" s="252" t="s">
        <v>5222</v>
      </c>
      <c r="B79" s="252" t="s">
        <v>5223</v>
      </c>
      <c r="C79" s="253" t="s">
        <v>5224</v>
      </c>
      <c r="D79" s="253" t="s">
        <v>5207</v>
      </c>
      <c r="E79" s="252" t="s">
        <v>1732</v>
      </c>
      <c r="F79" s="253" t="s">
        <v>5208</v>
      </c>
      <c r="G79" s="252" t="s">
        <v>5209</v>
      </c>
      <c r="H79" s="252" t="s">
        <v>5210</v>
      </c>
      <c r="I79" s="254" t="s">
        <v>1736</v>
      </c>
      <c r="J79" s="254" t="s">
        <v>1736</v>
      </c>
      <c r="K79" s="254" t="s">
        <v>4913</v>
      </c>
      <c r="L79" s="255" t="s">
        <v>183</v>
      </c>
      <c r="M79" s="255" t="s">
        <v>183</v>
      </c>
      <c r="N79" s="252"/>
      <c r="O79" s="256">
        <v>44845</v>
      </c>
      <c r="P79" s="253" t="s">
        <v>5225</v>
      </c>
      <c r="Q79" s="252"/>
      <c r="R79" s="252"/>
      <c r="S79" s="252"/>
      <c r="T79" s="252"/>
      <c r="U79" s="256">
        <v>44845</v>
      </c>
      <c r="V79" s="252" t="s">
        <v>4803</v>
      </c>
    </row>
    <row r="80" spans="1:22">
      <c r="A80" s="252" t="s">
        <v>5226</v>
      </c>
      <c r="B80" s="252" t="s">
        <v>5227</v>
      </c>
      <c r="C80" s="253" t="s">
        <v>5228</v>
      </c>
      <c r="D80" s="253" t="s">
        <v>5207</v>
      </c>
      <c r="E80" s="252" t="s">
        <v>1732</v>
      </c>
      <c r="F80" s="253" t="s">
        <v>5208</v>
      </c>
      <c r="G80" s="252" t="s">
        <v>5229</v>
      </c>
      <c r="H80" s="252" t="s">
        <v>5210</v>
      </c>
      <c r="I80" s="254" t="s">
        <v>1736</v>
      </c>
      <c r="J80" s="254" t="s">
        <v>1736</v>
      </c>
      <c r="K80" s="254" t="s">
        <v>4913</v>
      </c>
      <c r="L80" s="255" t="s">
        <v>183</v>
      </c>
      <c r="M80" s="255" t="s">
        <v>183</v>
      </c>
      <c r="N80" s="252"/>
      <c r="O80" s="256">
        <v>44845</v>
      </c>
      <c r="P80" s="253" t="s">
        <v>5230</v>
      </c>
      <c r="Q80" s="252"/>
      <c r="R80" s="252"/>
      <c r="S80" s="252"/>
      <c r="T80" s="252"/>
      <c r="U80" s="256">
        <v>44845</v>
      </c>
      <c r="V80" s="252" t="s">
        <v>4803</v>
      </c>
    </row>
    <row r="81" spans="1:22">
      <c r="A81" s="703" t="s">
        <v>5231</v>
      </c>
      <c r="B81" s="252" t="s">
        <v>5232</v>
      </c>
      <c r="C81" s="253" t="s">
        <v>5233</v>
      </c>
      <c r="D81" s="253" t="s">
        <v>5234</v>
      </c>
      <c r="E81" s="252" t="s">
        <v>1732</v>
      </c>
      <c r="F81" s="253" t="s">
        <v>5235</v>
      </c>
      <c r="G81" s="252" t="s">
        <v>5236</v>
      </c>
      <c r="H81" s="252" t="s">
        <v>5237</v>
      </c>
      <c r="I81" s="254" t="s">
        <v>1736</v>
      </c>
      <c r="J81" s="254" t="s">
        <v>1736</v>
      </c>
      <c r="K81" s="254" t="s">
        <v>4913</v>
      </c>
      <c r="L81" s="255" t="s">
        <v>183</v>
      </c>
      <c r="M81" s="255" t="s">
        <v>183</v>
      </c>
      <c r="N81" s="252"/>
      <c r="O81" s="256">
        <v>44848</v>
      </c>
      <c r="P81" s="253" t="s">
        <v>5238</v>
      </c>
      <c r="Q81" s="252"/>
      <c r="R81" s="252"/>
      <c r="S81" s="252"/>
      <c r="T81" s="252"/>
      <c r="U81" s="256">
        <v>44848</v>
      </c>
      <c r="V81" s="252" t="s">
        <v>4803</v>
      </c>
    </row>
    <row r="82" spans="1:22">
      <c r="A82" s="774"/>
      <c r="B82" s="252" t="s">
        <v>5239</v>
      </c>
      <c r="C82" s="253" t="s">
        <v>5233</v>
      </c>
      <c r="D82" s="253" t="s">
        <v>5240</v>
      </c>
      <c r="E82" s="252" t="s">
        <v>1732</v>
      </c>
      <c r="F82" s="253" t="s">
        <v>5241</v>
      </c>
      <c r="G82" s="252" t="s">
        <v>5242</v>
      </c>
      <c r="H82" s="252" t="s">
        <v>5243</v>
      </c>
      <c r="I82" s="254" t="s">
        <v>1736</v>
      </c>
      <c r="J82" s="254" t="s">
        <v>1736</v>
      </c>
      <c r="K82" s="254" t="s">
        <v>4913</v>
      </c>
      <c r="L82" s="255" t="s">
        <v>183</v>
      </c>
      <c r="M82" s="255" t="s">
        <v>183</v>
      </c>
      <c r="N82" s="252"/>
      <c r="O82" s="256">
        <v>44848</v>
      </c>
      <c r="P82" s="253" t="s">
        <v>5238</v>
      </c>
      <c r="Q82" s="252"/>
      <c r="R82" s="252"/>
      <c r="S82" s="252"/>
      <c r="T82" s="252"/>
      <c r="U82" s="256">
        <v>44848</v>
      </c>
      <c r="V82" s="252" t="s">
        <v>4803</v>
      </c>
    </row>
    <row r="83" spans="1:22">
      <c r="A83" s="774"/>
      <c r="B83" s="252" t="s">
        <v>5244</v>
      </c>
      <c r="C83" s="253" t="s">
        <v>5233</v>
      </c>
      <c r="D83" s="253" t="s">
        <v>5245</v>
      </c>
      <c r="E83" s="252" t="s">
        <v>1732</v>
      </c>
      <c r="F83" s="253" t="s">
        <v>5241</v>
      </c>
      <c r="G83" s="252" t="s">
        <v>5246</v>
      </c>
      <c r="H83" s="252" t="s">
        <v>5243</v>
      </c>
      <c r="I83" s="254" t="s">
        <v>1736</v>
      </c>
      <c r="J83" s="254" t="s">
        <v>1736</v>
      </c>
      <c r="K83" s="254" t="s">
        <v>4913</v>
      </c>
      <c r="L83" s="255" t="s">
        <v>183</v>
      </c>
      <c r="M83" s="255" t="s">
        <v>183</v>
      </c>
      <c r="N83" s="252"/>
      <c r="O83" s="256">
        <v>44848</v>
      </c>
      <c r="P83" s="253" t="s">
        <v>5238</v>
      </c>
      <c r="Q83" s="252"/>
      <c r="R83" s="252"/>
      <c r="S83" s="252"/>
      <c r="T83" s="252"/>
      <c r="U83" s="256">
        <v>44848</v>
      </c>
      <c r="V83" s="252" t="s">
        <v>4803</v>
      </c>
    </row>
    <row r="84" spans="1:22">
      <c r="A84" s="774"/>
      <c r="B84" s="252" t="s">
        <v>5247</v>
      </c>
      <c r="C84" s="253" t="s">
        <v>5233</v>
      </c>
      <c r="D84" s="253" t="s">
        <v>5248</v>
      </c>
      <c r="E84" s="252" t="s">
        <v>1732</v>
      </c>
      <c r="F84" s="253" t="s">
        <v>5235</v>
      </c>
      <c r="G84" s="252" t="s">
        <v>5249</v>
      </c>
      <c r="H84" s="252" t="s">
        <v>5250</v>
      </c>
      <c r="I84" s="254" t="s">
        <v>1736</v>
      </c>
      <c r="J84" s="254" t="s">
        <v>1736</v>
      </c>
      <c r="K84" s="254" t="s">
        <v>4913</v>
      </c>
      <c r="L84" s="255" t="s">
        <v>183</v>
      </c>
      <c r="M84" s="255" t="s">
        <v>183</v>
      </c>
      <c r="N84" s="252"/>
      <c r="O84" s="256">
        <v>44848</v>
      </c>
      <c r="P84" s="253" t="s">
        <v>5238</v>
      </c>
      <c r="Q84" s="252"/>
      <c r="R84" s="252"/>
      <c r="S84" s="252"/>
      <c r="T84" s="252"/>
      <c r="U84" s="256">
        <v>44848</v>
      </c>
      <c r="V84" s="252" t="s">
        <v>4803</v>
      </c>
    </row>
    <row r="85" spans="1:22">
      <c r="A85" s="774"/>
      <c r="B85" s="252" t="s">
        <v>5251</v>
      </c>
      <c r="C85" s="253" t="s">
        <v>5233</v>
      </c>
      <c r="D85" s="253" t="s">
        <v>5252</v>
      </c>
      <c r="E85" s="252" t="s">
        <v>1743</v>
      </c>
      <c r="F85" s="253" t="s">
        <v>5235</v>
      </c>
      <c r="G85" s="252" t="s">
        <v>5253</v>
      </c>
      <c r="H85" s="252" t="s">
        <v>5254</v>
      </c>
      <c r="I85" s="254" t="s">
        <v>1736</v>
      </c>
      <c r="J85" s="254" t="s">
        <v>1736</v>
      </c>
      <c r="K85" s="254" t="s">
        <v>4913</v>
      </c>
      <c r="L85" s="255" t="s">
        <v>183</v>
      </c>
      <c r="M85" s="255" t="s">
        <v>183</v>
      </c>
      <c r="N85" s="252"/>
      <c r="O85" s="256">
        <v>44848</v>
      </c>
      <c r="P85" s="253" t="s">
        <v>5238</v>
      </c>
      <c r="Q85" s="252"/>
      <c r="R85" s="252"/>
      <c r="S85" s="252"/>
      <c r="T85" s="252"/>
      <c r="U85" s="256">
        <v>44848</v>
      </c>
      <c r="V85" s="252" t="s">
        <v>4803</v>
      </c>
    </row>
    <row r="86" spans="1:22">
      <c r="A86" s="774"/>
      <c r="B86" s="252" t="s">
        <v>5255</v>
      </c>
      <c r="C86" s="253" t="s">
        <v>5233</v>
      </c>
      <c r="D86" s="253" t="s">
        <v>5256</v>
      </c>
      <c r="E86" s="252" t="s">
        <v>1732</v>
      </c>
      <c r="F86" s="253" t="s">
        <v>5235</v>
      </c>
      <c r="G86" s="252" t="s">
        <v>5257</v>
      </c>
      <c r="H86" s="252" t="s">
        <v>5258</v>
      </c>
      <c r="I86" s="254" t="s">
        <v>1736</v>
      </c>
      <c r="J86" s="254" t="s">
        <v>1736</v>
      </c>
      <c r="K86" s="254" t="s">
        <v>1736</v>
      </c>
      <c r="L86" s="255" t="s">
        <v>183</v>
      </c>
      <c r="M86" s="255" t="s">
        <v>183</v>
      </c>
      <c r="N86" s="252"/>
      <c r="O86" s="256">
        <v>44848</v>
      </c>
      <c r="P86" s="253" t="s">
        <v>5238</v>
      </c>
      <c r="Q86" s="252"/>
      <c r="R86" s="252"/>
      <c r="S86" s="252"/>
      <c r="T86" s="252"/>
      <c r="U86" s="256">
        <v>44848</v>
      </c>
      <c r="V86" s="252" t="s">
        <v>4803</v>
      </c>
    </row>
    <row r="87" spans="1:22">
      <c r="A87" s="774"/>
      <c r="B87" s="252" t="s">
        <v>5259</v>
      </c>
      <c r="C87" s="253" t="s">
        <v>5233</v>
      </c>
      <c r="D87" s="253" t="s">
        <v>5260</v>
      </c>
      <c r="E87" s="252" t="s">
        <v>1732</v>
      </c>
      <c r="F87" s="253" t="s">
        <v>5235</v>
      </c>
      <c r="G87" s="252" t="s">
        <v>5261</v>
      </c>
      <c r="H87" s="252" t="s">
        <v>5262</v>
      </c>
      <c r="I87" s="254" t="s">
        <v>1736</v>
      </c>
      <c r="J87" s="254" t="s">
        <v>1736</v>
      </c>
      <c r="K87" s="254" t="s">
        <v>1736</v>
      </c>
      <c r="L87" s="255" t="s">
        <v>183</v>
      </c>
      <c r="M87" s="255" t="s">
        <v>183</v>
      </c>
      <c r="N87" s="252"/>
      <c r="O87" s="256">
        <v>44848</v>
      </c>
      <c r="P87" s="253" t="s">
        <v>5238</v>
      </c>
      <c r="Q87" s="252"/>
      <c r="R87" s="252"/>
      <c r="S87" s="252"/>
      <c r="T87" s="252"/>
      <c r="U87" s="256">
        <v>44848</v>
      </c>
      <c r="V87" s="252" t="s">
        <v>4803</v>
      </c>
    </row>
    <row r="88" spans="1:22">
      <c r="A88" s="774"/>
      <c r="B88" s="252" t="s">
        <v>5263</v>
      </c>
      <c r="C88" s="253" t="s">
        <v>5233</v>
      </c>
      <c r="D88" s="253" t="s">
        <v>5264</v>
      </c>
      <c r="E88" s="252" t="s">
        <v>1732</v>
      </c>
      <c r="F88" s="253" t="s">
        <v>5235</v>
      </c>
      <c r="G88" s="252" t="s">
        <v>5249</v>
      </c>
      <c r="H88" s="252" t="s">
        <v>5265</v>
      </c>
      <c r="I88" s="254" t="s">
        <v>1736</v>
      </c>
      <c r="J88" s="254" t="s">
        <v>1736</v>
      </c>
      <c r="K88" s="254" t="s">
        <v>1736</v>
      </c>
      <c r="L88" s="255" t="s">
        <v>183</v>
      </c>
      <c r="M88" s="255" t="s">
        <v>183</v>
      </c>
      <c r="N88" s="252"/>
      <c r="O88" s="256">
        <v>44848</v>
      </c>
      <c r="P88" s="253" t="s">
        <v>5238</v>
      </c>
      <c r="Q88" s="252"/>
      <c r="R88" s="252"/>
      <c r="S88" s="252"/>
      <c r="T88" s="252"/>
      <c r="U88" s="256">
        <v>44848</v>
      </c>
      <c r="V88" s="252" t="s">
        <v>4803</v>
      </c>
    </row>
    <row r="89" spans="1:22">
      <c r="A89" s="774"/>
      <c r="B89" s="252" t="s">
        <v>5266</v>
      </c>
      <c r="C89" s="253" t="s">
        <v>5233</v>
      </c>
      <c r="D89" s="253" t="s">
        <v>5267</v>
      </c>
      <c r="E89" s="252" t="s">
        <v>1732</v>
      </c>
      <c r="F89" s="253" t="s">
        <v>5235</v>
      </c>
      <c r="G89" s="252" t="s">
        <v>5268</v>
      </c>
      <c r="H89" s="252" t="s">
        <v>5269</v>
      </c>
      <c r="I89" s="254" t="s">
        <v>1736</v>
      </c>
      <c r="J89" s="254" t="s">
        <v>1736</v>
      </c>
      <c r="K89" s="254" t="s">
        <v>1736</v>
      </c>
      <c r="L89" s="255" t="s">
        <v>183</v>
      </c>
      <c r="M89" s="255" t="s">
        <v>183</v>
      </c>
      <c r="N89" s="252"/>
      <c r="O89" s="256">
        <v>44848</v>
      </c>
      <c r="P89" s="253" t="s">
        <v>5238</v>
      </c>
      <c r="Q89" s="252"/>
      <c r="R89" s="252"/>
      <c r="S89" s="252"/>
      <c r="T89" s="252"/>
      <c r="U89" s="256">
        <v>44848</v>
      </c>
      <c r="V89" s="252" t="s">
        <v>4803</v>
      </c>
    </row>
    <row r="90" spans="1:22">
      <c r="A90" s="773"/>
      <c r="B90" s="252" t="s">
        <v>5270</v>
      </c>
      <c r="C90" s="253" t="s">
        <v>5233</v>
      </c>
      <c r="D90" s="253" t="s">
        <v>5271</v>
      </c>
      <c r="E90" s="252" t="s">
        <v>1732</v>
      </c>
      <c r="F90" s="253" t="s">
        <v>5235</v>
      </c>
      <c r="G90" s="252" t="s">
        <v>5272</v>
      </c>
      <c r="H90" s="252" t="s">
        <v>5273</v>
      </c>
      <c r="I90" s="254" t="s">
        <v>1736</v>
      </c>
      <c r="J90" s="254" t="s">
        <v>1736</v>
      </c>
      <c r="K90" s="254" t="s">
        <v>1736</v>
      </c>
      <c r="L90" s="255" t="s">
        <v>183</v>
      </c>
      <c r="M90" s="255" t="s">
        <v>183</v>
      </c>
      <c r="N90" s="252"/>
      <c r="O90" s="256">
        <v>44848</v>
      </c>
      <c r="P90" s="253" t="s">
        <v>5238</v>
      </c>
      <c r="Q90" s="252"/>
      <c r="R90" s="252"/>
      <c r="S90" s="252"/>
      <c r="T90" s="252"/>
      <c r="U90" s="256">
        <v>44848</v>
      </c>
      <c r="V90" s="252" t="s">
        <v>4803</v>
      </c>
    </row>
    <row r="91" spans="1:22">
      <c r="A91" s="252" t="s">
        <v>5274</v>
      </c>
      <c r="B91" s="252" t="s">
        <v>5275</v>
      </c>
      <c r="C91" s="253" t="s">
        <v>5276</v>
      </c>
      <c r="D91" s="253" t="s">
        <v>5277</v>
      </c>
      <c r="E91" s="252" t="s">
        <v>1732</v>
      </c>
      <c r="F91" s="253" t="s">
        <v>5278</v>
      </c>
      <c r="G91" s="252" t="s">
        <v>5279</v>
      </c>
      <c r="H91" s="252" t="s">
        <v>5280</v>
      </c>
      <c r="I91" s="254" t="s">
        <v>1736</v>
      </c>
      <c r="J91" s="254" t="s">
        <v>4913</v>
      </c>
      <c r="K91" s="254" t="s">
        <v>4913</v>
      </c>
      <c r="L91" s="255" t="s">
        <v>183</v>
      </c>
      <c r="M91" s="255" t="s">
        <v>183</v>
      </c>
      <c r="N91" s="252"/>
      <c r="O91" s="256">
        <v>44855</v>
      </c>
      <c r="P91" s="253" t="s">
        <v>5281</v>
      </c>
      <c r="Q91" s="252"/>
      <c r="R91" s="252"/>
      <c r="S91" s="252"/>
      <c r="T91" s="252"/>
      <c r="U91" s="256">
        <v>44855</v>
      </c>
      <c r="V91" s="252" t="s">
        <v>4803</v>
      </c>
    </row>
    <row r="92" spans="1:22">
      <c r="A92" s="252" t="s">
        <v>5282</v>
      </c>
      <c r="B92" s="252" t="s">
        <v>5283</v>
      </c>
      <c r="C92" s="253" t="s">
        <v>5284</v>
      </c>
      <c r="D92" s="253" t="s">
        <v>5285</v>
      </c>
      <c r="E92" s="252" t="s">
        <v>1743</v>
      </c>
      <c r="F92" s="253" t="s">
        <v>5286</v>
      </c>
      <c r="G92" s="252" t="s">
        <v>5287</v>
      </c>
      <c r="H92" s="252" t="s">
        <v>5288</v>
      </c>
      <c r="I92" s="254" t="s">
        <v>1736</v>
      </c>
      <c r="J92" s="254" t="s">
        <v>4913</v>
      </c>
      <c r="K92" s="254" t="s">
        <v>4913</v>
      </c>
      <c r="L92" s="255" t="s">
        <v>183</v>
      </c>
      <c r="M92" s="255" t="s">
        <v>183</v>
      </c>
      <c r="N92" s="252"/>
      <c r="O92" s="256">
        <v>44855</v>
      </c>
      <c r="P92" s="253" t="s">
        <v>5289</v>
      </c>
      <c r="Q92" s="252"/>
      <c r="R92" s="252"/>
      <c r="S92" s="252"/>
      <c r="T92" s="252"/>
      <c r="U92" s="256">
        <v>44855</v>
      </c>
      <c r="V92" s="252" t="s">
        <v>4803</v>
      </c>
    </row>
    <row r="93" spans="1:22">
      <c r="A93" s="252" t="s">
        <v>5290</v>
      </c>
      <c r="B93" s="252" t="s">
        <v>5291</v>
      </c>
      <c r="C93" s="253" t="s">
        <v>5292</v>
      </c>
      <c r="D93" s="253" t="s">
        <v>5293</v>
      </c>
      <c r="E93" s="252" t="s">
        <v>1743</v>
      </c>
      <c r="F93" s="253" t="s">
        <v>5294</v>
      </c>
      <c r="G93" s="252" t="s">
        <v>5295</v>
      </c>
      <c r="H93" s="252" t="s">
        <v>5296</v>
      </c>
      <c r="I93" s="254" t="s">
        <v>1736</v>
      </c>
      <c r="J93" s="254" t="s">
        <v>4913</v>
      </c>
      <c r="K93" s="254" t="s">
        <v>4913</v>
      </c>
      <c r="L93" s="255" t="s">
        <v>183</v>
      </c>
      <c r="M93" s="255" t="s">
        <v>183</v>
      </c>
      <c r="N93" s="252"/>
      <c r="O93" s="256">
        <v>44853</v>
      </c>
      <c r="P93" s="253" t="s">
        <v>5297</v>
      </c>
      <c r="Q93" s="252"/>
      <c r="R93" s="252"/>
      <c r="S93" s="252"/>
      <c r="T93" s="252"/>
      <c r="U93" s="256">
        <v>44853</v>
      </c>
      <c r="V93" s="252" t="s">
        <v>4803</v>
      </c>
    </row>
    <row r="94" spans="1:22">
      <c r="A94" s="252" t="s">
        <v>5298</v>
      </c>
      <c r="B94" s="252" t="s">
        <v>5299</v>
      </c>
      <c r="C94" s="253" t="s">
        <v>5300</v>
      </c>
      <c r="D94" s="253" t="s">
        <v>5301</v>
      </c>
      <c r="E94" s="252" t="s">
        <v>1743</v>
      </c>
      <c r="F94" s="253" t="s">
        <v>5286</v>
      </c>
      <c r="G94" s="252" t="s">
        <v>5302</v>
      </c>
      <c r="H94" s="252" t="s">
        <v>5303</v>
      </c>
      <c r="I94" s="254" t="s">
        <v>1736</v>
      </c>
      <c r="J94" s="254" t="s">
        <v>4913</v>
      </c>
      <c r="K94" s="254" t="s">
        <v>4913</v>
      </c>
      <c r="L94" s="255" t="s">
        <v>183</v>
      </c>
      <c r="M94" s="255" t="s">
        <v>183</v>
      </c>
      <c r="N94" s="252"/>
      <c r="O94" s="256">
        <v>44853</v>
      </c>
      <c r="P94" s="253" t="s">
        <v>5304</v>
      </c>
      <c r="Q94" s="252"/>
      <c r="R94" s="252"/>
      <c r="S94" s="252"/>
      <c r="T94" s="252"/>
      <c r="U94" s="256">
        <v>44853</v>
      </c>
      <c r="V94" s="252" t="s">
        <v>4803</v>
      </c>
    </row>
    <row r="95" spans="1:22">
      <c r="A95" s="252" t="s">
        <v>5305</v>
      </c>
      <c r="B95" s="252" t="s">
        <v>5306</v>
      </c>
      <c r="C95" s="253" t="s">
        <v>5307</v>
      </c>
      <c r="D95" s="253" t="s">
        <v>5308</v>
      </c>
      <c r="E95" s="252" t="s">
        <v>1743</v>
      </c>
      <c r="F95" s="253" t="s">
        <v>5286</v>
      </c>
      <c r="G95" s="252" t="s">
        <v>5309</v>
      </c>
      <c r="H95" s="252" t="s">
        <v>5310</v>
      </c>
      <c r="I95" s="254" t="s">
        <v>1736</v>
      </c>
      <c r="J95" s="254" t="s">
        <v>4913</v>
      </c>
      <c r="K95" s="254" t="s">
        <v>4913</v>
      </c>
      <c r="L95" s="255" t="s">
        <v>183</v>
      </c>
      <c r="M95" s="255" t="s">
        <v>183</v>
      </c>
      <c r="N95" s="252"/>
      <c r="O95" s="256">
        <v>44855</v>
      </c>
      <c r="P95" s="253" t="s">
        <v>5311</v>
      </c>
      <c r="Q95" s="252"/>
      <c r="R95" s="252"/>
      <c r="S95" s="252"/>
      <c r="T95" s="252"/>
      <c r="U95" s="256">
        <v>44855</v>
      </c>
      <c r="V95" s="252" t="s">
        <v>4803</v>
      </c>
    </row>
    <row r="96" spans="1:22">
      <c r="A96" s="252" t="s">
        <v>5312</v>
      </c>
      <c r="B96" s="252" t="s">
        <v>5313</v>
      </c>
      <c r="C96" s="253" t="s">
        <v>5314</v>
      </c>
      <c r="D96" s="253" t="s">
        <v>5315</v>
      </c>
      <c r="E96" s="252" t="s">
        <v>1732</v>
      </c>
      <c r="F96" s="253" t="s">
        <v>5316</v>
      </c>
      <c r="G96" s="252" t="s">
        <v>5317</v>
      </c>
      <c r="H96" s="252" t="s">
        <v>5280</v>
      </c>
      <c r="I96" s="254" t="s">
        <v>1736</v>
      </c>
      <c r="J96" s="254" t="s">
        <v>1736</v>
      </c>
      <c r="K96" s="254" t="s">
        <v>4913</v>
      </c>
      <c r="L96" s="255" t="s">
        <v>183</v>
      </c>
      <c r="M96" s="255" t="s">
        <v>183</v>
      </c>
      <c r="N96" s="252"/>
      <c r="O96" s="256">
        <v>44853</v>
      </c>
      <c r="P96" s="253" t="s">
        <v>5318</v>
      </c>
      <c r="Q96" s="252"/>
      <c r="R96" s="252"/>
      <c r="S96" s="252"/>
      <c r="T96" s="252"/>
      <c r="U96" s="256">
        <v>44853</v>
      </c>
      <c r="V96" s="252" t="s">
        <v>4803</v>
      </c>
    </row>
    <row r="97" spans="1:22">
      <c r="A97" s="252" t="s">
        <v>5319</v>
      </c>
      <c r="B97" s="252" t="s">
        <v>5320</v>
      </c>
      <c r="C97" s="253" t="s">
        <v>5321</v>
      </c>
      <c r="D97" s="253" t="s">
        <v>5322</v>
      </c>
      <c r="E97" s="252" t="s">
        <v>1732</v>
      </c>
      <c r="F97" s="253" t="s">
        <v>5316</v>
      </c>
      <c r="G97" s="252" t="s">
        <v>5323</v>
      </c>
      <c r="H97" s="252" t="s">
        <v>5280</v>
      </c>
      <c r="I97" s="254" t="s">
        <v>1736</v>
      </c>
      <c r="J97" s="254" t="s">
        <v>1736</v>
      </c>
      <c r="K97" s="254" t="s">
        <v>4913</v>
      </c>
      <c r="L97" s="255" t="s">
        <v>183</v>
      </c>
      <c r="M97" s="255" t="s">
        <v>183</v>
      </c>
      <c r="N97" s="252"/>
      <c r="O97" s="256">
        <v>44853</v>
      </c>
      <c r="P97" s="253" t="s">
        <v>5324</v>
      </c>
      <c r="Q97" s="252"/>
      <c r="R97" s="252"/>
      <c r="S97" s="252"/>
      <c r="T97" s="252"/>
      <c r="U97" s="256">
        <v>44853</v>
      </c>
      <c r="V97" s="252" t="s">
        <v>4803</v>
      </c>
    </row>
    <row r="98" spans="1:22">
      <c r="A98" s="252" t="s">
        <v>5325</v>
      </c>
      <c r="B98" s="252" t="s">
        <v>5326</v>
      </c>
      <c r="C98" s="253" t="s">
        <v>5327</v>
      </c>
      <c r="D98" s="253" t="s">
        <v>5328</v>
      </c>
      <c r="E98" s="252" t="s">
        <v>1743</v>
      </c>
      <c r="F98" s="253" t="s">
        <v>5286</v>
      </c>
      <c r="G98" s="252" t="s">
        <v>5329</v>
      </c>
      <c r="H98" s="252" t="s">
        <v>5280</v>
      </c>
      <c r="I98" s="254" t="s">
        <v>1736</v>
      </c>
      <c r="J98" s="254" t="s">
        <v>4913</v>
      </c>
      <c r="K98" s="254" t="s">
        <v>4913</v>
      </c>
      <c r="L98" s="255" t="s">
        <v>183</v>
      </c>
      <c r="M98" s="255" t="s">
        <v>183</v>
      </c>
      <c r="N98" s="252"/>
      <c r="O98" s="256">
        <v>44853</v>
      </c>
      <c r="P98" s="253" t="s">
        <v>5330</v>
      </c>
      <c r="Q98" s="252"/>
      <c r="R98" s="252"/>
      <c r="S98" s="252"/>
      <c r="T98" s="252"/>
      <c r="U98" s="256">
        <v>44853</v>
      </c>
      <c r="V98" s="252" t="s">
        <v>4803</v>
      </c>
    </row>
    <row r="99" spans="1:22">
      <c r="A99" s="252" t="s">
        <v>5331</v>
      </c>
      <c r="B99" s="252" t="s">
        <v>5332</v>
      </c>
      <c r="C99" s="253" t="s">
        <v>5333</v>
      </c>
      <c r="D99" s="253" t="s">
        <v>5334</v>
      </c>
      <c r="E99" s="252" t="s">
        <v>1732</v>
      </c>
      <c r="F99" s="253" t="s">
        <v>5335</v>
      </c>
      <c r="G99" s="252" t="s">
        <v>5336</v>
      </c>
      <c r="H99" s="252" t="s">
        <v>5337</v>
      </c>
      <c r="I99" s="254" t="s">
        <v>1736</v>
      </c>
      <c r="J99" s="254" t="s">
        <v>1736</v>
      </c>
      <c r="K99" s="254" t="s">
        <v>1736</v>
      </c>
      <c r="L99" s="255" t="s">
        <v>183</v>
      </c>
      <c r="M99" s="255" t="s">
        <v>183</v>
      </c>
      <c r="N99" s="252"/>
      <c r="O99" s="256">
        <v>44853</v>
      </c>
      <c r="P99" s="253" t="s">
        <v>5338</v>
      </c>
      <c r="Q99" s="252"/>
      <c r="R99" s="252"/>
      <c r="S99" s="252"/>
      <c r="T99" s="252"/>
      <c r="U99" s="256">
        <v>44853</v>
      </c>
      <c r="V99" s="252" t="s">
        <v>4803</v>
      </c>
    </row>
    <row r="100" spans="1:22">
      <c r="A100" s="252" t="s">
        <v>5339</v>
      </c>
      <c r="B100" s="252" t="s">
        <v>5340</v>
      </c>
      <c r="C100" s="253" t="s">
        <v>5341</v>
      </c>
      <c r="D100" s="253" t="s">
        <v>5342</v>
      </c>
      <c r="E100" s="252" t="s">
        <v>1743</v>
      </c>
      <c r="F100" s="253" t="s">
        <v>5343</v>
      </c>
      <c r="G100" s="252" t="s">
        <v>5344</v>
      </c>
      <c r="H100" s="252" t="s">
        <v>5345</v>
      </c>
      <c r="I100" s="254" t="s">
        <v>1736</v>
      </c>
      <c r="J100" s="254" t="s">
        <v>1736</v>
      </c>
      <c r="K100" s="254" t="s">
        <v>4913</v>
      </c>
      <c r="L100" s="255" t="s">
        <v>183</v>
      </c>
      <c r="M100" s="255" t="s">
        <v>183</v>
      </c>
      <c r="N100" s="252"/>
      <c r="O100" s="256">
        <v>44853</v>
      </c>
      <c r="P100" s="253" t="s">
        <v>5346</v>
      </c>
      <c r="Q100" s="252"/>
      <c r="R100" s="252"/>
      <c r="S100" s="252"/>
      <c r="T100" s="252"/>
      <c r="U100" s="256">
        <v>44853</v>
      </c>
      <c r="V100" s="252" t="s">
        <v>4803</v>
      </c>
    </row>
    <row r="101" spans="1:22">
      <c r="A101" s="252" t="s">
        <v>5347</v>
      </c>
      <c r="B101" s="252" t="s">
        <v>5348</v>
      </c>
      <c r="C101" s="253" t="s">
        <v>5349</v>
      </c>
      <c r="D101" s="253" t="s">
        <v>5350</v>
      </c>
      <c r="E101" s="252" t="s">
        <v>1732</v>
      </c>
      <c r="F101" s="253" t="s">
        <v>5343</v>
      </c>
      <c r="G101" s="252" t="s">
        <v>5351</v>
      </c>
      <c r="H101" s="252" t="s">
        <v>5352</v>
      </c>
      <c r="I101" s="254" t="s">
        <v>1736</v>
      </c>
      <c r="J101" s="254" t="s">
        <v>1736</v>
      </c>
      <c r="K101" s="254" t="s">
        <v>4913</v>
      </c>
      <c r="L101" s="255" t="s">
        <v>183</v>
      </c>
      <c r="M101" s="255" t="s">
        <v>183</v>
      </c>
      <c r="N101" s="252"/>
      <c r="O101" s="256">
        <v>44853</v>
      </c>
      <c r="P101" s="253" t="s">
        <v>5353</v>
      </c>
      <c r="Q101" s="252"/>
      <c r="R101" s="252"/>
      <c r="S101" s="252"/>
      <c r="T101" s="252"/>
      <c r="U101" s="256">
        <v>44853</v>
      </c>
      <c r="V101" s="252" t="s">
        <v>4803</v>
      </c>
    </row>
    <row r="102" spans="1:22">
      <c r="A102" s="252" t="s">
        <v>5354</v>
      </c>
      <c r="B102" s="252" t="s">
        <v>5355</v>
      </c>
      <c r="C102" s="253" t="s">
        <v>5356</v>
      </c>
      <c r="D102" s="253" t="s">
        <v>5357</v>
      </c>
      <c r="E102" s="252" t="s">
        <v>1732</v>
      </c>
      <c r="F102" s="253" t="s">
        <v>5343</v>
      </c>
      <c r="G102" s="252" t="s">
        <v>5358</v>
      </c>
      <c r="H102" s="252" t="s">
        <v>5359</v>
      </c>
      <c r="I102" s="254" t="s">
        <v>1736</v>
      </c>
      <c r="J102" s="254" t="s">
        <v>1736</v>
      </c>
      <c r="K102" s="254" t="s">
        <v>4913</v>
      </c>
      <c r="L102" s="255" t="s">
        <v>183</v>
      </c>
      <c r="M102" s="255" t="s">
        <v>183</v>
      </c>
      <c r="N102" s="252"/>
      <c r="O102" s="256">
        <v>44853</v>
      </c>
      <c r="P102" s="253" t="s">
        <v>5360</v>
      </c>
      <c r="Q102" s="252"/>
      <c r="R102" s="252"/>
      <c r="S102" s="252"/>
      <c r="T102" s="252"/>
      <c r="U102" s="256">
        <v>44853</v>
      </c>
      <c r="V102" s="252" t="s">
        <v>4803</v>
      </c>
    </row>
    <row r="103" spans="1:22">
      <c r="A103" s="252" t="s">
        <v>5361</v>
      </c>
      <c r="B103" s="252" t="s">
        <v>5362</v>
      </c>
      <c r="C103" s="253" t="s">
        <v>5363</v>
      </c>
      <c r="D103" s="253" t="s">
        <v>5364</v>
      </c>
      <c r="E103" s="252" t="s">
        <v>1732</v>
      </c>
      <c r="F103" s="253" t="s">
        <v>5343</v>
      </c>
      <c r="G103" s="252" t="s">
        <v>5365</v>
      </c>
      <c r="H103" s="252" t="s">
        <v>5359</v>
      </c>
      <c r="I103" s="254" t="s">
        <v>1736</v>
      </c>
      <c r="J103" s="254" t="s">
        <v>1736</v>
      </c>
      <c r="K103" s="254" t="s">
        <v>4913</v>
      </c>
      <c r="L103" s="255" t="s">
        <v>183</v>
      </c>
      <c r="M103" s="255" t="s">
        <v>183</v>
      </c>
      <c r="N103" s="252"/>
      <c r="O103" s="256">
        <v>44853</v>
      </c>
      <c r="P103" s="253" t="s">
        <v>5366</v>
      </c>
      <c r="Q103" s="252"/>
      <c r="R103" s="252"/>
      <c r="S103" s="252"/>
      <c r="T103" s="252"/>
      <c r="U103" s="256">
        <v>44853</v>
      </c>
      <c r="V103" s="252" t="s">
        <v>4803</v>
      </c>
    </row>
    <row r="104" spans="1:22">
      <c r="A104" s="252" t="s">
        <v>5367</v>
      </c>
      <c r="B104" s="252" t="s">
        <v>5368</v>
      </c>
      <c r="C104" s="253" t="s">
        <v>5369</v>
      </c>
      <c r="D104" s="253" t="s">
        <v>5370</v>
      </c>
      <c r="E104" s="252" t="s">
        <v>1743</v>
      </c>
      <c r="F104" s="253" t="s">
        <v>5371</v>
      </c>
      <c r="G104" s="252" t="s">
        <v>5372</v>
      </c>
      <c r="H104" s="252" t="s">
        <v>5373</v>
      </c>
      <c r="I104" s="254" t="s">
        <v>1736</v>
      </c>
      <c r="J104" s="254" t="s">
        <v>4913</v>
      </c>
      <c r="K104" s="254" t="s">
        <v>4913</v>
      </c>
      <c r="L104" s="255" t="s">
        <v>183</v>
      </c>
      <c r="M104" s="255" t="s">
        <v>183</v>
      </c>
      <c r="N104" s="252"/>
      <c r="O104" s="256">
        <v>44855</v>
      </c>
      <c r="P104" s="253" t="s">
        <v>5374</v>
      </c>
      <c r="Q104" s="252"/>
      <c r="R104" s="252"/>
      <c r="S104" s="252"/>
      <c r="T104" s="252"/>
      <c r="U104" s="256">
        <v>44855</v>
      </c>
      <c r="V104" s="252" t="s">
        <v>4803</v>
      </c>
    </row>
    <row r="105" spans="1:22">
      <c r="A105" s="252" t="s">
        <v>5375</v>
      </c>
      <c r="B105" s="252" t="s">
        <v>5376</v>
      </c>
      <c r="C105" s="253" t="s">
        <v>5377</v>
      </c>
      <c r="D105" s="253" t="s">
        <v>5378</v>
      </c>
      <c r="E105" s="252" t="s">
        <v>1743</v>
      </c>
      <c r="F105" s="253" t="s">
        <v>5371</v>
      </c>
      <c r="G105" s="252" t="s">
        <v>5379</v>
      </c>
      <c r="H105" s="252" t="s">
        <v>5380</v>
      </c>
      <c r="I105" s="254" t="s">
        <v>1736</v>
      </c>
      <c r="J105" s="254" t="s">
        <v>4913</v>
      </c>
      <c r="K105" s="254" t="s">
        <v>4913</v>
      </c>
      <c r="L105" s="255" t="s">
        <v>183</v>
      </c>
      <c r="M105" s="255" t="s">
        <v>183</v>
      </c>
      <c r="N105" s="252"/>
      <c r="O105" s="256">
        <v>44855</v>
      </c>
      <c r="P105" s="253" t="s">
        <v>5381</v>
      </c>
      <c r="Q105" s="252"/>
      <c r="R105" s="252"/>
      <c r="S105" s="252"/>
      <c r="T105" s="252"/>
      <c r="U105" s="256">
        <v>44855</v>
      </c>
      <c r="V105" s="252" t="s">
        <v>4803</v>
      </c>
    </row>
    <row r="106" spans="1:22">
      <c r="A106" s="252" t="s">
        <v>5382</v>
      </c>
      <c r="B106" s="252" t="s">
        <v>5383</v>
      </c>
      <c r="C106" s="253" t="s">
        <v>5384</v>
      </c>
      <c r="D106" s="253" t="s">
        <v>5385</v>
      </c>
      <c r="E106" s="252" t="s">
        <v>1743</v>
      </c>
      <c r="F106" s="253" t="s">
        <v>5371</v>
      </c>
      <c r="G106" s="252" t="s">
        <v>5386</v>
      </c>
      <c r="H106" s="252" t="s">
        <v>5387</v>
      </c>
      <c r="I106" s="254" t="s">
        <v>1736</v>
      </c>
      <c r="J106" s="254" t="s">
        <v>4913</v>
      </c>
      <c r="K106" s="254" t="s">
        <v>4913</v>
      </c>
      <c r="L106" s="255" t="s">
        <v>183</v>
      </c>
      <c r="M106" s="255" t="s">
        <v>183</v>
      </c>
      <c r="N106" s="252"/>
      <c r="O106" s="256">
        <v>44855</v>
      </c>
      <c r="P106" s="253" t="s">
        <v>5388</v>
      </c>
      <c r="Q106" s="252"/>
      <c r="R106" s="252"/>
      <c r="S106" s="252"/>
      <c r="T106" s="252"/>
      <c r="U106" s="256">
        <v>44855</v>
      </c>
      <c r="V106" s="252" t="s">
        <v>4803</v>
      </c>
    </row>
    <row r="107" spans="1:22">
      <c r="A107" s="703" t="s">
        <v>5389</v>
      </c>
      <c r="B107" s="252" t="s">
        <v>5390</v>
      </c>
      <c r="C107" s="704" t="s">
        <v>5391</v>
      </c>
      <c r="D107" s="253" t="s">
        <v>5392</v>
      </c>
      <c r="E107" s="252" t="s">
        <v>1743</v>
      </c>
      <c r="F107" s="253" t="s">
        <v>5371</v>
      </c>
      <c r="G107" s="252"/>
      <c r="H107" s="252" t="s">
        <v>5393</v>
      </c>
      <c r="I107" s="254" t="s">
        <v>1736</v>
      </c>
      <c r="J107" s="254" t="s">
        <v>4913</v>
      </c>
      <c r="K107" s="254" t="s">
        <v>4913</v>
      </c>
      <c r="L107" s="255" t="s">
        <v>183</v>
      </c>
      <c r="M107" s="255" t="s">
        <v>183</v>
      </c>
      <c r="N107" s="252"/>
      <c r="O107" s="256">
        <v>44858</v>
      </c>
      <c r="P107" s="253" t="s">
        <v>5394</v>
      </c>
      <c r="Q107" s="252"/>
      <c r="R107" s="252"/>
      <c r="S107" s="252"/>
      <c r="T107" s="252"/>
      <c r="U107" s="256">
        <v>44858</v>
      </c>
      <c r="V107" s="252" t="s">
        <v>4803</v>
      </c>
    </row>
    <row r="108" spans="1:22">
      <c r="A108" s="774"/>
      <c r="B108" s="252" t="s">
        <v>5395</v>
      </c>
      <c r="C108" s="774"/>
      <c r="D108" s="253" t="s">
        <v>5396</v>
      </c>
      <c r="E108" s="252" t="s">
        <v>1743</v>
      </c>
      <c r="F108" s="253" t="s">
        <v>5371</v>
      </c>
      <c r="G108" s="252"/>
      <c r="H108" s="252" t="s">
        <v>5393</v>
      </c>
      <c r="I108" s="254" t="s">
        <v>1736</v>
      </c>
      <c r="J108" s="254" t="s">
        <v>4913</v>
      </c>
      <c r="K108" s="254" t="s">
        <v>4913</v>
      </c>
      <c r="L108" s="255" t="s">
        <v>183</v>
      </c>
      <c r="M108" s="255" t="s">
        <v>183</v>
      </c>
      <c r="N108" s="252"/>
      <c r="O108" s="256">
        <v>44858</v>
      </c>
      <c r="P108" s="253" t="s">
        <v>5394</v>
      </c>
      <c r="Q108" s="252"/>
      <c r="R108" s="252"/>
      <c r="S108" s="252"/>
      <c r="T108" s="252"/>
      <c r="U108" s="256">
        <v>44858</v>
      </c>
      <c r="V108" s="252" t="s">
        <v>4803</v>
      </c>
    </row>
    <row r="109" spans="1:22">
      <c r="A109" s="774"/>
      <c r="B109" s="252" t="s">
        <v>5397</v>
      </c>
      <c r="C109" s="774"/>
      <c r="D109" s="253" t="s">
        <v>5398</v>
      </c>
      <c r="E109" s="252" t="s">
        <v>1743</v>
      </c>
      <c r="F109" s="253" t="s">
        <v>5371</v>
      </c>
      <c r="G109" s="252"/>
      <c r="H109" s="252" t="s">
        <v>5393</v>
      </c>
      <c r="I109" s="254" t="s">
        <v>1736</v>
      </c>
      <c r="J109" s="254" t="s">
        <v>4913</v>
      </c>
      <c r="K109" s="254" t="s">
        <v>4913</v>
      </c>
      <c r="L109" s="255" t="s">
        <v>183</v>
      </c>
      <c r="M109" s="255" t="s">
        <v>183</v>
      </c>
      <c r="N109" s="252"/>
      <c r="O109" s="256">
        <v>44858</v>
      </c>
      <c r="P109" s="253" t="s">
        <v>5394</v>
      </c>
      <c r="Q109" s="252"/>
      <c r="R109" s="252"/>
      <c r="S109" s="252"/>
      <c r="T109" s="252"/>
      <c r="U109" s="256">
        <v>44858</v>
      </c>
      <c r="V109" s="252" t="s">
        <v>4803</v>
      </c>
    </row>
    <row r="110" spans="1:22">
      <c r="A110" s="774"/>
      <c r="B110" s="252" t="s">
        <v>5399</v>
      </c>
      <c r="C110" s="774"/>
      <c r="D110" s="253" t="s">
        <v>5400</v>
      </c>
      <c r="E110" s="252" t="s">
        <v>1743</v>
      </c>
      <c r="F110" s="253" t="s">
        <v>5371</v>
      </c>
      <c r="G110" s="252"/>
      <c r="H110" s="252" t="s">
        <v>5393</v>
      </c>
      <c r="I110" s="254" t="s">
        <v>1736</v>
      </c>
      <c r="J110" s="254" t="s">
        <v>4913</v>
      </c>
      <c r="K110" s="254" t="s">
        <v>4913</v>
      </c>
      <c r="L110" s="255" t="s">
        <v>183</v>
      </c>
      <c r="M110" s="255" t="s">
        <v>183</v>
      </c>
      <c r="N110" s="252"/>
      <c r="O110" s="256">
        <v>44858</v>
      </c>
      <c r="P110" s="253" t="s">
        <v>5394</v>
      </c>
      <c r="Q110" s="252"/>
      <c r="R110" s="252"/>
      <c r="S110" s="252"/>
      <c r="T110" s="252"/>
      <c r="U110" s="256">
        <v>44858</v>
      </c>
      <c r="V110" s="252" t="s">
        <v>4803</v>
      </c>
    </row>
    <row r="111" spans="1:22">
      <c r="A111" s="774"/>
      <c r="B111" s="252" t="s">
        <v>5401</v>
      </c>
      <c r="C111" s="774"/>
      <c r="D111" s="253" t="s">
        <v>5402</v>
      </c>
      <c r="E111" s="252" t="s">
        <v>1743</v>
      </c>
      <c r="F111" s="253" t="s">
        <v>5371</v>
      </c>
      <c r="G111" s="252"/>
      <c r="H111" s="252" t="s">
        <v>5393</v>
      </c>
      <c r="I111" s="254" t="s">
        <v>1736</v>
      </c>
      <c r="J111" s="254" t="s">
        <v>4913</v>
      </c>
      <c r="K111" s="254" t="s">
        <v>4913</v>
      </c>
      <c r="L111" s="255" t="s">
        <v>183</v>
      </c>
      <c r="M111" s="255" t="s">
        <v>183</v>
      </c>
      <c r="N111" s="252"/>
      <c r="O111" s="256">
        <v>44858</v>
      </c>
      <c r="P111" s="253" t="s">
        <v>5394</v>
      </c>
      <c r="Q111" s="252"/>
      <c r="R111" s="252"/>
      <c r="S111" s="252"/>
      <c r="T111" s="252"/>
      <c r="U111" s="256">
        <v>44858</v>
      </c>
      <c r="V111" s="252" t="s">
        <v>4803</v>
      </c>
    </row>
    <row r="112" spans="1:22">
      <c r="A112" s="774"/>
      <c r="B112" s="252" t="s">
        <v>5403</v>
      </c>
      <c r="C112" s="774"/>
      <c r="D112" s="253" t="s">
        <v>5404</v>
      </c>
      <c r="E112" s="252" t="s">
        <v>1743</v>
      </c>
      <c r="F112" s="253" t="s">
        <v>5371</v>
      </c>
      <c r="G112" s="252"/>
      <c r="H112" s="252" t="s">
        <v>5405</v>
      </c>
      <c r="I112" s="254" t="s">
        <v>1736</v>
      </c>
      <c r="J112" s="254" t="s">
        <v>4913</v>
      </c>
      <c r="K112" s="254" t="s">
        <v>4913</v>
      </c>
      <c r="L112" s="255" t="s">
        <v>183</v>
      </c>
      <c r="M112" s="255" t="s">
        <v>183</v>
      </c>
      <c r="N112" s="252"/>
      <c r="O112" s="256">
        <v>44858</v>
      </c>
      <c r="P112" s="253" t="s">
        <v>5394</v>
      </c>
      <c r="Q112" s="252"/>
      <c r="R112" s="252"/>
      <c r="S112" s="252"/>
      <c r="T112" s="252"/>
      <c r="U112" s="256">
        <v>44858</v>
      </c>
      <c r="V112" s="252" t="s">
        <v>4803</v>
      </c>
    </row>
    <row r="113" spans="1:22">
      <c r="A113" s="774"/>
      <c r="B113" s="252" t="s">
        <v>5406</v>
      </c>
      <c r="C113" s="774"/>
      <c r="D113" s="253" t="s">
        <v>5407</v>
      </c>
      <c r="E113" s="252" t="s">
        <v>1743</v>
      </c>
      <c r="F113" s="253" t="s">
        <v>5371</v>
      </c>
      <c r="G113" s="252"/>
      <c r="H113" s="252" t="s">
        <v>5405</v>
      </c>
      <c r="I113" s="254" t="s">
        <v>1736</v>
      </c>
      <c r="J113" s="254" t="s">
        <v>4913</v>
      </c>
      <c r="K113" s="254" t="s">
        <v>4913</v>
      </c>
      <c r="L113" s="255" t="s">
        <v>183</v>
      </c>
      <c r="M113" s="255" t="s">
        <v>183</v>
      </c>
      <c r="N113" s="252"/>
      <c r="O113" s="256">
        <v>44858</v>
      </c>
      <c r="P113" s="253" t="s">
        <v>5394</v>
      </c>
      <c r="Q113" s="252"/>
      <c r="R113" s="252"/>
      <c r="S113" s="252"/>
      <c r="T113" s="252"/>
      <c r="U113" s="256">
        <v>44858</v>
      </c>
      <c r="V113" s="252" t="s">
        <v>4803</v>
      </c>
    </row>
    <row r="114" spans="1:22">
      <c r="A114" s="774"/>
      <c r="B114" s="252" t="s">
        <v>5408</v>
      </c>
      <c r="C114" s="774"/>
      <c r="D114" s="253" t="s">
        <v>5409</v>
      </c>
      <c r="E114" s="252" t="s">
        <v>1743</v>
      </c>
      <c r="F114" s="253" t="s">
        <v>5371</v>
      </c>
      <c r="G114" s="252"/>
      <c r="H114" s="252" t="s">
        <v>5405</v>
      </c>
      <c r="I114" s="254" t="s">
        <v>1736</v>
      </c>
      <c r="J114" s="254" t="s">
        <v>4913</v>
      </c>
      <c r="K114" s="254" t="s">
        <v>4913</v>
      </c>
      <c r="L114" s="255" t="s">
        <v>183</v>
      </c>
      <c r="M114" s="255" t="s">
        <v>183</v>
      </c>
      <c r="N114" s="252"/>
      <c r="O114" s="256">
        <v>44858</v>
      </c>
      <c r="P114" s="253" t="s">
        <v>5394</v>
      </c>
      <c r="Q114" s="252"/>
      <c r="R114" s="252"/>
      <c r="S114" s="252"/>
      <c r="T114" s="252"/>
      <c r="U114" s="256">
        <v>44858</v>
      </c>
      <c r="V114" s="252" t="s">
        <v>4803</v>
      </c>
    </row>
    <row r="115" spans="1:22">
      <c r="A115" s="774"/>
      <c r="B115" s="252" t="s">
        <v>5410</v>
      </c>
      <c r="C115" s="774"/>
      <c r="D115" s="253" t="s">
        <v>5411</v>
      </c>
      <c r="E115" s="252" t="s">
        <v>1743</v>
      </c>
      <c r="F115" s="253" t="s">
        <v>5371</v>
      </c>
      <c r="G115" s="252"/>
      <c r="H115" s="252" t="s">
        <v>5412</v>
      </c>
      <c r="I115" s="254" t="s">
        <v>1736</v>
      </c>
      <c r="J115" s="254" t="s">
        <v>4913</v>
      </c>
      <c r="K115" s="254" t="s">
        <v>4913</v>
      </c>
      <c r="L115" s="255" t="s">
        <v>183</v>
      </c>
      <c r="M115" s="255" t="s">
        <v>183</v>
      </c>
      <c r="N115" s="252"/>
      <c r="O115" s="256">
        <v>44858</v>
      </c>
      <c r="P115" s="253" t="s">
        <v>5394</v>
      </c>
      <c r="Q115" s="252"/>
      <c r="R115" s="252"/>
      <c r="S115" s="252"/>
      <c r="T115" s="252"/>
      <c r="U115" s="256">
        <v>44858</v>
      </c>
      <c r="V115" s="252" t="s">
        <v>4803</v>
      </c>
    </row>
    <row r="116" spans="1:22">
      <c r="A116" s="773"/>
      <c r="B116" s="252" t="s">
        <v>5413</v>
      </c>
      <c r="C116" s="773"/>
      <c r="D116" s="253" t="s">
        <v>5414</v>
      </c>
      <c r="E116" s="252" t="s">
        <v>1743</v>
      </c>
      <c r="F116" s="253" t="s">
        <v>5371</v>
      </c>
      <c r="G116" s="252"/>
      <c r="H116" s="252" t="s">
        <v>5405</v>
      </c>
      <c r="I116" s="254" t="s">
        <v>1736</v>
      </c>
      <c r="J116" s="254" t="s">
        <v>4913</v>
      </c>
      <c r="K116" s="254" t="s">
        <v>4913</v>
      </c>
      <c r="L116" s="255" t="s">
        <v>183</v>
      </c>
      <c r="M116" s="255" t="s">
        <v>183</v>
      </c>
      <c r="N116" s="252"/>
      <c r="O116" s="256">
        <v>44858</v>
      </c>
      <c r="P116" s="253" t="s">
        <v>5394</v>
      </c>
      <c r="Q116" s="252"/>
      <c r="R116" s="252"/>
      <c r="S116" s="252"/>
      <c r="T116" s="252"/>
      <c r="U116" s="256">
        <v>44858</v>
      </c>
      <c r="V116" s="252" t="s">
        <v>4803</v>
      </c>
    </row>
    <row r="117" spans="1:22">
      <c r="A117" s="252" t="s">
        <v>5415</v>
      </c>
      <c r="B117" s="252" t="s">
        <v>5416</v>
      </c>
      <c r="C117" s="253" t="s">
        <v>5417</v>
      </c>
      <c r="D117" s="253" t="s">
        <v>5418</v>
      </c>
      <c r="E117" s="252" t="s">
        <v>1743</v>
      </c>
      <c r="F117" s="253" t="s">
        <v>5371</v>
      </c>
      <c r="G117" s="252" t="s">
        <v>5419</v>
      </c>
      <c r="H117" s="252" t="s">
        <v>5303</v>
      </c>
      <c r="I117" s="254" t="s">
        <v>1736</v>
      </c>
      <c r="J117" s="254" t="s">
        <v>4913</v>
      </c>
      <c r="K117" s="254" t="s">
        <v>4913</v>
      </c>
      <c r="L117" s="255" t="s">
        <v>183</v>
      </c>
      <c r="M117" s="255" t="s">
        <v>183</v>
      </c>
      <c r="N117" s="252"/>
      <c r="O117" s="256">
        <v>44855</v>
      </c>
      <c r="P117" s="253" t="s">
        <v>5420</v>
      </c>
      <c r="Q117" s="252"/>
      <c r="R117" s="252"/>
      <c r="S117" s="252"/>
      <c r="T117" s="252"/>
      <c r="U117" s="256">
        <v>44855</v>
      </c>
      <c r="V117" s="252" t="s">
        <v>4803</v>
      </c>
    </row>
    <row r="118" spans="1:22">
      <c r="A118" s="252" t="s">
        <v>5421</v>
      </c>
      <c r="B118" s="252" t="s">
        <v>5422</v>
      </c>
      <c r="C118" s="253" t="s">
        <v>5423</v>
      </c>
      <c r="D118" s="253" t="s">
        <v>5424</v>
      </c>
      <c r="E118" s="252" t="s">
        <v>1732</v>
      </c>
      <c r="F118" s="253" t="s">
        <v>5425</v>
      </c>
      <c r="G118" s="252" t="s">
        <v>5426</v>
      </c>
      <c r="H118" s="252" t="s">
        <v>5280</v>
      </c>
      <c r="I118" s="254" t="s">
        <v>1736</v>
      </c>
      <c r="J118" s="254" t="s">
        <v>4913</v>
      </c>
      <c r="K118" s="254" t="s">
        <v>4913</v>
      </c>
      <c r="L118" s="255" t="s">
        <v>183</v>
      </c>
      <c r="M118" s="255" t="s">
        <v>183</v>
      </c>
      <c r="N118" s="252"/>
      <c r="O118" s="256">
        <v>44855</v>
      </c>
      <c r="P118" s="253" t="s">
        <v>5427</v>
      </c>
      <c r="Q118" s="252"/>
      <c r="R118" s="252"/>
      <c r="S118" s="252"/>
      <c r="T118" s="252"/>
      <c r="U118" s="256">
        <v>44855</v>
      </c>
      <c r="V118" s="252" t="s">
        <v>4803</v>
      </c>
    </row>
    <row r="119" spans="1:22">
      <c r="A119" s="252" t="s">
        <v>5428</v>
      </c>
      <c r="B119" s="252" t="s">
        <v>5429</v>
      </c>
      <c r="C119" s="253" t="s">
        <v>5430</v>
      </c>
      <c r="D119" s="253" t="s">
        <v>5431</v>
      </c>
      <c r="E119" s="252" t="s">
        <v>1743</v>
      </c>
      <c r="F119" s="253" t="s">
        <v>5371</v>
      </c>
      <c r="G119" s="252" t="s">
        <v>5432</v>
      </c>
      <c r="H119" s="252" t="s">
        <v>5433</v>
      </c>
      <c r="I119" s="254" t="s">
        <v>1736</v>
      </c>
      <c r="J119" s="254" t="s">
        <v>4913</v>
      </c>
      <c r="K119" s="254" t="s">
        <v>4913</v>
      </c>
      <c r="L119" s="255" t="s">
        <v>183</v>
      </c>
      <c r="M119" s="255" t="s">
        <v>183</v>
      </c>
      <c r="N119" s="252"/>
      <c r="O119" s="256">
        <v>44855</v>
      </c>
      <c r="P119" s="253" t="s">
        <v>5434</v>
      </c>
      <c r="Q119" s="252"/>
      <c r="R119" s="252"/>
      <c r="S119" s="252"/>
      <c r="T119" s="252"/>
      <c r="U119" s="256">
        <v>44855</v>
      </c>
      <c r="V119" s="252" t="s">
        <v>4803</v>
      </c>
    </row>
    <row r="120" spans="1:22">
      <c r="A120" s="703" t="s">
        <v>5435</v>
      </c>
      <c r="B120" s="252" t="s">
        <v>5436</v>
      </c>
      <c r="C120" s="704" t="s">
        <v>5437</v>
      </c>
      <c r="D120" s="253" t="s">
        <v>5438</v>
      </c>
      <c r="E120" s="252" t="s">
        <v>1732</v>
      </c>
      <c r="F120" s="253" t="s">
        <v>5439</v>
      </c>
      <c r="G120" s="252" t="s">
        <v>5440</v>
      </c>
      <c r="H120" s="252"/>
      <c r="I120" s="254" t="s">
        <v>1736</v>
      </c>
      <c r="J120" s="254" t="s">
        <v>4913</v>
      </c>
      <c r="K120" s="254" t="s">
        <v>4913</v>
      </c>
      <c r="L120" s="255" t="s">
        <v>183</v>
      </c>
      <c r="M120" s="255" t="s">
        <v>183</v>
      </c>
      <c r="N120" s="252"/>
      <c r="O120" s="256">
        <v>44943</v>
      </c>
      <c r="P120" s="253" t="s">
        <v>5441</v>
      </c>
      <c r="Q120" s="252"/>
      <c r="R120" s="252"/>
      <c r="S120" s="252"/>
      <c r="T120" s="252"/>
      <c r="U120" s="256">
        <v>44943</v>
      </c>
      <c r="V120" s="252" t="s">
        <v>4803</v>
      </c>
    </row>
    <row r="121" spans="1:22">
      <c r="A121" s="774"/>
      <c r="B121" s="252" t="s">
        <v>5442</v>
      </c>
      <c r="C121" s="774"/>
      <c r="D121" s="253" t="s">
        <v>5443</v>
      </c>
      <c r="E121" s="252" t="s">
        <v>1732</v>
      </c>
      <c r="F121" s="253" t="s">
        <v>5439</v>
      </c>
      <c r="G121" s="252" t="s">
        <v>5440</v>
      </c>
      <c r="H121" s="252"/>
      <c r="I121" s="254" t="s">
        <v>1736</v>
      </c>
      <c r="J121" s="254" t="s">
        <v>4913</v>
      </c>
      <c r="K121" s="254" t="s">
        <v>4913</v>
      </c>
      <c r="L121" s="255" t="s">
        <v>183</v>
      </c>
      <c r="M121" s="255" t="s">
        <v>183</v>
      </c>
      <c r="N121" s="252"/>
      <c r="O121" s="256">
        <v>44943</v>
      </c>
      <c r="P121" s="253" t="s">
        <v>5441</v>
      </c>
      <c r="Q121" s="252"/>
      <c r="R121" s="252"/>
      <c r="S121" s="252"/>
      <c r="T121" s="252"/>
      <c r="U121" s="256">
        <v>44943</v>
      </c>
      <c r="V121" s="252" t="s">
        <v>4803</v>
      </c>
    </row>
    <row r="122" spans="1:22">
      <c r="A122" s="774"/>
      <c r="B122" s="252" t="s">
        <v>5444</v>
      </c>
      <c r="C122" s="774"/>
      <c r="D122" s="253" t="s">
        <v>5445</v>
      </c>
      <c r="E122" s="252" t="s">
        <v>1732</v>
      </c>
      <c r="F122" s="253" t="s">
        <v>5446</v>
      </c>
      <c r="G122" s="252" t="s">
        <v>5440</v>
      </c>
      <c r="H122" s="252"/>
      <c r="I122" s="254" t="s">
        <v>1736</v>
      </c>
      <c r="J122" s="254" t="s">
        <v>4913</v>
      </c>
      <c r="K122" s="254" t="s">
        <v>4913</v>
      </c>
      <c r="L122" s="255" t="s">
        <v>183</v>
      </c>
      <c r="M122" s="255" t="s">
        <v>183</v>
      </c>
      <c r="N122" s="252"/>
      <c r="O122" s="256">
        <v>44943</v>
      </c>
      <c r="P122" s="253" t="s">
        <v>5441</v>
      </c>
      <c r="Q122" s="252"/>
      <c r="R122" s="252"/>
      <c r="S122" s="252"/>
      <c r="T122" s="252"/>
      <c r="U122" s="256">
        <v>44943</v>
      </c>
      <c r="V122" s="252" t="s">
        <v>4803</v>
      </c>
    </row>
    <row r="123" spans="1:22">
      <c r="A123" s="774"/>
      <c r="B123" s="252" t="s">
        <v>5447</v>
      </c>
      <c r="C123" s="774"/>
      <c r="D123" s="253" t="s">
        <v>5448</v>
      </c>
      <c r="E123" s="252" t="s">
        <v>1732</v>
      </c>
      <c r="F123" s="253" t="s">
        <v>5439</v>
      </c>
      <c r="G123" s="252" t="s">
        <v>5440</v>
      </c>
      <c r="H123" s="252"/>
      <c r="I123" s="254" t="s">
        <v>1736</v>
      </c>
      <c r="J123" s="254" t="s">
        <v>4913</v>
      </c>
      <c r="K123" s="254" t="s">
        <v>4913</v>
      </c>
      <c r="L123" s="255" t="s">
        <v>183</v>
      </c>
      <c r="M123" s="255" t="s">
        <v>183</v>
      </c>
      <c r="N123" s="252"/>
      <c r="O123" s="256">
        <v>44943</v>
      </c>
      <c r="P123" s="253" t="s">
        <v>5441</v>
      </c>
      <c r="Q123" s="252"/>
      <c r="R123" s="252"/>
      <c r="S123" s="252"/>
      <c r="T123" s="252"/>
      <c r="U123" s="256">
        <v>44943</v>
      </c>
      <c r="V123" s="252" t="s">
        <v>4803</v>
      </c>
    </row>
    <row r="124" spans="1:22">
      <c r="A124" s="774"/>
      <c r="B124" s="252" t="s">
        <v>5449</v>
      </c>
      <c r="C124" s="774"/>
      <c r="D124" s="253" t="s">
        <v>5450</v>
      </c>
      <c r="E124" s="252" t="s">
        <v>1743</v>
      </c>
      <c r="F124" s="253" t="s">
        <v>5451</v>
      </c>
      <c r="G124" s="252" t="s">
        <v>5440</v>
      </c>
      <c r="H124" s="252"/>
      <c r="I124" s="254" t="s">
        <v>1736</v>
      </c>
      <c r="J124" s="254" t="s">
        <v>4913</v>
      </c>
      <c r="K124" s="254" t="s">
        <v>4913</v>
      </c>
      <c r="L124" s="255" t="s">
        <v>183</v>
      </c>
      <c r="M124" s="255" t="s">
        <v>183</v>
      </c>
      <c r="N124" s="252"/>
      <c r="O124" s="256">
        <v>44943</v>
      </c>
      <c r="P124" s="253" t="s">
        <v>5441</v>
      </c>
      <c r="Q124" s="252"/>
      <c r="R124" s="252"/>
      <c r="S124" s="252"/>
      <c r="T124" s="252"/>
      <c r="U124" s="256">
        <v>44943</v>
      </c>
      <c r="V124" s="252" t="s">
        <v>4803</v>
      </c>
    </row>
    <row r="125" spans="1:22">
      <c r="A125" s="774"/>
      <c r="B125" s="252" t="s">
        <v>5452</v>
      </c>
      <c r="C125" s="774"/>
      <c r="D125" s="253" t="s">
        <v>5453</v>
      </c>
      <c r="E125" s="252" t="s">
        <v>1743</v>
      </c>
      <c r="F125" s="253" t="s">
        <v>5371</v>
      </c>
      <c r="G125" s="252" t="s">
        <v>5440</v>
      </c>
      <c r="H125" s="252"/>
      <c r="I125" s="254" t="s">
        <v>1736</v>
      </c>
      <c r="J125" s="254" t="s">
        <v>4913</v>
      </c>
      <c r="K125" s="254" t="s">
        <v>4913</v>
      </c>
      <c r="L125" s="255" t="s">
        <v>183</v>
      </c>
      <c r="M125" s="255" t="s">
        <v>183</v>
      </c>
      <c r="N125" s="252"/>
      <c r="O125" s="256">
        <v>44943</v>
      </c>
      <c r="P125" s="253" t="s">
        <v>5441</v>
      </c>
      <c r="Q125" s="252"/>
      <c r="R125" s="252"/>
      <c r="S125" s="252"/>
      <c r="T125" s="252"/>
      <c r="U125" s="256">
        <v>44943</v>
      </c>
      <c r="V125" s="252" t="s">
        <v>4803</v>
      </c>
    </row>
    <row r="126" spans="1:22">
      <c r="A126" s="774"/>
      <c r="B126" s="252" t="s">
        <v>5454</v>
      </c>
      <c r="C126" s="774"/>
      <c r="D126" s="253" t="s">
        <v>5455</v>
      </c>
      <c r="E126" s="252" t="s">
        <v>1743</v>
      </c>
      <c r="F126" s="253" t="s">
        <v>5456</v>
      </c>
      <c r="G126" s="252" t="s">
        <v>5440</v>
      </c>
      <c r="H126" s="252"/>
      <c r="I126" s="254" t="s">
        <v>1736</v>
      </c>
      <c r="J126" s="254" t="s">
        <v>4913</v>
      </c>
      <c r="K126" s="254" t="s">
        <v>4913</v>
      </c>
      <c r="L126" s="255" t="s">
        <v>183</v>
      </c>
      <c r="M126" s="255" t="s">
        <v>183</v>
      </c>
      <c r="N126" s="252"/>
      <c r="O126" s="256">
        <v>44943</v>
      </c>
      <c r="P126" s="253" t="s">
        <v>5441</v>
      </c>
      <c r="Q126" s="252"/>
      <c r="R126" s="252"/>
      <c r="S126" s="252"/>
      <c r="T126" s="252"/>
      <c r="U126" s="256">
        <v>44943</v>
      </c>
      <c r="V126" s="252" t="s">
        <v>4803</v>
      </c>
    </row>
    <row r="127" spans="1:22">
      <c r="A127" s="774"/>
      <c r="B127" s="252" t="s">
        <v>5457</v>
      </c>
      <c r="C127" s="774"/>
      <c r="D127" s="253" t="s">
        <v>5458</v>
      </c>
      <c r="E127" s="252" t="s">
        <v>1743</v>
      </c>
      <c r="F127" s="253" t="s">
        <v>5456</v>
      </c>
      <c r="G127" s="252" t="s">
        <v>5440</v>
      </c>
      <c r="H127" s="252"/>
      <c r="I127" s="254" t="s">
        <v>1736</v>
      </c>
      <c r="J127" s="254" t="s">
        <v>4913</v>
      </c>
      <c r="K127" s="254" t="s">
        <v>4913</v>
      </c>
      <c r="L127" s="255" t="s">
        <v>183</v>
      </c>
      <c r="M127" s="255" t="s">
        <v>183</v>
      </c>
      <c r="N127" s="252"/>
      <c r="O127" s="256">
        <v>44943</v>
      </c>
      <c r="P127" s="253" t="s">
        <v>5441</v>
      </c>
      <c r="Q127" s="252"/>
      <c r="R127" s="252"/>
      <c r="S127" s="252"/>
      <c r="T127" s="252"/>
      <c r="U127" s="256">
        <v>44943</v>
      </c>
      <c r="V127" s="252" t="s">
        <v>4803</v>
      </c>
    </row>
    <row r="128" spans="1:22">
      <c r="A128" s="774"/>
      <c r="B128" s="252" t="s">
        <v>5459</v>
      </c>
      <c r="C128" s="774"/>
      <c r="D128" s="253" t="s">
        <v>5285</v>
      </c>
      <c r="E128" s="252" t="s">
        <v>1743</v>
      </c>
      <c r="F128" s="253" t="s">
        <v>5460</v>
      </c>
      <c r="G128" s="252" t="s">
        <v>5440</v>
      </c>
      <c r="H128" s="252"/>
      <c r="I128" s="254" t="s">
        <v>1736</v>
      </c>
      <c r="J128" s="254" t="s">
        <v>4913</v>
      </c>
      <c r="K128" s="254" t="s">
        <v>4913</v>
      </c>
      <c r="L128" s="255" t="s">
        <v>183</v>
      </c>
      <c r="M128" s="255" t="s">
        <v>183</v>
      </c>
      <c r="N128" s="252"/>
      <c r="O128" s="256">
        <v>44943</v>
      </c>
      <c r="P128" s="253" t="s">
        <v>5441</v>
      </c>
      <c r="Q128" s="252"/>
      <c r="R128" s="252"/>
      <c r="S128" s="252"/>
      <c r="T128" s="252"/>
      <c r="U128" s="256">
        <v>44943</v>
      </c>
      <c r="V128" s="252" t="s">
        <v>4803</v>
      </c>
    </row>
    <row r="129" spans="1:22">
      <c r="A129" s="774"/>
      <c r="B129" s="252" t="s">
        <v>5461</v>
      </c>
      <c r="C129" s="774"/>
      <c r="D129" s="253" t="s">
        <v>5462</v>
      </c>
      <c r="E129" s="252" t="s">
        <v>1743</v>
      </c>
      <c r="F129" s="253" t="s">
        <v>5460</v>
      </c>
      <c r="G129" s="252" t="s">
        <v>5440</v>
      </c>
      <c r="H129" s="252"/>
      <c r="I129" s="254" t="s">
        <v>1736</v>
      </c>
      <c r="J129" s="254" t="s">
        <v>4913</v>
      </c>
      <c r="K129" s="254" t="s">
        <v>4913</v>
      </c>
      <c r="L129" s="255" t="s">
        <v>183</v>
      </c>
      <c r="M129" s="255" t="s">
        <v>183</v>
      </c>
      <c r="N129" s="252"/>
      <c r="O129" s="256">
        <v>44943</v>
      </c>
      <c r="P129" s="253" t="s">
        <v>5441</v>
      </c>
      <c r="Q129" s="252"/>
      <c r="R129" s="252"/>
      <c r="S129" s="252"/>
      <c r="T129" s="252"/>
      <c r="U129" s="256">
        <v>44943</v>
      </c>
      <c r="V129" s="252" t="s">
        <v>4803</v>
      </c>
    </row>
    <row r="130" spans="1:22">
      <c r="A130" s="774"/>
      <c r="B130" s="252" t="s">
        <v>5463</v>
      </c>
      <c r="C130" s="774"/>
      <c r="D130" s="253" t="s">
        <v>5464</v>
      </c>
      <c r="E130" s="252" t="s">
        <v>1743</v>
      </c>
      <c r="F130" s="253" t="s">
        <v>5465</v>
      </c>
      <c r="G130" s="252" t="s">
        <v>5440</v>
      </c>
      <c r="H130" s="252"/>
      <c r="I130" s="254" t="s">
        <v>1736</v>
      </c>
      <c r="J130" s="254" t="s">
        <v>4913</v>
      </c>
      <c r="K130" s="254" t="s">
        <v>4913</v>
      </c>
      <c r="L130" s="255" t="s">
        <v>183</v>
      </c>
      <c r="M130" s="255" t="s">
        <v>183</v>
      </c>
      <c r="N130" s="252"/>
      <c r="O130" s="256">
        <v>44943</v>
      </c>
      <c r="P130" s="253" t="s">
        <v>5441</v>
      </c>
      <c r="Q130" s="252"/>
      <c r="R130" s="252"/>
      <c r="S130" s="252"/>
      <c r="T130" s="252"/>
      <c r="U130" s="256">
        <v>44943</v>
      </c>
      <c r="V130" s="252" t="s">
        <v>4803</v>
      </c>
    </row>
    <row r="131" spans="1:22">
      <c r="A131" s="774"/>
      <c r="B131" s="252" t="s">
        <v>5466</v>
      </c>
      <c r="C131" s="774"/>
      <c r="D131" s="253" t="s">
        <v>5467</v>
      </c>
      <c r="E131" s="252" t="s">
        <v>1743</v>
      </c>
      <c r="F131" s="253" t="s">
        <v>5468</v>
      </c>
      <c r="G131" s="252" t="s">
        <v>5440</v>
      </c>
      <c r="H131" s="252"/>
      <c r="I131" s="254" t="s">
        <v>1736</v>
      </c>
      <c r="J131" s="254" t="s">
        <v>4913</v>
      </c>
      <c r="K131" s="254" t="s">
        <v>4913</v>
      </c>
      <c r="L131" s="255" t="s">
        <v>183</v>
      </c>
      <c r="M131" s="255" t="s">
        <v>183</v>
      </c>
      <c r="N131" s="252"/>
      <c r="O131" s="256">
        <v>44943</v>
      </c>
      <c r="P131" s="253" t="s">
        <v>5441</v>
      </c>
      <c r="Q131" s="252"/>
      <c r="R131" s="252"/>
      <c r="S131" s="252"/>
      <c r="T131" s="252"/>
      <c r="U131" s="256">
        <v>44943</v>
      </c>
      <c r="V131" s="252" t="s">
        <v>4803</v>
      </c>
    </row>
    <row r="132" spans="1:22">
      <c r="A132" s="774"/>
      <c r="B132" s="252" t="s">
        <v>5469</v>
      </c>
      <c r="C132" s="774"/>
      <c r="D132" s="253" t="s">
        <v>5470</v>
      </c>
      <c r="E132" s="252" t="s">
        <v>1743</v>
      </c>
      <c r="F132" s="253" t="s">
        <v>5468</v>
      </c>
      <c r="G132" s="252" t="s">
        <v>5440</v>
      </c>
      <c r="H132" s="252"/>
      <c r="I132" s="254" t="s">
        <v>1736</v>
      </c>
      <c r="J132" s="254" t="s">
        <v>4913</v>
      </c>
      <c r="K132" s="254" t="s">
        <v>4913</v>
      </c>
      <c r="L132" s="255" t="s">
        <v>183</v>
      </c>
      <c r="M132" s="255" t="s">
        <v>183</v>
      </c>
      <c r="N132" s="252"/>
      <c r="O132" s="256">
        <v>44943</v>
      </c>
      <c r="P132" s="253" t="s">
        <v>5441</v>
      </c>
      <c r="Q132" s="252"/>
      <c r="R132" s="252"/>
      <c r="S132" s="252"/>
      <c r="T132" s="252"/>
      <c r="U132" s="256">
        <v>44943</v>
      </c>
      <c r="V132" s="252" t="s">
        <v>4803</v>
      </c>
    </row>
    <row r="133" spans="1:22">
      <c r="A133" s="774"/>
      <c r="B133" s="252" t="s">
        <v>5471</v>
      </c>
      <c r="C133" s="774"/>
      <c r="D133" s="253" t="s">
        <v>5472</v>
      </c>
      <c r="E133" s="252" t="s">
        <v>1743</v>
      </c>
      <c r="F133" s="253" t="s">
        <v>5371</v>
      </c>
      <c r="G133" s="252" t="s">
        <v>5440</v>
      </c>
      <c r="H133" s="252"/>
      <c r="I133" s="254" t="s">
        <v>1736</v>
      </c>
      <c r="J133" s="254" t="s">
        <v>4913</v>
      </c>
      <c r="K133" s="254" t="s">
        <v>4913</v>
      </c>
      <c r="L133" s="255" t="s">
        <v>183</v>
      </c>
      <c r="M133" s="255" t="s">
        <v>183</v>
      </c>
      <c r="N133" s="252"/>
      <c r="O133" s="256">
        <v>44943</v>
      </c>
      <c r="P133" s="253" t="s">
        <v>5441</v>
      </c>
      <c r="Q133" s="252"/>
      <c r="R133" s="252"/>
      <c r="S133" s="252"/>
      <c r="T133" s="252"/>
      <c r="U133" s="256">
        <v>44943</v>
      </c>
      <c r="V133" s="252" t="s">
        <v>4803</v>
      </c>
    </row>
    <row r="134" spans="1:22">
      <c r="A134" s="773"/>
      <c r="B134" s="252" t="s">
        <v>5473</v>
      </c>
      <c r="C134" s="773"/>
      <c r="D134" s="253" t="s">
        <v>5474</v>
      </c>
      <c r="E134" s="252" t="s">
        <v>1743</v>
      </c>
      <c r="F134" s="253" t="s">
        <v>5451</v>
      </c>
      <c r="G134" s="252" t="s">
        <v>5440</v>
      </c>
      <c r="H134" s="252"/>
      <c r="I134" s="254" t="s">
        <v>1736</v>
      </c>
      <c r="J134" s="254" t="s">
        <v>4913</v>
      </c>
      <c r="K134" s="254" t="s">
        <v>4913</v>
      </c>
      <c r="L134" s="255" t="s">
        <v>183</v>
      </c>
      <c r="M134" s="255" t="s">
        <v>183</v>
      </c>
      <c r="N134" s="252"/>
      <c r="O134" s="256">
        <v>44943</v>
      </c>
      <c r="P134" s="253" t="s">
        <v>5441</v>
      </c>
      <c r="Q134" s="252"/>
      <c r="R134" s="252"/>
      <c r="S134" s="252"/>
      <c r="T134" s="252"/>
      <c r="U134" s="256">
        <v>44943</v>
      </c>
      <c r="V134" s="252" t="s">
        <v>4803</v>
      </c>
    </row>
    <row r="135" spans="1:22">
      <c r="A135" s="703" t="s">
        <v>5475</v>
      </c>
      <c r="B135" s="252" t="s">
        <v>5476</v>
      </c>
      <c r="C135" s="704" t="s">
        <v>5477</v>
      </c>
      <c r="D135" s="253" t="s">
        <v>5438</v>
      </c>
      <c r="E135" s="252" t="s">
        <v>1732</v>
      </c>
      <c r="F135" s="253" t="s">
        <v>5439</v>
      </c>
      <c r="G135" s="252" t="s">
        <v>5478</v>
      </c>
      <c r="H135" s="252"/>
      <c r="I135" s="254" t="s">
        <v>1736</v>
      </c>
      <c r="J135" s="254" t="s">
        <v>4913</v>
      </c>
      <c r="K135" s="254" t="s">
        <v>4913</v>
      </c>
      <c r="L135" s="255" t="s">
        <v>183</v>
      </c>
      <c r="M135" s="255" t="s">
        <v>183</v>
      </c>
      <c r="N135" s="252"/>
      <c r="O135" s="256">
        <v>44953</v>
      </c>
      <c r="P135" s="253" t="s">
        <v>5479</v>
      </c>
      <c r="Q135" s="252"/>
      <c r="R135" s="252"/>
      <c r="S135" s="252"/>
      <c r="T135" s="252"/>
      <c r="U135" s="256">
        <v>44953</v>
      </c>
      <c r="V135" s="252" t="s">
        <v>4803</v>
      </c>
    </row>
    <row r="136" spans="1:22">
      <c r="A136" s="774"/>
      <c r="B136" s="252" t="s">
        <v>5480</v>
      </c>
      <c r="C136" s="774"/>
      <c r="D136" s="253" t="s">
        <v>5443</v>
      </c>
      <c r="E136" s="252" t="s">
        <v>1732</v>
      </c>
      <c r="F136" s="253" t="s">
        <v>5481</v>
      </c>
      <c r="G136" s="252" t="s">
        <v>5478</v>
      </c>
      <c r="H136" s="252"/>
      <c r="I136" s="254" t="s">
        <v>1736</v>
      </c>
      <c r="J136" s="254" t="s">
        <v>4913</v>
      </c>
      <c r="K136" s="254" t="s">
        <v>4913</v>
      </c>
      <c r="L136" s="255" t="s">
        <v>183</v>
      </c>
      <c r="M136" s="255" t="s">
        <v>183</v>
      </c>
      <c r="N136" s="252"/>
      <c r="O136" s="256">
        <v>44953</v>
      </c>
      <c r="P136" s="253" t="s">
        <v>5479</v>
      </c>
      <c r="Q136" s="252"/>
      <c r="R136" s="252"/>
      <c r="S136" s="252"/>
      <c r="T136" s="252"/>
      <c r="U136" s="256">
        <v>44953</v>
      </c>
      <c r="V136" s="252" t="s">
        <v>4803</v>
      </c>
    </row>
    <row r="137" spans="1:22">
      <c r="A137" s="774"/>
      <c r="B137" s="252" t="s">
        <v>5482</v>
      </c>
      <c r="C137" s="774"/>
      <c r="D137" s="253" t="s">
        <v>5445</v>
      </c>
      <c r="E137" s="252" t="s">
        <v>1732</v>
      </c>
      <c r="F137" s="253" t="s">
        <v>5439</v>
      </c>
      <c r="G137" s="252" t="s">
        <v>5478</v>
      </c>
      <c r="H137" s="252"/>
      <c r="I137" s="254" t="s">
        <v>1736</v>
      </c>
      <c r="J137" s="254" t="s">
        <v>4913</v>
      </c>
      <c r="K137" s="254" t="s">
        <v>4913</v>
      </c>
      <c r="L137" s="255" t="s">
        <v>183</v>
      </c>
      <c r="M137" s="255" t="s">
        <v>183</v>
      </c>
      <c r="N137" s="252"/>
      <c r="O137" s="256">
        <v>44953</v>
      </c>
      <c r="P137" s="253" t="s">
        <v>5479</v>
      </c>
      <c r="Q137" s="252"/>
      <c r="R137" s="252"/>
      <c r="S137" s="252"/>
      <c r="T137" s="252"/>
      <c r="U137" s="256">
        <v>44953</v>
      </c>
      <c r="V137" s="252" t="s">
        <v>4803</v>
      </c>
    </row>
    <row r="138" spans="1:22">
      <c r="A138" s="774"/>
      <c r="B138" s="252" t="s">
        <v>5483</v>
      </c>
      <c r="C138" s="774"/>
      <c r="D138" s="253" t="s">
        <v>5484</v>
      </c>
      <c r="E138" s="252" t="s">
        <v>1732</v>
      </c>
      <c r="F138" s="253" t="s">
        <v>5456</v>
      </c>
      <c r="G138" s="252" t="s">
        <v>5478</v>
      </c>
      <c r="H138" s="252"/>
      <c r="I138" s="254" t="s">
        <v>1736</v>
      </c>
      <c r="J138" s="254" t="s">
        <v>4913</v>
      </c>
      <c r="K138" s="254" t="s">
        <v>4913</v>
      </c>
      <c r="L138" s="255" t="s">
        <v>183</v>
      </c>
      <c r="M138" s="255" t="s">
        <v>183</v>
      </c>
      <c r="N138" s="252"/>
      <c r="O138" s="256">
        <v>44953</v>
      </c>
      <c r="P138" s="253" t="s">
        <v>5479</v>
      </c>
      <c r="Q138" s="252"/>
      <c r="R138" s="252"/>
      <c r="S138" s="252"/>
      <c r="T138" s="252"/>
      <c r="U138" s="256">
        <v>44953</v>
      </c>
      <c r="V138" s="252" t="s">
        <v>4803</v>
      </c>
    </row>
    <row r="139" spans="1:22">
      <c r="A139" s="774"/>
      <c r="B139" s="252" t="s">
        <v>5485</v>
      </c>
      <c r="C139" s="774"/>
      <c r="D139" s="253" t="s">
        <v>5486</v>
      </c>
      <c r="E139" s="252" t="s">
        <v>1732</v>
      </c>
      <c r="F139" s="253" t="s">
        <v>5446</v>
      </c>
      <c r="G139" s="252" t="s">
        <v>5478</v>
      </c>
      <c r="H139" s="252"/>
      <c r="I139" s="254" t="s">
        <v>1736</v>
      </c>
      <c r="J139" s="254" t="s">
        <v>4913</v>
      </c>
      <c r="K139" s="254" t="s">
        <v>4913</v>
      </c>
      <c r="L139" s="255" t="s">
        <v>183</v>
      </c>
      <c r="M139" s="255" t="s">
        <v>183</v>
      </c>
      <c r="N139" s="252"/>
      <c r="O139" s="256">
        <v>44953</v>
      </c>
      <c r="P139" s="253" t="s">
        <v>5479</v>
      </c>
      <c r="Q139" s="252"/>
      <c r="R139" s="252"/>
      <c r="S139" s="252"/>
      <c r="T139" s="252"/>
      <c r="U139" s="256">
        <v>44953</v>
      </c>
      <c r="V139" s="252" t="s">
        <v>4803</v>
      </c>
    </row>
    <row r="140" spans="1:22">
      <c r="A140" s="774"/>
      <c r="B140" s="252" t="s">
        <v>5487</v>
      </c>
      <c r="C140" s="774"/>
      <c r="D140" s="253" t="s">
        <v>5488</v>
      </c>
      <c r="E140" s="252" t="s">
        <v>1732</v>
      </c>
      <c r="F140" s="253" t="s">
        <v>5446</v>
      </c>
      <c r="G140" s="252" t="s">
        <v>5478</v>
      </c>
      <c r="H140" s="252"/>
      <c r="I140" s="254" t="s">
        <v>1736</v>
      </c>
      <c r="J140" s="254" t="s">
        <v>4913</v>
      </c>
      <c r="K140" s="254" t="s">
        <v>4913</v>
      </c>
      <c r="L140" s="255" t="s">
        <v>183</v>
      </c>
      <c r="M140" s="255" t="s">
        <v>183</v>
      </c>
      <c r="N140" s="252"/>
      <c r="O140" s="256">
        <v>44953</v>
      </c>
      <c r="P140" s="253" t="s">
        <v>5479</v>
      </c>
      <c r="Q140" s="252"/>
      <c r="R140" s="252"/>
      <c r="S140" s="252"/>
      <c r="T140" s="252"/>
      <c r="U140" s="256">
        <v>44953</v>
      </c>
      <c r="V140" s="252" t="s">
        <v>4803</v>
      </c>
    </row>
    <row r="141" spans="1:22">
      <c r="A141" s="774"/>
      <c r="B141" s="252" t="s">
        <v>5489</v>
      </c>
      <c r="C141" s="774"/>
      <c r="D141" s="253" t="s">
        <v>5450</v>
      </c>
      <c r="E141" s="252" t="s">
        <v>1743</v>
      </c>
      <c r="F141" s="253" t="s">
        <v>5451</v>
      </c>
      <c r="G141" s="252" t="s">
        <v>5478</v>
      </c>
      <c r="H141" s="252"/>
      <c r="I141" s="254" t="s">
        <v>1736</v>
      </c>
      <c r="J141" s="254" t="s">
        <v>4913</v>
      </c>
      <c r="K141" s="254" t="s">
        <v>4913</v>
      </c>
      <c r="L141" s="255" t="s">
        <v>183</v>
      </c>
      <c r="M141" s="255" t="s">
        <v>183</v>
      </c>
      <c r="N141" s="252"/>
      <c r="O141" s="256">
        <v>44953</v>
      </c>
      <c r="P141" s="253" t="s">
        <v>5479</v>
      </c>
      <c r="Q141" s="252"/>
      <c r="R141" s="252"/>
      <c r="S141" s="252"/>
      <c r="T141" s="252"/>
      <c r="U141" s="256">
        <v>44953</v>
      </c>
      <c r="V141" s="252" t="s">
        <v>4803</v>
      </c>
    </row>
    <row r="142" spans="1:22">
      <c r="A142" s="774"/>
      <c r="B142" s="252" t="s">
        <v>5490</v>
      </c>
      <c r="C142" s="774"/>
      <c r="D142" s="253" t="s">
        <v>5491</v>
      </c>
      <c r="E142" s="252" t="s">
        <v>1743</v>
      </c>
      <c r="F142" s="253" t="s">
        <v>5371</v>
      </c>
      <c r="G142" s="252" t="s">
        <v>5478</v>
      </c>
      <c r="H142" s="252"/>
      <c r="I142" s="254" t="s">
        <v>1736</v>
      </c>
      <c r="J142" s="254" t="s">
        <v>4913</v>
      </c>
      <c r="K142" s="254" t="s">
        <v>4913</v>
      </c>
      <c r="L142" s="255" t="s">
        <v>183</v>
      </c>
      <c r="M142" s="255" t="s">
        <v>183</v>
      </c>
      <c r="N142" s="252"/>
      <c r="O142" s="256">
        <v>44953</v>
      </c>
      <c r="P142" s="253" t="s">
        <v>5479</v>
      </c>
      <c r="Q142" s="252"/>
      <c r="R142" s="252"/>
      <c r="S142" s="252"/>
      <c r="T142" s="252"/>
      <c r="U142" s="256">
        <v>44953</v>
      </c>
      <c r="V142" s="252" t="s">
        <v>4803</v>
      </c>
    </row>
    <row r="143" spans="1:22">
      <c r="A143" s="774"/>
      <c r="B143" s="252" t="s">
        <v>5492</v>
      </c>
      <c r="C143" s="774"/>
      <c r="D143" s="253" t="s">
        <v>5493</v>
      </c>
      <c r="E143" s="252" t="s">
        <v>1743</v>
      </c>
      <c r="F143" s="253" t="s">
        <v>5456</v>
      </c>
      <c r="G143" s="252" t="s">
        <v>5478</v>
      </c>
      <c r="H143" s="252"/>
      <c r="I143" s="254" t="s">
        <v>1736</v>
      </c>
      <c r="J143" s="254" t="s">
        <v>4913</v>
      </c>
      <c r="K143" s="254" t="s">
        <v>4913</v>
      </c>
      <c r="L143" s="255" t="s">
        <v>183</v>
      </c>
      <c r="M143" s="255" t="s">
        <v>183</v>
      </c>
      <c r="N143" s="252"/>
      <c r="O143" s="256">
        <v>44953</v>
      </c>
      <c r="P143" s="253" t="s">
        <v>5479</v>
      </c>
      <c r="Q143" s="252"/>
      <c r="R143" s="252"/>
      <c r="S143" s="252"/>
      <c r="T143" s="252"/>
      <c r="U143" s="256">
        <v>44953</v>
      </c>
      <c r="V143" s="252" t="s">
        <v>4803</v>
      </c>
    </row>
    <row r="144" spans="1:22">
      <c r="A144" s="774"/>
      <c r="B144" s="252" t="s">
        <v>5494</v>
      </c>
      <c r="C144" s="774"/>
      <c r="D144" s="253" t="s">
        <v>5495</v>
      </c>
      <c r="E144" s="252" t="s">
        <v>1743</v>
      </c>
      <c r="F144" s="253" t="s">
        <v>5496</v>
      </c>
      <c r="G144" s="252" t="s">
        <v>5478</v>
      </c>
      <c r="H144" s="252"/>
      <c r="I144" s="254" t="s">
        <v>1736</v>
      </c>
      <c r="J144" s="254" t="s">
        <v>4913</v>
      </c>
      <c r="K144" s="254" t="s">
        <v>4913</v>
      </c>
      <c r="L144" s="255" t="s">
        <v>183</v>
      </c>
      <c r="M144" s="255" t="s">
        <v>183</v>
      </c>
      <c r="N144" s="252"/>
      <c r="O144" s="256">
        <v>44953</v>
      </c>
      <c r="P144" s="253" t="s">
        <v>5479</v>
      </c>
      <c r="Q144" s="252"/>
      <c r="R144" s="252"/>
      <c r="S144" s="252"/>
      <c r="T144" s="252"/>
      <c r="U144" s="256">
        <v>44953</v>
      </c>
      <c r="V144" s="252" t="s">
        <v>4803</v>
      </c>
    </row>
    <row r="145" spans="1:22">
      <c r="A145" s="774"/>
      <c r="B145" s="252" t="s">
        <v>5497</v>
      </c>
      <c r="C145" s="774"/>
      <c r="D145" s="253" t="s">
        <v>5285</v>
      </c>
      <c r="E145" s="252" t="s">
        <v>1743</v>
      </c>
      <c r="F145" s="253" t="s">
        <v>5460</v>
      </c>
      <c r="G145" s="252" t="s">
        <v>5478</v>
      </c>
      <c r="H145" s="252"/>
      <c r="I145" s="254" t="s">
        <v>1736</v>
      </c>
      <c r="J145" s="254" t="s">
        <v>4913</v>
      </c>
      <c r="K145" s="254" t="s">
        <v>4913</v>
      </c>
      <c r="L145" s="255" t="s">
        <v>183</v>
      </c>
      <c r="M145" s="255" t="s">
        <v>183</v>
      </c>
      <c r="N145" s="252"/>
      <c r="O145" s="256">
        <v>44953</v>
      </c>
      <c r="P145" s="253" t="s">
        <v>5479</v>
      </c>
      <c r="Q145" s="252"/>
      <c r="R145" s="252"/>
      <c r="S145" s="252"/>
      <c r="T145" s="252"/>
      <c r="U145" s="256">
        <v>44953</v>
      </c>
      <c r="V145" s="252" t="s">
        <v>4803</v>
      </c>
    </row>
    <row r="146" spans="1:22">
      <c r="A146" s="774"/>
      <c r="B146" s="252" t="s">
        <v>5498</v>
      </c>
      <c r="C146" s="774"/>
      <c r="D146" s="253" t="s">
        <v>5462</v>
      </c>
      <c r="E146" s="252" t="s">
        <v>1743</v>
      </c>
      <c r="F146" s="253" t="s">
        <v>5499</v>
      </c>
      <c r="G146" s="252" t="s">
        <v>5478</v>
      </c>
      <c r="H146" s="252"/>
      <c r="I146" s="254" t="s">
        <v>1736</v>
      </c>
      <c r="J146" s="254" t="s">
        <v>4913</v>
      </c>
      <c r="K146" s="254" t="s">
        <v>4913</v>
      </c>
      <c r="L146" s="255" t="s">
        <v>183</v>
      </c>
      <c r="M146" s="255" t="s">
        <v>183</v>
      </c>
      <c r="N146" s="252"/>
      <c r="O146" s="256">
        <v>44953</v>
      </c>
      <c r="P146" s="253" t="s">
        <v>5479</v>
      </c>
      <c r="Q146" s="252"/>
      <c r="R146" s="252"/>
      <c r="S146" s="252"/>
      <c r="T146" s="252"/>
      <c r="U146" s="256">
        <v>44953</v>
      </c>
      <c r="V146" s="252" t="s">
        <v>4803</v>
      </c>
    </row>
    <row r="147" spans="1:22">
      <c r="A147" s="774"/>
      <c r="B147" s="252" t="s">
        <v>5500</v>
      </c>
      <c r="C147" s="774"/>
      <c r="D147" s="253" t="s">
        <v>5470</v>
      </c>
      <c r="E147" s="252" t="s">
        <v>1743</v>
      </c>
      <c r="F147" s="253" t="s">
        <v>5371</v>
      </c>
      <c r="G147" s="252" t="s">
        <v>5478</v>
      </c>
      <c r="H147" s="252"/>
      <c r="I147" s="254" t="s">
        <v>1736</v>
      </c>
      <c r="J147" s="254" t="s">
        <v>4913</v>
      </c>
      <c r="K147" s="254" t="s">
        <v>4913</v>
      </c>
      <c r="L147" s="255" t="s">
        <v>183</v>
      </c>
      <c r="M147" s="255" t="s">
        <v>183</v>
      </c>
      <c r="N147" s="252"/>
      <c r="O147" s="256">
        <v>44953</v>
      </c>
      <c r="P147" s="253" t="s">
        <v>5479</v>
      </c>
      <c r="Q147" s="252"/>
      <c r="R147" s="252"/>
      <c r="S147" s="252"/>
      <c r="T147" s="252"/>
      <c r="U147" s="256">
        <v>44953</v>
      </c>
      <c r="V147" s="252" t="s">
        <v>4803</v>
      </c>
    </row>
    <row r="148" spans="1:22">
      <c r="A148" s="774"/>
      <c r="B148" s="252" t="s">
        <v>5501</v>
      </c>
      <c r="C148" s="774"/>
      <c r="D148" s="253" t="s">
        <v>5467</v>
      </c>
      <c r="E148" s="252" t="s">
        <v>1743</v>
      </c>
      <c r="F148" s="253" t="s">
        <v>5371</v>
      </c>
      <c r="G148" s="252" t="s">
        <v>5478</v>
      </c>
      <c r="H148" s="252"/>
      <c r="I148" s="254" t="s">
        <v>1736</v>
      </c>
      <c r="J148" s="254" t="s">
        <v>4913</v>
      </c>
      <c r="K148" s="254" t="s">
        <v>4913</v>
      </c>
      <c r="L148" s="255" t="s">
        <v>183</v>
      </c>
      <c r="M148" s="255" t="s">
        <v>183</v>
      </c>
      <c r="N148" s="252"/>
      <c r="O148" s="256">
        <v>44953</v>
      </c>
      <c r="P148" s="253" t="s">
        <v>5479</v>
      </c>
      <c r="Q148" s="252"/>
      <c r="R148" s="252"/>
      <c r="S148" s="252"/>
      <c r="T148" s="252"/>
      <c r="U148" s="256">
        <v>44953</v>
      </c>
      <c r="V148" s="252" t="s">
        <v>4803</v>
      </c>
    </row>
    <row r="149" spans="1:22">
      <c r="A149" s="774"/>
      <c r="B149" s="252" t="s">
        <v>5502</v>
      </c>
      <c r="C149" s="774"/>
      <c r="D149" s="253" t="s">
        <v>5503</v>
      </c>
      <c r="E149" s="252" t="s">
        <v>1743</v>
      </c>
      <c r="F149" s="253" t="s">
        <v>5371</v>
      </c>
      <c r="G149" s="252" t="s">
        <v>5478</v>
      </c>
      <c r="H149" s="252"/>
      <c r="I149" s="254" t="s">
        <v>1736</v>
      </c>
      <c r="J149" s="254" t="s">
        <v>4913</v>
      </c>
      <c r="K149" s="254" t="s">
        <v>4913</v>
      </c>
      <c r="L149" s="255" t="s">
        <v>183</v>
      </c>
      <c r="M149" s="255" t="s">
        <v>183</v>
      </c>
      <c r="N149" s="252"/>
      <c r="O149" s="256">
        <v>44953</v>
      </c>
      <c r="P149" s="253" t="s">
        <v>5479</v>
      </c>
      <c r="Q149" s="252"/>
      <c r="R149" s="252"/>
      <c r="S149" s="252"/>
      <c r="T149" s="252"/>
      <c r="U149" s="256">
        <v>44953</v>
      </c>
      <c r="V149" s="252" t="s">
        <v>4803</v>
      </c>
    </row>
    <row r="150" spans="1:22">
      <c r="A150" s="774"/>
      <c r="B150" s="252" t="s">
        <v>5504</v>
      </c>
      <c r="C150" s="774"/>
      <c r="D150" s="253" t="s">
        <v>5472</v>
      </c>
      <c r="E150" s="252" t="s">
        <v>1743</v>
      </c>
      <c r="F150" s="253" t="s">
        <v>5371</v>
      </c>
      <c r="G150" s="252" t="s">
        <v>5478</v>
      </c>
      <c r="H150" s="252"/>
      <c r="I150" s="254" t="s">
        <v>1736</v>
      </c>
      <c r="J150" s="254" t="s">
        <v>4913</v>
      </c>
      <c r="K150" s="254" t="s">
        <v>4913</v>
      </c>
      <c r="L150" s="255" t="s">
        <v>183</v>
      </c>
      <c r="M150" s="255" t="s">
        <v>183</v>
      </c>
      <c r="N150" s="252"/>
      <c r="O150" s="256">
        <v>44953</v>
      </c>
      <c r="P150" s="253" t="s">
        <v>5479</v>
      </c>
      <c r="Q150" s="252"/>
      <c r="R150" s="252"/>
      <c r="S150" s="252"/>
      <c r="T150" s="252"/>
      <c r="U150" s="256">
        <v>44953</v>
      </c>
      <c r="V150" s="252" t="s">
        <v>4803</v>
      </c>
    </row>
    <row r="151" spans="1:22">
      <c r="A151" s="774"/>
      <c r="B151" s="252" t="s">
        <v>5505</v>
      </c>
      <c r="C151" s="774"/>
      <c r="D151" s="253" t="s">
        <v>5474</v>
      </c>
      <c r="E151" s="252" t="s">
        <v>1743</v>
      </c>
      <c r="F151" s="253" t="s">
        <v>5496</v>
      </c>
      <c r="G151" s="252" t="s">
        <v>5478</v>
      </c>
      <c r="H151" s="252"/>
      <c r="I151" s="254" t="s">
        <v>1736</v>
      </c>
      <c r="J151" s="254" t="s">
        <v>4913</v>
      </c>
      <c r="K151" s="254" t="s">
        <v>4913</v>
      </c>
      <c r="L151" s="255" t="s">
        <v>183</v>
      </c>
      <c r="M151" s="255" t="s">
        <v>183</v>
      </c>
      <c r="N151" s="252"/>
      <c r="O151" s="256">
        <v>44953</v>
      </c>
      <c r="P151" s="253" t="s">
        <v>5479</v>
      </c>
      <c r="Q151" s="252"/>
      <c r="R151" s="252"/>
      <c r="S151" s="252"/>
      <c r="T151" s="252"/>
      <c r="U151" s="256">
        <v>44953</v>
      </c>
      <c r="V151" s="252" t="s">
        <v>4803</v>
      </c>
    </row>
    <row r="152" spans="1:22">
      <c r="A152" s="773"/>
      <c r="B152" s="252" t="s">
        <v>5506</v>
      </c>
      <c r="C152" s="773"/>
      <c r="D152" s="253" t="s">
        <v>5507</v>
      </c>
      <c r="E152" s="252" t="s">
        <v>1743</v>
      </c>
      <c r="F152" s="253" t="s">
        <v>5371</v>
      </c>
      <c r="G152" s="252" t="s">
        <v>5478</v>
      </c>
      <c r="H152" s="252"/>
      <c r="I152" s="254" t="s">
        <v>1736</v>
      </c>
      <c r="J152" s="254" t="s">
        <v>4913</v>
      </c>
      <c r="K152" s="254" t="s">
        <v>4913</v>
      </c>
      <c r="L152" s="255" t="s">
        <v>183</v>
      </c>
      <c r="M152" s="255" t="s">
        <v>183</v>
      </c>
      <c r="N152" s="252"/>
      <c r="O152" s="256">
        <v>44953</v>
      </c>
      <c r="P152" s="253" t="s">
        <v>5479</v>
      </c>
      <c r="Q152" s="252"/>
      <c r="R152" s="252"/>
      <c r="S152" s="252"/>
      <c r="T152" s="252"/>
      <c r="U152" s="256">
        <v>44953</v>
      </c>
      <c r="V152" s="252" t="s">
        <v>4803</v>
      </c>
    </row>
    <row r="153" spans="1:22">
      <c r="A153" s="703" t="s">
        <v>5508</v>
      </c>
      <c r="B153" s="252" t="s">
        <v>5509</v>
      </c>
      <c r="C153" s="704" t="s">
        <v>5510</v>
      </c>
      <c r="D153" s="253" t="s">
        <v>5438</v>
      </c>
      <c r="E153" s="252" t="s">
        <v>1732</v>
      </c>
      <c r="F153" s="253" t="s">
        <v>5439</v>
      </c>
      <c r="G153" s="252" t="s">
        <v>5511</v>
      </c>
      <c r="H153" s="252"/>
      <c r="I153" s="254" t="s">
        <v>1736</v>
      </c>
      <c r="J153" s="254" t="s">
        <v>4913</v>
      </c>
      <c r="K153" s="254" t="s">
        <v>4913</v>
      </c>
      <c r="L153" s="255" t="s">
        <v>183</v>
      </c>
      <c r="M153" s="255" t="s">
        <v>183</v>
      </c>
      <c r="N153" s="252"/>
      <c r="O153" s="256">
        <v>44960</v>
      </c>
      <c r="P153" s="253" t="s">
        <v>5512</v>
      </c>
      <c r="Q153" s="252"/>
      <c r="R153" s="252"/>
      <c r="S153" s="252"/>
      <c r="T153" s="252"/>
      <c r="U153" s="256">
        <v>44960</v>
      </c>
      <c r="V153" s="252" t="s">
        <v>4803</v>
      </c>
    </row>
    <row r="154" spans="1:22">
      <c r="A154" s="774"/>
      <c r="B154" s="252" t="s">
        <v>5513</v>
      </c>
      <c r="C154" s="774"/>
      <c r="D154" s="253" t="s">
        <v>5443</v>
      </c>
      <c r="E154" s="252" t="s">
        <v>1732</v>
      </c>
      <c r="F154" s="253" t="s">
        <v>5439</v>
      </c>
      <c r="G154" s="252" t="s">
        <v>5511</v>
      </c>
      <c r="H154" s="252"/>
      <c r="I154" s="254" t="s">
        <v>1736</v>
      </c>
      <c r="J154" s="254" t="s">
        <v>4913</v>
      </c>
      <c r="K154" s="254" t="s">
        <v>4913</v>
      </c>
      <c r="L154" s="255" t="s">
        <v>183</v>
      </c>
      <c r="M154" s="255" t="s">
        <v>183</v>
      </c>
      <c r="N154" s="252"/>
      <c r="O154" s="256">
        <v>44960</v>
      </c>
      <c r="P154" s="253" t="s">
        <v>5512</v>
      </c>
      <c r="Q154" s="252"/>
      <c r="R154" s="252"/>
      <c r="S154" s="252"/>
      <c r="T154" s="252"/>
      <c r="U154" s="256">
        <v>44960</v>
      </c>
      <c r="V154" s="252" t="s">
        <v>4803</v>
      </c>
    </row>
    <row r="155" spans="1:22">
      <c r="A155" s="774"/>
      <c r="B155" s="252" t="s">
        <v>5514</v>
      </c>
      <c r="C155" s="774"/>
      <c r="D155" s="253" t="s">
        <v>5445</v>
      </c>
      <c r="E155" s="252" t="s">
        <v>1732</v>
      </c>
      <c r="F155" s="253" t="s">
        <v>5446</v>
      </c>
      <c r="G155" s="252" t="s">
        <v>5511</v>
      </c>
      <c r="H155" s="252"/>
      <c r="I155" s="254" t="s">
        <v>1736</v>
      </c>
      <c r="J155" s="254" t="s">
        <v>4913</v>
      </c>
      <c r="K155" s="254" t="s">
        <v>4913</v>
      </c>
      <c r="L155" s="255" t="s">
        <v>183</v>
      </c>
      <c r="M155" s="255" t="s">
        <v>183</v>
      </c>
      <c r="N155" s="252"/>
      <c r="O155" s="256">
        <v>44960</v>
      </c>
      <c r="P155" s="253" t="s">
        <v>5512</v>
      </c>
      <c r="Q155" s="252"/>
      <c r="R155" s="252"/>
      <c r="S155" s="252"/>
      <c r="T155" s="252"/>
      <c r="U155" s="256">
        <v>44960</v>
      </c>
      <c r="V155" s="252" t="s">
        <v>4803</v>
      </c>
    </row>
    <row r="156" spans="1:22">
      <c r="A156" s="774"/>
      <c r="B156" s="252" t="s">
        <v>5515</v>
      </c>
      <c r="C156" s="774"/>
      <c r="D156" s="253" t="s">
        <v>5516</v>
      </c>
      <c r="E156" s="252" t="s">
        <v>1732</v>
      </c>
      <c r="F156" s="253" t="s">
        <v>5456</v>
      </c>
      <c r="G156" s="252" t="s">
        <v>5511</v>
      </c>
      <c r="H156" s="252"/>
      <c r="I156" s="254" t="s">
        <v>1736</v>
      </c>
      <c r="J156" s="254" t="s">
        <v>4913</v>
      </c>
      <c r="K156" s="254" t="s">
        <v>4913</v>
      </c>
      <c r="L156" s="255" t="s">
        <v>183</v>
      </c>
      <c r="M156" s="255" t="s">
        <v>183</v>
      </c>
      <c r="N156" s="252"/>
      <c r="O156" s="256">
        <v>44960</v>
      </c>
      <c r="P156" s="253" t="s">
        <v>5512</v>
      </c>
      <c r="Q156" s="252"/>
      <c r="R156" s="252"/>
      <c r="S156" s="252"/>
      <c r="T156" s="252"/>
      <c r="U156" s="256">
        <v>44960</v>
      </c>
      <c r="V156" s="252" t="s">
        <v>4803</v>
      </c>
    </row>
    <row r="157" spans="1:22">
      <c r="A157" s="774"/>
      <c r="B157" s="252" t="s">
        <v>5517</v>
      </c>
      <c r="C157" s="774"/>
      <c r="D157" s="253" t="s">
        <v>5450</v>
      </c>
      <c r="E157" s="252" t="s">
        <v>1743</v>
      </c>
      <c r="F157" s="253" t="s">
        <v>5451</v>
      </c>
      <c r="G157" s="252" t="s">
        <v>5511</v>
      </c>
      <c r="H157" s="252"/>
      <c r="I157" s="254" t="s">
        <v>1736</v>
      </c>
      <c r="J157" s="254" t="s">
        <v>4913</v>
      </c>
      <c r="K157" s="254" t="s">
        <v>4913</v>
      </c>
      <c r="L157" s="255" t="s">
        <v>183</v>
      </c>
      <c r="M157" s="255" t="s">
        <v>183</v>
      </c>
      <c r="N157" s="252"/>
      <c r="O157" s="256">
        <v>44960</v>
      </c>
      <c r="P157" s="253" t="s">
        <v>5512</v>
      </c>
      <c r="Q157" s="252"/>
      <c r="R157" s="252"/>
      <c r="S157" s="252"/>
      <c r="T157" s="252"/>
      <c r="U157" s="256">
        <v>44960</v>
      </c>
      <c r="V157" s="252" t="s">
        <v>4803</v>
      </c>
    </row>
    <row r="158" spans="1:22">
      <c r="A158" s="774"/>
      <c r="B158" s="252" t="s">
        <v>5518</v>
      </c>
      <c r="C158" s="774"/>
      <c r="D158" s="253" t="s">
        <v>5453</v>
      </c>
      <c r="E158" s="252" t="s">
        <v>1743</v>
      </c>
      <c r="F158" s="253" t="s">
        <v>5371</v>
      </c>
      <c r="G158" s="252" t="s">
        <v>5511</v>
      </c>
      <c r="H158" s="252"/>
      <c r="I158" s="254" t="s">
        <v>1736</v>
      </c>
      <c r="J158" s="254" t="s">
        <v>4913</v>
      </c>
      <c r="K158" s="254" t="s">
        <v>4913</v>
      </c>
      <c r="L158" s="255" t="s">
        <v>183</v>
      </c>
      <c r="M158" s="255" t="s">
        <v>183</v>
      </c>
      <c r="N158" s="252"/>
      <c r="O158" s="256">
        <v>44960</v>
      </c>
      <c r="P158" s="253" t="s">
        <v>5512</v>
      </c>
      <c r="Q158" s="252"/>
      <c r="R158" s="252"/>
      <c r="S158" s="252"/>
      <c r="T158" s="252"/>
      <c r="U158" s="256">
        <v>44960</v>
      </c>
      <c r="V158" s="252" t="s">
        <v>4803</v>
      </c>
    </row>
    <row r="159" spans="1:22">
      <c r="A159" s="774"/>
      <c r="B159" s="252" t="s">
        <v>5519</v>
      </c>
      <c r="C159" s="774"/>
      <c r="D159" s="253" t="s">
        <v>5455</v>
      </c>
      <c r="E159" s="252" t="s">
        <v>1743</v>
      </c>
      <c r="F159" s="253" t="s">
        <v>5456</v>
      </c>
      <c r="G159" s="252" t="s">
        <v>5511</v>
      </c>
      <c r="H159" s="252"/>
      <c r="I159" s="254" t="s">
        <v>1736</v>
      </c>
      <c r="J159" s="254" t="s">
        <v>4913</v>
      </c>
      <c r="K159" s="254" t="s">
        <v>4913</v>
      </c>
      <c r="L159" s="255" t="s">
        <v>183</v>
      </c>
      <c r="M159" s="255" t="s">
        <v>183</v>
      </c>
      <c r="N159" s="252"/>
      <c r="O159" s="256">
        <v>44960</v>
      </c>
      <c r="P159" s="253" t="s">
        <v>5512</v>
      </c>
      <c r="Q159" s="252"/>
      <c r="R159" s="252"/>
      <c r="S159" s="252"/>
      <c r="T159" s="252"/>
      <c r="U159" s="256">
        <v>44960</v>
      </c>
      <c r="V159" s="252" t="s">
        <v>4803</v>
      </c>
    </row>
    <row r="160" spans="1:22">
      <c r="A160" s="774"/>
      <c r="B160" s="252" t="s">
        <v>5520</v>
      </c>
      <c r="C160" s="774"/>
      <c r="D160" s="253" t="s">
        <v>5458</v>
      </c>
      <c r="E160" s="252" t="s">
        <v>1743</v>
      </c>
      <c r="F160" s="253" t="s">
        <v>5456</v>
      </c>
      <c r="G160" s="252" t="s">
        <v>5511</v>
      </c>
      <c r="H160" s="252"/>
      <c r="I160" s="254" t="s">
        <v>1736</v>
      </c>
      <c r="J160" s="254" t="s">
        <v>4913</v>
      </c>
      <c r="K160" s="254" t="s">
        <v>4913</v>
      </c>
      <c r="L160" s="255" t="s">
        <v>183</v>
      </c>
      <c r="M160" s="255" t="s">
        <v>183</v>
      </c>
      <c r="N160" s="252"/>
      <c r="O160" s="256">
        <v>44960</v>
      </c>
      <c r="P160" s="253" t="s">
        <v>5512</v>
      </c>
      <c r="Q160" s="252"/>
      <c r="R160" s="252"/>
      <c r="S160" s="252"/>
      <c r="T160" s="252"/>
      <c r="U160" s="256">
        <v>44960</v>
      </c>
      <c r="V160" s="252" t="s">
        <v>4803</v>
      </c>
    </row>
    <row r="161" spans="1:22">
      <c r="A161" s="774"/>
      <c r="B161" s="252" t="s">
        <v>5521</v>
      </c>
      <c r="C161" s="774"/>
      <c r="D161" s="253" t="s">
        <v>5285</v>
      </c>
      <c r="E161" s="252" t="s">
        <v>1743</v>
      </c>
      <c r="F161" s="253" t="s">
        <v>5460</v>
      </c>
      <c r="G161" s="252" t="s">
        <v>5511</v>
      </c>
      <c r="H161" s="252"/>
      <c r="I161" s="254" t="s">
        <v>1736</v>
      </c>
      <c r="J161" s="254" t="s">
        <v>4913</v>
      </c>
      <c r="K161" s="254" t="s">
        <v>4913</v>
      </c>
      <c r="L161" s="255" t="s">
        <v>183</v>
      </c>
      <c r="M161" s="255" t="s">
        <v>183</v>
      </c>
      <c r="N161" s="252"/>
      <c r="O161" s="256">
        <v>44960</v>
      </c>
      <c r="P161" s="253" t="s">
        <v>5512</v>
      </c>
      <c r="Q161" s="252"/>
      <c r="R161" s="252"/>
      <c r="S161" s="252"/>
      <c r="T161" s="252"/>
      <c r="U161" s="256">
        <v>44960</v>
      </c>
      <c r="V161" s="252" t="s">
        <v>4803</v>
      </c>
    </row>
    <row r="162" spans="1:22">
      <c r="A162" s="774"/>
      <c r="B162" s="252" t="s">
        <v>5522</v>
      </c>
      <c r="C162" s="774"/>
      <c r="D162" s="253" t="s">
        <v>5462</v>
      </c>
      <c r="E162" s="252" t="s">
        <v>1743</v>
      </c>
      <c r="F162" s="253" t="s">
        <v>5460</v>
      </c>
      <c r="G162" s="252" t="s">
        <v>5511</v>
      </c>
      <c r="H162" s="252"/>
      <c r="I162" s="254" t="s">
        <v>1736</v>
      </c>
      <c r="J162" s="254" t="s">
        <v>4913</v>
      </c>
      <c r="K162" s="254" t="s">
        <v>4913</v>
      </c>
      <c r="L162" s="255" t="s">
        <v>183</v>
      </c>
      <c r="M162" s="255" t="s">
        <v>183</v>
      </c>
      <c r="N162" s="252"/>
      <c r="O162" s="256">
        <v>44960</v>
      </c>
      <c r="P162" s="253" t="s">
        <v>5512</v>
      </c>
      <c r="Q162" s="252"/>
      <c r="R162" s="252"/>
      <c r="S162" s="252"/>
      <c r="T162" s="252"/>
      <c r="U162" s="256">
        <v>44960</v>
      </c>
      <c r="V162" s="252" t="s">
        <v>4803</v>
      </c>
    </row>
    <row r="163" spans="1:22">
      <c r="A163" s="774"/>
      <c r="B163" s="252" t="s">
        <v>5523</v>
      </c>
      <c r="C163" s="774"/>
      <c r="D163" s="253" t="s">
        <v>5464</v>
      </c>
      <c r="E163" s="252" t="s">
        <v>1743</v>
      </c>
      <c r="F163" s="253" t="s">
        <v>5468</v>
      </c>
      <c r="G163" s="252" t="s">
        <v>5511</v>
      </c>
      <c r="H163" s="252"/>
      <c r="I163" s="254" t="s">
        <v>1736</v>
      </c>
      <c r="J163" s="254" t="s">
        <v>4913</v>
      </c>
      <c r="K163" s="254" t="s">
        <v>4913</v>
      </c>
      <c r="L163" s="255" t="s">
        <v>183</v>
      </c>
      <c r="M163" s="255" t="s">
        <v>183</v>
      </c>
      <c r="N163" s="252"/>
      <c r="O163" s="256">
        <v>44960</v>
      </c>
      <c r="P163" s="253" t="s">
        <v>5512</v>
      </c>
      <c r="Q163" s="252"/>
      <c r="R163" s="252"/>
      <c r="S163" s="252"/>
      <c r="T163" s="252"/>
      <c r="U163" s="256">
        <v>44960</v>
      </c>
      <c r="V163" s="252" t="s">
        <v>4803</v>
      </c>
    </row>
    <row r="164" spans="1:22">
      <c r="A164" s="774"/>
      <c r="B164" s="252" t="s">
        <v>5524</v>
      </c>
      <c r="C164" s="774"/>
      <c r="D164" s="253" t="s">
        <v>5467</v>
      </c>
      <c r="E164" s="252" t="s">
        <v>1743</v>
      </c>
      <c r="F164" s="253" t="s">
        <v>5468</v>
      </c>
      <c r="G164" s="252" t="s">
        <v>5511</v>
      </c>
      <c r="H164" s="252"/>
      <c r="I164" s="254" t="s">
        <v>1736</v>
      </c>
      <c r="J164" s="254" t="s">
        <v>4913</v>
      </c>
      <c r="K164" s="254" t="s">
        <v>4913</v>
      </c>
      <c r="L164" s="255" t="s">
        <v>183</v>
      </c>
      <c r="M164" s="255" t="s">
        <v>183</v>
      </c>
      <c r="N164" s="252"/>
      <c r="O164" s="256">
        <v>44960</v>
      </c>
      <c r="P164" s="253" t="s">
        <v>5512</v>
      </c>
      <c r="Q164" s="252"/>
      <c r="R164" s="252"/>
      <c r="S164" s="252"/>
      <c r="T164" s="252"/>
      <c r="U164" s="256">
        <v>44960</v>
      </c>
      <c r="V164" s="252" t="s">
        <v>4803</v>
      </c>
    </row>
    <row r="165" spans="1:22">
      <c r="A165" s="774"/>
      <c r="B165" s="252" t="s">
        <v>5525</v>
      </c>
      <c r="C165" s="774"/>
      <c r="D165" s="253" t="s">
        <v>5470</v>
      </c>
      <c r="E165" s="252" t="s">
        <v>1743</v>
      </c>
      <c r="F165" s="253" t="s">
        <v>5468</v>
      </c>
      <c r="G165" s="252" t="s">
        <v>5511</v>
      </c>
      <c r="H165" s="252"/>
      <c r="I165" s="254" t="s">
        <v>1736</v>
      </c>
      <c r="J165" s="254" t="s">
        <v>4913</v>
      </c>
      <c r="K165" s="254" t="s">
        <v>4913</v>
      </c>
      <c r="L165" s="255" t="s">
        <v>183</v>
      </c>
      <c r="M165" s="255" t="s">
        <v>183</v>
      </c>
      <c r="N165" s="252"/>
      <c r="O165" s="256">
        <v>44960</v>
      </c>
      <c r="P165" s="253" t="s">
        <v>5512</v>
      </c>
      <c r="Q165" s="252"/>
      <c r="R165" s="252"/>
      <c r="S165" s="252"/>
      <c r="T165" s="252"/>
      <c r="U165" s="256">
        <v>44960</v>
      </c>
      <c r="V165" s="252" t="s">
        <v>4803</v>
      </c>
    </row>
    <row r="166" spans="1:22">
      <c r="A166" s="774"/>
      <c r="B166" s="252" t="s">
        <v>5526</v>
      </c>
      <c r="C166" s="774"/>
      <c r="D166" s="253" t="s">
        <v>5472</v>
      </c>
      <c r="E166" s="252" t="s">
        <v>1743</v>
      </c>
      <c r="F166" s="253" t="s">
        <v>5371</v>
      </c>
      <c r="G166" s="252" t="s">
        <v>5511</v>
      </c>
      <c r="H166" s="252"/>
      <c r="I166" s="254" t="s">
        <v>1736</v>
      </c>
      <c r="J166" s="254" t="s">
        <v>4913</v>
      </c>
      <c r="K166" s="254" t="s">
        <v>4913</v>
      </c>
      <c r="L166" s="255" t="s">
        <v>183</v>
      </c>
      <c r="M166" s="255" t="s">
        <v>183</v>
      </c>
      <c r="N166" s="252"/>
      <c r="O166" s="256">
        <v>44960</v>
      </c>
      <c r="P166" s="253" t="s">
        <v>5512</v>
      </c>
      <c r="Q166" s="252"/>
      <c r="R166" s="252"/>
      <c r="S166" s="252"/>
      <c r="T166" s="252"/>
      <c r="U166" s="256">
        <v>44960</v>
      </c>
      <c r="V166" s="252" t="s">
        <v>4803</v>
      </c>
    </row>
    <row r="167" spans="1:22">
      <c r="A167" s="773"/>
      <c r="B167" s="252" t="s">
        <v>5527</v>
      </c>
      <c r="C167" s="773"/>
      <c r="D167" s="253" t="s">
        <v>5474</v>
      </c>
      <c r="E167" s="252" t="s">
        <v>1743</v>
      </c>
      <c r="F167" s="253" t="s">
        <v>5451</v>
      </c>
      <c r="G167" s="252" t="s">
        <v>5511</v>
      </c>
      <c r="H167" s="252"/>
      <c r="I167" s="254" t="s">
        <v>1736</v>
      </c>
      <c r="J167" s="254" t="s">
        <v>4913</v>
      </c>
      <c r="K167" s="254" t="s">
        <v>4913</v>
      </c>
      <c r="L167" s="255" t="s">
        <v>183</v>
      </c>
      <c r="M167" s="255" t="s">
        <v>183</v>
      </c>
      <c r="N167" s="252"/>
      <c r="O167" s="256">
        <v>44960</v>
      </c>
      <c r="P167" s="253" t="s">
        <v>5512</v>
      </c>
      <c r="Q167" s="252"/>
      <c r="R167" s="252"/>
      <c r="S167" s="252"/>
      <c r="T167" s="252"/>
      <c r="U167" s="256">
        <v>44960</v>
      </c>
      <c r="V167" s="252" t="s">
        <v>4803</v>
      </c>
    </row>
    <row r="168" spans="1:22">
      <c r="A168" s="703" t="s">
        <v>5528</v>
      </c>
      <c r="B168" s="252" t="s">
        <v>5529</v>
      </c>
      <c r="C168" s="704" t="s">
        <v>5530</v>
      </c>
      <c r="D168" s="253" t="s">
        <v>5531</v>
      </c>
      <c r="E168" s="252" t="s">
        <v>1732</v>
      </c>
      <c r="F168" s="253" t="s">
        <v>5439</v>
      </c>
      <c r="G168" s="252" t="s">
        <v>5532</v>
      </c>
      <c r="H168" s="252"/>
      <c r="I168" s="254" t="s">
        <v>1736</v>
      </c>
      <c r="J168" s="254" t="s">
        <v>4913</v>
      </c>
      <c r="K168" s="254" t="s">
        <v>4913</v>
      </c>
      <c r="L168" s="255" t="s">
        <v>183</v>
      </c>
      <c r="M168" s="255" t="s">
        <v>183</v>
      </c>
      <c r="N168" s="252"/>
      <c r="O168" s="256">
        <v>44965</v>
      </c>
      <c r="P168" s="253" t="s">
        <v>5533</v>
      </c>
      <c r="Q168" s="252"/>
      <c r="R168" s="252"/>
      <c r="S168" s="252"/>
      <c r="T168" s="252"/>
      <c r="U168" s="256">
        <v>44965</v>
      </c>
      <c r="V168" s="252" t="s">
        <v>4803</v>
      </c>
    </row>
    <row r="169" spans="1:22">
      <c r="A169" s="774"/>
      <c r="B169" s="252" t="s">
        <v>5534</v>
      </c>
      <c r="C169" s="774"/>
      <c r="D169" s="253" t="s">
        <v>5264</v>
      </c>
      <c r="E169" s="252" t="s">
        <v>1732</v>
      </c>
      <c r="F169" s="253" t="s">
        <v>5439</v>
      </c>
      <c r="G169" s="252" t="s">
        <v>5532</v>
      </c>
      <c r="H169" s="252"/>
      <c r="I169" s="254" t="s">
        <v>1736</v>
      </c>
      <c r="J169" s="254" t="s">
        <v>4913</v>
      </c>
      <c r="K169" s="254" t="s">
        <v>4913</v>
      </c>
      <c r="L169" s="255" t="s">
        <v>183</v>
      </c>
      <c r="M169" s="255" t="s">
        <v>183</v>
      </c>
      <c r="N169" s="252"/>
      <c r="O169" s="256">
        <v>44965</v>
      </c>
      <c r="P169" s="253" t="s">
        <v>5533</v>
      </c>
      <c r="Q169" s="252"/>
      <c r="R169" s="252"/>
      <c r="S169" s="252"/>
      <c r="T169" s="252"/>
      <c r="U169" s="256">
        <v>44965</v>
      </c>
      <c r="V169" s="252" t="s">
        <v>4803</v>
      </c>
    </row>
    <row r="170" spans="1:22">
      <c r="A170" s="774"/>
      <c r="B170" s="252" t="s">
        <v>5535</v>
      </c>
      <c r="C170" s="774"/>
      <c r="D170" s="253" t="s">
        <v>5536</v>
      </c>
      <c r="E170" s="252" t="s">
        <v>1732</v>
      </c>
      <c r="F170" s="253" t="s">
        <v>5439</v>
      </c>
      <c r="G170" s="252" t="s">
        <v>5532</v>
      </c>
      <c r="H170" s="252"/>
      <c r="I170" s="254" t="s">
        <v>1736</v>
      </c>
      <c r="J170" s="254" t="s">
        <v>4913</v>
      </c>
      <c r="K170" s="254" t="s">
        <v>4913</v>
      </c>
      <c r="L170" s="255" t="s">
        <v>183</v>
      </c>
      <c r="M170" s="255" t="s">
        <v>183</v>
      </c>
      <c r="N170" s="252"/>
      <c r="O170" s="256">
        <v>44965</v>
      </c>
      <c r="P170" s="253" t="s">
        <v>5533</v>
      </c>
      <c r="Q170" s="252"/>
      <c r="R170" s="252"/>
      <c r="S170" s="252"/>
      <c r="T170" s="252"/>
      <c r="U170" s="256">
        <v>44965</v>
      </c>
      <c r="V170" s="252" t="s">
        <v>4803</v>
      </c>
    </row>
    <row r="171" spans="1:22">
      <c r="A171" s="774"/>
      <c r="B171" s="252" t="s">
        <v>5537</v>
      </c>
      <c r="C171" s="774"/>
      <c r="D171" s="253" t="s">
        <v>5538</v>
      </c>
      <c r="E171" s="252" t="s">
        <v>1732</v>
      </c>
      <c r="F171" s="253" t="s">
        <v>5371</v>
      </c>
      <c r="G171" s="252" t="s">
        <v>5532</v>
      </c>
      <c r="H171" s="252"/>
      <c r="I171" s="254" t="s">
        <v>1736</v>
      </c>
      <c r="J171" s="254" t="s">
        <v>4913</v>
      </c>
      <c r="K171" s="254" t="s">
        <v>4913</v>
      </c>
      <c r="L171" s="255" t="s">
        <v>183</v>
      </c>
      <c r="M171" s="255" t="s">
        <v>183</v>
      </c>
      <c r="N171" s="252"/>
      <c r="O171" s="256">
        <v>44965</v>
      </c>
      <c r="P171" s="253" t="s">
        <v>5533</v>
      </c>
      <c r="Q171" s="252"/>
      <c r="R171" s="252"/>
      <c r="S171" s="252"/>
      <c r="T171" s="252"/>
      <c r="U171" s="256">
        <v>44965</v>
      </c>
      <c r="V171" s="252" t="s">
        <v>4803</v>
      </c>
    </row>
    <row r="172" spans="1:22">
      <c r="A172" s="774"/>
      <c r="B172" s="252" t="s">
        <v>5539</v>
      </c>
      <c r="C172" s="774"/>
      <c r="D172" s="253" t="s">
        <v>5540</v>
      </c>
      <c r="E172" s="252" t="s">
        <v>1732</v>
      </c>
      <c r="F172" s="253" t="s">
        <v>5371</v>
      </c>
      <c r="G172" s="252" t="s">
        <v>5532</v>
      </c>
      <c r="H172" s="252"/>
      <c r="I172" s="254" t="s">
        <v>1736</v>
      </c>
      <c r="J172" s="254" t="s">
        <v>4913</v>
      </c>
      <c r="K172" s="254" t="s">
        <v>4913</v>
      </c>
      <c r="L172" s="255" t="s">
        <v>183</v>
      </c>
      <c r="M172" s="255" t="s">
        <v>183</v>
      </c>
      <c r="N172" s="252"/>
      <c r="O172" s="256">
        <v>44965</v>
      </c>
      <c r="P172" s="253" t="s">
        <v>5533</v>
      </c>
      <c r="Q172" s="252"/>
      <c r="R172" s="252"/>
      <c r="S172" s="252"/>
      <c r="T172" s="252"/>
      <c r="U172" s="256">
        <v>44965</v>
      </c>
      <c r="V172" s="252" t="s">
        <v>4803</v>
      </c>
    </row>
    <row r="173" spans="1:22">
      <c r="A173" s="774"/>
      <c r="B173" s="252" t="s">
        <v>5541</v>
      </c>
      <c r="C173" s="774"/>
      <c r="D173" s="253" t="s">
        <v>5542</v>
      </c>
      <c r="E173" s="252" t="s">
        <v>1743</v>
      </c>
      <c r="F173" s="253" t="s">
        <v>5451</v>
      </c>
      <c r="G173" s="252" t="s">
        <v>5532</v>
      </c>
      <c r="H173" s="252"/>
      <c r="I173" s="254" t="s">
        <v>1736</v>
      </c>
      <c r="J173" s="254" t="s">
        <v>4913</v>
      </c>
      <c r="K173" s="254" t="s">
        <v>4913</v>
      </c>
      <c r="L173" s="255" t="s">
        <v>183</v>
      </c>
      <c r="M173" s="255" t="s">
        <v>183</v>
      </c>
      <c r="N173" s="252"/>
      <c r="O173" s="256">
        <v>44965</v>
      </c>
      <c r="P173" s="253" t="s">
        <v>5533</v>
      </c>
      <c r="Q173" s="252"/>
      <c r="R173" s="252"/>
      <c r="S173" s="252"/>
      <c r="T173" s="252"/>
      <c r="U173" s="256">
        <v>44965</v>
      </c>
      <c r="V173" s="252" t="s">
        <v>4803</v>
      </c>
    </row>
    <row r="174" spans="1:22">
      <c r="A174" s="774"/>
      <c r="B174" s="252" t="s">
        <v>5543</v>
      </c>
      <c r="C174" s="774"/>
      <c r="D174" s="253" t="s">
        <v>5544</v>
      </c>
      <c r="E174" s="252" t="s">
        <v>1743</v>
      </c>
      <c r="F174" s="253" t="s">
        <v>5451</v>
      </c>
      <c r="G174" s="252" t="s">
        <v>5532</v>
      </c>
      <c r="H174" s="252"/>
      <c r="I174" s="254" t="s">
        <v>1736</v>
      </c>
      <c r="J174" s="254" t="s">
        <v>4913</v>
      </c>
      <c r="K174" s="254" t="s">
        <v>4913</v>
      </c>
      <c r="L174" s="255" t="s">
        <v>183</v>
      </c>
      <c r="M174" s="255" t="s">
        <v>183</v>
      </c>
      <c r="N174" s="252"/>
      <c r="O174" s="256">
        <v>44965</v>
      </c>
      <c r="P174" s="253" t="s">
        <v>5533</v>
      </c>
      <c r="Q174" s="252"/>
      <c r="R174" s="252"/>
      <c r="S174" s="252"/>
      <c r="T174" s="252"/>
      <c r="U174" s="256">
        <v>44965</v>
      </c>
      <c r="V174" s="252" t="s">
        <v>4803</v>
      </c>
    </row>
    <row r="175" spans="1:22">
      <c r="A175" s="774"/>
      <c r="B175" s="252" t="s">
        <v>5545</v>
      </c>
      <c r="C175" s="774"/>
      <c r="D175" s="253" t="s">
        <v>5546</v>
      </c>
      <c r="E175" s="252" t="s">
        <v>1743</v>
      </c>
      <c r="F175" s="253" t="s">
        <v>5481</v>
      </c>
      <c r="G175" s="252" t="s">
        <v>5532</v>
      </c>
      <c r="H175" s="252"/>
      <c r="I175" s="254" t="s">
        <v>1736</v>
      </c>
      <c r="J175" s="254" t="s">
        <v>4913</v>
      </c>
      <c r="K175" s="254" t="s">
        <v>4913</v>
      </c>
      <c r="L175" s="255" t="s">
        <v>183</v>
      </c>
      <c r="M175" s="255" t="s">
        <v>183</v>
      </c>
      <c r="N175" s="252"/>
      <c r="O175" s="256">
        <v>44965</v>
      </c>
      <c r="P175" s="253" t="s">
        <v>5533</v>
      </c>
      <c r="Q175" s="252"/>
      <c r="R175" s="252"/>
      <c r="S175" s="252"/>
      <c r="T175" s="252"/>
      <c r="U175" s="256">
        <v>44965</v>
      </c>
      <c r="V175" s="252" t="s">
        <v>4803</v>
      </c>
    </row>
    <row r="176" spans="1:22">
      <c r="A176" s="774"/>
      <c r="B176" s="252" t="s">
        <v>5547</v>
      </c>
      <c r="C176" s="774"/>
      <c r="D176" s="253" t="s">
        <v>5548</v>
      </c>
      <c r="E176" s="252" t="s">
        <v>1743</v>
      </c>
      <c r="F176" s="253" t="s">
        <v>5549</v>
      </c>
      <c r="G176" s="252" t="s">
        <v>5532</v>
      </c>
      <c r="H176" s="252"/>
      <c r="I176" s="254" t="s">
        <v>1736</v>
      </c>
      <c r="J176" s="254" t="s">
        <v>4913</v>
      </c>
      <c r="K176" s="254" t="s">
        <v>4913</v>
      </c>
      <c r="L176" s="255" t="s">
        <v>183</v>
      </c>
      <c r="M176" s="255" t="s">
        <v>183</v>
      </c>
      <c r="N176" s="252"/>
      <c r="O176" s="256">
        <v>44965</v>
      </c>
      <c r="P176" s="253" t="s">
        <v>5533</v>
      </c>
      <c r="Q176" s="252"/>
      <c r="R176" s="252"/>
      <c r="S176" s="252"/>
      <c r="T176" s="252"/>
      <c r="U176" s="256">
        <v>44965</v>
      </c>
      <c r="V176" s="252" t="s">
        <v>4803</v>
      </c>
    </row>
    <row r="177" spans="1:22">
      <c r="A177" s="774"/>
      <c r="B177" s="252" t="s">
        <v>5550</v>
      </c>
      <c r="C177" s="774"/>
      <c r="D177" s="253" t="s">
        <v>5551</v>
      </c>
      <c r="E177" s="252" t="s">
        <v>1743</v>
      </c>
      <c r="F177" s="253" t="s">
        <v>5456</v>
      </c>
      <c r="G177" s="252" t="s">
        <v>5532</v>
      </c>
      <c r="H177" s="252"/>
      <c r="I177" s="254" t="s">
        <v>1736</v>
      </c>
      <c r="J177" s="254" t="s">
        <v>4913</v>
      </c>
      <c r="K177" s="254" t="s">
        <v>4913</v>
      </c>
      <c r="L177" s="255" t="s">
        <v>183</v>
      </c>
      <c r="M177" s="255" t="s">
        <v>183</v>
      </c>
      <c r="N177" s="252"/>
      <c r="O177" s="256">
        <v>44965</v>
      </c>
      <c r="P177" s="253" t="s">
        <v>5533</v>
      </c>
      <c r="Q177" s="252"/>
      <c r="R177" s="252"/>
      <c r="S177" s="252"/>
      <c r="T177" s="252"/>
      <c r="U177" s="256">
        <v>44965</v>
      </c>
      <c r="V177" s="252" t="s">
        <v>4803</v>
      </c>
    </row>
    <row r="178" spans="1:22">
      <c r="A178" s="774"/>
      <c r="B178" s="252" t="s">
        <v>5552</v>
      </c>
      <c r="C178" s="774"/>
      <c r="D178" s="253" t="s">
        <v>5450</v>
      </c>
      <c r="E178" s="252" t="s">
        <v>1743</v>
      </c>
      <c r="F178" s="253" t="s">
        <v>5553</v>
      </c>
      <c r="G178" s="252" t="s">
        <v>5532</v>
      </c>
      <c r="H178" s="252"/>
      <c r="I178" s="254" t="s">
        <v>1736</v>
      </c>
      <c r="J178" s="254" t="s">
        <v>4913</v>
      </c>
      <c r="K178" s="254" t="s">
        <v>4913</v>
      </c>
      <c r="L178" s="255" t="s">
        <v>183</v>
      </c>
      <c r="M178" s="255" t="s">
        <v>183</v>
      </c>
      <c r="N178" s="252"/>
      <c r="O178" s="256">
        <v>44965</v>
      </c>
      <c r="P178" s="253" t="s">
        <v>5533</v>
      </c>
      <c r="Q178" s="252"/>
      <c r="R178" s="252"/>
      <c r="S178" s="252"/>
      <c r="T178" s="252"/>
      <c r="U178" s="256">
        <v>44965</v>
      </c>
      <c r="V178" s="252" t="s">
        <v>4803</v>
      </c>
    </row>
    <row r="179" spans="1:22">
      <c r="A179" s="774"/>
      <c r="B179" s="252" t="s">
        <v>5554</v>
      </c>
      <c r="C179" s="774"/>
      <c r="D179" s="253" t="s">
        <v>5555</v>
      </c>
      <c r="E179" s="252" t="s">
        <v>1743</v>
      </c>
      <c r="F179" s="253" t="s">
        <v>5456</v>
      </c>
      <c r="G179" s="252" t="s">
        <v>5532</v>
      </c>
      <c r="H179" s="252"/>
      <c r="I179" s="254" t="s">
        <v>1736</v>
      </c>
      <c r="J179" s="254" t="s">
        <v>4913</v>
      </c>
      <c r="K179" s="254" t="s">
        <v>4913</v>
      </c>
      <c r="L179" s="255" t="s">
        <v>183</v>
      </c>
      <c r="M179" s="255" t="s">
        <v>183</v>
      </c>
      <c r="N179" s="252"/>
      <c r="O179" s="256">
        <v>44965</v>
      </c>
      <c r="P179" s="253" t="s">
        <v>5533</v>
      </c>
      <c r="Q179" s="252"/>
      <c r="R179" s="252"/>
      <c r="S179" s="252"/>
      <c r="T179" s="252"/>
      <c r="U179" s="256">
        <v>44965</v>
      </c>
      <c r="V179" s="252" t="s">
        <v>4803</v>
      </c>
    </row>
    <row r="180" spans="1:22">
      <c r="A180" s="773"/>
      <c r="B180" s="252" t="s">
        <v>5556</v>
      </c>
      <c r="C180" s="773"/>
      <c r="D180" s="253" t="s">
        <v>5557</v>
      </c>
      <c r="E180" s="252" t="s">
        <v>1743</v>
      </c>
      <c r="F180" s="253" t="s">
        <v>5558</v>
      </c>
      <c r="G180" s="252" t="s">
        <v>5532</v>
      </c>
      <c r="H180" s="252"/>
      <c r="I180" s="254" t="s">
        <v>1736</v>
      </c>
      <c r="J180" s="254" t="s">
        <v>4913</v>
      </c>
      <c r="K180" s="254" t="s">
        <v>4913</v>
      </c>
      <c r="L180" s="255" t="s">
        <v>183</v>
      </c>
      <c r="M180" s="255" t="s">
        <v>183</v>
      </c>
      <c r="N180" s="252"/>
      <c r="O180" s="256">
        <v>44965</v>
      </c>
      <c r="P180" s="253" t="s">
        <v>5533</v>
      </c>
      <c r="Q180" s="252"/>
      <c r="R180" s="252"/>
      <c r="S180" s="252"/>
      <c r="T180" s="252"/>
      <c r="U180" s="256">
        <v>44965</v>
      </c>
      <c r="V180" s="252" t="s">
        <v>4803</v>
      </c>
    </row>
    <row r="181" spans="1:22">
      <c r="A181" s="703" t="s">
        <v>5559</v>
      </c>
      <c r="B181" s="252" t="s">
        <v>5560</v>
      </c>
      <c r="C181" s="704" t="s">
        <v>5561</v>
      </c>
      <c r="D181" s="253" t="s">
        <v>5562</v>
      </c>
      <c r="E181" s="252" t="s">
        <v>1732</v>
      </c>
      <c r="F181" s="253" t="s">
        <v>5439</v>
      </c>
      <c r="G181" s="252" t="s">
        <v>5563</v>
      </c>
      <c r="H181" s="252"/>
      <c r="I181" s="254" t="s">
        <v>1736</v>
      </c>
      <c r="J181" s="254" t="s">
        <v>4913</v>
      </c>
      <c r="K181" s="254" t="s">
        <v>4913</v>
      </c>
      <c r="L181" s="255" t="s">
        <v>183</v>
      </c>
      <c r="M181" s="255" t="s">
        <v>183</v>
      </c>
      <c r="N181" s="252"/>
      <c r="O181" s="256">
        <v>44977</v>
      </c>
      <c r="P181" s="253" t="s">
        <v>5564</v>
      </c>
      <c r="Q181" s="252"/>
      <c r="R181" s="252"/>
      <c r="S181" s="252"/>
      <c r="T181" s="252"/>
      <c r="U181" s="256">
        <v>44977</v>
      </c>
      <c r="V181" s="252" t="s">
        <v>4803</v>
      </c>
    </row>
    <row r="182" spans="1:22">
      <c r="A182" s="774"/>
      <c r="B182" s="252" t="s">
        <v>5565</v>
      </c>
      <c r="C182" s="774"/>
      <c r="D182" s="253" t="s">
        <v>5566</v>
      </c>
      <c r="E182" s="252" t="s">
        <v>1732</v>
      </c>
      <c r="F182" s="253" t="s">
        <v>5439</v>
      </c>
      <c r="G182" s="252" t="s">
        <v>5563</v>
      </c>
      <c r="H182" s="252"/>
      <c r="I182" s="254" t="s">
        <v>1736</v>
      </c>
      <c r="J182" s="254" t="s">
        <v>4913</v>
      </c>
      <c r="K182" s="254" t="s">
        <v>4913</v>
      </c>
      <c r="L182" s="255" t="s">
        <v>183</v>
      </c>
      <c r="M182" s="255" t="s">
        <v>183</v>
      </c>
      <c r="N182" s="252"/>
      <c r="O182" s="256">
        <v>44977</v>
      </c>
      <c r="P182" s="253" t="s">
        <v>5564</v>
      </c>
      <c r="Q182" s="252"/>
      <c r="R182" s="252"/>
      <c r="S182" s="252"/>
      <c r="T182" s="252"/>
      <c r="U182" s="256">
        <v>44977</v>
      </c>
      <c r="V182" s="252" t="s">
        <v>4803</v>
      </c>
    </row>
    <row r="183" spans="1:22">
      <c r="A183" s="774"/>
      <c r="B183" s="252" t="s">
        <v>5567</v>
      </c>
      <c r="C183" s="774"/>
      <c r="D183" s="253" t="s">
        <v>5568</v>
      </c>
      <c r="E183" s="252" t="s">
        <v>1732</v>
      </c>
      <c r="F183" s="253" t="s">
        <v>5499</v>
      </c>
      <c r="G183" s="252" t="s">
        <v>5563</v>
      </c>
      <c r="H183" s="252"/>
      <c r="I183" s="254" t="s">
        <v>1736</v>
      </c>
      <c r="J183" s="254" t="s">
        <v>4913</v>
      </c>
      <c r="K183" s="254" t="s">
        <v>4913</v>
      </c>
      <c r="L183" s="255" t="s">
        <v>183</v>
      </c>
      <c r="M183" s="255" t="s">
        <v>183</v>
      </c>
      <c r="N183" s="252"/>
      <c r="O183" s="256">
        <v>44977</v>
      </c>
      <c r="P183" s="253" t="s">
        <v>5564</v>
      </c>
      <c r="Q183" s="252"/>
      <c r="R183" s="252"/>
      <c r="S183" s="252"/>
      <c r="T183" s="252"/>
      <c r="U183" s="256">
        <v>44977</v>
      </c>
      <c r="V183" s="252" t="s">
        <v>4803</v>
      </c>
    </row>
    <row r="184" spans="1:22">
      <c r="A184" s="774"/>
      <c r="B184" s="252" t="s">
        <v>5569</v>
      </c>
      <c r="C184" s="774"/>
      <c r="D184" s="253" t="s">
        <v>5570</v>
      </c>
      <c r="E184" s="252" t="s">
        <v>1732</v>
      </c>
      <c r="F184" s="253" t="s">
        <v>5499</v>
      </c>
      <c r="G184" s="252" t="s">
        <v>5563</v>
      </c>
      <c r="H184" s="252"/>
      <c r="I184" s="254" t="s">
        <v>1736</v>
      </c>
      <c r="J184" s="254" t="s">
        <v>4913</v>
      </c>
      <c r="K184" s="254" t="s">
        <v>4913</v>
      </c>
      <c r="L184" s="255" t="s">
        <v>183</v>
      </c>
      <c r="M184" s="255" t="s">
        <v>183</v>
      </c>
      <c r="N184" s="252"/>
      <c r="O184" s="256">
        <v>44977</v>
      </c>
      <c r="P184" s="253" t="s">
        <v>5564</v>
      </c>
      <c r="Q184" s="252"/>
      <c r="R184" s="252"/>
      <c r="S184" s="252"/>
      <c r="T184" s="252"/>
      <c r="U184" s="256">
        <v>44977</v>
      </c>
      <c r="V184" s="252" t="s">
        <v>4803</v>
      </c>
    </row>
    <row r="185" spans="1:22">
      <c r="A185" s="774"/>
      <c r="B185" s="252" t="s">
        <v>5571</v>
      </c>
      <c r="C185" s="774"/>
      <c r="D185" s="253" t="s">
        <v>5536</v>
      </c>
      <c r="E185" s="252" t="s">
        <v>1732</v>
      </c>
      <c r="F185" s="253" t="s">
        <v>5496</v>
      </c>
      <c r="G185" s="252" t="s">
        <v>5563</v>
      </c>
      <c r="H185" s="252"/>
      <c r="I185" s="254" t="s">
        <v>1736</v>
      </c>
      <c r="J185" s="254" t="s">
        <v>4913</v>
      </c>
      <c r="K185" s="254" t="s">
        <v>4913</v>
      </c>
      <c r="L185" s="255" t="s">
        <v>183</v>
      </c>
      <c r="M185" s="255" t="s">
        <v>183</v>
      </c>
      <c r="N185" s="252"/>
      <c r="O185" s="256">
        <v>44977</v>
      </c>
      <c r="P185" s="253" t="s">
        <v>5564</v>
      </c>
      <c r="Q185" s="252"/>
      <c r="R185" s="252"/>
      <c r="S185" s="252"/>
      <c r="T185" s="252"/>
      <c r="U185" s="256">
        <v>44977</v>
      </c>
      <c r="V185" s="252" t="s">
        <v>4803</v>
      </c>
    </row>
    <row r="186" spans="1:22">
      <c r="A186" s="774"/>
      <c r="B186" s="252" t="s">
        <v>5572</v>
      </c>
      <c r="C186" s="774"/>
      <c r="D186" s="253" t="s">
        <v>5538</v>
      </c>
      <c r="E186" s="252" t="s">
        <v>1732</v>
      </c>
      <c r="F186" s="253" t="s">
        <v>5371</v>
      </c>
      <c r="G186" s="252" t="s">
        <v>5563</v>
      </c>
      <c r="H186" s="252"/>
      <c r="I186" s="254" t="s">
        <v>1736</v>
      </c>
      <c r="J186" s="254" t="s">
        <v>4913</v>
      </c>
      <c r="K186" s="254" t="s">
        <v>4913</v>
      </c>
      <c r="L186" s="255" t="s">
        <v>183</v>
      </c>
      <c r="M186" s="255" t="s">
        <v>183</v>
      </c>
      <c r="N186" s="252"/>
      <c r="O186" s="256">
        <v>44977</v>
      </c>
      <c r="P186" s="253" t="s">
        <v>5564</v>
      </c>
      <c r="Q186" s="252"/>
      <c r="R186" s="252"/>
      <c r="S186" s="252"/>
      <c r="T186" s="252"/>
      <c r="U186" s="256">
        <v>44977</v>
      </c>
      <c r="V186" s="252" t="s">
        <v>4803</v>
      </c>
    </row>
    <row r="187" spans="1:22">
      <c r="A187" s="774"/>
      <c r="B187" s="252" t="s">
        <v>5573</v>
      </c>
      <c r="C187" s="774"/>
      <c r="D187" s="253" t="s">
        <v>5540</v>
      </c>
      <c r="E187" s="252" t="s">
        <v>1732</v>
      </c>
      <c r="F187" s="253" t="s">
        <v>5371</v>
      </c>
      <c r="G187" s="252" t="s">
        <v>5563</v>
      </c>
      <c r="H187" s="252"/>
      <c r="I187" s="254" t="s">
        <v>1736</v>
      </c>
      <c r="J187" s="254" t="s">
        <v>4913</v>
      </c>
      <c r="K187" s="254" t="s">
        <v>4913</v>
      </c>
      <c r="L187" s="255" t="s">
        <v>183</v>
      </c>
      <c r="M187" s="255" t="s">
        <v>183</v>
      </c>
      <c r="N187" s="252"/>
      <c r="O187" s="256">
        <v>44977</v>
      </c>
      <c r="P187" s="253" t="s">
        <v>5564</v>
      </c>
      <c r="Q187" s="252"/>
      <c r="R187" s="252"/>
      <c r="S187" s="252"/>
      <c r="T187" s="252"/>
      <c r="U187" s="256">
        <v>44977</v>
      </c>
      <c r="V187" s="252" t="s">
        <v>4803</v>
      </c>
    </row>
    <row r="188" spans="1:22">
      <c r="A188" s="774"/>
      <c r="B188" s="252" t="s">
        <v>5574</v>
      </c>
      <c r="C188" s="774"/>
      <c r="D188" s="253" t="s">
        <v>4942</v>
      </c>
      <c r="E188" s="252" t="s">
        <v>1743</v>
      </c>
      <c r="F188" s="253" t="s">
        <v>5451</v>
      </c>
      <c r="G188" s="252" t="s">
        <v>5563</v>
      </c>
      <c r="H188" s="252"/>
      <c r="I188" s="254" t="s">
        <v>1736</v>
      </c>
      <c r="J188" s="254" t="s">
        <v>4913</v>
      </c>
      <c r="K188" s="254" t="s">
        <v>4913</v>
      </c>
      <c r="L188" s="255" t="s">
        <v>183</v>
      </c>
      <c r="M188" s="255" t="s">
        <v>183</v>
      </c>
      <c r="N188" s="252"/>
      <c r="O188" s="256">
        <v>44977</v>
      </c>
      <c r="P188" s="253" t="s">
        <v>5564</v>
      </c>
      <c r="Q188" s="252"/>
      <c r="R188" s="252"/>
      <c r="S188" s="252"/>
      <c r="T188" s="252"/>
      <c r="U188" s="256">
        <v>44977</v>
      </c>
      <c r="V188" s="252" t="s">
        <v>4803</v>
      </c>
    </row>
    <row r="189" spans="1:22">
      <c r="A189" s="774"/>
      <c r="B189" s="252" t="s">
        <v>5575</v>
      </c>
      <c r="C189" s="774"/>
      <c r="D189" s="253" t="s">
        <v>4949</v>
      </c>
      <c r="E189" s="252" t="s">
        <v>1743</v>
      </c>
      <c r="F189" s="253" t="s">
        <v>5451</v>
      </c>
      <c r="G189" s="252" t="s">
        <v>5563</v>
      </c>
      <c r="H189" s="252"/>
      <c r="I189" s="254" t="s">
        <v>1736</v>
      </c>
      <c r="J189" s="254" t="s">
        <v>4913</v>
      </c>
      <c r="K189" s="254" t="s">
        <v>4913</v>
      </c>
      <c r="L189" s="255" t="s">
        <v>183</v>
      </c>
      <c r="M189" s="255" t="s">
        <v>183</v>
      </c>
      <c r="N189" s="252"/>
      <c r="O189" s="256">
        <v>44977</v>
      </c>
      <c r="P189" s="253" t="s">
        <v>5564</v>
      </c>
      <c r="Q189" s="252"/>
      <c r="R189" s="252"/>
      <c r="S189" s="252"/>
      <c r="T189" s="252"/>
      <c r="U189" s="256">
        <v>44977</v>
      </c>
      <c r="V189" s="252" t="s">
        <v>4803</v>
      </c>
    </row>
    <row r="190" spans="1:22">
      <c r="A190" s="774"/>
      <c r="B190" s="252" t="s">
        <v>5576</v>
      </c>
      <c r="C190" s="774"/>
      <c r="D190" s="253" t="s">
        <v>4957</v>
      </c>
      <c r="E190" s="252" t="s">
        <v>1743</v>
      </c>
      <c r="F190" s="253" t="s">
        <v>5481</v>
      </c>
      <c r="G190" s="252" t="s">
        <v>5563</v>
      </c>
      <c r="H190" s="252"/>
      <c r="I190" s="254" t="s">
        <v>1736</v>
      </c>
      <c r="J190" s="254" t="s">
        <v>4913</v>
      </c>
      <c r="K190" s="254" t="s">
        <v>4913</v>
      </c>
      <c r="L190" s="255" t="s">
        <v>183</v>
      </c>
      <c r="M190" s="255" t="s">
        <v>183</v>
      </c>
      <c r="N190" s="252"/>
      <c r="O190" s="256">
        <v>44977</v>
      </c>
      <c r="P190" s="253" t="s">
        <v>5564</v>
      </c>
      <c r="Q190" s="252"/>
      <c r="R190" s="252"/>
      <c r="S190" s="252"/>
      <c r="T190" s="252"/>
      <c r="U190" s="256">
        <v>44977</v>
      </c>
      <c r="V190" s="252" t="s">
        <v>4803</v>
      </c>
    </row>
    <row r="191" spans="1:22">
      <c r="A191" s="774"/>
      <c r="B191" s="252" t="s">
        <v>5577</v>
      </c>
      <c r="C191" s="774"/>
      <c r="D191" s="253" t="s">
        <v>4963</v>
      </c>
      <c r="E191" s="252" t="s">
        <v>1743</v>
      </c>
      <c r="F191" s="253" t="s">
        <v>5549</v>
      </c>
      <c r="G191" s="252" t="s">
        <v>5563</v>
      </c>
      <c r="H191" s="252"/>
      <c r="I191" s="254" t="s">
        <v>1736</v>
      </c>
      <c r="J191" s="254" t="s">
        <v>4913</v>
      </c>
      <c r="K191" s="254" t="s">
        <v>4913</v>
      </c>
      <c r="L191" s="255" t="s">
        <v>183</v>
      </c>
      <c r="M191" s="255" t="s">
        <v>183</v>
      </c>
      <c r="N191" s="252"/>
      <c r="O191" s="256">
        <v>44977</v>
      </c>
      <c r="P191" s="253" t="s">
        <v>5564</v>
      </c>
      <c r="Q191" s="252"/>
      <c r="R191" s="252"/>
      <c r="S191" s="252"/>
      <c r="T191" s="252"/>
      <c r="U191" s="256">
        <v>44977</v>
      </c>
      <c r="V191" s="252" t="s">
        <v>4803</v>
      </c>
    </row>
    <row r="192" spans="1:22">
      <c r="A192" s="774"/>
      <c r="B192" s="252" t="s">
        <v>5578</v>
      </c>
      <c r="C192" s="774"/>
      <c r="D192" s="253" t="s">
        <v>4970</v>
      </c>
      <c r="E192" s="252" t="s">
        <v>1743</v>
      </c>
      <c r="F192" s="253" t="s">
        <v>5456</v>
      </c>
      <c r="G192" s="252" t="s">
        <v>5563</v>
      </c>
      <c r="H192" s="252"/>
      <c r="I192" s="254" t="s">
        <v>1736</v>
      </c>
      <c r="J192" s="254" t="s">
        <v>4913</v>
      </c>
      <c r="K192" s="254" t="s">
        <v>4913</v>
      </c>
      <c r="L192" s="255" t="s">
        <v>183</v>
      </c>
      <c r="M192" s="255" t="s">
        <v>183</v>
      </c>
      <c r="N192" s="252"/>
      <c r="O192" s="256">
        <v>44977</v>
      </c>
      <c r="P192" s="253" t="s">
        <v>5564</v>
      </c>
      <c r="Q192" s="252"/>
      <c r="R192" s="252"/>
      <c r="S192" s="252"/>
      <c r="T192" s="252"/>
      <c r="U192" s="256">
        <v>44977</v>
      </c>
      <c r="V192" s="252" t="s">
        <v>4803</v>
      </c>
    </row>
    <row r="193" spans="1:22">
      <c r="A193" s="774"/>
      <c r="B193" s="252" t="s">
        <v>5579</v>
      </c>
      <c r="C193" s="774"/>
      <c r="D193" s="253" t="s">
        <v>4976</v>
      </c>
      <c r="E193" s="252" t="s">
        <v>1743</v>
      </c>
      <c r="F193" s="253" t="s">
        <v>5553</v>
      </c>
      <c r="G193" s="252" t="s">
        <v>5563</v>
      </c>
      <c r="H193" s="252"/>
      <c r="I193" s="254" t="s">
        <v>1736</v>
      </c>
      <c r="J193" s="254" t="s">
        <v>4913</v>
      </c>
      <c r="K193" s="254" t="s">
        <v>4913</v>
      </c>
      <c r="L193" s="255" t="s">
        <v>183</v>
      </c>
      <c r="M193" s="255" t="s">
        <v>183</v>
      </c>
      <c r="N193" s="252"/>
      <c r="O193" s="256">
        <v>44977</v>
      </c>
      <c r="P193" s="253" t="s">
        <v>5564</v>
      </c>
      <c r="Q193" s="252"/>
      <c r="R193" s="252"/>
      <c r="S193" s="252"/>
      <c r="T193" s="252"/>
      <c r="U193" s="256">
        <v>44977</v>
      </c>
      <c r="V193" s="252" t="s">
        <v>4803</v>
      </c>
    </row>
    <row r="194" spans="1:22">
      <c r="A194" s="774"/>
      <c r="B194" s="252" t="s">
        <v>5580</v>
      </c>
      <c r="C194" s="774"/>
      <c r="D194" s="253" t="s">
        <v>4982</v>
      </c>
      <c r="E194" s="252" t="s">
        <v>1743</v>
      </c>
      <c r="F194" s="253" t="s">
        <v>5456</v>
      </c>
      <c r="G194" s="252" t="s">
        <v>5563</v>
      </c>
      <c r="H194" s="252"/>
      <c r="I194" s="254" t="s">
        <v>1736</v>
      </c>
      <c r="J194" s="254" t="s">
        <v>4913</v>
      </c>
      <c r="K194" s="254" t="s">
        <v>4913</v>
      </c>
      <c r="L194" s="255" t="s">
        <v>183</v>
      </c>
      <c r="M194" s="255" t="s">
        <v>183</v>
      </c>
      <c r="N194" s="252"/>
      <c r="O194" s="256">
        <v>44977</v>
      </c>
      <c r="P194" s="253" t="s">
        <v>5564</v>
      </c>
      <c r="Q194" s="252"/>
      <c r="R194" s="252"/>
      <c r="S194" s="252"/>
      <c r="T194" s="252"/>
      <c r="U194" s="256">
        <v>44977</v>
      </c>
      <c r="V194" s="252" t="s">
        <v>4803</v>
      </c>
    </row>
    <row r="195" spans="1:22">
      <c r="A195" s="703" t="s">
        <v>5581</v>
      </c>
      <c r="B195" s="252" t="s">
        <v>5582</v>
      </c>
      <c r="C195" s="704" t="s">
        <v>5583</v>
      </c>
      <c r="D195" s="253" t="s">
        <v>5438</v>
      </c>
      <c r="E195" s="252" t="s">
        <v>1732</v>
      </c>
      <c r="F195" s="253" t="s">
        <v>5439</v>
      </c>
      <c r="G195" s="252" t="s">
        <v>5584</v>
      </c>
      <c r="H195" s="252"/>
      <c r="I195" s="254" t="s">
        <v>1736</v>
      </c>
      <c r="J195" s="254" t="s">
        <v>4913</v>
      </c>
      <c r="K195" s="254" t="s">
        <v>4913</v>
      </c>
      <c r="L195" s="255" t="s">
        <v>183</v>
      </c>
      <c r="M195" s="255" t="s">
        <v>183</v>
      </c>
      <c r="N195" s="252"/>
      <c r="O195" s="256">
        <v>44973</v>
      </c>
      <c r="P195" s="253" t="s">
        <v>5585</v>
      </c>
      <c r="Q195" s="252"/>
      <c r="R195" s="252"/>
      <c r="S195" s="252"/>
      <c r="T195" s="252"/>
      <c r="U195" s="256">
        <v>44973</v>
      </c>
      <c r="V195" s="252" t="s">
        <v>4803</v>
      </c>
    </row>
    <row r="196" spans="1:22">
      <c r="A196" s="774"/>
      <c r="B196" s="252" t="s">
        <v>5586</v>
      </c>
      <c r="C196" s="774"/>
      <c r="D196" s="253" t="s">
        <v>5443</v>
      </c>
      <c r="E196" s="252" t="s">
        <v>1732</v>
      </c>
      <c r="F196" s="253" t="s">
        <v>5439</v>
      </c>
      <c r="G196" s="252" t="s">
        <v>5584</v>
      </c>
      <c r="H196" s="252"/>
      <c r="I196" s="254" t="s">
        <v>1736</v>
      </c>
      <c r="J196" s="254" t="s">
        <v>4913</v>
      </c>
      <c r="K196" s="254" t="s">
        <v>4913</v>
      </c>
      <c r="L196" s="255" t="s">
        <v>183</v>
      </c>
      <c r="M196" s="255" t="s">
        <v>183</v>
      </c>
      <c r="N196" s="252"/>
      <c r="O196" s="256">
        <v>44973</v>
      </c>
      <c r="P196" s="253" t="s">
        <v>5585</v>
      </c>
      <c r="Q196" s="252"/>
      <c r="R196" s="252"/>
      <c r="S196" s="252"/>
      <c r="T196" s="252"/>
      <c r="U196" s="256">
        <v>44973</v>
      </c>
      <c r="V196" s="252" t="s">
        <v>4803</v>
      </c>
    </row>
    <row r="197" spans="1:22">
      <c r="A197" s="774"/>
      <c r="B197" s="252" t="s">
        <v>5587</v>
      </c>
      <c r="C197" s="774"/>
      <c r="D197" s="253" t="s">
        <v>5445</v>
      </c>
      <c r="E197" s="252" t="s">
        <v>1732</v>
      </c>
      <c r="F197" s="253" t="s">
        <v>5588</v>
      </c>
      <c r="G197" s="252" t="s">
        <v>5584</v>
      </c>
      <c r="H197" s="252"/>
      <c r="I197" s="254" t="s">
        <v>1736</v>
      </c>
      <c r="J197" s="254" t="s">
        <v>4913</v>
      </c>
      <c r="K197" s="254" t="s">
        <v>4913</v>
      </c>
      <c r="L197" s="255" t="s">
        <v>183</v>
      </c>
      <c r="M197" s="255" t="s">
        <v>183</v>
      </c>
      <c r="N197" s="252"/>
      <c r="O197" s="256">
        <v>44973</v>
      </c>
      <c r="P197" s="253" t="s">
        <v>5585</v>
      </c>
      <c r="Q197" s="252"/>
      <c r="R197" s="252"/>
      <c r="S197" s="252"/>
      <c r="T197" s="252"/>
      <c r="U197" s="256">
        <v>44973</v>
      </c>
      <c r="V197" s="252" t="s">
        <v>4803</v>
      </c>
    </row>
    <row r="198" spans="1:22">
      <c r="A198" s="774"/>
      <c r="B198" s="252" t="s">
        <v>5589</v>
      </c>
      <c r="C198" s="774"/>
      <c r="D198" s="253" t="s">
        <v>5484</v>
      </c>
      <c r="E198" s="252" t="s">
        <v>1732</v>
      </c>
      <c r="F198" s="253" t="s">
        <v>5456</v>
      </c>
      <c r="G198" s="252" t="s">
        <v>5584</v>
      </c>
      <c r="H198" s="252"/>
      <c r="I198" s="254" t="s">
        <v>1736</v>
      </c>
      <c r="J198" s="254" t="s">
        <v>4913</v>
      </c>
      <c r="K198" s="254" t="s">
        <v>4913</v>
      </c>
      <c r="L198" s="255" t="s">
        <v>183</v>
      </c>
      <c r="M198" s="255" t="s">
        <v>183</v>
      </c>
      <c r="N198" s="252"/>
      <c r="O198" s="256">
        <v>44973</v>
      </c>
      <c r="P198" s="253" t="s">
        <v>5585</v>
      </c>
      <c r="Q198" s="252"/>
      <c r="R198" s="252"/>
      <c r="S198" s="252"/>
      <c r="T198" s="252"/>
      <c r="U198" s="256">
        <v>44973</v>
      </c>
      <c r="V198" s="252" t="s">
        <v>4803</v>
      </c>
    </row>
    <row r="199" spans="1:22">
      <c r="A199" s="774"/>
      <c r="B199" s="252" t="s">
        <v>5590</v>
      </c>
      <c r="C199" s="774"/>
      <c r="D199" s="253" t="s">
        <v>5486</v>
      </c>
      <c r="E199" s="252" t="s">
        <v>1732</v>
      </c>
      <c r="F199" s="253" t="s">
        <v>5456</v>
      </c>
      <c r="G199" s="252" t="s">
        <v>5584</v>
      </c>
      <c r="H199" s="252"/>
      <c r="I199" s="254" t="s">
        <v>1736</v>
      </c>
      <c r="J199" s="254" t="s">
        <v>4913</v>
      </c>
      <c r="K199" s="254" t="s">
        <v>4913</v>
      </c>
      <c r="L199" s="255" t="s">
        <v>183</v>
      </c>
      <c r="M199" s="255" t="s">
        <v>183</v>
      </c>
      <c r="N199" s="252"/>
      <c r="O199" s="256">
        <v>44973</v>
      </c>
      <c r="P199" s="253" t="s">
        <v>5585</v>
      </c>
      <c r="Q199" s="252"/>
      <c r="R199" s="252"/>
      <c r="S199" s="252"/>
      <c r="T199" s="252"/>
      <c r="U199" s="256">
        <v>44973</v>
      </c>
      <c r="V199" s="252" t="s">
        <v>4803</v>
      </c>
    </row>
    <row r="200" spans="1:22">
      <c r="A200" s="774"/>
      <c r="B200" s="252" t="s">
        <v>5591</v>
      </c>
      <c r="C200" s="774"/>
      <c r="D200" s="253" t="s">
        <v>5488</v>
      </c>
      <c r="E200" s="252" t="s">
        <v>1732</v>
      </c>
      <c r="F200" s="253" t="s">
        <v>5456</v>
      </c>
      <c r="G200" s="252" t="s">
        <v>5584</v>
      </c>
      <c r="H200" s="252"/>
      <c r="I200" s="254" t="s">
        <v>1736</v>
      </c>
      <c r="J200" s="254" t="s">
        <v>4913</v>
      </c>
      <c r="K200" s="254" t="s">
        <v>4913</v>
      </c>
      <c r="L200" s="255" t="s">
        <v>183</v>
      </c>
      <c r="M200" s="255" t="s">
        <v>183</v>
      </c>
      <c r="N200" s="252"/>
      <c r="O200" s="256">
        <v>44973</v>
      </c>
      <c r="P200" s="253" t="s">
        <v>5585</v>
      </c>
      <c r="Q200" s="252"/>
      <c r="R200" s="252"/>
      <c r="S200" s="252"/>
      <c r="T200" s="252"/>
      <c r="U200" s="256">
        <v>44973</v>
      </c>
      <c r="V200" s="252" t="s">
        <v>4803</v>
      </c>
    </row>
    <row r="201" spans="1:22">
      <c r="A201" s="774"/>
      <c r="B201" s="252" t="s">
        <v>5592</v>
      </c>
      <c r="C201" s="774"/>
      <c r="D201" s="253" t="s">
        <v>5450</v>
      </c>
      <c r="E201" s="252" t="s">
        <v>1743</v>
      </c>
      <c r="F201" s="253" t="s">
        <v>5451</v>
      </c>
      <c r="G201" s="252" t="s">
        <v>5584</v>
      </c>
      <c r="H201" s="252"/>
      <c r="I201" s="254" t="s">
        <v>1736</v>
      </c>
      <c r="J201" s="254" t="s">
        <v>4913</v>
      </c>
      <c r="K201" s="254" t="s">
        <v>4913</v>
      </c>
      <c r="L201" s="255" t="s">
        <v>183</v>
      </c>
      <c r="M201" s="255" t="s">
        <v>183</v>
      </c>
      <c r="N201" s="252"/>
      <c r="O201" s="256">
        <v>44973</v>
      </c>
      <c r="P201" s="253" t="s">
        <v>5585</v>
      </c>
      <c r="Q201" s="252"/>
      <c r="R201" s="252"/>
      <c r="S201" s="252"/>
      <c r="T201" s="252"/>
      <c r="U201" s="256">
        <v>44973</v>
      </c>
      <c r="V201" s="252" t="s">
        <v>4803</v>
      </c>
    </row>
    <row r="202" spans="1:22">
      <c r="A202" s="774"/>
      <c r="B202" s="252" t="s">
        <v>5593</v>
      </c>
      <c r="C202" s="774"/>
      <c r="D202" s="253" t="s">
        <v>5491</v>
      </c>
      <c r="E202" s="252" t="s">
        <v>1743</v>
      </c>
      <c r="F202" s="253" t="s">
        <v>5371</v>
      </c>
      <c r="G202" s="252" t="s">
        <v>5584</v>
      </c>
      <c r="H202" s="252"/>
      <c r="I202" s="254" t="s">
        <v>1736</v>
      </c>
      <c r="J202" s="254" t="s">
        <v>4913</v>
      </c>
      <c r="K202" s="254" t="s">
        <v>4913</v>
      </c>
      <c r="L202" s="255" t="s">
        <v>183</v>
      </c>
      <c r="M202" s="255" t="s">
        <v>183</v>
      </c>
      <c r="N202" s="252"/>
      <c r="O202" s="256">
        <v>44973</v>
      </c>
      <c r="P202" s="253" t="s">
        <v>5585</v>
      </c>
      <c r="Q202" s="252"/>
      <c r="R202" s="252"/>
      <c r="S202" s="252"/>
      <c r="T202" s="252"/>
      <c r="U202" s="256">
        <v>44973</v>
      </c>
      <c r="V202" s="252" t="s">
        <v>4803</v>
      </c>
    </row>
    <row r="203" spans="1:22">
      <c r="A203" s="774"/>
      <c r="B203" s="252" t="s">
        <v>5594</v>
      </c>
      <c r="C203" s="774"/>
      <c r="D203" s="253" t="s">
        <v>5493</v>
      </c>
      <c r="E203" s="252" t="s">
        <v>1743</v>
      </c>
      <c r="F203" s="253" t="s">
        <v>5456</v>
      </c>
      <c r="G203" s="252" t="s">
        <v>5584</v>
      </c>
      <c r="H203" s="252"/>
      <c r="I203" s="254" t="s">
        <v>1736</v>
      </c>
      <c r="J203" s="254" t="s">
        <v>4913</v>
      </c>
      <c r="K203" s="254" t="s">
        <v>4913</v>
      </c>
      <c r="L203" s="255" t="s">
        <v>183</v>
      </c>
      <c r="M203" s="255" t="s">
        <v>183</v>
      </c>
      <c r="N203" s="252"/>
      <c r="O203" s="256">
        <v>44973</v>
      </c>
      <c r="P203" s="253" t="s">
        <v>5585</v>
      </c>
      <c r="Q203" s="252"/>
      <c r="R203" s="252"/>
      <c r="S203" s="252"/>
      <c r="T203" s="252"/>
      <c r="U203" s="256">
        <v>44973</v>
      </c>
      <c r="V203" s="252" t="s">
        <v>4803</v>
      </c>
    </row>
    <row r="204" spans="1:22">
      <c r="A204" s="774"/>
      <c r="B204" s="252" t="s">
        <v>5595</v>
      </c>
      <c r="C204" s="774"/>
      <c r="D204" s="253" t="s">
        <v>5495</v>
      </c>
      <c r="E204" s="252" t="s">
        <v>1743</v>
      </c>
      <c r="F204" s="253" t="s">
        <v>5456</v>
      </c>
      <c r="G204" s="252" t="s">
        <v>5584</v>
      </c>
      <c r="H204" s="252"/>
      <c r="I204" s="254" t="s">
        <v>1736</v>
      </c>
      <c r="J204" s="254" t="s">
        <v>4913</v>
      </c>
      <c r="K204" s="254" t="s">
        <v>4913</v>
      </c>
      <c r="L204" s="255" t="s">
        <v>183</v>
      </c>
      <c r="M204" s="255" t="s">
        <v>183</v>
      </c>
      <c r="N204" s="252"/>
      <c r="O204" s="256">
        <v>44973</v>
      </c>
      <c r="P204" s="253" t="s">
        <v>5585</v>
      </c>
      <c r="Q204" s="252"/>
      <c r="R204" s="252"/>
      <c r="S204" s="252"/>
      <c r="T204" s="252"/>
      <c r="U204" s="256">
        <v>44973</v>
      </c>
      <c r="V204" s="252" t="s">
        <v>4803</v>
      </c>
    </row>
    <row r="205" spans="1:22">
      <c r="A205" s="774"/>
      <c r="B205" s="252" t="s">
        <v>5596</v>
      </c>
      <c r="C205" s="774"/>
      <c r="D205" s="253" t="s">
        <v>5285</v>
      </c>
      <c r="E205" s="252" t="s">
        <v>1743</v>
      </c>
      <c r="F205" s="253" t="s">
        <v>5460</v>
      </c>
      <c r="G205" s="252" t="s">
        <v>5584</v>
      </c>
      <c r="H205" s="252"/>
      <c r="I205" s="254" t="s">
        <v>1736</v>
      </c>
      <c r="J205" s="254" t="s">
        <v>4913</v>
      </c>
      <c r="K205" s="254" t="s">
        <v>4913</v>
      </c>
      <c r="L205" s="255" t="s">
        <v>183</v>
      </c>
      <c r="M205" s="255" t="s">
        <v>183</v>
      </c>
      <c r="N205" s="252"/>
      <c r="O205" s="256">
        <v>44973</v>
      </c>
      <c r="P205" s="253" t="s">
        <v>5585</v>
      </c>
      <c r="Q205" s="252"/>
      <c r="R205" s="252"/>
      <c r="S205" s="252"/>
      <c r="T205" s="252"/>
      <c r="U205" s="256">
        <v>44973</v>
      </c>
      <c r="V205" s="252" t="s">
        <v>4803</v>
      </c>
    </row>
    <row r="206" spans="1:22">
      <c r="A206" s="774"/>
      <c r="B206" s="252" t="s">
        <v>5597</v>
      </c>
      <c r="C206" s="774"/>
      <c r="D206" s="253" t="s">
        <v>5462</v>
      </c>
      <c r="E206" s="252" t="s">
        <v>1743</v>
      </c>
      <c r="F206" s="253" t="s">
        <v>5460</v>
      </c>
      <c r="G206" s="252" t="s">
        <v>5584</v>
      </c>
      <c r="H206" s="252"/>
      <c r="I206" s="254" t="s">
        <v>1736</v>
      </c>
      <c r="J206" s="254" t="s">
        <v>4913</v>
      </c>
      <c r="K206" s="254" t="s">
        <v>4913</v>
      </c>
      <c r="L206" s="255" t="s">
        <v>183</v>
      </c>
      <c r="M206" s="255" t="s">
        <v>183</v>
      </c>
      <c r="N206" s="252"/>
      <c r="O206" s="256">
        <v>44973</v>
      </c>
      <c r="P206" s="253" t="s">
        <v>5585</v>
      </c>
      <c r="Q206" s="252"/>
      <c r="R206" s="252"/>
      <c r="S206" s="252"/>
      <c r="T206" s="252"/>
      <c r="U206" s="256">
        <v>44973</v>
      </c>
      <c r="V206" s="252" t="s">
        <v>4803</v>
      </c>
    </row>
    <row r="207" spans="1:22">
      <c r="A207" s="774"/>
      <c r="B207" s="252" t="s">
        <v>5598</v>
      </c>
      <c r="C207" s="774"/>
      <c r="D207" s="253" t="s">
        <v>5470</v>
      </c>
      <c r="E207" s="252" t="s">
        <v>1743</v>
      </c>
      <c r="F207" s="253" t="s">
        <v>5468</v>
      </c>
      <c r="G207" s="252" t="s">
        <v>5584</v>
      </c>
      <c r="H207" s="252"/>
      <c r="I207" s="254" t="s">
        <v>1736</v>
      </c>
      <c r="J207" s="254" t="s">
        <v>4913</v>
      </c>
      <c r="K207" s="254" t="s">
        <v>4913</v>
      </c>
      <c r="L207" s="255" t="s">
        <v>183</v>
      </c>
      <c r="M207" s="255" t="s">
        <v>183</v>
      </c>
      <c r="N207" s="252"/>
      <c r="O207" s="256">
        <v>44973</v>
      </c>
      <c r="P207" s="253" t="s">
        <v>5585</v>
      </c>
      <c r="Q207" s="252"/>
      <c r="R207" s="252"/>
      <c r="S207" s="252"/>
      <c r="T207" s="252"/>
      <c r="U207" s="256">
        <v>44973</v>
      </c>
      <c r="V207" s="252" t="s">
        <v>4803</v>
      </c>
    </row>
    <row r="208" spans="1:22">
      <c r="A208" s="774"/>
      <c r="B208" s="252" t="s">
        <v>5599</v>
      </c>
      <c r="C208" s="774"/>
      <c r="D208" s="253" t="s">
        <v>5467</v>
      </c>
      <c r="E208" s="252" t="s">
        <v>1743</v>
      </c>
      <c r="F208" s="253" t="s">
        <v>5468</v>
      </c>
      <c r="G208" s="252" t="s">
        <v>5584</v>
      </c>
      <c r="H208" s="252"/>
      <c r="I208" s="254" t="s">
        <v>1736</v>
      </c>
      <c r="J208" s="254" t="s">
        <v>4913</v>
      </c>
      <c r="K208" s="254" t="s">
        <v>4913</v>
      </c>
      <c r="L208" s="255" t="s">
        <v>183</v>
      </c>
      <c r="M208" s="255" t="s">
        <v>183</v>
      </c>
      <c r="N208" s="252"/>
      <c r="O208" s="256">
        <v>44973</v>
      </c>
      <c r="P208" s="253" t="s">
        <v>5585</v>
      </c>
      <c r="Q208" s="252"/>
      <c r="R208" s="252"/>
      <c r="S208" s="252"/>
      <c r="T208" s="252"/>
      <c r="U208" s="256">
        <v>44973</v>
      </c>
      <c r="V208" s="252" t="s">
        <v>4803</v>
      </c>
    </row>
    <row r="209" spans="1:22">
      <c r="A209" s="774"/>
      <c r="B209" s="252" t="s">
        <v>5600</v>
      </c>
      <c r="C209" s="774"/>
      <c r="D209" s="253" t="s">
        <v>5503</v>
      </c>
      <c r="E209" s="252" t="s">
        <v>1743</v>
      </c>
      <c r="F209" s="253" t="s">
        <v>5468</v>
      </c>
      <c r="G209" s="252" t="s">
        <v>5584</v>
      </c>
      <c r="H209" s="252"/>
      <c r="I209" s="254" t="s">
        <v>1736</v>
      </c>
      <c r="J209" s="254" t="s">
        <v>4913</v>
      </c>
      <c r="K209" s="254" t="s">
        <v>4913</v>
      </c>
      <c r="L209" s="255" t="s">
        <v>183</v>
      </c>
      <c r="M209" s="255" t="s">
        <v>183</v>
      </c>
      <c r="N209" s="252"/>
      <c r="O209" s="256">
        <v>44973</v>
      </c>
      <c r="P209" s="253" t="s">
        <v>5585</v>
      </c>
      <c r="Q209" s="252"/>
      <c r="R209" s="252"/>
      <c r="S209" s="252"/>
      <c r="T209" s="252"/>
      <c r="U209" s="256">
        <v>44973</v>
      </c>
      <c r="V209" s="252" t="s">
        <v>4803</v>
      </c>
    </row>
    <row r="210" spans="1:22">
      <c r="A210" s="774"/>
      <c r="B210" s="252" t="s">
        <v>5601</v>
      </c>
      <c r="C210" s="774"/>
      <c r="D210" s="253" t="s">
        <v>5472</v>
      </c>
      <c r="E210" s="252" t="s">
        <v>1743</v>
      </c>
      <c r="F210" s="253" t="s">
        <v>5371</v>
      </c>
      <c r="G210" s="252" t="s">
        <v>5584</v>
      </c>
      <c r="H210" s="252"/>
      <c r="I210" s="254" t="s">
        <v>1736</v>
      </c>
      <c r="J210" s="254" t="s">
        <v>4913</v>
      </c>
      <c r="K210" s="254" t="s">
        <v>4913</v>
      </c>
      <c r="L210" s="255" t="s">
        <v>183</v>
      </c>
      <c r="M210" s="255" t="s">
        <v>183</v>
      </c>
      <c r="N210" s="252"/>
      <c r="O210" s="256">
        <v>44973</v>
      </c>
      <c r="P210" s="253" t="s">
        <v>5585</v>
      </c>
      <c r="Q210" s="252"/>
      <c r="R210" s="252"/>
      <c r="S210" s="252"/>
      <c r="T210" s="252"/>
      <c r="U210" s="256">
        <v>44973</v>
      </c>
      <c r="V210" s="252" t="s">
        <v>4803</v>
      </c>
    </row>
    <row r="211" spans="1:22">
      <c r="A211" s="773"/>
      <c r="B211" s="252" t="s">
        <v>5602</v>
      </c>
      <c r="C211" s="773"/>
      <c r="D211" s="253" t="s">
        <v>5474</v>
      </c>
      <c r="E211" s="252" t="s">
        <v>1743</v>
      </c>
      <c r="F211" s="253" t="s">
        <v>5496</v>
      </c>
      <c r="G211" s="252" t="s">
        <v>5584</v>
      </c>
      <c r="H211" s="252"/>
      <c r="I211" s="254" t="s">
        <v>1736</v>
      </c>
      <c r="J211" s="254" t="s">
        <v>4913</v>
      </c>
      <c r="K211" s="254" t="s">
        <v>4913</v>
      </c>
      <c r="L211" s="255" t="s">
        <v>183</v>
      </c>
      <c r="M211" s="255" t="s">
        <v>183</v>
      </c>
      <c r="N211" s="252"/>
      <c r="O211" s="256">
        <v>44973</v>
      </c>
      <c r="P211" s="253" t="s">
        <v>5585</v>
      </c>
      <c r="Q211" s="252"/>
      <c r="R211" s="252"/>
      <c r="S211" s="252"/>
      <c r="T211" s="252"/>
      <c r="U211" s="256">
        <v>44973</v>
      </c>
      <c r="V211" s="252" t="s">
        <v>4803</v>
      </c>
    </row>
    <row r="212" spans="1:22">
      <c r="A212" s="703" t="s">
        <v>5603</v>
      </c>
      <c r="B212" s="252" t="s">
        <v>5604</v>
      </c>
      <c r="C212" s="704" t="s">
        <v>5605</v>
      </c>
      <c r="D212" s="253" t="s">
        <v>5531</v>
      </c>
      <c r="E212" s="252" t="s">
        <v>1732</v>
      </c>
      <c r="F212" s="253" t="s">
        <v>5439</v>
      </c>
      <c r="G212" s="252" t="s">
        <v>5606</v>
      </c>
      <c r="H212" s="252"/>
      <c r="I212" s="254" t="s">
        <v>1736</v>
      </c>
      <c r="J212" s="254" t="s">
        <v>4913</v>
      </c>
      <c r="K212" s="254" t="s">
        <v>4913</v>
      </c>
      <c r="L212" s="255" t="s">
        <v>183</v>
      </c>
      <c r="M212" s="255" t="s">
        <v>183</v>
      </c>
      <c r="N212" s="252"/>
      <c r="O212" s="256">
        <v>44984</v>
      </c>
      <c r="P212" s="253" t="s">
        <v>5607</v>
      </c>
      <c r="Q212" s="252"/>
      <c r="R212" s="252"/>
      <c r="S212" s="252"/>
      <c r="T212" s="252"/>
      <c r="U212" s="256">
        <v>44984</v>
      </c>
      <c r="V212" s="252" t="s">
        <v>4803</v>
      </c>
    </row>
    <row r="213" spans="1:22">
      <c r="A213" s="774"/>
      <c r="B213" s="252" t="s">
        <v>5608</v>
      </c>
      <c r="C213" s="774"/>
      <c r="D213" s="253" t="s">
        <v>5609</v>
      </c>
      <c r="E213" s="252" t="s">
        <v>1732</v>
      </c>
      <c r="F213" s="253" t="s">
        <v>5439</v>
      </c>
      <c r="G213" s="252" t="s">
        <v>5606</v>
      </c>
      <c r="H213" s="252"/>
      <c r="I213" s="254" t="s">
        <v>1736</v>
      </c>
      <c r="J213" s="254" t="s">
        <v>4913</v>
      </c>
      <c r="K213" s="254" t="s">
        <v>4913</v>
      </c>
      <c r="L213" s="255" t="s">
        <v>183</v>
      </c>
      <c r="M213" s="255" t="s">
        <v>183</v>
      </c>
      <c r="N213" s="252"/>
      <c r="O213" s="256">
        <v>44984</v>
      </c>
      <c r="P213" s="253" t="s">
        <v>5607</v>
      </c>
      <c r="Q213" s="252"/>
      <c r="R213" s="252"/>
      <c r="S213" s="252"/>
      <c r="T213" s="252"/>
      <c r="U213" s="256">
        <v>44984</v>
      </c>
      <c r="V213" s="252" t="s">
        <v>4803</v>
      </c>
    </row>
    <row r="214" spans="1:22">
      <c r="A214" s="774"/>
      <c r="B214" s="252" t="s">
        <v>5610</v>
      </c>
      <c r="C214" s="774"/>
      <c r="D214" s="253" t="s">
        <v>5264</v>
      </c>
      <c r="E214" s="252" t="s">
        <v>1732</v>
      </c>
      <c r="F214" s="253" t="s">
        <v>5588</v>
      </c>
      <c r="G214" s="252" t="s">
        <v>5606</v>
      </c>
      <c r="H214" s="252"/>
      <c r="I214" s="254" t="s">
        <v>1736</v>
      </c>
      <c r="J214" s="254" t="s">
        <v>4913</v>
      </c>
      <c r="K214" s="254" t="s">
        <v>4913</v>
      </c>
      <c r="L214" s="255" t="s">
        <v>183</v>
      </c>
      <c r="M214" s="255" t="s">
        <v>183</v>
      </c>
      <c r="N214" s="252"/>
      <c r="O214" s="256">
        <v>44984</v>
      </c>
      <c r="P214" s="253" t="s">
        <v>5607</v>
      </c>
      <c r="Q214" s="252"/>
      <c r="R214" s="252"/>
      <c r="S214" s="252"/>
      <c r="T214" s="252"/>
      <c r="U214" s="256">
        <v>44984</v>
      </c>
      <c r="V214" s="252" t="s">
        <v>4803</v>
      </c>
    </row>
    <row r="215" spans="1:22">
      <c r="A215" s="774"/>
      <c r="B215" s="252" t="s">
        <v>5611</v>
      </c>
      <c r="C215" s="774"/>
      <c r="D215" s="253" t="s">
        <v>5536</v>
      </c>
      <c r="E215" s="252" t="s">
        <v>1732</v>
      </c>
      <c r="F215" s="253" t="s">
        <v>5439</v>
      </c>
      <c r="G215" s="252" t="s">
        <v>5606</v>
      </c>
      <c r="H215" s="252"/>
      <c r="I215" s="254" t="s">
        <v>1736</v>
      </c>
      <c r="J215" s="254" t="s">
        <v>4913</v>
      </c>
      <c r="K215" s="254" t="s">
        <v>4913</v>
      </c>
      <c r="L215" s="255" t="s">
        <v>183</v>
      </c>
      <c r="M215" s="255" t="s">
        <v>183</v>
      </c>
      <c r="N215" s="252"/>
      <c r="O215" s="256">
        <v>44984</v>
      </c>
      <c r="P215" s="253" t="s">
        <v>5607</v>
      </c>
      <c r="Q215" s="252"/>
      <c r="R215" s="252"/>
      <c r="S215" s="252"/>
      <c r="T215" s="252"/>
      <c r="U215" s="256">
        <v>44984</v>
      </c>
      <c r="V215" s="252" t="s">
        <v>4803</v>
      </c>
    </row>
    <row r="216" spans="1:22">
      <c r="A216" s="774"/>
      <c r="B216" s="252" t="s">
        <v>5612</v>
      </c>
      <c r="C216" s="774"/>
      <c r="D216" s="253" t="s">
        <v>5538</v>
      </c>
      <c r="E216" s="252" t="s">
        <v>1732</v>
      </c>
      <c r="F216" s="253" t="s">
        <v>5439</v>
      </c>
      <c r="G216" s="252" t="s">
        <v>5606</v>
      </c>
      <c r="H216" s="252"/>
      <c r="I216" s="254" t="s">
        <v>1736</v>
      </c>
      <c r="J216" s="254" t="s">
        <v>4913</v>
      </c>
      <c r="K216" s="254" t="s">
        <v>4913</v>
      </c>
      <c r="L216" s="255" t="s">
        <v>183</v>
      </c>
      <c r="M216" s="255" t="s">
        <v>183</v>
      </c>
      <c r="N216" s="252"/>
      <c r="O216" s="256">
        <v>44984</v>
      </c>
      <c r="P216" s="253" t="s">
        <v>5607</v>
      </c>
      <c r="Q216" s="252"/>
      <c r="R216" s="252"/>
      <c r="S216" s="252"/>
      <c r="T216" s="252"/>
      <c r="U216" s="256">
        <v>44984</v>
      </c>
      <c r="V216" s="252" t="s">
        <v>4803</v>
      </c>
    </row>
    <row r="217" spans="1:22">
      <c r="A217" s="774"/>
      <c r="B217" s="252" t="s">
        <v>5613</v>
      </c>
      <c r="C217" s="774"/>
      <c r="D217" s="253" t="s">
        <v>5614</v>
      </c>
      <c r="E217" s="252" t="s">
        <v>1732</v>
      </c>
      <c r="F217" s="253" t="s">
        <v>5439</v>
      </c>
      <c r="G217" s="252" t="s">
        <v>5606</v>
      </c>
      <c r="H217" s="252"/>
      <c r="I217" s="254" t="s">
        <v>1736</v>
      </c>
      <c r="J217" s="254" t="s">
        <v>4913</v>
      </c>
      <c r="K217" s="254" t="s">
        <v>4913</v>
      </c>
      <c r="L217" s="255" t="s">
        <v>183</v>
      </c>
      <c r="M217" s="255" t="s">
        <v>183</v>
      </c>
      <c r="N217" s="252"/>
      <c r="O217" s="256">
        <v>44984</v>
      </c>
      <c r="P217" s="253" t="s">
        <v>5607</v>
      </c>
      <c r="Q217" s="252"/>
      <c r="R217" s="252"/>
      <c r="S217" s="252"/>
      <c r="T217" s="252"/>
      <c r="U217" s="256">
        <v>44984</v>
      </c>
      <c r="V217" s="252" t="s">
        <v>4803</v>
      </c>
    </row>
    <row r="218" spans="1:22">
      <c r="A218" s="774"/>
      <c r="B218" s="252" t="s">
        <v>5615</v>
      </c>
      <c r="C218" s="774"/>
      <c r="D218" s="253" t="s">
        <v>5616</v>
      </c>
      <c r="E218" s="252" t="s">
        <v>1743</v>
      </c>
      <c r="F218" s="253" t="s">
        <v>5496</v>
      </c>
      <c r="G218" s="252" t="s">
        <v>5606</v>
      </c>
      <c r="H218" s="252"/>
      <c r="I218" s="254" t="s">
        <v>1736</v>
      </c>
      <c r="J218" s="254" t="s">
        <v>4913</v>
      </c>
      <c r="K218" s="254" t="s">
        <v>4913</v>
      </c>
      <c r="L218" s="255" t="s">
        <v>183</v>
      </c>
      <c r="M218" s="255" t="s">
        <v>183</v>
      </c>
      <c r="N218" s="252"/>
      <c r="O218" s="256">
        <v>44984</v>
      </c>
      <c r="P218" s="253" t="s">
        <v>5607</v>
      </c>
      <c r="Q218" s="252"/>
      <c r="R218" s="252"/>
      <c r="S218" s="252"/>
      <c r="T218" s="252"/>
      <c r="U218" s="256">
        <v>44984</v>
      </c>
      <c r="V218" s="252" t="s">
        <v>4803</v>
      </c>
    </row>
    <row r="219" spans="1:22">
      <c r="A219" s="774"/>
      <c r="B219" s="252" t="s">
        <v>5617</v>
      </c>
      <c r="C219" s="774"/>
      <c r="D219" s="253" t="s">
        <v>5618</v>
      </c>
      <c r="E219" s="252" t="s">
        <v>1743</v>
      </c>
      <c r="F219" s="253" t="s">
        <v>5451</v>
      </c>
      <c r="G219" s="252" t="s">
        <v>5606</v>
      </c>
      <c r="H219" s="252"/>
      <c r="I219" s="254" t="s">
        <v>1736</v>
      </c>
      <c r="J219" s="254" t="s">
        <v>4913</v>
      </c>
      <c r="K219" s="254" t="s">
        <v>4913</v>
      </c>
      <c r="L219" s="255" t="s">
        <v>183</v>
      </c>
      <c r="M219" s="255" t="s">
        <v>183</v>
      </c>
      <c r="N219" s="252"/>
      <c r="O219" s="256">
        <v>44984</v>
      </c>
      <c r="P219" s="253" t="s">
        <v>5607</v>
      </c>
      <c r="Q219" s="252"/>
      <c r="R219" s="252"/>
      <c r="S219" s="252"/>
      <c r="T219" s="252"/>
      <c r="U219" s="256">
        <v>44984</v>
      </c>
      <c r="V219" s="252" t="s">
        <v>4803</v>
      </c>
    </row>
    <row r="220" spans="1:22">
      <c r="A220" s="774"/>
      <c r="B220" s="252" t="s">
        <v>5619</v>
      </c>
      <c r="C220" s="774"/>
      <c r="D220" s="253" t="s">
        <v>5620</v>
      </c>
      <c r="E220" s="252" t="s">
        <v>1743</v>
      </c>
      <c r="F220" s="253" t="s">
        <v>5496</v>
      </c>
      <c r="G220" s="252" t="s">
        <v>5606</v>
      </c>
      <c r="H220" s="252"/>
      <c r="I220" s="254" t="s">
        <v>1736</v>
      </c>
      <c r="J220" s="254" t="s">
        <v>4913</v>
      </c>
      <c r="K220" s="254" t="s">
        <v>4913</v>
      </c>
      <c r="L220" s="255" t="s">
        <v>183</v>
      </c>
      <c r="M220" s="255" t="s">
        <v>183</v>
      </c>
      <c r="N220" s="252"/>
      <c r="O220" s="256">
        <v>44984</v>
      </c>
      <c r="P220" s="253" t="s">
        <v>5607</v>
      </c>
      <c r="Q220" s="252"/>
      <c r="R220" s="252"/>
      <c r="S220" s="252"/>
      <c r="T220" s="252"/>
      <c r="U220" s="256">
        <v>44984</v>
      </c>
      <c r="V220" s="252" t="s">
        <v>4803</v>
      </c>
    </row>
    <row r="221" spans="1:22">
      <c r="A221" s="774"/>
      <c r="B221" s="252" t="s">
        <v>5621</v>
      </c>
      <c r="C221" s="774"/>
      <c r="D221" s="253" t="s">
        <v>5622</v>
      </c>
      <c r="E221" s="252" t="s">
        <v>1743</v>
      </c>
      <c r="F221" s="253" t="s">
        <v>5623</v>
      </c>
      <c r="G221" s="252" t="s">
        <v>5606</v>
      </c>
      <c r="H221" s="252"/>
      <c r="I221" s="254" t="s">
        <v>1736</v>
      </c>
      <c r="J221" s="254" t="s">
        <v>4913</v>
      </c>
      <c r="K221" s="254" t="s">
        <v>4913</v>
      </c>
      <c r="L221" s="255" t="s">
        <v>183</v>
      </c>
      <c r="M221" s="255" t="s">
        <v>183</v>
      </c>
      <c r="N221" s="252"/>
      <c r="O221" s="256">
        <v>44984</v>
      </c>
      <c r="P221" s="253" t="s">
        <v>5607</v>
      </c>
      <c r="Q221" s="252"/>
      <c r="R221" s="252"/>
      <c r="S221" s="252"/>
      <c r="T221" s="252"/>
      <c r="U221" s="256">
        <v>44984</v>
      </c>
      <c r="V221" s="252" t="s">
        <v>4803</v>
      </c>
    </row>
    <row r="222" spans="1:22">
      <c r="A222" s="774"/>
      <c r="B222" s="252" t="s">
        <v>5624</v>
      </c>
      <c r="C222" s="774"/>
      <c r="D222" s="253" t="s">
        <v>5625</v>
      </c>
      <c r="E222" s="252" t="s">
        <v>1743</v>
      </c>
      <c r="F222" s="253" t="s">
        <v>5496</v>
      </c>
      <c r="G222" s="252" t="s">
        <v>5606</v>
      </c>
      <c r="H222" s="252"/>
      <c r="I222" s="254" t="s">
        <v>1736</v>
      </c>
      <c r="J222" s="254" t="s">
        <v>4913</v>
      </c>
      <c r="K222" s="254" t="s">
        <v>4913</v>
      </c>
      <c r="L222" s="255" t="s">
        <v>183</v>
      </c>
      <c r="M222" s="255" t="s">
        <v>183</v>
      </c>
      <c r="N222" s="252"/>
      <c r="O222" s="256">
        <v>44984</v>
      </c>
      <c r="P222" s="253" t="s">
        <v>5607</v>
      </c>
      <c r="Q222" s="252"/>
      <c r="R222" s="252"/>
      <c r="S222" s="252"/>
      <c r="T222" s="252"/>
      <c r="U222" s="256">
        <v>44984</v>
      </c>
      <c r="V222" s="252" t="s">
        <v>4803</v>
      </c>
    </row>
    <row r="223" spans="1:22">
      <c r="A223" s="774"/>
      <c r="B223" s="252" t="s">
        <v>5626</v>
      </c>
      <c r="C223" s="774"/>
      <c r="D223" s="253" t="s">
        <v>5450</v>
      </c>
      <c r="E223" s="252" t="s">
        <v>1743</v>
      </c>
      <c r="F223" s="253" t="s">
        <v>5451</v>
      </c>
      <c r="G223" s="252" t="s">
        <v>5606</v>
      </c>
      <c r="H223" s="252"/>
      <c r="I223" s="254" t="s">
        <v>1736</v>
      </c>
      <c r="J223" s="254" t="s">
        <v>4913</v>
      </c>
      <c r="K223" s="254" t="s">
        <v>4913</v>
      </c>
      <c r="L223" s="255" t="s">
        <v>183</v>
      </c>
      <c r="M223" s="255" t="s">
        <v>183</v>
      </c>
      <c r="N223" s="252"/>
      <c r="O223" s="256">
        <v>44984</v>
      </c>
      <c r="P223" s="253" t="s">
        <v>5607</v>
      </c>
      <c r="Q223" s="252"/>
      <c r="R223" s="252"/>
      <c r="S223" s="252"/>
      <c r="T223" s="252"/>
      <c r="U223" s="256">
        <v>44984</v>
      </c>
      <c r="V223" s="252" t="s">
        <v>4803</v>
      </c>
    </row>
    <row r="224" spans="1:22">
      <c r="A224" s="773"/>
      <c r="B224" s="252" t="s">
        <v>5627</v>
      </c>
      <c r="C224" s="773"/>
      <c r="D224" s="253" t="s">
        <v>5628</v>
      </c>
      <c r="E224" s="252" t="s">
        <v>1743</v>
      </c>
      <c r="F224" s="253" t="s">
        <v>5496</v>
      </c>
      <c r="G224" s="252" t="s">
        <v>5606</v>
      </c>
      <c r="H224" s="252"/>
      <c r="I224" s="254" t="s">
        <v>1736</v>
      </c>
      <c r="J224" s="254" t="s">
        <v>4913</v>
      </c>
      <c r="K224" s="254" t="s">
        <v>4913</v>
      </c>
      <c r="L224" s="255" t="s">
        <v>183</v>
      </c>
      <c r="M224" s="255" t="s">
        <v>183</v>
      </c>
      <c r="N224" s="252"/>
      <c r="O224" s="256">
        <v>44984</v>
      </c>
      <c r="P224" s="253" t="s">
        <v>5607</v>
      </c>
      <c r="Q224" s="252"/>
      <c r="R224" s="252"/>
      <c r="S224" s="252"/>
      <c r="T224" s="252"/>
      <c r="U224" s="256">
        <v>44984</v>
      </c>
      <c r="V224" s="252" t="s">
        <v>4803</v>
      </c>
    </row>
    <row r="225" spans="1:22">
      <c r="A225" s="703" t="s">
        <v>5629</v>
      </c>
      <c r="B225" s="252" t="s">
        <v>5630</v>
      </c>
      <c r="C225" s="704" t="s">
        <v>5631</v>
      </c>
      <c r="D225" s="253" t="s">
        <v>5531</v>
      </c>
      <c r="E225" s="252" t="s">
        <v>1732</v>
      </c>
      <c r="F225" s="253" t="s">
        <v>5439</v>
      </c>
      <c r="G225" s="252" t="s">
        <v>5632</v>
      </c>
      <c r="H225" s="252"/>
      <c r="I225" s="254" t="s">
        <v>1736</v>
      </c>
      <c r="J225" s="254" t="s">
        <v>4913</v>
      </c>
      <c r="K225" s="254" t="s">
        <v>4913</v>
      </c>
      <c r="L225" s="255" t="s">
        <v>183</v>
      </c>
      <c r="M225" s="255" t="s">
        <v>183</v>
      </c>
      <c r="N225" s="252"/>
      <c r="O225" s="256">
        <v>44992</v>
      </c>
      <c r="P225" s="253" t="s">
        <v>5633</v>
      </c>
      <c r="Q225" s="252"/>
      <c r="R225" s="252"/>
      <c r="S225" s="252"/>
      <c r="T225" s="252"/>
      <c r="U225" s="256">
        <v>44992</v>
      </c>
      <c r="V225" s="252" t="s">
        <v>4803</v>
      </c>
    </row>
    <row r="226" spans="1:22">
      <c r="A226" s="774"/>
      <c r="B226" s="252" t="s">
        <v>5634</v>
      </c>
      <c r="C226" s="774"/>
      <c r="D226" s="253" t="s">
        <v>5264</v>
      </c>
      <c r="E226" s="252" t="s">
        <v>1732</v>
      </c>
      <c r="F226" s="253" t="s">
        <v>5439</v>
      </c>
      <c r="G226" s="252" t="s">
        <v>5632</v>
      </c>
      <c r="H226" s="252"/>
      <c r="I226" s="254" t="s">
        <v>1736</v>
      </c>
      <c r="J226" s="254" t="s">
        <v>4913</v>
      </c>
      <c r="K226" s="254" t="s">
        <v>4913</v>
      </c>
      <c r="L226" s="255" t="s">
        <v>183</v>
      </c>
      <c r="M226" s="255" t="s">
        <v>183</v>
      </c>
      <c r="N226" s="252"/>
      <c r="O226" s="256">
        <v>44992</v>
      </c>
      <c r="P226" s="253" t="s">
        <v>5633</v>
      </c>
      <c r="Q226" s="252"/>
      <c r="R226" s="252"/>
      <c r="S226" s="252"/>
      <c r="T226" s="252"/>
      <c r="U226" s="256">
        <v>44992</v>
      </c>
      <c r="V226" s="252" t="s">
        <v>4803</v>
      </c>
    </row>
    <row r="227" spans="1:22">
      <c r="A227" s="774"/>
      <c r="B227" s="252" t="s">
        <v>5635</v>
      </c>
      <c r="C227" s="774"/>
      <c r="D227" s="253" t="s">
        <v>5536</v>
      </c>
      <c r="E227" s="252" t="s">
        <v>1732</v>
      </c>
      <c r="F227" s="253" t="s">
        <v>5439</v>
      </c>
      <c r="G227" s="252" t="s">
        <v>5632</v>
      </c>
      <c r="H227" s="252"/>
      <c r="I227" s="254" t="s">
        <v>1736</v>
      </c>
      <c r="J227" s="254" t="s">
        <v>4913</v>
      </c>
      <c r="K227" s="254" t="s">
        <v>4913</v>
      </c>
      <c r="L227" s="255" t="s">
        <v>183</v>
      </c>
      <c r="M227" s="255" t="s">
        <v>183</v>
      </c>
      <c r="N227" s="252"/>
      <c r="O227" s="256">
        <v>44992</v>
      </c>
      <c r="P227" s="253" t="s">
        <v>5633</v>
      </c>
      <c r="Q227" s="252"/>
      <c r="R227" s="252"/>
      <c r="S227" s="252"/>
      <c r="T227" s="252"/>
      <c r="U227" s="256">
        <v>44992</v>
      </c>
      <c r="V227" s="252" t="s">
        <v>4803</v>
      </c>
    </row>
    <row r="228" spans="1:22">
      <c r="A228" s="774"/>
      <c r="B228" s="252" t="s">
        <v>5636</v>
      </c>
      <c r="C228" s="774"/>
      <c r="D228" s="253" t="s">
        <v>5538</v>
      </c>
      <c r="E228" s="252" t="s">
        <v>1732</v>
      </c>
      <c r="F228" s="253" t="s">
        <v>5371</v>
      </c>
      <c r="G228" s="252" t="s">
        <v>5632</v>
      </c>
      <c r="H228" s="252"/>
      <c r="I228" s="254" t="s">
        <v>1736</v>
      </c>
      <c r="J228" s="254" t="s">
        <v>4913</v>
      </c>
      <c r="K228" s="254" t="s">
        <v>4913</v>
      </c>
      <c r="L228" s="255" t="s">
        <v>183</v>
      </c>
      <c r="M228" s="255" t="s">
        <v>183</v>
      </c>
      <c r="N228" s="252"/>
      <c r="O228" s="256">
        <v>44992</v>
      </c>
      <c r="P228" s="253" t="s">
        <v>5633</v>
      </c>
      <c r="Q228" s="252"/>
      <c r="R228" s="252"/>
      <c r="S228" s="252"/>
      <c r="T228" s="252"/>
      <c r="U228" s="256">
        <v>44992</v>
      </c>
      <c r="V228" s="252" t="s">
        <v>4803</v>
      </c>
    </row>
    <row r="229" spans="1:22">
      <c r="A229" s="774"/>
      <c r="B229" s="252" t="s">
        <v>5637</v>
      </c>
      <c r="C229" s="774"/>
      <c r="D229" s="253" t="s">
        <v>5540</v>
      </c>
      <c r="E229" s="252" t="s">
        <v>1732</v>
      </c>
      <c r="F229" s="253" t="s">
        <v>5371</v>
      </c>
      <c r="G229" s="252" t="s">
        <v>5632</v>
      </c>
      <c r="H229" s="252"/>
      <c r="I229" s="254" t="s">
        <v>1736</v>
      </c>
      <c r="J229" s="254" t="s">
        <v>4913</v>
      </c>
      <c r="K229" s="254" t="s">
        <v>4913</v>
      </c>
      <c r="L229" s="255" t="s">
        <v>183</v>
      </c>
      <c r="M229" s="255" t="s">
        <v>183</v>
      </c>
      <c r="N229" s="252"/>
      <c r="O229" s="256">
        <v>44992</v>
      </c>
      <c r="P229" s="253" t="s">
        <v>5633</v>
      </c>
      <c r="Q229" s="252"/>
      <c r="R229" s="252"/>
      <c r="S229" s="252"/>
      <c r="T229" s="252"/>
      <c r="U229" s="256">
        <v>44992</v>
      </c>
      <c r="V229" s="252" t="s">
        <v>4803</v>
      </c>
    </row>
    <row r="230" spans="1:22">
      <c r="A230" s="774"/>
      <c r="B230" s="252" t="s">
        <v>5638</v>
      </c>
      <c r="C230" s="774"/>
      <c r="D230" s="253" t="s">
        <v>5542</v>
      </c>
      <c r="E230" s="252" t="s">
        <v>1743</v>
      </c>
      <c r="F230" s="253" t="s">
        <v>5456</v>
      </c>
      <c r="G230" s="252" t="s">
        <v>5632</v>
      </c>
      <c r="H230" s="252"/>
      <c r="I230" s="254" t="s">
        <v>1736</v>
      </c>
      <c r="J230" s="254" t="s">
        <v>4913</v>
      </c>
      <c r="K230" s="254" t="s">
        <v>4913</v>
      </c>
      <c r="L230" s="255" t="s">
        <v>183</v>
      </c>
      <c r="M230" s="255" t="s">
        <v>183</v>
      </c>
      <c r="N230" s="252"/>
      <c r="O230" s="256">
        <v>44992</v>
      </c>
      <c r="P230" s="253" t="s">
        <v>5633</v>
      </c>
      <c r="Q230" s="252"/>
      <c r="R230" s="252"/>
      <c r="S230" s="252"/>
      <c r="T230" s="252"/>
      <c r="U230" s="256">
        <v>44992</v>
      </c>
      <c r="V230" s="252" t="s">
        <v>4803</v>
      </c>
    </row>
    <row r="231" spans="1:22">
      <c r="A231" s="774"/>
      <c r="B231" s="252" t="s">
        <v>5639</v>
      </c>
      <c r="C231" s="774"/>
      <c r="D231" s="253" t="s">
        <v>5544</v>
      </c>
      <c r="E231" s="252" t="s">
        <v>1743</v>
      </c>
      <c r="F231" s="253" t="s">
        <v>5496</v>
      </c>
      <c r="G231" s="252" t="s">
        <v>5632</v>
      </c>
      <c r="H231" s="252"/>
      <c r="I231" s="254" t="s">
        <v>1736</v>
      </c>
      <c r="J231" s="254" t="s">
        <v>4913</v>
      </c>
      <c r="K231" s="254" t="s">
        <v>4913</v>
      </c>
      <c r="L231" s="255" t="s">
        <v>183</v>
      </c>
      <c r="M231" s="255" t="s">
        <v>183</v>
      </c>
      <c r="N231" s="252"/>
      <c r="O231" s="256">
        <v>44992</v>
      </c>
      <c r="P231" s="253" t="s">
        <v>5633</v>
      </c>
      <c r="Q231" s="252"/>
      <c r="R231" s="252"/>
      <c r="S231" s="252"/>
      <c r="T231" s="252"/>
      <c r="U231" s="256">
        <v>44992</v>
      </c>
      <c r="V231" s="252" t="s">
        <v>4803</v>
      </c>
    </row>
    <row r="232" spans="1:22">
      <c r="A232" s="774"/>
      <c r="B232" s="252" t="s">
        <v>5640</v>
      </c>
      <c r="C232" s="774"/>
      <c r="D232" s="253" t="s">
        <v>5546</v>
      </c>
      <c r="E232" s="252" t="s">
        <v>1743</v>
      </c>
      <c r="F232" s="253" t="s">
        <v>5481</v>
      </c>
      <c r="G232" s="252" t="s">
        <v>5632</v>
      </c>
      <c r="H232" s="252"/>
      <c r="I232" s="254" t="s">
        <v>1736</v>
      </c>
      <c r="J232" s="254" t="s">
        <v>4913</v>
      </c>
      <c r="K232" s="254" t="s">
        <v>4913</v>
      </c>
      <c r="L232" s="255" t="s">
        <v>183</v>
      </c>
      <c r="M232" s="255" t="s">
        <v>183</v>
      </c>
      <c r="N232" s="252"/>
      <c r="O232" s="256">
        <v>44992</v>
      </c>
      <c r="P232" s="253" t="s">
        <v>5633</v>
      </c>
      <c r="Q232" s="252"/>
      <c r="R232" s="252"/>
      <c r="S232" s="252"/>
      <c r="T232" s="252"/>
      <c r="U232" s="256">
        <v>44992</v>
      </c>
      <c r="V232" s="252" t="s">
        <v>4803</v>
      </c>
    </row>
    <row r="233" spans="1:22">
      <c r="A233" s="774"/>
      <c r="B233" s="252" t="s">
        <v>5641</v>
      </c>
      <c r="C233" s="774"/>
      <c r="D233" s="253" t="s">
        <v>5548</v>
      </c>
      <c r="E233" s="252" t="s">
        <v>1743</v>
      </c>
      <c r="F233" s="253" t="s">
        <v>5496</v>
      </c>
      <c r="G233" s="252" t="s">
        <v>5632</v>
      </c>
      <c r="H233" s="252"/>
      <c r="I233" s="254" t="s">
        <v>1736</v>
      </c>
      <c r="J233" s="254" t="s">
        <v>4913</v>
      </c>
      <c r="K233" s="254" t="s">
        <v>4913</v>
      </c>
      <c r="L233" s="255" t="s">
        <v>183</v>
      </c>
      <c r="M233" s="255" t="s">
        <v>183</v>
      </c>
      <c r="N233" s="252"/>
      <c r="O233" s="256">
        <v>44992</v>
      </c>
      <c r="P233" s="253" t="s">
        <v>5633</v>
      </c>
      <c r="Q233" s="252"/>
      <c r="R233" s="252"/>
      <c r="S233" s="252"/>
      <c r="T233" s="252"/>
      <c r="U233" s="256">
        <v>44992</v>
      </c>
      <c r="V233" s="252" t="s">
        <v>4803</v>
      </c>
    </row>
    <row r="234" spans="1:22">
      <c r="A234" s="774"/>
      <c r="B234" s="252" t="s">
        <v>5642</v>
      </c>
      <c r="C234" s="774"/>
      <c r="D234" s="253" t="s">
        <v>5551</v>
      </c>
      <c r="E234" s="252" t="s">
        <v>1743</v>
      </c>
      <c r="F234" s="253" t="s">
        <v>5456</v>
      </c>
      <c r="G234" s="252" t="s">
        <v>5632</v>
      </c>
      <c r="H234" s="252"/>
      <c r="I234" s="254" t="s">
        <v>1736</v>
      </c>
      <c r="J234" s="254" t="s">
        <v>4913</v>
      </c>
      <c r="K234" s="254" t="s">
        <v>4913</v>
      </c>
      <c r="L234" s="255" t="s">
        <v>183</v>
      </c>
      <c r="M234" s="255" t="s">
        <v>183</v>
      </c>
      <c r="N234" s="252"/>
      <c r="O234" s="256">
        <v>44992</v>
      </c>
      <c r="P234" s="253" t="s">
        <v>5633</v>
      </c>
      <c r="Q234" s="252"/>
      <c r="R234" s="252"/>
      <c r="S234" s="252"/>
      <c r="T234" s="252"/>
      <c r="U234" s="256">
        <v>44992</v>
      </c>
      <c r="V234" s="252" t="s">
        <v>4803</v>
      </c>
    </row>
    <row r="235" spans="1:22">
      <c r="A235" s="774"/>
      <c r="B235" s="252" t="s">
        <v>5643</v>
      </c>
      <c r="C235" s="774"/>
      <c r="D235" s="253" t="s">
        <v>5450</v>
      </c>
      <c r="E235" s="252" t="s">
        <v>1743</v>
      </c>
      <c r="F235" s="253" t="s">
        <v>5496</v>
      </c>
      <c r="G235" s="252" t="s">
        <v>5632</v>
      </c>
      <c r="H235" s="252"/>
      <c r="I235" s="254" t="s">
        <v>1736</v>
      </c>
      <c r="J235" s="254" t="s">
        <v>4913</v>
      </c>
      <c r="K235" s="254" t="s">
        <v>4913</v>
      </c>
      <c r="L235" s="255" t="s">
        <v>183</v>
      </c>
      <c r="M235" s="255" t="s">
        <v>183</v>
      </c>
      <c r="N235" s="252"/>
      <c r="O235" s="256">
        <v>44992</v>
      </c>
      <c r="P235" s="253" t="s">
        <v>5633</v>
      </c>
      <c r="Q235" s="252"/>
      <c r="R235" s="252"/>
      <c r="S235" s="252"/>
      <c r="T235" s="252"/>
      <c r="U235" s="256">
        <v>44992</v>
      </c>
      <c r="V235" s="252" t="s">
        <v>4803</v>
      </c>
    </row>
    <row r="236" spans="1:22">
      <c r="A236" s="774"/>
      <c r="B236" s="252" t="s">
        <v>5644</v>
      </c>
      <c r="C236" s="774"/>
      <c r="D236" s="253" t="s">
        <v>5555</v>
      </c>
      <c r="E236" s="252" t="s">
        <v>1743</v>
      </c>
      <c r="F236" s="253" t="s">
        <v>5456</v>
      </c>
      <c r="G236" s="252" t="s">
        <v>5632</v>
      </c>
      <c r="H236" s="252"/>
      <c r="I236" s="254" t="s">
        <v>1736</v>
      </c>
      <c r="J236" s="254" t="s">
        <v>4913</v>
      </c>
      <c r="K236" s="254" t="s">
        <v>4913</v>
      </c>
      <c r="L236" s="255" t="s">
        <v>183</v>
      </c>
      <c r="M236" s="255" t="s">
        <v>183</v>
      </c>
      <c r="N236" s="252"/>
      <c r="O236" s="256">
        <v>44992</v>
      </c>
      <c r="P236" s="253" t="s">
        <v>5633</v>
      </c>
      <c r="Q236" s="252"/>
      <c r="R236" s="252"/>
      <c r="S236" s="252"/>
      <c r="T236" s="252"/>
      <c r="U236" s="256">
        <v>44992</v>
      </c>
      <c r="V236" s="252" t="s">
        <v>4803</v>
      </c>
    </row>
    <row r="237" spans="1:22">
      <c r="A237" s="773"/>
      <c r="B237" s="252" t="s">
        <v>5645</v>
      </c>
      <c r="C237" s="773"/>
      <c r="D237" s="253" t="s">
        <v>5557</v>
      </c>
      <c r="E237" s="252" t="s">
        <v>1743</v>
      </c>
      <c r="F237" s="253" t="s">
        <v>5558</v>
      </c>
      <c r="G237" s="252" t="s">
        <v>5632</v>
      </c>
      <c r="H237" s="252"/>
      <c r="I237" s="254" t="s">
        <v>1736</v>
      </c>
      <c r="J237" s="254" t="s">
        <v>4913</v>
      </c>
      <c r="K237" s="254" t="s">
        <v>4913</v>
      </c>
      <c r="L237" s="255" t="s">
        <v>183</v>
      </c>
      <c r="M237" s="255" t="s">
        <v>183</v>
      </c>
      <c r="N237" s="252"/>
      <c r="O237" s="256">
        <v>44992</v>
      </c>
      <c r="P237" s="253" t="s">
        <v>5633</v>
      </c>
      <c r="Q237" s="252"/>
      <c r="R237" s="252"/>
      <c r="S237" s="252"/>
      <c r="T237" s="252"/>
      <c r="U237" s="256">
        <v>44992</v>
      </c>
      <c r="V237" s="252" t="s">
        <v>4803</v>
      </c>
    </row>
    <row r="238" spans="1:22">
      <c r="A238" s="703" t="s">
        <v>5646</v>
      </c>
      <c r="B238" s="252" t="s">
        <v>5647</v>
      </c>
      <c r="C238" s="704" t="s">
        <v>5648</v>
      </c>
      <c r="D238" s="253" t="s">
        <v>5531</v>
      </c>
      <c r="E238" s="252" t="s">
        <v>1732</v>
      </c>
      <c r="F238" s="253" t="s">
        <v>5439</v>
      </c>
      <c r="G238" s="252" t="s">
        <v>5649</v>
      </c>
      <c r="H238" s="252"/>
      <c r="I238" s="254" t="s">
        <v>1736</v>
      </c>
      <c r="J238" s="254" t="s">
        <v>4913</v>
      </c>
      <c r="K238" s="254" t="s">
        <v>4913</v>
      </c>
      <c r="L238" s="255" t="s">
        <v>183</v>
      </c>
      <c r="M238" s="255" t="s">
        <v>183</v>
      </c>
      <c r="N238" s="252"/>
      <c r="O238" s="256">
        <v>45002</v>
      </c>
      <c r="P238" s="253" t="s">
        <v>5650</v>
      </c>
      <c r="Q238" s="252"/>
      <c r="R238" s="252"/>
      <c r="S238" s="252"/>
      <c r="T238" s="252"/>
      <c r="U238" s="256">
        <v>45002</v>
      </c>
      <c r="V238" s="252" t="s">
        <v>4803</v>
      </c>
    </row>
    <row r="239" spans="1:22">
      <c r="A239" s="774"/>
      <c r="B239" s="252" t="s">
        <v>5651</v>
      </c>
      <c r="C239" s="774"/>
      <c r="D239" s="253" t="s">
        <v>5264</v>
      </c>
      <c r="E239" s="252" t="s">
        <v>1732</v>
      </c>
      <c r="F239" s="253" t="s">
        <v>5439</v>
      </c>
      <c r="G239" s="252" t="s">
        <v>5649</v>
      </c>
      <c r="H239" s="252"/>
      <c r="I239" s="254" t="s">
        <v>1736</v>
      </c>
      <c r="J239" s="254" t="s">
        <v>4913</v>
      </c>
      <c r="K239" s="254" t="s">
        <v>4913</v>
      </c>
      <c r="L239" s="255" t="s">
        <v>183</v>
      </c>
      <c r="M239" s="255" t="s">
        <v>183</v>
      </c>
      <c r="N239" s="252"/>
      <c r="O239" s="256">
        <v>45002</v>
      </c>
      <c r="P239" s="253" t="s">
        <v>5650</v>
      </c>
      <c r="Q239" s="252"/>
      <c r="R239" s="252"/>
      <c r="S239" s="252"/>
      <c r="T239" s="252"/>
      <c r="U239" s="256">
        <v>45002</v>
      </c>
      <c r="V239" s="252" t="s">
        <v>4803</v>
      </c>
    </row>
    <row r="240" spans="1:22">
      <c r="A240" s="774"/>
      <c r="B240" s="252" t="s">
        <v>5652</v>
      </c>
      <c r="C240" s="774"/>
      <c r="D240" s="253" t="s">
        <v>5536</v>
      </c>
      <c r="E240" s="252" t="s">
        <v>1732</v>
      </c>
      <c r="F240" s="253" t="s">
        <v>5439</v>
      </c>
      <c r="G240" s="252" t="s">
        <v>5649</v>
      </c>
      <c r="H240" s="252"/>
      <c r="I240" s="254" t="s">
        <v>1736</v>
      </c>
      <c r="J240" s="254" t="s">
        <v>4913</v>
      </c>
      <c r="K240" s="254" t="s">
        <v>4913</v>
      </c>
      <c r="L240" s="255" t="s">
        <v>183</v>
      </c>
      <c r="M240" s="255" t="s">
        <v>183</v>
      </c>
      <c r="N240" s="252"/>
      <c r="O240" s="256">
        <v>45002</v>
      </c>
      <c r="P240" s="253" t="s">
        <v>5650</v>
      </c>
      <c r="Q240" s="252"/>
      <c r="R240" s="252"/>
      <c r="S240" s="252"/>
      <c r="T240" s="252"/>
      <c r="U240" s="256">
        <v>45002</v>
      </c>
      <c r="V240" s="252" t="s">
        <v>4803</v>
      </c>
    </row>
    <row r="241" spans="1:22">
      <c r="A241" s="774"/>
      <c r="B241" s="252" t="s">
        <v>5653</v>
      </c>
      <c r="C241" s="774"/>
      <c r="D241" s="253" t="s">
        <v>5538</v>
      </c>
      <c r="E241" s="252" t="s">
        <v>1732</v>
      </c>
      <c r="F241" s="253" t="s">
        <v>5371</v>
      </c>
      <c r="G241" s="252" t="s">
        <v>5649</v>
      </c>
      <c r="H241" s="252"/>
      <c r="I241" s="254" t="s">
        <v>1736</v>
      </c>
      <c r="J241" s="254" t="s">
        <v>4913</v>
      </c>
      <c r="K241" s="254" t="s">
        <v>4913</v>
      </c>
      <c r="L241" s="255" t="s">
        <v>183</v>
      </c>
      <c r="M241" s="255" t="s">
        <v>183</v>
      </c>
      <c r="N241" s="252"/>
      <c r="O241" s="256">
        <v>45002</v>
      </c>
      <c r="P241" s="253" t="s">
        <v>5650</v>
      </c>
      <c r="Q241" s="252"/>
      <c r="R241" s="252"/>
      <c r="S241" s="252"/>
      <c r="T241" s="252"/>
      <c r="U241" s="256">
        <v>45002</v>
      </c>
      <c r="V241" s="252" t="s">
        <v>4803</v>
      </c>
    </row>
    <row r="242" spans="1:22">
      <c r="A242" s="774"/>
      <c r="B242" s="252" t="s">
        <v>5654</v>
      </c>
      <c r="C242" s="774"/>
      <c r="D242" s="253" t="s">
        <v>5540</v>
      </c>
      <c r="E242" s="252" t="s">
        <v>1732</v>
      </c>
      <c r="F242" s="253" t="s">
        <v>5371</v>
      </c>
      <c r="G242" s="252" t="s">
        <v>5649</v>
      </c>
      <c r="H242" s="252"/>
      <c r="I242" s="254" t="s">
        <v>1736</v>
      </c>
      <c r="J242" s="254" t="s">
        <v>4913</v>
      </c>
      <c r="K242" s="254" t="s">
        <v>4913</v>
      </c>
      <c r="L242" s="255" t="s">
        <v>183</v>
      </c>
      <c r="M242" s="255" t="s">
        <v>183</v>
      </c>
      <c r="N242" s="252"/>
      <c r="O242" s="256">
        <v>45002</v>
      </c>
      <c r="P242" s="253" t="s">
        <v>5650</v>
      </c>
      <c r="Q242" s="252"/>
      <c r="R242" s="252"/>
      <c r="S242" s="252"/>
      <c r="T242" s="252"/>
      <c r="U242" s="256">
        <v>45002</v>
      </c>
      <c r="V242" s="252" t="s">
        <v>4803</v>
      </c>
    </row>
    <row r="243" spans="1:22">
      <c r="A243" s="774"/>
      <c r="B243" s="252" t="s">
        <v>5655</v>
      </c>
      <c r="C243" s="774"/>
      <c r="D243" s="253" t="s">
        <v>5542</v>
      </c>
      <c r="E243" s="252" t="s">
        <v>1743</v>
      </c>
      <c r="F243" s="253" t="s">
        <v>5456</v>
      </c>
      <c r="G243" s="252" t="s">
        <v>5649</v>
      </c>
      <c r="H243" s="252"/>
      <c r="I243" s="254" t="s">
        <v>1736</v>
      </c>
      <c r="J243" s="254" t="s">
        <v>4913</v>
      </c>
      <c r="K243" s="254" t="s">
        <v>4913</v>
      </c>
      <c r="L243" s="255" t="s">
        <v>183</v>
      </c>
      <c r="M243" s="255" t="s">
        <v>183</v>
      </c>
      <c r="N243" s="252"/>
      <c r="O243" s="256">
        <v>45002</v>
      </c>
      <c r="P243" s="253" t="s">
        <v>5650</v>
      </c>
      <c r="Q243" s="252"/>
      <c r="R243" s="252"/>
      <c r="S243" s="252"/>
      <c r="T243" s="252"/>
      <c r="U243" s="256">
        <v>45002</v>
      </c>
      <c r="V243" s="252" t="s">
        <v>4803</v>
      </c>
    </row>
    <row r="244" spans="1:22">
      <c r="A244" s="774"/>
      <c r="B244" s="252" t="s">
        <v>5656</v>
      </c>
      <c r="C244" s="774"/>
      <c r="D244" s="253" t="s">
        <v>5544</v>
      </c>
      <c r="E244" s="252" t="s">
        <v>1743</v>
      </c>
      <c r="F244" s="253" t="s">
        <v>5496</v>
      </c>
      <c r="G244" s="252" t="s">
        <v>5649</v>
      </c>
      <c r="H244" s="252"/>
      <c r="I244" s="254" t="s">
        <v>1736</v>
      </c>
      <c r="J244" s="254" t="s">
        <v>4913</v>
      </c>
      <c r="K244" s="254" t="s">
        <v>4913</v>
      </c>
      <c r="L244" s="255" t="s">
        <v>183</v>
      </c>
      <c r="M244" s="255" t="s">
        <v>183</v>
      </c>
      <c r="N244" s="252"/>
      <c r="O244" s="256">
        <v>45002</v>
      </c>
      <c r="P244" s="253" t="s">
        <v>5650</v>
      </c>
      <c r="Q244" s="252"/>
      <c r="R244" s="252"/>
      <c r="S244" s="252"/>
      <c r="T244" s="252"/>
      <c r="U244" s="256">
        <v>45002</v>
      </c>
      <c r="V244" s="252" t="s">
        <v>4803</v>
      </c>
    </row>
    <row r="245" spans="1:22">
      <c r="A245" s="774"/>
      <c r="B245" s="252" t="s">
        <v>5657</v>
      </c>
      <c r="C245" s="774"/>
      <c r="D245" s="253" t="s">
        <v>5546</v>
      </c>
      <c r="E245" s="252" t="s">
        <v>1743</v>
      </c>
      <c r="F245" s="253" t="s">
        <v>5481</v>
      </c>
      <c r="G245" s="252" t="s">
        <v>5649</v>
      </c>
      <c r="H245" s="252"/>
      <c r="I245" s="254" t="s">
        <v>1736</v>
      </c>
      <c r="J245" s="254" t="s">
        <v>4913</v>
      </c>
      <c r="K245" s="254" t="s">
        <v>4913</v>
      </c>
      <c r="L245" s="255" t="s">
        <v>183</v>
      </c>
      <c r="M245" s="255" t="s">
        <v>183</v>
      </c>
      <c r="N245" s="252"/>
      <c r="O245" s="256">
        <v>45002</v>
      </c>
      <c r="P245" s="253" t="s">
        <v>5650</v>
      </c>
      <c r="Q245" s="252"/>
      <c r="R245" s="252"/>
      <c r="S245" s="252"/>
      <c r="T245" s="252"/>
      <c r="U245" s="256">
        <v>45002</v>
      </c>
      <c r="V245" s="252" t="s">
        <v>4803</v>
      </c>
    </row>
    <row r="246" spans="1:22">
      <c r="A246" s="774"/>
      <c r="B246" s="252" t="s">
        <v>5658</v>
      </c>
      <c r="C246" s="774"/>
      <c r="D246" s="253" t="s">
        <v>5548</v>
      </c>
      <c r="E246" s="252" t="s">
        <v>1743</v>
      </c>
      <c r="F246" s="253" t="s">
        <v>5496</v>
      </c>
      <c r="G246" s="252" t="s">
        <v>5649</v>
      </c>
      <c r="H246" s="252"/>
      <c r="I246" s="254" t="s">
        <v>1736</v>
      </c>
      <c r="J246" s="254" t="s">
        <v>4913</v>
      </c>
      <c r="K246" s="254" t="s">
        <v>4913</v>
      </c>
      <c r="L246" s="255" t="s">
        <v>183</v>
      </c>
      <c r="M246" s="255" t="s">
        <v>183</v>
      </c>
      <c r="N246" s="252"/>
      <c r="O246" s="256">
        <v>45002</v>
      </c>
      <c r="P246" s="253" t="s">
        <v>5650</v>
      </c>
      <c r="Q246" s="252"/>
      <c r="R246" s="252"/>
      <c r="S246" s="252"/>
      <c r="T246" s="252"/>
      <c r="U246" s="256">
        <v>45002</v>
      </c>
      <c r="V246" s="252" t="s">
        <v>4803</v>
      </c>
    </row>
    <row r="247" spans="1:22">
      <c r="A247" s="774"/>
      <c r="B247" s="252" t="s">
        <v>5659</v>
      </c>
      <c r="C247" s="774"/>
      <c r="D247" s="253" t="s">
        <v>5551</v>
      </c>
      <c r="E247" s="252" t="s">
        <v>1743</v>
      </c>
      <c r="F247" s="253" t="s">
        <v>5456</v>
      </c>
      <c r="G247" s="252" t="s">
        <v>5649</v>
      </c>
      <c r="H247" s="252"/>
      <c r="I247" s="254" t="s">
        <v>1736</v>
      </c>
      <c r="J247" s="254" t="s">
        <v>4913</v>
      </c>
      <c r="K247" s="254" t="s">
        <v>4913</v>
      </c>
      <c r="L247" s="255" t="s">
        <v>183</v>
      </c>
      <c r="M247" s="255" t="s">
        <v>183</v>
      </c>
      <c r="N247" s="252"/>
      <c r="O247" s="256">
        <v>45002</v>
      </c>
      <c r="P247" s="253" t="s">
        <v>5650</v>
      </c>
      <c r="Q247" s="252"/>
      <c r="R247" s="252"/>
      <c r="S247" s="252"/>
      <c r="T247" s="252"/>
      <c r="U247" s="256">
        <v>45002</v>
      </c>
      <c r="V247" s="252" t="s">
        <v>4803</v>
      </c>
    </row>
    <row r="248" spans="1:22">
      <c r="A248" s="774"/>
      <c r="B248" s="252" t="s">
        <v>5660</v>
      </c>
      <c r="C248" s="774"/>
      <c r="D248" s="253" t="s">
        <v>5450</v>
      </c>
      <c r="E248" s="252" t="s">
        <v>1743</v>
      </c>
      <c r="F248" s="253" t="s">
        <v>5496</v>
      </c>
      <c r="G248" s="252" t="s">
        <v>5649</v>
      </c>
      <c r="H248" s="252"/>
      <c r="I248" s="254" t="s">
        <v>1736</v>
      </c>
      <c r="J248" s="254" t="s">
        <v>4913</v>
      </c>
      <c r="K248" s="254" t="s">
        <v>4913</v>
      </c>
      <c r="L248" s="255" t="s">
        <v>183</v>
      </c>
      <c r="M248" s="255" t="s">
        <v>183</v>
      </c>
      <c r="N248" s="252"/>
      <c r="O248" s="256">
        <v>45002</v>
      </c>
      <c r="P248" s="253" t="s">
        <v>5650</v>
      </c>
      <c r="Q248" s="252"/>
      <c r="R248" s="252"/>
      <c r="S248" s="252"/>
      <c r="T248" s="252"/>
      <c r="U248" s="256">
        <v>45002</v>
      </c>
      <c r="V248" s="252" t="s">
        <v>4803</v>
      </c>
    </row>
    <row r="249" spans="1:22">
      <c r="A249" s="774"/>
      <c r="B249" s="252" t="s">
        <v>5661</v>
      </c>
      <c r="C249" s="774"/>
      <c r="D249" s="253" t="s">
        <v>5555</v>
      </c>
      <c r="E249" s="252" t="s">
        <v>1743</v>
      </c>
      <c r="F249" s="253" t="s">
        <v>5456</v>
      </c>
      <c r="G249" s="252" t="s">
        <v>5649</v>
      </c>
      <c r="H249" s="252"/>
      <c r="I249" s="254" t="s">
        <v>1736</v>
      </c>
      <c r="J249" s="254" t="s">
        <v>4913</v>
      </c>
      <c r="K249" s="254" t="s">
        <v>4913</v>
      </c>
      <c r="L249" s="255" t="s">
        <v>183</v>
      </c>
      <c r="M249" s="255" t="s">
        <v>183</v>
      </c>
      <c r="N249" s="252"/>
      <c r="O249" s="256">
        <v>45002</v>
      </c>
      <c r="P249" s="253" t="s">
        <v>5650</v>
      </c>
      <c r="Q249" s="252"/>
      <c r="R249" s="252"/>
      <c r="S249" s="252"/>
      <c r="T249" s="252"/>
      <c r="U249" s="256">
        <v>45002</v>
      </c>
      <c r="V249" s="252" t="s">
        <v>4803</v>
      </c>
    </row>
    <row r="250" spans="1:22">
      <c r="A250" s="773"/>
      <c r="B250" s="252" t="s">
        <v>5662</v>
      </c>
      <c r="C250" s="773"/>
      <c r="D250" s="253" t="s">
        <v>5557</v>
      </c>
      <c r="E250" s="252" t="s">
        <v>1743</v>
      </c>
      <c r="F250" s="253" t="s">
        <v>5558</v>
      </c>
      <c r="G250" s="252" t="s">
        <v>5649</v>
      </c>
      <c r="H250" s="252"/>
      <c r="I250" s="254" t="s">
        <v>1736</v>
      </c>
      <c r="J250" s="254" t="s">
        <v>4913</v>
      </c>
      <c r="K250" s="254" t="s">
        <v>4913</v>
      </c>
      <c r="L250" s="255" t="s">
        <v>183</v>
      </c>
      <c r="M250" s="255" t="s">
        <v>183</v>
      </c>
      <c r="N250" s="252"/>
      <c r="O250" s="256">
        <v>45002</v>
      </c>
      <c r="P250" s="253" t="s">
        <v>5650</v>
      </c>
      <c r="Q250" s="252"/>
      <c r="R250" s="252"/>
      <c r="S250" s="252"/>
      <c r="T250" s="252"/>
      <c r="U250" s="256">
        <v>45002</v>
      </c>
      <c r="V250" s="252" t="s">
        <v>4803</v>
      </c>
    </row>
    <row r="251" spans="1:22">
      <c r="A251" s="703" t="s">
        <v>5663</v>
      </c>
      <c r="B251" s="252" t="s">
        <v>5664</v>
      </c>
      <c r="C251" s="704" t="s">
        <v>5665</v>
      </c>
      <c r="D251" s="253" t="s">
        <v>5531</v>
      </c>
      <c r="E251" s="252" t="s">
        <v>1732</v>
      </c>
      <c r="F251" s="253" t="s">
        <v>5439</v>
      </c>
      <c r="G251" s="252" t="s">
        <v>5666</v>
      </c>
      <c r="H251" s="252"/>
      <c r="I251" s="254" t="s">
        <v>1736</v>
      </c>
      <c r="J251" s="254" t="s">
        <v>4913</v>
      </c>
      <c r="K251" s="254" t="s">
        <v>4913</v>
      </c>
      <c r="L251" s="255" t="s">
        <v>183</v>
      </c>
      <c r="M251" s="255" t="s">
        <v>183</v>
      </c>
      <c r="N251" s="252"/>
      <c r="O251" s="256">
        <v>45015</v>
      </c>
      <c r="P251" s="253" t="s">
        <v>5667</v>
      </c>
      <c r="Q251" s="252"/>
      <c r="R251" s="252"/>
      <c r="S251" s="252"/>
      <c r="T251" s="252"/>
      <c r="U251" s="256">
        <v>45015</v>
      </c>
      <c r="V251" s="252" t="s">
        <v>4803</v>
      </c>
    </row>
    <row r="252" spans="1:22">
      <c r="A252" s="774"/>
      <c r="B252" s="252" t="s">
        <v>5668</v>
      </c>
      <c r="C252" s="774"/>
      <c r="D252" s="253" t="s">
        <v>5264</v>
      </c>
      <c r="E252" s="252" t="s">
        <v>1732</v>
      </c>
      <c r="F252" s="253" t="s">
        <v>5439</v>
      </c>
      <c r="G252" s="252" t="s">
        <v>5666</v>
      </c>
      <c r="H252" s="252"/>
      <c r="I252" s="254" t="s">
        <v>1736</v>
      </c>
      <c r="J252" s="254" t="s">
        <v>4913</v>
      </c>
      <c r="K252" s="254" t="s">
        <v>4913</v>
      </c>
      <c r="L252" s="255" t="s">
        <v>183</v>
      </c>
      <c r="M252" s="255" t="s">
        <v>183</v>
      </c>
      <c r="N252" s="252"/>
      <c r="O252" s="256">
        <v>45015</v>
      </c>
      <c r="P252" s="253" t="s">
        <v>5667</v>
      </c>
      <c r="Q252" s="252"/>
      <c r="R252" s="252"/>
      <c r="S252" s="252"/>
      <c r="T252" s="252"/>
      <c r="U252" s="256">
        <v>45015</v>
      </c>
      <c r="V252" s="252" t="s">
        <v>4803</v>
      </c>
    </row>
    <row r="253" spans="1:22">
      <c r="A253" s="774"/>
      <c r="B253" s="252" t="s">
        <v>5669</v>
      </c>
      <c r="C253" s="774"/>
      <c r="D253" s="253" t="s">
        <v>5536</v>
      </c>
      <c r="E253" s="252" t="s">
        <v>1732</v>
      </c>
      <c r="F253" s="253" t="s">
        <v>5439</v>
      </c>
      <c r="G253" s="252" t="s">
        <v>5666</v>
      </c>
      <c r="H253" s="252"/>
      <c r="I253" s="254" t="s">
        <v>1736</v>
      </c>
      <c r="J253" s="254" t="s">
        <v>4913</v>
      </c>
      <c r="K253" s="254" t="s">
        <v>4913</v>
      </c>
      <c r="L253" s="255" t="s">
        <v>183</v>
      </c>
      <c r="M253" s="255" t="s">
        <v>183</v>
      </c>
      <c r="N253" s="252"/>
      <c r="O253" s="256">
        <v>45015</v>
      </c>
      <c r="P253" s="253" t="s">
        <v>5667</v>
      </c>
      <c r="Q253" s="252"/>
      <c r="R253" s="252"/>
      <c r="S253" s="252"/>
      <c r="T253" s="252"/>
      <c r="U253" s="256">
        <v>45015</v>
      </c>
      <c r="V253" s="252" t="s">
        <v>4803</v>
      </c>
    </row>
    <row r="254" spans="1:22">
      <c r="A254" s="774"/>
      <c r="B254" s="252" t="s">
        <v>5670</v>
      </c>
      <c r="C254" s="774"/>
      <c r="D254" s="253" t="s">
        <v>5538</v>
      </c>
      <c r="E254" s="252" t="s">
        <v>1732</v>
      </c>
      <c r="F254" s="253" t="s">
        <v>5371</v>
      </c>
      <c r="G254" s="252" t="s">
        <v>5666</v>
      </c>
      <c r="H254" s="252"/>
      <c r="I254" s="254" t="s">
        <v>1736</v>
      </c>
      <c r="J254" s="254" t="s">
        <v>4913</v>
      </c>
      <c r="K254" s="254" t="s">
        <v>4913</v>
      </c>
      <c r="L254" s="255" t="s">
        <v>183</v>
      </c>
      <c r="M254" s="255" t="s">
        <v>183</v>
      </c>
      <c r="N254" s="252"/>
      <c r="O254" s="256">
        <v>45015</v>
      </c>
      <c r="P254" s="253" t="s">
        <v>5667</v>
      </c>
      <c r="Q254" s="252"/>
      <c r="R254" s="252"/>
      <c r="S254" s="252"/>
      <c r="T254" s="252"/>
      <c r="U254" s="256">
        <v>45015</v>
      </c>
      <c r="V254" s="252" t="s">
        <v>4803</v>
      </c>
    </row>
    <row r="255" spans="1:22">
      <c r="A255" s="774"/>
      <c r="B255" s="252" t="s">
        <v>5671</v>
      </c>
      <c r="C255" s="774"/>
      <c r="D255" s="253" t="s">
        <v>5540</v>
      </c>
      <c r="E255" s="252" t="s">
        <v>1732</v>
      </c>
      <c r="F255" s="253" t="s">
        <v>5371</v>
      </c>
      <c r="G255" s="252" t="s">
        <v>5666</v>
      </c>
      <c r="H255" s="252"/>
      <c r="I255" s="254" t="s">
        <v>1736</v>
      </c>
      <c r="J255" s="254" t="s">
        <v>4913</v>
      </c>
      <c r="K255" s="254" t="s">
        <v>4913</v>
      </c>
      <c r="L255" s="255" t="s">
        <v>183</v>
      </c>
      <c r="M255" s="255" t="s">
        <v>183</v>
      </c>
      <c r="N255" s="252"/>
      <c r="O255" s="256">
        <v>45015</v>
      </c>
      <c r="P255" s="253" t="s">
        <v>5667</v>
      </c>
      <c r="Q255" s="252"/>
      <c r="R255" s="252"/>
      <c r="S255" s="252"/>
      <c r="T255" s="252"/>
      <c r="U255" s="256">
        <v>45015</v>
      </c>
      <c r="V255" s="252" t="s">
        <v>4803</v>
      </c>
    </row>
    <row r="256" spans="1:22">
      <c r="A256" s="774"/>
      <c r="B256" s="252" t="s">
        <v>5672</v>
      </c>
      <c r="C256" s="774"/>
      <c r="D256" s="253" t="s">
        <v>5542</v>
      </c>
      <c r="E256" s="252" t="s">
        <v>1743</v>
      </c>
      <c r="F256" s="253" t="s">
        <v>5456</v>
      </c>
      <c r="G256" s="252" t="s">
        <v>5666</v>
      </c>
      <c r="H256" s="252"/>
      <c r="I256" s="254" t="s">
        <v>1736</v>
      </c>
      <c r="J256" s="254" t="s">
        <v>4913</v>
      </c>
      <c r="K256" s="254" t="s">
        <v>4913</v>
      </c>
      <c r="L256" s="255" t="s">
        <v>183</v>
      </c>
      <c r="M256" s="255" t="s">
        <v>183</v>
      </c>
      <c r="N256" s="252"/>
      <c r="O256" s="256">
        <v>45015</v>
      </c>
      <c r="P256" s="253" t="s">
        <v>5667</v>
      </c>
      <c r="Q256" s="252"/>
      <c r="R256" s="252"/>
      <c r="S256" s="252"/>
      <c r="T256" s="252"/>
      <c r="U256" s="256">
        <v>45015</v>
      </c>
      <c r="V256" s="252" t="s">
        <v>4803</v>
      </c>
    </row>
    <row r="257" spans="1:22">
      <c r="A257" s="774"/>
      <c r="B257" s="252" t="s">
        <v>5673</v>
      </c>
      <c r="C257" s="774"/>
      <c r="D257" s="253" t="s">
        <v>5544</v>
      </c>
      <c r="E257" s="252" t="s">
        <v>1743</v>
      </c>
      <c r="F257" s="253" t="s">
        <v>5496</v>
      </c>
      <c r="G257" s="252" t="s">
        <v>5666</v>
      </c>
      <c r="H257" s="252"/>
      <c r="I257" s="254" t="s">
        <v>1736</v>
      </c>
      <c r="J257" s="254" t="s">
        <v>4913</v>
      </c>
      <c r="K257" s="254" t="s">
        <v>4913</v>
      </c>
      <c r="L257" s="255" t="s">
        <v>183</v>
      </c>
      <c r="M257" s="255" t="s">
        <v>183</v>
      </c>
      <c r="N257" s="252"/>
      <c r="O257" s="256">
        <v>45015</v>
      </c>
      <c r="P257" s="253" t="s">
        <v>5667</v>
      </c>
      <c r="Q257" s="252"/>
      <c r="R257" s="252"/>
      <c r="S257" s="252"/>
      <c r="T257" s="252"/>
      <c r="U257" s="256">
        <v>45015</v>
      </c>
      <c r="V257" s="252" t="s">
        <v>4803</v>
      </c>
    </row>
    <row r="258" spans="1:22">
      <c r="A258" s="774"/>
      <c r="B258" s="252" t="s">
        <v>5674</v>
      </c>
      <c r="C258" s="774"/>
      <c r="D258" s="253" t="s">
        <v>5546</v>
      </c>
      <c r="E258" s="252" t="s">
        <v>1743</v>
      </c>
      <c r="F258" s="253" t="s">
        <v>5481</v>
      </c>
      <c r="G258" s="252" t="s">
        <v>5666</v>
      </c>
      <c r="H258" s="252"/>
      <c r="I258" s="254" t="s">
        <v>1736</v>
      </c>
      <c r="J258" s="254" t="s">
        <v>4913</v>
      </c>
      <c r="K258" s="254" t="s">
        <v>4913</v>
      </c>
      <c r="L258" s="255" t="s">
        <v>183</v>
      </c>
      <c r="M258" s="255" t="s">
        <v>183</v>
      </c>
      <c r="N258" s="252"/>
      <c r="O258" s="256">
        <v>45015</v>
      </c>
      <c r="P258" s="253" t="s">
        <v>5667</v>
      </c>
      <c r="Q258" s="252"/>
      <c r="R258" s="252"/>
      <c r="S258" s="252"/>
      <c r="T258" s="252"/>
      <c r="U258" s="256">
        <v>45015</v>
      </c>
      <c r="V258" s="252" t="s">
        <v>4803</v>
      </c>
    </row>
    <row r="259" spans="1:22">
      <c r="A259" s="774"/>
      <c r="B259" s="252" t="s">
        <v>5675</v>
      </c>
      <c r="C259" s="774"/>
      <c r="D259" s="253" t="s">
        <v>5548</v>
      </c>
      <c r="E259" s="252" t="s">
        <v>1743</v>
      </c>
      <c r="F259" s="253" t="s">
        <v>5496</v>
      </c>
      <c r="G259" s="252" t="s">
        <v>5666</v>
      </c>
      <c r="H259" s="252"/>
      <c r="I259" s="254" t="s">
        <v>1736</v>
      </c>
      <c r="J259" s="254" t="s">
        <v>4913</v>
      </c>
      <c r="K259" s="254" t="s">
        <v>4913</v>
      </c>
      <c r="L259" s="255" t="s">
        <v>183</v>
      </c>
      <c r="M259" s="255" t="s">
        <v>183</v>
      </c>
      <c r="N259" s="252"/>
      <c r="O259" s="256">
        <v>45015</v>
      </c>
      <c r="P259" s="253" t="s">
        <v>5667</v>
      </c>
      <c r="Q259" s="252"/>
      <c r="R259" s="252"/>
      <c r="S259" s="252"/>
      <c r="T259" s="252"/>
      <c r="U259" s="256">
        <v>45015</v>
      </c>
      <c r="V259" s="252" t="s">
        <v>4803</v>
      </c>
    </row>
    <row r="260" spans="1:22">
      <c r="A260" s="774"/>
      <c r="B260" s="252" t="s">
        <v>5676</v>
      </c>
      <c r="C260" s="774"/>
      <c r="D260" s="253" t="s">
        <v>5551</v>
      </c>
      <c r="E260" s="252" t="s">
        <v>1743</v>
      </c>
      <c r="F260" s="253" t="s">
        <v>5456</v>
      </c>
      <c r="G260" s="252" t="s">
        <v>5666</v>
      </c>
      <c r="H260" s="252"/>
      <c r="I260" s="254" t="s">
        <v>1736</v>
      </c>
      <c r="J260" s="254" t="s">
        <v>4913</v>
      </c>
      <c r="K260" s="254" t="s">
        <v>4913</v>
      </c>
      <c r="L260" s="255" t="s">
        <v>183</v>
      </c>
      <c r="M260" s="255" t="s">
        <v>183</v>
      </c>
      <c r="N260" s="252"/>
      <c r="O260" s="256">
        <v>45015</v>
      </c>
      <c r="P260" s="253" t="s">
        <v>5667</v>
      </c>
      <c r="Q260" s="252"/>
      <c r="R260" s="252"/>
      <c r="S260" s="252"/>
      <c r="T260" s="252"/>
      <c r="U260" s="256">
        <v>45015</v>
      </c>
      <c r="V260" s="252" t="s">
        <v>4803</v>
      </c>
    </row>
    <row r="261" spans="1:22">
      <c r="A261" s="774"/>
      <c r="B261" s="252" t="s">
        <v>5677</v>
      </c>
      <c r="C261" s="774"/>
      <c r="D261" s="253" t="s">
        <v>5450</v>
      </c>
      <c r="E261" s="252" t="s">
        <v>1743</v>
      </c>
      <c r="F261" s="253" t="s">
        <v>5496</v>
      </c>
      <c r="G261" s="252" t="s">
        <v>5666</v>
      </c>
      <c r="H261" s="252"/>
      <c r="I261" s="254" t="s">
        <v>1736</v>
      </c>
      <c r="J261" s="254" t="s">
        <v>4913</v>
      </c>
      <c r="K261" s="254" t="s">
        <v>4913</v>
      </c>
      <c r="L261" s="255" t="s">
        <v>183</v>
      </c>
      <c r="M261" s="255" t="s">
        <v>183</v>
      </c>
      <c r="N261" s="252"/>
      <c r="O261" s="256">
        <v>45015</v>
      </c>
      <c r="P261" s="253" t="s">
        <v>5667</v>
      </c>
      <c r="Q261" s="252"/>
      <c r="R261" s="252"/>
      <c r="S261" s="252"/>
      <c r="T261" s="252"/>
      <c r="U261" s="256">
        <v>45015</v>
      </c>
      <c r="V261" s="252" t="s">
        <v>4803</v>
      </c>
    </row>
    <row r="262" spans="1:22">
      <c r="A262" s="774"/>
      <c r="B262" s="252" t="s">
        <v>5678</v>
      </c>
      <c r="C262" s="774"/>
      <c r="D262" s="253" t="s">
        <v>5555</v>
      </c>
      <c r="E262" s="252" t="s">
        <v>1743</v>
      </c>
      <c r="F262" s="253" t="s">
        <v>5456</v>
      </c>
      <c r="G262" s="252" t="s">
        <v>5666</v>
      </c>
      <c r="H262" s="252"/>
      <c r="I262" s="254" t="s">
        <v>1736</v>
      </c>
      <c r="J262" s="254" t="s">
        <v>4913</v>
      </c>
      <c r="K262" s="254" t="s">
        <v>4913</v>
      </c>
      <c r="L262" s="255" t="s">
        <v>183</v>
      </c>
      <c r="M262" s="255" t="s">
        <v>183</v>
      </c>
      <c r="N262" s="252"/>
      <c r="O262" s="256">
        <v>45015</v>
      </c>
      <c r="P262" s="253" t="s">
        <v>5667</v>
      </c>
      <c r="Q262" s="252"/>
      <c r="R262" s="252"/>
      <c r="S262" s="252"/>
      <c r="T262" s="252"/>
      <c r="U262" s="256">
        <v>45015</v>
      </c>
      <c r="V262" s="252" t="s">
        <v>4803</v>
      </c>
    </row>
    <row r="263" spans="1:22">
      <c r="A263" s="773"/>
      <c r="B263" s="252" t="s">
        <v>5679</v>
      </c>
      <c r="C263" s="773"/>
      <c r="D263" s="253" t="s">
        <v>5557</v>
      </c>
      <c r="E263" s="252" t="s">
        <v>1743</v>
      </c>
      <c r="F263" s="253" t="s">
        <v>5558</v>
      </c>
      <c r="G263" s="252" t="s">
        <v>5666</v>
      </c>
      <c r="H263" s="252"/>
      <c r="I263" s="254" t="s">
        <v>1736</v>
      </c>
      <c r="J263" s="254" t="s">
        <v>4913</v>
      </c>
      <c r="K263" s="254" t="s">
        <v>4913</v>
      </c>
      <c r="L263" s="255" t="s">
        <v>183</v>
      </c>
      <c r="M263" s="255" t="s">
        <v>183</v>
      </c>
      <c r="N263" s="252"/>
      <c r="O263" s="256">
        <v>45015</v>
      </c>
      <c r="P263" s="253" t="s">
        <v>5667</v>
      </c>
      <c r="Q263" s="252"/>
      <c r="R263" s="252"/>
      <c r="S263" s="252"/>
      <c r="T263" s="252"/>
      <c r="U263" s="256">
        <v>45015</v>
      </c>
      <c r="V263" s="252" t="s">
        <v>4803</v>
      </c>
    </row>
    <row r="264" spans="1:22">
      <c r="A264" s="703"/>
      <c r="B264" s="252"/>
      <c r="C264" s="704"/>
      <c r="D264" s="253"/>
      <c r="E264" s="252"/>
      <c r="F264" s="253"/>
      <c r="G264" s="252"/>
      <c r="H264" s="252"/>
      <c r="I264" s="254"/>
      <c r="J264" s="254"/>
      <c r="K264" s="254"/>
      <c r="L264" s="254"/>
      <c r="M264" s="254"/>
      <c r="N264" s="252"/>
      <c r="O264" s="256"/>
      <c r="P264" s="253"/>
      <c r="Q264" s="252"/>
      <c r="R264" s="252"/>
      <c r="S264" s="252"/>
      <c r="T264" s="252"/>
      <c r="U264" s="256"/>
      <c r="V264" s="252"/>
    </row>
    <row r="265" spans="1:22">
      <c r="A265" s="774"/>
      <c r="B265" s="252"/>
      <c r="C265" s="774"/>
      <c r="D265" s="253"/>
      <c r="E265" s="252"/>
      <c r="F265" s="253"/>
      <c r="G265" s="252"/>
      <c r="H265" s="252"/>
      <c r="I265" s="254"/>
      <c r="J265" s="254"/>
      <c r="K265" s="254"/>
      <c r="L265" s="254"/>
      <c r="M265" s="254"/>
      <c r="N265" s="252"/>
      <c r="O265" s="256"/>
      <c r="P265" s="253"/>
      <c r="Q265" s="252"/>
      <c r="R265" s="252"/>
      <c r="S265" s="252"/>
      <c r="T265" s="252"/>
      <c r="U265" s="256"/>
      <c r="V265" s="252"/>
    </row>
    <row r="266" spans="1:22">
      <c r="A266" s="774"/>
      <c r="B266" s="252"/>
      <c r="C266" s="774"/>
      <c r="D266" s="253"/>
      <c r="E266" s="252"/>
      <c r="F266" s="253"/>
      <c r="G266" s="252"/>
      <c r="H266" s="252"/>
      <c r="I266" s="254"/>
      <c r="J266" s="254"/>
      <c r="K266" s="254"/>
      <c r="L266" s="254"/>
      <c r="M266" s="254"/>
      <c r="N266" s="252"/>
      <c r="O266" s="256"/>
      <c r="P266" s="253"/>
      <c r="Q266" s="252"/>
      <c r="R266" s="252"/>
      <c r="S266" s="252"/>
      <c r="T266" s="252"/>
      <c r="U266" s="256"/>
      <c r="V266" s="252"/>
    </row>
    <row r="267" spans="1:22">
      <c r="A267" s="774"/>
      <c r="B267" s="252"/>
      <c r="C267" s="774"/>
      <c r="D267" s="253"/>
      <c r="E267" s="252"/>
      <c r="F267" s="253"/>
      <c r="G267" s="252"/>
      <c r="H267" s="252"/>
      <c r="I267" s="254"/>
      <c r="J267" s="254"/>
      <c r="K267" s="254"/>
      <c r="L267" s="254"/>
      <c r="M267" s="254"/>
      <c r="N267" s="252"/>
      <c r="O267" s="256"/>
      <c r="P267" s="253"/>
      <c r="Q267" s="252"/>
      <c r="R267" s="252"/>
      <c r="S267" s="252"/>
      <c r="T267" s="252"/>
      <c r="U267" s="256"/>
      <c r="V267" s="252"/>
    </row>
    <row r="268" spans="1:22">
      <c r="A268" s="774"/>
      <c r="B268" s="252"/>
      <c r="C268" s="774"/>
      <c r="D268" s="253"/>
      <c r="E268" s="252"/>
      <c r="F268" s="253"/>
      <c r="G268" s="252"/>
      <c r="H268" s="252"/>
      <c r="I268" s="254"/>
      <c r="J268" s="254"/>
      <c r="K268" s="254"/>
      <c r="L268" s="254"/>
      <c r="M268" s="254"/>
      <c r="N268" s="252"/>
      <c r="O268" s="256"/>
      <c r="P268" s="253"/>
      <c r="Q268" s="252"/>
      <c r="R268" s="252"/>
      <c r="S268" s="252"/>
      <c r="T268" s="252"/>
      <c r="U268" s="256"/>
      <c r="V268" s="252"/>
    </row>
    <row r="269" spans="1:22">
      <c r="A269" s="774"/>
      <c r="B269" s="252"/>
      <c r="C269" s="774"/>
      <c r="D269" s="253"/>
      <c r="E269" s="252"/>
      <c r="F269" s="253"/>
      <c r="G269" s="252"/>
      <c r="H269" s="252"/>
      <c r="I269" s="254"/>
      <c r="J269" s="254"/>
      <c r="K269" s="254"/>
      <c r="L269" s="254"/>
      <c r="M269" s="254"/>
      <c r="N269" s="252"/>
      <c r="O269" s="256"/>
      <c r="P269" s="253"/>
      <c r="Q269" s="252"/>
      <c r="R269" s="252"/>
      <c r="S269" s="252"/>
      <c r="T269" s="252"/>
      <c r="U269" s="256"/>
      <c r="V269" s="252"/>
    </row>
    <row r="270" spans="1:22">
      <c r="A270" s="774"/>
      <c r="B270" s="252"/>
      <c r="C270" s="774"/>
      <c r="D270" s="253"/>
      <c r="E270" s="252"/>
      <c r="F270" s="253"/>
      <c r="G270" s="252"/>
      <c r="H270" s="252"/>
      <c r="I270" s="254"/>
      <c r="J270" s="254"/>
      <c r="K270" s="254"/>
      <c r="L270" s="254"/>
      <c r="M270" s="254"/>
      <c r="N270" s="252"/>
      <c r="O270" s="256"/>
      <c r="P270" s="253"/>
      <c r="Q270" s="252"/>
      <c r="R270" s="252"/>
      <c r="S270" s="252"/>
      <c r="T270" s="252"/>
      <c r="U270" s="256"/>
      <c r="V270" s="252"/>
    </row>
    <row r="271" spans="1:22">
      <c r="A271" s="774"/>
      <c r="B271" s="252"/>
      <c r="C271" s="774"/>
      <c r="D271" s="253"/>
      <c r="E271" s="252"/>
      <c r="F271" s="253"/>
      <c r="G271" s="252"/>
      <c r="H271" s="252"/>
      <c r="I271" s="254"/>
      <c r="J271" s="254"/>
      <c r="K271" s="254"/>
      <c r="L271" s="254"/>
      <c r="M271" s="254"/>
      <c r="N271" s="252"/>
      <c r="O271" s="256"/>
      <c r="P271" s="253"/>
      <c r="Q271" s="252"/>
      <c r="R271" s="252"/>
      <c r="S271" s="252"/>
      <c r="T271" s="252"/>
      <c r="U271" s="256"/>
      <c r="V271" s="252"/>
    </row>
    <row r="272" spans="1:22">
      <c r="A272" s="774"/>
      <c r="B272" s="252"/>
      <c r="C272" s="774"/>
      <c r="D272" s="253"/>
      <c r="E272" s="252"/>
      <c r="F272" s="253"/>
      <c r="G272" s="252"/>
      <c r="H272" s="252"/>
      <c r="I272" s="254"/>
      <c r="J272" s="254"/>
      <c r="K272" s="254"/>
      <c r="L272" s="254"/>
      <c r="M272" s="254"/>
      <c r="N272" s="252"/>
      <c r="O272" s="256"/>
      <c r="P272" s="253"/>
      <c r="Q272" s="252"/>
      <c r="R272" s="252"/>
      <c r="S272" s="252"/>
      <c r="T272" s="252"/>
      <c r="U272" s="256"/>
      <c r="V272" s="252"/>
    </row>
    <row r="273" spans="1:22">
      <c r="A273" s="774"/>
      <c r="B273" s="252"/>
      <c r="C273" s="774"/>
      <c r="D273" s="253"/>
      <c r="E273" s="252"/>
      <c r="F273" s="253"/>
      <c r="G273" s="252"/>
      <c r="H273" s="252"/>
      <c r="I273" s="254"/>
      <c r="J273" s="254"/>
      <c r="K273" s="254"/>
      <c r="L273" s="254"/>
      <c r="M273" s="254"/>
      <c r="N273" s="252"/>
      <c r="O273" s="256"/>
      <c r="P273" s="253"/>
      <c r="Q273" s="252"/>
      <c r="R273" s="252"/>
      <c r="S273" s="252"/>
      <c r="T273" s="252"/>
      <c r="U273" s="256"/>
      <c r="V273" s="252"/>
    </row>
    <row r="274" spans="1:22">
      <c r="A274" s="774"/>
      <c r="B274" s="252"/>
      <c r="C274" s="774"/>
      <c r="D274" s="253"/>
      <c r="E274" s="252"/>
      <c r="F274" s="253"/>
      <c r="G274" s="252"/>
      <c r="H274" s="252"/>
      <c r="I274" s="254"/>
      <c r="J274" s="254"/>
      <c r="K274" s="254"/>
      <c r="L274" s="254"/>
      <c r="M274" s="254"/>
      <c r="N274" s="252"/>
      <c r="O274" s="256"/>
      <c r="P274" s="253"/>
      <c r="Q274" s="252"/>
      <c r="R274" s="252"/>
      <c r="S274" s="252"/>
      <c r="T274" s="252"/>
      <c r="U274" s="256"/>
      <c r="V274" s="252"/>
    </row>
    <row r="275" spans="1:22">
      <c r="A275" s="774"/>
      <c r="B275" s="252"/>
      <c r="C275" s="774"/>
      <c r="D275" s="253"/>
      <c r="E275" s="252"/>
      <c r="F275" s="253"/>
      <c r="G275" s="252"/>
      <c r="H275" s="252"/>
      <c r="I275" s="254"/>
      <c r="J275" s="254"/>
      <c r="K275" s="254"/>
      <c r="L275" s="254"/>
      <c r="M275" s="254"/>
      <c r="N275" s="252"/>
      <c r="O275" s="256"/>
      <c r="P275" s="253"/>
      <c r="Q275" s="252"/>
      <c r="R275" s="252"/>
      <c r="S275" s="252"/>
      <c r="T275" s="252"/>
      <c r="U275" s="256"/>
      <c r="V275" s="252"/>
    </row>
    <row r="276" spans="1:22">
      <c r="A276" s="774"/>
      <c r="B276" s="252"/>
      <c r="C276" s="774"/>
      <c r="D276" s="253"/>
      <c r="E276" s="252"/>
      <c r="F276" s="253"/>
      <c r="G276" s="252"/>
      <c r="H276" s="252"/>
      <c r="I276" s="254"/>
      <c r="J276" s="254"/>
      <c r="K276" s="254"/>
      <c r="L276" s="254"/>
      <c r="M276" s="254"/>
      <c r="N276" s="252"/>
      <c r="O276" s="256"/>
      <c r="P276" s="253"/>
      <c r="Q276" s="252"/>
      <c r="R276" s="252"/>
      <c r="S276" s="252"/>
      <c r="T276" s="252"/>
      <c r="U276" s="256"/>
      <c r="V276" s="252"/>
    </row>
    <row r="277" spans="1:22">
      <c r="A277" s="774"/>
      <c r="B277" s="252"/>
      <c r="C277" s="774"/>
      <c r="D277" s="253"/>
      <c r="E277" s="252"/>
      <c r="F277" s="253"/>
      <c r="G277" s="252"/>
      <c r="H277" s="252"/>
      <c r="I277" s="254"/>
      <c r="J277" s="254"/>
      <c r="K277" s="254"/>
      <c r="L277" s="254"/>
      <c r="M277" s="254"/>
      <c r="N277" s="252"/>
      <c r="O277" s="256"/>
      <c r="P277" s="253"/>
      <c r="Q277" s="252"/>
      <c r="R277" s="252"/>
      <c r="S277" s="252"/>
      <c r="T277" s="252"/>
      <c r="U277" s="256"/>
      <c r="V277" s="252"/>
    </row>
    <row r="278" spans="1:22">
      <c r="A278" s="773"/>
      <c r="B278" s="252"/>
      <c r="C278" s="773"/>
      <c r="D278" s="253"/>
      <c r="E278" s="252"/>
      <c r="F278" s="253"/>
      <c r="G278" s="252"/>
      <c r="H278" s="252"/>
      <c r="I278" s="254"/>
      <c r="J278" s="254"/>
      <c r="K278" s="254"/>
      <c r="L278" s="254"/>
      <c r="M278" s="254"/>
      <c r="N278" s="252"/>
      <c r="O278" s="256"/>
      <c r="P278" s="253"/>
      <c r="Q278" s="252"/>
      <c r="R278" s="252"/>
      <c r="S278" s="252"/>
      <c r="T278" s="252"/>
      <c r="U278" s="256"/>
      <c r="V278" s="252"/>
    </row>
    <row r="279" spans="1:22">
      <c r="A279" s="252"/>
      <c r="B279" s="252"/>
      <c r="C279" s="253"/>
      <c r="D279" s="253"/>
      <c r="E279" s="252"/>
      <c r="F279" s="253"/>
      <c r="G279" s="252"/>
      <c r="H279" s="252"/>
      <c r="I279" s="254"/>
      <c r="J279" s="254"/>
      <c r="K279" s="254"/>
      <c r="L279" s="254"/>
      <c r="M279" s="254"/>
      <c r="N279" s="252"/>
      <c r="O279" s="256"/>
      <c r="P279" s="253"/>
      <c r="Q279" s="252"/>
      <c r="R279" s="252"/>
      <c r="S279" s="252"/>
      <c r="T279" s="252"/>
      <c r="U279" s="256"/>
      <c r="V279" s="252"/>
    </row>
    <row r="280" spans="1:22">
      <c r="B280" s="252"/>
      <c r="C280" s="253"/>
      <c r="D280" s="253"/>
      <c r="E280" s="252"/>
      <c r="F280" s="253"/>
      <c r="G280" s="252"/>
      <c r="H280" s="252"/>
      <c r="I280" s="254"/>
      <c r="J280" s="254"/>
      <c r="K280" s="254"/>
      <c r="L280" s="254"/>
      <c r="M280" s="254"/>
      <c r="N280" s="252"/>
      <c r="O280" s="256"/>
      <c r="P280" s="253"/>
      <c r="Q280" s="252"/>
      <c r="R280" s="252"/>
      <c r="S280" s="252"/>
      <c r="T280" s="252"/>
      <c r="U280" s="256"/>
      <c r="V280" s="252"/>
    </row>
    <row r="281" spans="1:22">
      <c r="A281" s="252"/>
      <c r="B281" s="252"/>
      <c r="C281" s="253"/>
      <c r="D281" s="253"/>
      <c r="E281" s="252"/>
      <c r="F281" s="253"/>
      <c r="G281" s="252"/>
      <c r="H281" s="252"/>
      <c r="I281" s="254"/>
      <c r="J281" s="254"/>
      <c r="K281" s="254"/>
      <c r="L281" s="254"/>
      <c r="M281" s="254"/>
      <c r="N281" s="252"/>
      <c r="O281" s="256"/>
      <c r="P281" s="253"/>
      <c r="Q281" s="252"/>
      <c r="R281" s="252"/>
      <c r="S281" s="252"/>
      <c r="T281" s="252"/>
      <c r="U281" s="256"/>
      <c r="V281" s="252"/>
    </row>
    <row r="282" spans="1:22">
      <c r="A282" s="252"/>
      <c r="B282" s="252"/>
      <c r="C282" s="253"/>
      <c r="D282" s="253"/>
      <c r="E282" s="252"/>
      <c r="F282" s="253"/>
      <c r="G282" s="252"/>
      <c r="H282" s="252"/>
      <c r="I282" s="254"/>
      <c r="J282" s="254"/>
      <c r="K282" s="254"/>
      <c r="L282" s="254"/>
      <c r="M282" s="254"/>
      <c r="N282" s="252"/>
      <c r="O282" s="256"/>
      <c r="P282" s="253"/>
      <c r="Q282" s="252"/>
      <c r="R282" s="252"/>
      <c r="S282" s="252"/>
      <c r="T282" s="252"/>
      <c r="U282" s="256"/>
      <c r="V282" s="252"/>
    </row>
    <row r="285" spans="1:22">
      <c r="B285" s="232"/>
      <c r="C285" s="216" t="s">
        <v>3688</v>
      </c>
      <c r="L285" s="707" t="s">
        <v>5680</v>
      </c>
      <c r="M285" s="775"/>
      <c r="N285" s="775"/>
      <c r="O285" s="770"/>
      <c r="P285" s="273" t="s">
        <v>436</v>
      </c>
      <c r="Q285" s="274"/>
      <c r="R285" s="273" t="s">
        <v>3690</v>
      </c>
      <c r="S285" s="273" t="s">
        <v>449</v>
      </c>
    </row>
    <row r="286" spans="1:22">
      <c r="B286" s="235"/>
      <c r="C286" s="216" t="s">
        <v>3691</v>
      </c>
      <c r="L286" s="253" t="s">
        <v>4801</v>
      </c>
      <c r="M286" s="257">
        <f>COUNTIFS(U:U,"31 Agustus 2022",V:V,"Dio")</f>
        <v>10</v>
      </c>
      <c r="N286" s="258" t="s">
        <v>5681</v>
      </c>
      <c r="O286" s="258">
        <f>M286</f>
        <v>10</v>
      </c>
      <c r="P286" s="693">
        <f>SUM(O286:O310)</f>
        <v>261</v>
      </c>
      <c r="Q286" s="259"/>
      <c r="R286" s="260">
        <f>SUM(O286:O310)</f>
        <v>261</v>
      </c>
      <c r="S286" s="260">
        <f>ROWS(B3:B263)</f>
        <v>261</v>
      </c>
    </row>
    <row r="287" spans="1:22">
      <c r="B287" s="241"/>
      <c r="C287" s="216" t="s">
        <v>3692</v>
      </c>
      <c r="L287" s="261">
        <v>44817</v>
      </c>
      <c r="M287" s="257">
        <f>COUNTIFS(U:U,"13 September 2022",V:V,"Dio")</f>
        <v>3</v>
      </c>
      <c r="N287" s="706" t="s">
        <v>538</v>
      </c>
      <c r="O287" s="706">
        <f>SUM(M287:M288)</f>
        <v>11</v>
      </c>
      <c r="P287" s="774"/>
    </row>
    <row r="288" spans="1:22">
      <c r="B288" s="244"/>
      <c r="C288" s="216" t="s">
        <v>3693</v>
      </c>
      <c r="L288" s="261">
        <v>44819</v>
      </c>
      <c r="M288" s="257">
        <f>COUNTIFS(U:U,"15 September 2022",V:V,"Dio")</f>
        <v>8</v>
      </c>
      <c r="N288" s="773"/>
      <c r="O288" s="773"/>
      <c r="P288" s="774"/>
    </row>
    <row r="289" spans="2:16">
      <c r="B289" s="246"/>
      <c r="C289" s="216" t="s">
        <v>3694</v>
      </c>
      <c r="L289" s="261">
        <v>44824</v>
      </c>
      <c r="M289" s="257">
        <f>COUNTIFS(U:U,"20 September 2022",V:V,"Dio")</f>
        <v>6</v>
      </c>
      <c r="N289" s="706" t="s">
        <v>539</v>
      </c>
      <c r="O289" s="706">
        <f>SUM(M289:M290)</f>
        <v>12</v>
      </c>
      <c r="P289" s="774"/>
    </row>
    <row r="290" spans="2:16">
      <c r="L290" s="261">
        <v>44826</v>
      </c>
      <c r="M290" s="257">
        <f>COUNTIFS(U:U,"22 September 2022",V:V,"Dio")</f>
        <v>6</v>
      </c>
      <c r="N290" s="773"/>
      <c r="O290" s="773"/>
      <c r="P290" s="774"/>
    </row>
    <row r="291" spans="2:16">
      <c r="L291" s="261">
        <v>44831</v>
      </c>
      <c r="M291" s="257">
        <f>COUNTIFS(U:U,"27 September 2022",V:V,"Dio")</f>
        <v>7</v>
      </c>
      <c r="N291" s="706" t="s">
        <v>5682</v>
      </c>
      <c r="O291" s="706">
        <f>SUM(M291:M292)</f>
        <v>19</v>
      </c>
      <c r="P291" s="774"/>
    </row>
    <row r="292" spans="2:16">
      <c r="L292" s="261">
        <v>44833</v>
      </c>
      <c r="M292" s="262">
        <f>COUNTIFS(U:U,"29 September 2022",V:V,"Dio")</f>
        <v>12</v>
      </c>
      <c r="N292" s="773"/>
      <c r="O292" s="773"/>
      <c r="P292" s="774"/>
    </row>
    <row r="293" spans="2:16">
      <c r="L293" s="261">
        <v>44839</v>
      </c>
      <c r="M293" s="262">
        <f>COUNTIFS(U:U,"5 October 2022",V:V,"Dio")</f>
        <v>11</v>
      </c>
      <c r="N293" s="708" t="s">
        <v>540</v>
      </c>
      <c r="O293" s="709">
        <f>SUM(M293:M294)</f>
        <v>17</v>
      </c>
      <c r="P293" s="774"/>
    </row>
    <row r="294" spans="2:16">
      <c r="L294" s="261">
        <v>44841</v>
      </c>
      <c r="M294" s="262">
        <f>COUNTIFS(U:U,"7 October 2022",V:V,"Dio")</f>
        <v>6</v>
      </c>
      <c r="N294" s="773"/>
      <c r="O294" s="773"/>
      <c r="P294" s="774"/>
    </row>
    <row r="295" spans="2:16">
      <c r="L295" s="261">
        <v>44845</v>
      </c>
      <c r="M295" s="262">
        <f>COUNTIFS(U:U,"11 October 2022",V:V,"Dio")</f>
        <v>9</v>
      </c>
      <c r="N295" s="708" t="s">
        <v>541</v>
      </c>
      <c r="O295" s="709">
        <f>SUM(M295:M296)</f>
        <v>19</v>
      </c>
      <c r="P295" s="774"/>
    </row>
    <row r="296" spans="2:16">
      <c r="L296" s="261">
        <v>44848</v>
      </c>
      <c r="M296" s="36">
        <f>COUNTIFS(U:U,"14 October 2022",V:V,"Dio")</f>
        <v>10</v>
      </c>
      <c r="N296" s="773"/>
      <c r="O296" s="773"/>
      <c r="P296" s="774"/>
    </row>
    <row r="297" spans="2:16">
      <c r="L297" s="261">
        <v>44853</v>
      </c>
      <c r="M297" s="36">
        <f>COUNTIFS(U:U,"19 October 2022",V:V,"Dio")</f>
        <v>10</v>
      </c>
      <c r="N297" s="708" t="s">
        <v>542</v>
      </c>
      <c r="O297" s="709">
        <f>SUM(M297:M298)</f>
        <v>19</v>
      </c>
      <c r="P297" s="774"/>
    </row>
    <row r="298" spans="2:16">
      <c r="L298" s="261">
        <v>44855</v>
      </c>
      <c r="M298" s="36">
        <f>COUNTIFS(U:U,"21 October 2022",V:V,"Dio")</f>
        <v>9</v>
      </c>
      <c r="N298" s="773"/>
      <c r="O298" s="773"/>
      <c r="P298" s="774"/>
    </row>
    <row r="299" spans="2:16">
      <c r="L299" s="261">
        <v>44858</v>
      </c>
      <c r="M299" s="36">
        <f>COUNTIFS(U:U,"24 October 2022",V:V,"Dio")</f>
        <v>10</v>
      </c>
      <c r="N299" s="262" t="s">
        <v>543</v>
      </c>
      <c r="O299" s="263">
        <f>SUM(M299)</f>
        <v>10</v>
      </c>
      <c r="P299" s="774"/>
    </row>
    <row r="300" spans="2:16">
      <c r="L300" s="707" t="s">
        <v>5683</v>
      </c>
      <c r="M300" s="775"/>
      <c r="N300" s="775"/>
      <c r="O300" s="770"/>
      <c r="P300" s="774"/>
    </row>
    <row r="301" spans="2:16">
      <c r="L301" s="261">
        <v>44943</v>
      </c>
      <c r="M301" s="36">
        <f>COUNTIFS(U:U,"17 January 2023",V:V,"Dio")</f>
        <v>15</v>
      </c>
      <c r="N301" s="262" t="s">
        <v>503</v>
      </c>
      <c r="O301" s="263">
        <f t="shared" ref="O301:O310" si="0">SUM(M301)</f>
        <v>15</v>
      </c>
      <c r="P301" s="774"/>
    </row>
    <row r="302" spans="2:16">
      <c r="L302" s="261">
        <v>44953</v>
      </c>
      <c r="M302" s="36">
        <f>COUNTIFS(U:U,"27 January 2023",V:V,"Dio")</f>
        <v>18</v>
      </c>
      <c r="N302" s="262" t="s">
        <v>504</v>
      </c>
      <c r="O302" s="263">
        <f t="shared" si="0"/>
        <v>18</v>
      </c>
      <c r="P302" s="774"/>
    </row>
    <row r="303" spans="2:16">
      <c r="L303" s="261">
        <v>44960</v>
      </c>
      <c r="M303" s="36">
        <f>COUNTIFS(U:U,"3 February 2023",V:V,"Dio")</f>
        <v>15</v>
      </c>
      <c r="N303" s="262" t="s">
        <v>506</v>
      </c>
      <c r="O303" s="263">
        <f t="shared" si="0"/>
        <v>15</v>
      </c>
      <c r="P303" s="774"/>
    </row>
    <row r="304" spans="2:16">
      <c r="L304" s="261">
        <v>44965</v>
      </c>
      <c r="M304" s="36">
        <f>COUNTIFS(U:U,"8 February 2023",V:V,"Dio")</f>
        <v>13</v>
      </c>
      <c r="N304" s="262" t="s">
        <v>507</v>
      </c>
      <c r="O304" s="263">
        <f t="shared" si="0"/>
        <v>13</v>
      </c>
      <c r="P304" s="774"/>
    </row>
    <row r="305" spans="12:16">
      <c r="L305" s="261">
        <v>44973</v>
      </c>
      <c r="M305" s="36">
        <f>COUNTIFS(U:U,"16 February 2023",V:V,"Dio")</f>
        <v>17</v>
      </c>
      <c r="N305" s="262" t="s">
        <v>508</v>
      </c>
      <c r="O305" s="263">
        <f t="shared" si="0"/>
        <v>17</v>
      </c>
      <c r="P305" s="774"/>
    </row>
    <row r="306" spans="12:16">
      <c r="L306" s="261">
        <v>44977</v>
      </c>
      <c r="M306" s="36">
        <f>COUNTIFS(U:U,"20 February 2023",V:V,"Dio")</f>
        <v>14</v>
      </c>
      <c r="N306" s="262" t="s">
        <v>509</v>
      </c>
      <c r="O306" s="263">
        <f t="shared" si="0"/>
        <v>14</v>
      </c>
      <c r="P306" s="774"/>
    </row>
    <row r="307" spans="12:16">
      <c r="L307" s="261">
        <v>44984</v>
      </c>
      <c r="M307" s="36">
        <f>COUNTIFS(U:U,"27 February 2023",V:V,"Dio")</f>
        <v>13</v>
      </c>
      <c r="N307" s="262" t="s">
        <v>510</v>
      </c>
      <c r="O307" s="263">
        <f t="shared" si="0"/>
        <v>13</v>
      </c>
      <c r="P307" s="774"/>
    </row>
    <row r="308" spans="12:16">
      <c r="L308" s="261">
        <v>44992</v>
      </c>
      <c r="M308" s="36">
        <f>COUNTIFS(U:U,"7 March 2023",V:V,"Dio")</f>
        <v>13</v>
      </c>
      <c r="N308" s="262" t="s">
        <v>511</v>
      </c>
      <c r="O308" s="263">
        <f t="shared" si="0"/>
        <v>13</v>
      </c>
      <c r="P308" s="774"/>
    </row>
    <row r="309" spans="12:16">
      <c r="L309" s="261">
        <v>45002</v>
      </c>
      <c r="M309" s="36">
        <f>COUNTIFS(U:U,"17 March 2023",V:V,"Dio")</f>
        <v>13</v>
      </c>
      <c r="N309" s="262" t="s">
        <v>512</v>
      </c>
      <c r="O309" s="263">
        <f t="shared" si="0"/>
        <v>13</v>
      </c>
      <c r="P309" s="774"/>
    </row>
    <row r="310" spans="12:16">
      <c r="L310" s="261">
        <v>45015</v>
      </c>
      <c r="M310" s="36">
        <f>COUNTIFS(U:U,"30 March 2023",V:V,"Dio")</f>
        <v>13</v>
      </c>
      <c r="N310" s="262" t="s">
        <v>3696</v>
      </c>
      <c r="O310" s="263">
        <f t="shared" si="0"/>
        <v>13</v>
      </c>
      <c r="P310" s="773"/>
    </row>
  </sheetData>
  <mergeCells count="58">
    <mergeCell ref="P286:P310"/>
    <mergeCell ref="O287:O288"/>
    <mergeCell ref="L300:O300"/>
    <mergeCell ref="S1:S2"/>
    <mergeCell ref="N297:N298"/>
    <mergeCell ref="O297:O298"/>
    <mergeCell ref="L285:O285"/>
    <mergeCell ref="N293:N294"/>
    <mergeCell ref="O293:O294"/>
    <mergeCell ref="N295:N296"/>
    <mergeCell ref="O295:O296"/>
    <mergeCell ref="N287:N288"/>
    <mergeCell ref="N289:N290"/>
    <mergeCell ref="O289:O290"/>
    <mergeCell ref="N291:N292"/>
    <mergeCell ref="O291:O292"/>
    <mergeCell ref="U1:U2"/>
    <mergeCell ref="V1:V2"/>
    <mergeCell ref="H1:H2"/>
    <mergeCell ref="I1:K1"/>
    <mergeCell ref="N1:N2"/>
    <mergeCell ref="O1:O2"/>
    <mergeCell ref="P1:P2"/>
    <mergeCell ref="Q1:Q2"/>
    <mergeCell ref="R1:R2"/>
    <mergeCell ref="T1:T2"/>
    <mergeCell ref="G1:G2"/>
    <mergeCell ref="C135:C152"/>
    <mergeCell ref="C153:C167"/>
    <mergeCell ref="A81:A90"/>
    <mergeCell ref="A107:A116"/>
    <mergeCell ref="C107:C116"/>
    <mergeCell ref="A120:A134"/>
    <mergeCell ref="C120:C134"/>
    <mergeCell ref="A135:A152"/>
    <mergeCell ref="A153:A167"/>
    <mergeCell ref="A1:A2"/>
    <mergeCell ref="B1:B2"/>
    <mergeCell ref="C1:C2"/>
    <mergeCell ref="D1:D2"/>
    <mergeCell ref="E1:E2"/>
    <mergeCell ref="F1:F2"/>
    <mergeCell ref="A168:A180"/>
    <mergeCell ref="C168:C180"/>
    <mergeCell ref="A181:A194"/>
    <mergeCell ref="C181:C194"/>
    <mergeCell ref="A195:A211"/>
    <mergeCell ref="C195:C211"/>
    <mergeCell ref="C225:C237"/>
    <mergeCell ref="C238:C250"/>
    <mergeCell ref="C251:C263"/>
    <mergeCell ref="C264:C278"/>
    <mergeCell ref="C212:C224"/>
    <mergeCell ref="A212:A224"/>
    <mergeCell ref="A225:A237"/>
    <mergeCell ref="A238:A250"/>
    <mergeCell ref="A251:A263"/>
    <mergeCell ref="A264:A278"/>
  </mergeCells>
  <pageMargins left="0" right="0" top="0" bottom="0" header="0" footer="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U337"/>
  <sheetViews>
    <sheetView workbookViewId="0"/>
  </sheetViews>
  <sheetFormatPr defaultColWidth="12.5703125" defaultRowHeight="15.75" customHeight="1"/>
  <cols>
    <col min="1" max="1" width="9.7109375" customWidth="1"/>
    <col min="2" max="2" width="11.42578125" customWidth="1"/>
    <col min="3" max="3" width="19.7109375" customWidth="1"/>
    <col min="4" max="4" width="34.7109375" customWidth="1"/>
    <col min="6" max="6" width="33.42578125" customWidth="1"/>
    <col min="8" max="8" width="27.28515625" customWidth="1"/>
    <col min="9" max="9" width="10.7109375" customWidth="1"/>
    <col min="13" max="13" width="16.140625" customWidth="1"/>
    <col min="15" max="15" width="15.42578125" customWidth="1"/>
    <col min="18" max="19" width="11.85546875" customWidth="1"/>
    <col min="20" max="20" width="17.28515625" customWidth="1"/>
  </cols>
  <sheetData>
    <row r="1" spans="1:21">
      <c r="A1" s="710" t="s">
        <v>1707</v>
      </c>
      <c r="B1" s="710" t="s">
        <v>1708</v>
      </c>
      <c r="C1" s="710" t="s">
        <v>1709</v>
      </c>
      <c r="D1" s="710" t="s">
        <v>1710</v>
      </c>
      <c r="E1" s="710" t="s">
        <v>1711</v>
      </c>
      <c r="F1" s="710" t="s">
        <v>1712</v>
      </c>
      <c r="G1" s="710" t="s">
        <v>3697</v>
      </c>
      <c r="H1" s="710" t="s">
        <v>1714</v>
      </c>
      <c r="I1" s="264" t="s">
        <v>1715</v>
      </c>
      <c r="J1" s="265"/>
      <c r="K1" s="265"/>
      <c r="L1" s="710" t="s">
        <v>1716</v>
      </c>
      <c r="M1" s="710" t="s">
        <v>1717</v>
      </c>
      <c r="N1" s="710" t="s">
        <v>1718</v>
      </c>
      <c r="O1" s="710" t="s">
        <v>1719</v>
      </c>
      <c r="P1" s="710" t="s">
        <v>1720</v>
      </c>
      <c r="Q1" s="714" t="s">
        <v>1721</v>
      </c>
      <c r="R1" s="264"/>
      <c r="S1" s="714" t="s">
        <v>1722</v>
      </c>
      <c r="T1" s="701" t="s">
        <v>1723</v>
      </c>
      <c r="U1" s="702" t="s">
        <v>1724</v>
      </c>
    </row>
    <row r="2" spans="1:21">
      <c r="A2" s="773"/>
      <c r="B2" s="773"/>
      <c r="C2" s="773"/>
      <c r="D2" s="773"/>
      <c r="E2" s="773"/>
      <c r="F2" s="773"/>
      <c r="G2" s="773"/>
      <c r="H2" s="773"/>
      <c r="I2" s="264" t="s">
        <v>5684</v>
      </c>
      <c r="J2" s="151" t="s">
        <v>1726</v>
      </c>
      <c r="K2" s="151" t="s">
        <v>1727</v>
      </c>
      <c r="L2" s="773"/>
      <c r="M2" s="773"/>
      <c r="N2" s="773"/>
      <c r="O2" s="773"/>
      <c r="P2" s="773"/>
      <c r="Q2" s="773"/>
      <c r="R2" s="264"/>
      <c r="S2" s="773"/>
      <c r="T2" s="773"/>
      <c r="U2" s="773"/>
    </row>
    <row r="3" spans="1:21">
      <c r="A3" s="712" t="s">
        <v>5685</v>
      </c>
      <c r="B3" s="267" t="s">
        <v>5686</v>
      </c>
      <c r="C3" s="267" t="s">
        <v>5687</v>
      </c>
      <c r="D3" s="267" t="s">
        <v>5688</v>
      </c>
      <c r="E3" s="267" t="s">
        <v>1732</v>
      </c>
      <c r="F3" s="267" t="s">
        <v>5689</v>
      </c>
      <c r="G3" s="712" t="s">
        <v>5690</v>
      </c>
      <c r="H3" s="267" t="s">
        <v>5691</v>
      </c>
      <c r="I3" s="268" t="s">
        <v>1736</v>
      </c>
      <c r="J3" s="268" t="s">
        <v>5692</v>
      </c>
      <c r="K3" s="268" t="s">
        <v>5692</v>
      </c>
      <c r="L3" s="711" t="s">
        <v>5693</v>
      </c>
      <c r="M3" s="172"/>
      <c r="N3" s="176"/>
      <c r="O3" s="176"/>
      <c r="P3" s="176"/>
      <c r="Q3" s="176"/>
      <c r="R3" s="176"/>
      <c r="S3" s="176"/>
      <c r="T3" s="176"/>
      <c r="U3" s="176"/>
    </row>
    <row r="4" spans="1:21">
      <c r="A4" s="774"/>
      <c r="B4" s="267" t="s">
        <v>5694</v>
      </c>
      <c r="C4" s="267" t="s">
        <v>5687</v>
      </c>
      <c r="D4" s="267" t="s">
        <v>5695</v>
      </c>
      <c r="E4" s="267" t="s">
        <v>1732</v>
      </c>
      <c r="F4" s="267" t="s">
        <v>5696</v>
      </c>
      <c r="G4" s="774"/>
      <c r="H4" s="267" t="s">
        <v>5697</v>
      </c>
      <c r="I4" s="268" t="s">
        <v>1736</v>
      </c>
      <c r="J4" s="268" t="s">
        <v>5692</v>
      </c>
      <c r="K4" s="268" t="s">
        <v>5692</v>
      </c>
      <c r="L4" s="774"/>
      <c r="M4" s="172"/>
      <c r="N4" s="176"/>
      <c r="O4" s="176"/>
      <c r="P4" s="176"/>
      <c r="Q4" s="176"/>
      <c r="R4" s="176"/>
      <c r="S4" s="176"/>
      <c r="T4" s="176"/>
      <c r="U4" s="176"/>
    </row>
    <row r="5" spans="1:21">
      <c r="A5" s="774"/>
      <c r="B5" s="267" t="s">
        <v>5698</v>
      </c>
      <c r="C5" s="267" t="s">
        <v>5687</v>
      </c>
      <c r="D5" s="267" t="s">
        <v>5699</v>
      </c>
      <c r="E5" s="267" t="s">
        <v>1732</v>
      </c>
      <c r="F5" s="267" t="s">
        <v>5700</v>
      </c>
      <c r="G5" s="774"/>
      <c r="H5" s="267" t="s">
        <v>5701</v>
      </c>
      <c r="I5" s="268" t="s">
        <v>1736</v>
      </c>
      <c r="J5" s="268" t="s">
        <v>5692</v>
      </c>
      <c r="K5" s="268" t="s">
        <v>5692</v>
      </c>
      <c r="L5" s="774"/>
      <c r="M5" s="172"/>
      <c r="N5" s="176"/>
      <c r="O5" s="176"/>
      <c r="P5" s="176"/>
      <c r="Q5" s="176"/>
      <c r="R5" s="176"/>
      <c r="S5" s="176"/>
      <c r="T5" s="176"/>
      <c r="U5" s="176"/>
    </row>
    <row r="6" spans="1:21">
      <c r="A6" s="774"/>
      <c r="B6" s="267" t="s">
        <v>5702</v>
      </c>
      <c r="C6" s="267" t="s">
        <v>5687</v>
      </c>
      <c r="D6" s="267" t="s">
        <v>5703</v>
      </c>
      <c r="E6" s="267" t="s">
        <v>1732</v>
      </c>
      <c r="F6" s="267" t="s">
        <v>5704</v>
      </c>
      <c r="G6" s="774"/>
      <c r="H6" s="267" t="s">
        <v>5705</v>
      </c>
      <c r="I6" s="268" t="s">
        <v>1736</v>
      </c>
      <c r="J6" s="268" t="s">
        <v>5692</v>
      </c>
      <c r="K6" s="268" t="s">
        <v>5692</v>
      </c>
      <c r="L6" s="774"/>
      <c r="M6" s="172"/>
      <c r="N6" s="176"/>
      <c r="O6" s="176"/>
      <c r="P6" s="176"/>
      <c r="Q6" s="176"/>
      <c r="R6" s="176"/>
      <c r="S6" s="176"/>
      <c r="T6" s="176"/>
      <c r="U6" s="176"/>
    </row>
    <row r="7" spans="1:21">
      <c r="A7" s="774"/>
      <c r="B7" s="267" t="s">
        <v>5706</v>
      </c>
      <c r="C7" s="267" t="s">
        <v>5687</v>
      </c>
      <c r="D7" s="267" t="s">
        <v>5707</v>
      </c>
      <c r="E7" s="267" t="s">
        <v>1732</v>
      </c>
      <c r="F7" s="267" t="s">
        <v>5708</v>
      </c>
      <c r="G7" s="774"/>
      <c r="H7" s="267" t="s">
        <v>5709</v>
      </c>
      <c r="I7" s="268" t="s">
        <v>1736</v>
      </c>
      <c r="J7" s="268" t="s">
        <v>5692</v>
      </c>
      <c r="K7" s="268" t="s">
        <v>5692</v>
      </c>
      <c r="L7" s="774"/>
      <c r="M7" s="172"/>
      <c r="N7" s="176"/>
      <c r="O7" s="176"/>
      <c r="P7" s="176"/>
      <c r="Q7" s="176"/>
      <c r="R7" s="176"/>
      <c r="S7" s="176"/>
      <c r="T7" s="176"/>
      <c r="U7" s="176"/>
    </row>
    <row r="8" spans="1:21">
      <c r="A8" s="773"/>
      <c r="B8" s="267" t="s">
        <v>5710</v>
      </c>
      <c r="C8" s="267" t="s">
        <v>5687</v>
      </c>
      <c r="D8" s="267" t="s">
        <v>5711</v>
      </c>
      <c r="E8" s="267" t="s">
        <v>1732</v>
      </c>
      <c r="F8" s="267" t="s">
        <v>5712</v>
      </c>
      <c r="G8" s="774"/>
      <c r="H8" s="267" t="s">
        <v>5713</v>
      </c>
      <c r="I8" s="268" t="s">
        <v>1736</v>
      </c>
      <c r="J8" s="268" t="s">
        <v>5692</v>
      </c>
      <c r="K8" s="268" t="s">
        <v>5692</v>
      </c>
      <c r="L8" s="773"/>
      <c r="M8" s="172"/>
      <c r="N8" s="176"/>
      <c r="O8" s="176"/>
      <c r="P8" s="176"/>
      <c r="Q8" s="176"/>
      <c r="R8" s="176"/>
      <c r="S8" s="176"/>
      <c r="T8" s="176"/>
      <c r="U8" s="176"/>
    </row>
    <row r="9" spans="1:21">
      <c r="A9" s="712" t="s">
        <v>5714</v>
      </c>
      <c r="B9" s="267" t="s">
        <v>5715</v>
      </c>
      <c r="C9" s="267" t="s">
        <v>5716</v>
      </c>
      <c r="D9" s="267" t="s">
        <v>5717</v>
      </c>
      <c r="E9" s="267" t="s">
        <v>1732</v>
      </c>
      <c r="F9" s="267" t="s">
        <v>5718</v>
      </c>
      <c r="G9" s="774"/>
      <c r="H9" s="267" t="s">
        <v>5719</v>
      </c>
      <c r="I9" s="268" t="s">
        <v>1736</v>
      </c>
      <c r="J9" s="268" t="s">
        <v>5692</v>
      </c>
      <c r="K9" s="268" t="s">
        <v>5692</v>
      </c>
      <c r="L9" s="711" t="s">
        <v>5693</v>
      </c>
      <c r="M9" s="172"/>
      <c r="N9" s="176"/>
      <c r="O9" s="176"/>
      <c r="P9" s="176"/>
      <c r="Q9" s="176"/>
      <c r="R9" s="176"/>
      <c r="S9" s="176"/>
      <c r="T9" s="176"/>
      <c r="U9" s="176"/>
    </row>
    <row r="10" spans="1:21">
      <c r="A10" s="774"/>
      <c r="B10" s="267" t="s">
        <v>5720</v>
      </c>
      <c r="C10" s="267" t="s">
        <v>5716</v>
      </c>
      <c r="D10" s="267" t="s">
        <v>5695</v>
      </c>
      <c r="E10" s="267" t="s">
        <v>1732</v>
      </c>
      <c r="F10" s="267" t="s">
        <v>5696</v>
      </c>
      <c r="G10" s="774"/>
      <c r="H10" s="267" t="s">
        <v>5697</v>
      </c>
      <c r="I10" s="268" t="s">
        <v>1736</v>
      </c>
      <c r="J10" s="268" t="s">
        <v>5692</v>
      </c>
      <c r="K10" s="268" t="s">
        <v>5692</v>
      </c>
      <c r="L10" s="774"/>
      <c r="M10" s="172"/>
      <c r="N10" s="176"/>
      <c r="O10" s="176"/>
      <c r="P10" s="176"/>
      <c r="Q10" s="176"/>
      <c r="R10" s="176"/>
      <c r="S10" s="176"/>
      <c r="T10" s="176"/>
      <c r="U10" s="176"/>
    </row>
    <row r="11" spans="1:21">
      <c r="A11" s="774"/>
      <c r="B11" s="267" t="s">
        <v>5721</v>
      </c>
      <c r="C11" s="267" t="s">
        <v>5716</v>
      </c>
      <c r="D11" s="267" t="s">
        <v>5699</v>
      </c>
      <c r="E11" s="267" t="s">
        <v>1732</v>
      </c>
      <c r="F11" s="267" t="s">
        <v>5722</v>
      </c>
      <c r="G11" s="774"/>
      <c r="H11" s="267" t="s">
        <v>5701</v>
      </c>
      <c r="I11" s="268" t="s">
        <v>1736</v>
      </c>
      <c r="J11" s="268" t="s">
        <v>5692</v>
      </c>
      <c r="K11" s="268" t="s">
        <v>5692</v>
      </c>
      <c r="L11" s="774"/>
      <c r="M11" s="172"/>
      <c r="N11" s="176"/>
      <c r="O11" s="176"/>
      <c r="P11" s="176"/>
      <c r="Q11" s="176"/>
      <c r="R11" s="176"/>
      <c r="S11" s="176"/>
      <c r="T11" s="176"/>
      <c r="U11" s="176"/>
    </row>
    <row r="12" spans="1:21">
      <c r="A12" s="774"/>
      <c r="B12" s="267" t="s">
        <v>5723</v>
      </c>
      <c r="C12" s="267" t="s">
        <v>5716</v>
      </c>
      <c r="D12" s="267" t="s">
        <v>5703</v>
      </c>
      <c r="E12" s="267" t="s">
        <v>1732</v>
      </c>
      <c r="F12" s="267" t="s">
        <v>5704</v>
      </c>
      <c r="G12" s="774"/>
      <c r="H12" s="267" t="s">
        <v>5705</v>
      </c>
      <c r="I12" s="268" t="s">
        <v>1736</v>
      </c>
      <c r="J12" s="268" t="s">
        <v>5692</v>
      </c>
      <c r="K12" s="268" t="s">
        <v>5692</v>
      </c>
      <c r="L12" s="774"/>
      <c r="M12" s="172"/>
      <c r="N12" s="176"/>
      <c r="O12" s="176"/>
      <c r="P12" s="176"/>
      <c r="Q12" s="176"/>
      <c r="R12" s="176"/>
      <c r="S12" s="176"/>
      <c r="T12" s="176"/>
      <c r="U12" s="176"/>
    </row>
    <row r="13" spans="1:21">
      <c r="A13" s="774"/>
      <c r="B13" s="267" t="s">
        <v>5724</v>
      </c>
      <c r="C13" s="267" t="s">
        <v>5716</v>
      </c>
      <c r="D13" s="267" t="s">
        <v>5707</v>
      </c>
      <c r="E13" s="267" t="s">
        <v>1732</v>
      </c>
      <c r="F13" s="267" t="s">
        <v>5708</v>
      </c>
      <c r="G13" s="774"/>
      <c r="H13" s="267" t="s">
        <v>5709</v>
      </c>
      <c r="I13" s="268" t="s">
        <v>1736</v>
      </c>
      <c r="J13" s="268" t="s">
        <v>5692</v>
      </c>
      <c r="K13" s="268" t="s">
        <v>5692</v>
      </c>
      <c r="L13" s="774"/>
      <c r="M13" s="172"/>
      <c r="N13" s="176"/>
      <c r="O13" s="176"/>
      <c r="P13" s="176"/>
      <c r="Q13" s="176"/>
      <c r="R13" s="176"/>
      <c r="S13" s="176"/>
      <c r="T13" s="176"/>
      <c r="U13" s="176"/>
    </row>
    <row r="14" spans="1:21">
      <c r="A14" s="773"/>
      <c r="B14" s="267" t="s">
        <v>5725</v>
      </c>
      <c r="C14" s="267" t="s">
        <v>5716</v>
      </c>
      <c r="D14" s="267" t="s">
        <v>5726</v>
      </c>
      <c r="E14" s="267" t="s">
        <v>1732</v>
      </c>
      <c r="F14" s="267" t="s">
        <v>5727</v>
      </c>
      <c r="G14" s="774"/>
      <c r="H14" s="267" t="s">
        <v>5728</v>
      </c>
      <c r="I14" s="268" t="s">
        <v>1736</v>
      </c>
      <c r="J14" s="268" t="s">
        <v>5692</v>
      </c>
      <c r="K14" s="268" t="s">
        <v>5692</v>
      </c>
      <c r="L14" s="773"/>
      <c r="M14" s="172"/>
      <c r="N14" s="176"/>
      <c r="O14" s="176"/>
      <c r="P14" s="176"/>
      <c r="Q14" s="176"/>
      <c r="R14" s="176"/>
      <c r="S14" s="176"/>
      <c r="T14" s="176"/>
      <c r="U14" s="176"/>
    </row>
    <row r="15" spans="1:21">
      <c r="A15" s="712" t="s">
        <v>5729</v>
      </c>
      <c r="B15" s="267" t="s">
        <v>5730</v>
      </c>
      <c r="C15" s="267" t="s">
        <v>5716</v>
      </c>
      <c r="D15" s="267" t="s">
        <v>5731</v>
      </c>
      <c r="E15" s="267" t="s">
        <v>1732</v>
      </c>
      <c r="F15" s="267" t="s">
        <v>5732</v>
      </c>
      <c r="G15" s="774"/>
      <c r="H15" s="267" t="s">
        <v>5733</v>
      </c>
      <c r="I15" s="268" t="s">
        <v>1736</v>
      </c>
      <c r="J15" s="268" t="s">
        <v>5692</v>
      </c>
      <c r="K15" s="268" t="s">
        <v>5692</v>
      </c>
      <c r="L15" s="711" t="s">
        <v>5693</v>
      </c>
      <c r="M15" s="172"/>
      <c r="N15" s="176"/>
      <c r="O15" s="176"/>
      <c r="P15" s="176"/>
      <c r="Q15" s="176"/>
      <c r="R15" s="176"/>
      <c r="S15" s="176"/>
      <c r="T15" s="176"/>
      <c r="U15" s="176"/>
    </row>
    <row r="16" spans="1:21">
      <c r="A16" s="774"/>
      <c r="B16" s="267" t="s">
        <v>5734</v>
      </c>
      <c r="C16" s="267" t="s">
        <v>5716</v>
      </c>
      <c r="D16" s="267" t="s">
        <v>5695</v>
      </c>
      <c r="E16" s="267" t="s">
        <v>1732</v>
      </c>
      <c r="F16" s="267" t="s">
        <v>5696</v>
      </c>
      <c r="G16" s="774"/>
      <c r="H16" s="267" t="s">
        <v>5697</v>
      </c>
      <c r="I16" s="268" t="s">
        <v>1736</v>
      </c>
      <c r="J16" s="268" t="s">
        <v>5692</v>
      </c>
      <c r="K16" s="268" t="s">
        <v>5692</v>
      </c>
      <c r="L16" s="774"/>
      <c r="M16" s="172"/>
      <c r="N16" s="176"/>
      <c r="O16" s="176"/>
      <c r="P16" s="176"/>
      <c r="Q16" s="176"/>
      <c r="R16" s="176"/>
      <c r="S16" s="176"/>
      <c r="T16" s="176"/>
      <c r="U16" s="176"/>
    </row>
    <row r="17" spans="1:21">
      <c r="A17" s="774"/>
      <c r="B17" s="267" t="s">
        <v>5735</v>
      </c>
      <c r="C17" s="267" t="s">
        <v>5716</v>
      </c>
      <c r="D17" s="267" t="s">
        <v>5699</v>
      </c>
      <c r="E17" s="267" t="s">
        <v>1732</v>
      </c>
      <c r="F17" s="267" t="s">
        <v>5722</v>
      </c>
      <c r="G17" s="774"/>
      <c r="H17" s="267" t="s">
        <v>5701</v>
      </c>
      <c r="I17" s="268" t="s">
        <v>1736</v>
      </c>
      <c r="J17" s="268" t="s">
        <v>5692</v>
      </c>
      <c r="K17" s="268" t="s">
        <v>5692</v>
      </c>
      <c r="L17" s="774"/>
      <c r="M17" s="172"/>
      <c r="N17" s="176"/>
      <c r="O17" s="176"/>
      <c r="P17" s="176"/>
      <c r="Q17" s="176"/>
      <c r="R17" s="176"/>
      <c r="S17" s="176"/>
      <c r="T17" s="176"/>
      <c r="U17" s="176"/>
    </row>
    <row r="18" spans="1:21">
      <c r="A18" s="774"/>
      <c r="B18" s="267" t="s">
        <v>5736</v>
      </c>
      <c r="C18" s="267" t="s">
        <v>5716</v>
      </c>
      <c r="D18" s="267" t="s">
        <v>5703</v>
      </c>
      <c r="E18" s="267" t="s">
        <v>1732</v>
      </c>
      <c r="F18" s="267" t="s">
        <v>5704</v>
      </c>
      <c r="G18" s="774"/>
      <c r="H18" s="267" t="s">
        <v>5705</v>
      </c>
      <c r="I18" s="268" t="s">
        <v>1736</v>
      </c>
      <c r="J18" s="268" t="s">
        <v>5692</v>
      </c>
      <c r="K18" s="268" t="s">
        <v>5692</v>
      </c>
      <c r="L18" s="774"/>
      <c r="M18" s="172"/>
      <c r="N18" s="176"/>
      <c r="O18" s="176"/>
      <c r="P18" s="176"/>
      <c r="Q18" s="176"/>
      <c r="R18" s="176"/>
      <c r="S18" s="176"/>
      <c r="T18" s="176"/>
      <c r="U18" s="176"/>
    </row>
    <row r="19" spans="1:21">
      <c r="A19" s="774"/>
      <c r="B19" s="267" t="s">
        <v>5737</v>
      </c>
      <c r="C19" s="267" t="s">
        <v>5716</v>
      </c>
      <c r="D19" s="267" t="s">
        <v>5707</v>
      </c>
      <c r="E19" s="267" t="s">
        <v>1732</v>
      </c>
      <c r="F19" s="267" t="s">
        <v>5708</v>
      </c>
      <c r="G19" s="774"/>
      <c r="H19" s="267" t="s">
        <v>5709</v>
      </c>
      <c r="I19" s="268" t="s">
        <v>1736</v>
      </c>
      <c r="J19" s="268" t="s">
        <v>5692</v>
      </c>
      <c r="K19" s="268" t="s">
        <v>5692</v>
      </c>
      <c r="L19" s="774"/>
      <c r="M19" s="172"/>
      <c r="N19" s="176"/>
      <c r="O19" s="176"/>
      <c r="P19" s="176"/>
      <c r="Q19" s="176"/>
      <c r="R19" s="176"/>
      <c r="S19" s="176"/>
      <c r="T19" s="176"/>
      <c r="U19" s="176"/>
    </row>
    <row r="20" spans="1:21">
      <c r="A20" s="773"/>
      <c r="B20" s="267" t="s">
        <v>5738</v>
      </c>
      <c r="C20" s="267" t="s">
        <v>5716</v>
      </c>
      <c r="D20" s="267" t="s">
        <v>5739</v>
      </c>
      <c r="E20" s="267" t="s">
        <v>1732</v>
      </c>
      <c r="F20" s="267" t="s">
        <v>5727</v>
      </c>
      <c r="G20" s="773"/>
      <c r="H20" s="267" t="s">
        <v>5740</v>
      </c>
      <c r="I20" s="268" t="s">
        <v>1736</v>
      </c>
      <c r="J20" s="268" t="s">
        <v>5692</v>
      </c>
      <c r="K20" s="268" t="s">
        <v>5692</v>
      </c>
      <c r="L20" s="773"/>
      <c r="M20" s="172"/>
      <c r="N20" s="176"/>
      <c r="O20" s="176"/>
      <c r="P20" s="176"/>
      <c r="Q20" s="176"/>
      <c r="R20" s="176"/>
      <c r="S20" s="176"/>
      <c r="T20" s="176"/>
      <c r="U20" s="176"/>
    </row>
    <row r="21" spans="1:21">
      <c r="A21" s="176" t="s">
        <v>5741</v>
      </c>
      <c r="B21" s="176" t="s">
        <v>5742</v>
      </c>
      <c r="C21" s="176" t="s">
        <v>5743</v>
      </c>
      <c r="D21" s="176" t="s">
        <v>5743</v>
      </c>
      <c r="E21" s="176" t="s">
        <v>1732</v>
      </c>
      <c r="F21" s="176" t="s">
        <v>5744</v>
      </c>
      <c r="G21" s="711" t="s">
        <v>5745</v>
      </c>
      <c r="H21" s="176" t="s">
        <v>5746</v>
      </c>
      <c r="I21" s="265" t="s">
        <v>1736</v>
      </c>
      <c r="J21" s="265" t="s">
        <v>1737</v>
      </c>
      <c r="K21" s="265" t="s">
        <v>1737</v>
      </c>
      <c r="L21" s="176"/>
      <c r="M21" s="270">
        <v>44826</v>
      </c>
      <c r="N21" s="176" t="s">
        <v>5747</v>
      </c>
      <c r="O21" s="176"/>
      <c r="P21" s="176"/>
      <c r="Q21" s="176"/>
      <c r="R21" s="176"/>
      <c r="S21" s="176"/>
      <c r="T21" s="270">
        <v>44826</v>
      </c>
      <c r="U21" s="176" t="s">
        <v>4803</v>
      </c>
    </row>
    <row r="22" spans="1:21">
      <c r="A22" s="176" t="s">
        <v>5748</v>
      </c>
      <c r="B22" s="176" t="s">
        <v>5749</v>
      </c>
      <c r="C22" s="176" t="s">
        <v>5750</v>
      </c>
      <c r="D22" s="176" t="s">
        <v>5750</v>
      </c>
      <c r="E22" s="176" t="s">
        <v>1732</v>
      </c>
      <c r="F22" s="176" t="s">
        <v>5751</v>
      </c>
      <c r="G22" s="774"/>
      <c r="H22" s="176" t="s">
        <v>5752</v>
      </c>
      <c r="I22" s="265" t="s">
        <v>1736</v>
      </c>
      <c r="J22" s="265" t="s">
        <v>1737</v>
      </c>
      <c r="K22" s="265" t="s">
        <v>1737</v>
      </c>
      <c r="L22" s="176"/>
      <c r="M22" s="270">
        <v>44826</v>
      </c>
      <c r="N22" s="176" t="s">
        <v>5753</v>
      </c>
      <c r="O22" s="176"/>
      <c r="P22" s="176"/>
      <c r="Q22" s="176"/>
      <c r="R22" s="176"/>
      <c r="S22" s="176"/>
      <c r="T22" s="270">
        <v>44826</v>
      </c>
      <c r="U22" s="176" t="s">
        <v>4803</v>
      </c>
    </row>
    <row r="23" spans="1:21">
      <c r="A23" s="176" t="s">
        <v>5754</v>
      </c>
      <c r="B23" s="176" t="s">
        <v>5755</v>
      </c>
      <c r="C23" s="176" t="s">
        <v>5756</v>
      </c>
      <c r="D23" s="176" t="s">
        <v>5756</v>
      </c>
      <c r="E23" s="176" t="s">
        <v>1732</v>
      </c>
      <c r="F23" s="176" t="s">
        <v>5757</v>
      </c>
      <c r="G23" s="774"/>
      <c r="H23" s="176" t="s">
        <v>5758</v>
      </c>
      <c r="I23" s="265" t="s">
        <v>1736</v>
      </c>
      <c r="J23" s="265" t="s">
        <v>1737</v>
      </c>
      <c r="K23" s="265" t="s">
        <v>1737</v>
      </c>
      <c r="L23" s="176"/>
      <c r="M23" s="270">
        <v>44859</v>
      </c>
      <c r="N23" s="176" t="s">
        <v>5759</v>
      </c>
      <c r="O23" s="176"/>
      <c r="P23" s="176"/>
      <c r="Q23" s="176"/>
      <c r="R23" s="176"/>
      <c r="S23" s="176"/>
      <c r="T23" s="270">
        <v>44859</v>
      </c>
      <c r="U23" s="176" t="s">
        <v>4803</v>
      </c>
    </row>
    <row r="24" spans="1:21">
      <c r="A24" s="176" t="s">
        <v>5760</v>
      </c>
      <c r="B24" s="176" t="s">
        <v>5761</v>
      </c>
      <c r="C24" s="176" t="s">
        <v>5762</v>
      </c>
      <c r="D24" s="176" t="s">
        <v>5762</v>
      </c>
      <c r="E24" s="176" t="s">
        <v>1732</v>
      </c>
      <c r="F24" s="176" t="s">
        <v>5763</v>
      </c>
      <c r="G24" s="774"/>
      <c r="H24" s="176" t="s">
        <v>5764</v>
      </c>
      <c r="I24" s="265" t="s">
        <v>1736</v>
      </c>
      <c r="J24" s="265" t="s">
        <v>1737</v>
      </c>
      <c r="K24" s="265" t="s">
        <v>1737</v>
      </c>
      <c r="L24" s="176"/>
      <c r="M24" s="270">
        <v>44827</v>
      </c>
      <c r="N24" s="176" t="s">
        <v>5765</v>
      </c>
      <c r="O24" s="176"/>
      <c r="P24" s="176"/>
      <c r="Q24" s="176"/>
      <c r="R24" s="176"/>
      <c r="S24" s="176"/>
      <c r="T24" s="270">
        <v>44827</v>
      </c>
      <c r="U24" s="176" t="s">
        <v>4803</v>
      </c>
    </row>
    <row r="25" spans="1:21">
      <c r="A25" s="176" t="s">
        <v>5766</v>
      </c>
      <c r="B25" s="176" t="s">
        <v>5767</v>
      </c>
      <c r="C25" s="176" t="s">
        <v>5768</v>
      </c>
      <c r="D25" s="176" t="s">
        <v>5768</v>
      </c>
      <c r="E25" s="176" t="s">
        <v>1732</v>
      </c>
      <c r="F25" s="176" t="s">
        <v>5769</v>
      </c>
      <c r="G25" s="774"/>
      <c r="H25" s="176" t="s">
        <v>5770</v>
      </c>
      <c r="I25" s="265" t="s">
        <v>1736</v>
      </c>
      <c r="J25" s="265" t="s">
        <v>1737</v>
      </c>
      <c r="K25" s="265" t="s">
        <v>1737</v>
      </c>
      <c r="L25" s="176"/>
      <c r="M25" s="270">
        <v>44827</v>
      </c>
      <c r="N25" s="176" t="s">
        <v>5771</v>
      </c>
      <c r="O25" s="176"/>
      <c r="P25" s="176"/>
      <c r="Q25" s="176"/>
      <c r="R25" s="176"/>
      <c r="S25" s="176"/>
      <c r="T25" s="270">
        <v>44827</v>
      </c>
      <c r="U25" s="176" t="s">
        <v>4803</v>
      </c>
    </row>
    <row r="26" spans="1:21">
      <c r="A26" s="176" t="s">
        <v>5772</v>
      </c>
      <c r="B26" s="176" t="s">
        <v>5773</v>
      </c>
      <c r="C26" s="176" t="s">
        <v>5774</v>
      </c>
      <c r="D26" s="176" t="s">
        <v>5774</v>
      </c>
      <c r="E26" s="176" t="s">
        <v>1732</v>
      </c>
      <c r="F26" s="176" t="s">
        <v>5775</v>
      </c>
      <c r="G26" s="774"/>
      <c r="H26" s="176" t="s">
        <v>5776</v>
      </c>
      <c r="I26" s="265" t="s">
        <v>1736</v>
      </c>
      <c r="J26" s="265" t="s">
        <v>1737</v>
      </c>
      <c r="K26" s="265" t="s">
        <v>1737</v>
      </c>
      <c r="L26" s="176"/>
      <c r="M26" s="270">
        <v>44830</v>
      </c>
      <c r="N26" s="176" t="s">
        <v>5777</v>
      </c>
      <c r="O26" s="176"/>
      <c r="P26" s="176"/>
      <c r="Q26" s="176"/>
      <c r="R26" s="176"/>
      <c r="S26" s="176"/>
      <c r="T26" s="270">
        <v>44830</v>
      </c>
      <c r="U26" s="176" t="s">
        <v>4803</v>
      </c>
    </row>
    <row r="27" spans="1:21">
      <c r="A27" s="176" t="s">
        <v>5778</v>
      </c>
      <c r="B27" s="176" t="s">
        <v>5779</v>
      </c>
      <c r="C27" s="176" t="s">
        <v>5780</v>
      </c>
      <c r="D27" s="176" t="s">
        <v>5780</v>
      </c>
      <c r="E27" s="176" t="s">
        <v>1732</v>
      </c>
      <c r="F27" s="176" t="s">
        <v>5781</v>
      </c>
      <c r="G27" s="774"/>
      <c r="H27" s="176" t="s">
        <v>5782</v>
      </c>
      <c r="I27" s="265" t="s">
        <v>1736</v>
      </c>
      <c r="J27" s="265" t="s">
        <v>1737</v>
      </c>
      <c r="K27" s="265" t="s">
        <v>1737</v>
      </c>
      <c r="L27" s="176"/>
      <c r="M27" s="270">
        <v>44831</v>
      </c>
      <c r="N27" s="176" t="s">
        <v>5783</v>
      </c>
      <c r="O27" s="176"/>
      <c r="P27" s="176"/>
      <c r="Q27" s="176"/>
      <c r="R27" s="176"/>
      <c r="S27" s="176"/>
      <c r="T27" s="270">
        <v>44831</v>
      </c>
      <c r="U27" s="176" t="s">
        <v>4803</v>
      </c>
    </row>
    <row r="28" spans="1:21">
      <c r="A28" s="176" t="s">
        <v>5784</v>
      </c>
      <c r="B28" s="176" t="s">
        <v>5785</v>
      </c>
      <c r="C28" s="176" t="s">
        <v>5786</v>
      </c>
      <c r="D28" s="176" t="s">
        <v>5786</v>
      </c>
      <c r="E28" s="176" t="s">
        <v>1732</v>
      </c>
      <c r="F28" s="176" t="s">
        <v>5787</v>
      </c>
      <c r="G28" s="774"/>
      <c r="H28" s="176" t="s">
        <v>5788</v>
      </c>
      <c r="I28" s="265" t="s">
        <v>1736</v>
      </c>
      <c r="J28" s="265" t="s">
        <v>1737</v>
      </c>
      <c r="K28" s="265" t="s">
        <v>1737</v>
      </c>
      <c r="L28" s="176"/>
      <c r="M28" s="270">
        <v>44831</v>
      </c>
      <c r="N28" s="176" t="s">
        <v>5789</v>
      </c>
      <c r="O28" s="176"/>
      <c r="P28" s="176"/>
      <c r="Q28" s="176"/>
      <c r="R28" s="176"/>
      <c r="S28" s="176"/>
      <c r="T28" s="270">
        <v>44831</v>
      </c>
      <c r="U28" s="176" t="s">
        <v>4803</v>
      </c>
    </row>
    <row r="29" spans="1:21">
      <c r="A29" s="176" t="s">
        <v>5790</v>
      </c>
      <c r="B29" s="176" t="s">
        <v>5791</v>
      </c>
      <c r="C29" s="176" t="s">
        <v>5792</v>
      </c>
      <c r="D29" s="176" t="s">
        <v>5792</v>
      </c>
      <c r="E29" s="176" t="s">
        <v>1732</v>
      </c>
      <c r="F29" s="176" t="s">
        <v>5793</v>
      </c>
      <c r="G29" s="774"/>
      <c r="H29" s="176" t="s">
        <v>5794</v>
      </c>
      <c r="I29" s="265" t="s">
        <v>1736</v>
      </c>
      <c r="J29" s="265" t="s">
        <v>1737</v>
      </c>
      <c r="K29" s="265" t="s">
        <v>1737</v>
      </c>
      <c r="L29" s="176"/>
      <c r="M29" s="270">
        <v>44830</v>
      </c>
      <c r="N29" s="176" t="s">
        <v>5795</v>
      </c>
      <c r="O29" s="176"/>
      <c r="P29" s="176"/>
      <c r="Q29" s="176"/>
      <c r="R29" s="176"/>
      <c r="S29" s="176"/>
      <c r="T29" s="270">
        <v>44830</v>
      </c>
      <c r="U29" s="176" t="s">
        <v>4803</v>
      </c>
    </row>
    <row r="30" spans="1:21">
      <c r="A30" s="176" t="s">
        <v>5796</v>
      </c>
      <c r="B30" s="176" t="s">
        <v>5797</v>
      </c>
      <c r="C30" s="176" t="s">
        <v>5798</v>
      </c>
      <c r="D30" s="176" t="s">
        <v>5798</v>
      </c>
      <c r="E30" s="176" t="s">
        <v>1732</v>
      </c>
      <c r="F30" s="176" t="s">
        <v>5799</v>
      </c>
      <c r="G30" s="774"/>
      <c r="H30" s="176" t="s">
        <v>5800</v>
      </c>
      <c r="I30" s="265" t="s">
        <v>1736</v>
      </c>
      <c r="J30" s="265" t="s">
        <v>1737</v>
      </c>
      <c r="K30" s="265" t="s">
        <v>1737</v>
      </c>
      <c r="L30" s="176"/>
      <c r="M30" s="270">
        <v>44831</v>
      </c>
      <c r="N30" s="176" t="s">
        <v>5801</v>
      </c>
      <c r="O30" s="176"/>
      <c r="P30" s="176"/>
      <c r="Q30" s="176"/>
      <c r="R30" s="176"/>
      <c r="S30" s="176"/>
      <c r="T30" s="270">
        <v>44831</v>
      </c>
      <c r="U30" s="176" t="s">
        <v>4803</v>
      </c>
    </row>
    <row r="31" spans="1:21">
      <c r="A31" s="176" t="s">
        <v>5802</v>
      </c>
      <c r="B31" s="176" t="s">
        <v>5803</v>
      </c>
      <c r="C31" s="176" t="s">
        <v>5804</v>
      </c>
      <c r="D31" s="176" t="s">
        <v>5804</v>
      </c>
      <c r="E31" s="176" t="s">
        <v>1732</v>
      </c>
      <c r="F31" s="176" t="s">
        <v>5805</v>
      </c>
      <c r="G31" s="774"/>
      <c r="H31" s="176" t="s">
        <v>5806</v>
      </c>
      <c r="I31" s="265" t="s">
        <v>1736</v>
      </c>
      <c r="J31" s="265" t="s">
        <v>1737</v>
      </c>
      <c r="K31" s="265" t="s">
        <v>1737</v>
      </c>
      <c r="L31" s="176"/>
      <c r="M31" s="270">
        <v>44831</v>
      </c>
      <c r="N31" s="176" t="s">
        <v>5807</v>
      </c>
      <c r="O31" s="176"/>
      <c r="P31" s="176"/>
      <c r="Q31" s="176"/>
      <c r="R31" s="176"/>
      <c r="S31" s="176"/>
      <c r="T31" s="270">
        <v>44831</v>
      </c>
      <c r="U31" s="176" t="s">
        <v>4803</v>
      </c>
    </row>
    <row r="32" spans="1:21">
      <c r="A32" s="176" t="s">
        <v>5808</v>
      </c>
      <c r="B32" s="176" t="s">
        <v>5809</v>
      </c>
      <c r="C32" s="176" t="s">
        <v>5810</v>
      </c>
      <c r="D32" s="176" t="s">
        <v>5810</v>
      </c>
      <c r="E32" s="176" t="s">
        <v>1732</v>
      </c>
      <c r="F32" s="176" t="s">
        <v>5811</v>
      </c>
      <c r="G32" s="774"/>
      <c r="H32" s="176" t="s">
        <v>5812</v>
      </c>
      <c r="I32" s="265" t="s">
        <v>1736</v>
      </c>
      <c r="J32" s="265" t="s">
        <v>1737</v>
      </c>
      <c r="K32" s="265" t="s">
        <v>1737</v>
      </c>
      <c r="L32" s="176"/>
      <c r="M32" s="270">
        <v>44825</v>
      </c>
      <c r="N32" s="176" t="s">
        <v>5813</v>
      </c>
      <c r="O32" s="176"/>
      <c r="P32" s="176"/>
      <c r="Q32" s="176"/>
      <c r="R32" s="176"/>
      <c r="S32" s="176"/>
      <c r="T32" s="270">
        <v>44825</v>
      </c>
      <c r="U32" s="176" t="s">
        <v>4803</v>
      </c>
    </row>
    <row r="33" spans="1:21">
      <c r="A33" s="176" t="s">
        <v>5814</v>
      </c>
      <c r="B33" s="176" t="s">
        <v>5815</v>
      </c>
      <c r="C33" s="176" t="s">
        <v>5816</v>
      </c>
      <c r="D33" s="176" t="s">
        <v>5816</v>
      </c>
      <c r="E33" s="176" t="s">
        <v>1732</v>
      </c>
      <c r="F33" s="176" t="s">
        <v>5817</v>
      </c>
      <c r="G33" s="774"/>
      <c r="H33" s="176" t="s">
        <v>5818</v>
      </c>
      <c r="I33" s="265" t="s">
        <v>1736</v>
      </c>
      <c r="J33" s="265" t="s">
        <v>1737</v>
      </c>
      <c r="K33" s="265" t="s">
        <v>1737</v>
      </c>
      <c r="L33" s="176"/>
      <c r="M33" s="270">
        <v>44838</v>
      </c>
      <c r="N33" s="176" t="s">
        <v>5819</v>
      </c>
      <c r="O33" s="176"/>
      <c r="P33" s="176"/>
      <c r="Q33" s="176"/>
      <c r="R33" s="176"/>
      <c r="S33" s="176"/>
      <c r="T33" s="270">
        <v>44838</v>
      </c>
      <c r="U33" s="176" t="s">
        <v>4803</v>
      </c>
    </row>
    <row r="34" spans="1:21">
      <c r="A34" s="176" t="s">
        <v>5820</v>
      </c>
      <c r="B34" s="176" t="s">
        <v>5821</v>
      </c>
      <c r="C34" s="176" t="s">
        <v>5822</v>
      </c>
      <c r="D34" s="176" t="s">
        <v>5822</v>
      </c>
      <c r="E34" s="176" t="s">
        <v>1732</v>
      </c>
      <c r="F34" s="176" t="s">
        <v>5823</v>
      </c>
      <c r="G34" s="774"/>
      <c r="H34" s="176" t="s">
        <v>5824</v>
      </c>
      <c r="I34" s="265" t="s">
        <v>1736</v>
      </c>
      <c r="J34" s="265" t="s">
        <v>1737</v>
      </c>
      <c r="K34" s="265" t="s">
        <v>1737</v>
      </c>
      <c r="L34" s="176"/>
      <c r="M34" s="270">
        <v>44830</v>
      </c>
      <c r="N34" s="176" t="s">
        <v>5825</v>
      </c>
      <c r="O34" s="176"/>
      <c r="P34" s="176"/>
      <c r="Q34" s="176"/>
      <c r="R34" s="176"/>
      <c r="S34" s="176"/>
      <c r="T34" s="270">
        <v>44830</v>
      </c>
      <c r="U34" s="176" t="s">
        <v>4803</v>
      </c>
    </row>
    <row r="35" spans="1:21">
      <c r="A35" s="176" t="s">
        <v>5826</v>
      </c>
      <c r="B35" s="176" t="s">
        <v>5827</v>
      </c>
      <c r="C35" s="176" t="s">
        <v>5828</v>
      </c>
      <c r="D35" s="176" t="s">
        <v>5828</v>
      </c>
      <c r="E35" s="176" t="s">
        <v>1732</v>
      </c>
      <c r="F35" s="176" t="s">
        <v>5829</v>
      </c>
      <c r="G35" s="774"/>
      <c r="H35" s="176" t="s">
        <v>5830</v>
      </c>
      <c r="I35" s="265" t="s">
        <v>1736</v>
      </c>
      <c r="J35" s="265" t="s">
        <v>1737</v>
      </c>
      <c r="K35" s="265" t="s">
        <v>1737</v>
      </c>
      <c r="L35" s="176"/>
      <c r="M35" s="270">
        <v>44832</v>
      </c>
      <c r="N35" s="176" t="s">
        <v>5831</v>
      </c>
      <c r="O35" s="176"/>
      <c r="P35" s="176"/>
      <c r="Q35" s="176"/>
      <c r="R35" s="176"/>
      <c r="S35" s="176"/>
      <c r="T35" s="270">
        <v>44832</v>
      </c>
      <c r="U35" s="176" t="s">
        <v>4803</v>
      </c>
    </row>
    <row r="36" spans="1:21">
      <c r="A36" s="176" t="s">
        <v>5832</v>
      </c>
      <c r="B36" s="176" t="s">
        <v>5833</v>
      </c>
      <c r="C36" s="176" t="s">
        <v>5834</v>
      </c>
      <c r="D36" s="176" t="s">
        <v>5834</v>
      </c>
      <c r="E36" s="176" t="s">
        <v>1732</v>
      </c>
      <c r="F36" s="176" t="s">
        <v>5835</v>
      </c>
      <c r="G36" s="774"/>
      <c r="H36" s="176" t="s">
        <v>5836</v>
      </c>
      <c r="I36" s="265" t="s">
        <v>1736</v>
      </c>
      <c r="J36" s="265" t="s">
        <v>1737</v>
      </c>
      <c r="K36" s="265" t="s">
        <v>1737</v>
      </c>
      <c r="L36" s="176"/>
      <c r="M36" s="270">
        <v>44826</v>
      </c>
      <c r="N36" s="176" t="s">
        <v>5837</v>
      </c>
      <c r="O36" s="176"/>
      <c r="P36" s="176"/>
      <c r="Q36" s="176"/>
      <c r="R36" s="176"/>
      <c r="S36" s="176"/>
      <c r="T36" s="270">
        <v>44826</v>
      </c>
      <c r="U36" s="176" t="s">
        <v>4803</v>
      </c>
    </row>
    <row r="37" spans="1:21">
      <c r="A37" s="176" t="s">
        <v>5838</v>
      </c>
      <c r="B37" s="176" t="s">
        <v>5839</v>
      </c>
      <c r="C37" s="176" t="s">
        <v>5840</v>
      </c>
      <c r="D37" s="176" t="s">
        <v>5840</v>
      </c>
      <c r="E37" s="176" t="s">
        <v>1732</v>
      </c>
      <c r="F37" s="176" t="s">
        <v>5841</v>
      </c>
      <c r="G37" s="774"/>
      <c r="H37" s="176" t="s">
        <v>5842</v>
      </c>
      <c r="I37" s="265" t="s">
        <v>1736</v>
      </c>
      <c r="J37" s="265" t="s">
        <v>1737</v>
      </c>
      <c r="K37" s="265" t="s">
        <v>1737</v>
      </c>
      <c r="L37" s="176"/>
      <c r="M37" s="270">
        <v>44827</v>
      </c>
      <c r="N37" s="176" t="s">
        <v>5843</v>
      </c>
      <c r="O37" s="176"/>
      <c r="P37" s="176"/>
      <c r="Q37" s="176"/>
      <c r="R37" s="176"/>
      <c r="S37" s="176"/>
      <c r="T37" s="270">
        <v>44827</v>
      </c>
      <c r="U37" s="176" t="s">
        <v>4803</v>
      </c>
    </row>
    <row r="38" spans="1:21">
      <c r="A38" s="176" t="s">
        <v>5844</v>
      </c>
      <c r="B38" s="176" t="s">
        <v>5845</v>
      </c>
      <c r="C38" s="176" t="s">
        <v>5846</v>
      </c>
      <c r="D38" s="176" t="s">
        <v>5846</v>
      </c>
      <c r="E38" s="176" t="s">
        <v>1732</v>
      </c>
      <c r="F38" s="176" t="s">
        <v>5847</v>
      </c>
      <c r="G38" s="774"/>
      <c r="H38" s="176" t="s">
        <v>5848</v>
      </c>
      <c r="I38" s="265" t="s">
        <v>1736</v>
      </c>
      <c r="J38" s="265" t="s">
        <v>1737</v>
      </c>
      <c r="K38" s="265" t="s">
        <v>1737</v>
      </c>
      <c r="L38" s="176"/>
      <c r="M38" s="270">
        <v>44832</v>
      </c>
      <c r="N38" s="176" t="s">
        <v>5849</v>
      </c>
      <c r="O38" s="176"/>
      <c r="P38" s="176"/>
      <c r="Q38" s="176"/>
      <c r="R38" s="176"/>
      <c r="S38" s="176"/>
      <c r="T38" s="270">
        <v>44832</v>
      </c>
      <c r="U38" s="176" t="s">
        <v>4803</v>
      </c>
    </row>
    <row r="39" spans="1:21">
      <c r="A39" s="176" t="s">
        <v>5850</v>
      </c>
      <c r="B39" s="176" t="s">
        <v>5851</v>
      </c>
      <c r="C39" s="176" t="s">
        <v>5852</v>
      </c>
      <c r="D39" s="176" t="s">
        <v>5852</v>
      </c>
      <c r="E39" s="176" t="s">
        <v>1732</v>
      </c>
      <c r="F39" s="176" t="s">
        <v>5853</v>
      </c>
      <c r="G39" s="774"/>
      <c r="H39" s="176" t="s">
        <v>5854</v>
      </c>
      <c r="I39" s="265" t="s">
        <v>1736</v>
      </c>
      <c r="J39" s="265" t="s">
        <v>1737</v>
      </c>
      <c r="K39" s="265" t="s">
        <v>1737</v>
      </c>
      <c r="L39" s="176"/>
      <c r="M39" s="270">
        <v>44827</v>
      </c>
      <c r="N39" s="176" t="s">
        <v>5855</v>
      </c>
      <c r="O39" s="176"/>
      <c r="P39" s="176"/>
      <c r="Q39" s="176"/>
      <c r="R39" s="176"/>
      <c r="S39" s="176"/>
      <c r="T39" s="270">
        <v>44827</v>
      </c>
      <c r="U39" s="176" t="s">
        <v>4803</v>
      </c>
    </row>
    <row r="40" spans="1:21">
      <c r="A40" s="176" t="s">
        <v>5856</v>
      </c>
      <c r="B40" s="176" t="s">
        <v>5857</v>
      </c>
      <c r="C40" s="176" t="s">
        <v>5858</v>
      </c>
      <c r="D40" s="176" t="s">
        <v>5858</v>
      </c>
      <c r="E40" s="176" t="s">
        <v>1732</v>
      </c>
      <c r="F40" s="176" t="s">
        <v>5859</v>
      </c>
      <c r="G40" s="774"/>
      <c r="H40" s="176" t="s">
        <v>5860</v>
      </c>
      <c r="I40" s="265" t="s">
        <v>1736</v>
      </c>
      <c r="J40" s="265" t="s">
        <v>1737</v>
      </c>
      <c r="K40" s="265" t="s">
        <v>1737</v>
      </c>
      <c r="L40" s="176"/>
      <c r="M40" s="270">
        <v>44839</v>
      </c>
      <c r="N40" s="176" t="s">
        <v>5861</v>
      </c>
      <c r="O40" s="176"/>
      <c r="P40" s="176"/>
      <c r="Q40" s="176"/>
      <c r="R40" s="176"/>
      <c r="S40" s="176"/>
      <c r="T40" s="270">
        <v>44839</v>
      </c>
      <c r="U40" s="176" t="s">
        <v>4803</v>
      </c>
    </row>
    <row r="41" spans="1:21">
      <c r="A41" s="176" t="s">
        <v>5862</v>
      </c>
      <c r="B41" s="176" t="s">
        <v>5863</v>
      </c>
      <c r="C41" s="176" t="s">
        <v>5864</v>
      </c>
      <c r="D41" s="176" t="s">
        <v>5864</v>
      </c>
      <c r="E41" s="176" t="s">
        <v>1732</v>
      </c>
      <c r="F41" s="176" t="s">
        <v>5865</v>
      </c>
      <c r="G41" s="774"/>
      <c r="H41" s="176" t="s">
        <v>5866</v>
      </c>
      <c r="I41" s="265" t="s">
        <v>1736</v>
      </c>
      <c r="J41" s="265" t="s">
        <v>1737</v>
      </c>
      <c r="K41" s="265" t="s">
        <v>1737</v>
      </c>
      <c r="L41" s="176"/>
      <c r="M41" s="270">
        <v>44833</v>
      </c>
      <c r="N41" s="176" t="s">
        <v>5867</v>
      </c>
      <c r="O41" s="176"/>
      <c r="P41" s="176"/>
      <c r="Q41" s="176"/>
      <c r="R41" s="176"/>
      <c r="S41" s="176"/>
      <c r="T41" s="270">
        <v>44833</v>
      </c>
      <c r="U41" s="176" t="s">
        <v>4803</v>
      </c>
    </row>
    <row r="42" spans="1:21">
      <c r="A42" s="176" t="s">
        <v>5868</v>
      </c>
      <c r="B42" s="176" t="s">
        <v>5869</v>
      </c>
      <c r="C42" s="176" t="s">
        <v>5870</v>
      </c>
      <c r="D42" s="176" t="s">
        <v>5870</v>
      </c>
      <c r="E42" s="176" t="s">
        <v>1732</v>
      </c>
      <c r="F42" s="176" t="s">
        <v>5871</v>
      </c>
      <c r="G42" s="774"/>
      <c r="H42" s="176" t="s">
        <v>5872</v>
      </c>
      <c r="I42" s="265" t="s">
        <v>1736</v>
      </c>
      <c r="J42" s="265" t="s">
        <v>1737</v>
      </c>
      <c r="K42" s="265" t="s">
        <v>1737</v>
      </c>
      <c r="L42" s="176"/>
      <c r="M42" s="270">
        <v>44833</v>
      </c>
      <c r="N42" s="176" t="s">
        <v>5873</v>
      </c>
      <c r="O42" s="176"/>
      <c r="P42" s="176"/>
      <c r="Q42" s="176"/>
      <c r="R42" s="176"/>
      <c r="S42" s="176"/>
      <c r="T42" s="270">
        <v>44833</v>
      </c>
      <c r="U42" s="176" t="s">
        <v>4803</v>
      </c>
    </row>
    <row r="43" spans="1:21">
      <c r="A43" s="176" t="s">
        <v>5874</v>
      </c>
      <c r="B43" s="176" t="s">
        <v>5875</v>
      </c>
      <c r="C43" s="176" t="s">
        <v>5876</v>
      </c>
      <c r="D43" s="176" t="s">
        <v>5876</v>
      </c>
      <c r="E43" s="176" t="s">
        <v>1732</v>
      </c>
      <c r="F43" s="176" t="s">
        <v>5877</v>
      </c>
      <c r="G43" s="774"/>
      <c r="H43" s="176" t="s">
        <v>5878</v>
      </c>
      <c r="I43" s="265" t="s">
        <v>1736</v>
      </c>
      <c r="J43" s="265" t="s">
        <v>1737</v>
      </c>
      <c r="K43" s="265" t="s">
        <v>1737</v>
      </c>
      <c r="L43" s="176"/>
      <c r="M43" s="270">
        <v>44834</v>
      </c>
      <c r="N43" s="176" t="s">
        <v>5879</v>
      </c>
      <c r="O43" s="176"/>
      <c r="P43" s="176"/>
      <c r="Q43" s="176"/>
      <c r="R43" s="176"/>
      <c r="S43" s="176"/>
      <c r="T43" s="270">
        <v>44834</v>
      </c>
      <c r="U43" s="176" t="s">
        <v>4803</v>
      </c>
    </row>
    <row r="44" spans="1:21">
      <c r="A44" s="176" t="s">
        <v>5880</v>
      </c>
      <c r="B44" s="176" t="s">
        <v>5881</v>
      </c>
      <c r="C44" s="176" t="s">
        <v>5882</v>
      </c>
      <c r="D44" s="176" t="s">
        <v>5882</v>
      </c>
      <c r="E44" s="176" t="s">
        <v>1732</v>
      </c>
      <c r="F44" s="176" t="s">
        <v>5883</v>
      </c>
      <c r="G44" s="774"/>
      <c r="H44" s="176" t="s">
        <v>5884</v>
      </c>
      <c r="I44" s="265" t="s">
        <v>1736</v>
      </c>
      <c r="J44" s="265" t="s">
        <v>1737</v>
      </c>
      <c r="K44" s="265" t="s">
        <v>1737</v>
      </c>
      <c r="L44" s="176"/>
      <c r="M44" s="270">
        <v>44834</v>
      </c>
      <c r="N44" s="176" t="s">
        <v>5885</v>
      </c>
      <c r="O44" s="176"/>
      <c r="P44" s="176"/>
      <c r="Q44" s="176"/>
      <c r="R44" s="176"/>
      <c r="S44" s="176"/>
      <c r="T44" s="270">
        <v>44834</v>
      </c>
      <c r="U44" s="176" t="s">
        <v>4803</v>
      </c>
    </row>
    <row r="45" spans="1:21">
      <c r="A45" s="176" t="s">
        <v>5886</v>
      </c>
      <c r="B45" s="176" t="s">
        <v>5887</v>
      </c>
      <c r="C45" s="176" t="s">
        <v>5888</v>
      </c>
      <c r="D45" s="176" t="s">
        <v>5888</v>
      </c>
      <c r="E45" s="176" t="s">
        <v>1732</v>
      </c>
      <c r="F45" s="176" t="s">
        <v>5889</v>
      </c>
      <c r="G45" s="774"/>
      <c r="H45" s="176" t="s">
        <v>5890</v>
      </c>
      <c r="I45" s="265" t="s">
        <v>1736</v>
      </c>
      <c r="J45" s="265" t="s">
        <v>1737</v>
      </c>
      <c r="K45" s="265" t="s">
        <v>1737</v>
      </c>
      <c r="L45" s="176"/>
      <c r="M45" s="270">
        <v>44834</v>
      </c>
      <c r="N45" s="176" t="s">
        <v>5891</v>
      </c>
      <c r="O45" s="176"/>
      <c r="P45" s="176"/>
      <c r="Q45" s="176"/>
      <c r="R45" s="176"/>
      <c r="S45" s="176"/>
      <c r="T45" s="270">
        <v>44834</v>
      </c>
      <c r="U45" s="176" t="s">
        <v>4803</v>
      </c>
    </row>
    <row r="46" spans="1:21">
      <c r="A46" s="176" t="s">
        <v>5892</v>
      </c>
      <c r="B46" s="176" t="s">
        <v>5893</v>
      </c>
      <c r="C46" s="176" t="s">
        <v>5894</v>
      </c>
      <c r="D46" s="176" t="s">
        <v>5894</v>
      </c>
      <c r="E46" s="176" t="s">
        <v>1732</v>
      </c>
      <c r="F46" s="176" t="s">
        <v>5895</v>
      </c>
      <c r="G46" s="774"/>
      <c r="H46" s="176" t="s">
        <v>5896</v>
      </c>
      <c r="I46" s="265" t="s">
        <v>1736</v>
      </c>
      <c r="J46" s="265" t="s">
        <v>1737</v>
      </c>
      <c r="K46" s="265" t="s">
        <v>1737</v>
      </c>
      <c r="L46" s="176"/>
      <c r="M46" s="270">
        <v>44837</v>
      </c>
      <c r="N46" s="176" t="s">
        <v>5897</v>
      </c>
      <c r="O46" s="176"/>
      <c r="P46" s="176"/>
      <c r="Q46" s="176"/>
      <c r="R46" s="176"/>
      <c r="S46" s="176"/>
      <c r="T46" s="270">
        <v>44837</v>
      </c>
      <c r="U46" s="176" t="s">
        <v>4803</v>
      </c>
    </row>
    <row r="47" spans="1:21">
      <c r="A47" s="176" t="s">
        <v>5898</v>
      </c>
      <c r="B47" s="176" t="s">
        <v>5899</v>
      </c>
      <c r="C47" s="176" t="s">
        <v>5900</v>
      </c>
      <c r="D47" s="176" t="s">
        <v>5900</v>
      </c>
      <c r="E47" s="176" t="s">
        <v>1732</v>
      </c>
      <c r="F47" s="176" t="s">
        <v>5901</v>
      </c>
      <c r="G47" s="774"/>
      <c r="H47" s="176" t="s">
        <v>5902</v>
      </c>
      <c r="I47" s="265" t="s">
        <v>1736</v>
      </c>
      <c r="J47" s="265" t="s">
        <v>1737</v>
      </c>
      <c r="K47" s="265" t="s">
        <v>1737</v>
      </c>
      <c r="L47" s="176"/>
      <c r="M47" s="270">
        <v>44837</v>
      </c>
      <c r="N47" s="176" t="s">
        <v>5903</v>
      </c>
      <c r="O47" s="176"/>
      <c r="P47" s="176"/>
      <c r="Q47" s="176"/>
      <c r="R47" s="176"/>
      <c r="S47" s="176"/>
      <c r="T47" s="270">
        <v>44837</v>
      </c>
      <c r="U47" s="176" t="s">
        <v>4803</v>
      </c>
    </row>
    <row r="48" spans="1:21">
      <c r="A48" s="176" t="s">
        <v>5904</v>
      </c>
      <c r="B48" s="176" t="s">
        <v>5905</v>
      </c>
      <c r="C48" s="176" t="s">
        <v>5906</v>
      </c>
      <c r="D48" s="176" t="s">
        <v>5906</v>
      </c>
      <c r="E48" s="176" t="s">
        <v>1732</v>
      </c>
      <c r="F48" s="176" t="s">
        <v>5907</v>
      </c>
      <c r="G48" s="774"/>
      <c r="H48" s="176" t="s">
        <v>5908</v>
      </c>
      <c r="I48" s="265" t="s">
        <v>1736</v>
      </c>
      <c r="J48" s="265" t="s">
        <v>1737</v>
      </c>
      <c r="K48" s="265" t="s">
        <v>1737</v>
      </c>
      <c r="L48" s="176"/>
      <c r="M48" s="270">
        <v>44837</v>
      </c>
      <c r="N48" s="176" t="s">
        <v>5909</v>
      </c>
      <c r="O48" s="176"/>
      <c r="P48" s="176"/>
      <c r="Q48" s="176"/>
      <c r="R48" s="176"/>
      <c r="S48" s="176"/>
      <c r="T48" s="270">
        <v>44837</v>
      </c>
      <c r="U48" s="176" t="s">
        <v>4803</v>
      </c>
    </row>
    <row r="49" spans="1:21">
      <c r="A49" s="176" t="s">
        <v>5910</v>
      </c>
      <c r="B49" s="176" t="s">
        <v>5911</v>
      </c>
      <c r="C49" s="176" t="s">
        <v>5912</v>
      </c>
      <c r="D49" s="176" t="s">
        <v>5912</v>
      </c>
      <c r="E49" s="176" t="s">
        <v>1732</v>
      </c>
      <c r="F49" s="176" t="s">
        <v>5913</v>
      </c>
      <c r="G49" s="774"/>
      <c r="H49" s="176" t="s">
        <v>5914</v>
      </c>
      <c r="I49" s="265" t="s">
        <v>1736</v>
      </c>
      <c r="J49" s="265" t="s">
        <v>1737</v>
      </c>
      <c r="K49" s="265" t="s">
        <v>1737</v>
      </c>
      <c r="L49" s="176"/>
      <c r="M49" s="270">
        <v>44838</v>
      </c>
      <c r="N49" s="176" t="s">
        <v>5915</v>
      </c>
      <c r="O49" s="176"/>
      <c r="P49" s="176"/>
      <c r="Q49" s="176"/>
      <c r="R49" s="176"/>
      <c r="S49" s="176"/>
      <c r="T49" s="270">
        <v>44838</v>
      </c>
      <c r="U49" s="176" t="s">
        <v>4803</v>
      </c>
    </row>
    <row r="50" spans="1:21">
      <c r="A50" s="176" t="s">
        <v>5916</v>
      </c>
      <c r="B50" s="176" t="s">
        <v>5917</v>
      </c>
      <c r="C50" s="176" t="s">
        <v>5918</v>
      </c>
      <c r="D50" s="176" t="s">
        <v>5918</v>
      </c>
      <c r="E50" s="176" t="s">
        <v>1732</v>
      </c>
      <c r="F50" s="176" t="s">
        <v>5919</v>
      </c>
      <c r="G50" s="774"/>
      <c r="H50" s="176" t="s">
        <v>5920</v>
      </c>
      <c r="I50" s="265" t="s">
        <v>1736</v>
      </c>
      <c r="J50" s="265" t="s">
        <v>1737</v>
      </c>
      <c r="K50" s="265" t="s">
        <v>1737</v>
      </c>
      <c r="L50" s="176"/>
      <c r="M50" s="270">
        <v>44827</v>
      </c>
      <c r="N50" s="176" t="s">
        <v>5921</v>
      </c>
      <c r="O50" s="176"/>
      <c r="P50" s="176"/>
      <c r="Q50" s="176"/>
      <c r="R50" s="176"/>
      <c r="S50" s="176"/>
      <c r="T50" s="270">
        <v>44827</v>
      </c>
      <c r="U50" s="176" t="s">
        <v>4803</v>
      </c>
    </row>
    <row r="51" spans="1:21">
      <c r="A51" s="176" t="s">
        <v>5922</v>
      </c>
      <c r="B51" s="176" t="s">
        <v>5923</v>
      </c>
      <c r="C51" s="176" t="s">
        <v>5924</v>
      </c>
      <c r="D51" s="176" t="s">
        <v>5924</v>
      </c>
      <c r="E51" s="176" t="s">
        <v>1732</v>
      </c>
      <c r="F51" s="176" t="s">
        <v>5925</v>
      </c>
      <c r="G51" s="773"/>
      <c r="H51" s="176" t="s">
        <v>5926</v>
      </c>
      <c r="I51" s="265" t="s">
        <v>1736</v>
      </c>
      <c r="J51" s="265" t="s">
        <v>1737</v>
      </c>
      <c r="K51" s="265" t="s">
        <v>1737</v>
      </c>
      <c r="L51" s="176"/>
      <c r="M51" s="270">
        <v>44838</v>
      </c>
      <c r="N51" s="176" t="s">
        <v>5927</v>
      </c>
      <c r="O51" s="176"/>
      <c r="P51" s="176"/>
      <c r="Q51" s="176"/>
      <c r="R51" s="176"/>
      <c r="S51" s="176"/>
      <c r="T51" s="270">
        <v>44838</v>
      </c>
      <c r="U51" s="176" t="s">
        <v>4803</v>
      </c>
    </row>
    <row r="52" spans="1:21">
      <c r="A52" s="176" t="s">
        <v>5928</v>
      </c>
      <c r="B52" s="176" t="s">
        <v>5929</v>
      </c>
      <c r="C52" s="176" t="s">
        <v>5930</v>
      </c>
      <c r="D52" s="176" t="s">
        <v>5931</v>
      </c>
      <c r="E52" s="176" t="s">
        <v>1732</v>
      </c>
      <c r="F52" s="176" t="s">
        <v>5932</v>
      </c>
      <c r="G52" s="713" t="s">
        <v>5933</v>
      </c>
      <c r="H52" s="176" t="s">
        <v>5934</v>
      </c>
      <c r="I52" s="265" t="s">
        <v>1736</v>
      </c>
      <c r="J52" s="265" t="s">
        <v>1737</v>
      </c>
      <c r="K52" s="265" t="s">
        <v>1737</v>
      </c>
      <c r="L52" s="176"/>
      <c r="M52" s="270">
        <v>44839</v>
      </c>
      <c r="N52" s="176" t="s">
        <v>5935</v>
      </c>
      <c r="O52" s="270">
        <v>44914</v>
      </c>
      <c r="P52" s="176" t="s">
        <v>5936</v>
      </c>
      <c r="Q52" s="176"/>
      <c r="R52" s="176"/>
      <c r="S52" s="176"/>
      <c r="T52" s="270">
        <v>44839</v>
      </c>
      <c r="U52" s="176" t="s">
        <v>4803</v>
      </c>
    </row>
    <row r="53" spans="1:21">
      <c r="A53" s="176" t="s">
        <v>5937</v>
      </c>
      <c r="B53" s="176" t="s">
        <v>5938</v>
      </c>
      <c r="C53" s="176" t="s">
        <v>5939</v>
      </c>
      <c r="D53" s="176" t="s">
        <v>5940</v>
      </c>
      <c r="E53" s="176" t="s">
        <v>1732</v>
      </c>
      <c r="F53" s="176" t="s">
        <v>5941</v>
      </c>
      <c r="G53" s="774"/>
      <c r="H53" s="176" t="s">
        <v>5942</v>
      </c>
      <c r="I53" s="265" t="s">
        <v>1736</v>
      </c>
      <c r="J53" s="265" t="s">
        <v>1737</v>
      </c>
      <c r="K53" s="265" t="s">
        <v>1737</v>
      </c>
      <c r="L53" s="176"/>
      <c r="M53" s="270">
        <v>44839</v>
      </c>
      <c r="N53" s="176" t="s">
        <v>5943</v>
      </c>
      <c r="O53" s="270">
        <v>44914</v>
      </c>
      <c r="P53" s="176" t="s">
        <v>5944</v>
      </c>
      <c r="Q53" s="176"/>
      <c r="R53" s="176"/>
      <c r="S53" s="176"/>
      <c r="T53" s="270">
        <v>44839</v>
      </c>
      <c r="U53" s="176" t="s">
        <v>4803</v>
      </c>
    </row>
    <row r="54" spans="1:21">
      <c r="A54" s="176" t="s">
        <v>5945</v>
      </c>
      <c r="B54" s="176" t="s">
        <v>5946</v>
      </c>
      <c r="C54" s="176" t="s">
        <v>5947</v>
      </c>
      <c r="D54" s="176" t="s">
        <v>5948</v>
      </c>
      <c r="E54" s="176" t="s">
        <v>1732</v>
      </c>
      <c r="F54" s="176" t="s">
        <v>5949</v>
      </c>
      <c r="G54" s="774"/>
      <c r="H54" s="176" t="s">
        <v>5950</v>
      </c>
      <c r="I54" s="265" t="s">
        <v>1736</v>
      </c>
      <c r="J54" s="265" t="s">
        <v>1737</v>
      </c>
      <c r="K54" s="265" t="s">
        <v>1737</v>
      </c>
      <c r="L54" s="176"/>
      <c r="M54" s="270">
        <v>44840</v>
      </c>
      <c r="N54" s="176" t="s">
        <v>5951</v>
      </c>
      <c r="O54" s="270">
        <v>44914</v>
      </c>
      <c r="P54" s="176" t="s">
        <v>5952</v>
      </c>
      <c r="Q54" s="176"/>
      <c r="R54" s="176"/>
      <c r="S54" s="176"/>
      <c r="T54" s="270">
        <v>44840</v>
      </c>
      <c r="U54" s="176" t="s">
        <v>4803</v>
      </c>
    </row>
    <row r="55" spans="1:21">
      <c r="A55" s="176" t="s">
        <v>5953</v>
      </c>
      <c r="B55" s="176" t="s">
        <v>5954</v>
      </c>
      <c r="C55" s="176" t="s">
        <v>5955</v>
      </c>
      <c r="D55" s="176" t="s">
        <v>5956</v>
      </c>
      <c r="E55" s="176" t="s">
        <v>1732</v>
      </c>
      <c r="F55" s="176" t="s">
        <v>5957</v>
      </c>
      <c r="G55" s="774"/>
      <c r="H55" s="176" t="s">
        <v>5958</v>
      </c>
      <c r="I55" s="265" t="s">
        <v>1736</v>
      </c>
      <c r="J55" s="265" t="s">
        <v>1737</v>
      </c>
      <c r="K55" s="265" t="s">
        <v>1737</v>
      </c>
      <c r="L55" s="176"/>
      <c r="M55" s="270">
        <v>44840</v>
      </c>
      <c r="N55" s="176" t="s">
        <v>5959</v>
      </c>
      <c r="O55" s="270">
        <v>44914</v>
      </c>
      <c r="P55" s="176" t="s">
        <v>5960</v>
      </c>
      <c r="Q55" s="176"/>
      <c r="R55" s="176"/>
      <c r="S55" s="176"/>
      <c r="T55" s="270">
        <v>44840</v>
      </c>
      <c r="U55" s="176" t="s">
        <v>4803</v>
      </c>
    </row>
    <row r="56" spans="1:21">
      <c r="A56" s="176" t="s">
        <v>5961</v>
      </c>
      <c r="B56" s="176" t="s">
        <v>5962</v>
      </c>
      <c r="C56" s="176" t="s">
        <v>5963</v>
      </c>
      <c r="D56" s="176" t="s">
        <v>5964</v>
      </c>
      <c r="E56" s="176" t="s">
        <v>1732</v>
      </c>
      <c r="F56" s="176" t="s">
        <v>5965</v>
      </c>
      <c r="G56" s="774"/>
      <c r="H56" s="176" t="s">
        <v>5966</v>
      </c>
      <c r="I56" s="265" t="s">
        <v>1736</v>
      </c>
      <c r="J56" s="265" t="s">
        <v>1737</v>
      </c>
      <c r="K56" s="265" t="s">
        <v>1737</v>
      </c>
      <c r="L56" s="176"/>
      <c r="M56" s="270">
        <v>44841</v>
      </c>
      <c r="N56" s="176" t="s">
        <v>5967</v>
      </c>
      <c r="O56" s="270">
        <v>44914</v>
      </c>
      <c r="P56" s="176" t="s">
        <v>5968</v>
      </c>
      <c r="Q56" s="176"/>
      <c r="R56" s="176"/>
      <c r="S56" s="176"/>
      <c r="T56" s="270">
        <v>44841</v>
      </c>
      <c r="U56" s="176" t="s">
        <v>4803</v>
      </c>
    </row>
    <row r="57" spans="1:21">
      <c r="A57" s="176" t="s">
        <v>5969</v>
      </c>
      <c r="B57" s="176" t="s">
        <v>5970</v>
      </c>
      <c r="C57" s="176" t="s">
        <v>5971</v>
      </c>
      <c r="D57" s="176" t="s">
        <v>5972</v>
      </c>
      <c r="E57" s="176" t="s">
        <v>1732</v>
      </c>
      <c r="F57" s="176" t="s">
        <v>5973</v>
      </c>
      <c r="G57" s="774"/>
      <c r="H57" s="176" t="s">
        <v>5974</v>
      </c>
      <c r="I57" s="265" t="s">
        <v>1736</v>
      </c>
      <c r="J57" s="265" t="s">
        <v>1737</v>
      </c>
      <c r="K57" s="265" t="s">
        <v>1737</v>
      </c>
      <c r="L57" s="176"/>
      <c r="M57" s="270">
        <v>44840</v>
      </c>
      <c r="N57" s="176" t="s">
        <v>5975</v>
      </c>
      <c r="O57" s="270">
        <v>44914</v>
      </c>
      <c r="P57" s="176" t="s">
        <v>5976</v>
      </c>
      <c r="Q57" s="176"/>
      <c r="R57" s="176"/>
      <c r="S57" s="176"/>
      <c r="T57" s="270">
        <v>44840</v>
      </c>
      <c r="U57" s="176" t="s">
        <v>4803</v>
      </c>
    </row>
    <row r="58" spans="1:21">
      <c r="A58" s="176" t="s">
        <v>5977</v>
      </c>
      <c r="B58" s="176" t="s">
        <v>5978</v>
      </c>
      <c r="C58" s="176" t="s">
        <v>5979</v>
      </c>
      <c r="D58" s="176" t="s">
        <v>5980</v>
      </c>
      <c r="E58" s="176" t="s">
        <v>1732</v>
      </c>
      <c r="F58" s="176" t="s">
        <v>5981</v>
      </c>
      <c r="G58" s="774"/>
      <c r="H58" s="176" t="s">
        <v>5982</v>
      </c>
      <c r="I58" s="265" t="s">
        <v>1736</v>
      </c>
      <c r="J58" s="265" t="s">
        <v>1737</v>
      </c>
      <c r="K58" s="265" t="s">
        <v>1737</v>
      </c>
      <c r="L58" s="176"/>
      <c r="M58" s="270">
        <v>44841</v>
      </c>
      <c r="N58" s="176" t="s">
        <v>5983</v>
      </c>
      <c r="O58" s="270">
        <v>44914</v>
      </c>
      <c r="P58" s="176" t="s">
        <v>5984</v>
      </c>
      <c r="Q58" s="176"/>
      <c r="R58" s="176"/>
      <c r="S58" s="176"/>
      <c r="T58" s="270">
        <v>44841</v>
      </c>
      <c r="U58" s="176" t="s">
        <v>4803</v>
      </c>
    </row>
    <row r="59" spans="1:21">
      <c r="A59" s="176" t="s">
        <v>5985</v>
      </c>
      <c r="B59" s="176" t="s">
        <v>5986</v>
      </c>
      <c r="C59" s="176" t="s">
        <v>5987</v>
      </c>
      <c r="D59" s="176" t="s">
        <v>5988</v>
      </c>
      <c r="E59" s="176" t="s">
        <v>1732</v>
      </c>
      <c r="F59" s="176" t="s">
        <v>5989</v>
      </c>
      <c r="G59" s="774"/>
      <c r="H59" s="176" t="s">
        <v>5990</v>
      </c>
      <c r="I59" s="265" t="s">
        <v>1736</v>
      </c>
      <c r="J59" s="265" t="s">
        <v>1737</v>
      </c>
      <c r="K59" s="265" t="s">
        <v>1737</v>
      </c>
      <c r="L59" s="176"/>
      <c r="M59" s="270">
        <v>44841</v>
      </c>
      <c r="N59" s="176" t="s">
        <v>5991</v>
      </c>
      <c r="O59" s="270">
        <v>44914</v>
      </c>
      <c r="P59" s="176" t="s">
        <v>5992</v>
      </c>
      <c r="Q59" s="176"/>
      <c r="R59" s="176"/>
      <c r="S59" s="176"/>
      <c r="T59" s="270">
        <v>44841</v>
      </c>
      <c r="U59" s="176" t="s">
        <v>4803</v>
      </c>
    </row>
    <row r="60" spans="1:21">
      <c r="A60" s="176" t="s">
        <v>5993</v>
      </c>
      <c r="B60" s="176" t="s">
        <v>5994</v>
      </c>
      <c r="C60" s="176" t="s">
        <v>5995</v>
      </c>
      <c r="D60" s="176" t="s">
        <v>5996</v>
      </c>
      <c r="E60" s="176" t="s">
        <v>1732</v>
      </c>
      <c r="F60" s="176" t="s">
        <v>5997</v>
      </c>
      <c r="G60" s="774"/>
      <c r="H60" s="176" t="s">
        <v>5998</v>
      </c>
      <c r="I60" s="265" t="s">
        <v>1736</v>
      </c>
      <c r="J60" s="265" t="s">
        <v>1737</v>
      </c>
      <c r="K60" s="265" t="s">
        <v>1737</v>
      </c>
      <c r="L60" s="176"/>
      <c r="M60" s="270">
        <v>44841</v>
      </c>
      <c r="N60" s="176" t="s">
        <v>5999</v>
      </c>
      <c r="O60" s="270">
        <v>44914</v>
      </c>
      <c r="P60" s="176" t="s">
        <v>6000</v>
      </c>
      <c r="Q60" s="176"/>
      <c r="R60" s="176"/>
      <c r="S60" s="176"/>
      <c r="T60" s="270">
        <v>44841</v>
      </c>
      <c r="U60" s="176" t="s">
        <v>4803</v>
      </c>
    </row>
    <row r="61" spans="1:21">
      <c r="A61" s="267" t="s">
        <v>6001</v>
      </c>
      <c r="B61" s="267" t="s">
        <v>6002</v>
      </c>
      <c r="C61" s="267" t="s">
        <v>6003</v>
      </c>
      <c r="D61" s="267" t="s">
        <v>6004</v>
      </c>
      <c r="E61" s="267" t="s">
        <v>1732</v>
      </c>
      <c r="F61" s="267" t="s">
        <v>6005</v>
      </c>
      <c r="G61" s="774"/>
      <c r="H61" s="267" t="s">
        <v>6006</v>
      </c>
      <c r="I61" s="268" t="s">
        <v>1736</v>
      </c>
      <c r="J61" s="268" t="s">
        <v>5692</v>
      </c>
      <c r="K61" s="268" t="s">
        <v>5692</v>
      </c>
      <c r="L61" s="176" t="s">
        <v>6007</v>
      </c>
      <c r="M61" s="172"/>
      <c r="N61" s="176"/>
      <c r="O61" s="176"/>
      <c r="P61" s="176"/>
      <c r="Q61" s="176"/>
      <c r="R61" s="176"/>
      <c r="S61" s="176"/>
      <c r="T61" s="176"/>
      <c r="U61" s="176"/>
    </row>
    <row r="62" spans="1:21">
      <c r="A62" s="267" t="s">
        <v>6008</v>
      </c>
      <c r="B62" s="267" t="s">
        <v>6009</v>
      </c>
      <c r="C62" s="267" t="s">
        <v>6010</v>
      </c>
      <c r="D62" s="267" t="s">
        <v>6011</v>
      </c>
      <c r="E62" s="267" t="s">
        <v>1732</v>
      </c>
      <c r="F62" s="267" t="s">
        <v>6012</v>
      </c>
      <c r="G62" s="774"/>
      <c r="H62" s="267" t="s">
        <v>6013</v>
      </c>
      <c r="I62" s="268" t="s">
        <v>1736</v>
      </c>
      <c r="J62" s="268" t="s">
        <v>5692</v>
      </c>
      <c r="K62" s="268" t="s">
        <v>5692</v>
      </c>
      <c r="L62" s="176" t="s">
        <v>6007</v>
      </c>
      <c r="M62" s="172"/>
      <c r="N62" s="176"/>
      <c r="O62" s="176"/>
      <c r="P62" s="176"/>
      <c r="Q62" s="176"/>
      <c r="R62" s="176"/>
      <c r="S62" s="176"/>
      <c r="T62" s="176"/>
      <c r="U62" s="176"/>
    </row>
    <row r="63" spans="1:21">
      <c r="A63" s="267" t="s">
        <v>6014</v>
      </c>
      <c r="B63" s="267" t="s">
        <v>6015</v>
      </c>
      <c r="C63" s="267" t="s">
        <v>6016</v>
      </c>
      <c r="D63" s="267" t="s">
        <v>6017</v>
      </c>
      <c r="E63" s="267" t="s">
        <v>1732</v>
      </c>
      <c r="F63" s="267" t="s">
        <v>6018</v>
      </c>
      <c r="G63" s="774"/>
      <c r="H63" s="267" t="s">
        <v>6019</v>
      </c>
      <c r="I63" s="268" t="s">
        <v>1736</v>
      </c>
      <c r="J63" s="268" t="s">
        <v>5692</v>
      </c>
      <c r="K63" s="268" t="s">
        <v>5692</v>
      </c>
      <c r="L63" s="176" t="s">
        <v>6007</v>
      </c>
      <c r="M63" s="172"/>
      <c r="N63" s="176"/>
      <c r="O63" s="176"/>
      <c r="P63" s="176"/>
      <c r="Q63" s="176"/>
      <c r="R63" s="176"/>
      <c r="S63" s="176"/>
      <c r="T63" s="176"/>
      <c r="U63" s="176"/>
    </row>
    <row r="64" spans="1:21">
      <c r="A64" s="176" t="s">
        <v>6020</v>
      </c>
      <c r="B64" s="176" t="s">
        <v>6021</v>
      </c>
      <c r="C64" s="176" t="s">
        <v>6022</v>
      </c>
      <c r="D64" s="176" t="s">
        <v>6023</v>
      </c>
      <c r="E64" s="176" t="s">
        <v>1732</v>
      </c>
      <c r="F64" s="176" t="s">
        <v>6024</v>
      </c>
      <c r="G64" s="774"/>
      <c r="H64" s="176" t="s">
        <v>6025</v>
      </c>
      <c r="I64" s="265" t="s">
        <v>1736</v>
      </c>
      <c r="J64" s="265" t="s">
        <v>1737</v>
      </c>
      <c r="K64" s="265" t="s">
        <v>1737</v>
      </c>
      <c r="L64" s="176"/>
      <c r="M64" s="270">
        <v>44844</v>
      </c>
      <c r="N64" s="176" t="s">
        <v>6026</v>
      </c>
      <c r="O64" s="270">
        <v>44914</v>
      </c>
      <c r="P64" s="176" t="s">
        <v>6027</v>
      </c>
      <c r="Q64" s="176"/>
      <c r="R64" s="176"/>
      <c r="S64" s="176"/>
      <c r="T64" s="270">
        <v>44844</v>
      </c>
      <c r="U64" s="176" t="s">
        <v>4803</v>
      </c>
    </row>
    <row r="65" spans="1:21">
      <c r="A65" s="267" t="s">
        <v>6028</v>
      </c>
      <c r="B65" s="267" t="s">
        <v>6029</v>
      </c>
      <c r="C65" s="267" t="s">
        <v>6030</v>
      </c>
      <c r="D65" s="267" t="s">
        <v>6031</v>
      </c>
      <c r="E65" s="267" t="s">
        <v>1732</v>
      </c>
      <c r="F65" s="267" t="s">
        <v>6032</v>
      </c>
      <c r="G65" s="774"/>
      <c r="H65" s="267" t="s">
        <v>6025</v>
      </c>
      <c r="I65" s="268" t="s">
        <v>1736</v>
      </c>
      <c r="J65" s="268" t="s">
        <v>5692</v>
      </c>
      <c r="K65" s="268" t="s">
        <v>5692</v>
      </c>
      <c r="L65" s="176" t="s">
        <v>6007</v>
      </c>
      <c r="M65" s="172"/>
      <c r="N65" s="176"/>
      <c r="O65" s="176"/>
      <c r="P65" s="176"/>
      <c r="Q65" s="176"/>
      <c r="R65" s="176"/>
      <c r="S65" s="176"/>
      <c r="T65" s="176"/>
      <c r="U65" s="176"/>
    </row>
    <row r="66" spans="1:21">
      <c r="A66" s="176" t="s">
        <v>6033</v>
      </c>
      <c r="B66" s="176" t="s">
        <v>6034</v>
      </c>
      <c r="C66" s="176" t="s">
        <v>6035</v>
      </c>
      <c r="D66" s="176" t="s">
        <v>6036</v>
      </c>
      <c r="E66" s="176" t="s">
        <v>1732</v>
      </c>
      <c r="F66" s="176" t="s">
        <v>6037</v>
      </c>
      <c r="G66" s="774"/>
      <c r="H66" s="176" t="s">
        <v>6038</v>
      </c>
      <c r="I66" s="265" t="s">
        <v>1736</v>
      </c>
      <c r="J66" s="265" t="s">
        <v>1737</v>
      </c>
      <c r="K66" s="265" t="s">
        <v>1737</v>
      </c>
      <c r="L66" s="176"/>
      <c r="M66" s="270">
        <v>44844</v>
      </c>
      <c r="N66" s="176" t="s">
        <v>6039</v>
      </c>
      <c r="O66" s="176" t="s">
        <v>6040</v>
      </c>
      <c r="P66" s="176" t="s">
        <v>6041</v>
      </c>
      <c r="Q66" s="176"/>
      <c r="R66" s="176"/>
      <c r="S66" s="176"/>
      <c r="T66" s="270">
        <v>44844</v>
      </c>
      <c r="U66" s="176" t="s">
        <v>4803</v>
      </c>
    </row>
    <row r="67" spans="1:21">
      <c r="A67" s="176" t="s">
        <v>6042</v>
      </c>
      <c r="B67" s="176" t="s">
        <v>6043</v>
      </c>
      <c r="C67" s="176" t="s">
        <v>6044</v>
      </c>
      <c r="D67" s="176" t="s">
        <v>6045</v>
      </c>
      <c r="E67" s="176" t="s">
        <v>1732</v>
      </c>
      <c r="F67" s="176" t="s">
        <v>6046</v>
      </c>
      <c r="G67" s="774"/>
      <c r="H67" s="176" t="s">
        <v>6047</v>
      </c>
      <c r="I67" s="265" t="s">
        <v>1736</v>
      </c>
      <c r="J67" s="265" t="s">
        <v>1737</v>
      </c>
      <c r="K67" s="265" t="s">
        <v>1737</v>
      </c>
      <c r="L67" s="176"/>
      <c r="M67" s="271">
        <v>44845</v>
      </c>
      <c r="N67" s="176" t="s">
        <v>6048</v>
      </c>
      <c r="O67" s="176" t="s">
        <v>6040</v>
      </c>
      <c r="P67" s="176" t="s">
        <v>6049</v>
      </c>
      <c r="Q67" s="176"/>
      <c r="R67" s="176"/>
      <c r="S67" s="176"/>
      <c r="T67" s="270">
        <v>44845</v>
      </c>
      <c r="U67" s="176" t="s">
        <v>4803</v>
      </c>
    </row>
    <row r="68" spans="1:21">
      <c r="A68" s="176" t="s">
        <v>6050</v>
      </c>
      <c r="B68" s="176" t="s">
        <v>6051</v>
      </c>
      <c r="C68" s="176" t="s">
        <v>6052</v>
      </c>
      <c r="D68" s="176" t="s">
        <v>6053</v>
      </c>
      <c r="E68" s="176" t="s">
        <v>1732</v>
      </c>
      <c r="F68" s="176" t="s">
        <v>6054</v>
      </c>
      <c r="G68" s="774"/>
      <c r="H68" s="176" t="s">
        <v>6055</v>
      </c>
      <c r="I68" s="265" t="s">
        <v>1736</v>
      </c>
      <c r="J68" s="265" t="s">
        <v>1737</v>
      </c>
      <c r="K68" s="265" t="s">
        <v>1737</v>
      </c>
      <c r="L68" s="176"/>
      <c r="M68" s="270">
        <v>44860</v>
      </c>
      <c r="N68" s="176" t="s">
        <v>6056</v>
      </c>
      <c r="O68" s="176"/>
      <c r="P68" s="176"/>
      <c r="Q68" s="176"/>
      <c r="R68" s="176"/>
      <c r="S68" s="176"/>
      <c r="T68" s="270">
        <v>44860</v>
      </c>
      <c r="U68" s="176" t="s">
        <v>4803</v>
      </c>
    </row>
    <row r="69" spans="1:21">
      <c r="A69" s="267" t="s">
        <v>6057</v>
      </c>
      <c r="B69" s="267" t="s">
        <v>6058</v>
      </c>
      <c r="C69" s="267" t="s">
        <v>6059</v>
      </c>
      <c r="D69" s="267" t="s">
        <v>6060</v>
      </c>
      <c r="E69" s="267" t="s">
        <v>1732</v>
      </c>
      <c r="F69" s="267" t="s">
        <v>6061</v>
      </c>
      <c r="G69" s="774"/>
      <c r="H69" s="267" t="s">
        <v>6055</v>
      </c>
      <c r="I69" s="268" t="s">
        <v>1736</v>
      </c>
      <c r="J69" s="268" t="s">
        <v>5692</v>
      </c>
      <c r="K69" s="268" t="s">
        <v>5692</v>
      </c>
      <c r="L69" s="176" t="s">
        <v>6007</v>
      </c>
      <c r="M69" s="172"/>
      <c r="N69" s="176"/>
      <c r="O69" s="176"/>
      <c r="P69" s="176"/>
      <c r="Q69" s="176"/>
      <c r="R69" s="176"/>
      <c r="S69" s="176"/>
      <c r="T69" s="176"/>
      <c r="U69" s="176"/>
    </row>
    <row r="70" spans="1:21">
      <c r="A70" s="176" t="s">
        <v>6062</v>
      </c>
      <c r="B70" s="176" t="s">
        <v>6063</v>
      </c>
      <c r="C70" s="176" t="s">
        <v>6064</v>
      </c>
      <c r="D70" s="176" t="s">
        <v>6065</v>
      </c>
      <c r="E70" s="176" t="s">
        <v>1732</v>
      </c>
      <c r="F70" s="176" t="s">
        <v>6066</v>
      </c>
      <c r="G70" s="774"/>
      <c r="H70" s="176" t="s">
        <v>6067</v>
      </c>
      <c r="I70" s="265" t="s">
        <v>1736</v>
      </c>
      <c r="J70" s="265" t="s">
        <v>1737</v>
      </c>
      <c r="K70" s="265" t="s">
        <v>1737</v>
      </c>
      <c r="L70" s="176"/>
      <c r="M70" s="270">
        <v>44844</v>
      </c>
      <c r="N70" s="176" t="s">
        <v>6068</v>
      </c>
      <c r="O70" s="176" t="s">
        <v>6040</v>
      </c>
      <c r="P70" s="176" t="s">
        <v>6069</v>
      </c>
      <c r="Q70" s="176"/>
      <c r="R70" s="176"/>
      <c r="S70" s="176"/>
      <c r="T70" s="270">
        <v>44844</v>
      </c>
      <c r="U70" s="176" t="s">
        <v>4803</v>
      </c>
    </row>
    <row r="71" spans="1:21">
      <c r="A71" s="176" t="s">
        <v>6070</v>
      </c>
      <c r="B71" s="176" t="s">
        <v>6071</v>
      </c>
      <c r="C71" s="176" t="s">
        <v>6072</v>
      </c>
      <c r="D71" s="176" t="s">
        <v>6073</v>
      </c>
      <c r="E71" s="176" t="s">
        <v>1732</v>
      </c>
      <c r="F71" s="176" t="s">
        <v>6074</v>
      </c>
      <c r="G71" s="774"/>
      <c r="H71" s="176" t="s">
        <v>6075</v>
      </c>
      <c r="I71" s="265" t="s">
        <v>1736</v>
      </c>
      <c r="J71" s="265" t="s">
        <v>1737</v>
      </c>
      <c r="K71" s="265" t="s">
        <v>1737</v>
      </c>
      <c r="L71" s="176"/>
      <c r="M71" s="270">
        <v>44844</v>
      </c>
      <c r="N71" s="176" t="s">
        <v>6076</v>
      </c>
      <c r="O71" s="176" t="s">
        <v>6040</v>
      </c>
      <c r="P71" s="176" t="s">
        <v>6077</v>
      </c>
      <c r="Q71" s="176"/>
      <c r="R71" s="176"/>
      <c r="S71" s="176"/>
      <c r="T71" s="270">
        <v>44844</v>
      </c>
      <c r="U71" s="176" t="s">
        <v>4803</v>
      </c>
    </row>
    <row r="72" spans="1:21">
      <c r="A72" s="176" t="s">
        <v>6078</v>
      </c>
      <c r="B72" s="176" t="s">
        <v>6079</v>
      </c>
      <c r="C72" s="176" t="s">
        <v>6080</v>
      </c>
      <c r="D72" s="176" t="s">
        <v>6081</v>
      </c>
      <c r="E72" s="176" t="s">
        <v>1732</v>
      </c>
      <c r="F72" s="176" t="s">
        <v>6082</v>
      </c>
      <c r="G72" s="774"/>
      <c r="H72" s="176" t="s">
        <v>6083</v>
      </c>
      <c r="I72" s="265" t="s">
        <v>1736</v>
      </c>
      <c r="J72" s="265" t="s">
        <v>1737</v>
      </c>
      <c r="K72" s="265" t="s">
        <v>1737</v>
      </c>
      <c r="L72" s="176"/>
      <c r="M72" s="270">
        <v>44845</v>
      </c>
      <c r="N72" s="176" t="s">
        <v>6084</v>
      </c>
      <c r="O72" s="176" t="s">
        <v>6040</v>
      </c>
      <c r="P72" s="176" t="s">
        <v>6085</v>
      </c>
      <c r="Q72" s="176"/>
      <c r="R72" s="176"/>
      <c r="S72" s="176"/>
      <c r="T72" s="270">
        <v>44845</v>
      </c>
      <c r="U72" s="176" t="s">
        <v>4803</v>
      </c>
    </row>
    <row r="73" spans="1:21">
      <c r="A73" s="176" t="s">
        <v>6086</v>
      </c>
      <c r="B73" s="176" t="s">
        <v>6087</v>
      </c>
      <c r="C73" s="176" t="s">
        <v>6088</v>
      </c>
      <c r="D73" s="176" t="s">
        <v>6089</v>
      </c>
      <c r="E73" s="176" t="s">
        <v>1732</v>
      </c>
      <c r="F73" s="176" t="s">
        <v>6090</v>
      </c>
      <c r="G73" s="774"/>
      <c r="H73" s="176" t="s">
        <v>6091</v>
      </c>
      <c r="I73" s="265" t="s">
        <v>1736</v>
      </c>
      <c r="J73" s="265" t="s">
        <v>1737</v>
      </c>
      <c r="K73" s="265" t="s">
        <v>1737</v>
      </c>
      <c r="L73" s="176"/>
      <c r="M73" s="270">
        <v>44845</v>
      </c>
      <c r="N73" s="176" t="s">
        <v>6092</v>
      </c>
      <c r="O73" s="176" t="s">
        <v>6040</v>
      </c>
      <c r="P73" s="176" t="s">
        <v>6093</v>
      </c>
      <c r="Q73" s="176"/>
      <c r="R73" s="176"/>
      <c r="S73" s="176"/>
      <c r="T73" s="270">
        <v>44845</v>
      </c>
      <c r="U73" s="176" t="s">
        <v>4803</v>
      </c>
    </row>
    <row r="74" spans="1:21">
      <c r="A74" s="267" t="s">
        <v>6094</v>
      </c>
      <c r="B74" s="267" t="s">
        <v>6095</v>
      </c>
      <c r="C74" s="267" t="s">
        <v>6096</v>
      </c>
      <c r="D74" s="267" t="s">
        <v>6097</v>
      </c>
      <c r="E74" s="267" t="s">
        <v>1732</v>
      </c>
      <c r="F74" s="267" t="s">
        <v>6098</v>
      </c>
      <c r="G74" s="774"/>
      <c r="H74" s="267" t="s">
        <v>6099</v>
      </c>
      <c r="I74" s="268" t="s">
        <v>1736</v>
      </c>
      <c r="J74" s="268" t="s">
        <v>5692</v>
      </c>
      <c r="K74" s="268" t="s">
        <v>5692</v>
      </c>
      <c r="L74" s="176" t="s">
        <v>6007</v>
      </c>
      <c r="M74" s="172"/>
      <c r="N74" s="176"/>
      <c r="O74" s="176"/>
      <c r="P74" s="176"/>
      <c r="Q74" s="176"/>
      <c r="R74" s="176"/>
      <c r="S74" s="176"/>
      <c r="T74" s="176"/>
      <c r="U74" s="176"/>
    </row>
    <row r="75" spans="1:21">
      <c r="A75" s="176" t="s">
        <v>6100</v>
      </c>
      <c r="B75" s="176" t="s">
        <v>6101</v>
      </c>
      <c r="C75" s="176" t="s">
        <v>6102</v>
      </c>
      <c r="D75" s="176" t="s">
        <v>6103</v>
      </c>
      <c r="E75" s="176" t="s">
        <v>1732</v>
      </c>
      <c r="F75" s="176" t="s">
        <v>6104</v>
      </c>
      <c r="G75" s="774"/>
      <c r="H75" s="176" t="s">
        <v>6105</v>
      </c>
      <c r="I75" s="265" t="s">
        <v>1736</v>
      </c>
      <c r="J75" s="265" t="s">
        <v>1737</v>
      </c>
      <c r="K75" s="265" t="s">
        <v>1737</v>
      </c>
      <c r="L75" s="176"/>
      <c r="M75" s="270">
        <v>44846</v>
      </c>
      <c r="N75" s="176" t="s">
        <v>6106</v>
      </c>
      <c r="O75" s="176" t="s">
        <v>6040</v>
      </c>
      <c r="P75" s="176" t="s">
        <v>6107</v>
      </c>
      <c r="Q75" s="176"/>
      <c r="R75" s="176"/>
      <c r="S75" s="176"/>
      <c r="T75" s="270">
        <v>44846</v>
      </c>
      <c r="U75" s="176" t="s">
        <v>4803</v>
      </c>
    </row>
    <row r="76" spans="1:21">
      <c r="A76" s="176" t="s">
        <v>6108</v>
      </c>
      <c r="B76" s="176" t="s">
        <v>6109</v>
      </c>
      <c r="C76" s="176" t="s">
        <v>6110</v>
      </c>
      <c r="D76" s="176" t="s">
        <v>6111</v>
      </c>
      <c r="E76" s="176" t="s">
        <v>1732</v>
      </c>
      <c r="F76" s="176" t="s">
        <v>6112</v>
      </c>
      <c r="G76" s="774"/>
      <c r="H76" s="176" t="s">
        <v>6113</v>
      </c>
      <c r="I76" s="265" t="s">
        <v>1736</v>
      </c>
      <c r="J76" s="265" t="s">
        <v>1737</v>
      </c>
      <c r="K76" s="265" t="s">
        <v>1737</v>
      </c>
      <c r="L76" s="176"/>
      <c r="M76" s="270">
        <v>44846</v>
      </c>
      <c r="N76" s="176" t="s">
        <v>6114</v>
      </c>
      <c r="O76" s="176" t="s">
        <v>6040</v>
      </c>
      <c r="P76" s="176" t="s">
        <v>6115</v>
      </c>
      <c r="Q76" s="176"/>
      <c r="R76" s="176"/>
      <c r="S76" s="176"/>
      <c r="T76" s="270">
        <v>44846</v>
      </c>
      <c r="U76" s="176" t="s">
        <v>4803</v>
      </c>
    </row>
    <row r="77" spans="1:21">
      <c r="A77" s="176" t="s">
        <v>6116</v>
      </c>
      <c r="B77" s="176" t="s">
        <v>6117</v>
      </c>
      <c r="C77" s="176" t="s">
        <v>6118</v>
      </c>
      <c r="D77" s="176" t="s">
        <v>6119</v>
      </c>
      <c r="E77" s="176" t="s">
        <v>1732</v>
      </c>
      <c r="F77" s="176" t="s">
        <v>6120</v>
      </c>
      <c r="G77" s="774"/>
      <c r="H77" s="176" t="s">
        <v>6121</v>
      </c>
      <c r="I77" s="265" t="s">
        <v>1736</v>
      </c>
      <c r="J77" s="265" t="s">
        <v>1737</v>
      </c>
      <c r="K77" s="265" t="s">
        <v>1737</v>
      </c>
      <c r="L77" s="176"/>
      <c r="M77" s="270">
        <v>44847</v>
      </c>
      <c r="N77" s="176" t="s">
        <v>6122</v>
      </c>
      <c r="O77" s="176" t="s">
        <v>6040</v>
      </c>
      <c r="P77" s="176" t="s">
        <v>6123</v>
      </c>
      <c r="Q77" s="176"/>
      <c r="R77" s="176"/>
      <c r="S77" s="176"/>
      <c r="T77" s="270">
        <v>44847</v>
      </c>
      <c r="U77" s="176" t="s">
        <v>4803</v>
      </c>
    </row>
    <row r="78" spans="1:21">
      <c r="A78" s="176" t="s">
        <v>6124</v>
      </c>
      <c r="B78" s="176" t="s">
        <v>6125</v>
      </c>
      <c r="C78" s="176" t="s">
        <v>6126</v>
      </c>
      <c r="D78" s="176" t="s">
        <v>6127</v>
      </c>
      <c r="E78" s="176" t="s">
        <v>1732</v>
      </c>
      <c r="F78" s="176" t="s">
        <v>6128</v>
      </c>
      <c r="G78" s="774"/>
      <c r="H78" s="176" t="s">
        <v>6129</v>
      </c>
      <c r="I78" s="265" t="s">
        <v>1736</v>
      </c>
      <c r="J78" s="265" t="s">
        <v>1737</v>
      </c>
      <c r="K78" s="265" t="s">
        <v>1737</v>
      </c>
      <c r="L78" s="176"/>
      <c r="M78" s="270">
        <v>44847</v>
      </c>
      <c r="N78" s="176" t="s">
        <v>6130</v>
      </c>
      <c r="O78" s="176" t="s">
        <v>6040</v>
      </c>
      <c r="P78" s="176" t="s">
        <v>6131</v>
      </c>
      <c r="Q78" s="176"/>
      <c r="R78" s="176"/>
      <c r="S78" s="176"/>
      <c r="T78" s="270">
        <v>44847</v>
      </c>
      <c r="U78" s="176" t="s">
        <v>4803</v>
      </c>
    </row>
    <row r="79" spans="1:21">
      <c r="A79" s="176" t="s">
        <v>6132</v>
      </c>
      <c r="B79" s="176" t="s">
        <v>6133</v>
      </c>
      <c r="C79" s="176" t="s">
        <v>6134</v>
      </c>
      <c r="D79" s="176" t="s">
        <v>6135</v>
      </c>
      <c r="E79" s="176" t="s">
        <v>1732</v>
      </c>
      <c r="F79" s="176" t="s">
        <v>6136</v>
      </c>
      <c r="G79" s="774"/>
      <c r="H79" s="176" t="s">
        <v>6137</v>
      </c>
      <c r="I79" s="265" t="s">
        <v>1736</v>
      </c>
      <c r="J79" s="265" t="s">
        <v>1737</v>
      </c>
      <c r="K79" s="265" t="s">
        <v>1737</v>
      </c>
      <c r="L79" s="176"/>
      <c r="M79" s="270">
        <v>44847</v>
      </c>
      <c r="N79" s="176" t="s">
        <v>6138</v>
      </c>
      <c r="O79" s="270">
        <v>44917</v>
      </c>
      <c r="P79" s="176" t="s">
        <v>6139</v>
      </c>
      <c r="Q79" s="176"/>
      <c r="R79" s="176"/>
      <c r="S79" s="176"/>
      <c r="T79" s="270">
        <v>44847</v>
      </c>
      <c r="U79" s="176" t="s">
        <v>4803</v>
      </c>
    </row>
    <row r="80" spans="1:21">
      <c r="A80" s="176" t="s">
        <v>6140</v>
      </c>
      <c r="B80" s="176" t="s">
        <v>6141</v>
      </c>
      <c r="C80" s="176" t="s">
        <v>6142</v>
      </c>
      <c r="D80" s="176" t="s">
        <v>6143</v>
      </c>
      <c r="E80" s="176" t="s">
        <v>1732</v>
      </c>
      <c r="F80" s="176" t="s">
        <v>6144</v>
      </c>
      <c r="G80" s="774"/>
      <c r="H80" s="176" t="s">
        <v>6145</v>
      </c>
      <c r="I80" s="265" t="s">
        <v>1736</v>
      </c>
      <c r="J80" s="265" t="s">
        <v>1737</v>
      </c>
      <c r="K80" s="265" t="s">
        <v>1737</v>
      </c>
      <c r="L80" s="176"/>
      <c r="M80" s="270">
        <v>44847</v>
      </c>
      <c r="N80" s="176" t="s">
        <v>6146</v>
      </c>
      <c r="O80" s="176" t="s">
        <v>6147</v>
      </c>
      <c r="P80" s="176" t="s">
        <v>6148</v>
      </c>
      <c r="Q80" s="176"/>
      <c r="R80" s="176"/>
      <c r="S80" s="176"/>
      <c r="T80" s="270">
        <v>44847</v>
      </c>
      <c r="U80" s="176" t="s">
        <v>4803</v>
      </c>
    </row>
    <row r="81" spans="1:21">
      <c r="A81" s="176" t="s">
        <v>6149</v>
      </c>
      <c r="B81" s="176" t="s">
        <v>6150</v>
      </c>
      <c r="C81" s="176" t="s">
        <v>6151</v>
      </c>
      <c r="D81" s="176" t="s">
        <v>6152</v>
      </c>
      <c r="E81" s="176" t="s">
        <v>1732</v>
      </c>
      <c r="F81" s="176" t="s">
        <v>6153</v>
      </c>
      <c r="G81" s="774"/>
      <c r="H81" s="176" t="s">
        <v>6154</v>
      </c>
      <c r="I81" s="265" t="s">
        <v>1736</v>
      </c>
      <c r="J81" s="265" t="s">
        <v>1737</v>
      </c>
      <c r="K81" s="265" t="s">
        <v>1737</v>
      </c>
      <c r="L81" s="176"/>
      <c r="M81" s="270">
        <v>44847</v>
      </c>
      <c r="N81" s="176" t="s">
        <v>6155</v>
      </c>
      <c r="O81" s="176" t="s">
        <v>6147</v>
      </c>
      <c r="P81" s="176" t="s">
        <v>6156</v>
      </c>
      <c r="Q81" s="176"/>
      <c r="R81" s="176"/>
      <c r="S81" s="176"/>
      <c r="T81" s="270">
        <v>44847</v>
      </c>
      <c r="U81" s="176" t="s">
        <v>4803</v>
      </c>
    </row>
    <row r="82" spans="1:21">
      <c r="A82" s="267" t="s">
        <v>6157</v>
      </c>
      <c r="B82" s="267" t="s">
        <v>6158</v>
      </c>
      <c r="C82" s="267" t="s">
        <v>6159</v>
      </c>
      <c r="D82" s="267" t="s">
        <v>6160</v>
      </c>
      <c r="E82" s="267" t="s">
        <v>1732</v>
      </c>
      <c r="F82" s="267" t="s">
        <v>6161</v>
      </c>
      <c r="G82" s="774"/>
      <c r="H82" s="267" t="s">
        <v>6162</v>
      </c>
      <c r="I82" s="268" t="s">
        <v>1736</v>
      </c>
      <c r="J82" s="268" t="s">
        <v>5692</v>
      </c>
      <c r="K82" s="268" t="s">
        <v>5692</v>
      </c>
      <c r="L82" s="176" t="s">
        <v>6007</v>
      </c>
      <c r="M82" s="172"/>
      <c r="N82" s="176"/>
      <c r="O82" s="176"/>
      <c r="P82" s="176"/>
      <c r="Q82" s="176"/>
      <c r="R82" s="176"/>
      <c r="S82" s="176"/>
      <c r="T82" s="176"/>
      <c r="U82" s="176"/>
    </row>
    <row r="83" spans="1:21">
      <c r="A83" s="176" t="s">
        <v>6163</v>
      </c>
      <c r="B83" s="176" t="s">
        <v>6164</v>
      </c>
      <c r="C83" s="176" t="s">
        <v>6165</v>
      </c>
      <c r="D83" s="176" t="s">
        <v>6166</v>
      </c>
      <c r="E83" s="176" t="s">
        <v>1732</v>
      </c>
      <c r="F83" s="176" t="s">
        <v>6167</v>
      </c>
      <c r="G83" s="774"/>
      <c r="H83" s="176" t="s">
        <v>6168</v>
      </c>
      <c r="I83" s="265" t="s">
        <v>1736</v>
      </c>
      <c r="J83" s="265" t="s">
        <v>1737</v>
      </c>
      <c r="K83" s="265" t="s">
        <v>1737</v>
      </c>
      <c r="L83" s="176"/>
      <c r="M83" s="270">
        <v>44848</v>
      </c>
      <c r="N83" s="176" t="s">
        <v>6169</v>
      </c>
      <c r="O83" s="176" t="s">
        <v>6147</v>
      </c>
      <c r="P83" s="176" t="s">
        <v>6170</v>
      </c>
      <c r="Q83" s="176"/>
      <c r="R83" s="176"/>
      <c r="S83" s="176"/>
      <c r="T83" s="270">
        <v>44848</v>
      </c>
      <c r="U83" s="176" t="s">
        <v>4803</v>
      </c>
    </row>
    <row r="84" spans="1:21">
      <c r="A84" s="176" t="s">
        <v>6171</v>
      </c>
      <c r="B84" s="176" t="s">
        <v>6172</v>
      </c>
      <c r="C84" s="176" t="s">
        <v>6173</v>
      </c>
      <c r="D84" s="176" t="s">
        <v>6174</v>
      </c>
      <c r="E84" s="176" t="s">
        <v>1732</v>
      </c>
      <c r="F84" s="176"/>
      <c r="G84" s="774"/>
      <c r="H84" s="176"/>
      <c r="I84" s="265" t="s">
        <v>1736</v>
      </c>
      <c r="J84" s="265" t="s">
        <v>1737</v>
      </c>
      <c r="K84" s="265" t="s">
        <v>1737</v>
      </c>
      <c r="L84" s="176"/>
      <c r="M84" s="270">
        <v>44848</v>
      </c>
      <c r="N84" s="176" t="s">
        <v>6175</v>
      </c>
      <c r="O84" s="176" t="s">
        <v>6147</v>
      </c>
      <c r="P84" s="176" t="s">
        <v>6176</v>
      </c>
      <c r="Q84" s="176"/>
      <c r="R84" s="176"/>
      <c r="S84" s="176"/>
      <c r="T84" s="270">
        <v>44848</v>
      </c>
      <c r="U84" s="176" t="s">
        <v>4803</v>
      </c>
    </row>
    <row r="85" spans="1:21">
      <c r="A85" s="176" t="s">
        <v>6177</v>
      </c>
      <c r="B85" s="176" t="s">
        <v>6178</v>
      </c>
      <c r="C85" s="176" t="s">
        <v>6179</v>
      </c>
      <c r="D85" s="176" t="s">
        <v>6180</v>
      </c>
      <c r="E85" s="176" t="s">
        <v>1732</v>
      </c>
      <c r="F85" s="176"/>
      <c r="G85" s="774"/>
      <c r="H85" s="176"/>
      <c r="I85" s="265" t="s">
        <v>1736</v>
      </c>
      <c r="J85" s="265" t="s">
        <v>1737</v>
      </c>
      <c r="K85" s="265" t="s">
        <v>1737</v>
      </c>
      <c r="L85" s="176"/>
      <c r="M85" s="270">
        <v>44851</v>
      </c>
      <c r="N85" s="176" t="s">
        <v>6181</v>
      </c>
      <c r="O85" s="176" t="s">
        <v>6147</v>
      </c>
      <c r="P85" s="176" t="s">
        <v>6182</v>
      </c>
      <c r="Q85" s="176"/>
      <c r="R85" s="176"/>
      <c r="S85" s="176"/>
      <c r="T85" s="270">
        <v>44851</v>
      </c>
      <c r="U85" s="176" t="s">
        <v>4803</v>
      </c>
    </row>
    <row r="86" spans="1:21">
      <c r="A86" s="176" t="s">
        <v>6183</v>
      </c>
      <c r="B86" s="176" t="s">
        <v>6184</v>
      </c>
      <c r="C86" s="176" t="s">
        <v>6185</v>
      </c>
      <c r="D86" s="176" t="s">
        <v>6186</v>
      </c>
      <c r="E86" s="176" t="s">
        <v>1732</v>
      </c>
      <c r="F86" s="176"/>
      <c r="G86" s="774"/>
      <c r="H86" s="176"/>
      <c r="I86" s="265" t="s">
        <v>1736</v>
      </c>
      <c r="J86" s="265" t="s">
        <v>1737</v>
      </c>
      <c r="K86" s="265" t="s">
        <v>1737</v>
      </c>
      <c r="L86" s="176"/>
      <c r="M86" s="270">
        <v>44851</v>
      </c>
      <c r="N86" s="176" t="s">
        <v>6187</v>
      </c>
      <c r="O86" s="176"/>
      <c r="P86" s="176"/>
      <c r="Q86" s="176"/>
      <c r="R86" s="176"/>
      <c r="S86" s="176"/>
      <c r="T86" s="270">
        <v>44851</v>
      </c>
      <c r="U86" s="176" t="s">
        <v>4803</v>
      </c>
    </row>
    <row r="87" spans="1:21">
      <c r="A87" s="176" t="s">
        <v>6188</v>
      </c>
      <c r="B87" s="176" t="s">
        <v>6189</v>
      </c>
      <c r="C87" s="176" t="s">
        <v>6190</v>
      </c>
      <c r="D87" s="176" t="s">
        <v>6191</v>
      </c>
      <c r="E87" s="176" t="s">
        <v>1732</v>
      </c>
      <c r="F87" s="176"/>
      <c r="G87" s="774"/>
      <c r="H87" s="176"/>
      <c r="I87" s="265" t="s">
        <v>1736</v>
      </c>
      <c r="J87" s="265" t="s">
        <v>1737</v>
      </c>
      <c r="K87" s="265" t="s">
        <v>1737</v>
      </c>
      <c r="L87" s="176"/>
      <c r="M87" s="270">
        <v>44852</v>
      </c>
      <c r="N87" s="176" t="s">
        <v>6192</v>
      </c>
      <c r="O87" s="176" t="s">
        <v>6147</v>
      </c>
      <c r="P87" s="176" t="s">
        <v>6193</v>
      </c>
      <c r="Q87" s="176"/>
      <c r="R87" s="176"/>
      <c r="S87" s="176"/>
      <c r="T87" s="270">
        <v>44852</v>
      </c>
      <c r="U87" s="176" t="s">
        <v>4803</v>
      </c>
    </row>
    <row r="88" spans="1:21">
      <c r="A88" s="176" t="s">
        <v>6194</v>
      </c>
      <c r="B88" s="176" t="s">
        <v>6195</v>
      </c>
      <c r="C88" s="176" t="s">
        <v>6196</v>
      </c>
      <c r="D88" s="176" t="s">
        <v>6197</v>
      </c>
      <c r="E88" s="176" t="s">
        <v>1732</v>
      </c>
      <c r="F88" s="176"/>
      <c r="G88" s="774"/>
      <c r="H88" s="176"/>
      <c r="I88" s="265" t="s">
        <v>1736</v>
      </c>
      <c r="J88" s="265" t="s">
        <v>1737</v>
      </c>
      <c r="K88" s="265" t="s">
        <v>1737</v>
      </c>
      <c r="L88" s="176"/>
      <c r="M88" s="270">
        <v>44852</v>
      </c>
      <c r="N88" s="176" t="s">
        <v>6198</v>
      </c>
      <c r="O88" s="176" t="s">
        <v>6147</v>
      </c>
      <c r="P88" s="176" t="s">
        <v>6199</v>
      </c>
      <c r="Q88" s="176"/>
      <c r="R88" s="176"/>
      <c r="S88" s="176"/>
      <c r="T88" s="270">
        <v>44852</v>
      </c>
      <c r="U88" s="176" t="s">
        <v>4803</v>
      </c>
    </row>
    <row r="89" spans="1:21">
      <c r="A89" s="176" t="s">
        <v>6200</v>
      </c>
      <c r="B89" s="176" t="s">
        <v>6201</v>
      </c>
      <c r="C89" s="176" t="s">
        <v>6202</v>
      </c>
      <c r="D89" s="176" t="s">
        <v>6203</v>
      </c>
      <c r="E89" s="176" t="s">
        <v>1732</v>
      </c>
      <c r="F89" s="176" t="s">
        <v>6204</v>
      </c>
      <c r="G89" s="774"/>
      <c r="H89" s="176"/>
      <c r="I89" s="265" t="s">
        <v>1736</v>
      </c>
      <c r="J89" s="265" t="s">
        <v>1737</v>
      </c>
      <c r="K89" s="265" t="s">
        <v>1737</v>
      </c>
      <c r="L89" s="176"/>
      <c r="M89" s="270">
        <v>44861</v>
      </c>
      <c r="N89" s="176" t="s">
        <v>6205</v>
      </c>
      <c r="O89" s="270">
        <v>44916</v>
      </c>
      <c r="P89" s="176" t="s">
        <v>6206</v>
      </c>
      <c r="Q89" s="176"/>
      <c r="R89" s="176"/>
      <c r="S89" s="176"/>
      <c r="T89" s="270">
        <v>44861</v>
      </c>
      <c r="U89" s="176" t="s">
        <v>4803</v>
      </c>
    </row>
    <row r="90" spans="1:21">
      <c r="A90" s="176" t="s">
        <v>6207</v>
      </c>
      <c r="B90" s="176" t="s">
        <v>6208</v>
      </c>
      <c r="C90" s="176" t="s">
        <v>6209</v>
      </c>
      <c r="D90" s="176" t="s">
        <v>6210</v>
      </c>
      <c r="E90" s="176" t="s">
        <v>1732</v>
      </c>
      <c r="F90" s="176" t="s">
        <v>6211</v>
      </c>
      <c r="G90" s="774"/>
      <c r="H90" s="176" t="s">
        <v>6212</v>
      </c>
      <c r="I90" s="265" t="s">
        <v>1736</v>
      </c>
      <c r="J90" s="265" t="s">
        <v>1737</v>
      </c>
      <c r="K90" s="265" t="s">
        <v>1737</v>
      </c>
      <c r="L90" s="176"/>
      <c r="M90" s="270">
        <v>44844</v>
      </c>
      <c r="N90" s="176" t="s">
        <v>6213</v>
      </c>
      <c r="O90" s="270">
        <v>44917</v>
      </c>
      <c r="P90" s="176" t="s">
        <v>6214</v>
      </c>
      <c r="Q90" s="176"/>
      <c r="R90" s="176"/>
      <c r="S90" s="176"/>
      <c r="T90" s="270">
        <v>44844</v>
      </c>
      <c r="U90" s="176" t="s">
        <v>4803</v>
      </c>
    </row>
    <row r="91" spans="1:21">
      <c r="A91" s="176" t="s">
        <v>6215</v>
      </c>
      <c r="B91" s="176" t="s">
        <v>6216</v>
      </c>
      <c r="C91" s="176" t="s">
        <v>6217</v>
      </c>
      <c r="D91" s="176" t="s">
        <v>6218</v>
      </c>
      <c r="E91" s="176" t="s">
        <v>1732</v>
      </c>
      <c r="F91" s="176" t="s">
        <v>6219</v>
      </c>
      <c r="G91" s="774"/>
      <c r="H91" s="176" t="s">
        <v>6220</v>
      </c>
      <c r="I91" s="265" t="s">
        <v>1736</v>
      </c>
      <c r="J91" s="265" t="s">
        <v>1737</v>
      </c>
      <c r="K91" s="265" t="s">
        <v>1737</v>
      </c>
      <c r="L91" s="176"/>
      <c r="M91" s="270">
        <v>44844</v>
      </c>
      <c r="N91" s="176" t="s">
        <v>6221</v>
      </c>
      <c r="O91" s="270">
        <v>44917</v>
      </c>
      <c r="P91" s="176" t="s">
        <v>6222</v>
      </c>
      <c r="Q91" s="176"/>
      <c r="R91" s="176"/>
      <c r="S91" s="176"/>
      <c r="T91" s="270">
        <v>44844</v>
      </c>
      <c r="U91" s="176" t="s">
        <v>4803</v>
      </c>
    </row>
    <row r="92" spans="1:21">
      <c r="A92" s="267" t="s">
        <v>6223</v>
      </c>
      <c r="B92" s="267" t="s">
        <v>6224</v>
      </c>
      <c r="C92" s="267" t="s">
        <v>6225</v>
      </c>
      <c r="D92" s="267" t="s">
        <v>6226</v>
      </c>
      <c r="E92" s="267" t="s">
        <v>1732</v>
      </c>
      <c r="F92" s="267" t="s">
        <v>6227</v>
      </c>
      <c r="G92" s="774"/>
      <c r="H92" s="267" t="s">
        <v>6228</v>
      </c>
      <c r="I92" s="268" t="s">
        <v>1736</v>
      </c>
      <c r="J92" s="268" t="s">
        <v>5692</v>
      </c>
      <c r="K92" s="268" t="s">
        <v>5692</v>
      </c>
      <c r="L92" s="176" t="s">
        <v>6007</v>
      </c>
      <c r="M92" s="172"/>
      <c r="N92" s="176"/>
      <c r="O92" s="176"/>
      <c r="P92" s="176"/>
      <c r="Q92" s="176"/>
      <c r="R92" s="176"/>
      <c r="S92" s="176"/>
      <c r="T92" s="176"/>
      <c r="U92" s="176"/>
    </row>
    <row r="93" spans="1:21">
      <c r="A93" s="267" t="s">
        <v>6229</v>
      </c>
      <c r="B93" s="267" t="s">
        <v>6230</v>
      </c>
      <c r="C93" s="267" t="s">
        <v>6231</v>
      </c>
      <c r="D93" s="267" t="s">
        <v>6232</v>
      </c>
      <c r="E93" s="267" t="s">
        <v>1732</v>
      </c>
      <c r="F93" s="267" t="s">
        <v>6233</v>
      </c>
      <c r="G93" s="774"/>
      <c r="H93" s="267" t="s">
        <v>6234</v>
      </c>
      <c r="I93" s="268" t="s">
        <v>1736</v>
      </c>
      <c r="J93" s="268" t="s">
        <v>5692</v>
      </c>
      <c r="K93" s="268" t="s">
        <v>5692</v>
      </c>
      <c r="L93" s="176" t="s">
        <v>6007</v>
      </c>
      <c r="M93" s="172"/>
      <c r="N93" s="176"/>
      <c r="O93" s="176"/>
      <c r="P93" s="176"/>
      <c r="Q93" s="176"/>
      <c r="R93" s="176"/>
      <c r="S93" s="176"/>
      <c r="T93" s="176"/>
      <c r="U93" s="176"/>
    </row>
    <row r="94" spans="1:21">
      <c r="A94" s="176" t="s">
        <v>6235</v>
      </c>
      <c r="B94" s="176" t="s">
        <v>6236</v>
      </c>
      <c r="C94" s="176" t="s">
        <v>6237</v>
      </c>
      <c r="D94" s="176" t="s">
        <v>6238</v>
      </c>
      <c r="E94" s="176" t="s">
        <v>1732</v>
      </c>
      <c r="F94" s="176" t="s">
        <v>6239</v>
      </c>
      <c r="G94" s="774"/>
      <c r="H94" s="176" t="s">
        <v>6240</v>
      </c>
      <c r="I94" s="265" t="s">
        <v>1736</v>
      </c>
      <c r="J94" s="265" t="s">
        <v>1737</v>
      </c>
      <c r="K94" s="265" t="s">
        <v>1737</v>
      </c>
      <c r="L94" s="176"/>
      <c r="M94" s="270">
        <v>44844</v>
      </c>
      <c r="N94" s="176" t="s">
        <v>6241</v>
      </c>
      <c r="O94" s="270">
        <v>44917</v>
      </c>
      <c r="P94" s="176" t="s">
        <v>6242</v>
      </c>
      <c r="Q94" s="176"/>
      <c r="R94" s="176"/>
      <c r="S94" s="176"/>
      <c r="T94" s="270">
        <v>44844</v>
      </c>
      <c r="U94" s="176" t="s">
        <v>4803</v>
      </c>
    </row>
    <row r="95" spans="1:21">
      <c r="A95" s="176" t="s">
        <v>6243</v>
      </c>
      <c r="B95" s="176" t="s">
        <v>6244</v>
      </c>
      <c r="C95" s="176" t="s">
        <v>6245</v>
      </c>
      <c r="D95" s="176" t="s">
        <v>6246</v>
      </c>
      <c r="E95" s="176" t="s">
        <v>1732</v>
      </c>
      <c r="F95" s="176" t="s">
        <v>6247</v>
      </c>
      <c r="G95" s="774"/>
      <c r="H95" s="176" t="s">
        <v>6248</v>
      </c>
      <c r="I95" s="265" t="s">
        <v>1736</v>
      </c>
      <c r="J95" s="265" t="s">
        <v>1737</v>
      </c>
      <c r="K95" s="265" t="s">
        <v>1737</v>
      </c>
      <c r="L95" s="176"/>
      <c r="M95" s="270">
        <v>44853</v>
      </c>
      <c r="N95" s="176" t="s">
        <v>6249</v>
      </c>
      <c r="O95" s="176" t="s">
        <v>6147</v>
      </c>
      <c r="P95" s="176" t="s">
        <v>6250</v>
      </c>
      <c r="Q95" s="176"/>
      <c r="R95" s="176"/>
      <c r="S95" s="176"/>
      <c r="T95" s="270">
        <v>44853</v>
      </c>
      <c r="U95" s="176" t="s">
        <v>4803</v>
      </c>
    </row>
    <row r="96" spans="1:21">
      <c r="A96" s="176" t="s">
        <v>6251</v>
      </c>
      <c r="B96" s="176" t="s">
        <v>6252</v>
      </c>
      <c r="C96" s="176" t="s">
        <v>6253</v>
      </c>
      <c r="D96" s="176" t="s">
        <v>6254</v>
      </c>
      <c r="E96" s="176" t="s">
        <v>1732</v>
      </c>
      <c r="F96" s="176" t="s">
        <v>6255</v>
      </c>
      <c r="G96" s="774"/>
      <c r="H96" s="176" t="s">
        <v>6256</v>
      </c>
      <c r="I96" s="265" t="s">
        <v>1736</v>
      </c>
      <c r="J96" s="265" t="s">
        <v>1737</v>
      </c>
      <c r="K96" s="265" t="s">
        <v>1737</v>
      </c>
      <c r="L96" s="176"/>
      <c r="M96" s="270">
        <v>44845</v>
      </c>
      <c r="N96" s="176" t="s">
        <v>6257</v>
      </c>
      <c r="O96" s="270">
        <v>44917</v>
      </c>
      <c r="P96" s="176" t="s">
        <v>6258</v>
      </c>
      <c r="Q96" s="176"/>
      <c r="R96" s="176"/>
      <c r="S96" s="176"/>
      <c r="T96" s="270">
        <v>44845</v>
      </c>
      <c r="U96" s="176" t="s">
        <v>4803</v>
      </c>
    </row>
    <row r="97" spans="1:21">
      <c r="A97" s="176" t="s">
        <v>6259</v>
      </c>
      <c r="B97" s="176" t="s">
        <v>6260</v>
      </c>
      <c r="C97" s="176" t="s">
        <v>6261</v>
      </c>
      <c r="D97" s="176" t="s">
        <v>6262</v>
      </c>
      <c r="E97" s="176" t="s">
        <v>1732</v>
      </c>
      <c r="F97" s="176" t="s">
        <v>6263</v>
      </c>
      <c r="G97" s="774"/>
      <c r="H97" s="176" t="s">
        <v>6264</v>
      </c>
      <c r="I97" s="265" t="s">
        <v>1736</v>
      </c>
      <c r="J97" s="265" t="s">
        <v>1737</v>
      </c>
      <c r="K97" s="265" t="s">
        <v>1737</v>
      </c>
      <c r="L97" s="176"/>
      <c r="M97" s="270">
        <v>44845</v>
      </c>
      <c r="N97" s="176" t="s">
        <v>6265</v>
      </c>
      <c r="O97" s="270">
        <v>44917</v>
      </c>
      <c r="P97" s="176" t="s">
        <v>6266</v>
      </c>
      <c r="Q97" s="176"/>
      <c r="R97" s="176"/>
      <c r="S97" s="176"/>
      <c r="T97" s="270">
        <v>44845</v>
      </c>
      <c r="U97" s="176" t="s">
        <v>4803</v>
      </c>
    </row>
    <row r="98" spans="1:21">
      <c r="A98" s="176" t="s">
        <v>6267</v>
      </c>
      <c r="B98" s="176" t="s">
        <v>6268</v>
      </c>
      <c r="C98" s="176" t="s">
        <v>6269</v>
      </c>
      <c r="D98" s="176" t="s">
        <v>6270</v>
      </c>
      <c r="E98" s="176" t="s">
        <v>1732</v>
      </c>
      <c r="F98" s="176" t="s">
        <v>6271</v>
      </c>
      <c r="G98" s="774"/>
      <c r="H98" s="176" t="s">
        <v>6272</v>
      </c>
      <c r="I98" s="265" t="s">
        <v>1736</v>
      </c>
      <c r="J98" s="265" t="s">
        <v>1737</v>
      </c>
      <c r="K98" s="265" t="s">
        <v>1737</v>
      </c>
      <c r="L98" s="176"/>
      <c r="M98" s="270">
        <v>44845</v>
      </c>
      <c r="N98" s="176" t="s">
        <v>6273</v>
      </c>
      <c r="O98" s="270">
        <v>44917</v>
      </c>
      <c r="P98" s="176" t="s">
        <v>6274</v>
      </c>
      <c r="Q98" s="176"/>
      <c r="R98" s="176"/>
      <c r="S98" s="176"/>
      <c r="T98" s="270">
        <v>44845</v>
      </c>
      <c r="U98" s="176" t="s">
        <v>4803</v>
      </c>
    </row>
    <row r="99" spans="1:21">
      <c r="A99" s="176" t="s">
        <v>6275</v>
      </c>
      <c r="B99" s="176" t="s">
        <v>6276</v>
      </c>
      <c r="C99" s="176" t="s">
        <v>6277</v>
      </c>
      <c r="D99" s="176" t="s">
        <v>6278</v>
      </c>
      <c r="E99" s="176" t="s">
        <v>1732</v>
      </c>
      <c r="F99" s="176" t="s">
        <v>6279</v>
      </c>
      <c r="G99" s="774"/>
      <c r="H99" s="176" t="s">
        <v>6280</v>
      </c>
      <c r="I99" s="265" t="s">
        <v>1736</v>
      </c>
      <c r="J99" s="265" t="s">
        <v>1737</v>
      </c>
      <c r="K99" s="265" t="s">
        <v>1737</v>
      </c>
      <c r="L99" s="176"/>
      <c r="M99" s="270">
        <v>44851</v>
      </c>
      <c r="N99" s="176" t="s">
        <v>6281</v>
      </c>
      <c r="O99" s="176" t="s">
        <v>6147</v>
      </c>
      <c r="P99" s="176" t="s">
        <v>6282</v>
      </c>
      <c r="Q99" s="176"/>
      <c r="R99" s="176"/>
      <c r="S99" s="176"/>
      <c r="T99" s="270">
        <v>44851</v>
      </c>
      <c r="U99" s="176" t="s">
        <v>4803</v>
      </c>
    </row>
    <row r="100" spans="1:21">
      <c r="A100" s="176" t="s">
        <v>6283</v>
      </c>
      <c r="B100" s="176" t="s">
        <v>6284</v>
      </c>
      <c r="C100" s="176" t="s">
        <v>6285</v>
      </c>
      <c r="D100" s="176" t="s">
        <v>6286</v>
      </c>
      <c r="E100" s="176" t="s">
        <v>1732</v>
      </c>
      <c r="F100" s="176" t="s">
        <v>6287</v>
      </c>
      <c r="G100" s="774"/>
      <c r="H100" s="176" t="s">
        <v>6288</v>
      </c>
      <c r="I100" s="265" t="s">
        <v>1736</v>
      </c>
      <c r="J100" s="265" t="s">
        <v>1737</v>
      </c>
      <c r="K100" s="265" t="s">
        <v>1737</v>
      </c>
      <c r="L100" s="176"/>
      <c r="M100" s="270">
        <v>44888</v>
      </c>
      <c r="N100" s="176" t="s">
        <v>6289</v>
      </c>
      <c r="O100" s="270">
        <v>44917</v>
      </c>
      <c r="P100" s="176" t="s">
        <v>6290</v>
      </c>
      <c r="Q100" s="176"/>
      <c r="R100" s="176"/>
      <c r="S100" s="176"/>
      <c r="T100" s="270">
        <v>44888</v>
      </c>
      <c r="U100" s="176" t="s">
        <v>4803</v>
      </c>
    </row>
    <row r="101" spans="1:21">
      <c r="A101" s="176" t="s">
        <v>6291</v>
      </c>
      <c r="B101" s="176" t="s">
        <v>6292</v>
      </c>
      <c r="C101" s="176" t="s">
        <v>6293</v>
      </c>
      <c r="D101" s="176" t="s">
        <v>6294</v>
      </c>
      <c r="E101" s="176" t="s">
        <v>1732</v>
      </c>
      <c r="F101" s="176" t="s">
        <v>6295</v>
      </c>
      <c r="G101" s="774"/>
      <c r="H101" s="176" t="s">
        <v>6296</v>
      </c>
      <c r="I101" s="265" t="s">
        <v>1736</v>
      </c>
      <c r="J101" s="265" t="s">
        <v>1737</v>
      </c>
      <c r="K101" s="265" t="s">
        <v>1737</v>
      </c>
      <c r="L101" s="176"/>
      <c r="M101" s="270">
        <v>44845</v>
      </c>
      <c r="N101" s="176" t="s">
        <v>6297</v>
      </c>
      <c r="O101" s="270">
        <v>44918</v>
      </c>
      <c r="P101" s="176" t="s">
        <v>6298</v>
      </c>
      <c r="Q101" s="176"/>
      <c r="R101" s="176"/>
      <c r="S101" s="176"/>
      <c r="T101" s="270">
        <v>44845</v>
      </c>
      <c r="U101" s="176" t="s">
        <v>4803</v>
      </c>
    </row>
    <row r="102" spans="1:21">
      <c r="A102" s="176" t="s">
        <v>6299</v>
      </c>
      <c r="B102" s="176" t="s">
        <v>6300</v>
      </c>
      <c r="C102" s="176" t="s">
        <v>6301</v>
      </c>
      <c r="D102" s="176" t="s">
        <v>6302</v>
      </c>
      <c r="E102" s="176" t="s">
        <v>1732</v>
      </c>
      <c r="F102" s="176" t="s">
        <v>6303</v>
      </c>
      <c r="G102" s="774"/>
      <c r="H102" s="176" t="s">
        <v>6304</v>
      </c>
      <c r="I102" s="265" t="s">
        <v>1736</v>
      </c>
      <c r="J102" s="265" t="s">
        <v>1737</v>
      </c>
      <c r="K102" s="265" t="s">
        <v>1737</v>
      </c>
      <c r="L102" s="176"/>
      <c r="M102" s="270">
        <v>44845</v>
      </c>
      <c r="N102" s="176" t="s">
        <v>6305</v>
      </c>
      <c r="O102" s="270">
        <v>44918</v>
      </c>
      <c r="P102" s="176" t="s">
        <v>6306</v>
      </c>
      <c r="Q102" s="176"/>
      <c r="R102" s="176"/>
      <c r="S102" s="176"/>
      <c r="T102" s="270">
        <v>44845</v>
      </c>
      <c r="U102" s="176" t="s">
        <v>4803</v>
      </c>
    </row>
    <row r="103" spans="1:21">
      <c r="A103" s="176" t="s">
        <v>6307</v>
      </c>
      <c r="B103" s="176" t="s">
        <v>6308</v>
      </c>
      <c r="C103" s="176" t="s">
        <v>6309</v>
      </c>
      <c r="D103" s="176" t="s">
        <v>6310</v>
      </c>
      <c r="E103" s="176" t="s">
        <v>1732</v>
      </c>
      <c r="F103" s="176" t="s">
        <v>6311</v>
      </c>
      <c r="G103" s="774"/>
      <c r="H103" s="176" t="s">
        <v>6312</v>
      </c>
      <c r="I103" s="265" t="s">
        <v>1736</v>
      </c>
      <c r="J103" s="265" t="s">
        <v>1737</v>
      </c>
      <c r="K103" s="265" t="s">
        <v>1737</v>
      </c>
      <c r="L103" s="176"/>
      <c r="M103" s="270">
        <v>44846</v>
      </c>
      <c r="N103" s="176" t="s">
        <v>6313</v>
      </c>
      <c r="O103" s="270">
        <v>44918</v>
      </c>
      <c r="P103" s="176" t="s">
        <v>6314</v>
      </c>
      <c r="Q103" s="176"/>
      <c r="R103" s="176"/>
      <c r="S103" s="176"/>
      <c r="T103" s="270">
        <v>44846</v>
      </c>
      <c r="U103" s="176" t="s">
        <v>4803</v>
      </c>
    </row>
    <row r="104" spans="1:21">
      <c r="A104" s="176" t="s">
        <v>6315</v>
      </c>
      <c r="B104" s="176" t="s">
        <v>6316</v>
      </c>
      <c r="C104" s="176" t="s">
        <v>6317</v>
      </c>
      <c r="D104" s="176" t="s">
        <v>6318</v>
      </c>
      <c r="E104" s="176" t="s">
        <v>1732</v>
      </c>
      <c r="F104" s="176" t="s">
        <v>6319</v>
      </c>
      <c r="G104" s="774"/>
      <c r="H104" s="176" t="s">
        <v>6320</v>
      </c>
      <c r="I104" s="265" t="s">
        <v>1736</v>
      </c>
      <c r="J104" s="265" t="s">
        <v>1737</v>
      </c>
      <c r="K104" s="265" t="s">
        <v>1737</v>
      </c>
      <c r="L104" s="176"/>
      <c r="M104" s="270">
        <v>44846</v>
      </c>
      <c r="N104" s="176" t="s">
        <v>6321</v>
      </c>
      <c r="O104" s="270">
        <v>44918</v>
      </c>
      <c r="P104" s="176" t="s">
        <v>6322</v>
      </c>
      <c r="Q104" s="176"/>
      <c r="R104" s="176"/>
      <c r="S104" s="176"/>
      <c r="T104" s="270">
        <v>44846</v>
      </c>
      <c r="U104" s="176" t="s">
        <v>4803</v>
      </c>
    </row>
    <row r="105" spans="1:21">
      <c r="A105" s="176" t="s">
        <v>6323</v>
      </c>
      <c r="B105" s="176" t="s">
        <v>6324</v>
      </c>
      <c r="C105" s="176" t="s">
        <v>6325</v>
      </c>
      <c r="D105" s="176" t="s">
        <v>6326</v>
      </c>
      <c r="E105" s="176" t="s">
        <v>1732</v>
      </c>
      <c r="F105" s="176" t="s">
        <v>6327</v>
      </c>
      <c r="G105" s="774"/>
      <c r="H105" s="176" t="s">
        <v>6328</v>
      </c>
      <c r="I105" s="265" t="s">
        <v>1736</v>
      </c>
      <c r="J105" s="265" t="s">
        <v>1737</v>
      </c>
      <c r="K105" s="265" t="s">
        <v>1737</v>
      </c>
      <c r="L105" s="176"/>
      <c r="M105" s="270">
        <v>44846</v>
      </c>
      <c r="N105" s="176" t="s">
        <v>6329</v>
      </c>
      <c r="O105" s="270">
        <v>44918</v>
      </c>
      <c r="P105" s="176" t="s">
        <v>6330</v>
      </c>
      <c r="Q105" s="176"/>
      <c r="R105" s="176"/>
      <c r="S105" s="176"/>
      <c r="T105" s="270">
        <v>44846</v>
      </c>
      <c r="U105" s="176" t="s">
        <v>4803</v>
      </c>
    </row>
    <row r="106" spans="1:21">
      <c r="A106" s="176" t="s">
        <v>6331</v>
      </c>
      <c r="B106" s="176" t="s">
        <v>6332</v>
      </c>
      <c r="C106" s="176" t="s">
        <v>6333</v>
      </c>
      <c r="D106" s="176" t="s">
        <v>6334</v>
      </c>
      <c r="E106" s="176" t="s">
        <v>1732</v>
      </c>
      <c r="F106" s="176" t="s">
        <v>6335</v>
      </c>
      <c r="G106" s="774"/>
      <c r="H106" s="176" t="s">
        <v>6336</v>
      </c>
      <c r="I106" s="265" t="s">
        <v>1736</v>
      </c>
      <c r="J106" s="265" t="s">
        <v>1737</v>
      </c>
      <c r="K106" s="265" t="s">
        <v>1737</v>
      </c>
      <c r="L106" s="176"/>
      <c r="M106" s="270">
        <v>44854</v>
      </c>
      <c r="N106" s="176" t="s">
        <v>6337</v>
      </c>
      <c r="O106" s="270">
        <v>44918</v>
      </c>
      <c r="P106" s="176" t="s">
        <v>6338</v>
      </c>
      <c r="Q106" s="176"/>
      <c r="R106" s="176"/>
      <c r="S106" s="176"/>
      <c r="T106" s="270">
        <v>44854</v>
      </c>
      <c r="U106" s="176" t="s">
        <v>4803</v>
      </c>
    </row>
    <row r="107" spans="1:21">
      <c r="A107" s="176" t="s">
        <v>6339</v>
      </c>
      <c r="B107" s="176" t="s">
        <v>6340</v>
      </c>
      <c r="C107" s="176" t="s">
        <v>6341</v>
      </c>
      <c r="D107" s="176" t="s">
        <v>6342</v>
      </c>
      <c r="E107" s="176" t="s">
        <v>1732</v>
      </c>
      <c r="F107" s="176" t="s">
        <v>6343</v>
      </c>
      <c r="G107" s="774"/>
      <c r="H107" s="176" t="s">
        <v>6344</v>
      </c>
      <c r="I107" s="265" t="s">
        <v>1736</v>
      </c>
      <c r="J107" s="265" t="s">
        <v>1737</v>
      </c>
      <c r="K107" s="265" t="s">
        <v>1737</v>
      </c>
      <c r="L107" s="176"/>
      <c r="M107" s="270">
        <v>44846</v>
      </c>
      <c r="N107" s="176" t="s">
        <v>6345</v>
      </c>
      <c r="O107" s="270">
        <v>44918</v>
      </c>
      <c r="P107" s="176" t="s">
        <v>6346</v>
      </c>
      <c r="Q107" s="176"/>
      <c r="R107" s="176"/>
      <c r="S107" s="176"/>
      <c r="T107" s="270">
        <v>44846</v>
      </c>
      <c r="U107" s="176" t="s">
        <v>4803</v>
      </c>
    </row>
    <row r="108" spans="1:21">
      <c r="A108" s="176" t="s">
        <v>6347</v>
      </c>
      <c r="B108" s="176" t="s">
        <v>6348</v>
      </c>
      <c r="C108" s="176" t="s">
        <v>6349</v>
      </c>
      <c r="D108" s="176" t="s">
        <v>6350</v>
      </c>
      <c r="E108" s="176" t="s">
        <v>1732</v>
      </c>
      <c r="F108" s="176" t="s">
        <v>6351</v>
      </c>
      <c r="G108" s="774"/>
      <c r="H108" s="176" t="s">
        <v>6352</v>
      </c>
      <c r="I108" s="265" t="s">
        <v>1736</v>
      </c>
      <c r="J108" s="265" t="s">
        <v>1737</v>
      </c>
      <c r="K108" s="265" t="s">
        <v>1737</v>
      </c>
      <c r="L108" s="176"/>
      <c r="M108" s="270">
        <v>44851</v>
      </c>
      <c r="N108" s="176" t="s">
        <v>6353</v>
      </c>
      <c r="O108" s="270">
        <v>44918</v>
      </c>
      <c r="P108" s="176" t="s">
        <v>6354</v>
      </c>
      <c r="Q108" s="176"/>
      <c r="R108" s="176"/>
      <c r="S108" s="176"/>
      <c r="T108" s="270">
        <v>44851</v>
      </c>
      <c r="U108" s="176" t="s">
        <v>4803</v>
      </c>
    </row>
    <row r="109" spans="1:21">
      <c r="A109" s="176" t="s">
        <v>6355</v>
      </c>
      <c r="B109" s="176" t="s">
        <v>6356</v>
      </c>
      <c r="C109" s="176" t="s">
        <v>6357</v>
      </c>
      <c r="D109" s="176" t="s">
        <v>6358</v>
      </c>
      <c r="E109" s="176" t="s">
        <v>1732</v>
      </c>
      <c r="F109" s="176" t="s">
        <v>6359</v>
      </c>
      <c r="G109" s="774"/>
      <c r="H109" s="176" t="s">
        <v>6360</v>
      </c>
      <c r="I109" s="265" t="s">
        <v>1736</v>
      </c>
      <c r="J109" s="265" t="s">
        <v>1737</v>
      </c>
      <c r="K109" s="265" t="s">
        <v>1737</v>
      </c>
      <c r="L109" s="176"/>
      <c r="M109" s="270">
        <v>44851</v>
      </c>
      <c r="N109" s="176" t="s">
        <v>6361</v>
      </c>
      <c r="O109" s="270">
        <v>44918</v>
      </c>
      <c r="P109" s="176" t="s">
        <v>6362</v>
      </c>
      <c r="Q109" s="176"/>
      <c r="R109" s="176"/>
      <c r="S109" s="176"/>
      <c r="T109" s="270">
        <v>44851</v>
      </c>
      <c r="U109" s="176" t="s">
        <v>4803</v>
      </c>
    </row>
    <row r="110" spans="1:21">
      <c r="A110" s="176" t="s">
        <v>6363</v>
      </c>
      <c r="B110" s="176" t="s">
        <v>6364</v>
      </c>
      <c r="C110" s="176" t="s">
        <v>6365</v>
      </c>
      <c r="D110" s="176" t="s">
        <v>6366</v>
      </c>
      <c r="E110" s="176" t="s">
        <v>1732</v>
      </c>
      <c r="F110" s="176" t="s">
        <v>6367</v>
      </c>
      <c r="G110" s="774"/>
      <c r="H110" s="176" t="s">
        <v>6368</v>
      </c>
      <c r="I110" s="265" t="s">
        <v>1736</v>
      </c>
      <c r="J110" s="265" t="s">
        <v>1737</v>
      </c>
      <c r="K110" s="265" t="s">
        <v>1737</v>
      </c>
      <c r="L110" s="176"/>
      <c r="M110" s="270">
        <v>44848</v>
      </c>
      <c r="N110" s="176" t="s">
        <v>6369</v>
      </c>
      <c r="O110" s="270">
        <v>44918</v>
      </c>
      <c r="P110" s="176" t="s">
        <v>6370</v>
      </c>
      <c r="Q110" s="176"/>
      <c r="R110" s="176"/>
      <c r="S110" s="176"/>
      <c r="T110" s="270">
        <v>44848</v>
      </c>
      <c r="U110" s="176" t="s">
        <v>4803</v>
      </c>
    </row>
    <row r="111" spans="1:21">
      <c r="A111" s="176" t="s">
        <v>6371</v>
      </c>
      <c r="B111" s="176" t="s">
        <v>6372</v>
      </c>
      <c r="C111" s="176" t="s">
        <v>6373</v>
      </c>
      <c r="D111" s="176" t="s">
        <v>6374</v>
      </c>
      <c r="E111" s="176" t="s">
        <v>1732</v>
      </c>
      <c r="F111" s="176" t="s">
        <v>6375</v>
      </c>
      <c r="G111" s="774"/>
      <c r="H111" s="176" t="s">
        <v>6376</v>
      </c>
      <c r="I111" s="265" t="s">
        <v>1736</v>
      </c>
      <c r="J111" s="265" t="s">
        <v>1737</v>
      </c>
      <c r="K111" s="265" t="s">
        <v>1737</v>
      </c>
      <c r="L111" s="176"/>
      <c r="M111" s="270">
        <v>44908</v>
      </c>
      <c r="N111" s="176" t="s">
        <v>6377</v>
      </c>
      <c r="O111" s="270">
        <v>44918</v>
      </c>
      <c r="P111" s="176" t="s">
        <v>6378</v>
      </c>
      <c r="Q111" s="176"/>
      <c r="R111" s="176"/>
      <c r="S111" s="176"/>
      <c r="T111" s="270">
        <v>44908</v>
      </c>
      <c r="U111" s="176" t="s">
        <v>4803</v>
      </c>
    </row>
    <row r="112" spans="1:21">
      <c r="A112" s="176" t="s">
        <v>6379</v>
      </c>
      <c r="B112" s="176" t="s">
        <v>6380</v>
      </c>
      <c r="C112" s="176" t="s">
        <v>6381</v>
      </c>
      <c r="D112" s="176" t="s">
        <v>6382</v>
      </c>
      <c r="E112" s="176" t="s">
        <v>1732</v>
      </c>
      <c r="F112" s="176" t="s">
        <v>6383</v>
      </c>
      <c r="G112" s="774"/>
      <c r="H112" s="176" t="s">
        <v>6384</v>
      </c>
      <c r="I112" s="265" t="s">
        <v>1736</v>
      </c>
      <c r="J112" s="265" t="s">
        <v>1737</v>
      </c>
      <c r="K112" s="265" t="s">
        <v>1737</v>
      </c>
      <c r="L112" s="176"/>
      <c r="M112" s="270">
        <v>44855</v>
      </c>
      <c r="N112" s="176" t="s">
        <v>6385</v>
      </c>
      <c r="O112" s="270">
        <v>44921</v>
      </c>
      <c r="P112" s="176" t="s">
        <v>6386</v>
      </c>
      <c r="Q112" s="176"/>
      <c r="R112" s="176"/>
      <c r="S112" s="176"/>
      <c r="T112" s="270">
        <v>44855</v>
      </c>
      <c r="U112" s="176" t="s">
        <v>4803</v>
      </c>
    </row>
    <row r="113" spans="1:21">
      <c r="A113" s="176" t="s">
        <v>6387</v>
      </c>
      <c r="B113" s="176" t="s">
        <v>6388</v>
      </c>
      <c r="C113" s="176" t="s">
        <v>6389</v>
      </c>
      <c r="D113" s="176" t="s">
        <v>6390</v>
      </c>
      <c r="E113" s="176" t="s">
        <v>1732</v>
      </c>
      <c r="F113" s="176" t="s">
        <v>6391</v>
      </c>
      <c r="G113" s="774"/>
      <c r="H113" s="176"/>
      <c r="I113" s="265" t="s">
        <v>1736</v>
      </c>
      <c r="J113" s="265" t="s">
        <v>1737</v>
      </c>
      <c r="K113" s="265" t="s">
        <v>1737</v>
      </c>
      <c r="L113" s="176"/>
      <c r="M113" s="270">
        <v>44855</v>
      </c>
      <c r="N113" s="176" t="s">
        <v>6392</v>
      </c>
      <c r="O113" s="270">
        <v>44921</v>
      </c>
      <c r="P113" s="176" t="s">
        <v>6393</v>
      </c>
      <c r="Q113" s="176"/>
      <c r="R113" s="176"/>
      <c r="S113" s="176"/>
      <c r="T113" s="270">
        <v>44855</v>
      </c>
      <c r="U113" s="176" t="s">
        <v>4803</v>
      </c>
    </row>
    <row r="114" spans="1:21">
      <c r="A114" s="176" t="s">
        <v>6394</v>
      </c>
      <c r="B114" s="176" t="s">
        <v>6395</v>
      </c>
      <c r="C114" s="176" t="s">
        <v>6396</v>
      </c>
      <c r="D114" s="176" t="s">
        <v>6397</v>
      </c>
      <c r="E114" s="176" t="s">
        <v>1732</v>
      </c>
      <c r="F114" s="176" t="s">
        <v>6398</v>
      </c>
      <c r="G114" s="774"/>
      <c r="H114" s="176" t="s">
        <v>6399</v>
      </c>
      <c r="I114" s="265" t="s">
        <v>1736</v>
      </c>
      <c r="J114" s="265" t="s">
        <v>1737</v>
      </c>
      <c r="K114" s="265" t="s">
        <v>1737</v>
      </c>
      <c r="L114" s="176"/>
      <c r="M114" s="270">
        <v>44854</v>
      </c>
      <c r="N114" s="176" t="s">
        <v>6400</v>
      </c>
      <c r="O114" s="270">
        <v>44921</v>
      </c>
      <c r="P114" s="176" t="s">
        <v>6401</v>
      </c>
      <c r="Q114" s="176"/>
      <c r="R114" s="176"/>
      <c r="S114" s="176"/>
      <c r="T114" s="270">
        <v>44854</v>
      </c>
      <c r="U114" s="176" t="s">
        <v>4803</v>
      </c>
    </row>
    <row r="115" spans="1:21">
      <c r="A115" s="176" t="s">
        <v>6402</v>
      </c>
      <c r="B115" s="176" t="s">
        <v>6403</v>
      </c>
      <c r="C115" s="176" t="s">
        <v>6404</v>
      </c>
      <c r="D115" s="176" t="s">
        <v>6405</v>
      </c>
      <c r="E115" s="176" t="s">
        <v>1732</v>
      </c>
      <c r="F115" s="176" t="s">
        <v>6406</v>
      </c>
      <c r="G115" s="774"/>
      <c r="H115" s="176" t="s">
        <v>6407</v>
      </c>
      <c r="I115" s="265" t="s">
        <v>1736</v>
      </c>
      <c r="J115" s="265" t="s">
        <v>1737</v>
      </c>
      <c r="K115" s="265" t="s">
        <v>1737</v>
      </c>
      <c r="L115" s="176"/>
      <c r="M115" s="270">
        <v>44855</v>
      </c>
      <c r="N115" s="176" t="s">
        <v>6408</v>
      </c>
      <c r="O115" s="270">
        <v>44921</v>
      </c>
      <c r="P115" s="176" t="s">
        <v>6409</v>
      </c>
      <c r="Q115" s="176"/>
      <c r="R115" s="176"/>
      <c r="S115" s="176"/>
      <c r="T115" s="270">
        <v>44855</v>
      </c>
      <c r="U115" s="176" t="s">
        <v>4803</v>
      </c>
    </row>
    <row r="116" spans="1:21">
      <c r="A116" s="176" t="s">
        <v>6410</v>
      </c>
      <c r="B116" s="176" t="s">
        <v>6411</v>
      </c>
      <c r="C116" s="176" t="s">
        <v>6412</v>
      </c>
      <c r="D116" s="176" t="s">
        <v>6413</v>
      </c>
      <c r="E116" s="176" t="s">
        <v>1732</v>
      </c>
      <c r="F116" s="176" t="s">
        <v>6414</v>
      </c>
      <c r="G116" s="774"/>
      <c r="H116" s="176" t="s">
        <v>6415</v>
      </c>
      <c r="I116" s="265" t="s">
        <v>1736</v>
      </c>
      <c r="J116" s="265" t="s">
        <v>1737</v>
      </c>
      <c r="K116" s="265" t="s">
        <v>1737</v>
      </c>
      <c r="L116" s="176"/>
      <c r="M116" s="270">
        <v>44855</v>
      </c>
      <c r="N116" s="176" t="s">
        <v>6416</v>
      </c>
      <c r="O116" s="270">
        <v>44921</v>
      </c>
      <c r="P116" s="176" t="s">
        <v>6417</v>
      </c>
      <c r="Q116" s="176"/>
      <c r="R116" s="176"/>
      <c r="S116" s="176"/>
      <c r="T116" s="270">
        <v>44855</v>
      </c>
      <c r="U116" s="176" t="s">
        <v>4803</v>
      </c>
    </row>
    <row r="117" spans="1:21">
      <c r="A117" s="267" t="s">
        <v>6418</v>
      </c>
      <c r="B117" s="267" t="s">
        <v>6419</v>
      </c>
      <c r="C117" s="267" t="s">
        <v>6420</v>
      </c>
      <c r="D117" s="267" t="s">
        <v>6421</v>
      </c>
      <c r="E117" s="267" t="s">
        <v>1732</v>
      </c>
      <c r="F117" s="267" t="s">
        <v>6422</v>
      </c>
      <c r="G117" s="774"/>
      <c r="H117" s="267" t="s">
        <v>6423</v>
      </c>
      <c r="I117" s="268" t="s">
        <v>1736</v>
      </c>
      <c r="J117" s="268" t="s">
        <v>5692</v>
      </c>
      <c r="K117" s="268" t="s">
        <v>5692</v>
      </c>
      <c r="L117" s="176" t="s">
        <v>6007</v>
      </c>
      <c r="M117" s="172"/>
      <c r="N117" s="176"/>
      <c r="O117" s="270"/>
      <c r="Q117" s="176"/>
      <c r="R117" s="176"/>
      <c r="S117" s="176"/>
      <c r="T117" s="176"/>
      <c r="U117" s="176"/>
    </row>
    <row r="118" spans="1:21">
      <c r="A118" s="176" t="s">
        <v>6424</v>
      </c>
      <c r="B118" s="176" t="s">
        <v>6425</v>
      </c>
      <c r="C118" s="176" t="s">
        <v>6426</v>
      </c>
      <c r="D118" s="176" t="s">
        <v>6427</v>
      </c>
      <c r="E118" s="176" t="s">
        <v>1732</v>
      </c>
      <c r="F118" s="176" t="s">
        <v>6428</v>
      </c>
      <c r="G118" s="774"/>
      <c r="H118" s="176" t="s">
        <v>6429</v>
      </c>
      <c r="I118" s="265" t="s">
        <v>1736</v>
      </c>
      <c r="J118" s="265" t="s">
        <v>1737</v>
      </c>
      <c r="K118" s="265" t="s">
        <v>1737</v>
      </c>
      <c r="L118" s="176"/>
      <c r="M118" s="270">
        <v>44854</v>
      </c>
      <c r="N118" s="176" t="s">
        <v>6430</v>
      </c>
      <c r="O118" s="270">
        <v>44921</v>
      </c>
      <c r="P118" s="176" t="s">
        <v>6431</v>
      </c>
      <c r="Q118" s="176"/>
      <c r="R118" s="176"/>
      <c r="S118" s="176"/>
      <c r="T118" s="270">
        <v>44854</v>
      </c>
      <c r="U118" s="176" t="s">
        <v>4803</v>
      </c>
    </row>
    <row r="119" spans="1:21">
      <c r="A119" s="176" t="s">
        <v>6432</v>
      </c>
      <c r="B119" s="176" t="s">
        <v>6433</v>
      </c>
      <c r="C119" s="176" t="s">
        <v>6434</v>
      </c>
      <c r="D119" s="176" t="s">
        <v>6435</v>
      </c>
      <c r="E119" s="176" t="s">
        <v>1732</v>
      </c>
      <c r="F119" s="176" t="s">
        <v>6436</v>
      </c>
      <c r="G119" s="774"/>
      <c r="H119" s="176" t="s">
        <v>6437</v>
      </c>
      <c r="I119" s="265" t="s">
        <v>1736</v>
      </c>
      <c r="J119" s="265" t="s">
        <v>1737</v>
      </c>
      <c r="K119" s="265" t="s">
        <v>1737</v>
      </c>
      <c r="L119" s="176"/>
      <c r="M119" s="270">
        <v>44908</v>
      </c>
      <c r="N119" s="176" t="s">
        <v>6438</v>
      </c>
      <c r="O119" s="270">
        <v>44921</v>
      </c>
      <c r="P119" s="176" t="s">
        <v>6439</v>
      </c>
      <c r="Q119" s="176"/>
      <c r="R119" s="176"/>
      <c r="S119" s="176"/>
      <c r="T119" s="270">
        <v>44908</v>
      </c>
      <c r="U119" s="176" t="s">
        <v>4803</v>
      </c>
    </row>
    <row r="120" spans="1:21">
      <c r="A120" s="176" t="s">
        <v>6440</v>
      </c>
      <c r="B120" s="176" t="s">
        <v>6441</v>
      </c>
      <c r="C120" s="176" t="s">
        <v>6442</v>
      </c>
      <c r="D120" s="176" t="s">
        <v>6443</v>
      </c>
      <c r="E120" s="176" t="s">
        <v>1732</v>
      </c>
      <c r="F120" s="176" t="s">
        <v>6444</v>
      </c>
      <c r="G120" s="774"/>
      <c r="H120" s="176" t="s">
        <v>6445</v>
      </c>
      <c r="I120" s="265" t="s">
        <v>1736</v>
      </c>
      <c r="J120" s="265" t="s">
        <v>1737</v>
      </c>
      <c r="K120" s="265" t="s">
        <v>1737</v>
      </c>
      <c r="L120" s="176"/>
      <c r="M120" s="270">
        <v>44852</v>
      </c>
      <c r="N120" s="176" t="s">
        <v>6446</v>
      </c>
      <c r="O120" s="270">
        <v>44921</v>
      </c>
      <c r="P120" s="176" t="s">
        <v>6447</v>
      </c>
      <c r="Q120" s="176"/>
      <c r="R120" s="176"/>
      <c r="S120" s="176"/>
      <c r="T120" s="270">
        <v>44852</v>
      </c>
      <c r="U120" s="176" t="s">
        <v>4803</v>
      </c>
    </row>
    <row r="121" spans="1:21">
      <c r="A121" s="176" t="s">
        <v>6448</v>
      </c>
      <c r="B121" s="176" t="s">
        <v>6449</v>
      </c>
      <c r="C121" s="176" t="s">
        <v>6450</v>
      </c>
      <c r="D121" s="176" t="s">
        <v>6451</v>
      </c>
      <c r="E121" s="176" t="s">
        <v>1732</v>
      </c>
      <c r="F121" s="176"/>
      <c r="G121" s="774"/>
      <c r="H121" s="176"/>
      <c r="I121" s="265" t="s">
        <v>1736</v>
      </c>
      <c r="J121" s="265" t="s">
        <v>1737</v>
      </c>
      <c r="K121" s="265" t="s">
        <v>1737</v>
      </c>
      <c r="L121" s="176"/>
      <c r="M121" s="270">
        <v>44888</v>
      </c>
      <c r="N121" s="176" t="s">
        <v>6452</v>
      </c>
      <c r="O121" s="270">
        <v>44921</v>
      </c>
      <c r="P121" s="176" t="s">
        <v>6453</v>
      </c>
      <c r="Q121" s="176"/>
      <c r="R121" s="176"/>
      <c r="S121" s="176"/>
      <c r="T121" s="270">
        <v>44888</v>
      </c>
      <c r="U121" s="176" t="s">
        <v>4803</v>
      </c>
    </row>
    <row r="122" spans="1:21">
      <c r="A122" s="176" t="s">
        <v>6454</v>
      </c>
      <c r="B122" s="176" t="s">
        <v>6455</v>
      </c>
      <c r="C122" s="176" t="s">
        <v>6456</v>
      </c>
      <c r="D122" s="176" t="s">
        <v>6457</v>
      </c>
      <c r="E122" s="176" t="s">
        <v>1732</v>
      </c>
      <c r="F122" s="176" t="s">
        <v>6458</v>
      </c>
      <c r="G122" s="774"/>
      <c r="H122" s="176" t="s">
        <v>6459</v>
      </c>
      <c r="I122" s="265" t="s">
        <v>1736</v>
      </c>
      <c r="J122" s="265" t="s">
        <v>1737</v>
      </c>
      <c r="K122" s="265" t="s">
        <v>1737</v>
      </c>
      <c r="L122" s="176"/>
      <c r="M122" s="270">
        <v>44853</v>
      </c>
      <c r="N122" s="176" t="s">
        <v>6460</v>
      </c>
      <c r="O122" s="270">
        <v>44922</v>
      </c>
      <c r="P122" s="176" t="s">
        <v>6461</v>
      </c>
      <c r="Q122" s="176"/>
      <c r="R122" s="176"/>
      <c r="S122" s="176"/>
      <c r="T122" s="270">
        <v>44853</v>
      </c>
      <c r="U122" s="176" t="s">
        <v>4803</v>
      </c>
    </row>
    <row r="123" spans="1:21">
      <c r="A123" s="176" t="s">
        <v>6462</v>
      </c>
      <c r="B123" s="176" t="s">
        <v>6463</v>
      </c>
      <c r="C123" s="176" t="s">
        <v>6464</v>
      </c>
      <c r="D123" s="176" t="s">
        <v>6465</v>
      </c>
      <c r="E123" s="176" t="s">
        <v>1732</v>
      </c>
      <c r="F123" s="176" t="s">
        <v>6466</v>
      </c>
      <c r="G123" s="774"/>
      <c r="H123" s="176" t="s">
        <v>6467</v>
      </c>
      <c r="I123" s="265" t="s">
        <v>1736</v>
      </c>
      <c r="J123" s="265" t="s">
        <v>1737</v>
      </c>
      <c r="K123" s="265" t="s">
        <v>1737</v>
      </c>
      <c r="L123" s="176"/>
      <c r="M123" s="270">
        <v>44853</v>
      </c>
      <c r="N123" s="176" t="s">
        <v>6468</v>
      </c>
      <c r="O123" s="270">
        <v>44922</v>
      </c>
      <c r="P123" s="176" t="s">
        <v>6469</v>
      </c>
      <c r="Q123" s="176"/>
      <c r="R123" s="176"/>
      <c r="S123" s="176"/>
      <c r="T123" s="270">
        <v>44853</v>
      </c>
      <c r="U123" s="176" t="s">
        <v>4803</v>
      </c>
    </row>
    <row r="124" spans="1:21">
      <c r="A124" s="176" t="s">
        <v>6470</v>
      </c>
      <c r="B124" s="176" t="s">
        <v>6471</v>
      </c>
      <c r="C124" s="176" t="s">
        <v>6472</v>
      </c>
      <c r="D124" s="176" t="s">
        <v>6473</v>
      </c>
      <c r="E124" s="176" t="s">
        <v>1732</v>
      </c>
      <c r="F124" s="176" t="s">
        <v>6474</v>
      </c>
      <c r="G124" s="773"/>
      <c r="H124" s="176" t="s">
        <v>6475</v>
      </c>
      <c r="I124" s="265" t="s">
        <v>1736</v>
      </c>
      <c r="J124" s="265" t="s">
        <v>1737</v>
      </c>
      <c r="K124" s="265" t="s">
        <v>1737</v>
      </c>
      <c r="L124" s="176"/>
      <c r="M124" s="270">
        <v>44853</v>
      </c>
      <c r="N124" s="176" t="s">
        <v>6476</v>
      </c>
      <c r="O124" s="270">
        <v>44922</v>
      </c>
      <c r="P124" s="176" t="s">
        <v>6477</v>
      </c>
      <c r="Q124" s="176"/>
      <c r="R124" s="176"/>
      <c r="S124" s="176"/>
      <c r="T124" s="270">
        <v>44853</v>
      </c>
      <c r="U124" s="176" t="s">
        <v>4803</v>
      </c>
    </row>
    <row r="125" spans="1:21">
      <c r="A125" s="176" t="s">
        <v>6478</v>
      </c>
      <c r="B125" s="176" t="s">
        <v>6479</v>
      </c>
      <c r="C125" s="176" t="s">
        <v>6480</v>
      </c>
      <c r="D125" s="176" t="s">
        <v>6481</v>
      </c>
      <c r="E125" s="176" t="s">
        <v>1732</v>
      </c>
      <c r="F125" s="176"/>
      <c r="G125" s="713" t="s">
        <v>6482</v>
      </c>
      <c r="H125" s="176" t="s">
        <v>6483</v>
      </c>
      <c r="I125" s="265" t="s">
        <v>1736</v>
      </c>
      <c r="J125" s="265" t="s">
        <v>1737</v>
      </c>
      <c r="K125" s="265" t="s">
        <v>1737</v>
      </c>
      <c r="L125" s="176"/>
      <c r="M125" s="270">
        <v>44860</v>
      </c>
      <c r="N125" s="176" t="s">
        <v>6484</v>
      </c>
      <c r="O125" s="270">
        <v>44922</v>
      </c>
      <c r="P125" s="176" t="s">
        <v>6485</v>
      </c>
      <c r="Q125" s="176"/>
      <c r="R125" s="176"/>
      <c r="S125" s="176"/>
      <c r="T125" s="270">
        <v>44860</v>
      </c>
      <c r="U125" s="176" t="s">
        <v>4803</v>
      </c>
    </row>
    <row r="126" spans="1:21">
      <c r="A126" s="176" t="s">
        <v>6486</v>
      </c>
      <c r="B126" s="176" t="s">
        <v>6487</v>
      </c>
      <c r="C126" s="176" t="s">
        <v>6488</v>
      </c>
      <c r="D126" s="176" t="s">
        <v>6489</v>
      </c>
      <c r="E126" s="176" t="s">
        <v>1732</v>
      </c>
      <c r="F126" s="176"/>
      <c r="G126" s="774"/>
      <c r="H126" s="176" t="s">
        <v>6490</v>
      </c>
      <c r="I126" s="265" t="s">
        <v>1736</v>
      </c>
      <c r="J126" s="265" t="s">
        <v>1737</v>
      </c>
      <c r="K126" s="265" t="s">
        <v>1737</v>
      </c>
      <c r="L126" s="176"/>
      <c r="M126" s="270">
        <v>44860</v>
      </c>
      <c r="N126" s="176" t="s">
        <v>6491</v>
      </c>
      <c r="O126" s="270">
        <v>44922</v>
      </c>
      <c r="P126" s="176" t="s">
        <v>6492</v>
      </c>
      <c r="Q126" s="176"/>
      <c r="R126" s="176"/>
      <c r="S126" s="176"/>
      <c r="T126" s="270">
        <v>44860</v>
      </c>
      <c r="U126" s="176" t="s">
        <v>4803</v>
      </c>
    </row>
    <row r="127" spans="1:21">
      <c r="A127" s="176" t="s">
        <v>6493</v>
      </c>
      <c r="B127" s="176" t="s">
        <v>6494</v>
      </c>
      <c r="C127" s="176" t="s">
        <v>6495</v>
      </c>
      <c r="D127" s="176" t="s">
        <v>6496</v>
      </c>
      <c r="E127" s="176" t="s">
        <v>1732</v>
      </c>
      <c r="F127" s="176"/>
      <c r="G127" s="774"/>
      <c r="H127" s="176" t="s">
        <v>6497</v>
      </c>
      <c r="I127" s="265" t="s">
        <v>1736</v>
      </c>
      <c r="J127" s="265" t="s">
        <v>1737</v>
      </c>
      <c r="K127" s="265" t="s">
        <v>1737</v>
      </c>
      <c r="L127" s="176"/>
      <c r="M127" s="270">
        <v>44860</v>
      </c>
      <c r="N127" s="176" t="s">
        <v>6498</v>
      </c>
      <c r="O127" s="270">
        <v>44922</v>
      </c>
      <c r="P127" s="176" t="s">
        <v>6499</v>
      </c>
      <c r="Q127" s="176"/>
      <c r="R127" s="176"/>
      <c r="S127" s="176"/>
      <c r="T127" s="270">
        <v>44860</v>
      </c>
      <c r="U127" s="176" t="s">
        <v>4803</v>
      </c>
    </row>
    <row r="128" spans="1:21">
      <c r="A128" s="176" t="s">
        <v>6500</v>
      </c>
      <c r="B128" s="176" t="s">
        <v>6501</v>
      </c>
      <c r="C128" s="176" t="s">
        <v>6502</v>
      </c>
      <c r="D128" s="176" t="s">
        <v>6503</v>
      </c>
      <c r="E128" s="176" t="s">
        <v>1732</v>
      </c>
      <c r="F128" s="176"/>
      <c r="G128" s="774"/>
      <c r="H128" s="176" t="s">
        <v>6504</v>
      </c>
      <c r="I128" s="265" t="s">
        <v>1736</v>
      </c>
      <c r="J128" s="265" t="s">
        <v>1737</v>
      </c>
      <c r="K128" s="265" t="s">
        <v>1737</v>
      </c>
      <c r="L128" s="176"/>
      <c r="M128" s="270">
        <v>44861</v>
      </c>
      <c r="N128" s="176" t="s">
        <v>6505</v>
      </c>
      <c r="O128" s="270">
        <v>44922</v>
      </c>
      <c r="P128" s="176" t="s">
        <v>6506</v>
      </c>
      <c r="Q128" s="176"/>
      <c r="R128" s="176"/>
      <c r="S128" s="176"/>
      <c r="T128" s="270">
        <v>44861</v>
      </c>
      <c r="U128" s="176" t="s">
        <v>4803</v>
      </c>
    </row>
    <row r="129" spans="1:21">
      <c r="A129" s="176" t="s">
        <v>6507</v>
      </c>
      <c r="B129" s="176" t="s">
        <v>6508</v>
      </c>
      <c r="C129" s="176" t="s">
        <v>6509</v>
      </c>
      <c r="D129" s="176" t="s">
        <v>6510</v>
      </c>
      <c r="E129" s="176" t="s">
        <v>1732</v>
      </c>
      <c r="F129" s="176"/>
      <c r="G129" s="774"/>
      <c r="H129" s="176" t="s">
        <v>6511</v>
      </c>
      <c r="I129" s="265" t="s">
        <v>1736</v>
      </c>
      <c r="J129" s="265" t="s">
        <v>1737</v>
      </c>
      <c r="K129" s="265" t="s">
        <v>1737</v>
      </c>
      <c r="L129" s="176"/>
      <c r="M129" s="270">
        <v>44861</v>
      </c>
      <c r="N129" s="176" t="s">
        <v>6512</v>
      </c>
      <c r="O129" s="270">
        <v>44922</v>
      </c>
      <c r="P129" s="176" t="s">
        <v>6513</v>
      </c>
      <c r="Q129" s="176"/>
      <c r="R129" s="176"/>
      <c r="S129" s="176"/>
      <c r="T129" s="270">
        <v>44861</v>
      </c>
      <c r="U129" s="176" t="s">
        <v>4803</v>
      </c>
    </row>
    <row r="130" spans="1:21">
      <c r="A130" s="176" t="s">
        <v>6514</v>
      </c>
      <c r="B130" s="176" t="s">
        <v>6515</v>
      </c>
      <c r="C130" s="176" t="s">
        <v>6516</v>
      </c>
      <c r="D130" s="176" t="s">
        <v>6517</v>
      </c>
      <c r="E130" s="176" t="s">
        <v>1732</v>
      </c>
      <c r="F130" s="176"/>
      <c r="G130" s="774"/>
      <c r="H130" s="176" t="s">
        <v>6518</v>
      </c>
      <c r="I130" s="265" t="s">
        <v>1736</v>
      </c>
      <c r="J130" s="265" t="s">
        <v>1737</v>
      </c>
      <c r="K130" s="265" t="s">
        <v>1737</v>
      </c>
      <c r="L130" s="176"/>
      <c r="M130" s="270">
        <v>44861</v>
      </c>
      <c r="N130" s="176" t="s">
        <v>6519</v>
      </c>
      <c r="O130" s="270">
        <v>44922</v>
      </c>
      <c r="P130" s="176" t="s">
        <v>6520</v>
      </c>
      <c r="Q130" s="176"/>
      <c r="R130" s="176"/>
      <c r="S130" s="176"/>
      <c r="T130" s="270">
        <v>44861</v>
      </c>
      <c r="U130" s="176" t="s">
        <v>4803</v>
      </c>
    </row>
    <row r="131" spans="1:21">
      <c r="A131" s="176" t="s">
        <v>6521</v>
      </c>
      <c r="B131" s="176" t="s">
        <v>6522</v>
      </c>
      <c r="C131" s="176" t="s">
        <v>6523</v>
      </c>
      <c r="D131" s="176" t="s">
        <v>6524</v>
      </c>
      <c r="E131" s="176" t="s">
        <v>1732</v>
      </c>
      <c r="F131" s="176"/>
      <c r="G131" s="774"/>
      <c r="H131" s="176" t="s">
        <v>6525</v>
      </c>
      <c r="I131" s="265" t="s">
        <v>1736</v>
      </c>
      <c r="J131" s="265" t="s">
        <v>1737</v>
      </c>
      <c r="K131" s="265" t="s">
        <v>1737</v>
      </c>
      <c r="L131" s="176"/>
      <c r="M131" s="270">
        <v>44862</v>
      </c>
      <c r="N131" s="176" t="s">
        <v>6526</v>
      </c>
      <c r="O131" s="270">
        <v>44922</v>
      </c>
      <c r="P131" s="176" t="s">
        <v>6527</v>
      </c>
      <c r="Q131" s="176"/>
      <c r="R131" s="176"/>
      <c r="S131" s="176"/>
      <c r="T131" s="270">
        <v>44862</v>
      </c>
      <c r="U131" s="176" t="s">
        <v>4803</v>
      </c>
    </row>
    <row r="132" spans="1:21">
      <c r="A132" s="176" t="s">
        <v>6528</v>
      </c>
      <c r="B132" s="176" t="s">
        <v>6529</v>
      </c>
      <c r="C132" s="176" t="s">
        <v>6530</v>
      </c>
      <c r="D132" s="176" t="s">
        <v>6531</v>
      </c>
      <c r="E132" s="176" t="s">
        <v>1732</v>
      </c>
      <c r="F132" s="176"/>
      <c r="G132" s="774"/>
      <c r="H132" s="176" t="s">
        <v>6532</v>
      </c>
      <c r="I132" s="265" t="s">
        <v>1736</v>
      </c>
      <c r="J132" s="265" t="s">
        <v>1737</v>
      </c>
      <c r="K132" s="265" t="s">
        <v>1737</v>
      </c>
      <c r="L132" s="176"/>
      <c r="M132" s="270">
        <v>44862</v>
      </c>
      <c r="N132" s="176" t="s">
        <v>6533</v>
      </c>
      <c r="O132" s="270">
        <v>44922</v>
      </c>
      <c r="P132" s="176" t="s">
        <v>6534</v>
      </c>
      <c r="Q132" s="176"/>
      <c r="R132" s="176"/>
      <c r="S132" s="176"/>
      <c r="T132" s="270">
        <v>44862</v>
      </c>
      <c r="U132" s="176" t="s">
        <v>4803</v>
      </c>
    </row>
    <row r="133" spans="1:21">
      <c r="A133" s="176" t="s">
        <v>6535</v>
      </c>
      <c r="B133" s="176" t="s">
        <v>6536</v>
      </c>
      <c r="C133" s="176" t="s">
        <v>6537</v>
      </c>
      <c r="D133" s="176" t="s">
        <v>6538</v>
      </c>
      <c r="E133" s="176" t="s">
        <v>1732</v>
      </c>
      <c r="F133" s="176"/>
      <c r="G133" s="774"/>
      <c r="H133" s="176" t="s">
        <v>6539</v>
      </c>
      <c r="I133" s="265" t="s">
        <v>1736</v>
      </c>
      <c r="J133" s="265" t="s">
        <v>1737</v>
      </c>
      <c r="K133" s="265" t="s">
        <v>1737</v>
      </c>
      <c r="L133" s="176"/>
      <c r="M133" s="270">
        <v>44862</v>
      </c>
      <c r="N133" s="176" t="s">
        <v>6540</v>
      </c>
      <c r="O133" s="270">
        <v>44930</v>
      </c>
      <c r="P133" s="176" t="s">
        <v>6541</v>
      </c>
      <c r="Q133" s="176"/>
      <c r="R133" s="176"/>
      <c r="S133" s="176"/>
      <c r="T133" s="270">
        <v>44862</v>
      </c>
      <c r="U133" s="176" t="s">
        <v>4803</v>
      </c>
    </row>
    <row r="134" spans="1:21">
      <c r="A134" s="176" t="s">
        <v>6542</v>
      </c>
      <c r="B134" s="176" t="s">
        <v>6543</v>
      </c>
      <c r="C134" s="176" t="s">
        <v>6544</v>
      </c>
      <c r="D134" s="176" t="s">
        <v>6545</v>
      </c>
      <c r="E134" s="176" t="s">
        <v>1732</v>
      </c>
      <c r="F134" s="176"/>
      <c r="G134" s="774"/>
      <c r="H134" s="176" t="s">
        <v>6546</v>
      </c>
      <c r="I134" s="265" t="s">
        <v>1736</v>
      </c>
      <c r="J134" s="265" t="s">
        <v>1737</v>
      </c>
      <c r="K134" s="265" t="s">
        <v>1737</v>
      </c>
      <c r="L134" s="176"/>
      <c r="M134" s="270">
        <v>44895</v>
      </c>
      <c r="N134" s="176" t="s">
        <v>6547</v>
      </c>
      <c r="O134" s="176"/>
      <c r="P134" s="176"/>
      <c r="Q134" s="176"/>
      <c r="R134" s="176"/>
      <c r="S134" s="176"/>
      <c r="T134" s="270">
        <v>44895</v>
      </c>
      <c r="U134" s="176" t="s">
        <v>4803</v>
      </c>
    </row>
    <row r="135" spans="1:21">
      <c r="A135" s="176" t="s">
        <v>6548</v>
      </c>
      <c r="B135" s="176" t="s">
        <v>6549</v>
      </c>
      <c r="C135" s="176" t="s">
        <v>6550</v>
      </c>
      <c r="D135" s="176" t="s">
        <v>6551</v>
      </c>
      <c r="E135" s="176" t="s">
        <v>1732</v>
      </c>
      <c r="F135" s="176"/>
      <c r="G135" s="774"/>
      <c r="H135" s="176" t="s">
        <v>6546</v>
      </c>
      <c r="I135" s="265" t="s">
        <v>1736</v>
      </c>
      <c r="J135" s="265" t="s">
        <v>1737</v>
      </c>
      <c r="K135" s="265" t="s">
        <v>1737</v>
      </c>
      <c r="L135" s="176"/>
      <c r="M135" s="270">
        <v>44895</v>
      </c>
      <c r="N135" s="176" t="s">
        <v>6552</v>
      </c>
      <c r="O135" s="176"/>
      <c r="P135" s="176"/>
      <c r="Q135" s="176"/>
      <c r="R135" s="176"/>
      <c r="S135" s="176"/>
      <c r="T135" s="270">
        <v>44895</v>
      </c>
      <c r="U135" s="176" t="s">
        <v>4803</v>
      </c>
    </row>
    <row r="136" spans="1:21">
      <c r="A136" s="176" t="s">
        <v>6553</v>
      </c>
      <c r="B136" s="176" t="s">
        <v>6554</v>
      </c>
      <c r="C136" s="176" t="s">
        <v>6555</v>
      </c>
      <c r="D136" s="176" t="s">
        <v>6556</v>
      </c>
      <c r="E136" s="176" t="s">
        <v>1732</v>
      </c>
      <c r="F136" s="176"/>
      <c r="G136" s="774"/>
      <c r="H136" s="176" t="s">
        <v>6557</v>
      </c>
      <c r="I136" s="265" t="s">
        <v>1736</v>
      </c>
      <c r="J136" s="265" t="s">
        <v>1737</v>
      </c>
      <c r="K136" s="265" t="s">
        <v>1737</v>
      </c>
      <c r="L136" s="176"/>
      <c r="M136" s="270">
        <v>44890</v>
      </c>
      <c r="N136" s="176" t="s">
        <v>6558</v>
      </c>
      <c r="O136" s="176"/>
      <c r="P136" s="176"/>
      <c r="Q136" s="176"/>
      <c r="R136" s="176"/>
      <c r="S136" s="176"/>
      <c r="T136" s="270">
        <v>44890</v>
      </c>
      <c r="U136" s="176" t="s">
        <v>4803</v>
      </c>
    </row>
    <row r="137" spans="1:21">
      <c r="A137" s="176" t="s">
        <v>6559</v>
      </c>
      <c r="B137" s="176" t="s">
        <v>6560</v>
      </c>
      <c r="C137" s="176" t="s">
        <v>6561</v>
      </c>
      <c r="D137" s="176" t="s">
        <v>6562</v>
      </c>
      <c r="E137" s="176" t="s">
        <v>1732</v>
      </c>
      <c r="F137" s="176"/>
      <c r="G137" s="774"/>
      <c r="H137" s="176" t="s">
        <v>6563</v>
      </c>
      <c r="I137" s="265" t="s">
        <v>1736</v>
      </c>
      <c r="J137" s="265" t="s">
        <v>1737</v>
      </c>
      <c r="K137" s="265" t="s">
        <v>1737</v>
      </c>
      <c r="L137" s="176"/>
      <c r="M137" s="270">
        <v>44888</v>
      </c>
      <c r="N137" s="176" t="s">
        <v>6564</v>
      </c>
      <c r="O137" s="176"/>
      <c r="P137" s="176"/>
      <c r="Q137" s="176"/>
      <c r="R137" s="176"/>
      <c r="S137" s="176"/>
      <c r="T137" s="270">
        <v>44888</v>
      </c>
      <c r="U137" s="176" t="s">
        <v>4803</v>
      </c>
    </row>
    <row r="138" spans="1:21">
      <c r="A138" s="267" t="s">
        <v>6565</v>
      </c>
      <c r="B138" s="267" t="s">
        <v>6566</v>
      </c>
      <c r="C138" s="267" t="s">
        <v>6567</v>
      </c>
      <c r="D138" s="267" t="s">
        <v>6568</v>
      </c>
      <c r="E138" s="267" t="s">
        <v>1732</v>
      </c>
      <c r="F138" s="267"/>
      <c r="G138" s="774"/>
      <c r="H138" s="267" t="s">
        <v>6569</v>
      </c>
      <c r="I138" s="268" t="s">
        <v>1736</v>
      </c>
      <c r="J138" s="268" t="s">
        <v>5692</v>
      </c>
      <c r="K138" s="268" t="s">
        <v>5692</v>
      </c>
      <c r="L138" s="176" t="s">
        <v>6007</v>
      </c>
      <c r="M138" s="270"/>
      <c r="N138" s="176"/>
      <c r="O138" s="176"/>
      <c r="P138" s="176"/>
      <c r="Q138" s="176"/>
      <c r="R138" s="176"/>
      <c r="S138" s="176"/>
      <c r="T138" s="270"/>
      <c r="U138" s="176"/>
    </row>
    <row r="139" spans="1:21">
      <c r="A139" s="176" t="s">
        <v>6570</v>
      </c>
      <c r="B139" s="176" t="s">
        <v>6571</v>
      </c>
      <c r="C139" s="176" t="s">
        <v>6572</v>
      </c>
      <c r="D139" s="176" t="s">
        <v>6573</v>
      </c>
      <c r="E139" s="176" t="s">
        <v>1732</v>
      </c>
      <c r="F139" s="176"/>
      <c r="G139" s="774"/>
      <c r="H139" s="176" t="s">
        <v>6574</v>
      </c>
      <c r="I139" s="265" t="s">
        <v>1736</v>
      </c>
      <c r="J139" s="265" t="s">
        <v>1737</v>
      </c>
      <c r="K139" s="265" t="s">
        <v>1737</v>
      </c>
      <c r="L139" s="176"/>
      <c r="M139" s="270">
        <v>44869</v>
      </c>
      <c r="N139" s="176" t="s">
        <v>6575</v>
      </c>
      <c r="O139" s="270">
        <v>44929</v>
      </c>
      <c r="P139" s="176" t="s">
        <v>6576</v>
      </c>
      <c r="Q139" s="176"/>
      <c r="R139" s="176"/>
      <c r="S139" s="176"/>
      <c r="T139" s="270">
        <v>44869</v>
      </c>
      <c r="U139" s="176" t="s">
        <v>4803</v>
      </c>
    </row>
    <row r="140" spans="1:21">
      <c r="A140" s="176" t="s">
        <v>6577</v>
      </c>
      <c r="B140" s="176" t="s">
        <v>6578</v>
      </c>
      <c r="C140" s="176" t="s">
        <v>6579</v>
      </c>
      <c r="D140" s="176" t="s">
        <v>6580</v>
      </c>
      <c r="E140" s="176" t="s">
        <v>1732</v>
      </c>
      <c r="F140" s="176"/>
      <c r="G140" s="774"/>
      <c r="H140" s="176" t="s">
        <v>6581</v>
      </c>
      <c r="I140" s="265" t="s">
        <v>1736</v>
      </c>
      <c r="J140" s="265" t="s">
        <v>1737</v>
      </c>
      <c r="K140" s="265" t="s">
        <v>1737</v>
      </c>
      <c r="L140" s="176"/>
      <c r="M140" s="270">
        <v>44866</v>
      </c>
      <c r="N140" s="176" t="s">
        <v>6582</v>
      </c>
      <c r="O140" s="270">
        <v>44929</v>
      </c>
      <c r="P140" s="176" t="s">
        <v>6583</v>
      </c>
      <c r="Q140" s="176"/>
      <c r="R140" s="176"/>
      <c r="S140" s="176"/>
      <c r="T140" s="270">
        <v>44866</v>
      </c>
      <c r="U140" s="176" t="s">
        <v>4803</v>
      </c>
    </row>
    <row r="141" spans="1:21">
      <c r="A141" s="176" t="s">
        <v>6584</v>
      </c>
      <c r="B141" s="176" t="s">
        <v>6585</v>
      </c>
      <c r="C141" s="176" t="s">
        <v>6586</v>
      </c>
      <c r="D141" s="176" t="s">
        <v>6587</v>
      </c>
      <c r="E141" s="176" t="s">
        <v>1732</v>
      </c>
      <c r="F141" s="176"/>
      <c r="G141" s="774"/>
      <c r="H141" s="176" t="s">
        <v>6588</v>
      </c>
      <c r="I141" s="265" t="s">
        <v>1736</v>
      </c>
      <c r="J141" s="265" t="s">
        <v>1737</v>
      </c>
      <c r="K141" s="265" t="s">
        <v>1737</v>
      </c>
      <c r="L141" s="176"/>
      <c r="M141" s="270">
        <v>44867</v>
      </c>
      <c r="N141" s="176" t="s">
        <v>6589</v>
      </c>
      <c r="O141" s="270">
        <v>44930</v>
      </c>
      <c r="P141" s="176" t="s">
        <v>6590</v>
      </c>
      <c r="Q141" s="176"/>
      <c r="R141" s="176"/>
      <c r="S141" s="176"/>
      <c r="T141" s="270">
        <v>44867</v>
      </c>
      <c r="U141" s="176" t="s">
        <v>4803</v>
      </c>
    </row>
    <row r="142" spans="1:21">
      <c r="A142" s="176" t="s">
        <v>6591</v>
      </c>
      <c r="B142" s="176" t="s">
        <v>6592</v>
      </c>
      <c r="C142" s="176" t="s">
        <v>6593</v>
      </c>
      <c r="D142" s="176" t="s">
        <v>6594</v>
      </c>
      <c r="E142" s="176" t="s">
        <v>1732</v>
      </c>
      <c r="F142" s="176"/>
      <c r="G142" s="774"/>
      <c r="H142" s="176" t="s">
        <v>6595</v>
      </c>
      <c r="I142" s="265" t="s">
        <v>1736</v>
      </c>
      <c r="J142" s="265" t="s">
        <v>1737</v>
      </c>
      <c r="K142" s="265" t="s">
        <v>1737</v>
      </c>
      <c r="L142" s="176"/>
      <c r="M142" s="270">
        <v>44867</v>
      </c>
      <c r="N142" s="176" t="s">
        <v>6596</v>
      </c>
      <c r="O142" s="270">
        <v>44930</v>
      </c>
      <c r="P142" s="176" t="s">
        <v>6597</v>
      </c>
      <c r="Q142" s="176"/>
      <c r="R142" s="176"/>
      <c r="S142" s="176"/>
      <c r="T142" s="270">
        <v>44867</v>
      </c>
      <c r="U142" s="176" t="s">
        <v>4803</v>
      </c>
    </row>
    <row r="143" spans="1:21">
      <c r="A143" s="176" t="s">
        <v>6598</v>
      </c>
      <c r="B143" s="176" t="s">
        <v>6599</v>
      </c>
      <c r="C143" s="176" t="s">
        <v>6600</v>
      </c>
      <c r="D143" s="176" t="s">
        <v>6601</v>
      </c>
      <c r="E143" s="176" t="s">
        <v>1732</v>
      </c>
      <c r="F143" s="176"/>
      <c r="G143" s="774"/>
      <c r="H143" s="176" t="s">
        <v>6602</v>
      </c>
      <c r="I143" s="265" t="s">
        <v>1736</v>
      </c>
      <c r="J143" s="265" t="s">
        <v>1737</v>
      </c>
      <c r="K143" s="265" t="s">
        <v>1737</v>
      </c>
      <c r="L143" s="176"/>
      <c r="M143" s="270">
        <v>44867</v>
      </c>
      <c r="N143" s="176" t="s">
        <v>6603</v>
      </c>
      <c r="O143" s="270">
        <v>44931</v>
      </c>
      <c r="P143" s="176" t="s">
        <v>6604</v>
      </c>
      <c r="Q143" s="176"/>
      <c r="R143" s="176"/>
      <c r="S143" s="176"/>
      <c r="T143" s="270">
        <v>44867</v>
      </c>
      <c r="U143" s="176" t="s">
        <v>4803</v>
      </c>
    </row>
    <row r="144" spans="1:21">
      <c r="A144" s="176" t="s">
        <v>6605</v>
      </c>
      <c r="B144" s="176" t="s">
        <v>6606</v>
      </c>
      <c r="C144" s="176" t="s">
        <v>6607</v>
      </c>
      <c r="D144" s="176" t="s">
        <v>6608</v>
      </c>
      <c r="E144" s="176" t="s">
        <v>1732</v>
      </c>
      <c r="F144" s="176"/>
      <c r="G144" s="774"/>
      <c r="H144" s="176" t="s">
        <v>6609</v>
      </c>
      <c r="I144" s="265" t="s">
        <v>1736</v>
      </c>
      <c r="J144" s="265" t="s">
        <v>1737</v>
      </c>
      <c r="K144" s="265" t="s">
        <v>1737</v>
      </c>
      <c r="L144" s="176"/>
      <c r="M144" s="270">
        <v>44868</v>
      </c>
      <c r="N144" s="176" t="s">
        <v>6610</v>
      </c>
      <c r="O144" s="270">
        <v>44931</v>
      </c>
      <c r="P144" s="172" t="s">
        <v>6611</v>
      </c>
      <c r="Q144" s="176"/>
      <c r="R144" s="176"/>
      <c r="S144" s="176"/>
      <c r="T144" s="270">
        <v>44868</v>
      </c>
      <c r="U144" s="176" t="s">
        <v>4803</v>
      </c>
    </row>
    <row r="145" spans="1:21">
      <c r="A145" s="176" t="s">
        <v>6612</v>
      </c>
      <c r="B145" s="176" t="s">
        <v>6613</v>
      </c>
      <c r="C145" s="176" t="s">
        <v>6614</v>
      </c>
      <c r="D145" s="176" t="s">
        <v>6615</v>
      </c>
      <c r="E145" s="176" t="s">
        <v>1732</v>
      </c>
      <c r="F145" s="176"/>
      <c r="G145" s="774"/>
      <c r="H145" s="176" t="s">
        <v>6616</v>
      </c>
      <c r="I145" s="265" t="s">
        <v>1736</v>
      </c>
      <c r="J145" s="265" t="s">
        <v>1737</v>
      </c>
      <c r="K145" s="265" t="s">
        <v>1737</v>
      </c>
      <c r="L145" s="176"/>
      <c r="M145" s="270">
        <v>44868</v>
      </c>
      <c r="N145" s="176" t="s">
        <v>6617</v>
      </c>
      <c r="O145" s="270">
        <v>44935</v>
      </c>
      <c r="P145" s="176" t="s">
        <v>6618</v>
      </c>
      <c r="Q145" s="176"/>
      <c r="R145" s="176"/>
      <c r="S145" s="176"/>
      <c r="T145" s="270">
        <v>44868</v>
      </c>
      <c r="U145" s="176" t="s">
        <v>4803</v>
      </c>
    </row>
    <row r="146" spans="1:21">
      <c r="A146" s="176" t="s">
        <v>6619</v>
      </c>
      <c r="B146" s="176" t="s">
        <v>6620</v>
      </c>
      <c r="C146" s="176" t="s">
        <v>6621</v>
      </c>
      <c r="D146" s="176" t="s">
        <v>6622</v>
      </c>
      <c r="E146" s="176" t="s">
        <v>1732</v>
      </c>
      <c r="F146" s="176"/>
      <c r="G146" s="774"/>
      <c r="H146" s="176" t="s">
        <v>6623</v>
      </c>
      <c r="I146" s="265" t="s">
        <v>1736</v>
      </c>
      <c r="J146" s="265" t="s">
        <v>1737</v>
      </c>
      <c r="K146" s="265" t="s">
        <v>1737</v>
      </c>
      <c r="L146" s="176"/>
      <c r="M146" s="270">
        <v>44866</v>
      </c>
      <c r="N146" s="176" t="s">
        <v>6624</v>
      </c>
      <c r="O146" s="270">
        <v>44935</v>
      </c>
      <c r="P146" s="176" t="s">
        <v>6625</v>
      </c>
      <c r="Q146" s="176"/>
      <c r="R146" s="176"/>
      <c r="S146" s="176"/>
      <c r="T146" s="270">
        <v>44866</v>
      </c>
      <c r="U146" s="176" t="s">
        <v>4803</v>
      </c>
    </row>
    <row r="147" spans="1:21">
      <c r="A147" s="176" t="s">
        <v>6626</v>
      </c>
      <c r="B147" s="176" t="s">
        <v>6627</v>
      </c>
      <c r="C147" s="176" t="s">
        <v>6628</v>
      </c>
      <c r="D147" s="176" t="s">
        <v>6629</v>
      </c>
      <c r="E147" s="176" t="s">
        <v>1732</v>
      </c>
      <c r="F147" s="176"/>
      <c r="G147" s="774"/>
      <c r="H147" s="176" t="s">
        <v>6630</v>
      </c>
      <c r="I147" s="265" t="s">
        <v>1736</v>
      </c>
      <c r="J147" s="265" t="s">
        <v>1737</v>
      </c>
      <c r="K147" s="265" t="s">
        <v>1737</v>
      </c>
      <c r="L147" s="176"/>
      <c r="M147" s="270">
        <v>44908</v>
      </c>
      <c r="N147" s="176" t="s">
        <v>6631</v>
      </c>
      <c r="O147" s="270">
        <v>44935</v>
      </c>
      <c r="P147" s="176" t="s">
        <v>6632</v>
      </c>
      <c r="Q147" s="176"/>
      <c r="R147" s="176"/>
      <c r="S147" s="176"/>
      <c r="T147" s="270">
        <v>44908</v>
      </c>
      <c r="U147" s="176" t="s">
        <v>4803</v>
      </c>
    </row>
    <row r="148" spans="1:21">
      <c r="A148" s="176" t="s">
        <v>6633</v>
      </c>
      <c r="B148" s="176" t="s">
        <v>6634</v>
      </c>
      <c r="C148" s="176" t="s">
        <v>6635</v>
      </c>
      <c r="D148" s="176" t="s">
        <v>6636</v>
      </c>
      <c r="E148" s="176" t="s">
        <v>1732</v>
      </c>
      <c r="F148" s="176"/>
      <c r="G148" s="774"/>
      <c r="H148" s="176" t="s">
        <v>6637</v>
      </c>
      <c r="I148" s="265" t="s">
        <v>1736</v>
      </c>
      <c r="J148" s="265" t="s">
        <v>1737</v>
      </c>
      <c r="K148" s="265" t="s">
        <v>1737</v>
      </c>
      <c r="L148" s="176"/>
      <c r="M148" s="270">
        <v>44874</v>
      </c>
      <c r="N148" s="176" t="s">
        <v>6638</v>
      </c>
      <c r="O148" s="172" t="s">
        <v>4021</v>
      </c>
      <c r="P148" s="176" t="s">
        <v>6639</v>
      </c>
      <c r="Q148" s="176"/>
      <c r="R148" s="176"/>
      <c r="S148" s="176"/>
      <c r="T148" s="270">
        <v>44874</v>
      </c>
      <c r="U148" s="176" t="s">
        <v>4803</v>
      </c>
    </row>
    <row r="149" spans="1:21">
      <c r="A149" s="176" t="s">
        <v>6640</v>
      </c>
      <c r="B149" s="176" t="s">
        <v>6641</v>
      </c>
      <c r="C149" s="176" t="s">
        <v>6642</v>
      </c>
      <c r="D149" s="176" t="s">
        <v>6643</v>
      </c>
      <c r="E149" s="176" t="s">
        <v>1732</v>
      </c>
      <c r="F149" s="176"/>
      <c r="G149" s="774"/>
      <c r="H149" s="176" t="s">
        <v>6644</v>
      </c>
      <c r="I149" s="265" t="s">
        <v>1736</v>
      </c>
      <c r="J149" s="265" t="s">
        <v>1737</v>
      </c>
      <c r="K149" s="265" t="s">
        <v>1737</v>
      </c>
      <c r="L149" s="176"/>
      <c r="M149" s="270">
        <v>44867</v>
      </c>
      <c r="N149" s="176" t="s">
        <v>6645</v>
      </c>
      <c r="O149" s="172" t="s">
        <v>4021</v>
      </c>
      <c r="P149" s="176" t="s">
        <v>6646</v>
      </c>
      <c r="Q149" s="176"/>
      <c r="R149" s="176"/>
      <c r="S149" s="176"/>
      <c r="T149" s="270">
        <v>44867</v>
      </c>
      <c r="U149" s="176" t="s">
        <v>4803</v>
      </c>
    </row>
    <row r="150" spans="1:21">
      <c r="A150" s="176" t="s">
        <v>6647</v>
      </c>
      <c r="B150" s="176" t="s">
        <v>6648</v>
      </c>
      <c r="C150" s="176" t="s">
        <v>6649</v>
      </c>
      <c r="D150" s="176" t="s">
        <v>6650</v>
      </c>
      <c r="E150" s="176" t="s">
        <v>1732</v>
      </c>
      <c r="F150" s="176"/>
      <c r="G150" s="774"/>
      <c r="H150" s="176" t="s">
        <v>6651</v>
      </c>
      <c r="I150" s="265" t="s">
        <v>1736</v>
      </c>
      <c r="J150" s="265" t="s">
        <v>1737</v>
      </c>
      <c r="K150" s="265" t="s">
        <v>1737</v>
      </c>
      <c r="L150" s="176"/>
      <c r="M150" s="270">
        <v>44908</v>
      </c>
      <c r="N150" s="176" t="s">
        <v>6652</v>
      </c>
      <c r="O150" s="172" t="s">
        <v>4021</v>
      </c>
      <c r="P150" s="176" t="s">
        <v>6653</v>
      </c>
      <c r="Q150" s="176"/>
      <c r="R150" s="176"/>
      <c r="S150" s="176"/>
      <c r="T150" s="270">
        <v>44908</v>
      </c>
      <c r="U150" s="176" t="s">
        <v>4803</v>
      </c>
    </row>
    <row r="151" spans="1:21">
      <c r="A151" s="176" t="s">
        <v>6654</v>
      </c>
      <c r="B151" s="176" t="s">
        <v>6655</v>
      </c>
      <c r="C151" s="176" t="s">
        <v>6656</v>
      </c>
      <c r="D151" s="176" t="s">
        <v>6657</v>
      </c>
      <c r="E151" s="176" t="s">
        <v>1732</v>
      </c>
      <c r="F151" s="176"/>
      <c r="G151" s="774"/>
      <c r="H151" s="176" t="s">
        <v>6658</v>
      </c>
      <c r="I151" s="265" t="s">
        <v>1736</v>
      </c>
      <c r="J151" s="265" t="s">
        <v>1737</v>
      </c>
      <c r="K151" s="265" t="s">
        <v>1737</v>
      </c>
      <c r="L151" s="176"/>
      <c r="M151" s="270">
        <v>44868</v>
      </c>
      <c r="N151" s="176" t="s">
        <v>6659</v>
      </c>
      <c r="O151" s="172" t="s">
        <v>4021</v>
      </c>
      <c r="P151" s="176" t="s">
        <v>6660</v>
      </c>
      <c r="Q151" s="176"/>
      <c r="R151" s="176"/>
      <c r="S151" s="176"/>
      <c r="T151" s="270">
        <v>44868</v>
      </c>
      <c r="U151" s="176" t="s">
        <v>4803</v>
      </c>
    </row>
    <row r="152" spans="1:21">
      <c r="A152" s="176" t="s">
        <v>6661</v>
      </c>
      <c r="B152" s="176" t="s">
        <v>6662</v>
      </c>
      <c r="C152" s="176" t="s">
        <v>6663</v>
      </c>
      <c r="D152" s="176" t="s">
        <v>6664</v>
      </c>
      <c r="E152" s="176" t="s">
        <v>1732</v>
      </c>
      <c r="F152" s="176"/>
      <c r="G152" s="774"/>
      <c r="H152" s="176" t="s">
        <v>6665</v>
      </c>
      <c r="I152" s="265" t="s">
        <v>1736</v>
      </c>
      <c r="J152" s="265" t="s">
        <v>1737</v>
      </c>
      <c r="K152" s="265" t="s">
        <v>1737</v>
      </c>
      <c r="L152" s="176"/>
      <c r="M152" s="270">
        <v>44869</v>
      </c>
      <c r="N152" s="176" t="s">
        <v>6666</v>
      </c>
      <c r="O152" s="172" t="s">
        <v>4021</v>
      </c>
      <c r="P152" s="176" t="s">
        <v>6667</v>
      </c>
      <c r="Q152" s="176"/>
      <c r="R152" s="176"/>
      <c r="S152" s="176"/>
      <c r="T152" s="270">
        <v>44869</v>
      </c>
      <c r="U152" s="176" t="s">
        <v>4803</v>
      </c>
    </row>
    <row r="153" spans="1:21">
      <c r="A153" s="176" t="s">
        <v>6668</v>
      </c>
      <c r="B153" s="176" t="s">
        <v>6669</v>
      </c>
      <c r="C153" s="176" t="s">
        <v>6670</v>
      </c>
      <c r="D153" s="176" t="s">
        <v>6671</v>
      </c>
      <c r="E153" s="176" t="s">
        <v>1732</v>
      </c>
      <c r="F153" s="176"/>
      <c r="G153" s="774"/>
      <c r="H153" s="176" t="s">
        <v>6672</v>
      </c>
      <c r="I153" s="265" t="s">
        <v>1736</v>
      </c>
      <c r="J153" s="265" t="s">
        <v>1737</v>
      </c>
      <c r="K153" s="265" t="s">
        <v>1737</v>
      </c>
      <c r="L153" s="176"/>
      <c r="M153" s="270">
        <v>44901</v>
      </c>
      <c r="N153" s="176" t="s">
        <v>6673</v>
      </c>
      <c r="O153" s="270">
        <v>44931</v>
      </c>
      <c r="P153" s="176" t="s">
        <v>6674</v>
      </c>
      <c r="Q153" s="176"/>
      <c r="R153" s="176"/>
      <c r="S153" s="176"/>
      <c r="T153" s="270">
        <v>44901</v>
      </c>
      <c r="U153" s="176" t="s">
        <v>4803</v>
      </c>
    </row>
    <row r="154" spans="1:21">
      <c r="A154" s="176" t="s">
        <v>6675</v>
      </c>
      <c r="B154" s="176" t="s">
        <v>6676</v>
      </c>
      <c r="C154" s="176" t="s">
        <v>6677</v>
      </c>
      <c r="D154" s="176" t="s">
        <v>6678</v>
      </c>
      <c r="E154" s="176" t="s">
        <v>1732</v>
      </c>
      <c r="F154" s="176"/>
      <c r="G154" s="774"/>
      <c r="H154" s="176" t="s">
        <v>6679</v>
      </c>
      <c r="I154" s="265" t="s">
        <v>1736</v>
      </c>
      <c r="J154" s="265" t="s">
        <v>1737</v>
      </c>
      <c r="K154" s="265" t="s">
        <v>1737</v>
      </c>
      <c r="L154" s="176"/>
      <c r="M154" s="270">
        <v>44901</v>
      </c>
      <c r="N154" s="176" t="s">
        <v>6680</v>
      </c>
      <c r="O154" s="270">
        <v>44931</v>
      </c>
      <c r="P154" s="176" t="s">
        <v>6681</v>
      </c>
      <c r="Q154" s="176"/>
      <c r="R154" s="176"/>
      <c r="S154" s="176"/>
      <c r="T154" s="270">
        <v>44901</v>
      </c>
      <c r="U154" s="176" t="s">
        <v>4803</v>
      </c>
    </row>
    <row r="155" spans="1:21">
      <c r="A155" s="176" t="s">
        <v>6682</v>
      </c>
      <c r="B155" s="176" t="s">
        <v>6683</v>
      </c>
      <c r="C155" s="176" t="s">
        <v>6684</v>
      </c>
      <c r="D155" s="176" t="s">
        <v>6685</v>
      </c>
      <c r="E155" s="176" t="s">
        <v>1732</v>
      </c>
      <c r="F155" s="176"/>
      <c r="G155" s="774"/>
      <c r="H155" s="176" t="s">
        <v>6686</v>
      </c>
      <c r="I155" s="265" t="s">
        <v>1736</v>
      </c>
      <c r="J155" s="265" t="s">
        <v>1737</v>
      </c>
      <c r="K155" s="265" t="s">
        <v>1737</v>
      </c>
      <c r="L155" s="176"/>
      <c r="M155" s="270">
        <v>44895</v>
      </c>
      <c r="N155" s="176" t="s">
        <v>6687</v>
      </c>
      <c r="O155" s="172" t="s">
        <v>4021</v>
      </c>
      <c r="P155" s="176" t="s">
        <v>6688</v>
      </c>
      <c r="Q155" s="176"/>
      <c r="R155" s="176"/>
      <c r="S155" s="176"/>
      <c r="T155" s="270">
        <v>44895</v>
      </c>
      <c r="U155" s="176" t="s">
        <v>4803</v>
      </c>
    </row>
    <row r="156" spans="1:21">
      <c r="A156" s="267" t="s">
        <v>6689</v>
      </c>
      <c r="B156" s="267" t="s">
        <v>6690</v>
      </c>
      <c r="C156" s="267" t="s">
        <v>6691</v>
      </c>
      <c r="D156" s="267" t="s">
        <v>6692</v>
      </c>
      <c r="E156" s="267" t="s">
        <v>1732</v>
      </c>
      <c r="F156" s="267"/>
      <c r="G156" s="774"/>
      <c r="H156" s="267" t="s">
        <v>6693</v>
      </c>
      <c r="I156" s="268" t="s">
        <v>1736</v>
      </c>
      <c r="J156" s="268" t="s">
        <v>5692</v>
      </c>
      <c r="K156" s="268" t="s">
        <v>5692</v>
      </c>
      <c r="L156" s="176" t="s">
        <v>6694</v>
      </c>
      <c r="M156" s="270"/>
      <c r="N156" s="176"/>
      <c r="O156" s="176"/>
      <c r="P156" s="176"/>
      <c r="Q156" s="176"/>
      <c r="R156" s="176"/>
      <c r="S156" s="176"/>
      <c r="T156" s="270"/>
      <c r="U156" s="176"/>
    </row>
    <row r="157" spans="1:21">
      <c r="A157" s="176" t="s">
        <v>6695</v>
      </c>
      <c r="B157" s="176" t="s">
        <v>6696</v>
      </c>
      <c r="C157" s="176" t="s">
        <v>6697</v>
      </c>
      <c r="D157" s="176" t="s">
        <v>6698</v>
      </c>
      <c r="E157" s="176" t="s">
        <v>1732</v>
      </c>
      <c r="F157" s="176"/>
      <c r="G157" s="774"/>
      <c r="H157" s="176"/>
      <c r="I157" s="265" t="s">
        <v>1736</v>
      </c>
      <c r="J157" s="265" t="s">
        <v>1737</v>
      </c>
      <c r="K157" s="265" t="s">
        <v>1737</v>
      </c>
      <c r="L157" s="176"/>
      <c r="M157" s="270">
        <v>44896</v>
      </c>
      <c r="N157" s="176" t="s">
        <v>6699</v>
      </c>
      <c r="O157" s="172" t="s">
        <v>4332</v>
      </c>
      <c r="P157" s="176" t="s">
        <v>6700</v>
      </c>
      <c r="Q157" s="176"/>
      <c r="R157" s="176"/>
      <c r="S157" s="176"/>
      <c r="T157" s="270">
        <v>44896</v>
      </c>
      <c r="U157" s="176" t="s">
        <v>4803</v>
      </c>
    </row>
    <row r="158" spans="1:21">
      <c r="A158" s="176" t="s">
        <v>6701</v>
      </c>
      <c r="B158" s="176" t="s">
        <v>6702</v>
      </c>
      <c r="C158" s="176" t="s">
        <v>6703</v>
      </c>
      <c r="D158" s="176" t="s">
        <v>6704</v>
      </c>
      <c r="E158" s="176" t="s">
        <v>1732</v>
      </c>
      <c r="F158" s="176"/>
      <c r="G158" s="774"/>
      <c r="H158" s="176" t="s">
        <v>6705</v>
      </c>
      <c r="I158" s="265" t="s">
        <v>1736</v>
      </c>
      <c r="J158" s="265" t="s">
        <v>1737</v>
      </c>
      <c r="K158" s="265" t="s">
        <v>1737</v>
      </c>
      <c r="L158" s="176"/>
      <c r="M158" s="270">
        <v>44896</v>
      </c>
      <c r="N158" s="176" t="s">
        <v>6706</v>
      </c>
      <c r="O158" s="172" t="s">
        <v>4332</v>
      </c>
      <c r="P158" s="176" t="s">
        <v>6707</v>
      </c>
      <c r="Q158" s="176"/>
      <c r="R158" s="176"/>
      <c r="S158" s="176"/>
      <c r="T158" s="270">
        <v>44896</v>
      </c>
      <c r="U158" s="176" t="s">
        <v>4803</v>
      </c>
    </row>
    <row r="159" spans="1:21">
      <c r="A159" s="176" t="s">
        <v>6708</v>
      </c>
      <c r="B159" s="176" t="s">
        <v>6709</v>
      </c>
      <c r="C159" s="176" t="s">
        <v>6710</v>
      </c>
      <c r="D159" s="176" t="s">
        <v>6711</v>
      </c>
      <c r="E159" s="176" t="s">
        <v>1732</v>
      </c>
      <c r="F159" s="176"/>
      <c r="G159" s="774"/>
      <c r="H159" s="176" t="s">
        <v>6712</v>
      </c>
      <c r="I159" s="265" t="s">
        <v>1736</v>
      </c>
      <c r="J159" s="265" t="s">
        <v>1737</v>
      </c>
      <c r="K159" s="265" t="s">
        <v>1737</v>
      </c>
      <c r="L159" s="176"/>
      <c r="M159" s="270">
        <v>44896</v>
      </c>
      <c r="N159" s="176" t="s">
        <v>6713</v>
      </c>
      <c r="O159" s="172" t="s">
        <v>4332</v>
      </c>
      <c r="P159" s="176" t="s">
        <v>6714</v>
      </c>
      <c r="Q159" s="176"/>
      <c r="R159" s="176"/>
      <c r="S159" s="176"/>
      <c r="T159" s="270">
        <v>44896</v>
      </c>
      <c r="U159" s="176" t="s">
        <v>4803</v>
      </c>
    </row>
    <row r="160" spans="1:21">
      <c r="A160" s="176" t="s">
        <v>6715</v>
      </c>
      <c r="B160" s="176" t="s">
        <v>6716</v>
      </c>
      <c r="C160" s="176" t="s">
        <v>6717</v>
      </c>
      <c r="D160" s="176" t="s">
        <v>6718</v>
      </c>
      <c r="E160" s="176" t="s">
        <v>1732</v>
      </c>
      <c r="F160" s="176"/>
      <c r="G160" s="774"/>
      <c r="H160" s="176" t="s">
        <v>6719</v>
      </c>
      <c r="I160" s="265" t="s">
        <v>1736</v>
      </c>
      <c r="J160" s="265" t="s">
        <v>1737</v>
      </c>
      <c r="K160" s="265" t="s">
        <v>1737</v>
      </c>
      <c r="L160" s="176"/>
      <c r="M160" s="270">
        <v>44896</v>
      </c>
      <c r="N160" s="176" t="s">
        <v>6720</v>
      </c>
      <c r="O160" s="172" t="s">
        <v>4332</v>
      </c>
      <c r="P160" s="176" t="s">
        <v>6721</v>
      </c>
      <c r="Q160" s="176"/>
      <c r="R160" s="176"/>
      <c r="S160" s="176"/>
      <c r="T160" s="270">
        <v>44896</v>
      </c>
      <c r="U160" s="176" t="s">
        <v>4803</v>
      </c>
    </row>
    <row r="161" spans="1:21">
      <c r="A161" s="176" t="s">
        <v>6722</v>
      </c>
      <c r="B161" s="176" t="s">
        <v>6723</v>
      </c>
      <c r="C161" s="176" t="s">
        <v>6724</v>
      </c>
      <c r="D161" s="176" t="s">
        <v>6725</v>
      </c>
      <c r="E161" s="176" t="s">
        <v>1732</v>
      </c>
      <c r="F161" s="176"/>
      <c r="G161" s="774"/>
      <c r="H161" s="176" t="s">
        <v>6726</v>
      </c>
      <c r="I161" s="265" t="s">
        <v>1736</v>
      </c>
      <c r="J161" s="265" t="s">
        <v>1737</v>
      </c>
      <c r="K161" s="265" t="s">
        <v>1737</v>
      </c>
      <c r="L161" s="176"/>
      <c r="M161" s="270">
        <v>44896</v>
      </c>
      <c r="N161" s="176" t="s">
        <v>6727</v>
      </c>
      <c r="O161" s="172" t="s">
        <v>4332</v>
      </c>
      <c r="P161" s="176" t="s">
        <v>6728</v>
      </c>
      <c r="Q161" s="176"/>
      <c r="R161" s="176"/>
      <c r="S161" s="176"/>
      <c r="T161" s="270">
        <v>44896</v>
      </c>
      <c r="U161" s="176" t="s">
        <v>4803</v>
      </c>
    </row>
    <row r="162" spans="1:21">
      <c r="A162" s="176" t="s">
        <v>6729</v>
      </c>
      <c r="B162" s="176" t="s">
        <v>6730</v>
      </c>
      <c r="C162" s="176" t="s">
        <v>6635</v>
      </c>
      <c r="D162" s="176" t="s">
        <v>6636</v>
      </c>
      <c r="E162" s="176" t="s">
        <v>1732</v>
      </c>
      <c r="F162" s="176"/>
      <c r="G162" s="774"/>
      <c r="H162" s="176" t="s">
        <v>6637</v>
      </c>
      <c r="I162" s="265" t="s">
        <v>1736</v>
      </c>
      <c r="J162" s="265" t="s">
        <v>1737</v>
      </c>
      <c r="K162" s="265" t="s">
        <v>1737</v>
      </c>
      <c r="L162" s="176"/>
      <c r="M162" s="270">
        <v>44889</v>
      </c>
      <c r="N162" s="176" t="s">
        <v>6731</v>
      </c>
      <c r="O162" s="172" t="s">
        <v>4332</v>
      </c>
      <c r="P162" s="176" t="s">
        <v>6732</v>
      </c>
      <c r="Q162" s="176"/>
      <c r="R162" s="176"/>
      <c r="S162" s="176"/>
      <c r="T162" s="270">
        <v>44889</v>
      </c>
      <c r="U162" s="176" t="s">
        <v>4803</v>
      </c>
    </row>
    <row r="163" spans="1:21">
      <c r="A163" s="176" t="s">
        <v>6733</v>
      </c>
      <c r="B163" s="176" t="s">
        <v>6734</v>
      </c>
      <c r="C163" s="176" t="s">
        <v>6735</v>
      </c>
      <c r="D163" s="176" t="s">
        <v>6736</v>
      </c>
      <c r="E163" s="176" t="s">
        <v>1732</v>
      </c>
      <c r="F163" s="176"/>
      <c r="G163" s="774"/>
      <c r="H163" s="176" t="s">
        <v>6737</v>
      </c>
      <c r="I163" s="265" t="s">
        <v>1736</v>
      </c>
      <c r="J163" s="265" t="s">
        <v>1737</v>
      </c>
      <c r="K163" s="265" t="s">
        <v>1737</v>
      </c>
      <c r="L163" s="176"/>
      <c r="M163" s="270">
        <v>44869</v>
      </c>
      <c r="N163" s="176" t="s">
        <v>6738</v>
      </c>
      <c r="O163" s="172" t="s">
        <v>4332</v>
      </c>
      <c r="P163" s="176" t="s">
        <v>6739</v>
      </c>
      <c r="Q163" s="176"/>
      <c r="R163" s="176"/>
      <c r="S163" s="176"/>
      <c r="T163" s="270">
        <v>44869</v>
      </c>
      <c r="U163" s="176" t="s">
        <v>4803</v>
      </c>
    </row>
    <row r="164" spans="1:21">
      <c r="A164" s="176" t="s">
        <v>6740</v>
      </c>
      <c r="B164" s="176" t="s">
        <v>6741</v>
      </c>
      <c r="C164" s="176" t="s">
        <v>6635</v>
      </c>
      <c r="D164" s="176" t="s">
        <v>6636</v>
      </c>
      <c r="E164" s="176" t="s">
        <v>1732</v>
      </c>
      <c r="F164" s="176"/>
      <c r="G164" s="774"/>
      <c r="H164" s="176" t="s">
        <v>6637</v>
      </c>
      <c r="I164" s="265" t="s">
        <v>1736</v>
      </c>
      <c r="J164" s="265" t="s">
        <v>1737</v>
      </c>
      <c r="K164" s="265" t="s">
        <v>1737</v>
      </c>
      <c r="L164" s="176"/>
      <c r="M164" s="270">
        <v>44889</v>
      </c>
      <c r="N164" s="176" t="s">
        <v>6742</v>
      </c>
      <c r="O164" s="172" t="s">
        <v>4332</v>
      </c>
      <c r="P164" s="176" t="s">
        <v>6743</v>
      </c>
      <c r="Q164" s="176"/>
      <c r="R164" s="176"/>
      <c r="S164" s="176"/>
      <c r="T164" s="270">
        <v>44889</v>
      </c>
      <c r="U164" s="176" t="s">
        <v>4803</v>
      </c>
    </row>
    <row r="165" spans="1:21">
      <c r="A165" s="176" t="s">
        <v>6744</v>
      </c>
      <c r="B165" s="176" t="s">
        <v>6745</v>
      </c>
      <c r="C165" s="176" t="s">
        <v>6642</v>
      </c>
      <c r="D165" s="176" t="s">
        <v>6643</v>
      </c>
      <c r="E165" s="176" t="s">
        <v>1732</v>
      </c>
      <c r="F165" s="176"/>
      <c r="G165" s="774"/>
      <c r="H165" s="176" t="s">
        <v>6644</v>
      </c>
      <c r="I165" s="265" t="s">
        <v>1736</v>
      </c>
      <c r="J165" s="265" t="s">
        <v>1737</v>
      </c>
      <c r="K165" s="265" t="s">
        <v>1737</v>
      </c>
      <c r="L165" s="176"/>
      <c r="M165" s="270">
        <v>44872</v>
      </c>
      <c r="N165" s="176" t="s">
        <v>6746</v>
      </c>
      <c r="O165" s="172" t="s">
        <v>3721</v>
      </c>
      <c r="P165" s="176" t="s">
        <v>6747</v>
      </c>
      <c r="Q165" s="176"/>
      <c r="R165" s="176"/>
      <c r="S165" s="176"/>
      <c r="T165" s="270">
        <v>44872</v>
      </c>
      <c r="U165" s="176" t="s">
        <v>4803</v>
      </c>
    </row>
    <row r="166" spans="1:21">
      <c r="A166" s="176" t="s">
        <v>6748</v>
      </c>
      <c r="B166" s="176" t="s">
        <v>6749</v>
      </c>
      <c r="C166" s="176" t="s">
        <v>6750</v>
      </c>
      <c r="D166" s="176" t="s">
        <v>6751</v>
      </c>
      <c r="E166" s="176" t="s">
        <v>1732</v>
      </c>
      <c r="F166" s="176"/>
      <c r="G166" s="774"/>
      <c r="H166" s="176" t="s">
        <v>6752</v>
      </c>
      <c r="I166" s="265" t="s">
        <v>1736</v>
      </c>
      <c r="J166" s="265" t="s">
        <v>1737</v>
      </c>
      <c r="K166" s="265" t="s">
        <v>1737</v>
      </c>
      <c r="L166" s="176"/>
      <c r="M166" s="270">
        <v>44869</v>
      </c>
      <c r="N166" s="176" t="s">
        <v>6753</v>
      </c>
      <c r="O166" s="172" t="s">
        <v>3721</v>
      </c>
      <c r="P166" s="176" t="s">
        <v>6754</v>
      </c>
      <c r="Q166" s="176"/>
      <c r="R166" s="176"/>
      <c r="S166" s="176"/>
      <c r="T166" s="270">
        <v>44869</v>
      </c>
      <c r="U166" s="176" t="s">
        <v>4803</v>
      </c>
    </row>
    <row r="167" spans="1:21">
      <c r="A167" s="176" t="s">
        <v>6755</v>
      </c>
      <c r="B167" s="176" t="s">
        <v>6756</v>
      </c>
      <c r="C167" s="176" t="s">
        <v>6757</v>
      </c>
      <c r="D167" s="176" t="s">
        <v>6758</v>
      </c>
      <c r="E167" s="176" t="s">
        <v>1732</v>
      </c>
      <c r="F167" s="176"/>
      <c r="G167" s="774"/>
      <c r="H167" s="176" t="s">
        <v>6759</v>
      </c>
      <c r="I167" s="265" t="s">
        <v>1736</v>
      </c>
      <c r="J167" s="265" t="s">
        <v>1737</v>
      </c>
      <c r="K167" s="265" t="s">
        <v>1737</v>
      </c>
      <c r="L167" s="176"/>
      <c r="M167" s="270">
        <v>44886</v>
      </c>
      <c r="N167" s="176" t="s">
        <v>6760</v>
      </c>
      <c r="O167" s="270">
        <v>44929</v>
      </c>
      <c r="P167" s="176" t="s">
        <v>6761</v>
      </c>
      <c r="Q167" s="176"/>
      <c r="R167" s="176"/>
      <c r="S167" s="176"/>
      <c r="T167" s="270">
        <v>44886</v>
      </c>
      <c r="U167" s="176" t="s">
        <v>4803</v>
      </c>
    </row>
    <row r="168" spans="1:21">
      <c r="A168" s="176" t="s">
        <v>6762</v>
      </c>
      <c r="B168" s="176" t="s">
        <v>6763</v>
      </c>
      <c r="C168" s="176" t="s">
        <v>6764</v>
      </c>
      <c r="D168" s="176" t="s">
        <v>6765</v>
      </c>
      <c r="E168" s="176" t="s">
        <v>1732</v>
      </c>
      <c r="F168" s="176"/>
      <c r="G168" s="774"/>
      <c r="H168" s="176" t="s">
        <v>6766</v>
      </c>
      <c r="I168" s="265" t="s">
        <v>1736</v>
      </c>
      <c r="J168" s="265" t="s">
        <v>1737</v>
      </c>
      <c r="K168" s="265" t="s">
        <v>1737</v>
      </c>
      <c r="L168" s="176"/>
      <c r="M168" s="270">
        <v>44889</v>
      </c>
      <c r="N168" s="176" t="s">
        <v>6767</v>
      </c>
      <c r="O168" s="270">
        <v>44923</v>
      </c>
      <c r="P168" s="176" t="s">
        <v>6768</v>
      </c>
      <c r="Q168" s="270"/>
      <c r="R168" s="176"/>
      <c r="S168" s="176"/>
      <c r="T168" s="270">
        <v>44889</v>
      </c>
      <c r="U168" s="176" t="s">
        <v>4803</v>
      </c>
    </row>
    <row r="169" spans="1:21">
      <c r="A169" s="176" t="s">
        <v>6769</v>
      </c>
      <c r="B169" s="176" t="s">
        <v>6770</v>
      </c>
      <c r="C169" s="176" t="s">
        <v>6771</v>
      </c>
      <c r="D169" s="176" t="s">
        <v>6772</v>
      </c>
      <c r="E169" s="176" t="s">
        <v>1732</v>
      </c>
      <c r="F169" s="176"/>
      <c r="G169" s="774"/>
      <c r="H169" s="176" t="s">
        <v>6773</v>
      </c>
      <c r="I169" s="265" t="s">
        <v>1736</v>
      </c>
      <c r="J169" s="265" t="s">
        <v>1737</v>
      </c>
      <c r="K169" s="265" t="s">
        <v>1737</v>
      </c>
      <c r="L169" s="176"/>
      <c r="M169" s="270">
        <v>44889</v>
      </c>
      <c r="N169" s="176" t="s">
        <v>6774</v>
      </c>
      <c r="O169" s="270">
        <v>44923</v>
      </c>
      <c r="P169" s="176" t="s">
        <v>6775</v>
      </c>
      <c r="Q169" s="270"/>
      <c r="R169" s="176"/>
      <c r="S169" s="176"/>
      <c r="T169" s="270">
        <v>44889</v>
      </c>
      <c r="U169" s="176" t="s">
        <v>4803</v>
      </c>
    </row>
    <row r="170" spans="1:21">
      <c r="A170" s="176" t="s">
        <v>6776</v>
      </c>
      <c r="B170" s="176" t="s">
        <v>6777</v>
      </c>
      <c r="C170" s="176" t="s">
        <v>6778</v>
      </c>
      <c r="D170" s="176" t="s">
        <v>6779</v>
      </c>
      <c r="E170" s="176" t="s">
        <v>1732</v>
      </c>
      <c r="F170" s="176"/>
      <c r="G170" s="774"/>
      <c r="H170" s="176" t="s">
        <v>6780</v>
      </c>
      <c r="I170" s="265" t="s">
        <v>1736</v>
      </c>
      <c r="J170" s="265" t="s">
        <v>1737</v>
      </c>
      <c r="K170" s="265" t="s">
        <v>1737</v>
      </c>
      <c r="L170" s="176"/>
      <c r="M170" s="270">
        <v>44865</v>
      </c>
      <c r="N170" s="176" t="s">
        <v>6781</v>
      </c>
      <c r="O170" s="270">
        <v>44923</v>
      </c>
      <c r="P170" s="176" t="s">
        <v>6782</v>
      </c>
      <c r="Q170" s="270"/>
      <c r="R170" s="176"/>
      <c r="S170" s="176"/>
      <c r="T170" s="270">
        <v>44865</v>
      </c>
      <c r="U170" s="176" t="s">
        <v>4803</v>
      </c>
    </row>
    <row r="171" spans="1:21">
      <c r="A171" s="176" t="s">
        <v>6783</v>
      </c>
      <c r="B171" s="176" t="s">
        <v>6784</v>
      </c>
      <c r="C171" s="176" t="s">
        <v>6785</v>
      </c>
      <c r="D171" s="176" t="s">
        <v>6786</v>
      </c>
      <c r="E171" s="176" t="s">
        <v>1732</v>
      </c>
      <c r="F171" s="176"/>
      <c r="G171" s="774"/>
      <c r="H171" s="176" t="s">
        <v>6787</v>
      </c>
      <c r="I171" s="265" t="s">
        <v>1736</v>
      </c>
      <c r="J171" s="265" t="s">
        <v>1737</v>
      </c>
      <c r="K171" s="265" t="s">
        <v>1737</v>
      </c>
      <c r="L171" s="176"/>
      <c r="M171" s="270">
        <v>44866</v>
      </c>
      <c r="N171" s="176" t="s">
        <v>6788</v>
      </c>
      <c r="O171" s="270">
        <v>44930</v>
      </c>
      <c r="P171" s="176" t="s">
        <v>6789</v>
      </c>
      <c r="Q171" s="176"/>
      <c r="R171" s="176"/>
      <c r="S171" s="176"/>
      <c r="T171" s="270">
        <v>44866</v>
      </c>
      <c r="U171" s="176" t="s">
        <v>4803</v>
      </c>
    </row>
    <row r="172" spans="1:21">
      <c r="A172" s="176" t="s">
        <v>6790</v>
      </c>
      <c r="B172" s="176" t="s">
        <v>6791</v>
      </c>
      <c r="C172" s="176" t="s">
        <v>6792</v>
      </c>
      <c r="D172" s="176" t="s">
        <v>6793</v>
      </c>
      <c r="E172" s="176" t="s">
        <v>1732</v>
      </c>
      <c r="F172" s="176"/>
      <c r="G172" s="774"/>
      <c r="H172" s="176" t="s">
        <v>6794</v>
      </c>
      <c r="I172" s="265" t="s">
        <v>1736</v>
      </c>
      <c r="J172" s="265" t="s">
        <v>1737</v>
      </c>
      <c r="K172" s="265" t="s">
        <v>1737</v>
      </c>
      <c r="L172" s="176"/>
      <c r="M172" s="270">
        <v>44866</v>
      </c>
      <c r="N172" s="176" t="s">
        <v>6795</v>
      </c>
      <c r="O172" s="270">
        <v>44923</v>
      </c>
      <c r="P172" s="176" t="s">
        <v>6796</v>
      </c>
      <c r="Q172" s="270"/>
      <c r="R172" s="176"/>
      <c r="S172" s="176"/>
      <c r="T172" s="270">
        <v>44866</v>
      </c>
      <c r="U172" s="176" t="s">
        <v>4803</v>
      </c>
    </row>
    <row r="173" spans="1:21">
      <c r="A173" s="176" t="s">
        <v>6797</v>
      </c>
      <c r="B173" s="176" t="s">
        <v>6798</v>
      </c>
      <c r="C173" s="176" t="s">
        <v>6799</v>
      </c>
      <c r="D173" s="176" t="s">
        <v>6800</v>
      </c>
      <c r="E173" s="176" t="s">
        <v>1732</v>
      </c>
      <c r="F173" s="176"/>
      <c r="G173" s="774"/>
      <c r="H173" s="176" t="s">
        <v>6801</v>
      </c>
      <c r="I173" s="265" t="s">
        <v>1736</v>
      </c>
      <c r="J173" s="265" t="s">
        <v>1737</v>
      </c>
      <c r="K173" s="265" t="s">
        <v>1737</v>
      </c>
      <c r="L173" s="176"/>
      <c r="M173" s="270">
        <v>44873</v>
      </c>
      <c r="N173" s="176" t="s">
        <v>6802</v>
      </c>
      <c r="O173" s="270">
        <v>44930</v>
      </c>
      <c r="P173" s="176" t="s">
        <v>6803</v>
      </c>
      <c r="Q173" s="176"/>
      <c r="R173" s="176"/>
      <c r="S173" s="176"/>
      <c r="T173" s="270">
        <v>44873</v>
      </c>
      <c r="U173" s="176" t="s">
        <v>4803</v>
      </c>
    </row>
    <row r="174" spans="1:21">
      <c r="A174" s="176" t="s">
        <v>6804</v>
      </c>
      <c r="B174" s="176" t="s">
        <v>6805</v>
      </c>
      <c r="C174" s="176" t="s">
        <v>6806</v>
      </c>
      <c r="D174" s="176" t="s">
        <v>6807</v>
      </c>
      <c r="E174" s="176" t="s">
        <v>1732</v>
      </c>
      <c r="F174" s="176"/>
      <c r="G174" s="774"/>
      <c r="H174" s="176" t="s">
        <v>6759</v>
      </c>
      <c r="I174" s="265" t="s">
        <v>1736</v>
      </c>
      <c r="J174" s="265" t="s">
        <v>1737</v>
      </c>
      <c r="K174" s="265" t="s">
        <v>1737</v>
      </c>
      <c r="L174" s="176"/>
      <c r="M174" s="270">
        <v>44872</v>
      </c>
      <c r="N174" s="176" t="s">
        <v>6808</v>
      </c>
      <c r="O174" s="270">
        <v>44930</v>
      </c>
      <c r="P174" s="176" t="s">
        <v>6809</v>
      </c>
      <c r="Q174" s="176"/>
      <c r="R174" s="176"/>
      <c r="S174" s="176"/>
      <c r="T174" s="270">
        <v>44872</v>
      </c>
      <c r="U174" s="176" t="s">
        <v>4803</v>
      </c>
    </row>
    <row r="175" spans="1:21">
      <c r="A175" s="176" t="s">
        <v>6810</v>
      </c>
      <c r="B175" s="176" t="s">
        <v>6811</v>
      </c>
      <c r="C175" s="176" t="s">
        <v>6812</v>
      </c>
      <c r="D175" s="176" t="s">
        <v>6813</v>
      </c>
      <c r="E175" s="176" t="s">
        <v>1732</v>
      </c>
      <c r="F175" s="176"/>
      <c r="G175" s="774"/>
      <c r="H175" s="176" t="s">
        <v>6814</v>
      </c>
      <c r="I175" s="265" t="s">
        <v>1736</v>
      </c>
      <c r="J175" s="265" t="s">
        <v>1737</v>
      </c>
      <c r="K175" s="265" t="s">
        <v>1737</v>
      </c>
      <c r="L175" s="176"/>
      <c r="M175" s="270">
        <v>44872</v>
      </c>
      <c r="N175" s="176" t="s">
        <v>6815</v>
      </c>
      <c r="O175" s="270">
        <v>44923</v>
      </c>
      <c r="P175" s="176" t="s">
        <v>6816</v>
      </c>
      <c r="Q175" s="270"/>
      <c r="R175" s="176"/>
      <c r="S175" s="176"/>
      <c r="T175" s="270">
        <v>44872</v>
      </c>
      <c r="U175" s="176" t="s">
        <v>4803</v>
      </c>
    </row>
    <row r="176" spans="1:21">
      <c r="A176" s="176" t="s">
        <v>6817</v>
      </c>
      <c r="B176" s="176" t="s">
        <v>6818</v>
      </c>
      <c r="C176" s="176" t="s">
        <v>6819</v>
      </c>
      <c r="D176" s="176" t="s">
        <v>6820</v>
      </c>
      <c r="E176" s="176" t="s">
        <v>1732</v>
      </c>
      <c r="F176" s="176"/>
      <c r="G176" s="774"/>
      <c r="H176" s="176" t="s">
        <v>6821</v>
      </c>
      <c r="I176" s="265" t="s">
        <v>1736</v>
      </c>
      <c r="J176" s="265" t="s">
        <v>1737</v>
      </c>
      <c r="K176" s="265" t="s">
        <v>1737</v>
      </c>
      <c r="L176" s="176"/>
      <c r="M176" s="270">
        <v>44873</v>
      </c>
      <c r="N176" s="176" t="s">
        <v>6822</v>
      </c>
      <c r="O176" s="270">
        <v>44930</v>
      </c>
      <c r="P176" s="176" t="s">
        <v>6823</v>
      </c>
      <c r="Q176" s="176"/>
      <c r="R176" s="176"/>
      <c r="S176" s="176"/>
      <c r="T176" s="270">
        <v>44873</v>
      </c>
      <c r="U176" s="176" t="s">
        <v>4803</v>
      </c>
    </row>
    <row r="177" spans="1:21">
      <c r="A177" s="176" t="s">
        <v>6824</v>
      </c>
      <c r="B177" s="176" t="s">
        <v>6825</v>
      </c>
      <c r="C177" s="176" t="s">
        <v>6826</v>
      </c>
      <c r="D177" s="176" t="s">
        <v>6827</v>
      </c>
      <c r="E177" s="176" t="s">
        <v>1732</v>
      </c>
      <c r="F177" s="176"/>
      <c r="G177" s="774"/>
      <c r="H177" s="176" t="s">
        <v>6759</v>
      </c>
      <c r="I177" s="265" t="s">
        <v>1736</v>
      </c>
      <c r="J177" s="265" t="s">
        <v>1737</v>
      </c>
      <c r="K177" s="265" t="s">
        <v>1737</v>
      </c>
      <c r="L177" s="176"/>
      <c r="M177" s="270">
        <v>44887</v>
      </c>
      <c r="N177" s="176" t="s">
        <v>6828</v>
      </c>
      <c r="O177" s="270">
        <v>44930</v>
      </c>
      <c r="P177" s="176" t="s">
        <v>6829</v>
      </c>
      <c r="Q177" s="176"/>
      <c r="R177" s="176"/>
      <c r="S177" s="176"/>
      <c r="T177" s="270">
        <v>44887</v>
      </c>
      <c r="U177" s="176" t="s">
        <v>4803</v>
      </c>
    </row>
    <row r="178" spans="1:21">
      <c r="A178" s="176" t="s">
        <v>6830</v>
      </c>
      <c r="B178" s="176" t="s">
        <v>6831</v>
      </c>
      <c r="C178" s="176" t="s">
        <v>6832</v>
      </c>
      <c r="D178" s="176" t="s">
        <v>6833</v>
      </c>
      <c r="E178" s="176" t="s">
        <v>1732</v>
      </c>
      <c r="F178" s="176"/>
      <c r="G178" s="774"/>
      <c r="H178" s="176" t="s">
        <v>6834</v>
      </c>
      <c r="I178" s="265" t="s">
        <v>1736</v>
      </c>
      <c r="J178" s="265" t="s">
        <v>1737</v>
      </c>
      <c r="K178" s="265" t="s">
        <v>1737</v>
      </c>
      <c r="L178" s="176"/>
      <c r="M178" s="270">
        <v>44875</v>
      </c>
      <c r="N178" s="176" t="s">
        <v>6835</v>
      </c>
      <c r="O178" s="270">
        <v>44908</v>
      </c>
      <c r="P178" s="176" t="s">
        <v>6836</v>
      </c>
      <c r="Q178" s="270">
        <v>44923</v>
      </c>
      <c r="R178" s="176" t="s">
        <v>6837</v>
      </c>
      <c r="S178" s="176"/>
      <c r="T178" s="270">
        <v>44875</v>
      </c>
      <c r="U178" s="176" t="s">
        <v>4803</v>
      </c>
    </row>
    <row r="179" spans="1:21">
      <c r="A179" s="176" t="s">
        <v>6838</v>
      </c>
      <c r="B179" s="176" t="s">
        <v>6839</v>
      </c>
      <c r="C179" s="176" t="s">
        <v>6840</v>
      </c>
      <c r="D179" s="176" t="s">
        <v>6841</v>
      </c>
      <c r="E179" s="176" t="s">
        <v>1732</v>
      </c>
      <c r="F179" s="176"/>
      <c r="G179" s="774"/>
      <c r="H179" s="176" t="s">
        <v>6842</v>
      </c>
      <c r="I179" s="265" t="s">
        <v>1736</v>
      </c>
      <c r="J179" s="265" t="s">
        <v>1737</v>
      </c>
      <c r="K179" s="265" t="s">
        <v>1737</v>
      </c>
      <c r="L179" s="176"/>
      <c r="M179" s="270">
        <v>44890</v>
      </c>
      <c r="N179" s="176" t="s">
        <v>6843</v>
      </c>
      <c r="O179" s="176"/>
      <c r="P179" s="176"/>
      <c r="Q179" s="176"/>
      <c r="R179" s="176"/>
      <c r="S179" s="176"/>
      <c r="T179" s="270">
        <v>44890</v>
      </c>
      <c r="U179" s="176" t="s">
        <v>4803</v>
      </c>
    </row>
    <row r="180" spans="1:21">
      <c r="A180" s="176" t="s">
        <v>6844</v>
      </c>
      <c r="B180" s="176" t="s">
        <v>6845</v>
      </c>
      <c r="C180" s="176" t="s">
        <v>6846</v>
      </c>
      <c r="D180" s="176" t="s">
        <v>6847</v>
      </c>
      <c r="E180" s="176" t="s">
        <v>1732</v>
      </c>
      <c r="F180" s="176"/>
      <c r="G180" s="774"/>
      <c r="H180" s="176" t="s">
        <v>6848</v>
      </c>
      <c r="I180" s="265" t="s">
        <v>1736</v>
      </c>
      <c r="J180" s="265" t="s">
        <v>1737</v>
      </c>
      <c r="K180" s="265" t="s">
        <v>1737</v>
      </c>
      <c r="L180" s="176"/>
      <c r="M180" s="270">
        <v>44874</v>
      </c>
      <c r="N180" s="176" t="s">
        <v>6849</v>
      </c>
      <c r="O180" s="270">
        <v>44931</v>
      </c>
      <c r="P180" s="176" t="s">
        <v>6850</v>
      </c>
      <c r="Q180" s="176"/>
      <c r="R180" s="176"/>
      <c r="S180" s="176"/>
      <c r="T180" s="270">
        <v>44874</v>
      </c>
      <c r="U180" s="176" t="s">
        <v>4803</v>
      </c>
    </row>
    <row r="181" spans="1:21">
      <c r="A181" s="176" t="s">
        <v>6851</v>
      </c>
      <c r="B181" s="176" t="s">
        <v>6852</v>
      </c>
      <c r="C181" s="176" t="s">
        <v>6853</v>
      </c>
      <c r="D181" s="176" t="s">
        <v>6854</v>
      </c>
      <c r="E181" s="176" t="s">
        <v>1732</v>
      </c>
      <c r="F181" s="176"/>
      <c r="G181" s="774"/>
      <c r="H181" s="176" t="s">
        <v>6848</v>
      </c>
      <c r="I181" s="265" t="s">
        <v>1736</v>
      </c>
      <c r="J181" s="265" t="s">
        <v>1737</v>
      </c>
      <c r="K181" s="265" t="s">
        <v>1737</v>
      </c>
      <c r="L181" s="176"/>
      <c r="M181" s="270">
        <v>44875</v>
      </c>
      <c r="N181" s="176" t="s">
        <v>6855</v>
      </c>
      <c r="O181" s="270">
        <v>44931</v>
      </c>
      <c r="P181" s="176" t="s">
        <v>6856</v>
      </c>
      <c r="Q181" s="176"/>
      <c r="R181" s="176"/>
      <c r="S181" s="176"/>
      <c r="T181" s="270">
        <v>44875</v>
      </c>
      <c r="U181" s="176" t="s">
        <v>4803</v>
      </c>
    </row>
    <row r="182" spans="1:21">
      <c r="A182" s="176" t="s">
        <v>6857</v>
      </c>
      <c r="B182" s="176" t="s">
        <v>6858</v>
      </c>
      <c r="C182" s="176" t="s">
        <v>6859</v>
      </c>
      <c r="D182" s="176" t="s">
        <v>6860</v>
      </c>
      <c r="E182" s="176" t="s">
        <v>1732</v>
      </c>
      <c r="F182" s="176"/>
      <c r="G182" s="774"/>
      <c r="H182" s="176" t="s">
        <v>6861</v>
      </c>
      <c r="I182" s="265" t="s">
        <v>1736</v>
      </c>
      <c r="J182" s="265" t="s">
        <v>1737</v>
      </c>
      <c r="K182" s="265" t="s">
        <v>1737</v>
      </c>
      <c r="L182" s="176"/>
      <c r="M182" s="270">
        <v>44876</v>
      </c>
      <c r="N182" s="176" t="s">
        <v>6862</v>
      </c>
      <c r="O182" s="270">
        <v>44924</v>
      </c>
      <c r="P182" s="176" t="s">
        <v>6863</v>
      </c>
      <c r="Q182" s="176"/>
      <c r="R182" s="176"/>
      <c r="S182" s="176"/>
      <c r="T182" s="270">
        <v>44876</v>
      </c>
      <c r="U182" s="176" t="s">
        <v>4803</v>
      </c>
    </row>
    <row r="183" spans="1:21">
      <c r="A183" s="176" t="s">
        <v>6864</v>
      </c>
      <c r="B183" s="176" t="s">
        <v>6865</v>
      </c>
      <c r="C183" s="176" t="s">
        <v>6866</v>
      </c>
      <c r="D183" s="176" t="s">
        <v>6867</v>
      </c>
      <c r="E183" s="176" t="s">
        <v>1732</v>
      </c>
      <c r="F183" s="176"/>
      <c r="G183" s="774"/>
      <c r="H183" s="176" t="s">
        <v>6868</v>
      </c>
      <c r="I183" s="265" t="s">
        <v>1736</v>
      </c>
      <c r="J183" s="265" t="s">
        <v>1737</v>
      </c>
      <c r="K183" s="265" t="s">
        <v>1737</v>
      </c>
      <c r="L183" s="176"/>
      <c r="M183" s="270">
        <v>44890</v>
      </c>
      <c r="N183" s="176" t="s">
        <v>6869</v>
      </c>
      <c r="O183" s="270">
        <v>44931</v>
      </c>
      <c r="P183" s="176" t="s">
        <v>6870</v>
      </c>
      <c r="Q183" s="176"/>
      <c r="R183" s="176"/>
      <c r="S183" s="176"/>
      <c r="T183" s="270">
        <v>44890</v>
      </c>
      <c r="U183" s="176" t="s">
        <v>4803</v>
      </c>
    </row>
    <row r="184" spans="1:21">
      <c r="A184" s="176" t="s">
        <v>6871</v>
      </c>
      <c r="B184" s="176" t="s">
        <v>6872</v>
      </c>
      <c r="C184" s="176" t="s">
        <v>6873</v>
      </c>
      <c r="D184" s="176" t="s">
        <v>6874</v>
      </c>
      <c r="E184" s="176" t="s">
        <v>1732</v>
      </c>
      <c r="F184" s="176"/>
      <c r="G184" s="774"/>
      <c r="H184" s="176" t="s">
        <v>6875</v>
      </c>
      <c r="I184" s="265" t="s">
        <v>1736</v>
      </c>
      <c r="J184" s="265" t="s">
        <v>1737</v>
      </c>
      <c r="K184" s="265" t="s">
        <v>1737</v>
      </c>
      <c r="L184" s="176"/>
      <c r="M184" s="270">
        <v>44887</v>
      </c>
      <c r="N184" s="176" t="s">
        <v>6876</v>
      </c>
      <c r="O184" s="270">
        <v>44924</v>
      </c>
      <c r="P184" s="176" t="s">
        <v>6877</v>
      </c>
      <c r="Q184" s="176"/>
      <c r="R184" s="176"/>
      <c r="S184" s="176"/>
      <c r="T184" s="270">
        <v>44887</v>
      </c>
      <c r="U184" s="176" t="s">
        <v>4803</v>
      </c>
    </row>
    <row r="185" spans="1:21">
      <c r="A185" s="176" t="s">
        <v>6878</v>
      </c>
      <c r="B185" s="176" t="s">
        <v>6879</v>
      </c>
      <c r="C185" s="176" t="s">
        <v>6880</v>
      </c>
      <c r="D185" s="176" t="s">
        <v>6881</v>
      </c>
      <c r="E185" s="176" t="s">
        <v>1732</v>
      </c>
      <c r="F185" s="176"/>
      <c r="G185" s="774"/>
      <c r="H185" s="176" t="s">
        <v>6882</v>
      </c>
      <c r="I185" s="265" t="s">
        <v>1736</v>
      </c>
      <c r="J185" s="265" t="s">
        <v>1737</v>
      </c>
      <c r="K185" s="265" t="s">
        <v>1737</v>
      </c>
      <c r="L185" s="176"/>
      <c r="M185" s="270">
        <v>44887</v>
      </c>
      <c r="N185" s="176" t="s">
        <v>6883</v>
      </c>
      <c r="O185" s="270">
        <v>44924</v>
      </c>
      <c r="P185" s="176" t="s">
        <v>6884</v>
      </c>
      <c r="Q185" s="176"/>
      <c r="R185" s="176"/>
      <c r="S185" s="176"/>
      <c r="T185" s="270">
        <v>44887</v>
      </c>
      <c r="U185" s="176" t="s">
        <v>4803</v>
      </c>
    </row>
    <row r="186" spans="1:21">
      <c r="A186" s="176" t="s">
        <v>6885</v>
      </c>
      <c r="B186" s="176" t="s">
        <v>6886</v>
      </c>
      <c r="C186" s="176" t="s">
        <v>6887</v>
      </c>
      <c r="D186" s="176" t="s">
        <v>6888</v>
      </c>
      <c r="E186" s="176" t="s">
        <v>1732</v>
      </c>
      <c r="F186" s="176"/>
      <c r="G186" s="774"/>
      <c r="H186" s="176" t="s">
        <v>6889</v>
      </c>
      <c r="I186" s="265" t="s">
        <v>1736</v>
      </c>
      <c r="J186" s="265" t="s">
        <v>1737</v>
      </c>
      <c r="K186" s="265" t="s">
        <v>1737</v>
      </c>
      <c r="L186" s="176"/>
      <c r="M186" s="270">
        <v>44876</v>
      </c>
      <c r="N186" s="176" t="s">
        <v>6890</v>
      </c>
      <c r="O186" s="270">
        <v>44924</v>
      </c>
      <c r="P186" s="176" t="s">
        <v>6891</v>
      </c>
      <c r="Q186" s="176"/>
      <c r="R186" s="176"/>
      <c r="S186" s="176"/>
      <c r="T186" s="270">
        <v>44876</v>
      </c>
      <c r="U186" s="176" t="s">
        <v>4803</v>
      </c>
    </row>
    <row r="187" spans="1:21">
      <c r="A187" s="176" t="s">
        <v>6892</v>
      </c>
      <c r="B187" s="176" t="s">
        <v>6893</v>
      </c>
      <c r="C187" s="176" t="s">
        <v>6894</v>
      </c>
      <c r="D187" s="176" t="s">
        <v>6895</v>
      </c>
      <c r="E187" s="176" t="s">
        <v>1732</v>
      </c>
      <c r="F187" s="176"/>
      <c r="G187" s="774"/>
      <c r="H187" s="176" t="s">
        <v>6896</v>
      </c>
      <c r="I187" s="265" t="s">
        <v>1736</v>
      </c>
      <c r="J187" s="265" t="s">
        <v>1737</v>
      </c>
      <c r="K187" s="265" t="s">
        <v>1737</v>
      </c>
      <c r="L187" s="176"/>
      <c r="M187" s="270">
        <v>44876</v>
      </c>
      <c r="N187" s="176" t="s">
        <v>6897</v>
      </c>
      <c r="O187" s="270">
        <v>44924</v>
      </c>
      <c r="P187" s="176" t="s">
        <v>6898</v>
      </c>
      <c r="Q187" s="176"/>
      <c r="R187" s="176"/>
      <c r="S187" s="176"/>
      <c r="T187" s="270">
        <v>44876</v>
      </c>
      <c r="U187" s="176" t="s">
        <v>4803</v>
      </c>
    </row>
    <row r="188" spans="1:21">
      <c r="A188" s="176" t="s">
        <v>6899</v>
      </c>
      <c r="B188" s="176" t="s">
        <v>6900</v>
      </c>
      <c r="C188" s="176" t="s">
        <v>6901</v>
      </c>
      <c r="D188" s="176" t="s">
        <v>6902</v>
      </c>
      <c r="E188" s="176" t="s">
        <v>1732</v>
      </c>
      <c r="F188" s="176"/>
      <c r="G188" s="774"/>
      <c r="H188" s="176" t="s">
        <v>6903</v>
      </c>
      <c r="I188" s="265" t="s">
        <v>1736</v>
      </c>
      <c r="J188" s="265" t="s">
        <v>1737</v>
      </c>
      <c r="K188" s="265" t="s">
        <v>1737</v>
      </c>
      <c r="L188" s="176"/>
      <c r="M188" s="270">
        <v>44873</v>
      </c>
      <c r="N188" s="176" t="s">
        <v>6904</v>
      </c>
      <c r="O188" s="270">
        <v>44930</v>
      </c>
      <c r="P188" s="176" t="s">
        <v>6905</v>
      </c>
      <c r="Q188" s="176"/>
      <c r="R188" s="176"/>
      <c r="S188" s="176"/>
      <c r="T188" s="270">
        <v>44873</v>
      </c>
      <c r="U188" s="176" t="s">
        <v>4803</v>
      </c>
    </row>
    <row r="189" spans="1:21">
      <c r="A189" s="176" t="s">
        <v>6906</v>
      </c>
      <c r="B189" s="176" t="s">
        <v>6907</v>
      </c>
      <c r="C189" s="176" t="s">
        <v>6908</v>
      </c>
      <c r="D189" s="176" t="s">
        <v>6909</v>
      </c>
      <c r="E189" s="176" t="s">
        <v>1732</v>
      </c>
      <c r="F189" s="176"/>
      <c r="G189" s="774"/>
      <c r="H189" s="176" t="s">
        <v>6910</v>
      </c>
      <c r="I189" s="265" t="s">
        <v>1736</v>
      </c>
      <c r="J189" s="265" t="s">
        <v>1737</v>
      </c>
      <c r="K189" s="265" t="s">
        <v>1737</v>
      </c>
      <c r="L189" s="176"/>
      <c r="M189" s="270">
        <v>44879</v>
      </c>
      <c r="N189" s="176" t="s">
        <v>6911</v>
      </c>
      <c r="O189" s="270">
        <v>44924</v>
      </c>
      <c r="P189" s="176" t="s">
        <v>6912</v>
      </c>
      <c r="Q189" s="176"/>
      <c r="R189" s="176"/>
      <c r="S189" s="176"/>
      <c r="T189" s="270">
        <v>44879</v>
      </c>
      <c r="U189" s="176" t="s">
        <v>4803</v>
      </c>
    </row>
    <row r="190" spans="1:21">
      <c r="A190" s="176" t="s">
        <v>6913</v>
      </c>
      <c r="B190" s="176" t="s">
        <v>6914</v>
      </c>
      <c r="C190" s="176" t="s">
        <v>6915</v>
      </c>
      <c r="D190" s="176" t="s">
        <v>6916</v>
      </c>
      <c r="E190" s="176" t="s">
        <v>1732</v>
      </c>
      <c r="F190" s="176"/>
      <c r="G190" s="774"/>
      <c r="H190" s="176" t="s">
        <v>6588</v>
      </c>
      <c r="I190" s="265" t="s">
        <v>1736</v>
      </c>
      <c r="J190" s="265" t="s">
        <v>1737</v>
      </c>
      <c r="K190" s="265" t="s">
        <v>1737</v>
      </c>
      <c r="L190" s="176"/>
      <c r="M190" s="270">
        <v>44879</v>
      </c>
      <c r="N190" s="176" t="s">
        <v>6917</v>
      </c>
      <c r="O190" s="270">
        <v>44931</v>
      </c>
      <c r="P190" s="176" t="s">
        <v>6918</v>
      </c>
      <c r="Q190" s="176"/>
      <c r="R190" s="176"/>
      <c r="S190" s="176"/>
      <c r="T190" s="270">
        <v>44879</v>
      </c>
      <c r="U190" s="176" t="s">
        <v>4803</v>
      </c>
    </row>
    <row r="191" spans="1:21">
      <c r="A191" s="176" t="s">
        <v>6919</v>
      </c>
      <c r="B191" s="176" t="s">
        <v>6920</v>
      </c>
      <c r="C191" s="176" t="s">
        <v>6921</v>
      </c>
      <c r="D191" s="176" t="s">
        <v>6594</v>
      </c>
      <c r="E191" s="176" t="s">
        <v>1732</v>
      </c>
      <c r="F191" s="176"/>
      <c r="G191" s="774"/>
      <c r="H191" s="176" t="s">
        <v>6595</v>
      </c>
      <c r="I191" s="265" t="s">
        <v>1736</v>
      </c>
      <c r="J191" s="265" t="s">
        <v>1737</v>
      </c>
      <c r="K191" s="265" t="s">
        <v>1737</v>
      </c>
      <c r="L191" s="176"/>
      <c r="M191" s="270">
        <v>44879</v>
      </c>
      <c r="N191" s="176" t="s">
        <v>6922</v>
      </c>
      <c r="O191" s="270">
        <v>44932</v>
      </c>
      <c r="P191" s="176" t="s">
        <v>6923</v>
      </c>
      <c r="Q191" s="176"/>
      <c r="R191" s="176"/>
      <c r="S191" s="176"/>
      <c r="T191" s="270">
        <v>44879</v>
      </c>
      <c r="U191" s="176" t="s">
        <v>4803</v>
      </c>
    </row>
    <row r="192" spans="1:21">
      <c r="A192" s="176" t="s">
        <v>6924</v>
      </c>
      <c r="B192" s="176" t="s">
        <v>6925</v>
      </c>
      <c r="C192" s="176" t="s">
        <v>6926</v>
      </c>
      <c r="D192" s="176" t="s">
        <v>6927</v>
      </c>
      <c r="E192" s="176" t="s">
        <v>1732</v>
      </c>
      <c r="F192" s="176"/>
      <c r="G192" s="774"/>
      <c r="H192" s="176" t="s">
        <v>6928</v>
      </c>
      <c r="I192" s="265" t="s">
        <v>1736</v>
      </c>
      <c r="J192" s="265" t="s">
        <v>1737</v>
      </c>
      <c r="K192" s="265" t="s">
        <v>1737</v>
      </c>
      <c r="L192" s="176"/>
      <c r="M192" s="270">
        <v>44879</v>
      </c>
      <c r="N192" s="176" t="s">
        <v>6929</v>
      </c>
      <c r="O192" s="270">
        <v>44932</v>
      </c>
      <c r="P192" s="176" t="s">
        <v>6930</v>
      </c>
      <c r="Q192" s="176"/>
      <c r="R192" s="176"/>
      <c r="S192" s="176"/>
      <c r="T192" s="270">
        <v>44879</v>
      </c>
      <c r="U192" s="176" t="s">
        <v>4803</v>
      </c>
    </row>
    <row r="193" spans="1:21">
      <c r="A193" s="176" t="s">
        <v>6931</v>
      </c>
      <c r="B193" s="176" t="s">
        <v>6932</v>
      </c>
      <c r="C193" s="176" t="s">
        <v>6933</v>
      </c>
      <c r="D193" s="176" t="s">
        <v>6934</v>
      </c>
      <c r="E193" s="176" t="s">
        <v>1732</v>
      </c>
      <c r="F193" s="176"/>
      <c r="G193" s="774"/>
      <c r="H193" s="176" t="s">
        <v>6935</v>
      </c>
      <c r="I193" s="265" t="s">
        <v>1736</v>
      </c>
      <c r="J193" s="265" t="s">
        <v>1737</v>
      </c>
      <c r="K193" s="265" t="s">
        <v>1737</v>
      </c>
      <c r="L193" s="176"/>
      <c r="M193" s="270">
        <v>44880</v>
      </c>
      <c r="N193" s="176" t="s">
        <v>6936</v>
      </c>
      <c r="O193" s="172" t="s">
        <v>3721</v>
      </c>
      <c r="P193" s="176" t="s">
        <v>6937</v>
      </c>
      <c r="Q193" s="176"/>
      <c r="R193" s="176"/>
      <c r="S193" s="176"/>
      <c r="T193" s="270">
        <v>44880</v>
      </c>
      <c r="U193" s="176" t="s">
        <v>4803</v>
      </c>
    </row>
    <row r="194" spans="1:21">
      <c r="A194" s="176" t="s">
        <v>6938</v>
      </c>
      <c r="B194" s="176" t="s">
        <v>6939</v>
      </c>
      <c r="C194" s="176" t="s">
        <v>6940</v>
      </c>
      <c r="D194" s="176" t="s">
        <v>6615</v>
      </c>
      <c r="E194" s="176" t="s">
        <v>1732</v>
      </c>
      <c r="F194" s="176"/>
      <c r="G194" s="774"/>
      <c r="H194" s="176" t="s">
        <v>6616</v>
      </c>
      <c r="I194" s="265" t="s">
        <v>1736</v>
      </c>
      <c r="J194" s="265" t="s">
        <v>1737</v>
      </c>
      <c r="K194" s="265" t="s">
        <v>1737</v>
      </c>
      <c r="L194" s="176"/>
      <c r="M194" s="270">
        <v>44880</v>
      </c>
      <c r="N194" s="176" t="s">
        <v>6941</v>
      </c>
      <c r="O194" s="172" t="s">
        <v>3721</v>
      </c>
      <c r="P194" s="176" t="s">
        <v>6942</v>
      </c>
      <c r="Q194" s="176"/>
      <c r="R194" s="176"/>
      <c r="S194" s="176"/>
      <c r="T194" s="270">
        <v>44880</v>
      </c>
      <c r="U194" s="176" t="s">
        <v>4803</v>
      </c>
    </row>
    <row r="195" spans="1:21">
      <c r="A195" s="176" t="s">
        <v>6943</v>
      </c>
      <c r="B195" s="176" t="s">
        <v>6944</v>
      </c>
      <c r="C195" s="176" t="s">
        <v>6945</v>
      </c>
      <c r="D195" s="176" t="s">
        <v>6946</v>
      </c>
      <c r="E195" s="176" t="s">
        <v>1732</v>
      </c>
      <c r="F195" s="176"/>
      <c r="G195" s="774"/>
      <c r="H195" s="176" t="s">
        <v>6947</v>
      </c>
      <c r="I195" s="265" t="s">
        <v>1736</v>
      </c>
      <c r="J195" s="265" t="s">
        <v>1737</v>
      </c>
      <c r="K195" s="265" t="s">
        <v>1737</v>
      </c>
      <c r="L195" s="176"/>
      <c r="M195" s="270">
        <v>44886</v>
      </c>
      <c r="N195" s="176" t="s">
        <v>6948</v>
      </c>
      <c r="O195" s="172" t="s">
        <v>3721</v>
      </c>
      <c r="P195" s="176" t="s">
        <v>6949</v>
      </c>
      <c r="Q195" s="176"/>
      <c r="R195" s="176"/>
      <c r="S195" s="176"/>
      <c r="T195" s="270">
        <v>44886</v>
      </c>
      <c r="U195" s="176" t="s">
        <v>4803</v>
      </c>
    </row>
    <row r="196" spans="1:21">
      <c r="A196" s="176" t="s">
        <v>6950</v>
      </c>
      <c r="B196" s="176" t="s">
        <v>6951</v>
      </c>
      <c r="C196" s="176" t="s">
        <v>6952</v>
      </c>
      <c r="D196" s="176" t="s">
        <v>6953</v>
      </c>
      <c r="E196" s="176" t="s">
        <v>1732</v>
      </c>
      <c r="F196" s="176"/>
      <c r="G196" s="774"/>
      <c r="H196" s="176" t="s">
        <v>6630</v>
      </c>
      <c r="I196" s="265" t="s">
        <v>1736</v>
      </c>
      <c r="J196" s="265" t="s">
        <v>1737</v>
      </c>
      <c r="K196" s="265" t="s">
        <v>1737</v>
      </c>
      <c r="L196" s="176"/>
      <c r="M196" s="270">
        <v>44895</v>
      </c>
      <c r="N196" s="176" t="s">
        <v>6954</v>
      </c>
      <c r="O196" s="172" t="s">
        <v>3721</v>
      </c>
      <c r="P196" s="176" t="s">
        <v>6955</v>
      </c>
      <c r="Q196" s="176"/>
      <c r="R196" s="176"/>
      <c r="S196" s="176"/>
      <c r="T196" s="270">
        <v>44895</v>
      </c>
      <c r="U196" s="176" t="s">
        <v>4803</v>
      </c>
    </row>
    <row r="197" spans="1:21">
      <c r="A197" s="176" t="s">
        <v>6956</v>
      </c>
      <c r="B197" s="176" t="s">
        <v>6957</v>
      </c>
      <c r="C197" s="176" t="s">
        <v>6958</v>
      </c>
      <c r="D197" s="176" t="s">
        <v>6959</v>
      </c>
      <c r="E197" s="176" t="s">
        <v>1732</v>
      </c>
      <c r="F197" s="176"/>
      <c r="G197" s="774"/>
      <c r="H197" s="176" t="s">
        <v>6637</v>
      </c>
      <c r="I197" s="265" t="s">
        <v>1736</v>
      </c>
      <c r="J197" s="265" t="s">
        <v>1737</v>
      </c>
      <c r="K197" s="265" t="s">
        <v>1737</v>
      </c>
      <c r="L197" s="176"/>
      <c r="M197" s="270">
        <v>44880</v>
      </c>
      <c r="N197" s="176" t="s">
        <v>6960</v>
      </c>
      <c r="O197" s="172" t="s">
        <v>3721</v>
      </c>
      <c r="P197" s="176" t="s">
        <v>6961</v>
      </c>
      <c r="Q197" s="176"/>
      <c r="R197" s="176"/>
      <c r="S197" s="176"/>
      <c r="T197" s="270">
        <v>44880</v>
      </c>
      <c r="U197" s="176" t="s">
        <v>4803</v>
      </c>
    </row>
    <row r="198" spans="1:21">
      <c r="A198" s="176" t="s">
        <v>6962</v>
      </c>
      <c r="B198" s="176" t="s">
        <v>6963</v>
      </c>
      <c r="C198" s="176" t="s">
        <v>6964</v>
      </c>
      <c r="D198" s="176" t="s">
        <v>6643</v>
      </c>
      <c r="E198" s="176" t="s">
        <v>1732</v>
      </c>
      <c r="F198" s="176"/>
      <c r="G198" s="774"/>
      <c r="H198" s="176" t="s">
        <v>6644</v>
      </c>
      <c r="I198" s="265" t="s">
        <v>1736</v>
      </c>
      <c r="J198" s="265" t="s">
        <v>1737</v>
      </c>
      <c r="K198" s="265" t="s">
        <v>1737</v>
      </c>
      <c r="L198" s="176" t="s">
        <v>6965</v>
      </c>
      <c r="M198" s="270">
        <v>44872</v>
      </c>
      <c r="N198" s="176" t="s">
        <v>6966</v>
      </c>
      <c r="O198" s="172" t="s">
        <v>3721</v>
      </c>
      <c r="P198" s="176" t="s">
        <v>6967</v>
      </c>
      <c r="Q198" s="176"/>
      <c r="R198" s="176"/>
      <c r="S198" s="176"/>
      <c r="T198" s="270">
        <v>44872</v>
      </c>
      <c r="U198" s="176" t="s">
        <v>4803</v>
      </c>
    </row>
    <row r="199" spans="1:21">
      <c r="A199" s="176" t="s">
        <v>6968</v>
      </c>
      <c r="B199" s="176" t="s">
        <v>6969</v>
      </c>
      <c r="C199" s="176" t="s">
        <v>6970</v>
      </c>
      <c r="D199" s="176" t="s">
        <v>6650</v>
      </c>
      <c r="E199" s="176" t="s">
        <v>1732</v>
      </c>
      <c r="F199" s="176"/>
      <c r="G199" s="774"/>
      <c r="H199" s="176" t="s">
        <v>6971</v>
      </c>
      <c r="I199" s="265" t="s">
        <v>1736</v>
      </c>
      <c r="J199" s="265" t="s">
        <v>1737</v>
      </c>
      <c r="K199" s="265" t="s">
        <v>1737</v>
      </c>
      <c r="L199" s="176"/>
      <c r="M199" s="270">
        <v>44872</v>
      </c>
      <c r="N199" s="176" t="s">
        <v>6972</v>
      </c>
      <c r="O199" s="172" t="s">
        <v>3721</v>
      </c>
      <c r="P199" s="176" t="s">
        <v>6973</v>
      </c>
      <c r="Q199" s="176"/>
      <c r="R199" s="176"/>
      <c r="S199" s="176"/>
      <c r="T199" s="270">
        <v>44872</v>
      </c>
      <c r="U199" s="176" t="s">
        <v>4803</v>
      </c>
    </row>
    <row r="200" spans="1:21">
      <c r="A200" s="176" t="s">
        <v>6974</v>
      </c>
      <c r="B200" s="176" t="s">
        <v>6975</v>
      </c>
      <c r="C200" s="176" t="s">
        <v>6976</v>
      </c>
      <c r="D200" s="176" t="s">
        <v>6657</v>
      </c>
      <c r="E200" s="176" t="s">
        <v>1732</v>
      </c>
      <c r="F200" s="176"/>
      <c r="G200" s="774"/>
      <c r="H200" s="176" t="s">
        <v>6658</v>
      </c>
      <c r="I200" s="265" t="s">
        <v>1736</v>
      </c>
      <c r="J200" s="265" t="s">
        <v>1737</v>
      </c>
      <c r="K200" s="265" t="s">
        <v>1737</v>
      </c>
      <c r="L200" s="176"/>
      <c r="M200" s="270">
        <v>44897</v>
      </c>
      <c r="N200" s="176" t="s">
        <v>6977</v>
      </c>
      <c r="O200" s="172" t="s">
        <v>3854</v>
      </c>
      <c r="P200" s="176" t="s">
        <v>6978</v>
      </c>
      <c r="Q200" s="176"/>
      <c r="R200" s="176"/>
      <c r="S200" s="176"/>
      <c r="T200" s="270">
        <v>44897</v>
      </c>
      <c r="U200" s="176" t="s">
        <v>4803</v>
      </c>
    </row>
    <row r="201" spans="1:21">
      <c r="A201" s="176" t="s">
        <v>6979</v>
      </c>
      <c r="B201" s="176" t="s">
        <v>6980</v>
      </c>
      <c r="C201" s="176" t="s">
        <v>6981</v>
      </c>
      <c r="D201" s="176" t="s">
        <v>6664</v>
      </c>
      <c r="E201" s="176" t="s">
        <v>1732</v>
      </c>
      <c r="F201" s="176"/>
      <c r="G201" s="774"/>
      <c r="H201" s="176" t="s">
        <v>6982</v>
      </c>
      <c r="I201" s="265" t="s">
        <v>1736</v>
      </c>
      <c r="J201" s="265" t="s">
        <v>1737</v>
      </c>
      <c r="K201" s="265" t="s">
        <v>1737</v>
      </c>
      <c r="L201" s="176"/>
      <c r="M201" s="270">
        <v>44897</v>
      </c>
      <c r="N201" s="176" t="s">
        <v>6983</v>
      </c>
      <c r="O201" s="172" t="s">
        <v>3854</v>
      </c>
      <c r="P201" s="176" t="s">
        <v>6984</v>
      </c>
      <c r="Q201" s="176"/>
      <c r="R201" s="176"/>
      <c r="S201" s="176"/>
      <c r="T201" s="270">
        <v>44897</v>
      </c>
      <c r="U201" s="176" t="s">
        <v>4803</v>
      </c>
    </row>
    <row r="202" spans="1:21">
      <c r="A202" s="176" t="s">
        <v>6985</v>
      </c>
      <c r="B202" s="176" t="s">
        <v>6986</v>
      </c>
      <c r="C202" s="176" t="s">
        <v>6987</v>
      </c>
      <c r="D202" s="176" t="s">
        <v>6988</v>
      </c>
      <c r="E202" s="176" t="s">
        <v>1732</v>
      </c>
      <c r="F202" s="176"/>
      <c r="G202" s="774"/>
      <c r="H202" s="176" t="s">
        <v>6989</v>
      </c>
      <c r="I202" s="265" t="s">
        <v>1736</v>
      </c>
      <c r="J202" s="265" t="s">
        <v>1737</v>
      </c>
      <c r="K202" s="265" t="s">
        <v>1737</v>
      </c>
      <c r="L202" s="176"/>
      <c r="M202" s="270">
        <v>44897</v>
      </c>
      <c r="N202" s="176" t="s">
        <v>6990</v>
      </c>
      <c r="O202" s="172" t="s">
        <v>3854</v>
      </c>
      <c r="P202" s="176" t="s">
        <v>6991</v>
      </c>
      <c r="Q202" s="176"/>
      <c r="R202" s="176"/>
      <c r="S202" s="176"/>
      <c r="T202" s="270">
        <v>44897</v>
      </c>
      <c r="U202" s="176" t="s">
        <v>4803</v>
      </c>
    </row>
    <row r="203" spans="1:21">
      <c r="A203" s="176" t="s">
        <v>6992</v>
      </c>
      <c r="B203" s="176" t="s">
        <v>6993</v>
      </c>
      <c r="C203" s="176" t="s">
        <v>6994</v>
      </c>
      <c r="D203" s="176" t="s">
        <v>6995</v>
      </c>
      <c r="E203" s="176" t="s">
        <v>1732</v>
      </c>
      <c r="F203" s="176"/>
      <c r="G203" s="774"/>
      <c r="H203" s="176" t="s">
        <v>6996</v>
      </c>
      <c r="I203" s="265" t="s">
        <v>1736</v>
      </c>
      <c r="J203" s="265" t="s">
        <v>1737</v>
      </c>
      <c r="K203" s="265" t="s">
        <v>1737</v>
      </c>
      <c r="L203" s="176"/>
      <c r="M203" s="270">
        <v>44910</v>
      </c>
      <c r="N203" s="176" t="s">
        <v>6997</v>
      </c>
      <c r="O203" s="172" t="s">
        <v>3854</v>
      </c>
      <c r="P203" s="176" t="s">
        <v>6998</v>
      </c>
      <c r="Q203" s="176"/>
      <c r="R203" s="176"/>
      <c r="S203" s="176"/>
      <c r="T203" s="270">
        <v>44910</v>
      </c>
      <c r="U203" s="176" t="s">
        <v>4803</v>
      </c>
    </row>
    <row r="204" spans="1:21">
      <c r="A204" s="267" t="s">
        <v>6999</v>
      </c>
      <c r="B204" s="267" t="s">
        <v>7000</v>
      </c>
      <c r="C204" s="267" t="s">
        <v>7001</v>
      </c>
      <c r="D204" s="267" t="s">
        <v>7002</v>
      </c>
      <c r="E204" s="267" t="s">
        <v>1732</v>
      </c>
      <c r="F204" s="267"/>
      <c r="G204" s="774"/>
      <c r="H204" s="267" t="s">
        <v>6686</v>
      </c>
      <c r="I204" s="268" t="s">
        <v>1736</v>
      </c>
      <c r="J204" s="268" t="s">
        <v>5692</v>
      </c>
      <c r="K204" s="268" t="s">
        <v>5692</v>
      </c>
      <c r="L204" s="176" t="s">
        <v>6694</v>
      </c>
      <c r="M204" s="270"/>
      <c r="N204" s="176"/>
      <c r="O204" s="176"/>
      <c r="P204" s="176"/>
      <c r="Q204" s="176"/>
      <c r="R204" s="176"/>
      <c r="S204" s="176"/>
      <c r="T204" s="270"/>
      <c r="U204" s="176"/>
    </row>
    <row r="205" spans="1:21">
      <c r="A205" s="267" t="s">
        <v>7003</v>
      </c>
      <c r="B205" s="267" t="s">
        <v>7004</v>
      </c>
      <c r="C205" s="267" t="s">
        <v>7005</v>
      </c>
      <c r="D205" s="267" t="s">
        <v>6692</v>
      </c>
      <c r="E205" s="267" t="s">
        <v>1732</v>
      </c>
      <c r="F205" s="267"/>
      <c r="G205" s="774"/>
      <c r="H205" s="267" t="s">
        <v>6693</v>
      </c>
      <c r="I205" s="268" t="s">
        <v>1736</v>
      </c>
      <c r="J205" s="268" t="s">
        <v>5692</v>
      </c>
      <c r="K205" s="268" t="s">
        <v>5692</v>
      </c>
      <c r="L205" s="176" t="s">
        <v>6694</v>
      </c>
      <c r="M205" s="270"/>
      <c r="N205" s="176"/>
      <c r="O205" s="176"/>
      <c r="P205" s="176"/>
      <c r="Q205" s="176"/>
      <c r="R205" s="176"/>
      <c r="S205" s="176"/>
      <c r="T205" s="270"/>
      <c r="U205" s="176"/>
    </row>
    <row r="206" spans="1:21">
      <c r="A206" s="176" t="s">
        <v>7006</v>
      </c>
      <c r="B206" s="176" t="s">
        <v>7007</v>
      </c>
      <c r="C206" s="176" t="s">
        <v>7008</v>
      </c>
      <c r="D206" s="176" t="s">
        <v>6698</v>
      </c>
      <c r="E206" s="176" t="s">
        <v>1732</v>
      </c>
      <c r="F206" s="176"/>
      <c r="G206" s="774"/>
      <c r="H206" s="176" t="s">
        <v>6693</v>
      </c>
      <c r="I206" s="265" t="s">
        <v>1736</v>
      </c>
      <c r="J206" s="265" t="s">
        <v>1737</v>
      </c>
      <c r="K206" s="265" t="s">
        <v>1737</v>
      </c>
      <c r="L206" s="176"/>
      <c r="M206" s="270">
        <v>44897</v>
      </c>
      <c r="N206" s="176" t="s">
        <v>7009</v>
      </c>
      <c r="O206" s="172" t="s">
        <v>3854</v>
      </c>
      <c r="P206" s="176" t="s">
        <v>7010</v>
      </c>
      <c r="Q206" s="176"/>
      <c r="R206" s="176"/>
      <c r="S206" s="176"/>
      <c r="T206" s="270">
        <v>44897</v>
      </c>
      <c r="U206" s="176" t="s">
        <v>4803</v>
      </c>
    </row>
    <row r="207" spans="1:21">
      <c r="A207" s="176" t="s">
        <v>7011</v>
      </c>
      <c r="B207" s="176" t="s">
        <v>7012</v>
      </c>
      <c r="C207" s="176" t="s">
        <v>7013</v>
      </c>
      <c r="D207" s="176" t="s">
        <v>6704</v>
      </c>
      <c r="E207" s="176" t="s">
        <v>1732</v>
      </c>
      <c r="F207" s="176"/>
      <c r="G207" s="774"/>
      <c r="H207" s="176" t="s">
        <v>7014</v>
      </c>
      <c r="I207" s="265" t="s">
        <v>1736</v>
      </c>
      <c r="J207" s="265" t="s">
        <v>1737</v>
      </c>
      <c r="K207" s="265" t="s">
        <v>1737</v>
      </c>
      <c r="L207" s="176"/>
      <c r="M207" s="270">
        <v>44900</v>
      </c>
      <c r="N207" s="176" t="s">
        <v>7015</v>
      </c>
      <c r="O207" s="172" t="s">
        <v>3854</v>
      </c>
      <c r="P207" s="176" t="s">
        <v>7016</v>
      </c>
      <c r="Q207" s="176"/>
      <c r="R207" s="176"/>
      <c r="S207" s="176"/>
      <c r="T207" s="270">
        <v>44900</v>
      </c>
      <c r="U207" s="176" t="s">
        <v>4803</v>
      </c>
    </row>
    <row r="208" spans="1:21">
      <c r="A208" s="176" t="s">
        <v>7017</v>
      </c>
      <c r="B208" s="176" t="s">
        <v>7018</v>
      </c>
      <c r="C208" s="176" t="s">
        <v>7019</v>
      </c>
      <c r="D208" s="176" t="s">
        <v>6711</v>
      </c>
      <c r="E208" s="176" t="s">
        <v>1732</v>
      </c>
      <c r="F208" s="176"/>
      <c r="G208" s="774"/>
      <c r="H208" s="176" t="s">
        <v>7020</v>
      </c>
      <c r="I208" s="265" t="s">
        <v>1736</v>
      </c>
      <c r="J208" s="265" t="s">
        <v>1737</v>
      </c>
      <c r="K208" s="265" t="s">
        <v>1737</v>
      </c>
      <c r="L208" s="176"/>
      <c r="M208" s="270">
        <v>44900</v>
      </c>
      <c r="N208" s="176" t="s">
        <v>7021</v>
      </c>
      <c r="O208" s="172" t="s">
        <v>3854</v>
      </c>
      <c r="P208" s="176" t="s">
        <v>7022</v>
      </c>
      <c r="Q208" s="176"/>
      <c r="R208" s="176"/>
      <c r="S208" s="176"/>
      <c r="T208" s="270">
        <v>44900</v>
      </c>
      <c r="U208" s="176" t="s">
        <v>4803</v>
      </c>
    </row>
    <row r="209" spans="1:21">
      <c r="A209" s="176" t="s">
        <v>7023</v>
      </c>
      <c r="B209" s="176" t="s">
        <v>7024</v>
      </c>
      <c r="C209" s="176" t="s">
        <v>7025</v>
      </c>
      <c r="D209" s="176" t="s">
        <v>6718</v>
      </c>
      <c r="E209" s="176" t="s">
        <v>1732</v>
      </c>
      <c r="F209" s="176"/>
      <c r="G209" s="774"/>
      <c r="H209" s="176" t="s">
        <v>7026</v>
      </c>
      <c r="I209" s="265" t="s">
        <v>1736</v>
      </c>
      <c r="J209" s="265" t="s">
        <v>1737</v>
      </c>
      <c r="K209" s="265" t="s">
        <v>1737</v>
      </c>
      <c r="L209" s="176"/>
      <c r="M209" s="270">
        <v>44900</v>
      </c>
      <c r="N209" s="176" t="s">
        <v>7027</v>
      </c>
      <c r="O209" s="172" t="s">
        <v>3854</v>
      </c>
      <c r="P209" s="176" t="s">
        <v>7028</v>
      </c>
      <c r="Q209" s="176"/>
      <c r="R209" s="176"/>
      <c r="S209" s="176"/>
      <c r="T209" s="270">
        <v>44900</v>
      </c>
      <c r="U209" s="176" t="s">
        <v>4803</v>
      </c>
    </row>
    <row r="210" spans="1:21">
      <c r="A210" s="176" t="s">
        <v>7029</v>
      </c>
      <c r="B210" s="176" t="s">
        <v>7030</v>
      </c>
      <c r="C210" s="176" t="s">
        <v>7031</v>
      </c>
      <c r="D210" s="176" t="s">
        <v>6725</v>
      </c>
      <c r="E210" s="176" t="s">
        <v>1732</v>
      </c>
      <c r="F210" s="176"/>
      <c r="G210" s="774"/>
      <c r="H210" s="176" t="s">
        <v>7032</v>
      </c>
      <c r="I210" s="265" t="s">
        <v>1736</v>
      </c>
      <c r="J210" s="265" t="s">
        <v>1737</v>
      </c>
      <c r="K210" s="265" t="s">
        <v>1737</v>
      </c>
      <c r="L210" s="176"/>
      <c r="M210" s="270">
        <v>44910</v>
      </c>
      <c r="N210" s="176" t="s">
        <v>7033</v>
      </c>
      <c r="O210" s="172" t="s">
        <v>3854</v>
      </c>
      <c r="P210" s="176" t="s">
        <v>7034</v>
      </c>
      <c r="Q210" s="176"/>
      <c r="R210" s="176"/>
      <c r="S210" s="176"/>
      <c r="T210" s="270">
        <v>44910</v>
      </c>
      <c r="U210" s="176" t="s">
        <v>4803</v>
      </c>
    </row>
    <row r="211" spans="1:21">
      <c r="A211" s="176" t="s">
        <v>7035</v>
      </c>
      <c r="B211" s="176" t="s">
        <v>7036</v>
      </c>
      <c r="C211" s="176" t="s">
        <v>7037</v>
      </c>
      <c r="D211" s="176" t="s">
        <v>7038</v>
      </c>
      <c r="E211" s="176" t="s">
        <v>1732</v>
      </c>
      <c r="F211" s="176"/>
      <c r="G211" s="774"/>
      <c r="H211" s="176" t="s">
        <v>7039</v>
      </c>
      <c r="I211" s="265" t="s">
        <v>1736</v>
      </c>
      <c r="J211" s="265" t="s">
        <v>1737</v>
      </c>
      <c r="K211" s="265" t="s">
        <v>1737</v>
      </c>
      <c r="L211" s="176"/>
      <c r="M211" s="270">
        <v>44900</v>
      </c>
      <c r="N211" s="176" t="s">
        <v>7040</v>
      </c>
      <c r="O211" s="172" t="s">
        <v>3854</v>
      </c>
      <c r="P211" s="176" t="s">
        <v>7041</v>
      </c>
      <c r="Q211" s="176"/>
      <c r="R211" s="176"/>
      <c r="S211" s="176"/>
      <c r="T211" s="270">
        <v>44900</v>
      </c>
      <c r="U211" s="176" t="s">
        <v>4803</v>
      </c>
    </row>
    <row r="212" spans="1:21">
      <c r="A212" s="176" t="s">
        <v>7042</v>
      </c>
      <c r="B212" s="176" t="s">
        <v>7043</v>
      </c>
      <c r="C212" s="176" t="s">
        <v>6958</v>
      </c>
      <c r="D212" s="176" t="s">
        <v>6959</v>
      </c>
      <c r="E212" s="176" t="s">
        <v>1732</v>
      </c>
      <c r="F212" s="176"/>
      <c r="G212" s="774"/>
      <c r="H212" s="176" t="s">
        <v>6637</v>
      </c>
      <c r="I212" s="265" t="s">
        <v>1736</v>
      </c>
      <c r="J212" s="265" t="s">
        <v>1737</v>
      </c>
      <c r="K212" s="265" t="s">
        <v>1737</v>
      </c>
      <c r="L212" s="176"/>
      <c r="M212" s="270">
        <v>44881</v>
      </c>
      <c r="N212" s="176" t="s">
        <v>7044</v>
      </c>
      <c r="O212" s="172" t="s">
        <v>3854</v>
      </c>
      <c r="P212" s="176" t="s">
        <v>7045</v>
      </c>
      <c r="Q212" s="176"/>
      <c r="R212" s="176"/>
      <c r="S212" s="176"/>
      <c r="T212" s="270">
        <v>44881</v>
      </c>
      <c r="U212" s="176" t="s">
        <v>4803</v>
      </c>
    </row>
    <row r="213" spans="1:21">
      <c r="A213" s="176" t="s">
        <v>7046</v>
      </c>
      <c r="B213" s="176" t="s">
        <v>7047</v>
      </c>
      <c r="C213" s="176" t="s">
        <v>7048</v>
      </c>
      <c r="D213" s="176" t="s">
        <v>6736</v>
      </c>
      <c r="E213" s="176" t="s">
        <v>1732</v>
      </c>
      <c r="F213" s="176"/>
      <c r="G213" s="774"/>
      <c r="H213" s="176" t="s">
        <v>7049</v>
      </c>
      <c r="I213" s="265" t="s">
        <v>1736</v>
      </c>
      <c r="J213" s="265" t="s">
        <v>1737</v>
      </c>
      <c r="K213" s="265" t="s">
        <v>1737</v>
      </c>
      <c r="L213" s="176"/>
      <c r="M213" s="270">
        <v>44873</v>
      </c>
      <c r="N213" s="176" t="s">
        <v>7050</v>
      </c>
      <c r="O213" s="172" t="s">
        <v>3854</v>
      </c>
      <c r="P213" s="176" t="s">
        <v>7051</v>
      </c>
      <c r="Q213" s="176"/>
      <c r="R213" s="176"/>
      <c r="S213" s="176"/>
      <c r="T213" s="270">
        <v>44873</v>
      </c>
      <c r="U213" s="176" t="s">
        <v>4803</v>
      </c>
    </row>
    <row r="214" spans="1:21">
      <c r="A214" s="176" t="s">
        <v>7052</v>
      </c>
      <c r="B214" s="176" t="s">
        <v>7053</v>
      </c>
      <c r="C214" s="176" t="s">
        <v>6958</v>
      </c>
      <c r="D214" s="176" t="s">
        <v>6959</v>
      </c>
      <c r="E214" s="176" t="s">
        <v>1732</v>
      </c>
      <c r="F214" s="176"/>
      <c r="G214" s="774"/>
      <c r="H214" s="176" t="s">
        <v>6637</v>
      </c>
      <c r="I214" s="265" t="s">
        <v>1736</v>
      </c>
      <c r="J214" s="265" t="s">
        <v>1737</v>
      </c>
      <c r="K214" s="265" t="s">
        <v>1737</v>
      </c>
      <c r="L214" s="176"/>
      <c r="M214" s="270">
        <v>44887</v>
      </c>
      <c r="N214" s="176" t="s">
        <v>7054</v>
      </c>
      <c r="O214" s="172" t="s">
        <v>3854</v>
      </c>
      <c r="P214" s="176" t="s">
        <v>7055</v>
      </c>
      <c r="Q214" s="176"/>
      <c r="R214" s="176"/>
      <c r="S214" s="176"/>
      <c r="T214" s="270">
        <v>44887</v>
      </c>
      <c r="U214" s="176" t="s">
        <v>4803</v>
      </c>
    </row>
    <row r="215" spans="1:21">
      <c r="A215" s="176" t="s">
        <v>7056</v>
      </c>
      <c r="B215" s="176" t="s">
        <v>7057</v>
      </c>
      <c r="C215" s="176" t="s">
        <v>6964</v>
      </c>
      <c r="D215" s="176" t="s">
        <v>6643</v>
      </c>
      <c r="E215" s="176" t="s">
        <v>1732</v>
      </c>
      <c r="F215" s="176"/>
      <c r="G215" s="774"/>
      <c r="H215" s="176" t="s">
        <v>6644</v>
      </c>
      <c r="I215" s="265" t="s">
        <v>1736</v>
      </c>
      <c r="J215" s="265" t="s">
        <v>1737</v>
      </c>
      <c r="K215" s="265" t="s">
        <v>1737</v>
      </c>
      <c r="L215" s="176"/>
      <c r="M215" s="270">
        <v>44873</v>
      </c>
      <c r="N215" s="176" t="s">
        <v>7058</v>
      </c>
      <c r="O215" s="172" t="s">
        <v>3854</v>
      </c>
      <c r="P215" s="176" t="s">
        <v>7059</v>
      </c>
      <c r="Q215" s="176"/>
      <c r="R215" s="176"/>
      <c r="S215" s="176"/>
      <c r="T215" s="270">
        <v>44873</v>
      </c>
      <c r="U215" s="176" t="s">
        <v>4803</v>
      </c>
    </row>
    <row r="216" spans="1:21">
      <c r="A216" s="176" t="s">
        <v>7060</v>
      </c>
      <c r="B216" s="176" t="s">
        <v>7061</v>
      </c>
      <c r="C216" s="176" t="s">
        <v>7062</v>
      </c>
      <c r="D216" s="176" t="s">
        <v>6751</v>
      </c>
      <c r="E216" s="176" t="s">
        <v>1732</v>
      </c>
      <c r="F216" s="176"/>
      <c r="G216" s="774"/>
      <c r="H216" s="176" t="s">
        <v>7063</v>
      </c>
      <c r="I216" s="265" t="s">
        <v>1736</v>
      </c>
      <c r="J216" s="265" t="s">
        <v>1737</v>
      </c>
      <c r="K216" s="265" t="s">
        <v>1737</v>
      </c>
      <c r="L216" s="176"/>
      <c r="M216" s="270">
        <v>44873</v>
      </c>
      <c r="N216" s="176" t="s">
        <v>7064</v>
      </c>
      <c r="O216" s="172" t="s">
        <v>3854</v>
      </c>
      <c r="P216" s="176" t="s">
        <v>7065</v>
      </c>
      <c r="Q216" s="176"/>
      <c r="R216" s="176"/>
      <c r="S216" s="176"/>
      <c r="T216" s="270">
        <v>44873</v>
      </c>
      <c r="U216" s="176" t="s">
        <v>4803</v>
      </c>
    </row>
    <row r="217" spans="1:21">
      <c r="A217" s="176" t="s">
        <v>7066</v>
      </c>
      <c r="B217" s="176" t="s">
        <v>7067</v>
      </c>
      <c r="C217" s="176" t="s">
        <v>7068</v>
      </c>
      <c r="D217" s="176" t="s">
        <v>7069</v>
      </c>
      <c r="E217" s="176" t="s">
        <v>1732</v>
      </c>
      <c r="F217" s="176"/>
      <c r="G217" s="774"/>
      <c r="H217" s="176" t="s">
        <v>6759</v>
      </c>
      <c r="I217" s="265" t="s">
        <v>1736</v>
      </c>
      <c r="J217" s="265" t="s">
        <v>1737</v>
      </c>
      <c r="K217" s="265" t="s">
        <v>1737</v>
      </c>
      <c r="L217" s="176"/>
      <c r="M217" s="270">
        <v>44881</v>
      </c>
      <c r="N217" s="176" t="s">
        <v>7070</v>
      </c>
      <c r="O217" s="270">
        <v>44929</v>
      </c>
      <c r="P217" s="176" t="s">
        <v>7071</v>
      </c>
      <c r="Q217" s="176"/>
      <c r="R217" s="176"/>
      <c r="S217" s="176"/>
      <c r="T217" s="270">
        <v>44881</v>
      </c>
      <c r="U217" s="176" t="s">
        <v>4803</v>
      </c>
    </row>
    <row r="218" spans="1:21">
      <c r="A218" s="176" t="s">
        <v>7072</v>
      </c>
      <c r="B218" s="176" t="s">
        <v>7073</v>
      </c>
      <c r="C218" s="176" t="s">
        <v>7074</v>
      </c>
      <c r="D218" s="176" t="s">
        <v>7075</v>
      </c>
      <c r="E218" s="176" t="s">
        <v>1732</v>
      </c>
      <c r="F218" s="176"/>
      <c r="G218" s="774"/>
      <c r="H218" s="176" t="s">
        <v>6766</v>
      </c>
      <c r="I218" s="265" t="s">
        <v>1736</v>
      </c>
      <c r="J218" s="265" t="s">
        <v>1737</v>
      </c>
      <c r="K218" s="265" t="s">
        <v>1737</v>
      </c>
      <c r="L218" s="176"/>
      <c r="M218" s="270">
        <v>44881</v>
      </c>
      <c r="N218" s="176" t="s">
        <v>7076</v>
      </c>
      <c r="O218" s="270">
        <v>44924</v>
      </c>
      <c r="P218" s="176" t="s">
        <v>7077</v>
      </c>
      <c r="Q218" s="176"/>
      <c r="R218" s="176"/>
      <c r="S218" s="176"/>
      <c r="T218" s="270">
        <v>44881</v>
      </c>
      <c r="U218" s="176" t="s">
        <v>4803</v>
      </c>
    </row>
    <row r="219" spans="1:21">
      <c r="A219" s="176" t="s">
        <v>7078</v>
      </c>
      <c r="B219" s="176" t="s">
        <v>7079</v>
      </c>
      <c r="C219" s="176" t="s">
        <v>7080</v>
      </c>
      <c r="D219" s="176" t="s">
        <v>6772</v>
      </c>
      <c r="E219" s="176" t="s">
        <v>1732</v>
      </c>
      <c r="F219" s="176"/>
      <c r="G219" s="774"/>
      <c r="H219" s="176" t="s">
        <v>7081</v>
      </c>
      <c r="I219" s="265" t="s">
        <v>1736</v>
      </c>
      <c r="J219" s="265" t="s">
        <v>1737</v>
      </c>
      <c r="K219" s="265" t="s">
        <v>1737</v>
      </c>
      <c r="L219" s="176"/>
      <c r="M219" s="270">
        <v>44881</v>
      </c>
      <c r="N219" s="176" t="s">
        <v>7082</v>
      </c>
      <c r="O219" s="270">
        <v>44924</v>
      </c>
      <c r="P219" s="176" t="s">
        <v>7083</v>
      </c>
      <c r="Q219" s="176"/>
      <c r="R219" s="176"/>
      <c r="S219" s="176"/>
      <c r="T219" s="270">
        <v>44881</v>
      </c>
      <c r="U219" s="176" t="s">
        <v>4803</v>
      </c>
    </row>
    <row r="220" spans="1:21">
      <c r="A220" s="176" t="s">
        <v>7084</v>
      </c>
      <c r="B220" s="176" t="s">
        <v>7085</v>
      </c>
      <c r="C220" s="176" t="s">
        <v>7086</v>
      </c>
      <c r="D220" s="176" t="s">
        <v>6779</v>
      </c>
      <c r="E220" s="176" t="s">
        <v>1732</v>
      </c>
      <c r="F220" s="176"/>
      <c r="G220" s="774"/>
      <c r="H220" s="176" t="s">
        <v>6780</v>
      </c>
      <c r="I220" s="265" t="s">
        <v>1736</v>
      </c>
      <c r="J220" s="265" t="s">
        <v>1737</v>
      </c>
      <c r="K220" s="265" t="s">
        <v>1737</v>
      </c>
      <c r="L220" s="176"/>
      <c r="M220" s="270">
        <v>44881</v>
      </c>
      <c r="N220" s="176" t="s">
        <v>7087</v>
      </c>
      <c r="O220" s="270">
        <v>44924</v>
      </c>
      <c r="P220" s="176" t="s">
        <v>7088</v>
      </c>
      <c r="Q220" s="176"/>
      <c r="R220" s="176"/>
      <c r="S220" s="176"/>
      <c r="T220" s="270">
        <v>44881</v>
      </c>
      <c r="U220" s="176" t="s">
        <v>4803</v>
      </c>
    </row>
    <row r="221" spans="1:21">
      <c r="A221" s="176" t="s">
        <v>7089</v>
      </c>
      <c r="B221" s="176" t="s">
        <v>7090</v>
      </c>
      <c r="C221" s="176" t="s">
        <v>7091</v>
      </c>
      <c r="D221" s="176" t="s">
        <v>6786</v>
      </c>
      <c r="E221" s="176" t="s">
        <v>1732</v>
      </c>
      <c r="F221" s="176"/>
      <c r="G221" s="774"/>
      <c r="H221" s="176" t="s">
        <v>6787</v>
      </c>
      <c r="I221" s="265" t="s">
        <v>1736</v>
      </c>
      <c r="J221" s="265" t="s">
        <v>1737</v>
      </c>
      <c r="K221" s="265" t="s">
        <v>1737</v>
      </c>
      <c r="L221" s="176"/>
      <c r="M221" s="270">
        <v>44882</v>
      </c>
      <c r="N221" s="176" t="s">
        <v>7092</v>
      </c>
      <c r="O221" s="270">
        <v>44932</v>
      </c>
      <c r="P221" s="176" t="s">
        <v>7093</v>
      </c>
      <c r="Q221" s="176"/>
      <c r="R221" s="176"/>
      <c r="S221" s="176"/>
      <c r="T221" s="270">
        <v>44882</v>
      </c>
      <c r="U221" s="176" t="s">
        <v>4803</v>
      </c>
    </row>
    <row r="222" spans="1:21">
      <c r="A222" s="176" t="s">
        <v>7094</v>
      </c>
      <c r="B222" s="176" t="s">
        <v>7095</v>
      </c>
      <c r="C222" s="176" t="s">
        <v>7096</v>
      </c>
      <c r="D222" s="176" t="s">
        <v>6793</v>
      </c>
      <c r="E222" s="176" t="s">
        <v>1732</v>
      </c>
      <c r="F222" s="176"/>
      <c r="G222" s="774"/>
      <c r="H222" s="176" t="s">
        <v>6794</v>
      </c>
      <c r="I222" s="265" t="s">
        <v>1736</v>
      </c>
      <c r="J222" s="265" t="s">
        <v>1737</v>
      </c>
      <c r="K222" s="265" t="s">
        <v>1737</v>
      </c>
      <c r="L222" s="176"/>
      <c r="M222" s="270">
        <v>44882</v>
      </c>
      <c r="N222" s="176" t="s">
        <v>7097</v>
      </c>
      <c r="O222" s="270">
        <v>44924</v>
      </c>
      <c r="P222" s="176" t="s">
        <v>7098</v>
      </c>
      <c r="Q222" s="176"/>
      <c r="R222" s="176"/>
      <c r="S222" s="176"/>
      <c r="T222" s="270">
        <v>44882</v>
      </c>
      <c r="U222" s="176" t="s">
        <v>4803</v>
      </c>
    </row>
    <row r="223" spans="1:21">
      <c r="A223" s="176" t="s">
        <v>7099</v>
      </c>
      <c r="B223" s="176" t="s">
        <v>7100</v>
      </c>
      <c r="C223" s="176" t="s">
        <v>7101</v>
      </c>
      <c r="D223" s="176" t="s">
        <v>6800</v>
      </c>
      <c r="E223" s="176" t="s">
        <v>1732</v>
      </c>
      <c r="F223" s="176"/>
      <c r="G223" s="774"/>
      <c r="H223" s="176" t="s">
        <v>6801</v>
      </c>
      <c r="I223" s="265" t="s">
        <v>1736</v>
      </c>
      <c r="J223" s="265" t="s">
        <v>1737</v>
      </c>
      <c r="K223" s="265" t="s">
        <v>1737</v>
      </c>
      <c r="L223" s="176"/>
      <c r="M223" s="270">
        <v>44882</v>
      </c>
      <c r="N223" s="176" t="s">
        <v>7102</v>
      </c>
      <c r="O223" s="270">
        <v>44932</v>
      </c>
      <c r="P223" s="176" t="s">
        <v>7103</v>
      </c>
      <c r="Q223" s="176"/>
      <c r="R223" s="176"/>
      <c r="S223" s="176"/>
      <c r="T223" s="270">
        <v>44882</v>
      </c>
      <c r="U223" s="176" t="s">
        <v>4803</v>
      </c>
    </row>
    <row r="224" spans="1:21">
      <c r="A224" s="176" t="s">
        <v>7104</v>
      </c>
      <c r="B224" s="176" t="s">
        <v>7105</v>
      </c>
      <c r="C224" s="176" t="s">
        <v>7106</v>
      </c>
      <c r="D224" s="176" t="s">
        <v>6807</v>
      </c>
      <c r="E224" s="176" t="s">
        <v>1732</v>
      </c>
      <c r="F224" s="176"/>
      <c r="G224" s="774"/>
      <c r="H224" s="176" t="s">
        <v>6759</v>
      </c>
      <c r="I224" s="265" t="s">
        <v>1736</v>
      </c>
      <c r="J224" s="265" t="s">
        <v>1737</v>
      </c>
      <c r="K224" s="265" t="s">
        <v>1737</v>
      </c>
      <c r="L224" s="176"/>
      <c r="M224" s="270">
        <v>44882</v>
      </c>
      <c r="N224" s="176" t="s">
        <v>7107</v>
      </c>
      <c r="O224" s="270">
        <v>44932</v>
      </c>
      <c r="P224" s="176" t="s">
        <v>7108</v>
      </c>
      <c r="Q224" s="176"/>
      <c r="R224" s="176"/>
      <c r="S224" s="176"/>
      <c r="T224" s="270">
        <v>44882</v>
      </c>
      <c r="U224" s="176" t="s">
        <v>4803</v>
      </c>
    </row>
    <row r="225" spans="1:21">
      <c r="A225" s="176" t="s">
        <v>7109</v>
      </c>
      <c r="B225" s="176" t="s">
        <v>7110</v>
      </c>
      <c r="C225" s="176" t="s">
        <v>7111</v>
      </c>
      <c r="D225" s="176" t="s">
        <v>6813</v>
      </c>
      <c r="E225" s="176" t="s">
        <v>1732</v>
      </c>
      <c r="F225" s="176"/>
      <c r="G225" s="774"/>
      <c r="H225" s="176" t="s">
        <v>6814</v>
      </c>
      <c r="I225" s="265" t="s">
        <v>1736</v>
      </c>
      <c r="J225" s="265" t="s">
        <v>1737</v>
      </c>
      <c r="K225" s="265" t="s">
        <v>1737</v>
      </c>
      <c r="L225" s="176"/>
      <c r="M225" s="270">
        <v>44894</v>
      </c>
      <c r="N225" s="176" t="s">
        <v>7112</v>
      </c>
      <c r="O225" s="270">
        <v>44924</v>
      </c>
      <c r="P225" s="176" t="s">
        <v>7113</v>
      </c>
      <c r="Q225" s="176"/>
      <c r="R225" s="176"/>
      <c r="S225" s="176"/>
      <c r="T225" s="270">
        <v>44894</v>
      </c>
      <c r="U225" s="176" t="s">
        <v>4803</v>
      </c>
    </row>
    <row r="226" spans="1:21">
      <c r="A226" s="176" t="s">
        <v>7114</v>
      </c>
      <c r="B226" s="176" t="s">
        <v>7115</v>
      </c>
      <c r="C226" s="176" t="s">
        <v>7116</v>
      </c>
      <c r="D226" s="176" t="s">
        <v>6820</v>
      </c>
      <c r="E226" s="176" t="s">
        <v>1732</v>
      </c>
      <c r="F226" s="176"/>
      <c r="G226" s="774"/>
      <c r="H226" s="176" t="s">
        <v>6821</v>
      </c>
      <c r="I226" s="265" t="s">
        <v>1736</v>
      </c>
      <c r="J226" s="265" t="s">
        <v>1737</v>
      </c>
      <c r="K226" s="265" t="s">
        <v>1737</v>
      </c>
      <c r="L226" s="176"/>
      <c r="M226" s="270">
        <v>44894</v>
      </c>
      <c r="N226" s="176" t="s">
        <v>7117</v>
      </c>
      <c r="O226" s="270">
        <v>44932</v>
      </c>
      <c r="P226" s="176" t="s">
        <v>7118</v>
      </c>
      <c r="Q226" s="176"/>
      <c r="R226" s="176"/>
      <c r="S226" s="176"/>
      <c r="T226" s="270">
        <v>44894</v>
      </c>
      <c r="U226" s="176" t="s">
        <v>4803</v>
      </c>
    </row>
    <row r="227" spans="1:21">
      <c r="A227" s="176" t="s">
        <v>7119</v>
      </c>
      <c r="B227" s="176" t="s">
        <v>7120</v>
      </c>
      <c r="C227" s="176" t="s">
        <v>7121</v>
      </c>
      <c r="D227" s="176" t="s">
        <v>6827</v>
      </c>
      <c r="E227" s="176" t="s">
        <v>1732</v>
      </c>
      <c r="F227" s="176"/>
      <c r="G227" s="774"/>
      <c r="H227" s="176" t="s">
        <v>6759</v>
      </c>
      <c r="I227" s="265" t="s">
        <v>1736</v>
      </c>
      <c r="J227" s="265" t="s">
        <v>1737</v>
      </c>
      <c r="K227" s="265" t="s">
        <v>1737</v>
      </c>
      <c r="L227" s="176"/>
      <c r="M227" s="270">
        <v>44894</v>
      </c>
      <c r="N227" s="176" t="s">
        <v>7122</v>
      </c>
      <c r="O227" s="270">
        <v>44932</v>
      </c>
      <c r="P227" s="176" t="s">
        <v>7123</v>
      </c>
      <c r="Q227" s="176"/>
      <c r="R227" s="176"/>
      <c r="S227" s="176"/>
      <c r="T227" s="270">
        <v>44894</v>
      </c>
      <c r="U227" s="176" t="s">
        <v>4803</v>
      </c>
    </row>
    <row r="228" spans="1:21">
      <c r="A228" s="176" t="s">
        <v>7124</v>
      </c>
      <c r="B228" s="176" t="s">
        <v>7125</v>
      </c>
      <c r="C228" s="176" t="s">
        <v>7126</v>
      </c>
      <c r="D228" s="176" t="s">
        <v>6833</v>
      </c>
      <c r="E228" s="176" t="s">
        <v>1732</v>
      </c>
      <c r="F228" s="176"/>
      <c r="G228" s="774"/>
      <c r="H228" s="176" t="s">
        <v>6834</v>
      </c>
      <c r="I228" s="265" t="s">
        <v>1736</v>
      </c>
      <c r="J228" s="265" t="s">
        <v>1737</v>
      </c>
      <c r="K228" s="265" t="s">
        <v>1737</v>
      </c>
      <c r="L228" s="176"/>
      <c r="M228" s="270">
        <v>44909</v>
      </c>
      <c r="N228" s="176" t="s">
        <v>7127</v>
      </c>
      <c r="O228" s="270">
        <v>44929</v>
      </c>
      <c r="P228" s="176" t="s">
        <v>7128</v>
      </c>
      <c r="Q228" s="176"/>
      <c r="R228" s="176"/>
      <c r="S228" s="176"/>
      <c r="T228" s="270">
        <v>44909</v>
      </c>
      <c r="U228" s="176" t="s">
        <v>4803</v>
      </c>
    </row>
    <row r="229" spans="1:21">
      <c r="A229" s="176" t="s">
        <v>7129</v>
      </c>
      <c r="B229" s="176" t="s">
        <v>7130</v>
      </c>
      <c r="C229" s="176" t="s">
        <v>7131</v>
      </c>
      <c r="D229" s="176" t="s">
        <v>6841</v>
      </c>
      <c r="E229" s="176" t="s">
        <v>1732</v>
      </c>
      <c r="F229" s="176"/>
      <c r="G229" s="774"/>
      <c r="H229" s="176" t="s">
        <v>6842</v>
      </c>
      <c r="I229" s="265" t="s">
        <v>1736</v>
      </c>
      <c r="J229" s="265" t="s">
        <v>1737</v>
      </c>
      <c r="K229" s="265" t="s">
        <v>1737</v>
      </c>
      <c r="L229" s="176"/>
      <c r="M229" s="270">
        <v>44865</v>
      </c>
      <c r="N229" s="176" t="s">
        <v>7132</v>
      </c>
      <c r="O229" s="176"/>
      <c r="P229" s="176"/>
      <c r="Q229" s="176"/>
      <c r="R229" s="176"/>
      <c r="S229" s="176"/>
      <c r="T229" s="270">
        <v>44865</v>
      </c>
      <c r="U229" s="176" t="s">
        <v>4803</v>
      </c>
    </row>
    <row r="230" spans="1:21">
      <c r="A230" s="176" t="s">
        <v>7133</v>
      </c>
      <c r="B230" s="176" t="s">
        <v>7134</v>
      </c>
      <c r="C230" s="176" t="s">
        <v>7135</v>
      </c>
      <c r="D230" s="176" t="s">
        <v>6847</v>
      </c>
      <c r="E230" s="176" t="s">
        <v>1732</v>
      </c>
      <c r="F230" s="176"/>
      <c r="G230" s="774"/>
      <c r="H230" s="176" t="s">
        <v>6848</v>
      </c>
      <c r="I230" s="265" t="s">
        <v>1736</v>
      </c>
      <c r="J230" s="265" t="s">
        <v>1737</v>
      </c>
      <c r="K230" s="265" t="s">
        <v>1737</v>
      </c>
      <c r="L230" s="176"/>
      <c r="M230" s="270">
        <v>44883</v>
      </c>
      <c r="N230" s="176" t="s">
        <v>7136</v>
      </c>
      <c r="O230" s="270">
        <v>44932</v>
      </c>
      <c r="P230" s="176" t="s">
        <v>7137</v>
      </c>
      <c r="Q230" s="176"/>
      <c r="R230" s="176"/>
      <c r="S230" s="176"/>
      <c r="T230" s="270">
        <v>44883</v>
      </c>
      <c r="U230" s="176" t="s">
        <v>4803</v>
      </c>
    </row>
    <row r="231" spans="1:21">
      <c r="A231" s="176" t="s">
        <v>7138</v>
      </c>
      <c r="B231" s="176" t="s">
        <v>7139</v>
      </c>
      <c r="C231" s="176" t="s">
        <v>7140</v>
      </c>
      <c r="D231" s="176" t="s">
        <v>6854</v>
      </c>
      <c r="E231" s="176" t="s">
        <v>1732</v>
      </c>
      <c r="F231" s="176"/>
      <c r="G231" s="774"/>
      <c r="H231" s="176" t="s">
        <v>6848</v>
      </c>
      <c r="I231" s="265" t="s">
        <v>1736</v>
      </c>
      <c r="J231" s="265" t="s">
        <v>1737</v>
      </c>
      <c r="K231" s="265" t="s">
        <v>1737</v>
      </c>
      <c r="L231" s="176"/>
      <c r="M231" s="270">
        <v>44883</v>
      </c>
      <c r="N231" s="176" t="s">
        <v>7141</v>
      </c>
      <c r="O231" s="270">
        <v>44932</v>
      </c>
      <c r="P231" s="176" t="s">
        <v>7142</v>
      </c>
      <c r="Q231" s="176"/>
      <c r="R231" s="176"/>
      <c r="S231" s="176"/>
      <c r="T231" s="270">
        <v>44883</v>
      </c>
      <c r="U231" s="176" t="s">
        <v>4803</v>
      </c>
    </row>
    <row r="232" spans="1:21">
      <c r="A232" s="176" t="s">
        <v>7143</v>
      </c>
      <c r="B232" s="176" t="s">
        <v>7144</v>
      </c>
      <c r="C232" s="176" t="s">
        <v>7145</v>
      </c>
      <c r="D232" s="176" t="s">
        <v>7146</v>
      </c>
      <c r="E232" s="176" t="s">
        <v>1732</v>
      </c>
      <c r="F232" s="176"/>
      <c r="G232" s="774"/>
      <c r="H232" s="176" t="s">
        <v>6861</v>
      </c>
      <c r="I232" s="265" t="s">
        <v>1736</v>
      </c>
      <c r="J232" s="265" t="s">
        <v>1737</v>
      </c>
      <c r="K232" s="265" t="s">
        <v>1737</v>
      </c>
      <c r="L232" s="176"/>
      <c r="M232" s="270">
        <v>44883</v>
      </c>
      <c r="N232" s="176" t="s">
        <v>7147</v>
      </c>
      <c r="O232" s="270">
        <v>44929</v>
      </c>
      <c r="P232" s="176" t="s">
        <v>7148</v>
      </c>
      <c r="Q232" s="176"/>
      <c r="R232" s="176"/>
      <c r="S232" s="176"/>
      <c r="T232" s="270">
        <v>44883</v>
      </c>
      <c r="U232" s="176" t="s">
        <v>4803</v>
      </c>
    </row>
    <row r="233" spans="1:21">
      <c r="A233" s="176" t="s">
        <v>7149</v>
      </c>
      <c r="B233" s="176" t="s">
        <v>7150</v>
      </c>
      <c r="C233" s="176" t="s">
        <v>7151</v>
      </c>
      <c r="D233" s="176" t="s">
        <v>6867</v>
      </c>
      <c r="E233" s="176" t="s">
        <v>1732</v>
      </c>
      <c r="F233" s="176"/>
      <c r="G233" s="774"/>
      <c r="H233" s="176" t="s">
        <v>6868</v>
      </c>
      <c r="I233" s="265" t="s">
        <v>1736</v>
      </c>
      <c r="J233" s="265" t="s">
        <v>1737</v>
      </c>
      <c r="K233" s="265" t="s">
        <v>1737</v>
      </c>
      <c r="L233" s="176"/>
      <c r="M233" s="270">
        <v>44894</v>
      </c>
      <c r="N233" s="176" t="s">
        <v>7152</v>
      </c>
      <c r="O233" s="270">
        <v>44935</v>
      </c>
      <c r="P233" s="176" t="s">
        <v>7153</v>
      </c>
      <c r="Q233" s="176"/>
      <c r="R233" s="176"/>
      <c r="S233" s="176"/>
      <c r="T233" s="270">
        <v>44894</v>
      </c>
      <c r="U233" s="176" t="s">
        <v>4803</v>
      </c>
    </row>
    <row r="234" spans="1:21">
      <c r="A234" s="176" t="s">
        <v>7154</v>
      </c>
      <c r="B234" s="176" t="s">
        <v>7155</v>
      </c>
      <c r="C234" s="176" t="s">
        <v>6873</v>
      </c>
      <c r="D234" s="176" t="s">
        <v>6874</v>
      </c>
      <c r="E234" s="176" t="s">
        <v>1732</v>
      </c>
      <c r="F234" s="176"/>
      <c r="G234" s="774"/>
      <c r="H234" s="176" t="s">
        <v>6875</v>
      </c>
      <c r="I234" s="265" t="s">
        <v>1736</v>
      </c>
      <c r="J234" s="265" t="s">
        <v>1737</v>
      </c>
      <c r="K234" s="265" t="s">
        <v>1737</v>
      </c>
      <c r="L234" s="176"/>
      <c r="M234" s="270">
        <v>44886</v>
      </c>
      <c r="N234" s="176" t="s">
        <v>7156</v>
      </c>
      <c r="O234" s="270">
        <v>44929</v>
      </c>
      <c r="P234" s="176" t="s">
        <v>7157</v>
      </c>
      <c r="Q234" s="176"/>
      <c r="R234" s="176"/>
      <c r="S234" s="176"/>
      <c r="T234" s="270">
        <v>44886</v>
      </c>
      <c r="U234" s="176" t="s">
        <v>4803</v>
      </c>
    </row>
    <row r="235" spans="1:21">
      <c r="A235" s="176" t="s">
        <v>7158</v>
      </c>
      <c r="B235" s="176" t="s">
        <v>7159</v>
      </c>
      <c r="C235" s="176" t="s">
        <v>6880</v>
      </c>
      <c r="D235" s="176" t="s">
        <v>6881</v>
      </c>
      <c r="E235" s="176" t="s">
        <v>1732</v>
      </c>
      <c r="F235" s="176"/>
      <c r="G235" s="774"/>
      <c r="H235" s="176" t="s">
        <v>6882</v>
      </c>
      <c r="I235" s="265" t="s">
        <v>1736</v>
      </c>
      <c r="J235" s="265" t="s">
        <v>1737</v>
      </c>
      <c r="K235" s="265" t="s">
        <v>1737</v>
      </c>
      <c r="L235" s="176"/>
      <c r="M235" s="270">
        <v>44865</v>
      </c>
      <c r="N235" s="176" t="s">
        <v>7160</v>
      </c>
      <c r="O235" s="270">
        <v>44902</v>
      </c>
      <c r="P235" s="176" t="s">
        <v>7161</v>
      </c>
      <c r="Q235" s="270">
        <v>44929</v>
      </c>
      <c r="R235" s="176" t="s">
        <v>7162</v>
      </c>
      <c r="S235" s="176"/>
      <c r="T235" s="270">
        <v>44865</v>
      </c>
      <c r="U235" s="176" t="s">
        <v>4803</v>
      </c>
    </row>
    <row r="236" spans="1:21">
      <c r="A236" s="176" t="s">
        <v>7163</v>
      </c>
      <c r="B236" s="176" t="s">
        <v>7164</v>
      </c>
      <c r="C236" s="176" t="s">
        <v>6887</v>
      </c>
      <c r="D236" s="176" t="s">
        <v>6888</v>
      </c>
      <c r="E236" s="176" t="s">
        <v>1732</v>
      </c>
      <c r="F236" s="176"/>
      <c r="G236" s="774"/>
      <c r="H236" s="176" t="s">
        <v>7165</v>
      </c>
      <c r="I236" s="265" t="s">
        <v>1736</v>
      </c>
      <c r="J236" s="265" t="s">
        <v>1737</v>
      </c>
      <c r="K236" s="265" t="s">
        <v>1737</v>
      </c>
      <c r="L236" s="176"/>
      <c r="M236" s="270">
        <v>44862</v>
      </c>
      <c r="N236" s="176" t="s">
        <v>7166</v>
      </c>
      <c r="O236" s="270">
        <v>44930</v>
      </c>
      <c r="P236" s="176" t="s">
        <v>7167</v>
      </c>
      <c r="Q236" s="176"/>
      <c r="R236" s="176"/>
      <c r="S236" s="176"/>
      <c r="T236" s="270">
        <v>44862</v>
      </c>
      <c r="U236" s="176" t="s">
        <v>4803</v>
      </c>
    </row>
    <row r="237" spans="1:21">
      <c r="A237" s="176" t="s">
        <v>7168</v>
      </c>
      <c r="B237" s="176" t="s">
        <v>7169</v>
      </c>
      <c r="C237" s="176" t="s">
        <v>7170</v>
      </c>
      <c r="D237" s="176" t="s">
        <v>7171</v>
      </c>
      <c r="E237" s="176" t="s">
        <v>1732</v>
      </c>
      <c r="F237" s="176"/>
      <c r="G237" s="774"/>
      <c r="H237" s="176" t="s">
        <v>7172</v>
      </c>
      <c r="I237" s="265" t="s">
        <v>1736</v>
      </c>
      <c r="J237" s="265" t="s">
        <v>1737</v>
      </c>
      <c r="K237" s="265" t="s">
        <v>1737</v>
      </c>
      <c r="L237" s="176"/>
      <c r="M237" s="270">
        <v>44865</v>
      </c>
      <c r="N237" s="176" t="s">
        <v>7173</v>
      </c>
      <c r="O237" s="270">
        <v>44902</v>
      </c>
      <c r="P237" s="176" t="s">
        <v>7174</v>
      </c>
      <c r="Q237" s="270">
        <v>44930</v>
      </c>
      <c r="R237" s="176" t="s">
        <v>7175</v>
      </c>
      <c r="S237" s="176"/>
      <c r="T237" s="270">
        <v>44865</v>
      </c>
      <c r="U237" s="176" t="s">
        <v>4803</v>
      </c>
    </row>
    <row r="238" spans="1:21">
      <c r="A238" s="267" t="s">
        <v>7176</v>
      </c>
      <c r="B238" s="267" t="s">
        <v>7177</v>
      </c>
      <c r="C238" s="267" t="s">
        <v>7178</v>
      </c>
      <c r="D238" s="267" t="s">
        <v>7179</v>
      </c>
      <c r="E238" s="267" t="s">
        <v>1732</v>
      </c>
      <c r="F238" s="267"/>
      <c r="G238" s="774"/>
      <c r="H238" s="267" t="s">
        <v>7180</v>
      </c>
      <c r="I238" s="268" t="s">
        <v>1736</v>
      </c>
      <c r="J238" s="268" t="s">
        <v>5692</v>
      </c>
      <c r="K238" s="268" t="s">
        <v>5692</v>
      </c>
      <c r="L238" s="176" t="s">
        <v>6007</v>
      </c>
      <c r="M238" s="270"/>
      <c r="N238" s="176"/>
      <c r="O238" s="176"/>
      <c r="P238" s="176"/>
      <c r="Q238" s="176"/>
      <c r="R238" s="176"/>
      <c r="S238" s="176"/>
      <c r="T238" s="270"/>
      <c r="U238" s="176"/>
    </row>
    <row r="239" spans="1:21">
      <c r="A239" s="267" t="s">
        <v>7181</v>
      </c>
      <c r="B239" s="267" t="s">
        <v>7182</v>
      </c>
      <c r="C239" s="267" t="s">
        <v>7183</v>
      </c>
      <c r="D239" s="267" t="s">
        <v>7184</v>
      </c>
      <c r="E239" s="267" t="s">
        <v>1732</v>
      </c>
      <c r="F239" s="267"/>
      <c r="G239" s="774"/>
      <c r="H239" s="267" t="s">
        <v>7185</v>
      </c>
      <c r="I239" s="268" t="s">
        <v>1736</v>
      </c>
      <c r="J239" s="268" t="s">
        <v>5692</v>
      </c>
      <c r="K239" s="268" t="s">
        <v>5692</v>
      </c>
      <c r="L239" s="176" t="s">
        <v>6007</v>
      </c>
      <c r="M239" s="270"/>
      <c r="N239" s="176"/>
      <c r="O239" s="176"/>
      <c r="P239" s="176"/>
      <c r="Q239" s="176"/>
      <c r="R239" s="176"/>
      <c r="S239" s="176"/>
      <c r="T239" s="270"/>
      <c r="U239" s="176"/>
    </row>
    <row r="240" spans="1:21">
      <c r="A240" s="267" t="s">
        <v>7186</v>
      </c>
      <c r="B240" s="267" t="s">
        <v>7187</v>
      </c>
      <c r="C240" s="267" t="s">
        <v>7188</v>
      </c>
      <c r="D240" s="267" t="s">
        <v>7189</v>
      </c>
      <c r="E240" s="267" t="s">
        <v>1732</v>
      </c>
      <c r="F240" s="267"/>
      <c r="G240" s="774"/>
      <c r="H240" s="267" t="s">
        <v>7190</v>
      </c>
      <c r="I240" s="268" t="s">
        <v>1736</v>
      </c>
      <c r="J240" s="268" t="s">
        <v>5692</v>
      </c>
      <c r="K240" s="268" t="s">
        <v>5692</v>
      </c>
      <c r="L240" s="176" t="s">
        <v>6007</v>
      </c>
      <c r="M240" s="270"/>
      <c r="N240" s="176"/>
      <c r="O240" s="176"/>
      <c r="P240" s="176"/>
      <c r="Q240" s="176"/>
      <c r="R240" s="176"/>
      <c r="S240" s="176"/>
      <c r="T240" s="270"/>
      <c r="U240" s="176"/>
    </row>
    <row r="241" spans="1:21">
      <c r="A241" s="267" t="s">
        <v>7191</v>
      </c>
      <c r="B241" s="267" t="s">
        <v>7192</v>
      </c>
      <c r="C241" s="267" t="s">
        <v>7193</v>
      </c>
      <c r="D241" s="267" t="s">
        <v>7194</v>
      </c>
      <c r="E241" s="267" t="s">
        <v>1732</v>
      </c>
      <c r="F241" s="267"/>
      <c r="G241" s="774"/>
      <c r="H241" s="267" t="s">
        <v>7195</v>
      </c>
      <c r="I241" s="268" t="s">
        <v>1736</v>
      </c>
      <c r="J241" s="268" t="s">
        <v>5692</v>
      </c>
      <c r="K241" s="268" t="s">
        <v>5692</v>
      </c>
      <c r="L241" s="176" t="s">
        <v>6007</v>
      </c>
      <c r="M241" s="270"/>
      <c r="N241" s="176"/>
      <c r="O241" s="176"/>
      <c r="P241" s="176"/>
      <c r="Q241" s="176"/>
      <c r="R241" s="176"/>
      <c r="S241" s="176"/>
      <c r="T241" s="270"/>
      <c r="U241" s="176"/>
    </row>
    <row r="242" spans="1:21">
      <c r="A242" s="176" t="s">
        <v>7196</v>
      </c>
      <c r="B242" s="176" t="s">
        <v>7197</v>
      </c>
      <c r="C242" s="176" t="s">
        <v>7198</v>
      </c>
      <c r="D242" s="176" t="s">
        <v>7199</v>
      </c>
      <c r="E242" s="176" t="s">
        <v>1732</v>
      </c>
      <c r="F242" s="176"/>
      <c r="G242" s="774"/>
      <c r="H242" s="176" t="s">
        <v>7200</v>
      </c>
      <c r="I242" s="265" t="s">
        <v>1736</v>
      </c>
      <c r="J242" s="265" t="s">
        <v>1737</v>
      </c>
      <c r="K242" s="265" t="s">
        <v>1737</v>
      </c>
      <c r="L242" s="176"/>
      <c r="M242" s="270">
        <v>44886</v>
      </c>
      <c r="N242" s="176" t="s">
        <v>7201</v>
      </c>
      <c r="O242" s="270">
        <v>44930</v>
      </c>
      <c r="P242" s="176" t="s">
        <v>7202</v>
      </c>
      <c r="Q242" s="176"/>
      <c r="R242" s="176"/>
      <c r="S242" s="176"/>
      <c r="T242" s="270">
        <v>44886</v>
      </c>
      <c r="U242" s="176" t="s">
        <v>4803</v>
      </c>
    </row>
    <row r="243" spans="1:21">
      <c r="A243" s="267" t="s">
        <v>7203</v>
      </c>
      <c r="B243" s="267" t="s">
        <v>7204</v>
      </c>
      <c r="C243" s="267" t="s">
        <v>7205</v>
      </c>
      <c r="D243" s="267" t="s">
        <v>7206</v>
      </c>
      <c r="E243" s="267" t="s">
        <v>1732</v>
      </c>
      <c r="F243" s="267"/>
      <c r="G243" s="774"/>
      <c r="H243" s="267" t="s">
        <v>7207</v>
      </c>
      <c r="I243" s="268" t="s">
        <v>1736</v>
      </c>
      <c r="J243" s="268" t="s">
        <v>5692</v>
      </c>
      <c r="K243" s="268" t="s">
        <v>5692</v>
      </c>
      <c r="L243" s="176" t="s">
        <v>6007</v>
      </c>
      <c r="M243" s="270"/>
      <c r="N243" s="176"/>
      <c r="O243" s="176"/>
      <c r="P243" s="176"/>
      <c r="Q243" s="176"/>
      <c r="R243" s="176"/>
      <c r="S243" s="176"/>
      <c r="T243" s="270"/>
      <c r="U243" s="176"/>
    </row>
    <row r="244" spans="1:21">
      <c r="A244" s="176" t="s">
        <v>7208</v>
      </c>
      <c r="B244" s="176" t="s">
        <v>7209</v>
      </c>
      <c r="C244" s="176" t="s">
        <v>7210</v>
      </c>
      <c r="D244" s="176" t="s">
        <v>7211</v>
      </c>
      <c r="E244" s="176" t="s">
        <v>1732</v>
      </c>
      <c r="F244" s="176"/>
      <c r="G244" s="773"/>
      <c r="H244" s="176" t="s">
        <v>7212</v>
      </c>
      <c r="I244" s="265" t="s">
        <v>1736</v>
      </c>
      <c r="J244" s="265" t="s">
        <v>1737</v>
      </c>
      <c r="K244" s="265" t="s">
        <v>1737</v>
      </c>
      <c r="L244" s="176"/>
      <c r="M244" s="270">
        <v>44900</v>
      </c>
      <c r="N244" s="176" t="s">
        <v>7213</v>
      </c>
      <c r="O244" s="270">
        <v>44934</v>
      </c>
      <c r="P244" s="176"/>
      <c r="Q244" s="176"/>
      <c r="R244" s="176"/>
      <c r="S244" s="176"/>
      <c r="T244" s="270">
        <v>44900</v>
      </c>
      <c r="U244" s="176" t="s">
        <v>4803</v>
      </c>
    </row>
    <row r="245" spans="1:21">
      <c r="A245" s="711" t="s">
        <v>7214</v>
      </c>
      <c r="B245" s="176" t="s">
        <v>7215</v>
      </c>
      <c r="C245" s="176" t="s">
        <v>7216</v>
      </c>
      <c r="D245" s="176" t="s">
        <v>7217</v>
      </c>
      <c r="E245" s="176" t="s">
        <v>1732</v>
      </c>
      <c r="F245" s="176"/>
      <c r="G245" s="711" t="s">
        <v>7218</v>
      </c>
      <c r="H245" s="176" t="s">
        <v>7219</v>
      </c>
      <c r="I245" s="265" t="s">
        <v>1736</v>
      </c>
      <c r="J245" s="265" t="s">
        <v>1737</v>
      </c>
      <c r="K245" s="265" t="s">
        <v>1737</v>
      </c>
      <c r="L245" s="176"/>
      <c r="M245" s="270">
        <v>44902</v>
      </c>
      <c r="N245" s="176" t="s">
        <v>7220</v>
      </c>
      <c r="O245" s="270">
        <v>44930</v>
      </c>
      <c r="P245" s="176" t="s">
        <v>7221</v>
      </c>
      <c r="Q245" s="176"/>
      <c r="R245" s="176"/>
      <c r="S245" s="176"/>
      <c r="T245" s="270">
        <v>44902</v>
      </c>
      <c r="U245" s="176" t="s">
        <v>4803</v>
      </c>
    </row>
    <row r="246" spans="1:21">
      <c r="A246" s="773"/>
      <c r="B246" s="176" t="s">
        <v>7222</v>
      </c>
      <c r="C246" s="176" t="s">
        <v>7216</v>
      </c>
      <c r="D246" s="176" t="s">
        <v>7223</v>
      </c>
      <c r="E246" s="176" t="s">
        <v>1732</v>
      </c>
      <c r="F246" s="36"/>
      <c r="G246" s="774"/>
      <c r="H246" s="176" t="s">
        <v>7224</v>
      </c>
      <c r="I246" s="265" t="s">
        <v>1736</v>
      </c>
      <c r="J246" s="265" t="s">
        <v>1737</v>
      </c>
      <c r="K246" s="265" t="s">
        <v>1737</v>
      </c>
      <c r="L246" s="36"/>
      <c r="M246" s="270">
        <v>44902</v>
      </c>
      <c r="N246" s="176" t="s">
        <v>7220</v>
      </c>
      <c r="O246" s="270">
        <v>44930</v>
      </c>
      <c r="P246" s="233" t="s">
        <v>7221</v>
      </c>
      <c r="Q246" s="36"/>
      <c r="R246" s="36"/>
      <c r="S246" s="36"/>
      <c r="T246" s="270">
        <v>44902</v>
      </c>
      <c r="U246" s="176" t="s">
        <v>4803</v>
      </c>
    </row>
    <row r="247" spans="1:21">
      <c r="A247" s="711" t="s">
        <v>7225</v>
      </c>
      <c r="B247" s="176" t="s">
        <v>7226</v>
      </c>
      <c r="C247" s="171" t="s">
        <v>7227</v>
      </c>
      <c r="D247" s="176" t="s">
        <v>7228</v>
      </c>
      <c r="E247" s="176" t="s">
        <v>1732</v>
      </c>
      <c r="F247" s="36"/>
      <c r="G247" s="774"/>
      <c r="H247" s="176" t="s">
        <v>7229</v>
      </c>
      <c r="I247" s="265" t="s">
        <v>1736</v>
      </c>
      <c r="J247" s="265" t="s">
        <v>1737</v>
      </c>
      <c r="K247" s="265" t="s">
        <v>1737</v>
      </c>
      <c r="L247" s="36"/>
      <c r="M247" s="270">
        <v>44902</v>
      </c>
      <c r="N247" s="176" t="s">
        <v>7230</v>
      </c>
      <c r="O247" s="270">
        <v>44930</v>
      </c>
      <c r="P247" s="233" t="s">
        <v>7231</v>
      </c>
      <c r="Q247" s="36"/>
      <c r="R247" s="36"/>
      <c r="S247" s="36"/>
      <c r="T247" s="270">
        <v>44902</v>
      </c>
      <c r="U247" s="176" t="s">
        <v>4803</v>
      </c>
    </row>
    <row r="248" spans="1:21">
      <c r="A248" s="773"/>
      <c r="B248" s="176" t="s">
        <v>7232</v>
      </c>
      <c r="C248" s="171" t="s">
        <v>7227</v>
      </c>
      <c r="D248" s="176" t="s">
        <v>7233</v>
      </c>
      <c r="E248" s="176" t="s">
        <v>1732</v>
      </c>
      <c r="F248" s="36"/>
      <c r="G248" s="774"/>
      <c r="H248" s="176" t="s">
        <v>7234</v>
      </c>
      <c r="I248" s="265" t="s">
        <v>1736</v>
      </c>
      <c r="J248" s="265" t="s">
        <v>1737</v>
      </c>
      <c r="K248" s="265" t="s">
        <v>1737</v>
      </c>
      <c r="L248" s="36"/>
      <c r="M248" s="270">
        <v>44902</v>
      </c>
      <c r="N248" s="176" t="s">
        <v>7230</v>
      </c>
      <c r="O248" s="270">
        <v>44930</v>
      </c>
      <c r="P248" s="233" t="s">
        <v>7231</v>
      </c>
      <c r="Q248" s="36"/>
      <c r="R248" s="36"/>
      <c r="S248" s="36"/>
      <c r="T248" s="270">
        <v>44902</v>
      </c>
      <c r="U248" s="176" t="s">
        <v>4803</v>
      </c>
    </row>
    <row r="249" spans="1:21">
      <c r="A249" s="711" t="s">
        <v>7235</v>
      </c>
      <c r="B249" s="176" t="s">
        <v>7236</v>
      </c>
      <c r="C249" s="171" t="s">
        <v>7237</v>
      </c>
      <c r="D249" s="176" t="s">
        <v>7238</v>
      </c>
      <c r="E249" s="176" t="s">
        <v>1732</v>
      </c>
      <c r="F249" s="36"/>
      <c r="G249" s="774"/>
      <c r="H249" s="176" t="s">
        <v>7239</v>
      </c>
      <c r="I249" s="265" t="s">
        <v>1736</v>
      </c>
      <c r="J249" s="265" t="s">
        <v>1737</v>
      </c>
      <c r="K249" s="265" t="s">
        <v>1737</v>
      </c>
      <c r="L249" s="36"/>
      <c r="M249" s="270">
        <v>44910</v>
      </c>
      <c r="N249" s="176" t="s">
        <v>7240</v>
      </c>
      <c r="O249" s="270">
        <v>44935</v>
      </c>
      <c r="P249" s="176" t="s">
        <v>7241</v>
      </c>
      <c r="Q249" s="36"/>
      <c r="R249" s="36"/>
      <c r="S249" s="36"/>
      <c r="T249" s="270">
        <v>44910</v>
      </c>
      <c r="U249" s="176" t="s">
        <v>4803</v>
      </c>
    </row>
    <row r="250" spans="1:21">
      <c r="A250" s="773"/>
      <c r="B250" s="176" t="s">
        <v>7242</v>
      </c>
      <c r="C250" s="171" t="s">
        <v>7237</v>
      </c>
      <c r="D250" s="176" t="s">
        <v>7243</v>
      </c>
      <c r="E250" s="176" t="s">
        <v>1732</v>
      </c>
      <c r="F250" s="36"/>
      <c r="G250" s="774"/>
      <c r="H250" s="176" t="s">
        <v>7244</v>
      </c>
      <c r="I250" s="265" t="s">
        <v>1736</v>
      </c>
      <c r="J250" s="265" t="s">
        <v>1737</v>
      </c>
      <c r="K250" s="265" t="s">
        <v>1737</v>
      </c>
      <c r="L250" s="36"/>
      <c r="M250" s="270">
        <v>44910</v>
      </c>
      <c r="N250" s="176" t="s">
        <v>7240</v>
      </c>
      <c r="O250" s="270">
        <v>44935</v>
      </c>
      <c r="P250" s="176" t="s">
        <v>7245</v>
      </c>
      <c r="Q250" s="36"/>
      <c r="R250" s="36"/>
      <c r="S250" s="36"/>
      <c r="T250" s="270">
        <v>44910</v>
      </c>
      <c r="U250" s="176" t="s">
        <v>4803</v>
      </c>
    </row>
    <row r="251" spans="1:21">
      <c r="A251" s="269" t="s">
        <v>7246</v>
      </c>
      <c r="B251" s="176" t="s">
        <v>7247</v>
      </c>
      <c r="C251" s="171" t="s">
        <v>7237</v>
      </c>
      <c r="D251" s="176" t="s">
        <v>7248</v>
      </c>
      <c r="E251" s="176" t="s">
        <v>1732</v>
      </c>
      <c r="F251" s="36"/>
      <c r="G251" s="774"/>
      <c r="H251" s="176" t="s">
        <v>7249</v>
      </c>
      <c r="I251" s="265" t="s">
        <v>1736</v>
      </c>
      <c r="J251" s="265" t="s">
        <v>1737</v>
      </c>
      <c r="K251" s="265" t="s">
        <v>1737</v>
      </c>
      <c r="L251" s="36"/>
      <c r="M251" s="270">
        <v>44903</v>
      </c>
      <c r="N251" s="83" t="s">
        <v>7250</v>
      </c>
      <c r="O251" s="270">
        <v>44936</v>
      </c>
      <c r="P251" s="176" t="s">
        <v>7251</v>
      </c>
      <c r="Q251" s="36"/>
      <c r="R251" s="36"/>
      <c r="S251" s="36"/>
      <c r="T251" s="270">
        <v>44903</v>
      </c>
      <c r="U251" s="176" t="s">
        <v>4803</v>
      </c>
    </row>
    <row r="252" spans="1:21">
      <c r="A252" s="269" t="s">
        <v>7252</v>
      </c>
      <c r="B252" s="176" t="s">
        <v>7253</v>
      </c>
      <c r="C252" s="171" t="s">
        <v>7237</v>
      </c>
      <c r="D252" s="176" t="s">
        <v>7254</v>
      </c>
      <c r="E252" s="176" t="s">
        <v>1732</v>
      </c>
      <c r="F252" s="36"/>
      <c r="G252" s="774"/>
      <c r="H252" s="176" t="s">
        <v>7255</v>
      </c>
      <c r="I252" s="265" t="s">
        <v>1736</v>
      </c>
      <c r="J252" s="265" t="s">
        <v>1737</v>
      </c>
      <c r="K252" s="265" t="s">
        <v>1737</v>
      </c>
      <c r="L252" s="36"/>
      <c r="M252" s="270">
        <v>44903</v>
      </c>
      <c r="N252" s="176" t="s">
        <v>7256</v>
      </c>
      <c r="O252" s="270"/>
      <c r="P252" s="176"/>
      <c r="Q252" s="36"/>
      <c r="R252" s="36"/>
      <c r="S252" s="36"/>
      <c r="T252" s="270">
        <v>44903</v>
      </c>
      <c r="U252" s="176" t="s">
        <v>4803</v>
      </c>
    </row>
    <row r="253" spans="1:21">
      <c r="A253" s="269" t="s">
        <v>7257</v>
      </c>
      <c r="B253" s="176" t="s">
        <v>7258</v>
      </c>
      <c r="C253" s="171" t="s">
        <v>7237</v>
      </c>
      <c r="D253" s="176" t="s">
        <v>7259</v>
      </c>
      <c r="E253" s="176" t="s">
        <v>1732</v>
      </c>
      <c r="F253" s="36"/>
      <c r="G253" s="774"/>
      <c r="H253" s="176" t="s">
        <v>7260</v>
      </c>
      <c r="I253" s="265" t="s">
        <v>1736</v>
      </c>
      <c r="J253" s="265" t="s">
        <v>1737</v>
      </c>
      <c r="K253" s="265" t="s">
        <v>1737</v>
      </c>
      <c r="L253" s="36"/>
      <c r="M253" s="270">
        <v>44903</v>
      </c>
      <c r="N253" s="176" t="s">
        <v>7261</v>
      </c>
      <c r="O253" s="270">
        <v>44934</v>
      </c>
      <c r="P253" s="233" t="s">
        <v>7262</v>
      </c>
      <c r="Q253" s="36"/>
      <c r="R253" s="36"/>
      <c r="S253" s="36"/>
      <c r="T253" s="270">
        <v>44903</v>
      </c>
      <c r="U253" s="176" t="s">
        <v>4803</v>
      </c>
    </row>
    <row r="254" spans="1:21">
      <c r="A254" s="269" t="s">
        <v>7263</v>
      </c>
      <c r="B254" s="176" t="s">
        <v>7264</v>
      </c>
      <c r="C254" s="171" t="s">
        <v>7237</v>
      </c>
      <c r="D254" s="176" t="s">
        <v>7265</v>
      </c>
      <c r="E254" s="176" t="s">
        <v>1732</v>
      </c>
      <c r="F254" s="36"/>
      <c r="G254" s="774"/>
      <c r="H254" s="176" t="s">
        <v>7266</v>
      </c>
      <c r="I254" s="265" t="s">
        <v>1736</v>
      </c>
      <c r="J254" s="265" t="s">
        <v>1737</v>
      </c>
      <c r="K254" s="265" t="s">
        <v>1737</v>
      </c>
      <c r="L254" s="36"/>
      <c r="M254" s="270">
        <v>44903</v>
      </c>
      <c r="N254" s="176" t="s">
        <v>7267</v>
      </c>
      <c r="O254" s="270">
        <v>44934</v>
      </c>
      <c r="P254" s="176" t="s">
        <v>7268</v>
      </c>
      <c r="Q254" s="36"/>
      <c r="R254" s="36"/>
      <c r="S254" s="36"/>
      <c r="T254" s="270">
        <v>44903</v>
      </c>
      <c r="U254" s="176" t="s">
        <v>4803</v>
      </c>
    </row>
    <row r="255" spans="1:21">
      <c r="A255" s="269" t="s">
        <v>7269</v>
      </c>
      <c r="B255" s="176" t="s">
        <v>7270</v>
      </c>
      <c r="C255" s="171" t="s">
        <v>7237</v>
      </c>
      <c r="D255" s="176" t="s">
        <v>7271</v>
      </c>
      <c r="E255" s="176" t="s">
        <v>1732</v>
      </c>
      <c r="F255" s="36"/>
      <c r="G255" s="774"/>
      <c r="H255" s="176" t="s">
        <v>7272</v>
      </c>
      <c r="I255" s="265" t="s">
        <v>1736</v>
      </c>
      <c r="J255" s="265" t="s">
        <v>1737</v>
      </c>
      <c r="K255" s="265" t="s">
        <v>1737</v>
      </c>
      <c r="L255" s="36"/>
      <c r="M255" s="270">
        <v>44907</v>
      </c>
      <c r="N255" s="176" t="s">
        <v>7273</v>
      </c>
      <c r="O255" s="270">
        <v>44934</v>
      </c>
      <c r="P255" s="176" t="s">
        <v>7274</v>
      </c>
      <c r="Q255" s="36"/>
      <c r="R255" s="36"/>
      <c r="S255" s="36"/>
      <c r="T255" s="270">
        <v>44907</v>
      </c>
      <c r="U255" s="176" t="s">
        <v>4803</v>
      </c>
    </row>
    <row r="256" spans="1:21">
      <c r="A256" s="269" t="s">
        <v>7275</v>
      </c>
      <c r="B256" s="176" t="s">
        <v>7276</v>
      </c>
      <c r="C256" s="171" t="s">
        <v>7237</v>
      </c>
      <c r="D256" s="176" t="s">
        <v>7277</v>
      </c>
      <c r="E256" s="176" t="s">
        <v>1732</v>
      </c>
      <c r="F256" s="36"/>
      <c r="G256" s="774"/>
      <c r="H256" s="176" t="s">
        <v>7278</v>
      </c>
      <c r="I256" s="265" t="s">
        <v>1736</v>
      </c>
      <c r="J256" s="265" t="s">
        <v>1737</v>
      </c>
      <c r="K256" s="265" t="s">
        <v>1737</v>
      </c>
      <c r="L256" s="36"/>
      <c r="M256" s="270">
        <v>44907</v>
      </c>
      <c r="N256" s="176" t="s">
        <v>7279</v>
      </c>
      <c r="O256" s="270">
        <v>44934</v>
      </c>
      <c r="P256" s="176" t="s">
        <v>7280</v>
      </c>
      <c r="Q256" s="36"/>
      <c r="R256" s="36"/>
      <c r="S256" s="36"/>
      <c r="T256" s="270">
        <v>44907</v>
      </c>
      <c r="U256" s="176" t="s">
        <v>4803</v>
      </c>
    </row>
    <row r="257" spans="1:21">
      <c r="A257" s="269" t="s">
        <v>7281</v>
      </c>
      <c r="B257" s="176" t="s">
        <v>7282</v>
      </c>
      <c r="C257" s="171" t="s">
        <v>7237</v>
      </c>
      <c r="D257" s="176" t="s">
        <v>7283</v>
      </c>
      <c r="E257" s="176" t="s">
        <v>1732</v>
      </c>
      <c r="F257" s="36"/>
      <c r="G257" s="774"/>
      <c r="H257" s="176" t="s">
        <v>7284</v>
      </c>
      <c r="I257" s="265" t="s">
        <v>1736</v>
      </c>
      <c r="J257" s="265" t="s">
        <v>1737</v>
      </c>
      <c r="K257" s="265" t="s">
        <v>1737</v>
      </c>
      <c r="L257" s="36"/>
      <c r="M257" s="270">
        <v>44907</v>
      </c>
      <c r="N257" s="176" t="s">
        <v>7285</v>
      </c>
      <c r="O257" s="270">
        <v>44934</v>
      </c>
      <c r="P257" s="176" t="s">
        <v>7286</v>
      </c>
      <c r="Q257" s="36"/>
      <c r="R257" s="36"/>
      <c r="S257" s="36"/>
      <c r="T257" s="270">
        <v>44907</v>
      </c>
      <c r="U257" s="176" t="s">
        <v>4803</v>
      </c>
    </row>
    <row r="258" spans="1:21">
      <c r="A258" s="269" t="s">
        <v>7287</v>
      </c>
      <c r="B258" s="176" t="s">
        <v>7288</v>
      </c>
      <c r="C258" s="171" t="s">
        <v>7237</v>
      </c>
      <c r="D258" s="176" t="s">
        <v>7289</v>
      </c>
      <c r="E258" s="176" t="s">
        <v>1732</v>
      </c>
      <c r="F258" s="36"/>
      <c r="G258" s="774"/>
      <c r="H258" s="176" t="s">
        <v>7290</v>
      </c>
      <c r="I258" s="265" t="s">
        <v>1736</v>
      </c>
      <c r="J258" s="265" t="s">
        <v>1737</v>
      </c>
      <c r="K258" s="265" t="s">
        <v>1737</v>
      </c>
      <c r="L258" s="36"/>
      <c r="M258" s="270">
        <v>44907</v>
      </c>
      <c r="N258" s="176" t="s">
        <v>7291</v>
      </c>
      <c r="O258" s="270">
        <v>44934</v>
      </c>
      <c r="P258" s="176" t="s">
        <v>7292</v>
      </c>
      <c r="Q258" s="36"/>
      <c r="R258" s="36"/>
      <c r="S258" s="36"/>
      <c r="T258" s="270">
        <v>44907</v>
      </c>
      <c r="U258" s="176" t="s">
        <v>4803</v>
      </c>
    </row>
    <row r="259" spans="1:21">
      <c r="A259" s="269" t="s">
        <v>7293</v>
      </c>
      <c r="B259" s="176" t="s">
        <v>7294</v>
      </c>
      <c r="C259" s="171" t="s">
        <v>7237</v>
      </c>
      <c r="D259" s="176" t="s">
        <v>7295</v>
      </c>
      <c r="E259" s="176" t="s">
        <v>1732</v>
      </c>
      <c r="F259" s="36"/>
      <c r="G259" s="774"/>
      <c r="H259" s="176" t="s">
        <v>7296</v>
      </c>
      <c r="I259" s="265" t="s">
        <v>1736</v>
      </c>
      <c r="J259" s="265" t="s">
        <v>1737</v>
      </c>
      <c r="K259" s="265" t="s">
        <v>1737</v>
      </c>
      <c r="L259" s="36"/>
      <c r="M259" s="270">
        <v>44907</v>
      </c>
      <c r="N259" s="176" t="s">
        <v>7297</v>
      </c>
      <c r="O259" s="270">
        <v>44934</v>
      </c>
      <c r="P259" s="176" t="s">
        <v>7298</v>
      </c>
      <c r="Q259" s="36"/>
      <c r="R259" s="36"/>
      <c r="S259" s="36"/>
      <c r="T259" s="270">
        <v>44907</v>
      </c>
      <c r="U259" s="176" t="s">
        <v>4803</v>
      </c>
    </row>
    <row r="260" spans="1:21">
      <c r="A260" s="269" t="s">
        <v>7299</v>
      </c>
      <c r="B260" s="176" t="s">
        <v>7300</v>
      </c>
      <c r="C260" s="171" t="s">
        <v>7237</v>
      </c>
      <c r="D260" s="176" t="s">
        <v>7301</v>
      </c>
      <c r="E260" s="176" t="s">
        <v>1732</v>
      </c>
      <c r="F260" s="36"/>
      <c r="G260" s="774"/>
      <c r="H260" s="176" t="s">
        <v>7302</v>
      </c>
      <c r="I260" s="265" t="s">
        <v>1736</v>
      </c>
      <c r="J260" s="265" t="s">
        <v>1737</v>
      </c>
      <c r="K260" s="265" t="s">
        <v>1737</v>
      </c>
      <c r="L260" s="36"/>
      <c r="M260" s="270">
        <v>44908</v>
      </c>
      <c r="N260" s="176" t="s">
        <v>7303</v>
      </c>
      <c r="O260" s="270">
        <v>44934</v>
      </c>
      <c r="P260" s="176" t="s">
        <v>7304</v>
      </c>
      <c r="Q260" s="36"/>
      <c r="R260" s="36"/>
      <c r="S260" s="36"/>
      <c r="T260" s="270">
        <v>44908</v>
      </c>
      <c r="U260" s="176" t="s">
        <v>4803</v>
      </c>
    </row>
    <row r="261" spans="1:21">
      <c r="A261" s="269" t="s">
        <v>7305</v>
      </c>
      <c r="B261" s="176" t="s">
        <v>7306</v>
      </c>
      <c r="C261" s="171" t="s">
        <v>7237</v>
      </c>
      <c r="D261" s="176" t="s">
        <v>7307</v>
      </c>
      <c r="E261" s="176" t="s">
        <v>1732</v>
      </c>
      <c r="F261" s="36"/>
      <c r="G261" s="774"/>
      <c r="H261" s="176" t="s">
        <v>7308</v>
      </c>
      <c r="I261" s="265" t="s">
        <v>1736</v>
      </c>
      <c r="J261" s="265" t="s">
        <v>1737</v>
      </c>
      <c r="K261" s="265" t="s">
        <v>1737</v>
      </c>
      <c r="L261" s="36"/>
      <c r="M261" s="270">
        <v>44908</v>
      </c>
      <c r="N261" s="176" t="s">
        <v>7309</v>
      </c>
      <c r="O261" s="270">
        <v>44934</v>
      </c>
      <c r="P261" s="176" t="s">
        <v>7310</v>
      </c>
      <c r="Q261" s="36"/>
      <c r="R261" s="36"/>
      <c r="S261" s="36"/>
      <c r="T261" s="270">
        <v>44908</v>
      </c>
      <c r="U261" s="176" t="s">
        <v>4803</v>
      </c>
    </row>
    <row r="262" spans="1:21">
      <c r="A262" s="269" t="s">
        <v>7311</v>
      </c>
      <c r="B262" s="176" t="s">
        <v>7312</v>
      </c>
      <c r="C262" s="171" t="s">
        <v>7237</v>
      </c>
      <c r="D262" s="176" t="s">
        <v>7313</v>
      </c>
      <c r="E262" s="176" t="s">
        <v>1732</v>
      </c>
      <c r="F262" s="36"/>
      <c r="G262" s="774"/>
      <c r="H262" s="176" t="s">
        <v>7314</v>
      </c>
      <c r="I262" s="265" t="s">
        <v>1736</v>
      </c>
      <c r="J262" s="265" t="s">
        <v>1737</v>
      </c>
      <c r="K262" s="265" t="s">
        <v>1737</v>
      </c>
      <c r="L262" s="36"/>
      <c r="M262" s="270">
        <v>44908</v>
      </c>
      <c r="N262" s="176" t="s">
        <v>7315</v>
      </c>
      <c r="O262" s="272">
        <v>44936</v>
      </c>
      <c r="P262" s="94" t="s">
        <v>7316</v>
      </c>
      <c r="Q262" s="36"/>
      <c r="R262" s="36"/>
      <c r="S262" s="36"/>
      <c r="T262" s="270">
        <v>44908</v>
      </c>
      <c r="U262" s="176" t="s">
        <v>4803</v>
      </c>
    </row>
    <row r="263" spans="1:21">
      <c r="A263" s="269" t="s">
        <v>7317</v>
      </c>
      <c r="B263" s="176" t="s">
        <v>7318</v>
      </c>
      <c r="C263" s="171" t="s">
        <v>7237</v>
      </c>
      <c r="D263" s="176" t="s">
        <v>7319</v>
      </c>
      <c r="E263" s="176" t="s">
        <v>1732</v>
      </c>
      <c r="F263" s="36"/>
      <c r="G263" s="774"/>
      <c r="H263" s="176" t="s">
        <v>7320</v>
      </c>
      <c r="I263" s="265" t="s">
        <v>1736</v>
      </c>
      <c r="J263" s="265" t="s">
        <v>1737</v>
      </c>
      <c r="K263" s="265" t="s">
        <v>1737</v>
      </c>
      <c r="L263" s="36"/>
      <c r="M263" s="270">
        <v>44908</v>
      </c>
      <c r="N263" s="176" t="s">
        <v>7321</v>
      </c>
      <c r="O263" s="272">
        <v>44936</v>
      </c>
      <c r="P263" s="94" t="s">
        <v>7322</v>
      </c>
      <c r="Q263" s="36"/>
      <c r="R263" s="36"/>
      <c r="S263" s="36"/>
      <c r="T263" s="270">
        <v>44908</v>
      </c>
      <c r="U263" s="176" t="s">
        <v>4803</v>
      </c>
    </row>
    <row r="264" spans="1:21">
      <c r="A264" s="269" t="s">
        <v>7323</v>
      </c>
      <c r="B264" s="176" t="s">
        <v>7324</v>
      </c>
      <c r="C264" s="171" t="s">
        <v>7237</v>
      </c>
      <c r="D264" s="176" t="s">
        <v>7325</v>
      </c>
      <c r="E264" s="176" t="s">
        <v>1732</v>
      </c>
      <c r="F264" s="36"/>
      <c r="G264" s="774"/>
      <c r="H264" s="176" t="s">
        <v>7326</v>
      </c>
      <c r="I264" s="265" t="s">
        <v>1736</v>
      </c>
      <c r="J264" s="265" t="s">
        <v>1737</v>
      </c>
      <c r="K264" s="265" t="s">
        <v>1737</v>
      </c>
      <c r="L264" s="36"/>
      <c r="M264" s="270">
        <v>44908</v>
      </c>
      <c r="N264" s="176" t="s">
        <v>7327</v>
      </c>
      <c r="O264" s="272">
        <v>44936</v>
      </c>
      <c r="P264" s="94" t="s">
        <v>7328</v>
      </c>
      <c r="Q264" s="36"/>
      <c r="R264" s="36"/>
      <c r="S264" s="36"/>
      <c r="T264" s="270">
        <v>44908</v>
      </c>
      <c r="U264" s="176" t="s">
        <v>4803</v>
      </c>
    </row>
    <row r="265" spans="1:21">
      <c r="A265" s="269" t="s">
        <v>7329</v>
      </c>
      <c r="B265" s="176" t="s">
        <v>7330</v>
      </c>
      <c r="C265" s="171" t="s">
        <v>7237</v>
      </c>
      <c r="D265" s="176" t="s">
        <v>7331</v>
      </c>
      <c r="E265" s="176" t="s">
        <v>1732</v>
      </c>
      <c r="F265" s="36"/>
      <c r="G265" s="774"/>
      <c r="H265" s="176" t="s">
        <v>7332</v>
      </c>
      <c r="I265" s="265" t="s">
        <v>1736</v>
      </c>
      <c r="J265" s="265" t="s">
        <v>1737</v>
      </c>
      <c r="K265" s="265" t="s">
        <v>1737</v>
      </c>
      <c r="L265" s="36"/>
      <c r="M265" s="270">
        <v>44909</v>
      </c>
      <c r="N265" s="176" t="s">
        <v>7333</v>
      </c>
      <c r="O265" s="272">
        <v>44936</v>
      </c>
      <c r="P265" s="94" t="s">
        <v>7334</v>
      </c>
      <c r="Q265" s="36"/>
      <c r="R265" s="36"/>
      <c r="S265" s="36"/>
      <c r="T265" s="270">
        <v>44909</v>
      </c>
      <c r="U265" s="176" t="s">
        <v>4803</v>
      </c>
    </row>
    <row r="266" spans="1:21">
      <c r="A266" s="269" t="s">
        <v>7335</v>
      </c>
      <c r="B266" s="176" t="s">
        <v>7336</v>
      </c>
      <c r="C266" s="171" t="s">
        <v>7237</v>
      </c>
      <c r="D266" s="176" t="s">
        <v>7337</v>
      </c>
      <c r="E266" s="176" t="s">
        <v>1732</v>
      </c>
      <c r="F266" s="36"/>
      <c r="G266" s="774"/>
      <c r="H266" s="176" t="s">
        <v>7338</v>
      </c>
      <c r="I266" s="265" t="s">
        <v>1736</v>
      </c>
      <c r="J266" s="265" t="s">
        <v>1737</v>
      </c>
      <c r="K266" s="265" t="s">
        <v>1737</v>
      </c>
      <c r="L266" s="36"/>
      <c r="M266" s="270">
        <v>44909</v>
      </c>
      <c r="N266" s="176" t="s">
        <v>7339</v>
      </c>
      <c r="O266" s="272">
        <v>44936</v>
      </c>
      <c r="P266" s="94" t="s">
        <v>7340</v>
      </c>
      <c r="Q266" s="36"/>
      <c r="R266" s="36"/>
      <c r="S266" s="36"/>
      <c r="T266" s="270">
        <v>44909</v>
      </c>
      <c r="U266" s="176" t="s">
        <v>4803</v>
      </c>
    </row>
    <row r="267" spans="1:21">
      <c r="A267" s="269" t="s">
        <v>7341</v>
      </c>
      <c r="B267" s="176" t="s">
        <v>7342</v>
      </c>
      <c r="C267" s="171" t="s">
        <v>7237</v>
      </c>
      <c r="D267" s="176" t="s">
        <v>7343</v>
      </c>
      <c r="E267" s="176" t="s">
        <v>1732</v>
      </c>
      <c r="F267" s="36"/>
      <c r="G267" s="774"/>
      <c r="H267" s="176" t="s">
        <v>7344</v>
      </c>
      <c r="I267" s="265" t="s">
        <v>1736</v>
      </c>
      <c r="J267" s="265" t="s">
        <v>1737</v>
      </c>
      <c r="K267" s="265" t="s">
        <v>1737</v>
      </c>
      <c r="L267" s="36"/>
      <c r="M267" s="270">
        <v>44910</v>
      </c>
      <c r="N267" s="176" t="s">
        <v>7345</v>
      </c>
      <c r="O267" s="272">
        <v>44936</v>
      </c>
      <c r="P267" s="94" t="s">
        <v>7346</v>
      </c>
      <c r="Q267" s="36"/>
      <c r="R267" s="36"/>
      <c r="S267" s="36"/>
      <c r="T267" s="270">
        <v>44910</v>
      </c>
      <c r="U267" s="176" t="s">
        <v>4803</v>
      </c>
    </row>
    <row r="268" spans="1:21">
      <c r="A268" s="269" t="s">
        <v>7347</v>
      </c>
      <c r="B268" s="176" t="s">
        <v>7348</v>
      </c>
      <c r="C268" s="171" t="s">
        <v>7237</v>
      </c>
      <c r="D268" s="176" t="s">
        <v>7349</v>
      </c>
      <c r="E268" s="176" t="s">
        <v>1732</v>
      </c>
      <c r="F268" s="36"/>
      <c r="G268" s="774"/>
      <c r="H268" s="176" t="s">
        <v>7344</v>
      </c>
      <c r="I268" s="265" t="s">
        <v>1736</v>
      </c>
      <c r="J268" s="265" t="s">
        <v>1737</v>
      </c>
      <c r="K268" s="265" t="s">
        <v>1737</v>
      </c>
      <c r="L268" s="36"/>
      <c r="M268" s="270">
        <v>44910</v>
      </c>
      <c r="N268" s="176" t="s">
        <v>7350</v>
      </c>
      <c r="O268" s="272">
        <v>44936</v>
      </c>
      <c r="P268" s="94" t="s">
        <v>7351</v>
      </c>
      <c r="Q268" s="36"/>
      <c r="R268" s="36"/>
      <c r="S268" s="36"/>
      <c r="T268" s="270">
        <v>44910</v>
      </c>
      <c r="U268" s="176" t="s">
        <v>4803</v>
      </c>
    </row>
    <row r="269" spans="1:21">
      <c r="A269" s="269" t="s">
        <v>7352</v>
      </c>
      <c r="B269" s="176" t="s">
        <v>7353</v>
      </c>
      <c r="C269" s="171" t="s">
        <v>7237</v>
      </c>
      <c r="D269" s="176" t="s">
        <v>7354</v>
      </c>
      <c r="E269" s="176" t="s">
        <v>1732</v>
      </c>
      <c r="F269" s="36"/>
      <c r="G269" s="774"/>
      <c r="H269" s="176" t="s">
        <v>7355</v>
      </c>
      <c r="I269" s="265" t="s">
        <v>1736</v>
      </c>
      <c r="J269" s="265" t="s">
        <v>1737</v>
      </c>
      <c r="K269" s="265" t="s">
        <v>1737</v>
      </c>
      <c r="L269" s="36"/>
      <c r="M269" s="270">
        <v>44910</v>
      </c>
      <c r="N269" s="176" t="s">
        <v>7356</v>
      </c>
      <c r="O269" s="272">
        <v>44936</v>
      </c>
      <c r="P269" s="94" t="s">
        <v>7357</v>
      </c>
      <c r="Q269" s="36"/>
      <c r="R269" s="36"/>
      <c r="S269" s="36"/>
      <c r="T269" s="270">
        <v>44910</v>
      </c>
      <c r="U269" s="176" t="s">
        <v>4803</v>
      </c>
    </row>
    <row r="270" spans="1:21">
      <c r="A270" s="269" t="s">
        <v>7358</v>
      </c>
      <c r="B270" s="176" t="s">
        <v>7359</v>
      </c>
      <c r="C270" s="171" t="s">
        <v>7360</v>
      </c>
      <c r="D270" s="176" t="s">
        <v>7361</v>
      </c>
      <c r="E270" s="176" t="s">
        <v>1732</v>
      </c>
      <c r="F270" s="36"/>
      <c r="G270" s="774"/>
      <c r="H270" s="176" t="s">
        <v>7362</v>
      </c>
      <c r="I270" s="265" t="s">
        <v>1736</v>
      </c>
      <c r="J270" s="265" t="s">
        <v>1737</v>
      </c>
      <c r="K270" s="265" t="s">
        <v>1737</v>
      </c>
      <c r="L270" s="36"/>
      <c r="M270" s="270">
        <v>44909</v>
      </c>
      <c r="N270" s="176" t="s">
        <v>7363</v>
      </c>
      <c r="O270" s="272">
        <v>44936</v>
      </c>
      <c r="P270" s="94" t="s">
        <v>7364</v>
      </c>
      <c r="Q270" s="36"/>
      <c r="R270" s="36"/>
      <c r="S270" s="36"/>
      <c r="T270" s="270">
        <v>44909</v>
      </c>
      <c r="U270" s="176" t="s">
        <v>4803</v>
      </c>
    </row>
    <row r="271" spans="1:21">
      <c r="A271" s="176" t="s">
        <v>7365</v>
      </c>
      <c r="B271" s="176" t="s">
        <v>7366</v>
      </c>
      <c r="C271" s="171" t="s">
        <v>7360</v>
      </c>
      <c r="D271" s="176" t="s">
        <v>7367</v>
      </c>
      <c r="E271" s="176" t="s">
        <v>1732</v>
      </c>
      <c r="F271" s="36"/>
      <c r="G271" s="773"/>
      <c r="H271" s="176" t="s">
        <v>7368</v>
      </c>
      <c r="I271" s="265" t="s">
        <v>1736</v>
      </c>
      <c r="J271" s="265" t="s">
        <v>1737</v>
      </c>
      <c r="K271" s="265" t="s">
        <v>1737</v>
      </c>
      <c r="L271" s="36"/>
      <c r="M271" s="270">
        <v>44909</v>
      </c>
      <c r="N271" s="176" t="s">
        <v>7369</v>
      </c>
      <c r="O271" s="272">
        <v>44936</v>
      </c>
      <c r="P271" s="94" t="s">
        <v>7370</v>
      </c>
      <c r="Q271" s="36"/>
      <c r="R271" s="36"/>
      <c r="S271" s="36"/>
      <c r="T271" s="270">
        <v>44909</v>
      </c>
      <c r="U271" s="176" t="s">
        <v>4803</v>
      </c>
    </row>
    <row r="274" spans="1:19">
      <c r="A274" s="232"/>
      <c r="B274" s="216" t="s">
        <v>3688</v>
      </c>
      <c r="J274" s="707" t="s">
        <v>3689</v>
      </c>
      <c r="K274" s="775"/>
      <c r="L274" s="775"/>
      <c r="M274" s="770"/>
      <c r="N274" s="273" t="s">
        <v>436</v>
      </c>
      <c r="O274" s="274"/>
      <c r="P274" s="273" t="s">
        <v>3690</v>
      </c>
      <c r="Q274" s="273" t="s">
        <v>7371</v>
      </c>
      <c r="R274" s="273" t="s">
        <v>7372</v>
      </c>
      <c r="S274" s="273" t="s">
        <v>449</v>
      </c>
    </row>
    <row r="275" spans="1:19">
      <c r="A275" s="235"/>
      <c r="B275" s="216" t="s">
        <v>3691</v>
      </c>
      <c r="J275" s="261">
        <v>44825</v>
      </c>
      <c r="K275" s="275">
        <f>COUNTIFS(T:T,"21 September 2022",U:U,"Dio")</f>
        <v>1</v>
      </c>
      <c r="L275" s="706" t="s">
        <v>539</v>
      </c>
      <c r="M275" s="706">
        <f>SUM(K275:K277)</f>
        <v>9</v>
      </c>
      <c r="N275" s="693">
        <f>SUM(M275:M337)</f>
        <v>232</v>
      </c>
      <c r="O275" s="259"/>
      <c r="P275" s="276">
        <f>SUM(M275:M337)</f>
        <v>232</v>
      </c>
      <c r="Q275" s="276">
        <f>COUNTIFS(J:J,"PENDING",K:K,"PENDING")</f>
        <v>0</v>
      </c>
      <c r="R275" s="276">
        <f>COUNTIFS(J:J,"Take Out",K:K,"Take Out")</f>
        <v>37</v>
      </c>
      <c r="S275" s="276">
        <f>ROWS(B3:B271)</f>
        <v>269</v>
      </c>
    </row>
    <row r="276" spans="1:19">
      <c r="A276" s="241"/>
      <c r="B276" s="216" t="s">
        <v>3692</v>
      </c>
      <c r="J276" s="261">
        <v>44826</v>
      </c>
      <c r="K276" s="275">
        <f>COUNTIFS(T:T,"22 September 2022",U:U,"Dio")</f>
        <v>3</v>
      </c>
      <c r="L276" s="774"/>
      <c r="M276" s="774"/>
      <c r="N276" s="774"/>
      <c r="Q276" s="277"/>
    </row>
    <row r="277" spans="1:19">
      <c r="A277" s="244"/>
      <c r="B277" s="216" t="s">
        <v>3693</v>
      </c>
      <c r="J277" s="261">
        <v>44827</v>
      </c>
      <c r="K277" s="275">
        <f>COUNTIFS(T:T,"23 September 2022",U:U,"Dio")</f>
        <v>5</v>
      </c>
      <c r="L277" s="773"/>
      <c r="M277" s="773"/>
      <c r="N277" s="774"/>
    </row>
    <row r="278" spans="1:19">
      <c r="A278" s="246"/>
      <c r="B278" s="216" t="s">
        <v>3694</v>
      </c>
      <c r="J278" s="261">
        <v>44830</v>
      </c>
      <c r="K278" s="275">
        <f>COUNTIFS(T:T,"26 September 2022",U:U,"Dio")</f>
        <v>3</v>
      </c>
      <c r="L278" s="706" t="s">
        <v>5682</v>
      </c>
      <c r="M278" s="706">
        <f>SUM(K278:K282)</f>
        <v>14</v>
      </c>
      <c r="N278" s="774"/>
    </row>
    <row r="279" spans="1:19">
      <c r="J279" s="261">
        <v>44831</v>
      </c>
      <c r="K279" s="275">
        <f>COUNTIFS(T:T,"27 September 2022",U:U,"Dio")</f>
        <v>4</v>
      </c>
      <c r="L279" s="774"/>
      <c r="M279" s="774"/>
      <c r="N279" s="774"/>
    </row>
    <row r="280" spans="1:19">
      <c r="J280" s="261">
        <v>44832</v>
      </c>
      <c r="K280" s="275">
        <f>COUNTIFS(T:T,"28 September 2022",U:U,"Dio")</f>
        <v>2</v>
      </c>
      <c r="L280" s="774"/>
      <c r="M280" s="774"/>
      <c r="N280" s="774"/>
    </row>
    <row r="281" spans="1:19">
      <c r="J281" s="261">
        <v>44833</v>
      </c>
      <c r="K281" s="278">
        <f>COUNTIFS(T:T,"29 September 2022",U:U,"Dio")</f>
        <v>2</v>
      </c>
      <c r="L281" s="774"/>
      <c r="M281" s="774"/>
      <c r="N281" s="774"/>
    </row>
    <row r="282" spans="1:19">
      <c r="J282" s="261">
        <v>44834</v>
      </c>
      <c r="K282" s="278">
        <f>COUNTIFS(T:T,"30 September 2022",U:U,"Dio")</f>
        <v>3</v>
      </c>
      <c r="L282" s="773"/>
      <c r="M282" s="773"/>
      <c r="N282" s="774"/>
    </row>
    <row r="283" spans="1:19">
      <c r="J283" s="261">
        <v>44837</v>
      </c>
      <c r="K283" s="275">
        <f>COUNTIFS(T:T,"3 October 2022",U:U,"Dio")</f>
        <v>3</v>
      </c>
      <c r="L283" s="706" t="s">
        <v>540</v>
      </c>
      <c r="M283" s="706">
        <f>SUM(K283:K287)</f>
        <v>16</v>
      </c>
      <c r="N283" s="774"/>
    </row>
    <row r="284" spans="1:19">
      <c r="J284" s="261">
        <v>44838</v>
      </c>
      <c r="K284" s="275">
        <f>COUNTIFS(T:T,"4 October 2022",U:U,"Dio")</f>
        <v>3</v>
      </c>
      <c r="L284" s="774"/>
      <c r="M284" s="774"/>
      <c r="N284" s="774"/>
    </row>
    <row r="285" spans="1:19">
      <c r="J285" s="261">
        <v>44839</v>
      </c>
      <c r="K285" s="275">
        <f>COUNTIFS(T:T,"5 October 2022",U:U,"Dio")</f>
        <v>3</v>
      </c>
      <c r="L285" s="774"/>
      <c r="M285" s="774"/>
      <c r="N285" s="774"/>
    </row>
    <row r="286" spans="1:19">
      <c r="J286" s="261">
        <v>44840</v>
      </c>
      <c r="K286" s="275">
        <f>COUNTIFS(T:T,"6 October 2022",U:U,"Dio")</f>
        <v>3</v>
      </c>
      <c r="L286" s="774"/>
      <c r="M286" s="774"/>
      <c r="N286" s="774"/>
    </row>
    <row r="287" spans="1:19">
      <c r="J287" s="261">
        <v>44841</v>
      </c>
      <c r="K287" s="275">
        <f>COUNTIFS(T:T,"7 October 2022",U:U,"Dio")</f>
        <v>4</v>
      </c>
      <c r="L287" s="773"/>
      <c r="M287" s="773"/>
      <c r="N287" s="774"/>
    </row>
    <row r="288" spans="1:19">
      <c r="J288" s="261">
        <v>44844</v>
      </c>
      <c r="K288" s="279">
        <f>COUNTIFS(T:T,"10 October 2022",U:U,"Dio")</f>
        <v>7</v>
      </c>
      <c r="L288" s="706" t="s">
        <v>541</v>
      </c>
      <c r="M288" s="706">
        <f>SUM(K288:K292)</f>
        <v>29</v>
      </c>
      <c r="N288" s="774"/>
    </row>
    <row r="289" spans="10:14">
      <c r="J289" s="261">
        <v>44845</v>
      </c>
      <c r="K289" s="278">
        <f>COUNTIFS(T:T,"11 October 2022",U:U,"Dio")</f>
        <v>8</v>
      </c>
      <c r="L289" s="774"/>
      <c r="M289" s="774"/>
      <c r="N289" s="774"/>
    </row>
    <row r="290" spans="10:14">
      <c r="J290" s="261">
        <v>44846</v>
      </c>
      <c r="K290" s="278">
        <f>COUNTIFS(T:T,"12 October 2022",U:U,"Dio")</f>
        <v>6</v>
      </c>
      <c r="L290" s="774"/>
      <c r="M290" s="774"/>
      <c r="N290" s="774"/>
    </row>
    <row r="291" spans="10:14">
      <c r="J291" s="261">
        <v>44847</v>
      </c>
      <c r="K291" s="278">
        <f>COUNTIFS(T:T,"13 October 2022",U:U,"Dio")</f>
        <v>5</v>
      </c>
      <c r="L291" s="774"/>
      <c r="M291" s="774"/>
      <c r="N291" s="774"/>
    </row>
    <row r="292" spans="10:14">
      <c r="J292" s="261">
        <v>44848</v>
      </c>
      <c r="K292" s="278">
        <f>COUNTIFS(T:T,"14 October 2022",U:U,"Dio")</f>
        <v>3</v>
      </c>
      <c r="L292" s="773"/>
      <c r="M292" s="773"/>
      <c r="N292" s="774"/>
    </row>
    <row r="293" spans="10:14">
      <c r="J293" s="261">
        <v>44851</v>
      </c>
      <c r="K293" s="278">
        <f>COUNTIFS(T:T,"17 October 2022",U:U,"Dio")</f>
        <v>5</v>
      </c>
      <c r="L293" s="706" t="s">
        <v>542</v>
      </c>
      <c r="M293" s="706">
        <f>SUM(K293:K297)</f>
        <v>19</v>
      </c>
      <c r="N293" s="774"/>
    </row>
    <row r="294" spans="10:14">
      <c r="J294" s="261">
        <v>44852</v>
      </c>
      <c r="K294" s="278">
        <f>COUNTIFS(T:T,"18 October 2022",U:U,"Dio")</f>
        <v>3</v>
      </c>
      <c r="L294" s="774"/>
      <c r="M294" s="774"/>
      <c r="N294" s="774"/>
    </row>
    <row r="295" spans="10:14">
      <c r="J295" s="261">
        <v>44853</v>
      </c>
      <c r="K295" s="278">
        <f>COUNTIFS(T:T,"19 October 2022",U:U,"Dio")</f>
        <v>4</v>
      </c>
      <c r="L295" s="774"/>
      <c r="M295" s="774"/>
      <c r="N295" s="774"/>
    </row>
    <row r="296" spans="10:14">
      <c r="J296" s="261">
        <v>44854</v>
      </c>
      <c r="K296" s="278">
        <f>COUNTIFS(T:T,"20 October 2022",U:U,"Dio")</f>
        <v>3</v>
      </c>
      <c r="L296" s="774"/>
      <c r="M296" s="774"/>
      <c r="N296" s="774"/>
    </row>
    <row r="297" spans="10:14">
      <c r="J297" s="261">
        <v>44855</v>
      </c>
      <c r="K297" s="278">
        <f>COUNTIFS(T:T,"21 October 2022",U:U,"Dio")</f>
        <v>4</v>
      </c>
      <c r="L297" s="773"/>
      <c r="M297" s="773"/>
      <c r="N297" s="774"/>
    </row>
    <row r="298" spans="10:14">
      <c r="J298" s="261">
        <v>44858</v>
      </c>
      <c r="K298" s="278">
        <f>COUNTIFS(T:T,"24 October 2022",U:U,"Dio")</f>
        <v>0</v>
      </c>
      <c r="L298" s="706" t="s">
        <v>543</v>
      </c>
      <c r="M298" s="706">
        <f>SUM(K298:K302)</f>
        <v>13</v>
      </c>
      <c r="N298" s="774"/>
    </row>
    <row r="299" spans="10:14">
      <c r="J299" s="261">
        <v>44859</v>
      </c>
      <c r="K299" s="278">
        <f>COUNTIFS(T:T,"25 October 2022",U:U,"Dio")</f>
        <v>1</v>
      </c>
      <c r="L299" s="774"/>
      <c r="M299" s="774"/>
      <c r="N299" s="774"/>
    </row>
    <row r="300" spans="10:14">
      <c r="J300" s="261">
        <v>44860</v>
      </c>
      <c r="K300" s="278">
        <f>COUNTIFS(T:T,"26 October 2022",U:U,"Dio")</f>
        <v>4</v>
      </c>
      <c r="L300" s="774"/>
      <c r="M300" s="774"/>
      <c r="N300" s="774"/>
    </row>
    <row r="301" spans="10:14">
      <c r="J301" s="261">
        <v>44861</v>
      </c>
      <c r="K301" s="278">
        <f>COUNTIFS(T:T,"27 October 2022",U:U,"Dio")</f>
        <v>4</v>
      </c>
      <c r="L301" s="774"/>
      <c r="M301" s="774"/>
      <c r="N301" s="774"/>
    </row>
    <row r="302" spans="10:14">
      <c r="J302" s="261">
        <v>44862</v>
      </c>
      <c r="K302" s="278">
        <f>COUNTIFS(T:T,"28 October 2022",U:U,"Dio")</f>
        <v>4</v>
      </c>
      <c r="L302" s="773"/>
      <c r="M302" s="773"/>
      <c r="N302" s="774"/>
    </row>
    <row r="303" spans="10:14">
      <c r="J303" s="261">
        <v>44865</v>
      </c>
      <c r="K303" s="278">
        <f>COUNTIFS(T:T,"31 October 2022",U:U,"Dio")</f>
        <v>4</v>
      </c>
      <c r="L303" s="706" t="s">
        <v>545</v>
      </c>
      <c r="M303" s="706">
        <f>SUM(K303:K307)</f>
        <v>19</v>
      </c>
      <c r="N303" s="774"/>
    </row>
    <row r="304" spans="10:14">
      <c r="J304" s="261">
        <v>44866</v>
      </c>
      <c r="K304" s="278">
        <f>COUNTIFS(T:T,"1 November 2022",U:U,"Dio")</f>
        <v>4</v>
      </c>
      <c r="L304" s="774"/>
      <c r="M304" s="774"/>
      <c r="N304" s="774"/>
    </row>
    <row r="305" spans="10:14">
      <c r="J305" s="261">
        <v>44867</v>
      </c>
      <c r="K305" s="278">
        <f>COUNTIFS(T:T,"2 November 2022",U:U,"Dio")</f>
        <v>4</v>
      </c>
      <c r="L305" s="774"/>
      <c r="M305" s="774"/>
      <c r="N305" s="774"/>
    </row>
    <row r="306" spans="10:14">
      <c r="J306" s="261">
        <v>44868</v>
      </c>
      <c r="K306" s="278">
        <f>COUNTIFS(T:T,"3 November 2022",U:U,"Dio")</f>
        <v>3</v>
      </c>
      <c r="L306" s="774"/>
      <c r="M306" s="774"/>
      <c r="N306" s="774"/>
    </row>
    <row r="307" spans="10:14">
      <c r="J307" s="261">
        <v>44869</v>
      </c>
      <c r="K307" s="278">
        <f>COUNTIFS(T:T,"4 November 2022",U:U,"Dio")</f>
        <v>4</v>
      </c>
      <c r="L307" s="773"/>
      <c r="M307" s="773"/>
      <c r="N307" s="774"/>
    </row>
    <row r="308" spans="10:14">
      <c r="J308" s="261">
        <v>44872</v>
      </c>
      <c r="K308" s="278">
        <f>COUNTIFS(T:T,"7 November 2022",U:U,"Dio")</f>
        <v>5</v>
      </c>
      <c r="L308" s="706" t="s">
        <v>546</v>
      </c>
      <c r="M308" s="706">
        <f>SUM(K308:K312)</f>
        <v>18</v>
      </c>
      <c r="N308" s="774"/>
    </row>
    <row r="309" spans="10:14">
      <c r="J309" s="261">
        <v>44873</v>
      </c>
      <c r="K309" s="278">
        <f>COUNTIFS(T:T,"8 November 2022",U:U,"Dio")</f>
        <v>6</v>
      </c>
      <c r="L309" s="774"/>
      <c r="M309" s="774"/>
      <c r="N309" s="774"/>
    </row>
    <row r="310" spans="10:14">
      <c r="J310" s="261">
        <v>44874</v>
      </c>
      <c r="K310" s="278">
        <f>COUNTIFS(T:T,"9 November 2022",U:U,"Dio")</f>
        <v>2</v>
      </c>
      <c r="L310" s="774"/>
      <c r="M310" s="774"/>
      <c r="N310" s="774"/>
    </row>
    <row r="311" spans="10:14">
      <c r="J311" s="261">
        <v>44875</v>
      </c>
      <c r="K311" s="278">
        <f>COUNTIFS(T:T,"10 November 2022",U:U,"Dio")</f>
        <v>2</v>
      </c>
      <c r="L311" s="774"/>
      <c r="M311" s="774"/>
      <c r="N311" s="774"/>
    </row>
    <row r="312" spans="10:14">
      <c r="J312" s="261">
        <v>44876</v>
      </c>
      <c r="K312" s="278">
        <f>COUNTIFS(T:T,"11 November 2022",U:U,"Dio")</f>
        <v>3</v>
      </c>
      <c r="L312" s="773"/>
      <c r="M312" s="773"/>
      <c r="N312" s="774"/>
    </row>
    <row r="313" spans="10:14">
      <c r="J313" s="261">
        <v>44879</v>
      </c>
      <c r="K313" s="278">
        <f>COUNTIFS(T:T,"14 November 2022",U:U,"Dio")</f>
        <v>4</v>
      </c>
      <c r="L313" s="706" t="s">
        <v>547</v>
      </c>
      <c r="M313" s="706">
        <f>SUM(K313:K317)</f>
        <v>19</v>
      </c>
      <c r="N313" s="774"/>
    </row>
    <row r="314" spans="10:14">
      <c r="J314" s="261">
        <v>44880</v>
      </c>
      <c r="K314" s="278">
        <f>COUNTIFS(T:T,"15 November 2022",U:U,"Dio")</f>
        <v>3</v>
      </c>
      <c r="L314" s="774"/>
      <c r="M314" s="774"/>
      <c r="N314" s="774"/>
    </row>
    <row r="315" spans="10:14">
      <c r="J315" s="261">
        <v>44881</v>
      </c>
      <c r="K315" s="278">
        <f>COUNTIFS(T:T,"16 November 2022",U:U,"Dio")</f>
        <v>5</v>
      </c>
      <c r="L315" s="774"/>
      <c r="M315" s="774"/>
      <c r="N315" s="774"/>
    </row>
    <row r="316" spans="10:14">
      <c r="J316" s="261">
        <v>44882</v>
      </c>
      <c r="K316" s="278">
        <f>COUNTIFS(T:T,"17 November 2022",U:U,"Dio")</f>
        <v>4</v>
      </c>
      <c r="L316" s="774"/>
      <c r="M316" s="774"/>
      <c r="N316" s="774"/>
    </row>
    <row r="317" spans="10:14">
      <c r="J317" s="261">
        <v>44883</v>
      </c>
      <c r="K317" s="278">
        <f>COUNTIFS(T:T,"18 November 2022",U:U,"Dio")</f>
        <v>3</v>
      </c>
      <c r="L317" s="773"/>
      <c r="M317" s="773"/>
      <c r="N317" s="774"/>
    </row>
    <row r="318" spans="10:14">
      <c r="J318" s="261">
        <v>44886</v>
      </c>
      <c r="K318" s="278">
        <f>COUNTIFS(T:T,"21 November 2022",U:U,"Dio")</f>
        <v>4</v>
      </c>
      <c r="L318" s="706" t="s">
        <v>548</v>
      </c>
      <c r="M318" s="706">
        <f>SUM(K318:K322)</f>
        <v>18</v>
      </c>
      <c r="N318" s="774"/>
    </row>
    <row r="319" spans="10:14">
      <c r="J319" s="261">
        <v>44887</v>
      </c>
      <c r="K319" s="278">
        <f>COUNTIFS(T:T,"22 November 2022",U:U,"Dio")</f>
        <v>4</v>
      </c>
      <c r="L319" s="774"/>
      <c r="M319" s="774"/>
      <c r="N319" s="774"/>
    </row>
    <row r="320" spans="10:14">
      <c r="J320" s="261">
        <v>44888</v>
      </c>
      <c r="K320" s="278">
        <f>COUNTIFS(T:T,"23 November 2022",U:U,"Dio")</f>
        <v>3</v>
      </c>
      <c r="L320" s="774"/>
      <c r="M320" s="774"/>
      <c r="N320" s="774"/>
    </row>
    <row r="321" spans="10:14">
      <c r="J321" s="261">
        <v>44889</v>
      </c>
      <c r="K321" s="278">
        <f>COUNTIFS(T:T,"24 November 2022",U:U,"Dio")</f>
        <v>4</v>
      </c>
      <c r="L321" s="774"/>
      <c r="M321" s="774"/>
      <c r="N321" s="774"/>
    </row>
    <row r="322" spans="10:14">
      <c r="J322" s="261">
        <v>44890</v>
      </c>
      <c r="K322" s="278">
        <f>COUNTIFS(T:T,"25 November 2022",U:U,"Dio")</f>
        <v>3</v>
      </c>
      <c r="L322" s="773"/>
      <c r="M322" s="773"/>
      <c r="N322" s="774"/>
    </row>
    <row r="323" spans="10:14">
      <c r="J323" s="261">
        <v>44893</v>
      </c>
      <c r="K323" s="278">
        <f>COUNTIFS(T:T,"28 November 2022",U:U,"Dio")</f>
        <v>0</v>
      </c>
      <c r="L323" s="706" t="s">
        <v>7373</v>
      </c>
      <c r="M323" s="706">
        <f>SUM(K323:K327)</f>
        <v>17</v>
      </c>
      <c r="N323" s="774"/>
    </row>
    <row r="324" spans="10:14">
      <c r="J324" s="261">
        <v>44894</v>
      </c>
      <c r="K324" s="278">
        <f>COUNTIFS(T:T,"29 November 2022",U:U,"Dio")</f>
        <v>4</v>
      </c>
      <c r="L324" s="774"/>
      <c r="M324" s="774"/>
      <c r="N324" s="774"/>
    </row>
    <row r="325" spans="10:14">
      <c r="J325" s="261">
        <v>44895</v>
      </c>
      <c r="K325" s="278">
        <f>COUNTIFS(T:T,"30 November 2022",U:U,"Dio")</f>
        <v>4</v>
      </c>
      <c r="L325" s="774"/>
      <c r="M325" s="774"/>
      <c r="N325" s="774"/>
    </row>
    <row r="326" spans="10:14">
      <c r="J326" s="261">
        <v>44896</v>
      </c>
      <c r="K326" s="278">
        <f>COUNTIFS(T:T,"1 December 2022",U:U,"Dio")</f>
        <v>5</v>
      </c>
      <c r="L326" s="774"/>
      <c r="M326" s="774"/>
      <c r="N326" s="774"/>
    </row>
    <row r="327" spans="10:14">
      <c r="J327" s="261">
        <v>44897</v>
      </c>
      <c r="K327" s="278">
        <f>COUNTIFS(T:T,"2 December 2022",U:U,"Dio")</f>
        <v>4</v>
      </c>
      <c r="L327" s="773"/>
      <c r="M327" s="773"/>
      <c r="N327" s="774"/>
    </row>
    <row r="328" spans="10:14">
      <c r="J328" s="261">
        <v>44900</v>
      </c>
      <c r="K328" s="278">
        <f>COUNTIFS(T:T,"5 December 2022",U:U,"Dio")</f>
        <v>5</v>
      </c>
      <c r="L328" s="706" t="s">
        <v>549</v>
      </c>
      <c r="M328" s="706">
        <f>SUM(K328:K332)</f>
        <v>15</v>
      </c>
      <c r="N328" s="774"/>
    </row>
    <row r="329" spans="10:14">
      <c r="J329" s="261">
        <v>44901</v>
      </c>
      <c r="K329" s="278">
        <f>COUNTIFS(T:T,"6 December 2022",U:U,"Dio")</f>
        <v>2</v>
      </c>
      <c r="L329" s="774"/>
      <c r="M329" s="774"/>
      <c r="N329" s="774"/>
    </row>
    <row r="330" spans="10:14">
      <c r="J330" s="261">
        <v>44902</v>
      </c>
      <c r="K330" s="278">
        <f>COUNTIFS(T:T,"7 December 2022",U:U,"Dio")</f>
        <v>4</v>
      </c>
      <c r="L330" s="774"/>
      <c r="M330" s="774"/>
      <c r="N330" s="774"/>
    </row>
    <row r="331" spans="10:14">
      <c r="J331" s="261">
        <v>44903</v>
      </c>
      <c r="K331" s="278">
        <f>COUNTIFS(T:T,"8 December 2022",U:U,"Dio")</f>
        <v>4</v>
      </c>
      <c r="L331" s="774"/>
      <c r="M331" s="774"/>
      <c r="N331" s="774"/>
    </row>
    <row r="332" spans="10:14">
      <c r="J332" s="261">
        <v>44904</v>
      </c>
      <c r="K332" s="278">
        <f>COUNTIFS(T:T,"9 December 2022",U:U,"Dio")</f>
        <v>0</v>
      </c>
      <c r="L332" s="773"/>
      <c r="M332" s="773"/>
      <c r="N332" s="774"/>
    </row>
    <row r="333" spans="10:14">
      <c r="J333" s="261">
        <v>44907</v>
      </c>
      <c r="K333" s="278">
        <f>COUNTIFS(T:T,"12 December 2022",U:U,"Dio")</f>
        <v>5</v>
      </c>
      <c r="L333" s="706" t="s">
        <v>550</v>
      </c>
      <c r="M333" s="706">
        <f>SUM(K333:K337)</f>
        <v>26</v>
      </c>
      <c r="N333" s="774"/>
    </row>
    <row r="334" spans="10:14">
      <c r="J334" s="261">
        <v>44908</v>
      </c>
      <c r="K334" s="278">
        <f>COUNTIFS(T:T,"13 December 2022",U:U,"Dio")</f>
        <v>9</v>
      </c>
      <c r="L334" s="774"/>
      <c r="M334" s="774"/>
      <c r="N334" s="774"/>
    </row>
    <row r="335" spans="10:14">
      <c r="J335" s="261">
        <v>44909</v>
      </c>
      <c r="K335" s="278">
        <f>COUNTIFS(T:T,"14 December 2022",U:U,"Dio")</f>
        <v>5</v>
      </c>
      <c r="L335" s="774"/>
      <c r="M335" s="774"/>
      <c r="N335" s="774"/>
    </row>
    <row r="336" spans="10:14">
      <c r="J336" s="261">
        <v>44910</v>
      </c>
      <c r="K336" s="278">
        <f>COUNTIFS(T:T,"15 December 2022",U:U,"Dio")</f>
        <v>7</v>
      </c>
      <c r="L336" s="774"/>
      <c r="M336" s="774"/>
      <c r="N336" s="774"/>
    </row>
    <row r="337" spans="10:14">
      <c r="J337" s="261">
        <v>44911</v>
      </c>
      <c r="K337" s="278">
        <f>COUNTIFS(T:T,"16 December 2022",U:U,"Dio")</f>
        <v>0</v>
      </c>
      <c r="L337" s="773"/>
      <c r="M337" s="773"/>
      <c r="N337" s="773"/>
    </row>
  </sheetData>
  <mergeCells count="59">
    <mergeCell ref="E1:E2"/>
    <mergeCell ref="S1:S2"/>
    <mergeCell ref="T1:T2"/>
    <mergeCell ref="U1:U2"/>
    <mergeCell ref="H1:H2"/>
    <mergeCell ref="L1:L2"/>
    <mergeCell ref="M1:M2"/>
    <mergeCell ref="N1:N2"/>
    <mergeCell ref="O1:O2"/>
    <mergeCell ref="P1:P2"/>
    <mergeCell ref="Q1:Q2"/>
    <mergeCell ref="M288:M292"/>
    <mergeCell ref="A249:A250"/>
    <mergeCell ref="G1:G2"/>
    <mergeCell ref="G3:G20"/>
    <mergeCell ref="G21:G51"/>
    <mergeCell ref="G52:G124"/>
    <mergeCell ref="G125:G244"/>
    <mergeCell ref="A3:A8"/>
    <mergeCell ref="A9:A14"/>
    <mergeCell ref="A15:A20"/>
    <mergeCell ref="A245:A246"/>
    <mergeCell ref="A247:A248"/>
    <mergeCell ref="A1:A2"/>
    <mergeCell ref="B1:B2"/>
    <mergeCell ref="C1:C2"/>
    <mergeCell ref="D1:D2"/>
    <mergeCell ref="L323:L327"/>
    <mergeCell ref="M323:M327"/>
    <mergeCell ref="F1:F2"/>
    <mergeCell ref="L3:L8"/>
    <mergeCell ref="L278:L282"/>
    <mergeCell ref="L283:L287"/>
    <mergeCell ref="L293:L297"/>
    <mergeCell ref="L9:L14"/>
    <mergeCell ref="L15:L20"/>
    <mergeCell ref="J274:M274"/>
    <mergeCell ref="L275:L277"/>
    <mergeCell ref="M275:M277"/>
    <mergeCell ref="G245:G271"/>
    <mergeCell ref="M293:M297"/>
    <mergeCell ref="M283:M287"/>
    <mergeCell ref="L288:L292"/>
    <mergeCell ref="L328:L332"/>
    <mergeCell ref="M328:M332"/>
    <mergeCell ref="L333:L337"/>
    <mergeCell ref="M333:M337"/>
    <mergeCell ref="N275:N337"/>
    <mergeCell ref="M278:M282"/>
    <mergeCell ref="L298:L302"/>
    <mergeCell ref="M298:M302"/>
    <mergeCell ref="L303:L307"/>
    <mergeCell ref="M303:M307"/>
    <mergeCell ref="L308:L312"/>
    <mergeCell ref="M308:M312"/>
    <mergeCell ref="L313:L317"/>
    <mergeCell ref="M313:M317"/>
    <mergeCell ref="L318:L322"/>
    <mergeCell ref="M318:M322"/>
  </mergeCells>
  <hyperlinks>
    <hyperlink ref="G52" r:id="rId1" xr:uid="{00000000-0004-0000-0C00-000000000000}"/>
    <hyperlink ref="G125" r:id="rId2" xr:uid="{00000000-0004-0000-0C00-000001000000}"/>
  </hyperlinks>
  <pageMargins left="0" right="0" top="0" bottom="0" header="0" footer="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Y1323"/>
  <sheetViews>
    <sheetView workbookViewId="0">
      <pane xSplit="5" ySplit="2" topLeftCell="F3" activePane="bottomRight" state="frozen"/>
      <selection pane="bottomRight" activeCell="F3" sqref="F3"/>
      <selection pane="bottomLeft" activeCell="A3" sqref="A3"/>
      <selection pane="topRight" activeCell="F1" sqref="F1"/>
    </sheetView>
  </sheetViews>
  <sheetFormatPr defaultColWidth="12.5703125" defaultRowHeight="15.75" customHeight="1"/>
  <cols>
    <col min="1" max="1" width="9.140625" customWidth="1"/>
    <col min="2" max="2" width="17.85546875" customWidth="1"/>
    <col min="3" max="3" width="18.28515625" customWidth="1"/>
    <col min="4" max="4" width="19.42578125" customWidth="1"/>
    <col min="5" max="5" width="23.28515625" customWidth="1"/>
    <col min="6" max="6" width="23.140625" customWidth="1"/>
    <col min="7" max="7" width="25.28515625" customWidth="1"/>
    <col min="8" max="8" width="22.5703125" customWidth="1"/>
    <col min="16" max="16" width="17.5703125" customWidth="1"/>
    <col min="17" max="17" width="15.140625" customWidth="1"/>
    <col min="23" max="23" width="14.140625" customWidth="1"/>
  </cols>
  <sheetData>
    <row r="1" spans="1:25">
      <c r="A1" s="699" t="s">
        <v>7374</v>
      </c>
      <c r="B1" s="699" t="s">
        <v>1708</v>
      </c>
      <c r="C1" s="699" t="s">
        <v>1709</v>
      </c>
      <c r="D1" s="699" t="s">
        <v>1710</v>
      </c>
      <c r="E1" s="699" t="s">
        <v>1711</v>
      </c>
      <c r="F1" s="699" t="s">
        <v>1712</v>
      </c>
      <c r="G1" s="699" t="s">
        <v>3697</v>
      </c>
      <c r="H1" s="699" t="s">
        <v>1714</v>
      </c>
      <c r="I1" s="718" t="s">
        <v>1715</v>
      </c>
      <c r="J1" s="775"/>
      <c r="K1" s="775"/>
      <c r="L1" s="775"/>
      <c r="M1" s="770"/>
      <c r="N1" s="280"/>
      <c r="O1" s="280"/>
      <c r="P1" s="699" t="s">
        <v>1716</v>
      </c>
      <c r="Q1" s="699" t="s">
        <v>1717</v>
      </c>
      <c r="R1" s="699" t="s">
        <v>1718</v>
      </c>
      <c r="S1" s="699" t="s">
        <v>1719</v>
      </c>
      <c r="T1" s="699" t="s">
        <v>1720</v>
      </c>
      <c r="U1" s="700" t="s">
        <v>1721</v>
      </c>
      <c r="V1" s="700" t="s">
        <v>1722</v>
      </c>
      <c r="W1" s="701" t="s">
        <v>1723</v>
      </c>
      <c r="X1" s="702" t="s">
        <v>1724</v>
      </c>
      <c r="Y1" s="281"/>
    </row>
    <row r="2" spans="1:25">
      <c r="A2" s="774"/>
      <c r="B2" s="774"/>
      <c r="C2" s="774"/>
      <c r="D2" s="774"/>
      <c r="E2" s="774"/>
      <c r="F2" s="774"/>
      <c r="G2" s="774"/>
      <c r="H2" s="774"/>
      <c r="I2" s="210" t="s">
        <v>7375</v>
      </c>
      <c r="J2" s="210" t="s">
        <v>7376</v>
      </c>
      <c r="K2" s="210" t="s">
        <v>7377</v>
      </c>
      <c r="L2" s="210" t="s">
        <v>7378</v>
      </c>
      <c r="M2" s="210" t="s">
        <v>7379</v>
      </c>
      <c r="N2" s="282" t="s">
        <v>1726</v>
      </c>
      <c r="O2" s="282" t="s">
        <v>1727</v>
      </c>
      <c r="P2" s="774"/>
      <c r="Q2" s="774"/>
      <c r="R2" s="774"/>
      <c r="S2" s="774"/>
      <c r="T2" s="774"/>
      <c r="U2" s="774"/>
      <c r="V2" s="774"/>
      <c r="W2" s="773"/>
      <c r="X2" s="773"/>
      <c r="Y2" s="281"/>
    </row>
    <row r="3" spans="1:25">
      <c r="A3" s="715" t="s">
        <v>7380</v>
      </c>
      <c r="B3" s="219" t="s">
        <v>7381</v>
      </c>
      <c r="C3" s="219" t="s">
        <v>7382</v>
      </c>
      <c r="D3" s="283" t="s">
        <v>7383</v>
      </c>
      <c r="E3" s="284" t="s">
        <v>1732</v>
      </c>
      <c r="F3" s="219" t="s">
        <v>7384</v>
      </c>
      <c r="G3" s="219"/>
      <c r="H3" s="219" t="s">
        <v>7385</v>
      </c>
      <c r="I3" s="285" t="s">
        <v>1736</v>
      </c>
      <c r="J3" s="286" t="s">
        <v>4913</v>
      </c>
      <c r="K3" s="286" t="s">
        <v>4913</v>
      </c>
      <c r="L3" s="286" t="s">
        <v>4913</v>
      </c>
      <c r="M3" s="286" t="s">
        <v>4913</v>
      </c>
      <c r="N3" s="287" t="s">
        <v>1737</v>
      </c>
      <c r="O3" s="287" t="s">
        <v>1737</v>
      </c>
      <c r="P3" s="219"/>
      <c r="Q3" s="219" t="s">
        <v>7386</v>
      </c>
      <c r="R3" s="219" t="s">
        <v>7387</v>
      </c>
      <c r="S3" s="219" t="s">
        <v>7388</v>
      </c>
      <c r="T3" s="219" t="s">
        <v>7389</v>
      </c>
      <c r="U3" s="219"/>
      <c r="V3" s="219"/>
      <c r="W3" s="219" t="s">
        <v>7388</v>
      </c>
      <c r="X3" s="36" t="s">
        <v>76</v>
      </c>
    </row>
    <row r="4" spans="1:25">
      <c r="A4" s="774"/>
      <c r="B4" s="219" t="s">
        <v>7390</v>
      </c>
      <c r="C4" s="219" t="s">
        <v>7391</v>
      </c>
      <c r="D4" s="283" t="s">
        <v>7392</v>
      </c>
      <c r="E4" s="284" t="s">
        <v>1732</v>
      </c>
      <c r="F4" s="219" t="s">
        <v>7384</v>
      </c>
      <c r="G4" s="219"/>
      <c r="H4" s="219" t="s">
        <v>7385</v>
      </c>
      <c r="I4" s="285" t="s">
        <v>1736</v>
      </c>
      <c r="J4" s="286" t="s">
        <v>4913</v>
      </c>
      <c r="K4" s="286" t="s">
        <v>4913</v>
      </c>
      <c r="L4" s="286" t="s">
        <v>4913</v>
      </c>
      <c r="M4" s="286" t="s">
        <v>4913</v>
      </c>
      <c r="N4" s="287" t="s">
        <v>1737</v>
      </c>
      <c r="O4" s="287" t="s">
        <v>1737</v>
      </c>
      <c r="P4" s="219"/>
      <c r="Q4" s="219" t="s">
        <v>7386</v>
      </c>
      <c r="R4" s="219" t="s">
        <v>7387</v>
      </c>
      <c r="S4" s="219" t="s">
        <v>7388</v>
      </c>
      <c r="T4" s="219" t="s">
        <v>7389</v>
      </c>
      <c r="U4" s="219"/>
      <c r="V4" s="219"/>
      <c r="W4" s="219" t="s">
        <v>7388</v>
      </c>
      <c r="X4" s="36" t="s">
        <v>7393</v>
      </c>
    </row>
    <row r="5" spans="1:25">
      <c r="A5" s="774"/>
      <c r="B5" s="219" t="s">
        <v>7394</v>
      </c>
      <c r="C5" s="219" t="s">
        <v>7395</v>
      </c>
      <c r="D5" s="283" t="s">
        <v>7396</v>
      </c>
      <c r="E5" s="284" t="s">
        <v>1732</v>
      </c>
      <c r="F5" s="219" t="s">
        <v>7384</v>
      </c>
      <c r="G5" s="219"/>
      <c r="H5" s="219" t="s">
        <v>7385</v>
      </c>
      <c r="I5" s="285" t="s">
        <v>1736</v>
      </c>
      <c r="J5" s="286" t="s">
        <v>4913</v>
      </c>
      <c r="K5" s="286" t="s">
        <v>4913</v>
      </c>
      <c r="L5" s="286" t="s">
        <v>4913</v>
      </c>
      <c r="M5" s="286" t="s">
        <v>4913</v>
      </c>
      <c r="N5" s="287" t="s">
        <v>1737</v>
      </c>
      <c r="O5" s="287" t="s">
        <v>1737</v>
      </c>
      <c r="P5" s="219"/>
      <c r="Q5" s="219" t="s">
        <v>7386</v>
      </c>
      <c r="R5" s="219" t="s">
        <v>7387</v>
      </c>
      <c r="S5" s="219" t="s">
        <v>7388</v>
      </c>
      <c r="T5" s="219" t="s">
        <v>7389</v>
      </c>
      <c r="U5" s="219"/>
      <c r="V5" s="219"/>
      <c r="W5" s="219" t="s">
        <v>7388</v>
      </c>
      <c r="X5" s="36" t="s">
        <v>76</v>
      </c>
    </row>
    <row r="6" spans="1:25">
      <c r="A6" s="774"/>
      <c r="B6" s="219" t="s">
        <v>7397</v>
      </c>
      <c r="C6" s="219" t="s">
        <v>7398</v>
      </c>
      <c r="D6" s="283" t="s">
        <v>7399</v>
      </c>
      <c r="E6" s="284" t="s">
        <v>1732</v>
      </c>
      <c r="F6" s="219" t="s">
        <v>7384</v>
      </c>
      <c r="G6" s="219"/>
      <c r="H6" s="219" t="s">
        <v>7385</v>
      </c>
      <c r="I6" s="285" t="s">
        <v>1736</v>
      </c>
      <c r="J6" s="286" t="s">
        <v>4913</v>
      </c>
      <c r="K6" s="286" t="s">
        <v>4913</v>
      </c>
      <c r="L6" s="286" t="s">
        <v>4913</v>
      </c>
      <c r="M6" s="286" t="s">
        <v>4913</v>
      </c>
      <c r="N6" s="287" t="s">
        <v>1737</v>
      </c>
      <c r="O6" s="287" t="s">
        <v>1737</v>
      </c>
      <c r="P6" s="219"/>
      <c r="Q6" s="219" t="s">
        <v>7386</v>
      </c>
      <c r="R6" s="219" t="s">
        <v>7387</v>
      </c>
      <c r="S6" s="219" t="s">
        <v>7388</v>
      </c>
      <c r="T6" s="219" t="s">
        <v>7389</v>
      </c>
      <c r="U6" s="219"/>
      <c r="V6" s="219"/>
      <c r="W6" s="219" t="s">
        <v>7388</v>
      </c>
      <c r="X6" s="36" t="s">
        <v>7393</v>
      </c>
    </row>
    <row r="7" spans="1:25">
      <c r="A7" s="774"/>
      <c r="B7" s="219" t="s">
        <v>7400</v>
      </c>
      <c r="C7" s="219" t="s">
        <v>7401</v>
      </c>
      <c r="D7" s="283" t="s">
        <v>7402</v>
      </c>
      <c r="E7" s="284" t="s">
        <v>1732</v>
      </c>
      <c r="F7" s="219" t="s">
        <v>7384</v>
      </c>
      <c r="G7" s="219"/>
      <c r="H7" s="219" t="s">
        <v>7385</v>
      </c>
      <c r="I7" s="285" t="s">
        <v>1736</v>
      </c>
      <c r="J7" s="286" t="s">
        <v>4913</v>
      </c>
      <c r="K7" s="286" t="s">
        <v>4913</v>
      </c>
      <c r="L7" s="286" t="s">
        <v>4913</v>
      </c>
      <c r="M7" s="286" t="s">
        <v>4913</v>
      </c>
      <c r="N7" s="287" t="s">
        <v>1737</v>
      </c>
      <c r="O7" s="287" t="s">
        <v>1737</v>
      </c>
      <c r="P7" s="219"/>
      <c r="Q7" s="219" t="s">
        <v>7386</v>
      </c>
      <c r="R7" s="219" t="s">
        <v>7387</v>
      </c>
      <c r="S7" s="219" t="s">
        <v>7388</v>
      </c>
      <c r="T7" s="219" t="s">
        <v>7389</v>
      </c>
      <c r="U7" s="219"/>
      <c r="V7" s="219"/>
      <c r="W7" s="219" t="s">
        <v>7388</v>
      </c>
      <c r="X7" s="36" t="s">
        <v>76</v>
      </c>
    </row>
    <row r="8" spans="1:25">
      <c r="A8" s="773"/>
      <c r="B8" s="219" t="s">
        <v>7403</v>
      </c>
      <c r="C8" s="219" t="s">
        <v>7404</v>
      </c>
      <c r="D8" s="283" t="s">
        <v>7405</v>
      </c>
      <c r="E8" s="284" t="s">
        <v>1732</v>
      </c>
      <c r="F8" s="219" t="s">
        <v>7384</v>
      </c>
      <c r="G8" s="219"/>
      <c r="H8" s="219" t="s">
        <v>7385</v>
      </c>
      <c r="I8" s="285" t="s">
        <v>1736</v>
      </c>
      <c r="J8" s="286" t="s">
        <v>4913</v>
      </c>
      <c r="K8" s="286" t="s">
        <v>4913</v>
      </c>
      <c r="L8" s="286" t="s">
        <v>4913</v>
      </c>
      <c r="M8" s="286" t="s">
        <v>4913</v>
      </c>
      <c r="N8" s="287" t="s">
        <v>1737</v>
      </c>
      <c r="O8" s="287" t="s">
        <v>1737</v>
      </c>
      <c r="P8" s="219"/>
      <c r="Q8" s="219" t="s">
        <v>7386</v>
      </c>
      <c r="R8" s="219" t="s">
        <v>7387</v>
      </c>
      <c r="S8" s="219" t="s">
        <v>7388</v>
      </c>
      <c r="T8" s="219" t="s">
        <v>7389</v>
      </c>
      <c r="U8" s="219"/>
      <c r="V8" s="219"/>
      <c r="W8" s="219" t="s">
        <v>7388</v>
      </c>
      <c r="X8" s="36" t="s">
        <v>7393</v>
      </c>
    </row>
    <row r="9" spans="1:25">
      <c r="A9" s="715" t="s">
        <v>7406</v>
      </c>
      <c r="B9" s="219" t="s">
        <v>7407</v>
      </c>
      <c r="C9" s="219" t="s">
        <v>7408</v>
      </c>
      <c r="D9" s="219" t="s">
        <v>7409</v>
      </c>
      <c r="E9" s="284" t="s">
        <v>1732</v>
      </c>
      <c r="F9" s="219" t="s">
        <v>7410</v>
      </c>
      <c r="G9" s="219" t="s">
        <v>7411</v>
      </c>
      <c r="H9" s="219" t="s">
        <v>7412</v>
      </c>
      <c r="I9" s="285" t="s">
        <v>1736</v>
      </c>
      <c r="J9" s="286" t="s">
        <v>4913</v>
      </c>
      <c r="K9" s="286" t="s">
        <v>4913</v>
      </c>
      <c r="L9" s="286" t="s">
        <v>4913</v>
      </c>
      <c r="M9" s="286" t="s">
        <v>4913</v>
      </c>
      <c r="N9" s="287" t="s">
        <v>1737</v>
      </c>
      <c r="O9" s="287" t="s">
        <v>1737</v>
      </c>
      <c r="P9" s="219"/>
      <c r="Q9" s="219" t="s">
        <v>7413</v>
      </c>
      <c r="R9" s="219" t="s">
        <v>7414</v>
      </c>
      <c r="S9" s="219" t="s">
        <v>7415</v>
      </c>
      <c r="T9" s="219" t="s">
        <v>7416</v>
      </c>
      <c r="U9" s="219"/>
      <c r="V9" s="219"/>
      <c r="W9" s="219" t="s">
        <v>7415</v>
      </c>
      <c r="X9" s="36" t="s">
        <v>76</v>
      </c>
    </row>
    <row r="10" spans="1:25">
      <c r="A10" s="774"/>
      <c r="B10" s="219" t="s">
        <v>7417</v>
      </c>
      <c r="C10" s="288" t="s">
        <v>7418</v>
      </c>
      <c r="D10" s="288" t="s">
        <v>7419</v>
      </c>
      <c r="E10" s="289" t="s">
        <v>1732</v>
      </c>
      <c r="F10" s="288" t="s">
        <v>7420</v>
      </c>
      <c r="G10" s="288"/>
      <c r="H10" s="288" t="s">
        <v>7421</v>
      </c>
      <c r="I10" s="289" t="s">
        <v>1736</v>
      </c>
      <c r="J10" s="289" t="s">
        <v>4913</v>
      </c>
      <c r="K10" s="289" t="s">
        <v>4913</v>
      </c>
      <c r="L10" s="289" t="s">
        <v>4913</v>
      </c>
      <c r="M10" s="289" t="s">
        <v>4913</v>
      </c>
      <c r="N10" s="290" t="s">
        <v>7372</v>
      </c>
      <c r="O10" s="290" t="s">
        <v>7372</v>
      </c>
      <c r="P10" s="288" t="s">
        <v>7422</v>
      </c>
      <c r="Q10" s="288"/>
      <c r="R10" s="288"/>
      <c r="S10" s="288"/>
      <c r="T10" s="288"/>
      <c r="U10" s="288"/>
      <c r="V10" s="288"/>
      <c r="W10" s="288"/>
      <c r="X10" s="36" t="s">
        <v>7393</v>
      </c>
    </row>
    <row r="11" spans="1:25">
      <c r="A11" s="774"/>
      <c r="B11" s="219" t="s">
        <v>7423</v>
      </c>
      <c r="C11" s="291" t="s">
        <v>7418</v>
      </c>
      <c r="D11" s="288" t="s">
        <v>7424</v>
      </c>
      <c r="E11" s="289" t="s">
        <v>1732</v>
      </c>
      <c r="F11" s="288" t="s">
        <v>7425</v>
      </c>
      <c r="G11" s="288"/>
      <c r="H11" s="288" t="s">
        <v>7426</v>
      </c>
      <c r="I11" s="289" t="s">
        <v>1736</v>
      </c>
      <c r="J11" s="289" t="s">
        <v>4913</v>
      </c>
      <c r="K11" s="289" t="s">
        <v>4913</v>
      </c>
      <c r="L11" s="289" t="s">
        <v>4913</v>
      </c>
      <c r="M11" s="289" t="s">
        <v>4913</v>
      </c>
      <c r="N11" s="290" t="s">
        <v>7372</v>
      </c>
      <c r="O11" s="290" t="s">
        <v>7372</v>
      </c>
      <c r="P11" s="288" t="s">
        <v>7422</v>
      </c>
      <c r="Q11" s="288"/>
      <c r="R11" s="288"/>
      <c r="S11" s="288"/>
      <c r="T11" s="288"/>
      <c r="U11" s="288"/>
      <c r="V11" s="288"/>
      <c r="W11" s="288"/>
      <c r="X11" s="36" t="s">
        <v>76</v>
      </c>
    </row>
    <row r="12" spans="1:25">
      <c r="A12" s="774"/>
      <c r="B12" s="219" t="s">
        <v>7427</v>
      </c>
      <c r="C12" s="288" t="s">
        <v>7418</v>
      </c>
      <c r="D12" s="288" t="s">
        <v>7428</v>
      </c>
      <c r="E12" s="289" t="s">
        <v>1732</v>
      </c>
      <c r="F12" s="288" t="s">
        <v>7429</v>
      </c>
      <c r="G12" s="288"/>
      <c r="H12" s="288" t="s">
        <v>7430</v>
      </c>
      <c r="I12" s="289" t="s">
        <v>1736</v>
      </c>
      <c r="J12" s="289" t="s">
        <v>4913</v>
      </c>
      <c r="K12" s="289" t="s">
        <v>4913</v>
      </c>
      <c r="L12" s="289" t="s">
        <v>4913</v>
      </c>
      <c r="M12" s="289" t="s">
        <v>4913</v>
      </c>
      <c r="N12" s="290" t="s">
        <v>7372</v>
      </c>
      <c r="O12" s="290" t="s">
        <v>7372</v>
      </c>
      <c r="P12" s="288" t="s">
        <v>7422</v>
      </c>
      <c r="Q12" s="288"/>
      <c r="R12" s="288"/>
      <c r="S12" s="288"/>
      <c r="T12" s="288"/>
      <c r="U12" s="288"/>
      <c r="V12" s="288"/>
      <c r="W12" s="288"/>
      <c r="X12" s="36" t="s">
        <v>7393</v>
      </c>
    </row>
    <row r="13" spans="1:25">
      <c r="A13" s="774"/>
      <c r="B13" s="219" t="s">
        <v>7431</v>
      </c>
      <c r="C13" s="288" t="s">
        <v>7418</v>
      </c>
      <c r="D13" s="288" t="s">
        <v>7432</v>
      </c>
      <c r="E13" s="289" t="s">
        <v>1732</v>
      </c>
      <c r="F13" s="288" t="s">
        <v>7433</v>
      </c>
      <c r="G13" s="288"/>
      <c r="H13" s="288" t="s">
        <v>7434</v>
      </c>
      <c r="I13" s="289" t="s">
        <v>1736</v>
      </c>
      <c r="J13" s="289" t="s">
        <v>4913</v>
      </c>
      <c r="K13" s="289" t="s">
        <v>4913</v>
      </c>
      <c r="L13" s="289" t="s">
        <v>4913</v>
      </c>
      <c r="M13" s="289" t="s">
        <v>4913</v>
      </c>
      <c r="N13" s="290" t="s">
        <v>7372</v>
      </c>
      <c r="O13" s="290" t="s">
        <v>7372</v>
      </c>
      <c r="P13" s="288" t="s">
        <v>7422</v>
      </c>
      <c r="Q13" s="288"/>
      <c r="R13" s="288"/>
      <c r="S13" s="288"/>
      <c r="T13" s="288"/>
      <c r="U13" s="288"/>
      <c r="V13" s="288"/>
      <c r="W13" s="288"/>
      <c r="X13" s="36" t="s">
        <v>76</v>
      </c>
    </row>
    <row r="14" spans="1:25">
      <c r="A14" s="774"/>
      <c r="B14" s="219" t="s">
        <v>7435</v>
      </c>
      <c r="C14" s="288" t="s">
        <v>7418</v>
      </c>
      <c r="D14" s="288" t="s">
        <v>7436</v>
      </c>
      <c r="E14" s="289" t="s">
        <v>1732</v>
      </c>
      <c r="F14" s="288" t="s">
        <v>7437</v>
      </c>
      <c r="G14" s="288"/>
      <c r="H14" s="288" t="s">
        <v>7438</v>
      </c>
      <c r="I14" s="289" t="s">
        <v>1736</v>
      </c>
      <c r="J14" s="289" t="s">
        <v>4913</v>
      </c>
      <c r="K14" s="289" t="s">
        <v>4913</v>
      </c>
      <c r="L14" s="289" t="s">
        <v>4913</v>
      </c>
      <c r="M14" s="289" t="s">
        <v>4913</v>
      </c>
      <c r="N14" s="290" t="s">
        <v>7372</v>
      </c>
      <c r="O14" s="290" t="s">
        <v>7372</v>
      </c>
      <c r="P14" s="288" t="s">
        <v>7422</v>
      </c>
      <c r="Q14" s="288"/>
      <c r="R14" s="288"/>
      <c r="S14" s="288"/>
      <c r="T14" s="288"/>
      <c r="U14" s="288"/>
      <c r="V14" s="288"/>
      <c r="W14" s="288"/>
      <c r="X14" s="36" t="s">
        <v>7393</v>
      </c>
    </row>
    <row r="15" spans="1:25">
      <c r="A15" s="774"/>
      <c r="B15" s="219" t="s">
        <v>7439</v>
      </c>
      <c r="C15" s="288" t="s">
        <v>7418</v>
      </c>
      <c r="D15" s="288" t="s">
        <v>7440</v>
      </c>
      <c r="E15" s="289" t="s">
        <v>1732</v>
      </c>
      <c r="F15" s="288" t="s">
        <v>7441</v>
      </c>
      <c r="G15" s="288"/>
      <c r="H15" s="288" t="s">
        <v>7442</v>
      </c>
      <c r="I15" s="289" t="s">
        <v>1736</v>
      </c>
      <c r="J15" s="289" t="s">
        <v>4913</v>
      </c>
      <c r="K15" s="289" t="s">
        <v>4913</v>
      </c>
      <c r="L15" s="289" t="s">
        <v>4913</v>
      </c>
      <c r="M15" s="289" t="s">
        <v>4913</v>
      </c>
      <c r="N15" s="290" t="s">
        <v>7372</v>
      </c>
      <c r="O15" s="290" t="s">
        <v>7372</v>
      </c>
      <c r="P15" s="288" t="s">
        <v>7422</v>
      </c>
      <c r="Q15" s="288"/>
      <c r="R15" s="288"/>
      <c r="S15" s="288"/>
      <c r="T15" s="288"/>
      <c r="U15" s="288"/>
      <c r="V15" s="288"/>
      <c r="W15" s="288"/>
      <c r="X15" s="36" t="s">
        <v>76</v>
      </c>
    </row>
    <row r="16" spans="1:25">
      <c r="A16" s="773"/>
      <c r="B16" s="219" t="s">
        <v>7443</v>
      </c>
      <c r="C16" s="288" t="s">
        <v>7418</v>
      </c>
      <c r="D16" s="288" t="s">
        <v>7444</v>
      </c>
      <c r="E16" s="289" t="s">
        <v>1732</v>
      </c>
      <c r="F16" s="288" t="s">
        <v>7444</v>
      </c>
      <c r="G16" s="288"/>
      <c r="H16" s="288" t="s">
        <v>7445</v>
      </c>
      <c r="I16" s="289" t="s">
        <v>1736</v>
      </c>
      <c r="J16" s="289" t="s">
        <v>4913</v>
      </c>
      <c r="K16" s="289" t="s">
        <v>4913</v>
      </c>
      <c r="L16" s="289" t="s">
        <v>4913</v>
      </c>
      <c r="M16" s="289" t="s">
        <v>4913</v>
      </c>
      <c r="N16" s="290" t="s">
        <v>7372</v>
      </c>
      <c r="O16" s="290" t="s">
        <v>7372</v>
      </c>
      <c r="P16" s="288" t="s">
        <v>7422</v>
      </c>
      <c r="Q16" s="288"/>
      <c r="R16" s="288"/>
      <c r="S16" s="288"/>
      <c r="T16" s="288"/>
      <c r="U16" s="288"/>
      <c r="V16" s="288"/>
      <c r="W16" s="288"/>
      <c r="X16" s="36" t="s">
        <v>7393</v>
      </c>
    </row>
    <row r="17" spans="1:24">
      <c r="A17" s="715" t="s">
        <v>7446</v>
      </c>
      <c r="B17" s="219" t="s">
        <v>7447</v>
      </c>
      <c r="C17" s="219" t="s">
        <v>7448</v>
      </c>
      <c r="D17" s="292" t="s">
        <v>7449</v>
      </c>
      <c r="E17" s="284" t="s">
        <v>1732</v>
      </c>
      <c r="F17" s="219" t="s">
        <v>7450</v>
      </c>
      <c r="G17" s="219"/>
      <c r="H17" s="219" t="s">
        <v>7451</v>
      </c>
      <c r="I17" s="285" t="s">
        <v>1736</v>
      </c>
      <c r="J17" s="286" t="s">
        <v>4913</v>
      </c>
      <c r="K17" s="286" t="s">
        <v>4913</v>
      </c>
      <c r="L17" s="286" t="s">
        <v>4913</v>
      </c>
      <c r="M17" s="286" t="s">
        <v>4913</v>
      </c>
      <c r="N17" s="287" t="s">
        <v>1737</v>
      </c>
      <c r="O17" s="287" t="s">
        <v>1737</v>
      </c>
      <c r="P17" s="219"/>
      <c r="Q17" s="219" t="s">
        <v>7452</v>
      </c>
      <c r="R17" s="219" t="s">
        <v>7453</v>
      </c>
      <c r="S17" s="219" t="s">
        <v>7415</v>
      </c>
      <c r="T17" s="219" t="s">
        <v>7454</v>
      </c>
      <c r="U17" s="219"/>
      <c r="V17" s="219"/>
      <c r="W17" s="219" t="s">
        <v>7415</v>
      </c>
      <c r="X17" s="36" t="s">
        <v>76</v>
      </c>
    </row>
    <row r="18" spans="1:24">
      <c r="A18" s="773"/>
      <c r="B18" s="219" t="s">
        <v>7455</v>
      </c>
      <c r="C18" s="219" t="s">
        <v>7456</v>
      </c>
      <c r="D18" s="292" t="s">
        <v>7457</v>
      </c>
      <c r="E18" s="284" t="s">
        <v>1732</v>
      </c>
      <c r="F18" s="219" t="s">
        <v>7458</v>
      </c>
      <c r="G18" s="219" t="s">
        <v>7459</v>
      </c>
      <c r="H18" s="219" t="s">
        <v>7460</v>
      </c>
      <c r="I18" s="285" t="s">
        <v>1736</v>
      </c>
      <c r="J18" s="286" t="s">
        <v>4913</v>
      </c>
      <c r="K18" s="286" t="s">
        <v>4913</v>
      </c>
      <c r="L18" s="286" t="s">
        <v>4913</v>
      </c>
      <c r="M18" s="286" t="s">
        <v>4913</v>
      </c>
      <c r="N18" s="287" t="s">
        <v>1737</v>
      </c>
      <c r="O18" s="287" t="s">
        <v>1737</v>
      </c>
      <c r="P18" s="219"/>
      <c r="Q18" s="219" t="s">
        <v>7452</v>
      </c>
      <c r="R18" s="219" t="s">
        <v>7461</v>
      </c>
      <c r="S18" s="219" t="s">
        <v>7415</v>
      </c>
      <c r="T18" s="219" t="s">
        <v>7462</v>
      </c>
      <c r="U18" s="219"/>
      <c r="V18" s="219"/>
      <c r="W18" s="219" t="s">
        <v>7415</v>
      </c>
      <c r="X18" s="36" t="s">
        <v>7393</v>
      </c>
    </row>
    <row r="19" spans="1:24">
      <c r="A19" s="715" t="s">
        <v>7463</v>
      </c>
      <c r="B19" s="219" t="s">
        <v>7464</v>
      </c>
      <c r="C19" s="219" t="s">
        <v>7465</v>
      </c>
      <c r="D19" s="292" t="s">
        <v>7466</v>
      </c>
      <c r="E19" s="284" t="s">
        <v>1732</v>
      </c>
      <c r="F19" s="219" t="s">
        <v>7467</v>
      </c>
      <c r="G19" s="219" t="s">
        <v>7468</v>
      </c>
      <c r="H19" s="219" t="s">
        <v>7469</v>
      </c>
      <c r="I19" s="285" t="s">
        <v>1736</v>
      </c>
      <c r="J19" s="286" t="s">
        <v>4913</v>
      </c>
      <c r="K19" s="285" t="s">
        <v>1736</v>
      </c>
      <c r="L19" s="285" t="s">
        <v>1736</v>
      </c>
      <c r="M19" s="286" t="s">
        <v>4913</v>
      </c>
      <c r="N19" s="287" t="s">
        <v>1737</v>
      </c>
      <c r="O19" s="287" t="s">
        <v>1737</v>
      </c>
      <c r="P19" s="219"/>
      <c r="Q19" s="219" t="s">
        <v>7470</v>
      </c>
      <c r="R19" s="219" t="s">
        <v>7471</v>
      </c>
      <c r="S19" s="219" t="s">
        <v>7415</v>
      </c>
      <c r="T19" s="219" t="s">
        <v>7472</v>
      </c>
      <c r="U19" s="219"/>
      <c r="V19" s="219"/>
      <c r="W19" s="219" t="s">
        <v>7415</v>
      </c>
      <c r="X19" s="36" t="s">
        <v>76</v>
      </c>
    </row>
    <row r="20" spans="1:24">
      <c r="A20" s="774"/>
      <c r="B20" s="219" t="s">
        <v>7473</v>
      </c>
      <c r="C20" s="219" t="s">
        <v>7474</v>
      </c>
      <c r="D20" s="219" t="s">
        <v>7475</v>
      </c>
      <c r="E20" s="284" t="s">
        <v>1732</v>
      </c>
      <c r="F20" s="219" t="s">
        <v>7476</v>
      </c>
      <c r="G20" s="219"/>
      <c r="H20" s="219" t="s">
        <v>7477</v>
      </c>
      <c r="I20" s="285" t="s">
        <v>1736</v>
      </c>
      <c r="J20" s="286" t="s">
        <v>4913</v>
      </c>
      <c r="K20" s="286" t="s">
        <v>4913</v>
      </c>
      <c r="L20" s="285" t="s">
        <v>1736</v>
      </c>
      <c r="M20" s="286" t="s">
        <v>4913</v>
      </c>
      <c r="N20" s="287" t="s">
        <v>1737</v>
      </c>
      <c r="O20" s="287" t="s">
        <v>1737</v>
      </c>
      <c r="P20" s="219"/>
      <c r="Q20" s="219" t="s">
        <v>7478</v>
      </c>
      <c r="R20" s="219" t="s">
        <v>7479</v>
      </c>
      <c r="S20" s="219" t="s">
        <v>7415</v>
      </c>
      <c r="T20" s="219" t="s">
        <v>7480</v>
      </c>
      <c r="U20" s="219"/>
      <c r="V20" s="219"/>
      <c r="W20" s="219" t="s">
        <v>7415</v>
      </c>
      <c r="X20" s="36" t="s">
        <v>7393</v>
      </c>
    </row>
    <row r="21" spans="1:24">
      <c r="A21" s="774"/>
      <c r="B21" s="219" t="s">
        <v>7481</v>
      </c>
      <c r="C21" s="219" t="s">
        <v>7482</v>
      </c>
      <c r="D21" s="219" t="s">
        <v>7475</v>
      </c>
      <c r="E21" s="284" t="s">
        <v>1732</v>
      </c>
      <c r="F21" s="219" t="s">
        <v>7476</v>
      </c>
      <c r="G21" s="219"/>
      <c r="H21" s="219" t="s">
        <v>7477</v>
      </c>
      <c r="I21" s="285" t="s">
        <v>1736</v>
      </c>
      <c r="J21" s="286" t="s">
        <v>4913</v>
      </c>
      <c r="K21" s="286" t="s">
        <v>4913</v>
      </c>
      <c r="L21" s="285" t="s">
        <v>1736</v>
      </c>
      <c r="M21" s="286" t="s">
        <v>4913</v>
      </c>
      <c r="N21" s="287" t="s">
        <v>1737</v>
      </c>
      <c r="O21" s="287" t="s">
        <v>1737</v>
      </c>
      <c r="P21" s="219"/>
      <c r="Q21" s="219" t="s">
        <v>7478</v>
      </c>
      <c r="R21" s="219" t="s">
        <v>7483</v>
      </c>
      <c r="S21" s="219" t="s">
        <v>7415</v>
      </c>
      <c r="T21" s="219" t="s">
        <v>7484</v>
      </c>
      <c r="U21" s="219"/>
      <c r="V21" s="219"/>
      <c r="W21" s="219" t="s">
        <v>7415</v>
      </c>
      <c r="X21" s="36" t="s">
        <v>76</v>
      </c>
    </row>
    <row r="22" spans="1:24">
      <c r="A22" s="774"/>
      <c r="B22" s="219" t="s">
        <v>7485</v>
      </c>
      <c r="C22" s="219" t="s">
        <v>7486</v>
      </c>
      <c r="D22" s="219" t="s">
        <v>7475</v>
      </c>
      <c r="E22" s="284" t="s">
        <v>1732</v>
      </c>
      <c r="F22" s="219" t="s">
        <v>7476</v>
      </c>
      <c r="G22" s="219"/>
      <c r="H22" s="219" t="s">
        <v>7477</v>
      </c>
      <c r="I22" s="285" t="s">
        <v>1736</v>
      </c>
      <c r="J22" s="286" t="s">
        <v>4913</v>
      </c>
      <c r="K22" s="286" t="s">
        <v>4913</v>
      </c>
      <c r="L22" s="285" t="s">
        <v>1736</v>
      </c>
      <c r="M22" s="286" t="s">
        <v>4913</v>
      </c>
      <c r="N22" s="287" t="s">
        <v>1737</v>
      </c>
      <c r="O22" s="287" t="s">
        <v>1737</v>
      </c>
      <c r="P22" s="219"/>
      <c r="Q22" s="219" t="s">
        <v>7478</v>
      </c>
      <c r="R22" s="219" t="s">
        <v>7487</v>
      </c>
      <c r="S22" s="219" t="s">
        <v>7415</v>
      </c>
      <c r="T22" s="219" t="s">
        <v>7488</v>
      </c>
      <c r="U22" s="219"/>
      <c r="V22" s="219"/>
      <c r="W22" s="219" t="s">
        <v>7415</v>
      </c>
      <c r="X22" s="36" t="s">
        <v>7393</v>
      </c>
    </row>
    <row r="23" spans="1:24">
      <c r="A23" s="774"/>
      <c r="B23" s="219" t="s">
        <v>7489</v>
      </c>
      <c r="C23" s="219" t="s">
        <v>7490</v>
      </c>
      <c r="D23" s="219" t="s">
        <v>7491</v>
      </c>
      <c r="E23" s="284" t="s">
        <v>1743</v>
      </c>
      <c r="F23" s="219" t="s">
        <v>7492</v>
      </c>
      <c r="G23" s="219"/>
      <c r="H23" s="219" t="s">
        <v>7493</v>
      </c>
      <c r="I23" s="285" t="s">
        <v>1736</v>
      </c>
      <c r="J23" s="286" t="s">
        <v>4913</v>
      </c>
      <c r="K23" s="286" t="s">
        <v>4913</v>
      </c>
      <c r="L23" s="285" t="s">
        <v>1736</v>
      </c>
      <c r="M23" s="286" t="s">
        <v>4913</v>
      </c>
      <c r="N23" s="287" t="s">
        <v>1737</v>
      </c>
      <c r="O23" s="287" t="s">
        <v>1737</v>
      </c>
      <c r="P23" s="219"/>
      <c r="Q23" s="219" t="s">
        <v>7478</v>
      </c>
      <c r="R23" s="219" t="s">
        <v>7494</v>
      </c>
      <c r="S23" s="219" t="s">
        <v>7495</v>
      </c>
      <c r="T23" s="219" t="s">
        <v>7496</v>
      </c>
      <c r="U23" s="219"/>
      <c r="V23" s="219"/>
      <c r="W23" s="219" t="s">
        <v>7495</v>
      </c>
      <c r="X23" s="36" t="s">
        <v>76</v>
      </c>
    </row>
    <row r="24" spans="1:24">
      <c r="A24" s="774"/>
      <c r="B24" s="219" t="s">
        <v>7497</v>
      </c>
      <c r="C24" s="219" t="s">
        <v>7498</v>
      </c>
      <c r="D24" s="219"/>
      <c r="E24" s="284" t="s">
        <v>1732</v>
      </c>
      <c r="F24" s="219" t="s">
        <v>7499</v>
      </c>
      <c r="G24" s="219"/>
      <c r="H24" s="219" t="s">
        <v>7500</v>
      </c>
      <c r="I24" s="285" t="s">
        <v>1736</v>
      </c>
      <c r="J24" s="285" t="s">
        <v>1736</v>
      </c>
      <c r="K24" s="286" t="s">
        <v>4913</v>
      </c>
      <c r="L24" s="286" t="s">
        <v>4913</v>
      </c>
      <c r="M24" s="286" t="s">
        <v>4913</v>
      </c>
      <c r="N24" s="287" t="s">
        <v>1737</v>
      </c>
      <c r="O24" s="287" t="s">
        <v>1737</v>
      </c>
      <c r="P24" s="219"/>
      <c r="Q24" s="219" t="s">
        <v>7501</v>
      </c>
      <c r="R24" s="219" t="s">
        <v>7502</v>
      </c>
      <c r="S24" s="219" t="s">
        <v>7415</v>
      </c>
      <c r="T24" s="219" t="s">
        <v>7503</v>
      </c>
      <c r="U24" s="219"/>
      <c r="V24" s="219"/>
      <c r="W24" s="219" t="s">
        <v>7415</v>
      </c>
      <c r="X24" s="36" t="s">
        <v>7393</v>
      </c>
    </row>
    <row r="25" spans="1:24">
      <c r="A25" s="774"/>
      <c r="B25" s="219" t="s">
        <v>7504</v>
      </c>
      <c r="C25" s="219" t="s">
        <v>7505</v>
      </c>
      <c r="D25" s="219"/>
      <c r="E25" s="284" t="s">
        <v>1732</v>
      </c>
      <c r="F25" s="219" t="s">
        <v>7506</v>
      </c>
      <c r="G25" s="219"/>
      <c r="H25" s="219" t="s">
        <v>7507</v>
      </c>
      <c r="I25" s="285" t="s">
        <v>1736</v>
      </c>
      <c r="J25" s="286" t="s">
        <v>4913</v>
      </c>
      <c r="K25" s="286" t="s">
        <v>4913</v>
      </c>
      <c r="L25" s="285" t="s">
        <v>1736</v>
      </c>
      <c r="M25" s="286" t="s">
        <v>4913</v>
      </c>
      <c r="N25" s="287" t="s">
        <v>1737</v>
      </c>
      <c r="O25" s="287" t="s">
        <v>1737</v>
      </c>
      <c r="P25" s="219"/>
      <c r="Q25" s="219" t="s">
        <v>7478</v>
      </c>
      <c r="R25" s="219" t="s">
        <v>7508</v>
      </c>
      <c r="S25" s="219" t="s">
        <v>7415</v>
      </c>
      <c r="T25" s="219" t="s">
        <v>7509</v>
      </c>
      <c r="U25" s="219"/>
      <c r="V25" s="219"/>
      <c r="W25" s="219" t="s">
        <v>7415</v>
      </c>
      <c r="X25" s="36" t="s">
        <v>76</v>
      </c>
    </row>
    <row r="26" spans="1:24">
      <c r="A26" s="774"/>
      <c r="B26" s="219" t="s">
        <v>7510</v>
      </c>
      <c r="C26" s="219" t="s">
        <v>7511</v>
      </c>
      <c r="D26" s="219"/>
      <c r="E26" s="284" t="s">
        <v>1743</v>
      </c>
      <c r="F26" s="219" t="s">
        <v>7506</v>
      </c>
      <c r="G26" s="219"/>
      <c r="H26" s="219" t="s">
        <v>7512</v>
      </c>
      <c r="I26" s="285" t="s">
        <v>1736</v>
      </c>
      <c r="J26" s="286" t="s">
        <v>4913</v>
      </c>
      <c r="K26" s="286" t="s">
        <v>4913</v>
      </c>
      <c r="L26" s="285" t="s">
        <v>1736</v>
      </c>
      <c r="M26" s="286" t="s">
        <v>4913</v>
      </c>
      <c r="N26" s="287" t="s">
        <v>1737</v>
      </c>
      <c r="O26" s="287" t="s">
        <v>1737</v>
      </c>
      <c r="P26" s="219"/>
      <c r="Q26" s="219" t="s">
        <v>7478</v>
      </c>
      <c r="R26" s="219" t="s">
        <v>7513</v>
      </c>
      <c r="S26" s="219" t="s">
        <v>7415</v>
      </c>
      <c r="T26" s="219" t="s">
        <v>7514</v>
      </c>
      <c r="U26" s="219"/>
      <c r="V26" s="219"/>
      <c r="W26" s="219" t="s">
        <v>7415</v>
      </c>
      <c r="X26" s="36" t="s">
        <v>7393</v>
      </c>
    </row>
    <row r="27" spans="1:24">
      <c r="A27" s="774"/>
      <c r="B27" s="219" t="s">
        <v>7515</v>
      </c>
      <c r="C27" s="219" t="s">
        <v>7516</v>
      </c>
      <c r="D27" s="219"/>
      <c r="E27" s="284" t="s">
        <v>1732</v>
      </c>
      <c r="F27" s="219" t="s">
        <v>7517</v>
      </c>
      <c r="G27" s="219"/>
      <c r="H27" s="219" t="s">
        <v>7518</v>
      </c>
      <c r="I27" s="285" t="s">
        <v>1736</v>
      </c>
      <c r="J27" s="286" t="s">
        <v>4913</v>
      </c>
      <c r="K27" s="286" t="s">
        <v>4913</v>
      </c>
      <c r="L27" s="285" t="s">
        <v>1736</v>
      </c>
      <c r="M27" s="286" t="s">
        <v>4913</v>
      </c>
      <c r="N27" s="287" t="s">
        <v>1737</v>
      </c>
      <c r="O27" s="287" t="s">
        <v>1737</v>
      </c>
      <c r="P27" s="219"/>
      <c r="Q27" s="219" t="s">
        <v>7519</v>
      </c>
      <c r="R27" s="219" t="s">
        <v>7520</v>
      </c>
      <c r="S27" s="219" t="s">
        <v>7415</v>
      </c>
      <c r="T27" s="219" t="s">
        <v>7521</v>
      </c>
      <c r="U27" s="219"/>
      <c r="V27" s="219"/>
      <c r="W27" s="219" t="s">
        <v>7415</v>
      </c>
      <c r="X27" s="36" t="s">
        <v>76</v>
      </c>
    </row>
    <row r="28" spans="1:24">
      <c r="A28" s="774"/>
      <c r="B28" s="219" t="s">
        <v>7522</v>
      </c>
      <c r="C28" s="219" t="s">
        <v>7523</v>
      </c>
      <c r="D28" s="219"/>
      <c r="E28" s="284" t="s">
        <v>1743</v>
      </c>
      <c r="F28" s="219" t="s">
        <v>7517</v>
      </c>
      <c r="G28" s="219"/>
      <c r="H28" s="219" t="s">
        <v>7524</v>
      </c>
      <c r="I28" s="285" t="s">
        <v>1736</v>
      </c>
      <c r="J28" s="286" t="s">
        <v>4913</v>
      </c>
      <c r="K28" s="286" t="s">
        <v>4913</v>
      </c>
      <c r="L28" s="285" t="s">
        <v>1736</v>
      </c>
      <c r="M28" s="286" t="s">
        <v>4913</v>
      </c>
      <c r="N28" s="287" t="s">
        <v>1737</v>
      </c>
      <c r="O28" s="287" t="s">
        <v>1737</v>
      </c>
      <c r="P28" s="219"/>
      <c r="Q28" s="219" t="s">
        <v>7519</v>
      </c>
      <c r="R28" s="219" t="s">
        <v>7525</v>
      </c>
      <c r="S28" s="219" t="s">
        <v>7388</v>
      </c>
      <c r="T28" s="219" t="s">
        <v>7526</v>
      </c>
      <c r="U28" s="219"/>
      <c r="V28" s="219"/>
      <c r="W28" s="219" t="s">
        <v>7388</v>
      </c>
      <c r="X28" s="36" t="s">
        <v>7393</v>
      </c>
    </row>
    <row r="29" spans="1:24">
      <c r="A29" s="774"/>
      <c r="B29" s="219" t="s">
        <v>7527</v>
      </c>
      <c r="C29" s="219" t="s">
        <v>7528</v>
      </c>
      <c r="D29" s="219"/>
      <c r="E29" s="284" t="s">
        <v>1743</v>
      </c>
      <c r="F29" s="219" t="s">
        <v>7517</v>
      </c>
      <c r="G29" s="219"/>
      <c r="H29" s="219" t="s">
        <v>7524</v>
      </c>
      <c r="I29" s="285" t="s">
        <v>1736</v>
      </c>
      <c r="J29" s="286" t="s">
        <v>4913</v>
      </c>
      <c r="K29" s="286" t="s">
        <v>4913</v>
      </c>
      <c r="L29" s="286" t="s">
        <v>4913</v>
      </c>
      <c r="M29" s="286" t="s">
        <v>4913</v>
      </c>
      <c r="N29" s="287" t="s">
        <v>1737</v>
      </c>
      <c r="O29" s="287" t="s">
        <v>1737</v>
      </c>
      <c r="P29" s="219"/>
      <c r="Q29" s="219" t="s">
        <v>7529</v>
      </c>
      <c r="R29" s="219" t="s">
        <v>7530</v>
      </c>
      <c r="S29" s="219" t="s">
        <v>7495</v>
      </c>
      <c r="T29" s="219" t="s">
        <v>7531</v>
      </c>
      <c r="U29" s="219"/>
      <c r="V29" s="219"/>
      <c r="W29" s="219" t="s">
        <v>7495</v>
      </c>
      <c r="X29" s="36" t="s">
        <v>76</v>
      </c>
    </row>
    <row r="30" spans="1:24">
      <c r="A30" s="773"/>
      <c r="B30" s="219" t="s">
        <v>7532</v>
      </c>
      <c r="C30" s="219" t="s">
        <v>7533</v>
      </c>
      <c r="D30" s="219"/>
      <c r="E30" s="284" t="s">
        <v>1732</v>
      </c>
      <c r="F30" s="219" t="s">
        <v>7534</v>
      </c>
      <c r="G30" s="219"/>
      <c r="H30" s="219" t="s">
        <v>7535</v>
      </c>
      <c r="I30" s="285" t="s">
        <v>1736</v>
      </c>
      <c r="J30" s="286" t="s">
        <v>4913</v>
      </c>
      <c r="K30" s="286" t="s">
        <v>4913</v>
      </c>
      <c r="L30" s="286" t="s">
        <v>4913</v>
      </c>
      <c r="M30" s="286" t="s">
        <v>4913</v>
      </c>
      <c r="N30" s="287" t="s">
        <v>1737</v>
      </c>
      <c r="O30" s="287" t="s">
        <v>1737</v>
      </c>
      <c r="P30" s="219"/>
      <c r="Q30" s="219" t="s">
        <v>7536</v>
      </c>
      <c r="R30" s="219" t="s">
        <v>7537</v>
      </c>
      <c r="S30" s="219" t="s">
        <v>7388</v>
      </c>
      <c r="T30" s="219" t="s">
        <v>7538</v>
      </c>
      <c r="U30" s="219"/>
      <c r="V30" s="219"/>
      <c r="W30" s="219" t="s">
        <v>7388</v>
      </c>
      <c r="X30" s="36" t="s">
        <v>7393</v>
      </c>
    </row>
    <row r="31" spans="1:24">
      <c r="A31" s="715" t="s">
        <v>7539</v>
      </c>
      <c r="B31" s="219" t="s">
        <v>7540</v>
      </c>
      <c r="C31" s="219" t="s">
        <v>7541</v>
      </c>
      <c r="D31" s="219"/>
      <c r="E31" s="284" t="s">
        <v>1732</v>
      </c>
      <c r="F31" s="219" t="s">
        <v>7542</v>
      </c>
      <c r="G31" s="219"/>
      <c r="H31" s="219" t="s">
        <v>7543</v>
      </c>
      <c r="I31" s="285" t="s">
        <v>1736</v>
      </c>
      <c r="J31" s="286" t="s">
        <v>4913</v>
      </c>
      <c r="K31" s="286" t="s">
        <v>4913</v>
      </c>
      <c r="L31" s="285" t="s">
        <v>1736</v>
      </c>
      <c r="M31" s="286" t="s">
        <v>4913</v>
      </c>
      <c r="N31" s="287" t="s">
        <v>1737</v>
      </c>
      <c r="O31" s="287" t="s">
        <v>1737</v>
      </c>
      <c r="P31" s="219"/>
      <c r="Q31" s="219" t="s">
        <v>7544</v>
      </c>
      <c r="R31" s="219" t="s">
        <v>7545</v>
      </c>
      <c r="S31" s="219" t="s">
        <v>7388</v>
      </c>
      <c r="T31" s="219" t="s">
        <v>7546</v>
      </c>
      <c r="U31" s="219"/>
      <c r="V31" s="219"/>
      <c r="W31" s="219" t="s">
        <v>7388</v>
      </c>
      <c r="X31" s="36" t="s">
        <v>76</v>
      </c>
    </row>
    <row r="32" spans="1:24">
      <c r="A32" s="774"/>
      <c r="B32" s="219" t="s">
        <v>7547</v>
      </c>
      <c r="C32" s="219" t="s">
        <v>7548</v>
      </c>
      <c r="D32" s="219"/>
      <c r="E32" s="284" t="s">
        <v>1743</v>
      </c>
      <c r="F32" s="219" t="s">
        <v>7549</v>
      </c>
      <c r="G32" s="219"/>
      <c r="H32" s="219" t="s">
        <v>7550</v>
      </c>
      <c r="I32" s="285" t="s">
        <v>1736</v>
      </c>
      <c r="J32" s="286" t="s">
        <v>4913</v>
      </c>
      <c r="K32" s="286" t="s">
        <v>4913</v>
      </c>
      <c r="L32" s="286" t="s">
        <v>4913</v>
      </c>
      <c r="M32" s="286" t="s">
        <v>4913</v>
      </c>
      <c r="N32" s="287" t="s">
        <v>1737</v>
      </c>
      <c r="O32" s="287" t="s">
        <v>1737</v>
      </c>
      <c r="P32" s="219"/>
      <c r="Q32" s="219" t="s">
        <v>7551</v>
      </c>
      <c r="R32" s="219" t="s">
        <v>7552</v>
      </c>
      <c r="S32" s="219" t="s">
        <v>7388</v>
      </c>
      <c r="T32" s="219" t="s">
        <v>7553</v>
      </c>
      <c r="U32" s="219"/>
      <c r="V32" s="219"/>
      <c r="W32" s="219" t="s">
        <v>7388</v>
      </c>
      <c r="X32" s="36" t="s">
        <v>7393</v>
      </c>
    </row>
    <row r="33" spans="1:24">
      <c r="A33" s="774"/>
      <c r="B33" s="219" t="s">
        <v>7554</v>
      </c>
      <c r="C33" s="219" t="s">
        <v>7555</v>
      </c>
      <c r="D33" s="219"/>
      <c r="E33" s="284" t="s">
        <v>1732</v>
      </c>
      <c r="F33" s="219" t="s">
        <v>7556</v>
      </c>
      <c r="G33" s="219"/>
      <c r="H33" s="219" t="s">
        <v>7557</v>
      </c>
      <c r="I33" s="285" t="s">
        <v>1736</v>
      </c>
      <c r="J33" s="286" t="s">
        <v>4913</v>
      </c>
      <c r="K33" s="286" t="s">
        <v>4913</v>
      </c>
      <c r="L33" s="285" t="s">
        <v>1736</v>
      </c>
      <c r="M33" s="286" t="s">
        <v>4913</v>
      </c>
      <c r="N33" s="287" t="s">
        <v>1737</v>
      </c>
      <c r="O33" s="287" t="s">
        <v>1737</v>
      </c>
      <c r="P33" s="219"/>
      <c r="Q33" s="219" t="s">
        <v>7558</v>
      </c>
      <c r="R33" s="219" t="s">
        <v>7559</v>
      </c>
      <c r="S33" s="219" t="s">
        <v>7388</v>
      </c>
      <c r="T33" s="219" t="s">
        <v>7560</v>
      </c>
      <c r="U33" s="219"/>
      <c r="V33" s="219"/>
      <c r="W33" s="219" t="s">
        <v>7388</v>
      </c>
      <c r="X33" s="36" t="s">
        <v>76</v>
      </c>
    </row>
    <row r="34" spans="1:24">
      <c r="A34" s="774"/>
      <c r="B34" s="219" t="s">
        <v>7561</v>
      </c>
      <c r="C34" s="219" t="s">
        <v>7562</v>
      </c>
      <c r="D34" s="219"/>
      <c r="E34" s="284" t="s">
        <v>1732</v>
      </c>
      <c r="F34" s="219" t="s">
        <v>7563</v>
      </c>
      <c r="G34" s="219"/>
      <c r="H34" s="219" t="s">
        <v>7564</v>
      </c>
      <c r="I34" s="285" t="s">
        <v>1736</v>
      </c>
      <c r="J34" s="286" t="s">
        <v>4913</v>
      </c>
      <c r="K34" s="286" t="s">
        <v>4913</v>
      </c>
      <c r="L34" s="285" t="s">
        <v>1736</v>
      </c>
      <c r="M34" s="286" t="s">
        <v>4913</v>
      </c>
      <c r="N34" s="287" t="s">
        <v>1737</v>
      </c>
      <c r="O34" s="287" t="s">
        <v>1737</v>
      </c>
      <c r="P34" s="219"/>
      <c r="Q34" s="219" t="s">
        <v>7558</v>
      </c>
      <c r="R34" s="219" t="s">
        <v>7565</v>
      </c>
      <c r="S34" s="219" t="s">
        <v>7388</v>
      </c>
      <c r="T34" s="219" t="s">
        <v>7566</v>
      </c>
      <c r="U34" s="219"/>
      <c r="V34" s="219"/>
      <c r="W34" s="219" t="s">
        <v>7388</v>
      </c>
      <c r="X34" s="36" t="s">
        <v>7393</v>
      </c>
    </row>
    <row r="35" spans="1:24">
      <c r="A35" s="774"/>
      <c r="B35" s="219" t="s">
        <v>7567</v>
      </c>
      <c r="C35" s="219" t="s">
        <v>7568</v>
      </c>
      <c r="D35" s="219"/>
      <c r="E35" s="284" t="s">
        <v>1732</v>
      </c>
      <c r="F35" s="219" t="s">
        <v>7569</v>
      </c>
      <c r="G35" s="219"/>
      <c r="H35" s="219" t="s">
        <v>7570</v>
      </c>
      <c r="I35" s="285" t="s">
        <v>1736</v>
      </c>
      <c r="J35" s="286" t="s">
        <v>4913</v>
      </c>
      <c r="K35" s="286" t="s">
        <v>4913</v>
      </c>
      <c r="L35" s="286" t="s">
        <v>4913</v>
      </c>
      <c r="M35" s="286" t="s">
        <v>4913</v>
      </c>
      <c r="N35" s="287" t="s">
        <v>1737</v>
      </c>
      <c r="O35" s="287" t="s">
        <v>1737</v>
      </c>
      <c r="P35" s="219"/>
      <c r="Q35" s="219" t="s">
        <v>7544</v>
      </c>
      <c r="R35" s="219" t="s">
        <v>7571</v>
      </c>
      <c r="S35" s="219" t="s">
        <v>7388</v>
      </c>
      <c r="T35" s="219" t="s">
        <v>7572</v>
      </c>
      <c r="U35" s="219"/>
      <c r="V35" s="219"/>
      <c r="W35" s="219" t="s">
        <v>7388</v>
      </c>
      <c r="X35" s="36" t="s">
        <v>76</v>
      </c>
    </row>
    <row r="36" spans="1:24">
      <c r="A36" s="774"/>
      <c r="B36" s="219" t="s">
        <v>7573</v>
      </c>
      <c r="C36" s="219" t="s">
        <v>7574</v>
      </c>
      <c r="D36" s="219"/>
      <c r="E36" s="284" t="s">
        <v>1743</v>
      </c>
      <c r="F36" s="219" t="s">
        <v>7569</v>
      </c>
      <c r="G36" s="219"/>
      <c r="H36" s="219" t="s">
        <v>7575</v>
      </c>
      <c r="I36" s="285" t="s">
        <v>1736</v>
      </c>
      <c r="J36" s="286" t="s">
        <v>4913</v>
      </c>
      <c r="K36" s="286" t="s">
        <v>4913</v>
      </c>
      <c r="L36" s="286" t="s">
        <v>4913</v>
      </c>
      <c r="M36" s="286" t="s">
        <v>4913</v>
      </c>
      <c r="N36" s="287" t="s">
        <v>1737</v>
      </c>
      <c r="O36" s="287" t="s">
        <v>1737</v>
      </c>
      <c r="P36" s="219"/>
      <c r="Q36" s="219" t="s">
        <v>7576</v>
      </c>
      <c r="R36" s="219" t="s">
        <v>7577</v>
      </c>
      <c r="S36" s="219" t="s">
        <v>7495</v>
      </c>
      <c r="T36" s="219" t="s">
        <v>7578</v>
      </c>
      <c r="U36" s="219"/>
      <c r="V36" s="219"/>
      <c r="W36" s="219" t="s">
        <v>7495</v>
      </c>
      <c r="X36" s="36" t="s">
        <v>7393</v>
      </c>
    </row>
    <row r="37" spans="1:24">
      <c r="A37" s="774"/>
      <c r="B37" s="219" t="s">
        <v>7579</v>
      </c>
      <c r="C37" s="219" t="s">
        <v>7580</v>
      </c>
      <c r="D37" s="219"/>
      <c r="E37" s="284" t="s">
        <v>1732</v>
      </c>
      <c r="F37" s="219" t="s">
        <v>7581</v>
      </c>
      <c r="G37" s="219"/>
      <c r="H37" s="219" t="s">
        <v>7582</v>
      </c>
      <c r="I37" s="285" t="s">
        <v>1736</v>
      </c>
      <c r="J37" s="286" t="s">
        <v>4913</v>
      </c>
      <c r="K37" s="286" t="s">
        <v>4913</v>
      </c>
      <c r="L37" s="286" t="s">
        <v>4913</v>
      </c>
      <c r="M37" s="286" t="s">
        <v>4913</v>
      </c>
      <c r="N37" s="287" t="s">
        <v>1737</v>
      </c>
      <c r="O37" s="287" t="s">
        <v>1737</v>
      </c>
      <c r="P37" s="219"/>
      <c r="Q37" s="219" t="s">
        <v>7583</v>
      </c>
      <c r="R37" s="219" t="s">
        <v>7584</v>
      </c>
      <c r="S37" s="219" t="s">
        <v>7388</v>
      </c>
      <c r="T37" s="219" t="s">
        <v>7585</v>
      </c>
      <c r="U37" s="219"/>
      <c r="V37" s="219"/>
      <c r="W37" s="219" t="s">
        <v>7388</v>
      </c>
      <c r="X37" s="36" t="s">
        <v>76</v>
      </c>
    </row>
    <row r="38" spans="1:24">
      <c r="A38" s="774"/>
      <c r="B38" s="219" t="s">
        <v>7586</v>
      </c>
      <c r="C38" s="219" t="s">
        <v>7587</v>
      </c>
      <c r="D38" s="219"/>
      <c r="E38" s="284" t="s">
        <v>1732</v>
      </c>
      <c r="F38" s="219" t="s">
        <v>7588</v>
      </c>
      <c r="G38" s="219"/>
      <c r="H38" s="219" t="s">
        <v>7589</v>
      </c>
      <c r="I38" s="285" t="s">
        <v>1736</v>
      </c>
      <c r="J38" s="286" t="s">
        <v>4913</v>
      </c>
      <c r="K38" s="286" t="s">
        <v>4913</v>
      </c>
      <c r="L38" s="285" t="s">
        <v>1736</v>
      </c>
      <c r="M38" s="286" t="s">
        <v>4913</v>
      </c>
      <c r="N38" s="287" t="s">
        <v>1737</v>
      </c>
      <c r="O38" s="287" t="s">
        <v>1737</v>
      </c>
      <c r="P38" s="219"/>
      <c r="Q38" s="219" t="s">
        <v>7590</v>
      </c>
      <c r="R38" s="219" t="s">
        <v>7591</v>
      </c>
      <c r="S38" s="219" t="s">
        <v>7388</v>
      </c>
      <c r="T38" s="219" t="s">
        <v>7592</v>
      </c>
      <c r="U38" s="219"/>
      <c r="V38" s="219"/>
      <c r="W38" s="219" t="s">
        <v>7388</v>
      </c>
      <c r="X38" s="36" t="s">
        <v>7393</v>
      </c>
    </row>
    <row r="39" spans="1:24">
      <c r="A39" s="773"/>
      <c r="B39" s="219" t="s">
        <v>7593</v>
      </c>
      <c r="C39" s="219" t="s">
        <v>7594</v>
      </c>
      <c r="D39" s="219"/>
      <c r="E39" s="284" t="s">
        <v>1743</v>
      </c>
      <c r="F39" s="219" t="s">
        <v>7581</v>
      </c>
      <c r="G39" s="219"/>
      <c r="H39" s="219" t="s">
        <v>7595</v>
      </c>
      <c r="I39" s="285" t="s">
        <v>1736</v>
      </c>
      <c r="J39" s="286" t="s">
        <v>4913</v>
      </c>
      <c r="K39" s="286" t="s">
        <v>4913</v>
      </c>
      <c r="L39" s="286" t="s">
        <v>4913</v>
      </c>
      <c r="M39" s="286" t="s">
        <v>4913</v>
      </c>
      <c r="N39" s="287" t="s">
        <v>1737</v>
      </c>
      <c r="O39" s="287" t="s">
        <v>1737</v>
      </c>
      <c r="P39" s="219"/>
      <c r="Q39" s="219" t="s">
        <v>7590</v>
      </c>
      <c r="R39" s="219" t="s">
        <v>7596</v>
      </c>
      <c r="S39" s="219" t="s">
        <v>7495</v>
      </c>
      <c r="T39" s="219" t="s">
        <v>7597</v>
      </c>
      <c r="U39" s="219"/>
      <c r="V39" s="219"/>
      <c r="W39" s="219" t="s">
        <v>7495</v>
      </c>
      <c r="X39" s="36" t="s">
        <v>76</v>
      </c>
    </row>
    <row r="40" spans="1:24">
      <c r="A40" s="219" t="s">
        <v>7598</v>
      </c>
      <c r="B40" s="219" t="s">
        <v>7599</v>
      </c>
      <c r="C40" s="219" t="s">
        <v>7600</v>
      </c>
      <c r="D40" s="219"/>
      <c r="E40" s="284" t="s">
        <v>1732</v>
      </c>
      <c r="F40" s="219" t="s">
        <v>7601</v>
      </c>
      <c r="G40" s="219"/>
      <c r="H40" s="219" t="s">
        <v>7602</v>
      </c>
      <c r="I40" s="286" t="s">
        <v>4913</v>
      </c>
      <c r="J40" s="285" t="s">
        <v>1736</v>
      </c>
      <c r="K40" s="286" t="s">
        <v>4913</v>
      </c>
      <c r="L40" s="286" t="s">
        <v>4913</v>
      </c>
      <c r="M40" s="286" t="s">
        <v>4913</v>
      </c>
      <c r="N40" s="287" t="s">
        <v>1737</v>
      </c>
      <c r="O40" s="287" t="s">
        <v>1737</v>
      </c>
      <c r="P40" s="219"/>
      <c r="Q40" s="219" t="s">
        <v>7386</v>
      </c>
      <c r="R40" s="219" t="s">
        <v>7603</v>
      </c>
      <c r="S40" s="219" t="s">
        <v>7388</v>
      </c>
      <c r="T40" s="219" t="s">
        <v>7604</v>
      </c>
      <c r="U40" s="219"/>
      <c r="V40" s="219"/>
      <c r="W40" s="219" t="s">
        <v>7388</v>
      </c>
      <c r="X40" s="36" t="s">
        <v>7393</v>
      </c>
    </row>
    <row r="41" spans="1:24">
      <c r="A41" s="715" t="s">
        <v>7605</v>
      </c>
      <c r="B41" s="219" t="s">
        <v>7606</v>
      </c>
      <c r="C41" s="219" t="s">
        <v>7607</v>
      </c>
      <c r="D41" s="219"/>
      <c r="E41" s="284" t="s">
        <v>1732</v>
      </c>
      <c r="F41" s="219" t="s">
        <v>7608</v>
      </c>
      <c r="G41" s="219"/>
      <c r="H41" s="219" t="s">
        <v>7609</v>
      </c>
      <c r="I41" s="285" t="s">
        <v>1736</v>
      </c>
      <c r="J41" s="286" t="s">
        <v>4913</v>
      </c>
      <c r="K41" s="286" t="s">
        <v>4913</v>
      </c>
      <c r="L41" s="286" t="s">
        <v>4913</v>
      </c>
      <c r="M41" s="286" t="s">
        <v>4913</v>
      </c>
      <c r="N41" s="287" t="s">
        <v>1737</v>
      </c>
      <c r="O41" s="287" t="s">
        <v>1737</v>
      </c>
      <c r="P41" s="219"/>
      <c r="Q41" s="219" t="s">
        <v>7610</v>
      </c>
      <c r="R41" s="219" t="s">
        <v>7611</v>
      </c>
      <c r="S41" s="219" t="s">
        <v>7612</v>
      </c>
      <c r="T41" s="219" t="s">
        <v>7613</v>
      </c>
      <c r="U41" s="219"/>
      <c r="V41" s="219"/>
      <c r="W41" s="219" t="s">
        <v>7612</v>
      </c>
      <c r="X41" s="36" t="s">
        <v>76</v>
      </c>
    </row>
    <row r="42" spans="1:24">
      <c r="A42" s="774"/>
      <c r="B42" s="219" t="s">
        <v>7614</v>
      </c>
      <c r="C42" s="219" t="s">
        <v>7615</v>
      </c>
      <c r="D42" s="219"/>
      <c r="E42" s="284" t="s">
        <v>1732</v>
      </c>
      <c r="F42" s="219" t="s">
        <v>7616</v>
      </c>
      <c r="G42" s="219"/>
      <c r="H42" s="219" t="s">
        <v>7617</v>
      </c>
      <c r="I42" s="285" t="s">
        <v>1736</v>
      </c>
      <c r="J42" s="286" t="s">
        <v>4913</v>
      </c>
      <c r="K42" s="286" t="s">
        <v>4913</v>
      </c>
      <c r="L42" s="286" t="s">
        <v>4913</v>
      </c>
      <c r="M42" s="286" t="s">
        <v>4913</v>
      </c>
      <c r="N42" s="287" t="s">
        <v>1737</v>
      </c>
      <c r="O42" s="287" t="s">
        <v>1737</v>
      </c>
      <c r="P42" s="219"/>
      <c r="Q42" s="219" t="s">
        <v>7610</v>
      </c>
      <c r="R42" s="219" t="s">
        <v>7611</v>
      </c>
      <c r="S42" s="219" t="s">
        <v>7612</v>
      </c>
      <c r="T42" s="219" t="s">
        <v>7613</v>
      </c>
      <c r="U42" s="219"/>
      <c r="V42" s="219"/>
      <c r="W42" s="219" t="s">
        <v>7612</v>
      </c>
      <c r="X42" s="36" t="s">
        <v>7393</v>
      </c>
    </row>
    <row r="43" spans="1:24">
      <c r="A43" s="774"/>
      <c r="B43" s="219" t="s">
        <v>7618</v>
      </c>
      <c r="C43" s="219" t="s">
        <v>7619</v>
      </c>
      <c r="D43" s="219"/>
      <c r="E43" s="284" t="s">
        <v>1732</v>
      </c>
      <c r="F43" s="219" t="s">
        <v>7620</v>
      </c>
      <c r="G43" s="219"/>
      <c r="H43" s="219" t="s">
        <v>7621</v>
      </c>
      <c r="I43" s="285" t="s">
        <v>1736</v>
      </c>
      <c r="J43" s="286" t="s">
        <v>4913</v>
      </c>
      <c r="K43" s="286" t="s">
        <v>4913</v>
      </c>
      <c r="L43" s="286" t="s">
        <v>4913</v>
      </c>
      <c r="M43" s="286" t="s">
        <v>4913</v>
      </c>
      <c r="N43" s="287" t="s">
        <v>1737</v>
      </c>
      <c r="O43" s="287" t="s">
        <v>1737</v>
      </c>
      <c r="P43" s="219"/>
      <c r="Q43" s="219" t="s">
        <v>7610</v>
      </c>
      <c r="R43" s="219" t="s">
        <v>7611</v>
      </c>
      <c r="S43" s="219" t="s">
        <v>7612</v>
      </c>
      <c r="T43" s="219" t="s">
        <v>7613</v>
      </c>
      <c r="U43" s="219"/>
      <c r="V43" s="219"/>
      <c r="W43" s="219" t="s">
        <v>7612</v>
      </c>
      <c r="X43" s="36" t="s">
        <v>76</v>
      </c>
    </row>
    <row r="44" spans="1:24">
      <c r="A44" s="774"/>
      <c r="B44" s="219" t="s">
        <v>7622</v>
      </c>
      <c r="C44" s="219" t="s">
        <v>7623</v>
      </c>
      <c r="D44" s="219"/>
      <c r="E44" s="284" t="s">
        <v>1732</v>
      </c>
      <c r="F44" s="219" t="s">
        <v>7624</v>
      </c>
      <c r="G44" s="219"/>
      <c r="H44" s="219" t="s">
        <v>7625</v>
      </c>
      <c r="I44" s="285" t="s">
        <v>1736</v>
      </c>
      <c r="J44" s="286" t="s">
        <v>4913</v>
      </c>
      <c r="K44" s="286" t="s">
        <v>4913</v>
      </c>
      <c r="L44" s="286" t="s">
        <v>4913</v>
      </c>
      <c r="M44" s="286" t="s">
        <v>4913</v>
      </c>
      <c r="N44" s="287" t="s">
        <v>1737</v>
      </c>
      <c r="O44" s="287" t="s">
        <v>1737</v>
      </c>
      <c r="P44" s="219"/>
      <c r="Q44" s="219" t="s">
        <v>7610</v>
      </c>
      <c r="R44" s="219" t="s">
        <v>7611</v>
      </c>
      <c r="S44" s="219" t="s">
        <v>7612</v>
      </c>
      <c r="T44" s="219" t="s">
        <v>7613</v>
      </c>
      <c r="U44" s="219"/>
      <c r="V44" s="219"/>
      <c r="W44" s="219" t="s">
        <v>7612</v>
      </c>
      <c r="X44" s="36" t="s">
        <v>7393</v>
      </c>
    </row>
    <row r="45" spans="1:24">
      <c r="A45" s="774"/>
      <c r="B45" s="219" t="s">
        <v>7626</v>
      </c>
      <c r="C45" s="219" t="s">
        <v>7627</v>
      </c>
      <c r="D45" s="219"/>
      <c r="E45" s="284" t="s">
        <v>1732</v>
      </c>
      <c r="F45" s="219" t="s">
        <v>7628</v>
      </c>
      <c r="G45" s="219"/>
      <c r="H45" s="219" t="s">
        <v>7629</v>
      </c>
      <c r="I45" s="285" t="s">
        <v>1736</v>
      </c>
      <c r="J45" s="286" t="s">
        <v>4913</v>
      </c>
      <c r="K45" s="286" t="s">
        <v>4913</v>
      </c>
      <c r="L45" s="286" t="s">
        <v>4913</v>
      </c>
      <c r="M45" s="286" t="s">
        <v>4913</v>
      </c>
      <c r="N45" s="287" t="s">
        <v>1737</v>
      </c>
      <c r="O45" s="287" t="s">
        <v>1737</v>
      </c>
      <c r="P45" s="219"/>
      <c r="Q45" s="219" t="s">
        <v>7610</v>
      </c>
      <c r="R45" s="219" t="s">
        <v>7611</v>
      </c>
      <c r="S45" s="219" t="s">
        <v>7612</v>
      </c>
      <c r="T45" s="219" t="s">
        <v>7613</v>
      </c>
      <c r="U45" s="219"/>
      <c r="V45" s="219"/>
      <c r="W45" s="219" t="s">
        <v>7612</v>
      </c>
      <c r="X45" s="36" t="s">
        <v>76</v>
      </c>
    </row>
    <row r="46" spans="1:24">
      <c r="A46" s="774"/>
      <c r="B46" s="219" t="s">
        <v>7630</v>
      </c>
      <c r="C46" s="219" t="s">
        <v>7631</v>
      </c>
      <c r="D46" s="219"/>
      <c r="E46" s="284" t="s">
        <v>1732</v>
      </c>
      <c r="F46" s="219" t="s">
        <v>7632</v>
      </c>
      <c r="G46" s="219"/>
      <c r="H46" s="219" t="s">
        <v>7633</v>
      </c>
      <c r="I46" s="285" t="s">
        <v>1736</v>
      </c>
      <c r="J46" s="286" t="s">
        <v>4913</v>
      </c>
      <c r="K46" s="286" t="s">
        <v>4913</v>
      </c>
      <c r="L46" s="286" t="s">
        <v>4913</v>
      </c>
      <c r="M46" s="286" t="s">
        <v>4913</v>
      </c>
      <c r="N46" s="287" t="s">
        <v>1737</v>
      </c>
      <c r="O46" s="287" t="s">
        <v>1737</v>
      </c>
      <c r="P46" s="219"/>
      <c r="Q46" s="219" t="s">
        <v>7610</v>
      </c>
      <c r="R46" s="219" t="s">
        <v>7611</v>
      </c>
      <c r="S46" s="219" t="s">
        <v>7612</v>
      </c>
      <c r="T46" s="219" t="s">
        <v>7613</v>
      </c>
      <c r="U46" s="219"/>
      <c r="V46" s="219"/>
      <c r="W46" s="219" t="s">
        <v>7612</v>
      </c>
      <c r="X46" s="36" t="s">
        <v>7393</v>
      </c>
    </row>
    <row r="47" spans="1:24">
      <c r="A47" s="774"/>
      <c r="B47" s="219" t="s">
        <v>7634</v>
      </c>
      <c r="C47" s="219" t="s">
        <v>7635</v>
      </c>
      <c r="D47" s="219"/>
      <c r="E47" s="284" t="s">
        <v>1732</v>
      </c>
      <c r="F47" s="219" t="s">
        <v>7636</v>
      </c>
      <c r="G47" s="219"/>
      <c r="H47" s="219" t="s">
        <v>7637</v>
      </c>
      <c r="I47" s="285" t="s">
        <v>1736</v>
      </c>
      <c r="J47" s="285" t="s">
        <v>1736</v>
      </c>
      <c r="K47" s="286" t="s">
        <v>4913</v>
      </c>
      <c r="L47" s="286" t="s">
        <v>4913</v>
      </c>
      <c r="M47" s="286" t="s">
        <v>4913</v>
      </c>
      <c r="N47" s="287" t="s">
        <v>1737</v>
      </c>
      <c r="O47" s="287" t="s">
        <v>1737</v>
      </c>
      <c r="P47" s="219"/>
      <c r="Q47" s="219" t="s">
        <v>7529</v>
      </c>
      <c r="R47" s="219" t="s">
        <v>7638</v>
      </c>
      <c r="S47" s="219" t="s">
        <v>7612</v>
      </c>
      <c r="T47" s="219" t="s">
        <v>7639</v>
      </c>
      <c r="U47" s="219"/>
      <c r="V47" s="219"/>
      <c r="W47" s="219" t="s">
        <v>7612</v>
      </c>
      <c r="X47" s="36" t="s">
        <v>76</v>
      </c>
    </row>
    <row r="48" spans="1:24">
      <c r="A48" s="774"/>
      <c r="B48" s="219" t="s">
        <v>7640</v>
      </c>
      <c r="C48" s="219" t="s">
        <v>7641</v>
      </c>
      <c r="D48" s="219"/>
      <c r="E48" s="284" t="s">
        <v>1732</v>
      </c>
      <c r="F48" s="219" t="s">
        <v>7642</v>
      </c>
      <c r="G48" s="219"/>
      <c r="H48" s="219" t="s">
        <v>7643</v>
      </c>
      <c r="I48" s="285" t="s">
        <v>1736</v>
      </c>
      <c r="J48" s="285" t="s">
        <v>1736</v>
      </c>
      <c r="K48" s="286" t="s">
        <v>4913</v>
      </c>
      <c r="L48" s="286" t="s">
        <v>4913</v>
      </c>
      <c r="M48" s="286" t="s">
        <v>4913</v>
      </c>
      <c r="N48" s="287" t="s">
        <v>1737</v>
      </c>
      <c r="O48" s="287" t="s">
        <v>1737</v>
      </c>
      <c r="P48" s="219"/>
      <c r="Q48" s="219" t="s">
        <v>7529</v>
      </c>
      <c r="R48" s="219" t="s">
        <v>7644</v>
      </c>
      <c r="S48" s="219" t="s">
        <v>7612</v>
      </c>
      <c r="T48" s="219" t="s">
        <v>7645</v>
      </c>
      <c r="U48" s="219"/>
      <c r="V48" s="219"/>
      <c r="W48" s="219" t="s">
        <v>7612</v>
      </c>
      <c r="X48" s="36" t="s">
        <v>7393</v>
      </c>
    </row>
    <row r="49" spans="1:24">
      <c r="A49" s="774"/>
      <c r="B49" s="219" t="s">
        <v>7646</v>
      </c>
      <c r="C49" s="219" t="s">
        <v>7647</v>
      </c>
      <c r="D49" s="219"/>
      <c r="E49" s="284" t="s">
        <v>1732</v>
      </c>
      <c r="F49" s="219" t="s">
        <v>7648</v>
      </c>
      <c r="G49" s="219"/>
      <c r="H49" s="219" t="s">
        <v>7649</v>
      </c>
      <c r="I49" s="285" t="s">
        <v>1736</v>
      </c>
      <c r="J49" s="285" t="s">
        <v>1736</v>
      </c>
      <c r="K49" s="286" t="s">
        <v>4913</v>
      </c>
      <c r="L49" s="286" t="s">
        <v>4913</v>
      </c>
      <c r="M49" s="286" t="s">
        <v>4913</v>
      </c>
      <c r="N49" s="287" t="s">
        <v>1737</v>
      </c>
      <c r="O49" s="287" t="s">
        <v>1737</v>
      </c>
      <c r="P49" s="219"/>
      <c r="Q49" s="219" t="s">
        <v>7529</v>
      </c>
      <c r="R49" s="219" t="s">
        <v>7650</v>
      </c>
      <c r="S49" s="219" t="s">
        <v>7612</v>
      </c>
      <c r="T49" s="219" t="s">
        <v>7651</v>
      </c>
      <c r="U49" s="219"/>
      <c r="V49" s="219"/>
      <c r="W49" s="219" t="s">
        <v>7612</v>
      </c>
      <c r="X49" s="36" t="s">
        <v>76</v>
      </c>
    </row>
    <row r="50" spans="1:24">
      <c r="A50" s="774"/>
      <c r="B50" s="219" t="s">
        <v>7652</v>
      </c>
      <c r="C50" s="219" t="s">
        <v>7653</v>
      </c>
      <c r="D50" s="219"/>
      <c r="E50" s="284" t="s">
        <v>1732</v>
      </c>
      <c r="F50" s="219" t="s">
        <v>7654</v>
      </c>
      <c r="G50" s="219"/>
      <c r="H50" s="219" t="s">
        <v>7655</v>
      </c>
      <c r="I50" s="285" t="s">
        <v>1736</v>
      </c>
      <c r="J50" s="285" t="s">
        <v>1736</v>
      </c>
      <c r="K50" s="286" t="s">
        <v>4913</v>
      </c>
      <c r="L50" s="286" t="s">
        <v>4913</v>
      </c>
      <c r="M50" s="286" t="s">
        <v>4913</v>
      </c>
      <c r="N50" s="287" t="s">
        <v>1737</v>
      </c>
      <c r="O50" s="287" t="s">
        <v>1737</v>
      </c>
      <c r="P50" s="219"/>
      <c r="Q50" s="219" t="s">
        <v>7529</v>
      </c>
      <c r="R50" s="219" t="s">
        <v>7656</v>
      </c>
      <c r="S50" s="219" t="s">
        <v>7612</v>
      </c>
      <c r="T50" s="219" t="s">
        <v>7657</v>
      </c>
      <c r="U50" s="219"/>
      <c r="V50" s="219"/>
      <c r="W50" s="219" t="s">
        <v>7612</v>
      </c>
      <c r="X50" s="36" t="s">
        <v>7393</v>
      </c>
    </row>
    <row r="51" spans="1:24">
      <c r="A51" s="774"/>
      <c r="B51" s="219" t="s">
        <v>7658</v>
      </c>
      <c r="C51" s="219" t="s">
        <v>7659</v>
      </c>
      <c r="D51" s="219"/>
      <c r="E51" s="284" t="s">
        <v>1732</v>
      </c>
      <c r="F51" s="219" t="s">
        <v>7660</v>
      </c>
      <c r="G51" s="219"/>
      <c r="H51" s="219" t="s">
        <v>7661</v>
      </c>
      <c r="I51" s="285" t="s">
        <v>1736</v>
      </c>
      <c r="J51" s="285" t="s">
        <v>1736</v>
      </c>
      <c r="K51" s="286" t="s">
        <v>4913</v>
      </c>
      <c r="L51" s="286" t="s">
        <v>4913</v>
      </c>
      <c r="M51" s="286" t="s">
        <v>4913</v>
      </c>
      <c r="N51" s="287" t="s">
        <v>1737</v>
      </c>
      <c r="O51" s="287" t="s">
        <v>1737</v>
      </c>
      <c r="P51" s="219"/>
      <c r="Q51" s="219" t="s">
        <v>7529</v>
      </c>
      <c r="R51" s="219" t="s">
        <v>7662</v>
      </c>
      <c r="S51" s="219" t="s">
        <v>7612</v>
      </c>
      <c r="T51" s="219" t="s">
        <v>7663</v>
      </c>
      <c r="U51" s="219"/>
      <c r="V51" s="219"/>
      <c r="W51" s="219" t="s">
        <v>7612</v>
      </c>
      <c r="X51" s="36" t="s">
        <v>76</v>
      </c>
    </row>
    <row r="52" spans="1:24">
      <c r="A52" s="774"/>
      <c r="B52" s="219" t="s">
        <v>7664</v>
      </c>
      <c r="C52" s="219" t="s">
        <v>7665</v>
      </c>
      <c r="D52" s="219"/>
      <c r="E52" s="284" t="s">
        <v>1732</v>
      </c>
      <c r="F52" s="219" t="s">
        <v>7666</v>
      </c>
      <c r="G52" s="219"/>
      <c r="H52" s="219" t="s">
        <v>7667</v>
      </c>
      <c r="I52" s="285" t="s">
        <v>1736</v>
      </c>
      <c r="J52" s="285" t="s">
        <v>1736</v>
      </c>
      <c r="K52" s="286" t="s">
        <v>4913</v>
      </c>
      <c r="L52" s="286" t="s">
        <v>4913</v>
      </c>
      <c r="M52" s="286" t="s">
        <v>4913</v>
      </c>
      <c r="N52" s="287" t="s">
        <v>1737</v>
      </c>
      <c r="O52" s="287" t="s">
        <v>1737</v>
      </c>
      <c r="P52" s="219"/>
      <c r="Q52" s="219" t="s">
        <v>7529</v>
      </c>
      <c r="R52" s="219" t="s">
        <v>7668</v>
      </c>
      <c r="S52" s="219" t="s">
        <v>7612</v>
      </c>
      <c r="T52" s="219" t="s">
        <v>7669</v>
      </c>
      <c r="U52" s="219"/>
      <c r="V52" s="219"/>
      <c r="W52" s="219" t="s">
        <v>7612</v>
      </c>
      <c r="X52" s="36" t="s">
        <v>7393</v>
      </c>
    </row>
    <row r="53" spans="1:24">
      <c r="A53" s="774"/>
      <c r="B53" s="219" t="s">
        <v>7670</v>
      </c>
      <c r="C53" s="219" t="s">
        <v>7671</v>
      </c>
      <c r="D53" s="219"/>
      <c r="E53" s="284" t="s">
        <v>1743</v>
      </c>
      <c r="F53" s="219" t="s">
        <v>7672</v>
      </c>
      <c r="G53" s="219"/>
      <c r="H53" s="219" t="s">
        <v>7673</v>
      </c>
      <c r="I53" s="285" t="s">
        <v>1736</v>
      </c>
      <c r="J53" s="286" t="s">
        <v>4913</v>
      </c>
      <c r="K53" s="286" t="s">
        <v>4913</v>
      </c>
      <c r="L53" s="286" t="s">
        <v>4913</v>
      </c>
      <c r="M53" s="286" t="s">
        <v>4913</v>
      </c>
      <c r="N53" s="287" t="s">
        <v>1737</v>
      </c>
      <c r="O53" s="287" t="s">
        <v>1737</v>
      </c>
      <c r="P53" s="219"/>
      <c r="Q53" s="219" t="s">
        <v>7674</v>
      </c>
      <c r="R53" s="219" t="s">
        <v>7675</v>
      </c>
      <c r="S53" s="219" t="s">
        <v>7612</v>
      </c>
      <c r="T53" s="219" t="s">
        <v>7676</v>
      </c>
      <c r="U53" s="219"/>
      <c r="V53" s="219"/>
      <c r="W53" s="219" t="s">
        <v>7612</v>
      </c>
      <c r="X53" s="36" t="s">
        <v>76</v>
      </c>
    </row>
    <row r="54" spans="1:24">
      <c r="A54" s="774"/>
      <c r="B54" s="219" t="s">
        <v>7677</v>
      </c>
      <c r="C54" s="219" t="s">
        <v>7678</v>
      </c>
      <c r="D54" s="219"/>
      <c r="E54" s="284" t="s">
        <v>1743</v>
      </c>
      <c r="F54" s="219" t="s">
        <v>7672</v>
      </c>
      <c r="G54" s="219"/>
      <c r="H54" s="219" t="s">
        <v>7673</v>
      </c>
      <c r="I54" s="285" t="s">
        <v>1736</v>
      </c>
      <c r="J54" s="286" t="s">
        <v>4913</v>
      </c>
      <c r="K54" s="286" t="s">
        <v>4913</v>
      </c>
      <c r="L54" s="286" t="s">
        <v>4913</v>
      </c>
      <c r="M54" s="286" t="s">
        <v>4913</v>
      </c>
      <c r="N54" s="287" t="s">
        <v>1737</v>
      </c>
      <c r="O54" s="287" t="s">
        <v>1737</v>
      </c>
      <c r="P54" s="219"/>
      <c r="Q54" s="219" t="s">
        <v>7674</v>
      </c>
      <c r="R54" s="219" t="s">
        <v>7675</v>
      </c>
      <c r="S54" s="219" t="s">
        <v>7612</v>
      </c>
      <c r="T54" s="219" t="s">
        <v>7676</v>
      </c>
      <c r="U54" s="219"/>
      <c r="V54" s="219"/>
      <c r="W54" s="219" t="s">
        <v>7612</v>
      </c>
      <c r="X54" s="36" t="s">
        <v>7393</v>
      </c>
    </row>
    <row r="55" spans="1:24">
      <c r="A55" s="774"/>
      <c r="B55" s="219" t="s">
        <v>7679</v>
      </c>
      <c r="C55" s="219" t="s">
        <v>7680</v>
      </c>
      <c r="D55" s="219"/>
      <c r="E55" s="284" t="s">
        <v>1743</v>
      </c>
      <c r="F55" s="219" t="s">
        <v>7672</v>
      </c>
      <c r="G55" s="219"/>
      <c r="H55" s="219" t="s">
        <v>7673</v>
      </c>
      <c r="I55" s="285" t="s">
        <v>1736</v>
      </c>
      <c r="J55" s="286" t="s">
        <v>4913</v>
      </c>
      <c r="K55" s="286" t="s">
        <v>4913</v>
      </c>
      <c r="L55" s="286" t="s">
        <v>4913</v>
      </c>
      <c r="M55" s="286" t="s">
        <v>4913</v>
      </c>
      <c r="N55" s="287" t="s">
        <v>1737</v>
      </c>
      <c r="O55" s="287" t="s">
        <v>1737</v>
      </c>
      <c r="P55" s="219"/>
      <c r="Q55" s="219" t="s">
        <v>7674</v>
      </c>
      <c r="R55" s="219" t="s">
        <v>7675</v>
      </c>
      <c r="S55" s="219" t="s">
        <v>7612</v>
      </c>
      <c r="T55" s="219" t="s">
        <v>7676</v>
      </c>
      <c r="U55" s="219"/>
      <c r="V55" s="219"/>
      <c r="W55" s="219" t="s">
        <v>7612</v>
      </c>
      <c r="X55" s="36" t="s">
        <v>76</v>
      </c>
    </row>
    <row r="56" spans="1:24">
      <c r="A56" s="774"/>
      <c r="B56" s="219" t="s">
        <v>7681</v>
      </c>
      <c r="C56" s="219" t="s">
        <v>7682</v>
      </c>
      <c r="D56" s="219"/>
      <c r="E56" s="284" t="s">
        <v>1743</v>
      </c>
      <c r="F56" s="219" t="s">
        <v>7672</v>
      </c>
      <c r="G56" s="219"/>
      <c r="H56" s="219" t="s">
        <v>7673</v>
      </c>
      <c r="I56" s="285" t="s">
        <v>1736</v>
      </c>
      <c r="J56" s="286" t="s">
        <v>4913</v>
      </c>
      <c r="K56" s="286" t="s">
        <v>4913</v>
      </c>
      <c r="L56" s="286" t="s">
        <v>4913</v>
      </c>
      <c r="M56" s="286" t="s">
        <v>4913</v>
      </c>
      <c r="N56" s="287" t="s">
        <v>1737</v>
      </c>
      <c r="O56" s="287" t="s">
        <v>1737</v>
      </c>
      <c r="P56" s="219"/>
      <c r="Q56" s="219" t="s">
        <v>7674</v>
      </c>
      <c r="R56" s="219" t="s">
        <v>7675</v>
      </c>
      <c r="S56" s="219" t="s">
        <v>7612</v>
      </c>
      <c r="T56" s="219" t="s">
        <v>7676</v>
      </c>
      <c r="U56" s="219"/>
      <c r="V56" s="219"/>
      <c r="W56" s="219" t="s">
        <v>7612</v>
      </c>
      <c r="X56" s="36" t="s">
        <v>7393</v>
      </c>
    </row>
    <row r="57" spans="1:24">
      <c r="A57" s="774"/>
      <c r="B57" s="219" t="s">
        <v>7683</v>
      </c>
      <c r="C57" s="219" t="s">
        <v>7684</v>
      </c>
      <c r="D57" s="219"/>
      <c r="E57" s="284" t="s">
        <v>1743</v>
      </c>
      <c r="F57" s="219" t="s">
        <v>7672</v>
      </c>
      <c r="G57" s="219"/>
      <c r="H57" s="219" t="s">
        <v>7673</v>
      </c>
      <c r="I57" s="285" t="s">
        <v>1736</v>
      </c>
      <c r="J57" s="286" t="s">
        <v>4913</v>
      </c>
      <c r="K57" s="286" t="s">
        <v>4913</v>
      </c>
      <c r="L57" s="286" t="s">
        <v>4913</v>
      </c>
      <c r="M57" s="286" t="s">
        <v>4913</v>
      </c>
      <c r="N57" s="287" t="s">
        <v>1737</v>
      </c>
      <c r="O57" s="287" t="s">
        <v>1737</v>
      </c>
      <c r="P57" s="219"/>
      <c r="Q57" s="219" t="s">
        <v>7674</v>
      </c>
      <c r="R57" s="219" t="s">
        <v>7675</v>
      </c>
      <c r="S57" s="219" t="s">
        <v>7612</v>
      </c>
      <c r="T57" s="219" t="s">
        <v>7676</v>
      </c>
      <c r="U57" s="219"/>
      <c r="V57" s="219"/>
      <c r="W57" s="219" t="s">
        <v>7612</v>
      </c>
      <c r="X57" s="36" t="s">
        <v>76</v>
      </c>
    </row>
    <row r="58" spans="1:24">
      <c r="A58" s="773"/>
      <c r="B58" s="219" t="s">
        <v>7685</v>
      </c>
      <c r="C58" s="219" t="s">
        <v>7686</v>
      </c>
      <c r="D58" s="219"/>
      <c r="E58" s="284" t="s">
        <v>1743</v>
      </c>
      <c r="F58" s="219" t="s">
        <v>7672</v>
      </c>
      <c r="G58" s="219"/>
      <c r="H58" s="219" t="s">
        <v>7673</v>
      </c>
      <c r="I58" s="285" t="s">
        <v>1736</v>
      </c>
      <c r="J58" s="286" t="s">
        <v>4913</v>
      </c>
      <c r="K58" s="286" t="s">
        <v>4913</v>
      </c>
      <c r="L58" s="286" t="s">
        <v>4913</v>
      </c>
      <c r="M58" s="286" t="s">
        <v>4913</v>
      </c>
      <c r="N58" s="287" t="s">
        <v>1737</v>
      </c>
      <c r="O58" s="287" t="s">
        <v>1737</v>
      </c>
      <c r="P58" s="219"/>
      <c r="Q58" s="219" t="s">
        <v>7674</v>
      </c>
      <c r="R58" s="219" t="s">
        <v>7675</v>
      </c>
      <c r="S58" s="219" t="s">
        <v>7612</v>
      </c>
      <c r="T58" s="219" t="s">
        <v>7676</v>
      </c>
      <c r="U58" s="219"/>
      <c r="V58" s="219"/>
      <c r="W58" s="219" t="s">
        <v>7612</v>
      </c>
      <c r="X58" s="36" t="s">
        <v>7393</v>
      </c>
    </row>
    <row r="59" spans="1:24">
      <c r="A59" s="715" t="s">
        <v>7687</v>
      </c>
      <c r="B59" s="219" t="s">
        <v>7688</v>
      </c>
      <c r="C59" s="219" t="s">
        <v>7689</v>
      </c>
      <c r="D59" s="219"/>
      <c r="E59" s="284" t="s">
        <v>1732</v>
      </c>
      <c r="F59" s="219" t="s">
        <v>7690</v>
      </c>
      <c r="G59" s="219"/>
      <c r="H59" s="219" t="s">
        <v>7691</v>
      </c>
      <c r="I59" s="285" t="s">
        <v>1736</v>
      </c>
      <c r="J59" s="286" t="s">
        <v>4913</v>
      </c>
      <c r="K59" s="286" t="s">
        <v>4913</v>
      </c>
      <c r="L59" s="286" t="s">
        <v>4913</v>
      </c>
      <c r="M59" s="286" t="s">
        <v>4913</v>
      </c>
      <c r="N59" s="287" t="s">
        <v>1737</v>
      </c>
      <c r="O59" s="287" t="s">
        <v>1737</v>
      </c>
      <c r="P59" s="219"/>
      <c r="Q59" s="219" t="s">
        <v>7692</v>
      </c>
      <c r="R59" s="219" t="s">
        <v>7693</v>
      </c>
      <c r="S59" s="219" t="s">
        <v>7612</v>
      </c>
      <c r="T59" s="219" t="s">
        <v>7694</v>
      </c>
      <c r="U59" s="219"/>
      <c r="V59" s="219"/>
      <c r="W59" s="219" t="s">
        <v>7612</v>
      </c>
      <c r="X59" s="36" t="s">
        <v>76</v>
      </c>
    </row>
    <row r="60" spans="1:24">
      <c r="A60" s="774"/>
      <c r="B60" s="219" t="s">
        <v>7695</v>
      </c>
      <c r="C60" s="219" t="s">
        <v>7696</v>
      </c>
      <c r="D60" s="219"/>
      <c r="E60" s="284" t="s">
        <v>1732</v>
      </c>
      <c r="F60" s="219" t="s">
        <v>7697</v>
      </c>
      <c r="G60" s="219"/>
      <c r="H60" s="219" t="s">
        <v>7698</v>
      </c>
      <c r="I60" s="285" t="s">
        <v>1736</v>
      </c>
      <c r="J60" s="286" t="s">
        <v>4913</v>
      </c>
      <c r="K60" s="286" t="s">
        <v>4913</v>
      </c>
      <c r="L60" s="286" t="s">
        <v>4913</v>
      </c>
      <c r="M60" s="286" t="s">
        <v>4913</v>
      </c>
      <c r="N60" s="287" t="s">
        <v>1737</v>
      </c>
      <c r="O60" s="287" t="s">
        <v>1737</v>
      </c>
      <c r="P60" s="219"/>
      <c r="Q60" s="219" t="s">
        <v>7692</v>
      </c>
      <c r="R60" s="219" t="s">
        <v>7699</v>
      </c>
      <c r="S60" s="219" t="s">
        <v>7612</v>
      </c>
      <c r="T60" s="219" t="s">
        <v>7700</v>
      </c>
      <c r="U60" s="219"/>
      <c r="V60" s="219"/>
      <c r="W60" s="219" t="s">
        <v>7612</v>
      </c>
      <c r="X60" s="36" t="s">
        <v>7393</v>
      </c>
    </row>
    <row r="61" spans="1:24">
      <c r="A61" s="774"/>
      <c r="B61" s="219" t="s">
        <v>7701</v>
      </c>
      <c r="C61" s="219" t="s">
        <v>7702</v>
      </c>
      <c r="D61" s="219"/>
      <c r="E61" s="284" t="s">
        <v>1732</v>
      </c>
      <c r="F61" s="219" t="s">
        <v>7703</v>
      </c>
      <c r="G61" s="219"/>
      <c r="H61" s="219" t="s">
        <v>7704</v>
      </c>
      <c r="I61" s="285" t="s">
        <v>1736</v>
      </c>
      <c r="J61" s="286" t="s">
        <v>4913</v>
      </c>
      <c r="K61" s="286" t="s">
        <v>4913</v>
      </c>
      <c r="L61" s="286" t="s">
        <v>4913</v>
      </c>
      <c r="M61" s="286" t="s">
        <v>4913</v>
      </c>
      <c r="N61" s="287" t="s">
        <v>1737</v>
      </c>
      <c r="O61" s="287" t="s">
        <v>1737</v>
      </c>
      <c r="P61" s="219"/>
      <c r="Q61" s="219" t="s">
        <v>7705</v>
      </c>
      <c r="R61" s="219" t="s">
        <v>7706</v>
      </c>
      <c r="S61" s="219" t="s">
        <v>7612</v>
      </c>
      <c r="T61" s="219" t="s">
        <v>7707</v>
      </c>
      <c r="U61" s="219"/>
      <c r="V61" s="219"/>
      <c r="W61" s="219" t="s">
        <v>7612</v>
      </c>
      <c r="X61" s="36" t="s">
        <v>76</v>
      </c>
    </row>
    <row r="62" spans="1:24">
      <c r="A62" s="774"/>
      <c r="B62" s="219" t="s">
        <v>7708</v>
      </c>
      <c r="C62" s="219" t="s">
        <v>7709</v>
      </c>
      <c r="D62" s="219"/>
      <c r="E62" s="284" t="s">
        <v>1732</v>
      </c>
      <c r="F62" s="219" t="s">
        <v>7710</v>
      </c>
      <c r="G62" s="219"/>
      <c r="H62" s="219" t="s">
        <v>7711</v>
      </c>
      <c r="I62" s="285" t="s">
        <v>1736</v>
      </c>
      <c r="J62" s="286" t="s">
        <v>4913</v>
      </c>
      <c r="K62" s="286" t="s">
        <v>4913</v>
      </c>
      <c r="L62" s="286" t="s">
        <v>4913</v>
      </c>
      <c r="M62" s="286" t="s">
        <v>4913</v>
      </c>
      <c r="N62" s="287" t="s">
        <v>1737</v>
      </c>
      <c r="O62" s="287" t="s">
        <v>1737</v>
      </c>
      <c r="P62" s="219"/>
      <c r="Q62" s="219" t="s">
        <v>7705</v>
      </c>
      <c r="R62" s="219" t="s">
        <v>7712</v>
      </c>
      <c r="S62" s="219" t="s">
        <v>7612</v>
      </c>
      <c r="T62" s="219" t="s">
        <v>7713</v>
      </c>
      <c r="U62" s="219"/>
      <c r="V62" s="219"/>
      <c r="W62" s="219" t="s">
        <v>7612</v>
      </c>
      <c r="X62" s="36" t="s">
        <v>7393</v>
      </c>
    </row>
    <row r="63" spans="1:24">
      <c r="A63" s="774"/>
      <c r="B63" s="219" t="s">
        <v>7714</v>
      </c>
      <c r="C63" s="219" t="s">
        <v>7715</v>
      </c>
      <c r="D63" s="219"/>
      <c r="E63" s="284" t="s">
        <v>1732</v>
      </c>
      <c r="F63" s="219" t="s">
        <v>7716</v>
      </c>
      <c r="G63" s="219"/>
      <c r="H63" s="219" t="s">
        <v>7717</v>
      </c>
      <c r="I63" s="285" t="s">
        <v>1736</v>
      </c>
      <c r="J63" s="286" t="s">
        <v>4913</v>
      </c>
      <c r="K63" s="286" t="s">
        <v>4913</v>
      </c>
      <c r="L63" s="286" t="s">
        <v>4913</v>
      </c>
      <c r="M63" s="286" t="s">
        <v>4913</v>
      </c>
      <c r="N63" s="287" t="s">
        <v>1737</v>
      </c>
      <c r="O63" s="287" t="s">
        <v>1737</v>
      </c>
      <c r="P63" s="219"/>
      <c r="Q63" s="219" t="s">
        <v>7718</v>
      </c>
      <c r="R63" s="219" t="s">
        <v>7719</v>
      </c>
      <c r="S63" s="219" t="s">
        <v>7612</v>
      </c>
      <c r="T63" s="219" t="s">
        <v>7720</v>
      </c>
      <c r="U63" s="219"/>
      <c r="V63" s="219"/>
      <c r="W63" s="219" t="s">
        <v>7612</v>
      </c>
      <c r="X63" s="36" t="s">
        <v>76</v>
      </c>
    </row>
    <row r="64" spans="1:24">
      <c r="A64" s="774"/>
      <c r="B64" s="219" t="s">
        <v>7721</v>
      </c>
      <c r="C64" s="219" t="s">
        <v>7722</v>
      </c>
      <c r="D64" s="219"/>
      <c r="E64" s="284" t="s">
        <v>1732</v>
      </c>
      <c r="F64" s="219" t="s">
        <v>7723</v>
      </c>
      <c r="G64" s="219"/>
      <c r="H64" s="219" t="s">
        <v>7724</v>
      </c>
      <c r="I64" s="285" t="s">
        <v>1736</v>
      </c>
      <c r="J64" s="286" t="s">
        <v>4913</v>
      </c>
      <c r="K64" s="286" t="s">
        <v>4913</v>
      </c>
      <c r="L64" s="286" t="s">
        <v>4913</v>
      </c>
      <c r="M64" s="286" t="s">
        <v>4913</v>
      </c>
      <c r="N64" s="287" t="s">
        <v>1737</v>
      </c>
      <c r="O64" s="287" t="s">
        <v>1737</v>
      </c>
      <c r="P64" s="219"/>
      <c r="Q64" s="219" t="s">
        <v>7718</v>
      </c>
      <c r="R64" s="219" t="s">
        <v>7725</v>
      </c>
      <c r="S64" s="219" t="s">
        <v>7612</v>
      </c>
      <c r="T64" s="219" t="s">
        <v>7726</v>
      </c>
      <c r="U64" s="219"/>
      <c r="V64" s="219"/>
      <c r="W64" s="219" t="s">
        <v>7612</v>
      </c>
      <c r="X64" s="36" t="s">
        <v>7393</v>
      </c>
    </row>
    <row r="65" spans="1:24">
      <c r="A65" s="774"/>
      <c r="B65" s="219" t="s">
        <v>7727</v>
      </c>
      <c r="C65" s="219" t="s">
        <v>7728</v>
      </c>
      <c r="D65" s="219"/>
      <c r="E65" s="284" t="s">
        <v>1732</v>
      </c>
      <c r="F65" s="219" t="s">
        <v>7729</v>
      </c>
      <c r="G65" s="219"/>
      <c r="H65" s="219" t="s">
        <v>7730</v>
      </c>
      <c r="I65" s="285" t="s">
        <v>1736</v>
      </c>
      <c r="J65" s="286" t="s">
        <v>4913</v>
      </c>
      <c r="K65" s="286" t="s">
        <v>4913</v>
      </c>
      <c r="L65" s="286" t="s">
        <v>4913</v>
      </c>
      <c r="M65" s="286" t="s">
        <v>4913</v>
      </c>
      <c r="N65" s="287" t="s">
        <v>1737</v>
      </c>
      <c r="O65" s="287" t="s">
        <v>1737</v>
      </c>
      <c r="P65" s="219"/>
      <c r="Q65" s="219" t="s">
        <v>7731</v>
      </c>
      <c r="R65" s="219" t="s">
        <v>7732</v>
      </c>
      <c r="S65" s="219" t="s">
        <v>7612</v>
      </c>
      <c r="T65" s="219" t="s">
        <v>7733</v>
      </c>
      <c r="U65" s="219"/>
      <c r="V65" s="219"/>
      <c r="W65" s="219" t="s">
        <v>7612</v>
      </c>
      <c r="X65" s="36" t="s">
        <v>76</v>
      </c>
    </row>
    <row r="66" spans="1:24">
      <c r="A66" s="774"/>
      <c r="B66" s="219" t="s">
        <v>7734</v>
      </c>
      <c r="C66" s="219" t="s">
        <v>7735</v>
      </c>
      <c r="D66" s="219"/>
      <c r="E66" s="284" t="s">
        <v>1732</v>
      </c>
      <c r="F66" s="219" t="s">
        <v>7736</v>
      </c>
      <c r="G66" s="219"/>
      <c r="H66" s="219" t="s">
        <v>7737</v>
      </c>
      <c r="I66" s="285" t="s">
        <v>1736</v>
      </c>
      <c r="J66" s="286" t="s">
        <v>4913</v>
      </c>
      <c r="K66" s="286" t="s">
        <v>4913</v>
      </c>
      <c r="L66" s="286" t="s">
        <v>4913</v>
      </c>
      <c r="M66" s="286" t="s">
        <v>4913</v>
      </c>
      <c r="N66" s="287" t="s">
        <v>1737</v>
      </c>
      <c r="O66" s="287" t="s">
        <v>1737</v>
      </c>
      <c r="P66" s="219"/>
      <c r="Q66" s="219" t="s">
        <v>7731</v>
      </c>
      <c r="R66" s="219" t="s">
        <v>7738</v>
      </c>
      <c r="S66" s="219" t="s">
        <v>7612</v>
      </c>
      <c r="T66" s="219" t="s">
        <v>7739</v>
      </c>
      <c r="U66" s="219"/>
      <c r="V66" s="219"/>
      <c r="W66" s="219" t="s">
        <v>7612</v>
      </c>
      <c r="X66" s="36" t="s">
        <v>7393</v>
      </c>
    </row>
    <row r="67" spans="1:24">
      <c r="A67" s="773"/>
      <c r="B67" s="219" t="s">
        <v>7740</v>
      </c>
      <c r="C67" s="219" t="s">
        <v>7741</v>
      </c>
      <c r="D67" s="219"/>
      <c r="E67" s="284" t="s">
        <v>1732</v>
      </c>
      <c r="F67" s="219" t="s">
        <v>7742</v>
      </c>
      <c r="G67" s="219"/>
      <c r="H67" s="219" t="s">
        <v>7743</v>
      </c>
      <c r="I67" s="285" t="s">
        <v>1736</v>
      </c>
      <c r="J67" s="286" t="s">
        <v>4913</v>
      </c>
      <c r="K67" s="286" t="s">
        <v>4913</v>
      </c>
      <c r="L67" s="286" t="s">
        <v>4913</v>
      </c>
      <c r="M67" s="286" t="s">
        <v>4913</v>
      </c>
      <c r="N67" s="287" t="s">
        <v>1737</v>
      </c>
      <c r="O67" s="287" t="s">
        <v>1737</v>
      </c>
      <c r="P67" s="219"/>
      <c r="Q67" s="219" t="s">
        <v>7583</v>
      </c>
      <c r="R67" s="219" t="s">
        <v>7744</v>
      </c>
      <c r="S67" s="219" t="s">
        <v>7612</v>
      </c>
      <c r="T67" s="219" t="s">
        <v>7745</v>
      </c>
      <c r="U67" s="219"/>
      <c r="V67" s="219"/>
      <c r="W67" s="219" t="s">
        <v>7612</v>
      </c>
      <c r="X67" s="36" t="s">
        <v>76</v>
      </c>
    </row>
    <row r="68" spans="1:24">
      <c r="A68" s="715" t="s">
        <v>7746</v>
      </c>
      <c r="B68" s="219" t="s">
        <v>7747</v>
      </c>
      <c r="C68" s="219" t="s">
        <v>7748</v>
      </c>
      <c r="D68" s="219"/>
      <c r="E68" s="284" t="s">
        <v>1732</v>
      </c>
      <c r="F68" s="219" t="s">
        <v>7749</v>
      </c>
      <c r="G68" s="219"/>
      <c r="H68" s="219" t="s">
        <v>7750</v>
      </c>
      <c r="I68" s="286" t="s">
        <v>4913</v>
      </c>
      <c r="J68" s="285" t="s">
        <v>1736</v>
      </c>
      <c r="K68" s="286" t="s">
        <v>4913</v>
      </c>
      <c r="L68" s="286" t="s">
        <v>4913</v>
      </c>
      <c r="M68" s="286" t="s">
        <v>4913</v>
      </c>
      <c r="N68" s="287" t="s">
        <v>1737</v>
      </c>
      <c r="O68" s="287" t="s">
        <v>1737</v>
      </c>
      <c r="P68" s="219"/>
      <c r="Q68" s="219" t="s">
        <v>7751</v>
      </c>
      <c r="R68" s="219" t="s">
        <v>7752</v>
      </c>
      <c r="S68" s="219" t="s">
        <v>7612</v>
      </c>
      <c r="T68" s="219" t="s">
        <v>7753</v>
      </c>
      <c r="U68" s="219"/>
      <c r="V68" s="219"/>
      <c r="W68" s="219" t="s">
        <v>7612</v>
      </c>
      <c r="X68" s="36" t="s">
        <v>7393</v>
      </c>
    </row>
    <row r="69" spans="1:24">
      <c r="A69" s="773"/>
      <c r="B69" s="219" t="s">
        <v>7754</v>
      </c>
      <c r="C69" s="219" t="s">
        <v>7755</v>
      </c>
      <c r="D69" s="219"/>
      <c r="E69" s="284" t="s">
        <v>1732</v>
      </c>
      <c r="F69" s="219" t="s">
        <v>7756</v>
      </c>
      <c r="G69" s="219"/>
      <c r="H69" s="219" t="s">
        <v>7757</v>
      </c>
      <c r="I69" s="286" t="s">
        <v>4913</v>
      </c>
      <c r="J69" s="285" t="s">
        <v>1736</v>
      </c>
      <c r="K69" s="286" t="s">
        <v>4913</v>
      </c>
      <c r="L69" s="286" t="s">
        <v>4913</v>
      </c>
      <c r="M69" s="286" t="s">
        <v>4913</v>
      </c>
      <c r="N69" s="287" t="s">
        <v>1737</v>
      </c>
      <c r="O69" s="287" t="s">
        <v>1737</v>
      </c>
      <c r="P69" s="219"/>
      <c r="Q69" s="219" t="s">
        <v>7751</v>
      </c>
      <c r="R69" s="219" t="s">
        <v>7758</v>
      </c>
      <c r="S69" s="219" t="s">
        <v>7612</v>
      </c>
      <c r="T69" s="219" t="s">
        <v>7759</v>
      </c>
      <c r="U69" s="219"/>
      <c r="V69" s="219"/>
      <c r="W69" s="219" t="s">
        <v>7612</v>
      </c>
      <c r="X69" s="36" t="s">
        <v>76</v>
      </c>
    </row>
    <row r="70" spans="1:24">
      <c r="A70" s="715" t="s">
        <v>7760</v>
      </c>
      <c r="B70" s="219" t="s">
        <v>7761</v>
      </c>
      <c r="C70" s="288" t="s">
        <v>7762</v>
      </c>
      <c r="D70" s="288"/>
      <c r="E70" s="289" t="s">
        <v>1732</v>
      </c>
      <c r="F70" s="288" t="s">
        <v>7763</v>
      </c>
      <c r="G70" s="288" t="s">
        <v>7764</v>
      </c>
      <c r="H70" s="288" t="s">
        <v>7765</v>
      </c>
      <c r="I70" s="289" t="s">
        <v>1736</v>
      </c>
      <c r="J70" s="289" t="s">
        <v>4913</v>
      </c>
      <c r="K70" s="289" t="s">
        <v>4913</v>
      </c>
      <c r="L70" s="289" t="s">
        <v>4913</v>
      </c>
      <c r="M70" s="289" t="s">
        <v>4913</v>
      </c>
      <c r="N70" s="293" t="s">
        <v>7371</v>
      </c>
      <c r="O70" s="293" t="s">
        <v>7371</v>
      </c>
      <c r="P70" s="288" t="s">
        <v>7766</v>
      </c>
      <c r="Q70" s="288"/>
      <c r="R70" s="288"/>
      <c r="S70" s="288"/>
      <c r="T70" s="288"/>
      <c r="U70" s="288"/>
      <c r="V70" s="288"/>
      <c r="W70" s="288"/>
      <c r="X70" s="36" t="s">
        <v>7393</v>
      </c>
    </row>
    <row r="71" spans="1:24">
      <c r="A71" s="774"/>
      <c r="B71" s="219" t="s">
        <v>7767</v>
      </c>
      <c r="C71" s="288" t="s">
        <v>7768</v>
      </c>
      <c r="D71" s="288"/>
      <c r="E71" s="289" t="s">
        <v>1732</v>
      </c>
      <c r="F71" s="288" t="s">
        <v>7769</v>
      </c>
      <c r="G71" s="288" t="s">
        <v>7770</v>
      </c>
      <c r="H71" s="288" t="s">
        <v>7771</v>
      </c>
      <c r="I71" s="289" t="s">
        <v>1736</v>
      </c>
      <c r="J71" s="289" t="s">
        <v>4913</v>
      </c>
      <c r="K71" s="289" t="s">
        <v>4913</v>
      </c>
      <c r="L71" s="289" t="s">
        <v>4913</v>
      </c>
      <c r="M71" s="289" t="s">
        <v>4913</v>
      </c>
      <c r="N71" s="288" t="s">
        <v>7371</v>
      </c>
      <c r="O71" s="288" t="s">
        <v>7371</v>
      </c>
      <c r="P71" s="288" t="s">
        <v>7766</v>
      </c>
      <c r="Q71" s="288"/>
      <c r="R71" s="288"/>
      <c r="S71" s="288"/>
      <c r="T71" s="288"/>
      <c r="U71" s="288"/>
      <c r="V71" s="288"/>
      <c r="W71" s="288"/>
      <c r="X71" s="36" t="s">
        <v>76</v>
      </c>
    </row>
    <row r="72" spans="1:24">
      <c r="A72" s="774"/>
      <c r="B72" s="219" t="s">
        <v>7772</v>
      </c>
      <c r="C72" s="219" t="s">
        <v>7773</v>
      </c>
      <c r="D72" s="219"/>
      <c r="E72" s="284" t="s">
        <v>1732</v>
      </c>
      <c r="F72" s="219" t="s">
        <v>7774</v>
      </c>
      <c r="G72" s="219" t="s">
        <v>7775</v>
      </c>
      <c r="H72" s="219" t="s">
        <v>7776</v>
      </c>
      <c r="I72" s="285" t="s">
        <v>1736</v>
      </c>
      <c r="J72" s="286" t="s">
        <v>4913</v>
      </c>
      <c r="K72" s="286" t="s">
        <v>4913</v>
      </c>
      <c r="L72" s="286" t="s">
        <v>4913</v>
      </c>
      <c r="M72" s="286" t="s">
        <v>4913</v>
      </c>
      <c r="N72" s="287" t="s">
        <v>1737</v>
      </c>
      <c r="O72" s="287" t="s">
        <v>1737</v>
      </c>
      <c r="P72" s="219"/>
      <c r="Q72" s="219" t="s">
        <v>7576</v>
      </c>
      <c r="R72" s="219" t="s">
        <v>7777</v>
      </c>
      <c r="S72" s="219" t="s">
        <v>7778</v>
      </c>
      <c r="T72" s="219" t="s">
        <v>7779</v>
      </c>
      <c r="U72" s="219"/>
      <c r="V72" s="219"/>
      <c r="W72" s="219"/>
      <c r="X72" s="36" t="s">
        <v>7393</v>
      </c>
    </row>
    <row r="73" spans="1:24">
      <c r="A73" s="774"/>
      <c r="B73" s="219" t="s">
        <v>7780</v>
      </c>
      <c r="C73" s="288" t="s">
        <v>7781</v>
      </c>
      <c r="D73" s="288"/>
      <c r="E73" s="289" t="s">
        <v>1732</v>
      </c>
      <c r="F73" s="288" t="s">
        <v>7782</v>
      </c>
      <c r="G73" s="288" t="s">
        <v>7770</v>
      </c>
      <c r="H73" s="288" t="s">
        <v>7783</v>
      </c>
      <c r="I73" s="289" t="s">
        <v>1736</v>
      </c>
      <c r="J73" s="289" t="s">
        <v>4913</v>
      </c>
      <c r="K73" s="289" t="s">
        <v>4913</v>
      </c>
      <c r="L73" s="289" t="s">
        <v>4913</v>
      </c>
      <c r="M73" s="289" t="s">
        <v>4913</v>
      </c>
      <c r="N73" s="288" t="s">
        <v>7371</v>
      </c>
      <c r="O73" s="288" t="s">
        <v>7371</v>
      </c>
      <c r="P73" s="288" t="s">
        <v>7766</v>
      </c>
      <c r="Q73" s="288"/>
      <c r="R73" s="288"/>
      <c r="S73" s="288"/>
      <c r="T73" s="288"/>
      <c r="U73" s="288"/>
      <c r="V73" s="288"/>
      <c r="W73" s="288"/>
      <c r="X73" s="36" t="s">
        <v>76</v>
      </c>
    </row>
    <row r="74" spans="1:24">
      <c r="A74" s="774"/>
      <c r="B74" s="219" t="s">
        <v>7784</v>
      </c>
      <c r="C74" s="288" t="s">
        <v>7785</v>
      </c>
      <c r="D74" s="288"/>
      <c r="E74" s="289" t="s">
        <v>1732</v>
      </c>
      <c r="F74" s="288" t="s">
        <v>7786</v>
      </c>
      <c r="G74" s="288" t="s">
        <v>7787</v>
      </c>
      <c r="H74" s="288" t="s">
        <v>7788</v>
      </c>
      <c r="I74" s="289" t="s">
        <v>1736</v>
      </c>
      <c r="J74" s="289" t="s">
        <v>4913</v>
      </c>
      <c r="K74" s="289" t="s">
        <v>4913</v>
      </c>
      <c r="L74" s="289" t="s">
        <v>4913</v>
      </c>
      <c r="M74" s="289" t="s">
        <v>4913</v>
      </c>
      <c r="N74" s="288" t="s">
        <v>7371</v>
      </c>
      <c r="O74" s="288" t="s">
        <v>7371</v>
      </c>
      <c r="P74" s="288" t="s">
        <v>7766</v>
      </c>
      <c r="Q74" s="288"/>
      <c r="R74" s="288"/>
      <c r="S74" s="288"/>
      <c r="T74" s="288"/>
      <c r="U74" s="288"/>
      <c r="V74" s="288"/>
      <c r="W74" s="288"/>
      <c r="X74" s="36" t="s">
        <v>7393</v>
      </c>
    </row>
    <row r="75" spans="1:24">
      <c r="A75" s="774"/>
      <c r="B75" s="219" t="s">
        <v>7789</v>
      </c>
      <c r="C75" s="219" t="s">
        <v>7790</v>
      </c>
      <c r="D75" s="219"/>
      <c r="E75" s="284" t="s">
        <v>1732</v>
      </c>
      <c r="F75" s="219" t="s">
        <v>7791</v>
      </c>
      <c r="G75" s="219" t="s">
        <v>7792</v>
      </c>
      <c r="H75" s="219" t="s">
        <v>7793</v>
      </c>
      <c r="I75" s="285" t="s">
        <v>1736</v>
      </c>
      <c r="J75" s="286" t="s">
        <v>4913</v>
      </c>
      <c r="K75" s="286" t="s">
        <v>4913</v>
      </c>
      <c r="L75" s="286" t="s">
        <v>4913</v>
      </c>
      <c r="M75" s="286" t="s">
        <v>4913</v>
      </c>
      <c r="N75" s="287" t="s">
        <v>1737</v>
      </c>
      <c r="O75" s="287" t="s">
        <v>1737</v>
      </c>
      <c r="P75" s="219"/>
      <c r="Q75" s="219" t="s">
        <v>7551</v>
      </c>
      <c r="R75" s="219" t="s">
        <v>7794</v>
      </c>
      <c r="S75" s="219" t="s">
        <v>7612</v>
      </c>
      <c r="T75" s="219" t="s">
        <v>7795</v>
      </c>
      <c r="U75" s="219"/>
      <c r="V75" s="219"/>
      <c r="W75" s="219" t="s">
        <v>7612</v>
      </c>
      <c r="X75" s="36" t="s">
        <v>76</v>
      </c>
    </row>
    <row r="76" spans="1:24">
      <c r="A76" s="774"/>
      <c r="B76" s="219" t="s">
        <v>7796</v>
      </c>
      <c r="C76" s="219" t="s">
        <v>7797</v>
      </c>
      <c r="D76" s="219"/>
      <c r="E76" s="284" t="s">
        <v>1743</v>
      </c>
      <c r="F76" s="219" t="s">
        <v>7798</v>
      </c>
      <c r="G76" s="219" t="s">
        <v>7799</v>
      </c>
      <c r="H76" s="219" t="s">
        <v>7800</v>
      </c>
      <c r="I76" s="285" t="s">
        <v>1736</v>
      </c>
      <c r="J76" s="286" t="s">
        <v>4913</v>
      </c>
      <c r="K76" s="286" t="s">
        <v>4913</v>
      </c>
      <c r="L76" s="286" t="s">
        <v>4913</v>
      </c>
      <c r="M76" s="286" t="s">
        <v>4913</v>
      </c>
      <c r="N76" s="287" t="s">
        <v>1737</v>
      </c>
      <c r="O76" s="287" t="s">
        <v>1737</v>
      </c>
      <c r="P76" s="219"/>
      <c r="Q76" s="219" t="s">
        <v>7501</v>
      </c>
      <c r="R76" s="219" t="s">
        <v>7801</v>
      </c>
      <c r="S76" s="219" t="s">
        <v>7612</v>
      </c>
      <c r="T76" s="219" t="s">
        <v>7802</v>
      </c>
      <c r="U76" s="219"/>
      <c r="V76" s="219"/>
      <c r="W76" s="219" t="s">
        <v>7612</v>
      </c>
      <c r="X76" s="36" t="s">
        <v>7393</v>
      </c>
    </row>
    <row r="77" spans="1:24">
      <c r="A77" s="774"/>
      <c r="B77" s="219" t="s">
        <v>7803</v>
      </c>
      <c r="C77" s="288" t="s">
        <v>7804</v>
      </c>
      <c r="D77" s="288"/>
      <c r="E77" s="289" t="s">
        <v>1743</v>
      </c>
      <c r="F77" s="288" t="s">
        <v>7805</v>
      </c>
      <c r="G77" s="288" t="s">
        <v>7806</v>
      </c>
      <c r="H77" s="288" t="s">
        <v>7807</v>
      </c>
      <c r="I77" s="289" t="s">
        <v>1736</v>
      </c>
      <c r="J77" s="289" t="s">
        <v>4913</v>
      </c>
      <c r="K77" s="289" t="s">
        <v>4913</v>
      </c>
      <c r="L77" s="289" t="s">
        <v>4913</v>
      </c>
      <c r="M77" s="289" t="s">
        <v>4913</v>
      </c>
      <c r="N77" s="288" t="s">
        <v>7371</v>
      </c>
      <c r="O77" s="288" t="s">
        <v>7371</v>
      </c>
      <c r="P77" s="288" t="s">
        <v>7766</v>
      </c>
      <c r="Q77" s="288"/>
      <c r="R77" s="288"/>
      <c r="S77" s="288"/>
      <c r="T77" s="288"/>
      <c r="U77" s="288"/>
      <c r="V77" s="288"/>
      <c r="W77" s="288"/>
      <c r="X77" s="36" t="s">
        <v>76</v>
      </c>
    </row>
    <row r="78" spans="1:24">
      <c r="A78" s="774"/>
      <c r="B78" s="219" t="s">
        <v>7808</v>
      </c>
      <c r="C78" s="288" t="s">
        <v>7809</v>
      </c>
      <c r="D78" s="288"/>
      <c r="E78" s="289" t="s">
        <v>1743</v>
      </c>
      <c r="F78" s="288" t="s">
        <v>7786</v>
      </c>
      <c r="G78" s="288" t="s">
        <v>7787</v>
      </c>
      <c r="H78" s="288" t="s">
        <v>7810</v>
      </c>
      <c r="I78" s="289" t="s">
        <v>1736</v>
      </c>
      <c r="J78" s="289" t="s">
        <v>4913</v>
      </c>
      <c r="K78" s="289" t="s">
        <v>4913</v>
      </c>
      <c r="L78" s="289" t="s">
        <v>4913</v>
      </c>
      <c r="M78" s="289" t="s">
        <v>4913</v>
      </c>
      <c r="N78" s="288" t="s">
        <v>7371</v>
      </c>
      <c r="O78" s="288" t="s">
        <v>7371</v>
      </c>
      <c r="P78" s="288" t="s">
        <v>7766</v>
      </c>
      <c r="Q78" s="288"/>
      <c r="R78" s="288"/>
      <c r="S78" s="288"/>
      <c r="T78" s="288"/>
      <c r="U78" s="288"/>
      <c r="V78" s="288"/>
      <c r="W78" s="288"/>
      <c r="X78" s="36" t="s">
        <v>7393</v>
      </c>
    </row>
    <row r="79" spans="1:24">
      <c r="A79" s="774"/>
      <c r="B79" s="219" t="s">
        <v>7811</v>
      </c>
      <c r="C79" s="288" t="s">
        <v>7812</v>
      </c>
      <c r="D79" s="288"/>
      <c r="E79" s="289" t="s">
        <v>1743</v>
      </c>
      <c r="F79" s="288" t="s">
        <v>7791</v>
      </c>
      <c r="G79" s="288"/>
      <c r="H79" s="288" t="s">
        <v>7813</v>
      </c>
      <c r="I79" s="289" t="s">
        <v>1736</v>
      </c>
      <c r="J79" s="289" t="s">
        <v>4913</v>
      </c>
      <c r="K79" s="289" t="s">
        <v>4913</v>
      </c>
      <c r="L79" s="289" t="s">
        <v>4913</v>
      </c>
      <c r="M79" s="289" t="s">
        <v>4913</v>
      </c>
      <c r="N79" s="288" t="s">
        <v>7371</v>
      </c>
      <c r="O79" s="288" t="s">
        <v>7371</v>
      </c>
      <c r="P79" s="288" t="s">
        <v>7766</v>
      </c>
      <c r="Q79" s="288"/>
      <c r="R79" s="288"/>
      <c r="S79" s="288"/>
      <c r="T79" s="288"/>
      <c r="U79" s="288"/>
      <c r="V79" s="288"/>
      <c r="W79" s="288"/>
      <c r="X79" s="36" t="s">
        <v>76</v>
      </c>
    </row>
    <row r="80" spans="1:24">
      <c r="A80" s="774"/>
      <c r="B80" s="219" t="s">
        <v>7814</v>
      </c>
      <c r="C80" s="288" t="s">
        <v>7815</v>
      </c>
      <c r="D80" s="288"/>
      <c r="E80" s="289" t="s">
        <v>1732</v>
      </c>
      <c r="F80" s="288" t="s">
        <v>7816</v>
      </c>
      <c r="G80" s="288" t="s">
        <v>7817</v>
      </c>
      <c r="H80" s="288" t="s">
        <v>7818</v>
      </c>
      <c r="I80" s="289" t="s">
        <v>1736</v>
      </c>
      <c r="J80" s="289" t="s">
        <v>4913</v>
      </c>
      <c r="K80" s="289" t="s">
        <v>4913</v>
      </c>
      <c r="L80" s="289" t="s">
        <v>1736</v>
      </c>
      <c r="M80" s="289" t="s">
        <v>4913</v>
      </c>
      <c r="N80" s="288" t="s">
        <v>7371</v>
      </c>
      <c r="O80" s="288" t="s">
        <v>7371</v>
      </c>
      <c r="P80" s="288" t="s">
        <v>7766</v>
      </c>
      <c r="Q80" s="288"/>
      <c r="R80" s="288"/>
      <c r="S80" s="288"/>
      <c r="T80" s="288"/>
      <c r="U80" s="288"/>
      <c r="V80" s="288"/>
      <c r="W80" s="288"/>
      <c r="X80" s="36" t="s">
        <v>7393</v>
      </c>
    </row>
    <row r="81" spans="1:24">
      <c r="A81" s="774"/>
      <c r="B81" s="219" t="s">
        <v>7819</v>
      </c>
      <c r="C81" s="288" t="s">
        <v>7820</v>
      </c>
      <c r="D81" s="288"/>
      <c r="E81" s="289" t="s">
        <v>1732</v>
      </c>
      <c r="F81" s="288" t="s">
        <v>7821</v>
      </c>
      <c r="G81" s="288" t="s">
        <v>7822</v>
      </c>
      <c r="H81" s="288" t="s">
        <v>7823</v>
      </c>
      <c r="I81" s="289" t="s">
        <v>1736</v>
      </c>
      <c r="J81" s="289" t="s">
        <v>4913</v>
      </c>
      <c r="K81" s="289" t="s">
        <v>4913</v>
      </c>
      <c r="L81" s="289" t="s">
        <v>1736</v>
      </c>
      <c r="M81" s="289" t="s">
        <v>4913</v>
      </c>
      <c r="N81" s="288" t="s">
        <v>7371</v>
      </c>
      <c r="O81" s="288" t="s">
        <v>7371</v>
      </c>
      <c r="P81" s="288" t="s">
        <v>7766</v>
      </c>
      <c r="Q81" s="288"/>
      <c r="R81" s="288"/>
      <c r="S81" s="288"/>
      <c r="T81" s="288"/>
      <c r="U81" s="288"/>
      <c r="V81" s="288"/>
      <c r="W81" s="288"/>
      <c r="X81" s="36" t="s">
        <v>76</v>
      </c>
    </row>
    <row r="82" spans="1:24">
      <c r="A82" s="774"/>
      <c r="B82" s="219" t="s">
        <v>7824</v>
      </c>
      <c r="C82" s="288" t="s">
        <v>7825</v>
      </c>
      <c r="D82" s="288"/>
      <c r="E82" s="289" t="s">
        <v>1743</v>
      </c>
      <c r="F82" s="288" t="s">
        <v>7826</v>
      </c>
      <c r="G82" s="288" t="s">
        <v>7827</v>
      </c>
      <c r="H82" s="288" t="s">
        <v>7828</v>
      </c>
      <c r="I82" s="289" t="s">
        <v>1736</v>
      </c>
      <c r="J82" s="289" t="s">
        <v>4913</v>
      </c>
      <c r="K82" s="289" t="s">
        <v>4913</v>
      </c>
      <c r="L82" s="289" t="s">
        <v>1736</v>
      </c>
      <c r="M82" s="289" t="s">
        <v>4913</v>
      </c>
      <c r="N82" s="288" t="s">
        <v>7371</v>
      </c>
      <c r="O82" s="288" t="s">
        <v>7371</v>
      </c>
      <c r="P82" s="288" t="s">
        <v>7766</v>
      </c>
      <c r="Q82" s="288"/>
      <c r="R82" s="288"/>
      <c r="S82" s="288"/>
      <c r="T82" s="288"/>
      <c r="U82" s="288"/>
      <c r="V82" s="288"/>
      <c r="W82" s="288"/>
      <c r="X82" s="36" t="s">
        <v>7393</v>
      </c>
    </row>
    <row r="83" spans="1:24">
      <c r="A83" s="774"/>
      <c r="B83" s="219" t="s">
        <v>7829</v>
      </c>
      <c r="C83" s="288" t="s">
        <v>7830</v>
      </c>
      <c r="D83" s="288"/>
      <c r="E83" s="289" t="s">
        <v>1732</v>
      </c>
      <c r="F83" s="288" t="s">
        <v>7831</v>
      </c>
      <c r="G83" s="288" t="s">
        <v>7832</v>
      </c>
      <c r="H83" s="288" t="s">
        <v>7818</v>
      </c>
      <c r="I83" s="289" t="s">
        <v>1736</v>
      </c>
      <c r="J83" s="289" t="s">
        <v>4913</v>
      </c>
      <c r="K83" s="289" t="s">
        <v>4913</v>
      </c>
      <c r="L83" s="289" t="s">
        <v>1736</v>
      </c>
      <c r="M83" s="289" t="s">
        <v>4913</v>
      </c>
      <c r="N83" s="288" t="s">
        <v>7371</v>
      </c>
      <c r="O83" s="288" t="s">
        <v>7371</v>
      </c>
      <c r="P83" s="288" t="s">
        <v>7766</v>
      </c>
      <c r="Q83" s="288"/>
      <c r="R83" s="288"/>
      <c r="S83" s="288"/>
      <c r="T83" s="288"/>
      <c r="U83" s="288"/>
      <c r="V83" s="288"/>
      <c r="W83" s="288"/>
      <c r="X83" s="36" t="s">
        <v>76</v>
      </c>
    </row>
    <row r="84" spans="1:24">
      <c r="A84" s="774"/>
      <c r="B84" s="219" t="s">
        <v>7833</v>
      </c>
      <c r="C84" s="288" t="s">
        <v>7834</v>
      </c>
      <c r="D84" s="288"/>
      <c r="E84" s="289" t="s">
        <v>1732</v>
      </c>
      <c r="F84" s="288" t="s">
        <v>7835</v>
      </c>
      <c r="G84" s="288" t="s">
        <v>7836</v>
      </c>
      <c r="H84" s="288" t="s">
        <v>7818</v>
      </c>
      <c r="I84" s="289" t="s">
        <v>1736</v>
      </c>
      <c r="J84" s="289" t="s">
        <v>4913</v>
      </c>
      <c r="K84" s="289" t="s">
        <v>4913</v>
      </c>
      <c r="L84" s="289" t="s">
        <v>1736</v>
      </c>
      <c r="M84" s="289" t="s">
        <v>4913</v>
      </c>
      <c r="N84" s="288" t="s">
        <v>7371</v>
      </c>
      <c r="O84" s="288" t="s">
        <v>7371</v>
      </c>
      <c r="P84" s="288" t="s">
        <v>7766</v>
      </c>
      <c r="Q84" s="288"/>
      <c r="R84" s="288"/>
      <c r="S84" s="288"/>
      <c r="T84" s="288"/>
      <c r="U84" s="288"/>
      <c r="V84" s="288"/>
      <c r="W84" s="288"/>
      <c r="X84" s="36" t="s">
        <v>7393</v>
      </c>
    </row>
    <row r="85" spans="1:24">
      <c r="A85" s="774"/>
      <c r="B85" s="219" t="s">
        <v>7837</v>
      </c>
      <c r="C85" s="288" t="s">
        <v>7838</v>
      </c>
      <c r="D85" s="288"/>
      <c r="E85" s="289" t="s">
        <v>1743</v>
      </c>
      <c r="F85" s="288" t="s">
        <v>7839</v>
      </c>
      <c r="G85" s="288" t="s">
        <v>7840</v>
      </c>
      <c r="H85" s="288" t="s">
        <v>7828</v>
      </c>
      <c r="I85" s="289" t="s">
        <v>1736</v>
      </c>
      <c r="J85" s="289" t="s">
        <v>4913</v>
      </c>
      <c r="K85" s="289" t="s">
        <v>4913</v>
      </c>
      <c r="L85" s="289" t="s">
        <v>1736</v>
      </c>
      <c r="M85" s="289" t="s">
        <v>4913</v>
      </c>
      <c r="N85" s="288" t="s">
        <v>7371</v>
      </c>
      <c r="O85" s="288" t="s">
        <v>7371</v>
      </c>
      <c r="P85" s="288" t="s">
        <v>7766</v>
      </c>
      <c r="Q85" s="288"/>
      <c r="R85" s="288"/>
      <c r="S85" s="288"/>
      <c r="T85" s="288"/>
      <c r="U85" s="288"/>
      <c r="V85" s="288"/>
      <c r="W85" s="288"/>
      <c r="X85" s="36" t="s">
        <v>76</v>
      </c>
    </row>
    <row r="86" spans="1:24">
      <c r="A86" s="774"/>
      <c r="B86" s="219" t="s">
        <v>7841</v>
      </c>
      <c r="C86" s="288" t="s">
        <v>7842</v>
      </c>
      <c r="D86" s="288"/>
      <c r="E86" s="289" t="s">
        <v>1732</v>
      </c>
      <c r="F86" s="288" t="s">
        <v>7843</v>
      </c>
      <c r="G86" s="288" t="s">
        <v>7844</v>
      </c>
      <c r="H86" s="288" t="s">
        <v>7823</v>
      </c>
      <c r="I86" s="289" t="s">
        <v>1736</v>
      </c>
      <c r="J86" s="289" t="s">
        <v>4913</v>
      </c>
      <c r="K86" s="289" t="s">
        <v>4913</v>
      </c>
      <c r="L86" s="289" t="s">
        <v>1736</v>
      </c>
      <c r="M86" s="289" t="s">
        <v>4913</v>
      </c>
      <c r="N86" s="288" t="s">
        <v>7371</v>
      </c>
      <c r="O86" s="288" t="s">
        <v>7371</v>
      </c>
      <c r="P86" s="288" t="s">
        <v>7766</v>
      </c>
      <c r="Q86" s="288"/>
      <c r="R86" s="288"/>
      <c r="S86" s="288"/>
      <c r="T86" s="288"/>
      <c r="U86" s="288"/>
      <c r="V86" s="288"/>
      <c r="W86" s="288"/>
      <c r="X86" s="36" t="s">
        <v>7393</v>
      </c>
    </row>
    <row r="87" spans="1:24">
      <c r="A87" s="774"/>
      <c r="B87" s="219" t="s">
        <v>7845</v>
      </c>
      <c r="C87" s="288" t="s">
        <v>7846</v>
      </c>
      <c r="D87" s="288"/>
      <c r="E87" s="289" t="s">
        <v>1743</v>
      </c>
      <c r="F87" s="288" t="s">
        <v>7847</v>
      </c>
      <c r="G87" s="288" t="s">
        <v>7848</v>
      </c>
      <c r="H87" s="288" t="s">
        <v>7828</v>
      </c>
      <c r="I87" s="289" t="s">
        <v>1736</v>
      </c>
      <c r="J87" s="289" t="s">
        <v>1736</v>
      </c>
      <c r="K87" s="289" t="s">
        <v>4913</v>
      </c>
      <c r="L87" s="289" t="s">
        <v>1736</v>
      </c>
      <c r="M87" s="289" t="s">
        <v>4913</v>
      </c>
      <c r="N87" s="288" t="s">
        <v>7371</v>
      </c>
      <c r="O87" s="288" t="s">
        <v>7371</v>
      </c>
      <c r="P87" s="288" t="s">
        <v>7766</v>
      </c>
      <c r="Q87" s="288"/>
      <c r="R87" s="288"/>
      <c r="S87" s="288"/>
      <c r="T87" s="288"/>
      <c r="U87" s="288"/>
      <c r="V87" s="288"/>
      <c r="W87" s="288"/>
      <c r="X87" s="36" t="s">
        <v>76</v>
      </c>
    </row>
    <row r="88" spans="1:24">
      <c r="A88" s="774"/>
      <c r="B88" s="219" t="s">
        <v>7849</v>
      </c>
      <c r="C88" s="288" t="s">
        <v>7850</v>
      </c>
      <c r="D88" s="288"/>
      <c r="E88" s="289" t="s">
        <v>1732</v>
      </c>
      <c r="F88" s="288" t="s">
        <v>7851</v>
      </c>
      <c r="G88" s="288" t="s">
        <v>7852</v>
      </c>
      <c r="H88" s="288" t="s">
        <v>7818</v>
      </c>
      <c r="I88" s="289" t="s">
        <v>1736</v>
      </c>
      <c r="J88" s="289" t="s">
        <v>1736</v>
      </c>
      <c r="K88" s="289" t="s">
        <v>4913</v>
      </c>
      <c r="L88" s="289" t="s">
        <v>1736</v>
      </c>
      <c r="M88" s="289" t="s">
        <v>4913</v>
      </c>
      <c r="N88" s="288" t="s">
        <v>7371</v>
      </c>
      <c r="O88" s="288" t="s">
        <v>7371</v>
      </c>
      <c r="P88" s="288" t="s">
        <v>7766</v>
      </c>
      <c r="Q88" s="288"/>
      <c r="R88" s="288"/>
      <c r="S88" s="288"/>
      <c r="T88" s="288"/>
      <c r="U88" s="288"/>
      <c r="V88" s="288"/>
      <c r="W88" s="288"/>
      <c r="X88" s="36" t="s">
        <v>7393</v>
      </c>
    </row>
    <row r="89" spans="1:24">
      <c r="A89" s="774"/>
      <c r="B89" s="219" t="s">
        <v>7853</v>
      </c>
      <c r="C89" s="288" t="s">
        <v>7854</v>
      </c>
      <c r="D89" s="288"/>
      <c r="E89" s="289" t="s">
        <v>1743</v>
      </c>
      <c r="F89" s="288" t="s">
        <v>7855</v>
      </c>
      <c r="G89" s="288" t="s">
        <v>7856</v>
      </c>
      <c r="H89" s="288" t="s">
        <v>7828</v>
      </c>
      <c r="I89" s="289" t="s">
        <v>1736</v>
      </c>
      <c r="J89" s="289" t="s">
        <v>1736</v>
      </c>
      <c r="K89" s="289" t="s">
        <v>4913</v>
      </c>
      <c r="L89" s="289" t="s">
        <v>1736</v>
      </c>
      <c r="M89" s="289" t="s">
        <v>4913</v>
      </c>
      <c r="N89" s="288" t="s">
        <v>7371</v>
      </c>
      <c r="O89" s="288" t="s">
        <v>7371</v>
      </c>
      <c r="P89" s="288" t="s">
        <v>7766</v>
      </c>
      <c r="Q89" s="288"/>
      <c r="R89" s="288"/>
      <c r="S89" s="288"/>
      <c r="T89" s="288"/>
      <c r="U89" s="288"/>
      <c r="V89" s="288"/>
      <c r="W89" s="288"/>
      <c r="X89" s="36" t="s">
        <v>76</v>
      </c>
    </row>
    <row r="90" spans="1:24">
      <c r="A90" s="774"/>
      <c r="B90" s="219" t="s">
        <v>7857</v>
      </c>
      <c r="C90" s="288" t="s">
        <v>7858</v>
      </c>
      <c r="D90" s="288"/>
      <c r="E90" s="289" t="s">
        <v>1732</v>
      </c>
      <c r="F90" s="288" t="s">
        <v>7859</v>
      </c>
      <c r="G90" s="288" t="s">
        <v>7860</v>
      </c>
      <c r="H90" s="288" t="s">
        <v>7818</v>
      </c>
      <c r="I90" s="289" t="s">
        <v>1736</v>
      </c>
      <c r="J90" s="289" t="s">
        <v>4913</v>
      </c>
      <c r="K90" s="289" t="s">
        <v>4913</v>
      </c>
      <c r="L90" s="289" t="s">
        <v>1736</v>
      </c>
      <c r="M90" s="289" t="s">
        <v>4913</v>
      </c>
      <c r="N90" s="288" t="s">
        <v>7371</v>
      </c>
      <c r="O90" s="288" t="s">
        <v>7371</v>
      </c>
      <c r="P90" s="288" t="s">
        <v>7766</v>
      </c>
      <c r="Q90" s="288"/>
      <c r="R90" s="288"/>
      <c r="S90" s="288"/>
      <c r="T90" s="288"/>
      <c r="U90" s="288"/>
      <c r="V90" s="288"/>
      <c r="W90" s="288"/>
      <c r="X90" s="36" t="s">
        <v>7393</v>
      </c>
    </row>
    <row r="91" spans="1:24">
      <c r="A91" s="774"/>
      <c r="B91" s="219" t="s">
        <v>7861</v>
      </c>
      <c r="C91" s="288" t="s">
        <v>7862</v>
      </c>
      <c r="D91" s="288"/>
      <c r="E91" s="289" t="s">
        <v>1743</v>
      </c>
      <c r="F91" s="288" t="s">
        <v>7863</v>
      </c>
      <c r="G91" s="288" t="s">
        <v>7864</v>
      </c>
      <c r="H91" s="288" t="s">
        <v>7828</v>
      </c>
      <c r="I91" s="289" t="s">
        <v>1736</v>
      </c>
      <c r="J91" s="289" t="s">
        <v>4913</v>
      </c>
      <c r="K91" s="289" t="s">
        <v>4913</v>
      </c>
      <c r="L91" s="289" t="s">
        <v>1736</v>
      </c>
      <c r="M91" s="289" t="s">
        <v>4913</v>
      </c>
      <c r="N91" s="288" t="s">
        <v>7371</v>
      </c>
      <c r="O91" s="288" t="s">
        <v>7371</v>
      </c>
      <c r="P91" s="288" t="s">
        <v>7766</v>
      </c>
      <c r="Q91" s="288"/>
      <c r="R91" s="288"/>
      <c r="S91" s="288"/>
      <c r="T91" s="288"/>
      <c r="U91" s="288"/>
      <c r="V91" s="288"/>
      <c r="W91" s="288"/>
      <c r="X91" s="36" t="s">
        <v>76</v>
      </c>
    </row>
    <row r="92" spans="1:24">
      <c r="A92" s="774"/>
      <c r="B92" s="219" t="s">
        <v>7865</v>
      </c>
      <c r="C92" s="288" t="s">
        <v>7866</v>
      </c>
      <c r="D92" s="288"/>
      <c r="E92" s="289" t="s">
        <v>1732</v>
      </c>
      <c r="F92" s="288" t="s">
        <v>7867</v>
      </c>
      <c r="G92" s="288" t="s">
        <v>7868</v>
      </c>
      <c r="H92" s="288" t="s">
        <v>7818</v>
      </c>
      <c r="I92" s="289" t="s">
        <v>1736</v>
      </c>
      <c r="J92" s="289" t="s">
        <v>4913</v>
      </c>
      <c r="K92" s="289" t="s">
        <v>4913</v>
      </c>
      <c r="L92" s="289" t="s">
        <v>1736</v>
      </c>
      <c r="M92" s="289" t="s">
        <v>4913</v>
      </c>
      <c r="N92" s="288" t="s">
        <v>7371</v>
      </c>
      <c r="O92" s="288" t="s">
        <v>7371</v>
      </c>
      <c r="P92" s="288" t="s">
        <v>7766</v>
      </c>
      <c r="Q92" s="288"/>
      <c r="R92" s="288"/>
      <c r="S92" s="288"/>
      <c r="T92" s="288"/>
      <c r="U92" s="288"/>
      <c r="V92" s="288"/>
      <c r="W92" s="288"/>
      <c r="X92" s="36" t="s">
        <v>7393</v>
      </c>
    </row>
    <row r="93" spans="1:24">
      <c r="A93" s="774"/>
      <c r="B93" s="219" t="s">
        <v>7869</v>
      </c>
      <c r="C93" s="288" t="s">
        <v>7870</v>
      </c>
      <c r="D93" s="288"/>
      <c r="E93" s="289" t="s">
        <v>1743</v>
      </c>
      <c r="F93" s="288" t="s">
        <v>7871</v>
      </c>
      <c r="G93" s="288" t="s">
        <v>7872</v>
      </c>
      <c r="H93" s="288" t="s">
        <v>7828</v>
      </c>
      <c r="I93" s="289" t="s">
        <v>1736</v>
      </c>
      <c r="J93" s="289" t="s">
        <v>4913</v>
      </c>
      <c r="K93" s="289" t="s">
        <v>4913</v>
      </c>
      <c r="L93" s="289" t="s">
        <v>1736</v>
      </c>
      <c r="M93" s="289" t="s">
        <v>4913</v>
      </c>
      <c r="N93" s="288" t="s">
        <v>7371</v>
      </c>
      <c r="O93" s="288" t="s">
        <v>7371</v>
      </c>
      <c r="P93" s="288" t="s">
        <v>7766</v>
      </c>
      <c r="Q93" s="288"/>
      <c r="R93" s="288"/>
      <c r="S93" s="288"/>
      <c r="T93" s="288"/>
      <c r="U93" s="288"/>
      <c r="V93" s="288"/>
      <c r="W93" s="288"/>
      <c r="X93" s="36" t="s">
        <v>76</v>
      </c>
    </row>
    <row r="94" spans="1:24">
      <c r="A94" s="774"/>
      <c r="B94" s="219" t="s">
        <v>7873</v>
      </c>
      <c r="C94" s="288" t="s">
        <v>7874</v>
      </c>
      <c r="D94" s="288"/>
      <c r="E94" s="289" t="s">
        <v>1732</v>
      </c>
      <c r="F94" s="288" t="s">
        <v>7875</v>
      </c>
      <c r="G94" s="288" t="s">
        <v>7876</v>
      </c>
      <c r="H94" s="288" t="s">
        <v>7818</v>
      </c>
      <c r="I94" s="289" t="s">
        <v>1736</v>
      </c>
      <c r="J94" s="289" t="s">
        <v>4913</v>
      </c>
      <c r="K94" s="289" t="s">
        <v>4913</v>
      </c>
      <c r="L94" s="289" t="s">
        <v>1736</v>
      </c>
      <c r="M94" s="289" t="s">
        <v>4913</v>
      </c>
      <c r="N94" s="288" t="s">
        <v>7371</v>
      </c>
      <c r="O94" s="288" t="s">
        <v>7371</v>
      </c>
      <c r="P94" s="288" t="s">
        <v>7766</v>
      </c>
      <c r="Q94" s="288"/>
      <c r="R94" s="288"/>
      <c r="S94" s="288"/>
      <c r="T94" s="288"/>
      <c r="U94" s="288"/>
      <c r="V94" s="288"/>
      <c r="W94" s="288"/>
      <c r="X94" s="36" t="s">
        <v>7393</v>
      </c>
    </row>
    <row r="95" spans="1:24">
      <c r="A95" s="774"/>
      <c r="B95" s="219" t="s">
        <v>7877</v>
      </c>
      <c r="C95" s="288" t="s">
        <v>7878</v>
      </c>
      <c r="D95" s="288"/>
      <c r="E95" s="289" t="s">
        <v>1743</v>
      </c>
      <c r="F95" s="288" t="s">
        <v>7879</v>
      </c>
      <c r="G95" s="288" t="s">
        <v>7880</v>
      </c>
      <c r="H95" s="288" t="s">
        <v>7828</v>
      </c>
      <c r="I95" s="289" t="s">
        <v>1736</v>
      </c>
      <c r="J95" s="289" t="s">
        <v>4913</v>
      </c>
      <c r="K95" s="289" t="s">
        <v>4913</v>
      </c>
      <c r="L95" s="289" t="s">
        <v>1736</v>
      </c>
      <c r="M95" s="289" t="s">
        <v>4913</v>
      </c>
      <c r="N95" s="288" t="s">
        <v>7371</v>
      </c>
      <c r="O95" s="288" t="s">
        <v>7371</v>
      </c>
      <c r="P95" s="288" t="s">
        <v>7766</v>
      </c>
      <c r="Q95" s="288"/>
      <c r="R95" s="288"/>
      <c r="S95" s="288"/>
      <c r="T95" s="288"/>
      <c r="U95" s="288"/>
      <c r="V95" s="288"/>
      <c r="W95" s="288"/>
      <c r="X95" s="36" t="s">
        <v>76</v>
      </c>
    </row>
    <row r="96" spans="1:24">
      <c r="A96" s="774"/>
      <c r="B96" s="219" t="s">
        <v>7881</v>
      </c>
      <c r="C96" s="288" t="s">
        <v>7882</v>
      </c>
      <c r="D96" s="288"/>
      <c r="E96" s="289" t="s">
        <v>1732</v>
      </c>
      <c r="F96" s="288" t="s">
        <v>7883</v>
      </c>
      <c r="G96" s="288" t="s">
        <v>7884</v>
      </c>
      <c r="H96" s="288" t="s">
        <v>7818</v>
      </c>
      <c r="I96" s="289" t="s">
        <v>1736</v>
      </c>
      <c r="J96" s="289" t="s">
        <v>4913</v>
      </c>
      <c r="K96" s="289" t="s">
        <v>4913</v>
      </c>
      <c r="L96" s="289" t="s">
        <v>1736</v>
      </c>
      <c r="M96" s="289" t="s">
        <v>4913</v>
      </c>
      <c r="N96" s="288" t="s">
        <v>7371</v>
      </c>
      <c r="O96" s="288" t="s">
        <v>7371</v>
      </c>
      <c r="P96" s="288" t="s">
        <v>7766</v>
      </c>
      <c r="Q96" s="288"/>
      <c r="R96" s="288"/>
      <c r="S96" s="288"/>
      <c r="T96" s="288"/>
      <c r="U96" s="288"/>
      <c r="V96" s="288"/>
      <c r="W96" s="288"/>
      <c r="X96" s="36" t="s">
        <v>7393</v>
      </c>
    </row>
    <row r="97" spans="1:24">
      <c r="A97" s="774"/>
      <c r="B97" s="219" t="s">
        <v>7885</v>
      </c>
      <c r="C97" s="288" t="s">
        <v>7886</v>
      </c>
      <c r="D97" s="288"/>
      <c r="E97" s="289" t="s">
        <v>1743</v>
      </c>
      <c r="F97" s="288" t="s">
        <v>7887</v>
      </c>
      <c r="G97" s="288" t="s">
        <v>7884</v>
      </c>
      <c r="H97" s="288" t="s">
        <v>7828</v>
      </c>
      <c r="I97" s="289" t="s">
        <v>1736</v>
      </c>
      <c r="J97" s="289" t="s">
        <v>4913</v>
      </c>
      <c r="K97" s="289" t="s">
        <v>4913</v>
      </c>
      <c r="L97" s="289" t="s">
        <v>1736</v>
      </c>
      <c r="M97" s="289" t="s">
        <v>4913</v>
      </c>
      <c r="N97" s="288" t="s">
        <v>7371</v>
      </c>
      <c r="O97" s="288" t="s">
        <v>7371</v>
      </c>
      <c r="P97" s="288" t="s">
        <v>7766</v>
      </c>
      <c r="Q97" s="288"/>
      <c r="R97" s="288"/>
      <c r="S97" s="288"/>
      <c r="T97" s="288"/>
      <c r="U97" s="288"/>
      <c r="V97" s="288"/>
      <c r="W97" s="288"/>
      <c r="X97" s="36" t="s">
        <v>76</v>
      </c>
    </row>
    <row r="98" spans="1:24">
      <c r="A98" s="774"/>
      <c r="B98" s="219" t="s">
        <v>7888</v>
      </c>
      <c r="C98" s="288" t="s">
        <v>7889</v>
      </c>
      <c r="D98" s="288"/>
      <c r="E98" s="289" t="s">
        <v>1732</v>
      </c>
      <c r="F98" s="288" t="s">
        <v>7890</v>
      </c>
      <c r="G98" s="288" t="s">
        <v>7891</v>
      </c>
      <c r="H98" s="288" t="s">
        <v>7818</v>
      </c>
      <c r="I98" s="289" t="s">
        <v>1736</v>
      </c>
      <c r="J98" s="289" t="s">
        <v>4913</v>
      </c>
      <c r="K98" s="289" t="s">
        <v>4913</v>
      </c>
      <c r="L98" s="289" t="s">
        <v>1736</v>
      </c>
      <c r="M98" s="289" t="s">
        <v>4913</v>
      </c>
      <c r="N98" s="288" t="s">
        <v>7371</v>
      </c>
      <c r="O98" s="288" t="s">
        <v>7371</v>
      </c>
      <c r="P98" s="288" t="s">
        <v>7766</v>
      </c>
      <c r="Q98" s="288"/>
      <c r="R98" s="288"/>
      <c r="S98" s="288"/>
      <c r="T98" s="288"/>
      <c r="U98" s="288"/>
      <c r="V98" s="288"/>
      <c r="W98" s="288"/>
      <c r="X98" s="36" t="s">
        <v>7393</v>
      </c>
    </row>
    <row r="99" spans="1:24">
      <c r="A99" s="774"/>
      <c r="B99" s="219" t="s">
        <v>7892</v>
      </c>
      <c r="C99" s="288" t="s">
        <v>7893</v>
      </c>
      <c r="D99" s="288"/>
      <c r="E99" s="289" t="s">
        <v>1732</v>
      </c>
      <c r="F99" s="288" t="s">
        <v>7894</v>
      </c>
      <c r="G99" s="288" t="s">
        <v>7895</v>
      </c>
      <c r="H99" s="288" t="s">
        <v>7818</v>
      </c>
      <c r="I99" s="289" t="s">
        <v>1736</v>
      </c>
      <c r="J99" s="289" t="s">
        <v>4913</v>
      </c>
      <c r="K99" s="289" t="s">
        <v>4913</v>
      </c>
      <c r="L99" s="289" t="s">
        <v>1736</v>
      </c>
      <c r="M99" s="289" t="s">
        <v>4913</v>
      </c>
      <c r="N99" s="288" t="s">
        <v>7371</v>
      </c>
      <c r="O99" s="288" t="s">
        <v>7371</v>
      </c>
      <c r="P99" s="288" t="s">
        <v>7766</v>
      </c>
      <c r="Q99" s="288"/>
      <c r="R99" s="288"/>
      <c r="S99" s="288"/>
      <c r="T99" s="288"/>
      <c r="U99" s="288"/>
      <c r="V99" s="288"/>
      <c r="W99" s="288"/>
      <c r="X99" s="36" t="s">
        <v>76</v>
      </c>
    </row>
    <row r="100" spans="1:24">
      <c r="A100" s="774"/>
      <c r="B100" s="219" t="s">
        <v>7896</v>
      </c>
      <c r="C100" s="288" t="s">
        <v>7897</v>
      </c>
      <c r="D100" s="288"/>
      <c r="E100" s="289" t="s">
        <v>1743</v>
      </c>
      <c r="F100" s="288" t="s">
        <v>7898</v>
      </c>
      <c r="G100" s="288" t="s">
        <v>7899</v>
      </c>
      <c r="H100" s="288" t="s">
        <v>7828</v>
      </c>
      <c r="I100" s="289" t="s">
        <v>1736</v>
      </c>
      <c r="J100" s="289" t="s">
        <v>4913</v>
      </c>
      <c r="K100" s="289" t="s">
        <v>4913</v>
      </c>
      <c r="L100" s="289" t="s">
        <v>1736</v>
      </c>
      <c r="M100" s="289" t="s">
        <v>4913</v>
      </c>
      <c r="N100" s="288" t="s">
        <v>7371</v>
      </c>
      <c r="O100" s="288" t="s">
        <v>7371</v>
      </c>
      <c r="P100" s="288" t="s">
        <v>7766</v>
      </c>
      <c r="Q100" s="288"/>
      <c r="R100" s="288"/>
      <c r="S100" s="288"/>
      <c r="T100" s="288"/>
      <c r="U100" s="288"/>
      <c r="V100" s="288"/>
      <c r="W100" s="288"/>
      <c r="X100" s="36" t="s">
        <v>7393</v>
      </c>
    </row>
    <row r="101" spans="1:24">
      <c r="A101" s="774"/>
      <c r="B101" s="219" t="s">
        <v>7900</v>
      </c>
      <c r="C101" s="288" t="s">
        <v>7901</v>
      </c>
      <c r="D101" s="288"/>
      <c r="E101" s="289" t="s">
        <v>1732</v>
      </c>
      <c r="F101" s="288" t="s">
        <v>7902</v>
      </c>
      <c r="G101" s="288" t="s">
        <v>7903</v>
      </c>
      <c r="H101" s="288" t="s">
        <v>7818</v>
      </c>
      <c r="I101" s="289" t="s">
        <v>1736</v>
      </c>
      <c r="J101" s="289" t="s">
        <v>4913</v>
      </c>
      <c r="K101" s="289" t="s">
        <v>4913</v>
      </c>
      <c r="L101" s="289" t="s">
        <v>1736</v>
      </c>
      <c r="M101" s="289" t="s">
        <v>4913</v>
      </c>
      <c r="N101" s="288" t="s">
        <v>7371</v>
      </c>
      <c r="O101" s="288" t="s">
        <v>7371</v>
      </c>
      <c r="P101" s="288" t="s">
        <v>7766</v>
      </c>
      <c r="Q101" s="288"/>
      <c r="R101" s="288"/>
      <c r="S101" s="288"/>
      <c r="T101" s="288"/>
      <c r="U101" s="288"/>
      <c r="V101" s="288"/>
      <c r="W101" s="288"/>
      <c r="X101" s="36" t="s">
        <v>76</v>
      </c>
    </row>
    <row r="102" spans="1:24">
      <c r="A102" s="774"/>
      <c r="B102" s="219" t="s">
        <v>7904</v>
      </c>
      <c r="C102" s="288" t="s">
        <v>7905</v>
      </c>
      <c r="D102" s="288"/>
      <c r="E102" s="289" t="s">
        <v>1732</v>
      </c>
      <c r="F102" s="288" t="s">
        <v>7906</v>
      </c>
      <c r="G102" s="288" t="s">
        <v>7895</v>
      </c>
      <c r="H102" s="288" t="s">
        <v>7818</v>
      </c>
      <c r="I102" s="289" t="s">
        <v>1736</v>
      </c>
      <c r="J102" s="289" t="s">
        <v>4913</v>
      </c>
      <c r="K102" s="289" t="s">
        <v>4913</v>
      </c>
      <c r="L102" s="289" t="s">
        <v>1736</v>
      </c>
      <c r="M102" s="289" t="s">
        <v>4913</v>
      </c>
      <c r="N102" s="288" t="s">
        <v>7371</v>
      </c>
      <c r="O102" s="288" t="s">
        <v>7371</v>
      </c>
      <c r="P102" s="288" t="s">
        <v>7766</v>
      </c>
      <c r="Q102" s="288"/>
      <c r="R102" s="288"/>
      <c r="S102" s="288"/>
      <c r="T102" s="288"/>
      <c r="U102" s="288"/>
      <c r="V102" s="288"/>
      <c r="W102" s="288"/>
      <c r="X102" s="36" t="s">
        <v>7393</v>
      </c>
    </row>
    <row r="103" spans="1:24">
      <c r="A103" s="774"/>
      <c r="B103" s="219" t="s">
        <v>7907</v>
      </c>
      <c r="C103" s="288" t="s">
        <v>7908</v>
      </c>
      <c r="D103" s="288"/>
      <c r="E103" s="289" t="s">
        <v>1743</v>
      </c>
      <c r="F103" s="288" t="s">
        <v>7909</v>
      </c>
      <c r="G103" s="288" t="s">
        <v>7910</v>
      </c>
      <c r="H103" s="288" t="s">
        <v>7828</v>
      </c>
      <c r="I103" s="289" t="s">
        <v>1736</v>
      </c>
      <c r="J103" s="289" t="s">
        <v>4913</v>
      </c>
      <c r="K103" s="289" t="s">
        <v>4913</v>
      </c>
      <c r="L103" s="289" t="s">
        <v>1736</v>
      </c>
      <c r="M103" s="289" t="s">
        <v>4913</v>
      </c>
      <c r="N103" s="288" t="s">
        <v>7371</v>
      </c>
      <c r="O103" s="288" t="s">
        <v>7371</v>
      </c>
      <c r="P103" s="288" t="s">
        <v>7766</v>
      </c>
      <c r="Q103" s="288"/>
      <c r="R103" s="288"/>
      <c r="S103" s="288"/>
      <c r="T103" s="288"/>
      <c r="U103" s="288"/>
      <c r="V103" s="288"/>
      <c r="W103" s="288"/>
      <c r="X103" s="36" t="s">
        <v>76</v>
      </c>
    </row>
    <row r="104" spans="1:24">
      <c r="A104" s="774"/>
      <c r="B104" s="219" t="s">
        <v>7911</v>
      </c>
      <c r="C104" s="288" t="s">
        <v>7912</v>
      </c>
      <c r="D104" s="288"/>
      <c r="E104" s="289" t="s">
        <v>1732</v>
      </c>
      <c r="F104" s="288" t="s">
        <v>7913</v>
      </c>
      <c r="G104" s="288" t="s">
        <v>7895</v>
      </c>
      <c r="H104" s="288" t="s">
        <v>7823</v>
      </c>
      <c r="I104" s="289" t="s">
        <v>1736</v>
      </c>
      <c r="J104" s="289" t="s">
        <v>4913</v>
      </c>
      <c r="K104" s="289" t="s">
        <v>4913</v>
      </c>
      <c r="L104" s="289" t="s">
        <v>1736</v>
      </c>
      <c r="M104" s="289" t="s">
        <v>4913</v>
      </c>
      <c r="N104" s="288" t="s">
        <v>7371</v>
      </c>
      <c r="O104" s="288" t="s">
        <v>7371</v>
      </c>
      <c r="P104" s="288" t="s">
        <v>7766</v>
      </c>
      <c r="Q104" s="288"/>
      <c r="R104" s="288"/>
      <c r="S104" s="288"/>
      <c r="T104" s="288"/>
      <c r="U104" s="288"/>
      <c r="V104" s="288"/>
      <c r="W104" s="288"/>
      <c r="X104" s="36" t="s">
        <v>7393</v>
      </c>
    </row>
    <row r="105" spans="1:24">
      <c r="A105" s="774"/>
      <c r="B105" s="219" t="s">
        <v>7914</v>
      </c>
      <c r="C105" s="288" t="s">
        <v>7915</v>
      </c>
      <c r="D105" s="288"/>
      <c r="E105" s="289" t="s">
        <v>1743</v>
      </c>
      <c r="F105" s="288" t="s">
        <v>7916</v>
      </c>
      <c r="G105" s="288" t="s">
        <v>7917</v>
      </c>
      <c r="H105" s="288" t="s">
        <v>7828</v>
      </c>
      <c r="I105" s="289" t="s">
        <v>1736</v>
      </c>
      <c r="J105" s="289" t="s">
        <v>1736</v>
      </c>
      <c r="K105" s="289" t="s">
        <v>4913</v>
      </c>
      <c r="L105" s="289" t="s">
        <v>1736</v>
      </c>
      <c r="M105" s="289" t="s">
        <v>4913</v>
      </c>
      <c r="N105" s="288" t="s">
        <v>7371</v>
      </c>
      <c r="O105" s="288" t="s">
        <v>7371</v>
      </c>
      <c r="P105" s="288" t="s">
        <v>7766</v>
      </c>
      <c r="Q105" s="288"/>
      <c r="R105" s="288"/>
      <c r="S105" s="288"/>
      <c r="T105" s="288"/>
      <c r="U105" s="288"/>
      <c r="V105" s="288"/>
      <c r="W105" s="288"/>
      <c r="X105" s="36" t="s">
        <v>76</v>
      </c>
    </row>
    <row r="106" spans="1:24">
      <c r="A106" s="774"/>
      <c r="B106" s="219" t="s">
        <v>7918</v>
      </c>
      <c r="C106" s="288" t="s">
        <v>7919</v>
      </c>
      <c r="D106" s="288"/>
      <c r="E106" s="289" t="s">
        <v>1732</v>
      </c>
      <c r="F106" s="288" t="s">
        <v>7920</v>
      </c>
      <c r="G106" s="288" t="s">
        <v>7895</v>
      </c>
      <c r="H106" s="288" t="s">
        <v>7818</v>
      </c>
      <c r="I106" s="289" t="s">
        <v>1736</v>
      </c>
      <c r="J106" s="289" t="s">
        <v>4913</v>
      </c>
      <c r="K106" s="289" t="s">
        <v>4913</v>
      </c>
      <c r="L106" s="289" t="s">
        <v>1736</v>
      </c>
      <c r="M106" s="289" t="s">
        <v>4913</v>
      </c>
      <c r="N106" s="288" t="s">
        <v>7371</v>
      </c>
      <c r="O106" s="288" t="s">
        <v>7371</v>
      </c>
      <c r="P106" s="288" t="s">
        <v>7766</v>
      </c>
      <c r="Q106" s="288"/>
      <c r="R106" s="288"/>
      <c r="S106" s="288"/>
      <c r="T106" s="288"/>
      <c r="U106" s="288"/>
      <c r="V106" s="288"/>
      <c r="W106" s="288"/>
      <c r="X106" s="36" t="s">
        <v>7393</v>
      </c>
    </row>
    <row r="107" spans="1:24">
      <c r="A107" s="774"/>
      <c r="B107" s="219" t="s">
        <v>7921</v>
      </c>
      <c r="C107" s="288" t="s">
        <v>7922</v>
      </c>
      <c r="D107" s="288"/>
      <c r="E107" s="289" t="s">
        <v>1743</v>
      </c>
      <c r="F107" s="288" t="s">
        <v>7855</v>
      </c>
      <c r="G107" s="288" t="s">
        <v>7895</v>
      </c>
      <c r="H107" s="288" t="s">
        <v>7828</v>
      </c>
      <c r="I107" s="289" t="s">
        <v>1736</v>
      </c>
      <c r="J107" s="289" t="s">
        <v>4913</v>
      </c>
      <c r="K107" s="289" t="s">
        <v>4913</v>
      </c>
      <c r="L107" s="289" t="s">
        <v>1736</v>
      </c>
      <c r="M107" s="289" t="s">
        <v>4913</v>
      </c>
      <c r="N107" s="288" t="s">
        <v>7371</v>
      </c>
      <c r="O107" s="288" t="s">
        <v>7371</v>
      </c>
      <c r="P107" s="288" t="s">
        <v>7766</v>
      </c>
      <c r="Q107" s="288"/>
      <c r="R107" s="288"/>
      <c r="S107" s="288"/>
      <c r="T107" s="288"/>
      <c r="U107" s="288"/>
      <c r="V107" s="288"/>
      <c r="W107" s="288"/>
      <c r="X107" s="36" t="s">
        <v>76</v>
      </c>
    </row>
    <row r="108" spans="1:24">
      <c r="A108" s="774"/>
      <c r="B108" s="219" t="s">
        <v>7923</v>
      </c>
      <c r="C108" s="288" t="s">
        <v>7924</v>
      </c>
      <c r="D108" s="288"/>
      <c r="E108" s="289" t="s">
        <v>1732</v>
      </c>
      <c r="F108" s="288" t="s">
        <v>7925</v>
      </c>
      <c r="G108" s="288" t="s">
        <v>7926</v>
      </c>
      <c r="H108" s="288" t="s">
        <v>7818</v>
      </c>
      <c r="I108" s="289" t="s">
        <v>1736</v>
      </c>
      <c r="J108" s="289" t="s">
        <v>4913</v>
      </c>
      <c r="K108" s="289" t="s">
        <v>4913</v>
      </c>
      <c r="L108" s="289" t="s">
        <v>1736</v>
      </c>
      <c r="M108" s="289" t="s">
        <v>4913</v>
      </c>
      <c r="N108" s="288" t="s">
        <v>7371</v>
      </c>
      <c r="O108" s="288" t="s">
        <v>7371</v>
      </c>
      <c r="P108" s="288" t="s">
        <v>7766</v>
      </c>
      <c r="Q108" s="288"/>
      <c r="R108" s="288"/>
      <c r="S108" s="288"/>
      <c r="T108" s="288"/>
      <c r="U108" s="288"/>
      <c r="V108" s="288"/>
      <c r="W108" s="288"/>
      <c r="X108" s="36" t="s">
        <v>7393</v>
      </c>
    </row>
    <row r="109" spans="1:24">
      <c r="A109" s="774"/>
      <c r="B109" s="219" t="s">
        <v>7927</v>
      </c>
      <c r="C109" s="288" t="s">
        <v>7928</v>
      </c>
      <c r="D109" s="288"/>
      <c r="E109" s="289" t="s">
        <v>1743</v>
      </c>
      <c r="F109" s="288" t="s">
        <v>7929</v>
      </c>
      <c r="G109" s="288" t="s">
        <v>7930</v>
      </c>
      <c r="H109" s="288" t="s">
        <v>7828</v>
      </c>
      <c r="I109" s="289" t="s">
        <v>1736</v>
      </c>
      <c r="J109" s="289" t="s">
        <v>4913</v>
      </c>
      <c r="K109" s="289" t="s">
        <v>4913</v>
      </c>
      <c r="L109" s="289" t="s">
        <v>1736</v>
      </c>
      <c r="M109" s="289" t="s">
        <v>4913</v>
      </c>
      <c r="N109" s="288" t="s">
        <v>7371</v>
      </c>
      <c r="O109" s="288" t="s">
        <v>7371</v>
      </c>
      <c r="P109" s="288" t="s">
        <v>7766</v>
      </c>
      <c r="Q109" s="288"/>
      <c r="R109" s="288"/>
      <c r="S109" s="288"/>
      <c r="T109" s="288"/>
      <c r="U109" s="288"/>
      <c r="V109" s="288"/>
      <c r="W109" s="288"/>
      <c r="X109" s="36" t="s">
        <v>76</v>
      </c>
    </row>
    <row r="110" spans="1:24">
      <c r="A110" s="774"/>
      <c r="B110" s="219" t="s">
        <v>7931</v>
      </c>
      <c r="C110" s="288" t="s">
        <v>7932</v>
      </c>
      <c r="D110" s="288"/>
      <c r="E110" s="289" t="s">
        <v>1732</v>
      </c>
      <c r="F110" s="288" t="s">
        <v>7867</v>
      </c>
      <c r="G110" s="288" t="s">
        <v>7933</v>
      </c>
      <c r="H110" s="288" t="s">
        <v>7818</v>
      </c>
      <c r="I110" s="289" t="s">
        <v>1736</v>
      </c>
      <c r="J110" s="289" t="s">
        <v>4913</v>
      </c>
      <c r="K110" s="289" t="s">
        <v>4913</v>
      </c>
      <c r="L110" s="289" t="s">
        <v>1736</v>
      </c>
      <c r="M110" s="289" t="s">
        <v>4913</v>
      </c>
      <c r="N110" s="288" t="s">
        <v>7371</v>
      </c>
      <c r="O110" s="288" t="s">
        <v>7371</v>
      </c>
      <c r="P110" s="288" t="s">
        <v>7766</v>
      </c>
      <c r="Q110" s="288"/>
      <c r="R110" s="288"/>
      <c r="S110" s="288"/>
      <c r="T110" s="288"/>
      <c r="U110" s="288"/>
      <c r="V110" s="288"/>
      <c r="W110" s="288"/>
      <c r="X110" s="36" t="s">
        <v>7393</v>
      </c>
    </row>
    <row r="111" spans="1:24">
      <c r="A111" s="774"/>
      <c r="B111" s="219" t="s">
        <v>7934</v>
      </c>
      <c r="C111" s="288" t="s">
        <v>7935</v>
      </c>
      <c r="D111" s="288"/>
      <c r="E111" s="289" t="s">
        <v>1743</v>
      </c>
      <c r="F111" s="288" t="s">
        <v>7871</v>
      </c>
      <c r="G111" s="288" t="s">
        <v>7936</v>
      </c>
      <c r="H111" s="288" t="s">
        <v>7828</v>
      </c>
      <c r="I111" s="289" t="s">
        <v>1736</v>
      </c>
      <c r="J111" s="289" t="s">
        <v>4913</v>
      </c>
      <c r="K111" s="289" t="s">
        <v>4913</v>
      </c>
      <c r="L111" s="289" t="s">
        <v>1736</v>
      </c>
      <c r="M111" s="289" t="s">
        <v>4913</v>
      </c>
      <c r="N111" s="288" t="s">
        <v>7371</v>
      </c>
      <c r="O111" s="288" t="s">
        <v>7371</v>
      </c>
      <c r="P111" s="288" t="s">
        <v>7766</v>
      </c>
      <c r="Q111" s="288"/>
      <c r="R111" s="288"/>
      <c r="S111" s="288"/>
      <c r="T111" s="288"/>
      <c r="U111" s="288"/>
      <c r="V111" s="288"/>
      <c r="W111" s="288"/>
      <c r="X111" s="36" t="s">
        <v>76</v>
      </c>
    </row>
    <row r="112" spans="1:24">
      <c r="A112" s="774"/>
      <c r="B112" s="219" t="s">
        <v>7937</v>
      </c>
      <c r="C112" s="288" t="s">
        <v>7938</v>
      </c>
      <c r="D112" s="288"/>
      <c r="E112" s="289" t="s">
        <v>1732</v>
      </c>
      <c r="F112" s="288" t="s">
        <v>7875</v>
      </c>
      <c r="G112" s="288" t="s">
        <v>7939</v>
      </c>
      <c r="H112" s="288" t="s">
        <v>7818</v>
      </c>
      <c r="I112" s="289" t="s">
        <v>1736</v>
      </c>
      <c r="J112" s="289" t="s">
        <v>4913</v>
      </c>
      <c r="K112" s="289" t="s">
        <v>4913</v>
      </c>
      <c r="L112" s="289" t="s">
        <v>1736</v>
      </c>
      <c r="M112" s="289" t="s">
        <v>4913</v>
      </c>
      <c r="N112" s="288" t="s">
        <v>7371</v>
      </c>
      <c r="O112" s="288" t="s">
        <v>7371</v>
      </c>
      <c r="P112" s="288" t="s">
        <v>7766</v>
      </c>
      <c r="Q112" s="288"/>
      <c r="R112" s="288"/>
      <c r="S112" s="288"/>
      <c r="T112" s="288"/>
      <c r="U112" s="288"/>
      <c r="V112" s="288"/>
      <c r="W112" s="288"/>
      <c r="X112" s="36" t="s">
        <v>7393</v>
      </c>
    </row>
    <row r="113" spans="1:24">
      <c r="A113" s="774"/>
      <c r="B113" s="219" t="s">
        <v>7940</v>
      </c>
      <c r="C113" s="288" t="s">
        <v>7941</v>
      </c>
      <c r="D113" s="288"/>
      <c r="E113" s="289" t="s">
        <v>1732</v>
      </c>
      <c r="F113" s="288" t="s">
        <v>7942</v>
      </c>
      <c r="G113" s="288" t="s">
        <v>7903</v>
      </c>
      <c r="H113" s="288" t="s">
        <v>7818</v>
      </c>
      <c r="I113" s="289" t="s">
        <v>1736</v>
      </c>
      <c r="J113" s="289" t="s">
        <v>4913</v>
      </c>
      <c r="K113" s="289" t="s">
        <v>4913</v>
      </c>
      <c r="L113" s="289" t="s">
        <v>1736</v>
      </c>
      <c r="M113" s="289" t="s">
        <v>4913</v>
      </c>
      <c r="N113" s="288" t="s">
        <v>7371</v>
      </c>
      <c r="O113" s="288" t="s">
        <v>7371</v>
      </c>
      <c r="P113" s="288" t="s">
        <v>7766</v>
      </c>
      <c r="Q113" s="288"/>
      <c r="R113" s="288"/>
      <c r="S113" s="288"/>
      <c r="T113" s="288"/>
      <c r="U113" s="288"/>
      <c r="V113" s="288"/>
      <c r="W113" s="288"/>
      <c r="X113" s="36" t="s">
        <v>76</v>
      </c>
    </row>
    <row r="114" spans="1:24">
      <c r="A114" s="774"/>
      <c r="B114" s="219" t="s">
        <v>7943</v>
      </c>
      <c r="C114" s="288" t="s">
        <v>7944</v>
      </c>
      <c r="D114" s="288"/>
      <c r="E114" s="289" t="s">
        <v>1743</v>
      </c>
      <c r="F114" s="288" t="s">
        <v>7945</v>
      </c>
      <c r="G114" s="288" t="s">
        <v>7946</v>
      </c>
      <c r="H114" s="288" t="s">
        <v>7828</v>
      </c>
      <c r="I114" s="289" t="s">
        <v>1736</v>
      </c>
      <c r="J114" s="289" t="s">
        <v>4913</v>
      </c>
      <c r="K114" s="289" t="s">
        <v>4913</v>
      </c>
      <c r="L114" s="289" t="s">
        <v>1736</v>
      </c>
      <c r="M114" s="289" t="s">
        <v>4913</v>
      </c>
      <c r="N114" s="288" t="s">
        <v>7371</v>
      </c>
      <c r="O114" s="288" t="s">
        <v>7371</v>
      </c>
      <c r="P114" s="288" t="s">
        <v>7766</v>
      </c>
      <c r="Q114" s="288"/>
      <c r="R114" s="288"/>
      <c r="S114" s="288"/>
      <c r="T114" s="288"/>
      <c r="U114" s="288"/>
      <c r="V114" s="288"/>
      <c r="W114" s="288"/>
      <c r="X114" s="36" t="s">
        <v>7393</v>
      </c>
    </row>
    <row r="115" spans="1:24">
      <c r="A115" s="774"/>
      <c r="B115" s="219" t="s">
        <v>7947</v>
      </c>
      <c r="C115" s="288" t="s">
        <v>7948</v>
      </c>
      <c r="D115" s="288"/>
      <c r="E115" s="289" t="s">
        <v>1732</v>
      </c>
      <c r="F115" s="288" t="s">
        <v>7949</v>
      </c>
      <c r="G115" s="288" t="s">
        <v>7950</v>
      </c>
      <c r="H115" s="288" t="s">
        <v>7823</v>
      </c>
      <c r="I115" s="289" t="s">
        <v>1736</v>
      </c>
      <c r="J115" s="289" t="s">
        <v>4913</v>
      </c>
      <c r="K115" s="289" t="s">
        <v>4913</v>
      </c>
      <c r="L115" s="289" t="s">
        <v>4913</v>
      </c>
      <c r="M115" s="289" t="s">
        <v>4913</v>
      </c>
      <c r="N115" s="288" t="s">
        <v>7371</v>
      </c>
      <c r="O115" s="288" t="s">
        <v>7371</v>
      </c>
      <c r="P115" s="288" t="s">
        <v>7766</v>
      </c>
      <c r="Q115" s="288"/>
      <c r="R115" s="288"/>
      <c r="S115" s="288"/>
      <c r="T115" s="288"/>
      <c r="U115" s="288"/>
      <c r="V115" s="288"/>
      <c r="W115" s="288"/>
      <c r="X115" s="36" t="s">
        <v>76</v>
      </c>
    </row>
    <row r="116" spans="1:24">
      <c r="A116" s="774"/>
      <c r="B116" s="219" t="s">
        <v>7951</v>
      </c>
      <c r="C116" s="288" t="s">
        <v>7952</v>
      </c>
      <c r="D116" s="288"/>
      <c r="E116" s="289" t="s">
        <v>1732</v>
      </c>
      <c r="F116" s="288" t="s">
        <v>7953</v>
      </c>
      <c r="G116" s="288" t="s">
        <v>7954</v>
      </c>
      <c r="H116" s="288" t="s">
        <v>7818</v>
      </c>
      <c r="I116" s="289" t="s">
        <v>1736</v>
      </c>
      <c r="J116" s="289" t="s">
        <v>4913</v>
      </c>
      <c r="K116" s="289" t="s">
        <v>4913</v>
      </c>
      <c r="L116" s="289" t="s">
        <v>4913</v>
      </c>
      <c r="M116" s="289" t="s">
        <v>4913</v>
      </c>
      <c r="N116" s="288" t="s">
        <v>7371</v>
      </c>
      <c r="O116" s="288" t="s">
        <v>7371</v>
      </c>
      <c r="P116" s="288" t="s">
        <v>7766</v>
      </c>
      <c r="Q116" s="288"/>
      <c r="R116" s="288"/>
      <c r="S116" s="288"/>
      <c r="T116" s="288"/>
      <c r="U116" s="288"/>
      <c r="V116" s="288"/>
      <c r="W116" s="288"/>
      <c r="X116" s="36" t="s">
        <v>7393</v>
      </c>
    </row>
    <row r="117" spans="1:24">
      <c r="A117" s="774"/>
      <c r="B117" s="219" t="s">
        <v>7955</v>
      </c>
      <c r="C117" s="288" t="s">
        <v>7956</v>
      </c>
      <c r="D117" s="288"/>
      <c r="E117" s="289" t="s">
        <v>1743</v>
      </c>
      <c r="F117" s="288" t="s">
        <v>7957</v>
      </c>
      <c r="G117" s="288" t="s">
        <v>7958</v>
      </c>
      <c r="H117" s="288" t="s">
        <v>7828</v>
      </c>
      <c r="I117" s="289" t="s">
        <v>1736</v>
      </c>
      <c r="J117" s="289" t="s">
        <v>4913</v>
      </c>
      <c r="K117" s="289" t="s">
        <v>4913</v>
      </c>
      <c r="L117" s="289" t="s">
        <v>4913</v>
      </c>
      <c r="M117" s="289" t="s">
        <v>4913</v>
      </c>
      <c r="N117" s="288" t="s">
        <v>7371</v>
      </c>
      <c r="O117" s="288" t="s">
        <v>7371</v>
      </c>
      <c r="P117" s="288" t="s">
        <v>7766</v>
      </c>
      <c r="Q117" s="288"/>
      <c r="R117" s="288"/>
      <c r="S117" s="288"/>
      <c r="T117" s="288"/>
      <c r="U117" s="288"/>
      <c r="V117" s="288"/>
      <c r="W117" s="288"/>
      <c r="X117" s="36" t="s">
        <v>76</v>
      </c>
    </row>
    <row r="118" spans="1:24">
      <c r="A118" s="774"/>
      <c r="B118" s="219" t="s">
        <v>7959</v>
      </c>
      <c r="C118" s="288" t="s">
        <v>7960</v>
      </c>
      <c r="D118" s="288"/>
      <c r="E118" s="289" t="s">
        <v>1732</v>
      </c>
      <c r="F118" s="288" t="s">
        <v>7831</v>
      </c>
      <c r="G118" s="288" t="s">
        <v>7954</v>
      </c>
      <c r="H118" s="288" t="s">
        <v>7818</v>
      </c>
      <c r="I118" s="289" t="s">
        <v>1736</v>
      </c>
      <c r="J118" s="289" t="s">
        <v>4913</v>
      </c>
      <c r="K118" s="289" t="s">
        <v>4913</v>
      </c>
      <c r="L118" s="289" t="s">
        <v>4913</v>
      </c>
      <c r="M118" s="289" t="s">
        <v>4913</v>
      </c>
      <c r="N118" s="288" t="s">
        <v>7371</v>
      </c>
      <c r="O118" s="288" t="s">
        <v>7371</v>
      </c>
      <c r="P118" s="288" t="s">
        <v>7766</v>
      </c>
      <c r="Q118" s="288"/>
      <c r="R118" s="288"/>
      <c r="S118" s="288"/>
      <c r="T118" s="288"/>
      <c r="U118" s="288"/>
      <c r="V118" s="288"/>
      <c r="W118" s="288"/>
      <c r="X118" s="36" t="s">
        <v>7393</v>
      </c>
    </row>
    <row r="119" spans="1:24">
      <c r="A119" s="774"/>
      <c r="B119" s="219" t="s">
        <v>7961</v>
      </c>
      <c r="C119" s="288" t="s">
        <v>7962</v>
      </c>
      <c r="D119" s="288"/>
      <c r="E119" s="289" t="s">
        <v>1732</v>
      </c>
      <c r="F119" s="288" t="s">
        <v>7963</v>
      </c>
      <c r="G119" s="288" t="s">
        <v>7954</v>
      </c>
      <c r="H119" s="288" t="s">
        <v>7818</v>
      </c>
      <c r="I119" s="289" t="s">
        <v>1736</v>
      </c>
      <c r="J119" s="289" t="s">
        <v>4913</v>
      </c>
      <c r="K119" s="289" t="s">
        <v>4913</v>
      </c>
      <c r="L119" s="289" t="s">
        <v>4913</v>
      </c>
      <c r="M119" s="289" t="s">
        <v>4913</v>
      </c>
      <c r="N119" s="288" t="s">
        <v>7371</v>
      </c>
      <c r="O119" s="288" t="s">
        <v>7371</v>
      </c>
      <c r="P119" s="288" t="s">
        <v>7766</v>
      </c>
      <c r="Q119" s="288"/>
      <c r="R119" s="288"/>
      <c r="S119" s="288"/>
      <c r="T119" s="288"/>
      <c r="U119" s="288"/>
      <c r="V119" s="288"/>
      <c r="W119" s="288"/>
      <c r="X119" s="36" t="s">
        <v>76</v>
      </c>
    </row>
    <row r="120" spans="1:24">
      <c r="A120" s="774"/>
      <c r="B120" s="219" t="s">
        <v>7964</v>
      </c>
      <c r="C120" s="288" t="s">
        <v>7965</v>
      </c>
      <c r="D120" s="288"/>
      <c r="E120" s="289" t="s">
        <v>1743</v>
      </c>
      <c r="F120" s="288" t="s">
        <v>7966</v>
      </c>
      <c r="G120" s="288" t="s">
        <v>7954</v>
      </c>
      <c r="H120" s="288" t="s">
        <v>7828</v>
      </c>
      <c r="I120" s="289" t="s">
        <v>1736</v>
      </c>
      <c r="J120" s="289" t="s">
        <v>4913</v>
      </c>
      <c r="K120" s="289" t="s">
        <v>4913</v>
      </c>
      <c r="L120" s="289" t="s">
        <v>4913</v>
      </c>
      <c r="M120" s="289" t="s">
        <v>4913</v>
      </c>
      <c r="N120" s="288" t="s">
        <v>7371</v>
      </c>
      <c r="O120" s="288" t="s">
        <v>7371</v>
      </c>
      <c r="P120" s="288" t="s">
        <v>7766</v>
      </c>
      <c r="Q120" s="288"/>
      <c r="R120" s="288"/>
      <c r="S120" s="288"/>
      <c r="T120" s="288"/>
      <c r="U120" s="288"/>
      <c r="V120" s="288"/>
      <c r="W120" s="288"/>
      <c r="X120" s="36" t="s">
        <v>7393</v>
      </c>
    </row>
    <row r="121" spans="1:24">
      <c r="A121" s="774"/>
      <c r="B121" s="219" t="s">
        <v>7967</v>
      </c>
      <c r="C121" s="288" t="s">
        <v>7968</v>
      </c>
      <c r="D121" s="288"/>
      <c r="E121" s="289" t="s">
        <v>1732</v>
      </c>
      <c r="F121" s="288" t="s">
        <v>7969</v>
      </c>
      <c r="G121" s="288" t="s">
        <v>7970</v>
      </c>
      <c r="H121" s="288" t="s">
        <v>7818</v>
      </c>
      <c r="I121" s="289" t="s">
        <v>1736</v>
      </c>
      <c r="J121" s="289" t="s">
        <v>4913</v>
      </c>
      <c r="K121" s="289" t="s">
        <v>4913</v>
      </c>
      <c r="L121" s="289" t="s">
        <v>4913</v>
      </c>
      <c r="M121" s="289" t="s">
        <v>4913</v>
      </c>
      <c r="N121" s="288" t="s">
        <v>7371</v>
      </c>
      <c r="O121" s="288" t="s">
        <v>7371</v>
      </c>
      <c r="P121" s="288" t="s">
        <v>7766</v>
      </c>
      <c r="Q121" s="288"/>
      <c r="R121" s="288"/>
      <c r="S121" s="288"/>
      <c r="T121" s="288"/>
      <c r="U121" s="288"/>
      <c r="V121" s="288"/>
      <c r="W121" s="288"/>
      <c r="X121" s="36" t="s">
        <v>76</v>
      </c>
    </row>
    <row r="122" spans="1:24">
      <c r="A122" s="774"/>
      <c r="B122" s="219" t="s">
        <v>7971</v>
      </c>
      <c r="C122" s="288" t="s">
        <v>7972</v>
      </c>
      <c r="D122" s="288"/>
      <c r="E122" s="289" t="s">
        <v>1743</v>
      </c>
      <c r="F122" s="288" t="s">
        <v>7973</v>
      </c>
      <c r="G122" s="288" t="s">
        <v>7974</v>
      </c>
      <c r="H122" s="288" t="s">
        <v>7828</v>
      </c>
      <c r="I122" s="289" t="s">
        <v>1736</v>
      </c>
      <c r="J122" s="289" t="s">
        <v>4913</v>
      </c>
      <c r="K122" s="289" t="s">
        <v>4913</v>
      </c>
      <c r="L122" s="289" t="s">
        <v>4913</v>
      </c>
      <c r="M122" s="289" t="s">
        <v>4913</v>
      </c>
      <c r="N122" s="288" t="s">
        <v>7371</v>
      </c>
      <c r="O122" s="288" t="s">
        <v>7371</v>
      </c>
      <c r="P122" s="288" t="s">
        <v>7766</v>
      </c>
      <c r="Q122" s="288"/>
      <c r="R122" s="288"/>
      <c r="S122" s="288"/>
      <c r="T122" s="288"/>
      <c r="U122" s="288"/>
      <c r="V122" s="288"/>
      <c r="W122" s="288"/>
      <c r="X122" s="36" t="s">
        <v>7393</v>
      </c>
    </row>
    <row r="123" spans="1:24">
      <c r="A123" s="774"/>
      <c r="B123" s="219" t="s">
        <v>7975</v>
      </c>
      <c r="C123" s="288" t="s">
        <v>7976</v>
      </c>
      <c r="D123" s="288"/>
      <c r="E123" s="289" t="s">
        <v>1743</v>
      </c>
      <c r="F123" s="288" t="s">
        <v>7855</v>
      </c>
      <c r="G123" s="288" t="s">
        <v>7977</v>
      </c>
      <c r="H123" s="288" t="s">
        <v>7828</v>
      </c>
      <c r="I123" s="289" t="s">
        <v>1736</v>
      </c>
      <c r="J123" s="289" t="s">
        <v>4913</v>
      </c>
      <c r="K123" s="289" t="s">
        <v>4913</v>
      </c>
      <c r="L123" s="289" t="s">
        <v>4913</v>
      </c>
      <c r="M123" s="289" t="s">
        <v>4913</v>
      </c>
      <c r="N123" s="288" t="s">
        <v>7371</v>
      </c>
      <c r="O123" s="288" t="s">
        <v>7371</v>
      </c>
      <c r="P123" s="288" t="s">
        <v>7766</v>
      </c>
      <c r="Q123" s="288"/>
      <c r="R123" s="288"/>
      <c r="S123" s="288"/>
      <c r="T123" s="288"/>
      <c r="U123" s="288"/>
      <c r="V123" s="288"/>
      <c r="W123" s="288"/>
      <c r="X123" s="36" t="s">
        <v>76</v>
      </c>
    </row>
    <row r="124" spans="1:24">
      <c r="A124" s="774"/>
      <c r="B124" s="219" t="s">
        <v>7978</v>
      </c>
      <c r="C124" s="288" t="s">
        <v>7979</v>
      </c>
      <c r="D124" s="288"/>
      <c r="E124" s="289" t="s">
        <v>1732</v>
      </c>
      <c r="F124" s="288" t="s">
        <v>7925</v>
      </c>
      <c r="G124" s="288" t="s">
        <v>7954</v>
      </c>
      <c r="H124" s="288" t="s">
        <v>7818</v>
      </c>
      <c r="I124" s="289" t="s">
        <v>1736</v>
      </c>
      <c r="J124" s="289" t="s">
        <v>4913</v>
      </c>
      <c r="K124" s="289" t="s">
        <v>4913</v>
      </c>
      <c r="L124" s="289" t="s">
        <v>4913</v>
      </c>
      <c r="M124" s="289" t="s">
        <v>4913</v>
      </c>
      <c r="N124" s="288" t="s">
        <v>7371</v>
      </c>
      <c r="O124" s="288" t="s">
        <v>7371</v>
      </c>
      <c r="P124" s="288" t="s">
        <v>7766</v>
      </c>
      <c r="Q124" s="288"/>
      <c r="R124" s="288"/>
      <c r="S124" s="288"/>
      <c r="T124" s="288"/>
      <c r="U124" s="288"/>
      <c r="V124" s="288"/>
      <c r="W124" s="288"/>
      <c r="X124" s="36" t="s">
        <v>7393</v>
      </c>
    </row>
    <row r="125" spans="1:24">
      <c r="A125" s="774"/>
      <c r="B125" s="219" t="s">
        <v>7980</v>
      </c>
      <c r="C125" s="288" t="s">
        <v>7981</v>
      </c>
      <c r="D125" s="288"/>
      <c r="E125" s="289" t="s">
        <v>1743</v>
      </c>
      <c r="F125" s="288" t="s">
        <v>7929</v>
      </c>
      <c r="G125" s="288" t="s">
        <v>7982</v>
      </c>
      <c r="H125" s="288" t="s">
        <v>7828</v>
      </c>
      <c r="I125" s="289" t="s">
        <v>1736</v>
      </c>
      <c r="J125" s="289" t="s">
        <v>4913</v>
      </c>
      <c r="K125" s="289" t="s">
        <v>4913</v>
      </c>
      <c r="L125" s="289" t="s">
        <v>4913</v>
      </c>
      <c r="M125" s="289" t="s">
        <v>4913</v>
      </c>
      <c r="N125" s="288" t="s">
        <v>7371</v>
      </c>
      <c r="O125" s="288" t="s">
        <v>7371</v>
      </c>
      <c r="P125" s="288" t="s">
        <v>7766</v>
      </c>
      <c r="Q125" s="288"/>
      <c r="R125" s="288"/>
      <c r="S125" s="288"/>
      <c r="T125" s="288"/>
      <c r="U125" s="288"/>
      <c r="V125" s="288"/>
      <c r="W125" s="288"/>
      <c r="X125" s="36" t="s">
        <v>76</v>
      </c>
    </row>
    <row r="126" spans="1:24">
      <c r="A126" s="774"/>
      <c r="B126" s="219" t="s">
        <v>7983</v>
      </c>
      <c r="C126" s="288" t="s">
        <v>7984</v>
      </c>
      <c r="D126" s="288"/>
      <c r="E126" s="289" t="s">
        <v>1732</v>
      </c>
      <c r="F126" s="288" t="s">
        <v>7867</v>
      </c>
      <c r="G126" s="288" t="s">
        <v>7985</v>
      </c>
      <c r="H126" s="288" t="s">
        <v>7818</v>
      </c>
      <c r="I126" s="289" t="s">
        <v>1736</v>
      </c>
      <c r="J126" s="289" t="s">
        <v>4913</v>
      </c>
      <c r="K126" s="289" t="s">
        <v>4913</v>
      </c>
      <c r="L126" s="289" t="s">
        <v>4913</v>
      </c>
      <c r="M126" s="289" t="s">
        <v>4913</v>
      </c>
      <c r="N126" s="288" t="s">
        <v>7371</v>
      </c>
      <c r="O126" s="288" t="s">
        <v>7371</v>
      </c>
      <c r="P126" s="288" t="s">
        <v>7766</v>
      </c>
      <c r="Q126" s="288"/>
      <c r="R126" s="288"/>
      <c r="S126" s="288"/>
      <c r="T126" s="288"/>
      <c r="U126" s="288"/>
      <c r="V126" s="288"/>
      <c r="W126" s="288"/>
      <c r="X126" s="36" t="s">
        <v>7393</v>
      </c>
    </row>
    <row r="127" spans="1:24">
      <c r="A127" s="774"/>
      <c r="B127" s="219" t="s">
        <v>7986</v>
      </c>
      <c r="C127" s="288" t="s">
        <v>7987</v>
      </c>
      <c r="D127" s="288"/>
      <c r="E127" s="289" t="s">
        <v>1743</v>
      </c>
      <c r="F127" s="288" t="s">
        <v>7871</v>
      </c>
      <c r="G127" s="288" t="s">
        <v>7988</v>
      </c>
      <c r="H127" s="288" t="s">
        <v>7828</v>
      </c>
      <c r="I127" s="289" t="s">
        <v>1736</v>
      </c>
      <c r="J127" s="289" t="s">
        <v>4913</v>
      </c>
      <c r="K127" s="289" t="s">
        <v>4913</v>
      </c>
      <c r="L127" s="289" t="s">
        <v>4913</v>
      </c>
      <c r="M127" s="289" t="s">
        <v>4913</v>
      </c>
      <c r="N127" s="288" t="s">
        <v>7371</v>
      </c>
      <c r="O127" s="288" t="s">
        <v>7371</v>
      </c>
      <c r="P127" s="288" t="s">
        <v>7766</v>
      </c>
      <c r="Q127" s="288"/>
      <c r="R127" s="288"/>
      <c r="S127" s="288"/>
      <c r="T127" s="288"/>
      <c r="U127" s="288"/>
      <c r="V127" s="288"/>
      <c r="W127" s="288"/>
      <c r="X127" s="36" t="s">
        <v>76</v>
      </c>
    </row>
    <row r="128" spans="1:24">
      <c r="A128" s="774"/>
      <c r="B128" s="219" t="s">
        <v>7989</v>
      </c>
      <c r="C128" s="288" t="s">
        <v>7990</v>
      </c>
      <c r="D128" s="288"/>
      <c r="E128" s="289" t="s">
        <v>1732</v>
      </c>
      <c r="F128" s="288" t="s">
        <v>7991</v>
      </c>
      <c r="G128" s="288" t="s">
        <v>7970</v>
      </c>
      <c r="H128" s="288" t="s">
        <v>7818</v>
      </c>
      <c r="I128" s="289" t="s">
        <v>1736</v>
      </c>
      <c r="J128" s="289" t="s">
        <v>4913</v>
      </c>
      <c r="K128" s="289" t="s">
        <v>4913</v>
      </c>
      <c r="L128" s="289" t="s">
        <v>4913</v>
      </c>
      <c r="M128" s="289" t="s">
        <v>4913</v>
      </c>
      <c r="N128" s="288" t="s">
        <v>7371</v>
      </c>
      <c r="O128" s="288" t="s">
        <v>7371</v>
      </c>
      <c r="P128" s="288" t="s">
        <v>7766</v>
      </c>
      <c r="Q128" s="288"/>
      <c r="R128" s="288"/>
      <c r="S128" s="288"/>
      <c r="T128" s="288"/>
      <c r="U128" s="288"/>
      <c r="V128" s="288"/>
      <c r="W128" s="288"/>
      <c r="X128" s="36" t="s">
        <v>7393</v>
      </c>
    </row>
    <row r="129" spans="1:24">
      <c r="A129" s="774"/>
      <c r="B129" s="219" t="s">
        <v>7992</v>
      </c>
      <c r="C129" s="288" t="s">
        <v>7993</v>
      </c>
      <c r="D129" s="288"/>
      <c r="E129" s="289" t="s">
        <v>1743</v>
      </c>
      <c r="F129" s="288" t="s">
        <v>7994</v>
      </c>
      <c r="G129" s="288" t="s">
        <v>7995</v>
      </c>
      <c r="H129" s="288" t="s">
        <v>7828</v>
      </c>
      <c r="I129" s="289" t="s">
        <v>1736</v>
      </c>
      <c r="J129" s="289" t="s">
        <v>4913</v>
      </c>
      <c r="K129" s="289" t="s">
        <v>4913</v>
      </c>
      <c r="L129" s="289" t="s">
        <v>4913</v>
      </c>
      <c r="M129" s="289" t="s">
        <v>4913</v>
      </c>
      <c r="N129" s="288" t="s">
        <v>7371</v>
      </c>
      <c r="O129" s="288" t="s">
        <v>7371</v>
      </c>
      <c r="P129" s="288" t="s">
        <v>7766</v>
      </c>
      <c r="Q129" s="288"/>
      <c r="R129" s="288"/>
      <c r="S129" s="288"/>
      <c r="T129" s="288"/>
      <c r="U129" s="288"/>
      <c r="V129" s="288"/>
      <c r="W129" s="288"/>
      <c r="X129" s="36" t="s">
        <v>76</v>
      </c>
    </row>
    <row r="130" spans="1:24">
      <c r="A130" s="774"/>
      <c r="B130" s="219" t="s">
        <v>7996</v>
      </c>
      <c r="C130" s="288" t="s">
        <v>7997</v>
      </c>
      <c r="D130" s="288"/>
      <c r="E130" s="289" t="s">
        <v>1732</v>
      </c>
      <c r="F130" s="288" t="s">
        <v>7998</v>
      </c>
      <c r="G130" s="288" t="s">
        <v>7999</v>
      </c>
      <c r="H130" s="288" t="s">
        <v>7823</v>
      </c>
      <c r="I130" s="289" t="s">
        <v>1736</v>
      </c>
      <c r="J130" s="289" t="s">
        <v>4913</v>
      </c>
      <c r="K130" s="289" t="s">
        <v>4913</v>
      </c>
      <c r="L130" s="289" t="s">
        <v>4913</v>
      </c>
      <c r="M130" s="289" t="s">
        <v>4913</v>
      </c>
      <c r="N130" s="288" t="s">
        <v>7371</v>
      </c>
      <c r="O130" s="288" t="s">
        <v>7371</v>
      </c>
      <c r="P130" s="288" t="s">
        <v>7766</v>
      </c>
      <c r="Q130" s="288"/>
      <c r="R130" s="288"/>
      <c r="S130" s="288"/>
      <c r="T130" s="288"/>
      <c r="U130" s="288"/>
      <c r="V130" s="288"/>
      <c r="W130" s="288"/>
      <c r="X130" s="36" t="s">
        <v>7393</v>
      </c>
    </row>
    <row r="131" spans="1:24">
      <c r="A131" s="774"/>
      <c r="B131" s="219" t="s">
        <v>8000</v>
      </c>
      <c r="C131" s="288" t="s">
        <v>8001</v>
      </c>
      <c r="D131" s="288"/>
      <c r="E131" s="289" t="s">
        <v>1732</v>
      </c>
      <c r="F131" s="288" t="s">
        <v>8002</v>
      </c>
      <c r="G131" s="288" t="s">
        <v>8003</v>
      </c>
      <c r="H131" s="288" t="s">
        <v>7818</v>
      </c>
      <c r="I131" s="289" t="s">
        <v>1736</v>
      </c>
      <c r="J131" s="289" t="s">
        <v>4913</v>
      </c>
      <c r="K131" s="289" t="s">
        <v>4913</v>
      </c>
      <c r="L131" s="289" t="s">
        <v>4913</v>
      </c>
      <c r="M131" s="289" t="s">
        <v>4913</v>
      </c>
      <c r="N131" s="288" t="s">
        <v>7371</v>
      </c>
      <c r="O131" s="288" t="s">
        <v>7371</v>
      </c>
      <c r="P131" s="288" t="s">
        <v>7766</v>
      </c>
      <c r="Q131" s="288"/>
      <c r="R131" s="288"/>
      <c r="S131" s="288"/>
      <c r="T131" s="288"/>
      <c r="U131" s="288"/>
      <c r="V131" s="288"/>
      <c r="W131" s="288"/>
      <c r="X131" s="36" t="s">
        <v>76</v>
      </c>
    </row>
    <row r="132" spans="1:24">
      <c r="A132" s="774"/>
      <c r="B132" s="219" t="s">
        <v>8004</v>
      </c>
      <c r="C132" s="288" t="s">
        <v>8005</v>
      </c>
      <c r="D132" s="288"/>
      <c r="E132" s="289" t="s">
        <v>1743</v>
      </c>
      <c r="F132" s="288" t="s">
        <v>8006</v>
      </c>
      <c r="G132" s="288" t="s">
        <v>8007</v>
      </c>
      <c r="H132" s="288" t="s">
        <v>7828</v>
      </c>
      <c r="I132" s="289" t="s">
        <v>1736</v>
      </c>
      <c r="J132" s="289" t="s">
        <v>4913</v>
      </c>
      <c r="K132" s="289" t="s">
        <v>4913</v>
      </c>
      <c r="L132" s="289" t="s">
        <v>4913</v>
      </c>
      <c r="M132" s="289" t="s">
        <v>4913</v>
      </c>
      <c r="N132" s="288" t="s">
        <v>7371</v>
      </c>
      <c r="O132" s="288" t="s">
        <v>7371</v>
      </c>
      <c r="P132" s="288" t="s">
        <v>7766</v>
      </c>
      <c r="Q132" s="288"/>
      <c r="R132" s="288"/>
      <c r="S132" s="288"/>
      <c r="T132" s="288"/>
      <c r="U132" s="288"/>
      <c r="V132" s="288"/>
      <c r="W132" s="288"/>
      <c r="X132" s="36" t="s">
        <v>7393</v>
      </c>
    </row>
    <row r="133" spans="1:24">
      <c r="A133" s="774"/>
      <c r="B133" s="219" t="s">
        <v>8008</v>
      </c>
      <c r="C133" s="288" t="s">
        <v>8009</v>
      </c>
      <c r="D133" s="288"/>
      <c r="E133" s="289" t="s">
        <v>1732</v>
      </c>
      <c r="F133" s="288" t="s">
        <v>8010</v>
      </c>
      <c r="G133" s="288" t="s">
        <v>8003</v>
      </c>
      <c r="H133" s="288" t="s">
        <v>7818</v>
      </c>
      <c r="I133" s="289" t="s">
        <v>1736</v>
      </c>
      <c r="J133" s="289" t="s">
        <v>4913</v>
      </c>
      <c r="K133" s="289" t="s">
        <v>4913</v>
      </c>
      <c r="L133" s="289" t="s">
        <v>4913</v>
      </c>
      <c r="M133" s="289" t="s">
        <v>4913</v>
      </c>
      <c r="N133" s="288" t="s">
        <v>7371</v>
      </c>
      <c r="O133" s="288" t="s">
        <v>7371</v>
      </c>
      <c r="P133" s="288" t="s">
        <v>7766</v>
      </c>
      <c r="Q133" s="288"/>
      <c r="R133" s="288"/>
      <c r="S133" s="288"/>
      <c r="T133" s="288"/>
      <c r="U133" s="288"/>
      <c r="V133" s="288"/>
      <c r="W133" s="288"/>
      <c r="X133" s="36" t="s">
        <v>76</v>
      </c>
    </row>
    <row r="134" spans="1:24">
      <c r="A134" s="774"/>
      <c r="B134" s="219" t="s">
        <v>8011</v>
      </c>
      <c r="C134" s="288" t="s">
        <v>8012</v>
      </c>
      <c r="D134" s="288"/>
      <c r="E134" s="289" t="s">
        <v>1732</v>
      </c>
      <c r="F134" s="288" t="s">
        <v>8013</v>
      </c>
      <c r="G134" s="288" t="s">
        <v>8003</v>
      </c>
      <c r="H134" s="288" t="s">
        <v>7818</v>
      </c>
      <c r="I134" s="289" t="s">
        <v>1736</v>
      </c>
      <c r="J134" s="289" t="s">
        <v>4913</v>
      </c>
      <c r="K134" s="289" t="s">
        <v>4913</v>
      </c>
      <c r="L134" s="289" t="s">
        <v>4913</v>
      </c>
      <c r="M134" s="289" t="s">
        <v>4913</v>
      </c>
      <c r="N134" s="288" t="s">
        <v>7371</v>
      </c>
      <c r="O134" s="288" t="s">
        <v>7371</v>
      </c>
      <c r="P134" s="288" t="s">
        <v>7766</v>
      </c>
      <c r="Q134" s="288"/>
      <c r="R134" s="288"/>
      <c r="S134" s="288"/>
      <c r="T134" s="288"/>
      <c r="U134" s="288"/>
      <c r="V134" s="288"/>
      <c r="W134" s="288"/>
      <c r="X134" s="36" t="s">
        <v>7393</v>
      </c>
    </row>
    <row r="135" spans="1:24">
      <c r="A135" s="774"/>
      <c r="B135" s="219" t="s">
        <v>8014</v>
      </c>
      <c r="C135" s="288" t="s">
        <v>8015</v>
      </c>
      <c r="D135" s="288"/>
      <c r="E135" s="289" t="s">
        <v>1743</v>
      </c>
      <c r="F135" s="288" t="s">
        <v>8016</v>
      </c>
      <c r="G135" s="288" t="s">
        <v>8017</v>
      </c>
      <c r="H135" s="288" t="s">
        <v>7828</v>
      </c>
      <c r="I135" s="289" t="s">
        <v>1736</v>
      </c>
      <c r="J135" s="289" t="s">
        <v>4913</v>
      </c>
      <c r="K135" s="289" t="s">
        <v>4913</v>
      </c>
      <c r="L135" s="289" t="s">
        <v>4913</v>
      </c>
      <c r="M135" s="289" t="s">
        <v>4913</v>
      </c>
      <c r="N135" s="288" t="s">
        <v>7371</v>
      </c>
      <c r="O135" s="288" t="s">
        <v>7371</v>
      </c>
      <c r="P135" s="288" t="s">
        <v>7766</v>
      </c>
      <c r="Q135" s="288"/>
      <c r="R135" s="288"/>
      <c r="S135" s="288"/>
      <c r="T135" s="288"/>
      <c r="U135" s="288"/>
      <c r="V135" s="288"/>
      <c r="W135" s="288"/>
      <c r="X135" s="36" t="s">
        <v>76</v>
      </c>
    </row>
    <row r="136" spans="1:24">
      <c r="A136" s="774"/>
      <c r="B136" s="219" t="s">
        <v>8018</v>
      </c>
      <c r="C136" s="288" t="s">
        <v>8019</v>
      </c>
      <c r="D136" s="288"/>
      <c r="E136" s="289" t="s">
        <v>1732</v>
      </c>
      <c r="F136" s="288" t="s">
        <v>8020</v>
      </c>
      <c r="G136" s="288" t="s">
        <v>8017</v>
      </c>
      <c r="H136" s="288" t="s">
        <v>7823</v>
      </c>
      <c r="I136" s="289" t="s">
        <v>1736</v>
      </c>
      <c r="J136" s="289" t="s">
        <v>4913</v>
      </c>
      <c r="K136" s="289" t="s">
        <v>4913</v>
      </c>
      <c r="L136" s="289" t="s">
        <v>4913</v>
      </c>
      <c r="M136" s="289" t="s">
        <v>4913</v>
      </c>
      <c r="N136" s="288" t="s">
        <v>7371</v>
      </c>
      <c r="O136" s="288" t="s">
        <v>7371</v>
      </c>
      <c r="P136" s="288" t="s">
        <v>7766</v>
      </c>
      <c r="Q136" s="288"/>
      <c r="R136" s="288"/>
      <c r="S136" s="288"/>
      <c r="T136" s="288"/>
      <c r="U136" s="288"/>
      <c r="V136" s="288"/>
      <c r="W136" s="288"/>
      <c r="X136" s="36" t="s">
        <v>7393</v>
      </c>
    </row>
    <row r="137" spans="1:24">
      <c r="A137" s="774"/>
      <c r="B137" s="219" t="s">
        <v>8021</v>
      </c>
      <c r="C137" s="288" t="s">
        <v>8022</v>
      </c>
      <c r="D137" s="288"/>
      <c r="E137" s="289" t="s">
        <v>1743</v>
      </c>
      <c r="F137" s="288" t="s">
        <v>7916</v>
      </c>
      <c r="G137" s="288" t="s">
        <v>8023</v>
      </c>
      <c r="H137" s="288" t="s">
        <v>7828</v>
      </c>
      <c r="I137" s="289" t="s">
        <v>1736</v>
      </c>
      <c r="J137" s="289" t="s">
        <v>4913</v>
      </c>
      <c r="K137" s="289" t="s">
        <v>4913</v>
      </c>
      <c r="L137" s="289" t="s">
        <v>4913</v>
      </c>
      <c r="M137" s="289" t="s">
        <v>4913</v>
      </c>
      <c r="N137" s="288" t="s">
        <v>7371</v>
      </c>
      <c r="O137" s="288" t="s">
        <v>7371</v>
      </c>
      <c r="P137" s="288" t="s">
        <v>7766</v>
      </c>
      <c r="Q137" s="288"/>
      <c r="R137" s="288"/>
      <c r="S137" s="288"/>
      <c r="T137" s="288"/>
      <c r="U137" s="288"/>
      <c r="V137" s="288"/>
      <c r="W137" s="288"/>
      <c r="X137" s="36" t="s">
        <v>76</v>
      </c>
    </row>
    <row r="138" spans="1:24">
      <c r="A138" s="774"/>
      <c r="B138" s="219" t="s">
        <v>8024</v>
      </c>
      <c r="C138" s="288" t="s">
        <v>8025</v>
      </c>
      <c r="D138" s="288"/>
      <c r="E138" s="289" t="s">
        <v>1732</v>
      </c>
      <c r="F138" s="288" t="s">
        <v>8026</v>
      </c>
      <c r="G138" s="288" t="s">
        <v>8003</v>
      </c>
      <c r="H138" s="288" t="s">
        <v>7818</v>
      </c>
      <c r="I138" s="289" t="s">
        <v>1736</v>
      </c>
      <c r="J138" s="289" t="s">
        <v>4913</v>
      </c>
      <c r="K138" s="289" t="s">
        <v>4913</v>
      </c>
      <c r="L138" s="289" t="s">
        <v>4913</v>
      </c>
      <c r="M138" s="289" t="s">
        <v>4913</v>
      </c>
      <c r="N138" s="288" t="s">
        <v>7371</v>
      </c>
      <c r="O138" s="288" t="s">
        <v>7371</v>
      </c>
      <c r="P138" s="288" t="s">
        <v>7766</v>
      </c>
      <c r="Q138" s="288"/>
      <c r="R138" s="288"/>
      <c r="S138" s="288"/>
      <c r="T138" s="288"/>
      <c r="U138" s="288"/>
      <c r="V138" s="288"/>
      <c r="W138" s="288"/>
      <c r="X138" s="36" t="s">
        <v>7393</v>
      </c>
    </row>
    <row r="139" spans="1:24">
      <c r="A139" s="774"/>
      <c r="B139" s="219" t="s">
        <v>8027</v>
      </c>
      <c r="C139" s="288" t="s">
        <v>8028</v>
      </c>
      <c r="D139" s="288"/>
      <c r="E139" s="289" t="s">
        <v>1743</v>
      </c>
      <c r="F139" s="288" t="s">
        <v>8029</v>
      </c>
      <c r="G139" s="288" t="s">
        <v>8007</v>
      </c>
      <c r="H139" s="288" t="s">
        <v>7828</v>
      </c>
      <c r="I139" s="289" t="s">
        <v>1736</v>
      </c>
      <c r="J139" s="289" t="s">
        <v>4913</v>
      </c>
      <c r="K139" s="289" t="s">
        <v>4913</v>
      </c>
      <c r="L139" s="289" t="s">
        <v>4913</v>
      </c>
      <c r="M139" s="289" t="s">
        <v>4913</v>
      </c>
      <c r="N139" s="288" t="s">
        <v>7371</v>
      </c>
      <c r="O139" s="288" t="s">
        <v>7371</v>
      </c>
      <c r="P139" s="288" t="s">
        <v>7766</v>
      </c>
      <c r="Q139" s="288"/>
      <c r="R139" s="288"/>
      <c r="S139" s="288"/>
      <c r="T139" s="288"/>
      <c r="U139" s="288"/>
      <c r="V139" s="288"/>
      <c r="W139" s="288"/>
      <c r="X139" s="36" t="s">
        <v>76</v>
      </c>
    </row>
    <row r="140" spans="1:24">
      <c r="A140" s="774"/>
      <c r="B140" s="219" t="s">
        <v>8030</v>
      </c>
      <c r="C140" s="288" t="s">
        <v>8031</v>
      </c>
      <c r="D140" s="288"/>
      <c r="E140" s="289" t="s">
        <v>1732</v>
      </c>
      <c r="F140" s="288" t="s">
        <v>8032</v>
      </c>
      <c r="G140" s="288" t="s">
        <v>8003</v>
      </c>
      <c r="H140" s="288" t="s">
        <v>7818</v>
      </c>
      <c r="I140" s="289" t="s">
        <v>1736</v>
      </c>
      <c r="J140" s="289" t="s">
        <v>4913</v>
      </c>
      <c r="K140" s="289" t="s">
        <v>4913</v>
      </c>
      <c r="L140" s="289" t="s">
        <v>4913</v>
      </c>
      <c r="M140" s="289" t="s">
        <v>4913</v>
      </c>
      <c r="N140" s="288" t="s">
        <v>7371</v>
      </c>
      <c r="O140" s="288" t="s">
        <v>7371</v>
      </c>
      <c r="P140" s="288" t="s">
        <v>7766</v>
      </c>
      <c r="Q140" s="288"/>
      <c r="R140" s="288"/>
      <c r="S140" s="288"/>
      <c r="T140" s="288"/>
      <c r="U140" s="288"/>
      <c r="V140" s="288"/>
      <c r="W140" s="288"/>
      <c r="X140" s="36" t="s">
        <v>7393</v>
      </c>
    </row>
    <row r="141" spans="1:24">
      <c r="A141" s="774"/>
      <c r="B141" s="219" t="s">
        <v>8033</v>
      </c>
      <c r="C141" s="288" t="s">
        <v>8034</v>
      </c>
      <c r="D141" s="288"/>
      <c r="E141" s="289" t="s">
        <v>1743</v>
      </c>
      <c r="F141" s="288" t="s">
        <v>8035</v>
      </c>
      <c r="G141" s="288" t="s">
        <v>8036</v>
      </c>
      <c r="H141" s="288" t="s">
        <v>7828</v>
      </c>
      <c r="I141" s="289" t="s">
        <v>1736</v>
      </c>
      <c r="J141" s="289" t="s">
        <v>4913</v>
      </c>
      <c r="K141" s="289" t="s">
        <v>4913</v>
      </c>
      <c r="L141" s="289" t="s">
        <v>4913</v>
      </c>
      <c r="M141" s="289" t="s">
        <v>4913</v>
      </c>
      <c r="N141" s="288" t="s">
        <v>7371</v>
      </c>
      <c r="O141" s="288" t="s">
        <v>7371</v>
      </c>
      <c r="P141" s="288" t="s">
        <v>7766</v>
      </c>
      <c r="Q141" s="288"/>
      <c r="R141" s="288"/>
      <c r="S141" s="288"/>
      <c r="T141" s="288"/>
      <c r="U141" s="288"/>
      <c r="V141" s="288"/>
      <c r="W141" s="288"/>
      <c r="X141" s="36" t="s">
        <v>76</v>
      </c>
    </row>
    <row r="142" spans="1:24">
      <c r="A142" s="774"/>
      <c r="B142" s="219" t="s">
        <v>8037</v>
      </c>
      <c r="C142" s="288" t="s">
        <v>8038</v>
      </c>
      <c r="D142" s="288"/>
      <c r="E142" s="289" t="s">
        <v>1732</v>
      </c>
      <c r="F142" s="288" t="s">
        <v>7867</v>
      </c>
      <c r="G142" s="288" t="s">
        <v>8039</v>
      </c>
      <c r="H142" s="288" t="s">
        <v>7818</v>
      </c>
      <c r="I142" s="289" t="s">
        <v>1736</v>
      </c>
      <c r="J142" s="289" t="s">
        <v>4913</v>
      </c>
      <c r="K142" s="289" t="s">
        <v>4913</v>
      </c>
      <c r="L142" s="289" t="s">
        <v>4913</v>
      </c>
      <c r="M142" s="289" t="s">
        <v>4913</v>
      </c>
      <c r="N142" s="288" t="s">
        <v>7371</v>
      </c>
      <c r="O142" s="288" t="s">
        <v>7371</v>
      </c>
      <c r="P142" s="288" t="s">
        <v>7766</v>
      </c>
      <c r="Q142" s="288"/>
      <c r="R142" s="288"/>
      <c r="S142" s="288"/>
      <c r="T142" s="288"/>
      <c r="U142" s="288"/>
      <c r="V142" s="288"/>
      <c r="W142" s="288"/>
      <c r="X142" s="36" t="s">
        <v>7393</v>
      </c>
    </row>
    <row r="143" spans="1:24">
      <c r="A143" s="774"/>
      <c r="B143" s="219" t="s">
        <v>8040</v>
      </c>
      <c r="C143" s="288" t="s">
        <v>8041</v>
      </c>
      <c r="D143" s="288"/>
      <c r="E143" s="289" t="s">
        <v>1743</v>
      </c>
      <c r="F143" s="288" t="s">
        <v>7871</v>
      </c>
      <c r="G143" s="288" t="s">
        <v>8042</v>
      </c>
      <c r="H143" s="288" t="s">
        <v>7828</v>
      </c>
      <c r="I143" s="289" t="s">
        <v>1736</v>
      </c>
      <c r="J143" s="289" t="s">
        <v>4913</v>
      </c>
      <c r="K143" s="289" t="s">
        <v>4913</v>
      </c>
      <c r="L143" s="289" t="s">
        <v>4913</v>
      </c>
      <c r="M143" s="289" t="s">
        <v>4913</v>
      </c>
      <c r="N143" s="288" t="s">
        <v>7371</v>
      </c>
      <c r="O143" s="288" t="s">
        <v>7371</v>
      </c>
      <c r="P143" s="288" t="s">
        <v>7766</v>
      </c>
      <c r="Q143" s="288"/>
      <c r="R143" s="288"/>
      <c r="S143" s="288"/>
      <c r="T143" s="288"/>
      <c r="U143" s="288"/>
      <c r="V143" s="288"/>
      <c r="W143" s="288"/>
      <c r="X143" s="36" t="s">
        <v>76</v>
      </c>
    </row>
    <row r="144" spans="1:24">
      <c r="A144" s="774"/>
      <c r="B144" s="219" t="s">
        <v>8043</v>
      </c>
      <c r="C144" s="288" t="s">
        <v>8044</v>
      </c>
      <c r="D144" s="288"/>
      <c r="E144" s="289" t="s">
        <v>1732</v>
      </c>
      <c r="F144" s="288" t="s">
        <v>7875</v>
      </c>
      <c r="G144" s="288" t="s">
        <v>8039</v>
      </c>
      <c r="H144" s="288" t="s">
        <v>7818</v>
      </c>
      <c r="I144" s="289" t="s">
        <v>1736</v>
      </c>
      <c r="J144" s="289" t="s">
        <v>4913</v>
      </c>
      <c r="K144" s="289" t="s">
        <v>4913</v>
      </c>
      <c r="L144" s="289" t="s">
        <v>4913</v>
      </c>
      <c r="M144" s="289" t="s">
        <v>4913</v>
      </c>
      <c r="N144" s="288" t="s">
        <v>7371</v>
      </c>
      <c r="O144" s="288" t="s">
        <v>7371</v>
      </c>
      <c r="P144" s="288" t="s">
        <v>7766</v>
      </c>
      <c r="Q144" s="288"/>
      <c r="R144" s="288"/>
      <c r="S144" s="288"/>
      <c r="T144" s="288"/>
      <c r="U144" s="288"/>
      <c r="V144" s="288"/>
      <c r="W144" s="288"/>
      <c r="X144" s="36" t="s">
        <v>7393</v>
      </c>
    </row>
    <row r="145" spans="1:24">
      <c r="A145" s="774"/>
      <c r="B145" s="219" t="s">
        <v>8045</v>
      </c>
      <c r="C145" s="288" t="s">
        <v>8046</v>
      </c>
      <c r="D145" s="288"/>
      <c r="E145" s="289" t="s">
        <v>1743</v>
      </c>
      <c r="F145" s="288" t="s">
        <v>8047</v>
      </c>
      <c r="G145" s="288" t="s">
        <v>8048</v>
      </c>
      <c r="H145" s="288" t="s">
        <v>7828</v>
      </c>
      <c r="I145" s="289" t="s">
        <v>1736</v>
      </c>
      <c r="J145" s="289" t="s">
        <v>4913</v>
      </c>
      <c r="K145" s="289" t="s">
        <v>4913</v>
      </c>
      <c r="L145" s="289" t="s">
        <v>4913</v>
      </c>
      <c r="M145" s="289" t="s">
        <v>4913</v>
      </c>
      <c r="N145" s="288" t="s">
        <v>7371</v>
      </c>
      <c r="O145" s="288" t="s">
        <v>7371</v>
      </c>
      <c r="P145" s="288" t="s">
        <v>7766</v>
      </c>
      <c r="Q145" s="288"/>
      <c r="R145" s="288"/>
      <c r="S145" s="288"/>
      <c r="T145" s="288"/>
      <c r="U145" s="288"/>
      <c r="V145" s="288"/>
      <c r="W145" s="288"/>
      <c r="X145" s="36" t="s">
        <v>76</v>
      </c>
    </row>
    <row r="146" spans="1:24">
      <c r="A146" s="774"/>
      <c r="B146" s="219" t="s">
        <v>8049</v>
      </c>
      <c r="C146" s="288" t="s">
        <v>8050</v>
      </c>
      <c r="D146" s="288"/>
      <c r="E146" s="289" t="s">
        <v>1732</v>
      </c>
      <c r="F146" s="288" t="s">
        <v>8051</v>
      </c>
      <c r="G146" s="288" t="s">
        <v>8052</v>
      </c>
      <c r="H146" s="288" t="s">
        <v>7823</v>
      </c>
      <c r="I146" s="289" t="s">
        <v>1736</v>
      </c>
      <c r="J146" s="289" t="s">
        <v>4913</v>
      </c>
      <c r="K146" s="289" t="s">
        <v>4913</v>
      </c>
      <c r="L146" s="289" t="s">
        <v>4913</v>
      </c>
      <c r="M146" s="289" t="s">
        <v>4913</v>
      </c>
      <c r="N146" s="288" t="s">
        <v>7371</v>
      </c>
      <c r="O146" s="288" t="s">
        <v>7371</v>
      </c>
      <c r="P146" s="288" t="s">
        <v>7766</v>
      </c>
      <c r="Q146" s="288"/>
      <c r="R146" s="288"/>
      <c r="S146" s="288"/>
      <c r="T146" s="288"/>
      <c r="U146" s="288"/>
      <c r="V146" s="288"/>
      <c r="W146" s="288"/>
      <c r="X146" s="36" t="s">
        <v>7393</v>
      </c>
    </row>
    <row r="147" spans="1:24">
      <c r="A147" s="774"/>
      <c r="B147" s="219" t="s">
        <v>8053</v>
      </c>
      <c r="C147" s="288" t="s">
        <v>8054</v>
      </c>
      <c r="D147" s="288"/>
      <c r="E147" s="289" t="s">
        <v>1732</v>
      </c>
      <c r="F147" s="288" t="s">
        <v>7894</v>
      </c>
      <c r="G147" s="288" t="s">
        <v>8055</v>
      </c>
      <c r="H147" s="288" t="s">
        <v>7818</v>
      </c>
      <c r="I147" s="289" t="s">
        <v>1736</v>
      </c>
      <c r="J147" s="289" t="s">
        <v>4913</v>
      </c>
      <c r="K147" s="289" t="s">
        <v>4913</v>
      </c>
      <c r="L147" s="289" t="s">
        <v>4913</v>
      </c>
      <c r="M147" s="289" t="s">
        <v>4913</v>
      </c>
      <c r="N147" s="288" t="s">
        <v>7371</v>
      </c>
      <c r="O147" s="288" t="s">
        <v>7371</v>
      </c>
      <c r="P147" s="288" t="s">
        <v>7766</v>
      </c>
      <c r="Q147" s="288"/>
      <c r="R147" s="288"/>
      <c r="S147" s="288"/>
      <c r="T147" s="288"/>
      <c r="U147" s="288"/>
      <c r="V147" s="288"/>
      <c r="W147" s="288"/>
      <c r="X147" s="36" t="s">
        <v>76</v>
      </c>
    </row>
    <row r="148" spans="1:24">
      <c r="A148" s="774"/>
      <c r="B148" s="219" t="s">
        <v>8056</v>
      </c>
      <c r="C148" s="288" t="s">
        <v>8057</v>
      </c>
      <c r="D148" s="288"/>
      <c r="E148" s="289" t="s">
        <v>1732</v>
      </c>
      <c r="F148" s="288" t="s">
        <v>7898</v>
      </c>
      <c r="G148" s="288" t="s">
        <v>8055</v>
      </c>
      <c r="H148" s="288" t="s">
        <v>7818</v>
      </c>
      <c r="I148" s="289" t="s">
        <v>1736</v>
      </c>
      <c r="J148" s="289" t="s">
        <v>4913</v>
      </c>
      <c r="K148" s="289" t="s">
        <v>4913</v>
      </c>
      <c r="L148" s="289" t="s">
        <v>1736</v>
      </c>
      <c r="M148" s="289" t="s">
        <v>4913</v>
      </c>
      <c r="N148" s="288" t="s">
        <v>7371</v>
      </c>
      <c r="O148" s="288" t="s">
        <v>7371</v>
      </c>
      <c r="P148" s="288" t="s">
        <v>7766</v>
      </c>
      <c r="Q148" s="288"/>
      <c r="R148" s="288"/>
      <c r="S148" s="288"/>
      <c r="T148" s="288"/>
      <c r="U148" s="288"/>
      <c r="V148" s="288"/>
      <c r="W148" s="288"/>
      <c r="X148" s="36" t="s">
        <v>7393</v>
      </c>
    </row>
    <row r="149" spans="1:24">
      <c r="A149" s="774"/>
      <c r="B149" s="219" t="s">
        <v>8058</v>
      </c>
      <c r="C149" s="288" t="s">
        <v>8059</v>
      </c>
      <c r="D149" s="288"/>
      <c r="E149" s="289" t="s">
        <v>1732</v>
      </c>
      <c r="F149" s="288" t="s">
        <v>8060</v>
      </c>
      <c r="G149" s="288" t="s">
        <v>8061</v>
      </c>
      <c r="H149" s="288" t="s">
        <v>7818</v>
      </c>
      <c r="I149" s="289" t="s">
        <v>1736</v>
      </c>
      <c r="J149" s="289" t="s">
        <v>4913</v>
      </c>
      <c r="K149" s="289" t="s">
        <v>4913</v>
      </c>
      <c r="L149" s="289" t="s">
        <v>1736</v>
      </c>
      <c r="M149" s="289" t="s">
        <v>4913</v>
      </c>
      <c r="N149" s="288" t="s">
        <v>7371</v>
      </c>
      <c r="O149" s="288" t="s">
        <v>7371</v>
      </c>
      <c r="P149" s="288" t="s">
        <v>7766</v>
      </c>
      <c r="Q149" s="288"/>
      <c r="R149" s="288"/>
      <c r="S149" s="288"/>
      <c r="T149" s="288"/>
      <c r="U149" s="288"/>
      <c r="V149" s="288"/>
      <c r="W149" s="288"/>
      <c r="X149" s="36" t="s">
        <v>76</v>
      </c>
    </row>
    <row r="150" spans="1:24">
      <c r="A150" s="774"/>
      <c r="B150" s="219" t="s">
        <v>8062</v>
      </c>
      <c r="C150" s="288" t="s">
        <v>8063</v>
      </c>
      <c r="D150" s="288"/>
      <c r="E150" s="289" t="s">
        <v>1743</v>
      </c>
      <c r="F150" s="288" t="s">
        <v>8064</v>
      </c>
      <c r="G150" s="288" t="s">
        <v>8065</v>
      </c>
      <c r="H150" s="288" t="s">
        <v>7828</v>
      </c>
      <c r="I150" s="289" t="s">
        <v>1736</v>
      </c>
      <c r="J150" s="289" t="s">
        <v>4913</v>
      </c>
      <c r="K150" s="289" t="s">
        <v>4913</v>
      </c>
      <c r="L150" s="289" t="s">
        <v>1736</v>
      </c>
      <c r="M150" s="289" t="s">
        <v>4913</v>
      </c>
      <c r="N150" s="288" t="s">
        <v>7371</v>
      </c>
      <c r="O150" s="288" t="s">
        <v>7371</v>
      </c>
      <c r="P150" s="288" t="s">
        <v>7766</v>
      </c>
      <c r="Q150" s="288"/>
      <c r="R150" s="288"/>
      <c r="S150" s="288"/>
      <c r="T150" s="288"/>
      <c r="U150" s="288"/>
      <c r="V150" s="288"/>
      <c r="W150" s="288"/>
      <c r="X150" s="36" t="s">
        <v>7393</v>
      </c>
    </row>
    <row r="151" spans="1:24">
      <c r="A151" s="774"/>
      <c r="B151" s="219" t="s">
        <v>8066</v>
      </c>
      <c r="C151" s="288" t="s">
        <v>8067</v>
      </c>
      <c r="D151" s="288"/>
      <c r="E151" s="289" t="s">
        <v>1732</v>
      </c>
      <c r="F151" s="288" t="s">
        <v>8068</v>
      </c>
      <c r="G151" s="288" t="s">
        <v>8069</v>
      </c>
      <c r="H151" s="288" t="s">
        <v>7818</v>
      </c>
      <c r="I151" s="289" t="s">
        <v>1736</v>
      </c>
      <c r="J151" s="289" t="s">
        <v>4913</v>
      </c>
      <c r="K151" s="289" t="s">
        <v>4913</v>
      </c>
      <c r="L151" s="289" t="s">
        <v>1736</v>
      </c>
      <c r="M151" s="289" t="s">
        <v>4913</v>
      </c>
      <c r="N151" s="288" t="s">
        <v>7371</v>
      </c>
      <c r="O151" s="288" t="s">
        <v>7371</v>
      </c>
      <c r="P151" s="288" t="s">
        <v>7766</v>
      </c>
      <c r="Q151" s="288"/>
      <c r="R151" s="288"/>
      <c r="S151" s="288"/>
      <c r="T151" s="288"/>
      <c r="U151" s="288"/>
      <c r="V151" s="288"/>
      <c r="W151" s="288"/>
      <c r="X151" s="36" t="s">
        <v>76</v>
      </c>
    </row>
    <row r="152" spans="1:24">
      <c r="A152" s="774"/>
      <c r="B152" s="219" t="s">
        <v>8070</v>
      </c>
      <c r="C152" s="288" t="s">
        <v>8071</v>
      </c>
      <c r="D152" s="288"/>
      <c r="E152" s="289" t="s">
        <v>1732</v>
      </c>
      <c r="F152" s="288" t="s">
        <v>8072</v>
      </c>
      <c r="G152" s="288" t="s">
        <v>8073</v>
      </c>
      <c r="H152" s="288" t="s">
        <v>7818</v>
      </c>
      <c r="I152" s="289" t="s">
        <v>1736</v>
      </c>
      <c r="J152" s="289" t="s">
        <v>4913</v>
      </c>
      <c r="K152" s="289" t="s">
        <v>4913</v>
      </c>
      <c r="L152" s="289" t="s">
        <v>1736</v>
      </c>
      <c r="M152" s="289" t="s">
        <v>4913</v>
      </c>
      <c r="N152" s="288" t="s">
        <v>7371</v>
      </c>
      <c r="O152" s="288" t="s">
        <v>7371</v>
      </c>
      <c r="P152" s="288" t="s">
        <v>7766</v>
      </c>
      <c r="Q152" s="288"/>
      <c r="R152" s="288"/>
      <c r="S152" s="288"/>
      <c r="T152" s="288"/>
      <c r="U152" s="288"/>
      <c r="V152" s="288"/>
      <c r="W152" s="288"/>
      <c r="X152" s="36" t="s">
        <v>7393</v>
      </c>
    </row>
    <row r="153" spans="1:24">
      <c r="A153" s="774"/>
      <c r="B153" s="219" t="s">
        <v>8074</v>
      </c>
      <c r="C153" s="288" t="s">
        <v>8075</v>
      </c>
      <c r="D153" s="288"/>
      <c r="E153" s="289" t="s">
        <v>1732</v>
      </c>
      <c r="F153" s="288" t="s">
        <v>8076</v>
      </c>
      <c r="G153" s="288" t="s">
        <v>8077</v>
      </c>
      <c r="H153" s="288" t="s">
        <v>7818</v>
      </c>
      <c r="I153" s="289" t="s">
        <v>1736</v>
      </c>
      <c r="J153" s="289" t="s">
        <v>4913</v>
      </c>
      <c r="K153" s="289" t="s">
        <v>4913</v>
      </c>
      <c r="L153" s="289" t="s">
        <v>1736</v>
      </c>
      <c r="M153" s="289" t="s">
        <v>4913</v>
      </c>
      <c r="N153" s="288" t="s">
        <v>7371</v>
      </c>
      <c r="O153" s="288" t="s">
        <v>7371</v>
      </c>
      <c r="P153" s="288" t="s">
        <v>7766</v>
      </c>
      <c r="Q153" s="288"/>
      <c r="R153" s="288"/>
      <c r="S153" s="288"/>
      <c r="T153" s="288"/>
      <c r="U153" s="288"/>
      <c r="V153" s="288"/>
      <c r="W153" s="288"/>
      <c r="X153" s="36" t="s">
        <v>76</v>
      </c>
    </row>
    <row r="154" spans="1:24">
      <c r="A154" s="774"/>
      <c r="B154" s="219" t="s">
        <v>8078</v>
      </c>
      <c r="C154" s="288" t="s">
        <v>8079</v>
      </c>
      <c r="D154" s="288"/>
      <c r="E154" s="289" t="s">
        <v>1743</v>
      </c>
      <c r="F154" s="288" t="s">
        <v>8080</v>
      </c>
      <c r="G154" s="288" t="s">
        <v>8081</v>
      </c>
      <c r="H154" s="288" t="s">
        <v>7828</v>
      </c>
      <c r="I154" s="289" t="s">
        <v>1736</v>
      </c>
      <c r="J154" s="289" t="s">
        <v>4913</v>
      </c>
      <c r="K154" s="289" t="s">
        <v>4913</v>
      </c>
      <c r="L154" s="289" t="s">
        <v>1736</v>
      </c>
      <c r="M154" s="289" t="s">
        <v>4913</v>
      </c>
      <c r="N154" s="288" t="s">
        <v>7371</v>
      </c>
      <c r="O154" s="288" t="s">
        <v>7371</v>
      </c>
      <c r="P154" s="288" t="s">
        <v>7766</v>
      </c>
      <c r="Q154" s="288"/>
      <c r="R154" s="288"/>
      <c r="S154" s="288"/>
      <c r="T154" s="288"/>
      <c r="U154" s="288"/>
      <c r="V154" s="288"/>
      <c r="W154" s="288"/>
      <c r="X154" s="36" t="s">
        <v>7393</v>
      </c>
    </row>
    <row r="155" spans="1:24">
      <c r="A155" s="774"/>
      <c r="B155" s="219" t="s">
        <v>8082</v>
      </c>
      <c r="C155" s="288" t="s">
        <v>8083</v>
      </c>
      <c r="D155" s="288"/>
      <c r="E155" s="289" t="s">
        <v>1732</v>
      </c>
      <c r="F155" s="288" t="s">
        <v>7925</v>
      </c>
      <c r="G155" s="288" t="s">
        <v>8084</v>
      </c>
      <c r="H155" s="288" t="s">
        <v>7818</v>
      </c>
      <c r="I155" s="289" t="s">
        <v>1736</v>
      </c>
      <c r="J155" s="289" t="s">
        <v>4913</v>
      </c>
      <c r="K155" s="289" t="s">
        <v>4913</v>
      </c>
      <c r="L155" s="289" t="s">
        <v>1736</v>
      </c>
      <c r="M155" s="289" t="s">
        <v>4913</v>
      </c>
      <c r="N155" s="288" t="s">
        <v>7371</v>
      </c>
      <c r="O155" s="288" t="s">
        <v>7371</v>
      </c>
      <c r="P155" s="288" t="s">
        <v>7766</v>
      </c>
      <c r="Q155" s="288"/>
      <c r="R155" s="288"/>
      <c r="S155" s="288"/>
      <c r="T155" s="288"/>
      <c r="U155" s="288"/>
      <c r="V155" s="288"/>
      <c r="W155" s="288"/>
      <c r="X155" s="36" t="s">
        <v>76</v>
      </c>
    </row>
    <row r="156" spans="1:24">
      <c r="A156" s="774"/>
      <c r="B156" s="219" t="s">
        <v>8085</v>
      </c>
      <c r="C156" s="288" t="s">
        <v>8086</v>
      </c>
      <c r="D156" s="288"/>
      <c r="E156" s="289" t="s">
        <v>1743</v>
      </c>
      <c r="F156" s="288" t="s">
        <v>8087</v>
      </c>
      <c r="G156" s="288" t="s">
        <v>8088</v>
      </c>
      <c r="H156" s="288" t="s">
        <v>7828</v>
      </c>
      <c r="I156" s="289" t="s">
        <v>1736</v>
      </c>
      <c r="J156" s="289" t="s">
        <v>4913</v>
      </c>
      <c r="K156" s="289" t="s">
        <v>4913</v>
      </c>
      <c r="L156" s="289" t="s">
        <v>1736</v>
      </c>
      <c r="M156" s="289" t="s">
        <v>4913</v>
      </c>
      <c r="N156" s="288" t="s">
        <v>7371</v>
      </c>
      <c r="O156" s="288" t="s">
        <v>7371</v>
      </c>
      <c r="P156" s="288" t="s">
        <v>7766</v>
      </c>
      <c r="Q156" s="288"/>
      <c r="R156" s="288"/>
      <c r="S156" s="288"/>
      <c r="T156" s="288"/>
      <c r="U156" s="288"/>
      <c r="V156" s="288"/>
      <c r="W156" s="288"/>
      <c r="X156" s="36" t="s">
        <v>7393</v>
      </c>
    </row>
    <row r="157" spans="1:24">
      <c r="A157" s="774"/>
      <c r="B157" s="219" t="s">
        <v>8089</v>
      </c>
      <c r="C157" s="288" t="s">
        <v>8090</v>
      </c>
      <c r="D157" s="288"/>
      <c r="E157" s="289" t="s">
        <v>1732</v>
      </c>
      <c r="F157" s="288" t="s">
        <v>7867</v>
      </c>
      <c r="G157" s="288" t="s">
        <v>8091</v>
      </c>
      <c r="H157" s="288" t="s">
        <v>7818</v>
      </c>
      <c r="I157" s="289" t="s">
        <v>1736</v>
      </c>
      <c r="J157" s="289" t="s">
        <v>4913</v>
      </c>
      <c r="K157" s="289" t="s">
        <v>4913</v>
      </c>
      <c r="L157" s="289" t="s">
        <v>1736</v>
      </c>
      <c r="M157" s="289" t="s">
        <v>4913</v>
      </c>
      <c r="N157" s="288" t="s">
        <v>7371</v>
      </c>
      <c r="O157" s="288" t="s">
        <v>7371</v>
      </c>
      <c r="P157" s="288" t="s">
        <v>7766</v>
      </c>
      <c r="Q157" s="288"/>
      <c r="R157" s="288"/>
      <c r="S157" s="288"/>
      <c r="T157" s="288"/>
      <c r="U157" s="288"/>
      <c r="V157" s="288"/>
      <c r="W157" s="288"/>
      <c r="X157" s="36" t="s">
        <v>76</v>
      </c>
    </row>
    <row r="158" spans="1:24">
      <c r="A158" s="774"/>
      <c r="B158" s="219" t="s">
        <v>8092</v>
      </c>
      <c r="C158" s="288" t="s">
        <v>8093</v>
      </c>
      <c r="D158" s="288"/>
      <c r="E158" s="289" t="s">
        <v>1743</v>
      </c>
      <c r="F158" s="288" t="s">
        <v>7871</v>
      </c>
      <c r="G158" s="288" t="s">
        <v>8094</v>
      </c>
      <c r="H158" s="288" t="s">
        <v>7828</v>
      </c>
      <c r="I158" s="289" t="s">
        <v>1736</v>
      </c>
      <c r="J158" s="289" t="s">
        <v>4913</v>
      </c>
      <c r="K158" s="289" t="s">
        <v>4913</v>
      </c>
      <c r="L158" s="289" t="s">
        <v>1736</v>
      </c>
      <c r="M158" s="289" t="s">
        <v>4913</v>
      </c>
      <c r="N158" s="288" t="s">
        <v>7371</v>
      </c>
      <c r="O158" s="288" t="s">
        <v>7371</v>
      </c>
      <c r="P158" s="288" t="s">
        <v>7766</v>
      </c>
      <c r="Q158" s="288"/>
      <c r="R158" s="288"/>
      <c r="S158" s="288"/>
      <c r="T158" s="288"/>
      <c r="U158" s="288"/>
      <c r="V158" s="288"/>
      <c r="W158" s="288"/>
      <c r="X158" s="36" t="s">
        <v>7393</v>
      </c>
    </row>
    <row r="159" spans="1:24">
      <c r="A159" s="774"/>
      <c r="B159" s="219" t="s">
        <v>8095</v>
      </c>
      <c r="C159" s="288" t="s">
        <v>8096</v>
      </c>
      <c r="D159" s="288"/>
      <c r="E159" s="289" t="s">
        <v>1732</v>
      </c>
      <c r="F159" s="288" t="s">
        <v>7875</v>
      </c>
      <c r="G159" s="288" t="s">
        <v>8097</v>
      </c>
      <c r="H159" s="288" t="s">
        <v>7818</v>
      </c>
      <c r="I159" s="289" t="s">
        <v>1736</v>
      </c>
      <c r="J159" s="289" t="s">
        <v>4913</v>
      </c>
      <c r="K159" s="289" t="s">
        <v>4913</v>
      </c>
      <c r="L159" s="289" t="s">
        <v>1736</v>
      </c>
      <c r="M159" s="289" t="s">
        <v>4913</v>
      </c>
      <c r="N159" s="288" t="s">
        <v>7371</v>
      </c>
      <c r="O159" s="288" t="s">
        <v>7371</v>
      </c>
      <c r="P159" s="288" t="s">
        <v>7766</v>
      </c>
      <c r="Q159" s="288"/>
      <c r="R159" s="288"/>
      <c r="S159" s="288"/>
      <c r="T159" s="288"/>
      <c r="U159" s="288"/>
      <c r="V159" s="288"/>
      <c r="W159" s="288"/>
      <c r="X159" s="36" t="s">
        <v>76</v>
      </c>
    </row>
    <row r="160" spans="1:24">
      <c r="A160" s="774"/>
      <c r="B160" s="219" t="s">
        <v>8098</v>
      </c>
      <c r="C160" s="288" t="s">
        <v>8099</v>
      </c>
      <c r="D160" s="288"/>
      <c r="E160" s="289" t="s">
        <v>1743</v>
      </c>
      <c r="F160" s="288" t="s">
        <v>7994</v>
      </c>
      <c r="G160" s="288" t="s">
        <v>8100</v>
      </c>
      <c r="H160" s="288" t="s">
        <v>7828</v>
      </c>
      <c r="I160" s="289" t="s">
        <v>1736</v>
      </c>
      <c r="J160" s="289" t="s">
        <v>4913</v>
      </c>
      <c r="K160" s="289" t="s">
        <v>4913</v>
      </c>
      <c r="L160" s="289" t="s">
        <v>1736</v>
      </c>
      <c r="M160" s="289" t="s">
        <v>4913</v>
      </c>
      <c r="N160" s="288" t="s">
        <v>7371</v>
      </c>
      <c r="O160" s="288" t="s">
        <v>7371</v>
      </c>
      <c r="P160" s="288" t="s">
        <v>7766</v>
      </c>
      <c r="Q160" s="288"/>
      <c r="R160" s="288"/>
      <c r="S160" s="288"/>
      <c r="T160" s="288"/>
      <c r="U160" s="288"/>
      <c r="V160" s="288"/>
      <c r="W160" s="288"/>
      <c r="X160" s="36" t="s">
        <v>7393</v>
      </c>
    </row>
    <row r="161" spans="1:24">
      <c r="A161" s="774"/>
      <c r="B161" s="219" t="s">
        <v>8101</v>
      </c>
      <c r="C161" s="288" t="s">
        <v>8102</v>
      </c>
      <c r="D161" s="288"/>
      <c r="E161" s="289" t="s">
        <v>1732</v>
      </c>
      <c r="F161" s="288" t="s">
        <v>8103</v>
      </c>
      <c r="G161" s="288" t="s">
        <v>8104</v>
      </c>
      <c r="H161" s="288" t="s">
        <v>7823</v>
      </c>
      <c r="I161" s="289" t="s">
        <v>1736</v>
      </c>
      <c r="J161" s="289" t="s">
        <v>4913</v>
      </c>
      <c r="K161" s="289" t="s">
        <v>4913</v>
      </c>
      <c r="L161" s="289" t="s">
        <v>1736</v>
      </c>
      <c r="M161" s="289" t="s">
        <v>4913</v>
      </c>
      <c r="N161" s="288" t="s">
        <v>7371</v>
      </c>
      <c r="O161" s="288" t="s">
        <v>7371</v>
      </c>
      <c r="P161" s="288" t="s">
        <v>7766</v>
      </c>
      <c r="Q161" s="288"/>
      <c r="R161" s="288"/>
      <c r="S161" s="288"/>
      <c r="T161" s="288"/>
      <c r="U161" s="288"/>
      <c r="V161" s="288"/>
      <c r="W161" s="288"/>
      <c r="X161" s="36" t="s">
        <v>76</v>
      </c>
    </row>
    <row r="162" spans="1:24">
      <c r="A162" s="774"/>
      <c r="B162" s="219" t="s">
        <v>8105</v>
      </c>
      <c r="C162" s="288" t="s">
        <v>8106</v>
      </c>
      <c r="D162" s="288"/>
      <c r="E162" s="289" t="s">
        <v>1732</v>
      </c>
      <c r="F162" s="288" t="s">
        <v>8107</v>
      </c>
      <c r="G162" s="288" t="s">
        <v>8104</v>
      </c>
      <c r="H162" s="288" t="s">
        <v>7823</v>
      </c>
      <c r="I162" s="289" t="s">
        <v>1736</v>
      </c>
      <c r="J162" s="289" t="s">
        <v>4913</v>
      </c>
      <c r="K162" s="289" t="s">
        <v>4913</v>
      </c>
      <c r="L162" s="289" t="s">
        <v>1736</v>
      </c>
      <c r="M162" s="289" t="s">
        <v>4913</v>
      </c>
      <c r="N162" s="288" t="s">
        <v>7371</v>
      </c>
      <c r="O162" s="288" t="s">
        <v>7371</v>
      </c>
      <c r="P162" s="288" t="s">
        <v>7766</v>
      </c>
      <c r="Q162" s="288"/>
      <c r="R162" s="288"/>
      <c r="S162" s="288"/>
      <c r="T162" s="288"/>
      <c r="U162" s="288"/>
      <c r="V162" s="288"/>
      <c r="W162" s="288"/>
      <c r="X162" s="36" t="s">
        <v>7393</v>
      </c>
    </row>
    <row r="163" spans="1:24">
      <c r="A163" s="774"/>
      <c r="B163" s="219" t="s">
        <v>8108</v>
      </c>
      <c r="C163" s="288" t="s">
        <v>8109</v>
      </c>
      <c r="D163" s="288"/>
      <c r="E163" s="289" t="s">
        <v>1743</v>
      </c>
      <c r="F163" s="288" t="s">
        <v>8110</v>
      </c>
      <c r="G163" s="288" t="s">
        <v>8111</v>
      </c>
      <c r="H163" s="288" t="s">
        <v>7828</v>
      </c>
      <c r="I163" s="289" t="s">
        <v>1736</v>
      </c>
      <c r="J163" s="289" t="s">
        <v>4913</v>
      </c>
      <c r="K163" s="289" t="s">
        <v>4913</v>
      </c>
      <c r="L163" s="289" t="s">
        <v>1736</v>
      </c>
      <c r="M163" s="289" t="s">
        <v>4913</v>
      </c>
      <c r="N163" s="288" t="s">
        <v>7371</v>
      </c>
      <c r="O163" s="288" t="s">
        <v>7371</v>
      </c>
      <c r="P163" s="288" t="s">
        <v>7766</v>
      </c>
      <c r="Q163" s="288"/>
      <c r="R163" s="288"/>
      <c r="S163" s="288"/>
      <c r="T163" s="288"/>
      <c r="U163" s="288"/>
      <c r="V163" s="288"/>
      <c r="W163" s="288"/>
      <c r="X163" s="36" t="s">
        <v>76</v>
      </c>
    </row>
    <row r="164" spans="1:24">
      <c r="A164" s="774"/>
      <c r="B164" s="219" t="s">
        <v>8112</v>
      </c>
      <c r="C164" s="288" t="s">
        <v>8113</v>
      </c>
      <c r="D164" s="288"/>
      <c r="E164" s="289" t="s">
        <v>1732</v>
      </c>
      <c r="F164" s="288" t="s">
        <v>8114</v>
      </c>
      <c r="G164" s="288"/>
      <c r="H164" s="288" t="s">
        <v>7818</v>
      </c>
      <c r="I164" s="289" t="s">
        <v>1736</v>
      </c>
      <c r="J164" s="289" t="s">
        <v>4913</v>
      </c>
      <c r="K164" s="289" t="s">
        <v>4913</v>
      </c>
      <c r="L164" s="289" t="s">
        <v>4913</v>
      </c>
      <c r="M164" s="289" t="s">
        <v>4913</v>
      </c>
      <c r="N164" s="288" t="s">
        <v>7371</v>
      </c>
      <c r="O164" s="288" t="s">
        <v>7371</v>
      </c>
      <c r="P164" s="288" t="s">
        <v>7766</v>
      </c>
      <c r="Q164" s="288"/>
      <c r="R164" s="288"/>
      <c r="S164" s="288"/>
      <c r="T164" s="288"/>
      <c r="U164" s="288"/>
      <c r="V164" s="288"/>
      <c r="W164" s="288"/>
      <c r="X164" s="36" t="s">
        <v>7393</v>
      </c>
    </row>
    <row r="165" spans="1:24">
      <c r="A165" s="774"/>
      <c r="B165" s="219" t="s">
        <v>8115</v>
      </c>
      <c r="C165" s="288" t="s">
        <v>8116</v>
      </c>
      <c r="D165" s="288"/>
      <c r="E165" s="289" t="s">
        <v>1743</v>
      </c>
      <c r="F165" s="288" t="s">
        <v>8117</v>
      </c>
      <c r="G165" s="288" t="s">
        <v>8118</v>
      </c>
      <c r="H165" s="288" t="s">
        <v>7828</v>
      </c>
      <c r="I165" s="289" t="s">
        <v>1736</v>
      </c>
      <c r="J165" s="289" t="s">
        <v>4913</v>
      </c>
      <c r="K165" s="289" t="s">
        <v>4913</v>
      </c>
      <c r="L165" s="289" t="s">
        <v>4913</v>
      </c>
      <c r="M165" s="289" t="s">
        <v>4913</v>
      </c>
      <c r="N165" s="288" t="s">
        <v>7371</v>
      </c>
      <c r="O165" s="288" t="s">
        <v>7371</v>
      </c>
      <c r="P165" s="288" t="s">
        <v>7766</v>
      </c>
      <c r="Q165" s="288"/>
      <c r="R165" s="288"/>
      <c r="S165" s="288"/>
      <c r="T165" s="288"/>
      <c r="U165" s="288"/>
      <c r="V165" s="288"/>
      <c r="W165" s="288"/>
      <c r="X165" s="36" t="s">
        <v>76</v>
      </c>
    </row>
    <row r="166" spans="1:24">
      <c r="A166" s="774"/>
      <c r="B166" s="219" t="s">
        <v>8119</v>
      </c>
      <c r="C166" s="288" t="s">
        <v>8120</v>
      </c>
      <c r="D166" s="288"/>
      <c r="E166" s="289" t="s">
        <v>1732</v>
      </c>
      <c r="F166" s="288" t="s">
        <v>7953</v>
      </c>
      <c r="G166" s="288" t="s">
        <v>8121</v>
      </c>
      <c r="H166" s="288" t="s">
        <v>7818</v>
      </c>
      <c r="I166" s="289" t="s">
        <v>1736</v>
      </c>
      <c r="J166" s="289" t="s">
        <v>4913</v>
      </c>
      <c r="K166" s="289" t="s">
        <v>4913</v>
      </c>
      <c r="L166" s="289" t="s">
        <v>4913</v>
      </c>
      <c r="M166" s="289" t="s">
        <v>4913</v>
      </c>
      <c r="N166" s="288" t="s">
        <v>7371</v>
      </c>
      <c r="O166" s="288" t="s">
        <v>7371</v>
      </c>
      <c r="P166" s="288" t="s">
        <v>7766</v>
      </c>
      <c r="Q166" s="288"/>
      <c r="R166" s="288"/>
      <c r="S166" s="288"/>
      <c r="T166" s="288"/>
      <c r="U166" s="288"/>
      <c r="V166" s="288"/>
      <c r="W166" s="288"/>
      <c r="X166" s="36" t="s">
        <v>7393</v>
      </c>
    </row>
    <row r="167" spans="1:24">
      <c r="A167" s="774"/>
      <c r="B167" s="219" t="s">
        <v>8122</v>
      </c>
      <c r="C167" s="288" t="s">
        <v>8123</v>
      </c>
      <c r="D167" s="288"/>
      <c r="E167" s="289" t="s">
        <v>1732</v>
      </c>
      <c r="F167" s="288" t="s">
        <v>8124</v>
      </c>
      <c r="G167" s="288" t="s">
        <v>8125</v>
      </c>
      <c r="H167" s="288" t="s">
        <v>7818</v>
      </c>
      <c r="I167" s="289" t="s">
        <v>1736</v>
      </c>
      <c r="J167" s="289" t="s">
        <v>4913</v>
      </c>
      <c r="K167" s="289" t="s">
        <v>4913</v>
      </c>
      <c r="L167" s="289" t="s">
        <v>4913</v>
      </c>
      <c r="M167" s="289" t="s">
        <v>4913</v>
      </c>
      <c r="N167" s="288" t="s">
        <v>7371</v>
      </c>
      <c r="O167" s="288" t="s">
        <v>7371</v>
      </c>
      <c r="P167" s="288" t="s">
        <v>7766</v>
      </c>
      <c r="Q167" s="288"/>
      <c r="R167" s="288"/>
      <c r="S167" s="288"/>
      <c r="T167" s="288"/>
      <c r="U167" s="288"/>
      <c r="V167" s="288"/>
      <c r="W167" s="288"/>
      <c r="X167" s="36" t="s">
        <v>76</v>
      </c>
    </row>
    <row r="168" spans="1:24">
      <c r="A168" s="774"/>
      <c r="B168" s="219" t="s">
        <v>8126</v>
      </c>
      <c r="C168" s="288" t="s">
        <v>8127</v>
      </c>
      <c r="D168" s="288"/>
      <c r="E168" s="289" t="s">
        <v>1732</v>
      </c>
      <c r="F168" s="288" t="s">
        <v>8128</v>
      </c>
      <c r="G168" s="288" t="s">
        <v>8118</v>
      </c>
      <c r="H168" s="288" t="s">
        <v>7818</v>
      </c>
      <c r="I168" s="289" t="s">
        <v>1736</v>
      </c>
      <c r="J168" s="289" t="s">
        <v>4913</v>
      </c>
      <c r="K168" s="289" t="s">
        <v>4913</v>
      </c>
      <c r="L168" s="289" t="s">
        <v>4913</v>
      </c>
      <c r="M168" s="289" t="s">
        <v>4913</v>
      </c>
      <c r="N168" s="288" t="s">
        <v>7371</v>
      </c>
      <c r="O168" s="288" t="s">
        <v>7371</v>
      </c>
      <c r="P168" s="288" t="s">
        <v>7766</v>
      </c>
      <c r="Q168" s="288"/>
      <c r="R168" s="288"/>
      <c r="S168" s="288"/>
      <c r="T168" s="288"/>
      <c r="U168" s="288"/>
      <c r="V168" s="288"/>
      <c r="W168" s="288"/>
      <c r="X168" s="36" t="s">
        <v>7393</v>
      </c>
    </row>
    <row r="169" spans="1:24">
      <c r="A169" s="774"/>
      <c r="B169" s="219" t="s">
        <v>8129</v>
      </c>
      <c r="C169" s="288" t="s">
        <v>8130</v>
      </c>
      <c r="D169" s="288"/>
      <c r="E169" s="289" t="s">
        <v>1732</v>
      </c>
      <c r="F169" s="288" t="s">
        <v>8131</v>
      </c>
      <c r="G169" s="288" t="s">
        <v>8132</v>
      </c>
      <c r="H169" s="288" t="s">
        <v>7818</v>
      </c>
      <c r="I169" s="289" t="s">
        <v>1736</v>
      </c>
      <c r="J169" s="289" t="s">
        <v>4913</v>
      </c>
      <c r="K169" s="289" t="s">
        <v>4913</v>
      </c>
      <c r="L169" s="289" t="s">
        <v>4913</v>
      </c>
      <c r="M169" s="289" t="s">
        <v>4913</v>
      </c>
      <c r="N169" s="288" t="s">
        <v>7371</v>
      </c>
      <c r="O169" s="288" t="s">
        <v>7371</v>
      </c>
      <c r="P169" s="288" t="s">
        <v>7766</v>
      </c>
      <c r="Q169" s="288"/>
      <c r="R169" s="288"/>
      <c r="S169" s="288"/>
      <c r="T169" s="288"/>
      <c r="U169" s="288"/>
      <c r="V169" s="288"/>
      <c r="W169" s="288"/>
      <c r="X169" s="36" t="s">
        <v>76</v>
      </c>
    </row>
    <row r="170" spans="1:24">
      <c r="A170" s="774"/>
      <c r="B170" s="219" t="s">
        <v>8133</v>
      </c>
      <c r="C170" s="288" t="s">
        <v>8134</v>
      </c>
      <c r="D170" s="288"/>
      <c r="E170" s="289" t="s">
        <v>1743</v>
      </c>
      <c r="F170" s="288" t="s">
        <v>8135</v>
      </c>
      <c r="G170" s="288" t="s">
        <v>8136</v>
      </c>
      <c r="H170" s="288" t="s">
        <v>7828</v>
      </c>
      <c r="I170" s="289" t="s">
        <v>1736</v>
      </c>
      <c r="J170" s="289" t="s">
        <v>4913</v>
      </c>
      <c r="K170" s="289" t="s">
        <v>4913</v>
      </c>
      <c r="L170" s="289" t="s">
        <v>4913</v>
      </c>
      <c r="M170" s="289" t="s">
        <v>4913</v>
      </c>
      <c r="N170" s="288" t="s">
        <v>7371</v>
      </c>
      <c r="O170" s="288" t="s">
        <v>7371</v>
      </c>
      <c r="P170" s="288" t="s">
        <v>7766</v>
      </c>
      <c r="Q170" s="288"/>
      <c r="R170" s="288"/>
      <c r="S170" s="288"/>
      <c r="T170" s="288"/>
      <c r="U170" s="288"/>
      <c r="V170" s="288"/>
      <c r="W170" s="288"/>
      <c r="X170" s="36" t="s">
        <v>7393</v>
      </c>
    </row>
    <row r="171" spans="1:24">
      <c r="A171" s="774"/>
      <c r="B171" s="219" t="s">
        <v>8137</v>
      </c>
      <c r="C171" s="288" t="s">
        <v>8138</v>
      </c>
      <c r="D171" s="288"/>
      <c r="E171" s="289" t="s">
        <v>1732</v>
      </c>
      <c r="F171" s="288" t="s">
        <v>8139</v>
      </c>
      <c r="G171" s="288" t="s">
        <v>8140</v>
      </c>
      <c r="H171" s="288" t="s">
        <v>7818</v>
      </c>
      <c r="I171" s="289" t="s">
        <v>1736</v>
      </c>
      <c r="J171" s="289" t="s">
        <v>4913</v>
      </c>
      <c r="K171" s="289" t="s">
        <v>4913</v>
      </c>
      <c r="L171" s="289" t="s">
        <v>4913</v>
      </c>
      <c r="M171" s="289" t="s">
        <v>4913</v>
      </c>
      <c r="N171" s="288" t="s">
        <v>7371</v>
      </c>
      <c r="O171" s="288" t="s">
        <v>7371</v>
      </c>
      <c r="P171" s="288" t="s">
        <v>7766</v>
      </c>
      <c r="Q171" s="288"/>
      <c r="R171" s="288"/>
      <c r="S171" s="288"/>
      <c r="T171" s="288"/>
      <c r="U171" s="288"/>
      <c r="V171" s="288"/>
      <c r="W171" s="288"/>
      <c r="X171" s="36" t="s">
        <v>76</v>
      </c>
    </row>
    <row r="172" spans="1:24">
      <c r="A172" s="774"/>
      <c r="B172" s="219" t="s">
        <v>8141</v>
      </c>
      <c r="C172" s="288" t="s">
        <v>8142</v>
      </c>
      <c r="D172" s="288"/>
      <c r="E172" s="289" t="s">
        <v>1732</v>
      </c>
      <c r="F172" s="288" t="s">
        <v>8143</v>
      </c>
      <c r="G172" s="288" t="s">
        <v>8144</v>
      </c>
      <c r="H172" s="288" t="s">
        <v>7818</v>
      </c>
      <c r="I172" s="289" t="s">
        <v>1736</v>
      </c>
      <c r="J172" s="289" t="s">
        <v>4913</v>
      </c>
      <c r="K172" s="289" t="s">
        <v>4913</v>
      </c>
      <c r="L172" s="289" t="s">
        <v>1736</v>
      </c>
      <c r="M172" s="289" t="s">
        <v>4913</v>
      </c>
      <c r="N172" s="288" t="s">
        <v>7371</v>
      </c>
      <c r="O172" s="288" t="s">
        <v>7371</v>
      </c>
      <c r="P172" s="288" t="s">
        <v>7766</v>
      </c>
      <c r="Q172" s="288"/>
      <c r="R172" s="288"/>
      <c r="S172" s="288"/>
      <c r="T172" s="288"/>
      <c r="U172" s="288"/>
      <c r="V172" s="288"/>
      <c r="W172" s="288"/>
      <c r="X172" s="36" t="s">
        <v>7393</v>
      </c>
    </row>
    <row r="173" spans="1:24">
      <c r="A173" s="774"/>
      <c r="B173" s="219" t="s">
        <v>8145</v>
      </c>
      <c r="C173" s="288" t="s">
        <v>8146</v>
      </c>
      <c r="D173" s="288"/>
      <c r="E173" s="289" t="s">
        <v>1732</v>
      </c>
      <c r="F173" s="288" t="s">
        <v>8076</v>
      </c>
      <c r="G173" s="288" t="s">
        <v>8136</v>
      </c>
      <c r="H173" s="288" t="s">
        <v>7818</v>
      </c>
      <c r="I173" s="289" t="s">
        <v>1736</v>
      </c>
      <c r="J173" s="289" t="s">
        <v>4913</v>
      </c>
      <c r="K173" s="289" t="s">
        <v>4913</v>
      </c>
      <c r="L173" s="289" t="s">
        <v>4913</v>
      </c>
      <c r="M173" s="289" t="s">
        <v>4913</v>
      </c>
      <c r="N173" s="288" t="s">
        <v>7371</v>
      </c>
      <c r="O173" s="288" t="s">
        <v>7371</v>
      </c>
      <c r="P173" s="288" t="s">
        <v>7766</v>
      </c>
      <c r="Q173" s="288"/>
      <c r="R173" s="288"/>
      <c r="S173" s="288"/>
      <c r="T173" s="288"/>
      <c r="U173" s="288"/>
      <c r="V173" s="288"/>
      <c r="W173" s="288"/>
      <c r="X173" s="36" t="s">
        <v>76</v>
      </c>
    </row>
    <row r="174" spans="1:24">
      <c r="A174" s="774"/>
      <c r="B174" s="219" t="s">
        <v>8147</v>
      </c>
      <c r="C174" s="288" t="s">
        <v>8148</v>
      </c>
      <c r="D174" s="288"/>
      <c r="E174" s="289" t="s">
        <v>1743</v>
      </c>
      <c r="F174" s="288" t="s">
        <v>8149</v>
      </c>
      <c r="G174" s="288" t="s">
        <v>8150</v>
      </c>
      <c r="H174" s="288" t="s">
        <v>7828</v>
      </c>
      <c r="I174" s="289" t="s">
        <v>1736</v>
      </c>
      <c r="J174" s="289" t="s">
        <v>4913</v>
      </c>
      <c r="K174" s="289" t="s">
        <v>4913</v>
      </c>
      <c r="L174" s="289" t="s">
        <v>4913</v>
      </c>
      <c r="M174" s="289" t="s">
        <v>4913</v>
      </c>
      <c r="N174" s="288" t="s">
        <v>7371</v>
      </c>
      <c r="O174" s="288" t="s">
        <v>7371</v>
      </c>
      <c r="P174" s="288" t="s">
        <v>7766</v>
      </c>
      <c r="Q174" s="288"/>
      <c r="R174" s="288"/>
      <c r="S174" s="288"/>
      <c r="T174" s="288"/>
      <c r="U174" s="288"/>
      <c r="V174" s="288"/>
      <c r="W174" s="288"/>
      <c r="X174" s="36" t="s">
        <v>7393</v>
      </c>
    </row>
    <row r="175" spans="1:24">
      <c r="A175" s="774"/>
      <c r="B175" s="219" t="s">
        <v>8151</v>
      </c>
      <c r="C175" s="288" t="s">
        <v>8152</v>
      </c>
      <c r="D175" s="288"/>
      <c r="E175" s="289" t="s">
        <v>1732</v>
      </c>
      <c r="F175" s="288" t="s">
        <v>7925</v>
      </c>
      <c r="G175" s="288" t="s">
        <v>8153</v>
      </c>
      <c r="H175" s="288" t="s">
        <v>7818</v>
      </c>
      <c r="I175" s="289" t="s">
        <v>1736</v>
      </c>
      <c r="J175" s="289" t="s">
        <v>4913</v>
      </c>
      <c r="K175" s="289" t="s">
        <v>4913</v>
      </c>
      <c r="L175" s="289" t="s">
        <v>4913</v>
      </c>
      <c r="M175" s="289" t="s">
        <v>4913</v>
      </c>
      <c r="N175" s="288" t="s">
        <v>7371</v>
      </c>
      <c r="O175" s="288" t="s">
        <v>7371</v>
      </c>
      <c r="P175" s="288" t="s">
        <v>7766</v>
      </c>
      <c r="Q175" s="288"/>
      <c r="R175" s="288"/>
      <c r="S175" s="288"/>
      <c r="T175" s="288"/>
      <c r="U175" s="288"/>
      <c r="V175" s="288"/>
      <c r="W175" s="288"/>
      <c r="X175" s="36" t="s">
        <v>76</v>
      </c>
    </row>
    <row r="176" spans="1:24">
      <c r="A176" s="774"/>
      <c r="B176" s="219" t="s">
        <v>8154</v>
      </c>
      <c r="C176" s="288" t="s">
        <v>8155</v>
      </c>
      <c r="D176" s="288"/>
      <c r="E176" s="289" t="s">
        <v>1743</v>
      </c>
      <c r="F176" s="288" t="s">
        <v>8087</v>
      </c>
      <c r="G176" s="288" t="s">
        <v>8156</v>
      </c>
      <c r="H176" s="288" t="s">
        <v>7828</v>
      </c>
      <c r="I176" s="289" t="s">
        <v>1736</v>
      </c>
      <c r="J176" s="289" t="s">
        <v>4913</v>
      </c>
      <c r="K176" s="289" t="s">
        <v>4913</v>
      </c>
      <c r="L176" s="289" t="s">
        <v>4913</v>
      </c>
      <c r="M176" s="289" t="s">
        <v>4913</v>
      </c>
      <c r="N176" s="288" t="s">
        <v>7371</v>
      </c>
      <c r="O176" s="288" t="s">
        <v>7371</v>
      </c>
      <c r="P176" s="288" t="s">
        <v>7766</v>
      </c>
      <c r="Q176" s="288"/>
      <c r="R176" s="288"/>
      <c r="S176" s="288"/>
      <c r="T176" s="288"/>
      <c r="U176" s="288"/>
      <c r="V176" s="288"/>
      <c r="W176" s="288"/>
      <c r="X176" s="36" t="s">
        <v>7393</v>
      </c>
    </row>
    <row r="177" spans="1:24">
      <c r="A177" s="774"/>
      <c r="B177" s="219" t="s">
        <v>8157</v>
      </c>
      <c r="C177" s="288" t="s">
        <v>8158</v>
      </c>
      <c r="D177" s="288"/>
      <c r="E177" s="289" t="s">
        <v>1732</v>
      </c>
      <c r="F177" s="288" t="s">
        <v>7867</v>
      </c>
      <c r="G177" s="288" t="s">
        <v>8136</v>
      </c>
      <c r="H177" s="288" t="s">
        <v>7818</v>
      </c>
      <c r="I177" s="289" t="s">
        <v>1736</v>
      </c>
      <c r="J177" s="289" t="s">
        <v>4913</v>
      </c>
      <c r="K177" s="289" t="s">
        <v>4913</v>
      </c>
      <c r="L177" s="289" t="s">
        <v>4913</v>
      </c>
      <c r="M177" s="289" t="s">
        <v>4913</v>
      </c>
      <c r="N177" s="288" t="s">
        <v>7371</v>
      </c>
      <c r="O177" s="288" t="s">
        <v>7371</v>
      </c>
      <c r="P177" s="288" t="s">
        <v>7766</v>
      </c>
      <c r="Q177" s="288"/>
      <c r="R177" s="288"/>
      <c r="S177" s="288"/>
      <c r="T177" s="288"/>
      <c r="U177" s="288"/>
      <c r="V177" s="288"/>
      <c r="W177" s="288"/>
      <c r="X177" s="36" t="s">
        <v>76</v>
      </c>
    </row>
    <row r="178" spans="1:24">
      <c r="A178" s="774"/>
      <c r="B178" s="219" t="s">
        <v>8159</v>
      </c>
      <c r="C178" s="288" t="s">
        <v>8160</v>
      </c>
      <c r="D178" s="288"/>
      <c r="E178" s="289" t="s">
        <v>1743</v>
      </c>
      <c r="F178" s="288" t="s">
        <v>7871</v>
      </c>
      <c r="G178" s="288" t="s">
        <v>8161</v>
      </c>
      <c r="H178" s="288" t="s">
        <v>7828</v>
      </c>
      <c r="I178" s="289" t="s">
        <v>1736</v>
      </c>
      <c r="J178" s="289" t="s">
        <v>4913</v>
      </c>
      <c r="K178" s="289" t="s">
        <v>4913</v>
      </c>
      <c r="L178" s="289" t="s">
        <v>4913</v>
      </c>
      <c r="M178" s="289" t="s">
        <v>4913</v>
      </c>
      <c r="N178" s="288" t="s">
        <v>7371</v>
      </c>
      <c r="O178" s="288" t="s">
        <v>7371</v>
      </c>
      <c r="P178" s="288" t="s">
        <v>7766</v>
      </c>
      <c r="Q178" s="288"/>
      <c r="R178" s="288"/>
      <c r="S178" s="288"/>
      <c r="T178" s="288"/>
      <c r="U178" s="288"/>
      <c r="V178" s="288"/>
      <c r="W178" s="288"/>
      <c r="X178" s="36" t="s">
        <v>7393</v>
      </c>
    </row>
    <row r="179" spans="1:24">
      <c r="A179" s="774"/>
      <c r="B179" s="219" t="s">
        <v>8162</v>
      </c>
      <c r="C179" s="288" t="s">
        <v>8163</v>
      </c>
      <c r="D179" s="288"/>
      <c r="E179" s="289" t="s">
        <v>1732</v>
      </c>
      <c r="F179" s="288" t="s">
        <v>7875</v>
      </c>
      <c r="G179" s="288" t="s">
        <v>8136</v>
      </c>
      <c r="H179" s="288" t="s">
        <v>7818</v>
      </c>
      <c r="I179" s="289" t="s">
        <v>1736</v>
      </c>
      <c r="J179" s="289" t="s">
        <v>4913</v>
      </c>
      <c r="K179" s="289" t="s">
        <v>4913</v>
      </c>
      <c r="L179" s="289" t="s">
        <v>4913</v>
      </c>
      <c r="M179" s="289" t="s">
        <v>4913</v>
      </c>
      <c r="N179" s="288" t="s">
        <v>7371</v>
      </c>
      <c r="O179" s="288" t="s">
        <v>7371</v>
      </c>
      <c r="P179" s="288" t="s">
        <v>7766</v>
      </c>
      <c r="Q179" s="288"/>
      <c r="R179" s="288"/>
      <c r="S179" s="288"/>
      <c r="T179" s="288"/>
      <c r="U179" s="288"/>
      <c r="V179" s="288"/>
      <c r="W179" s="288"/>
      <c r="X179" s="36" t="s">
        <v>76</v>
      </c>
    </row>
    <row r="180" spans="1:24">
      <c r="A180" s="774"/>
      <c r="B180" s="219" t="s">
        <v>8164</v>
      </c>
      <c r="C180" s="288" t="s">
        <v>8165</v>
      </c>
      <c r="D180" s="288"/>
      <c r="E180" s="289" t="s">
        <v>1743</v>
      </c>
      <c r="F180" s="288" t="s">
        <v>8047</v>
      </c>
      <c r="G180" s="288" t="s">
        <v>8166</v>
      </c>
      <c r="H180" s="288" t="s">
        <v>7828</v>
      </c>
      <c r="I180" s="289" t="s">
        <v>1736</v>
      </c>
      <c r="J180" s="289" t="s">
        <v>4913</v>
      </c>
      <c r="K180" s="289" t="s">
        <v>4913</v>
      </c>
      <c r="L180" s="289" t="s">
        <v>4913</v>
      </c>
      <c r="M180" s="289" t="s">
        <v>4913</v>
      </c>
      <c r="N180" s="288" t="s">
        <v>7371</v>
      </c>
      <c r="O180" s="288" t="s">
        <v>7371</v>
      </c>
      <c r="P180" s="288" t="s">
        <v>7766</v>
      </c>
      <c r="Q180" s="288"/>
      <c r="R180" s="288"/>
      <c r="S180" s="288"/>
      <c r="T180" s="288"/>
      <c r="U180" s="288"/>
      <c r="V180" s="288"/>
      <c r="W180" s="288"/>
      <c r="X180" s="36" t="s">
        <v>7393</v>
      </c>
    </row>
    <row r="181" spans="1:24">
      <c r="A181" s="774"/>
      <c r="B181" s="219" t="s">
        <v>8167</v>
      </c>
      <c r="C181" s="219" t="s">
        <v>8168</v>
      </c>
      <c r="D181" s="219"/>
      <c r="E181" s="284" t="s">
        <v>1732</v>
      </c>
      <c r="F181" s="219" t="s">
        <v>8169</v>
      </c>
      <c r="G181" s="219" t="s">
        <v>8170</v>
      </c>
      <c r="H181" s="219" t="s">
        <v>8171</v>
      </c>
      <c r="I181" s="285" t="s">
        <v>1736</v>
      </c>
      <c r="J181" s="286" t="s">
        <v>4913</v>
      </c>
      <c r="K181" s="286" t="s">
        <v>4913</v>
      </c>
      <c r="L181" s="286" t="s">
        <v>4913</v>
      </c>
      <c r="M181" s="286" t="s">
        <v>4913</v>
      </c>
      <c r="N181" s="287" t="s">
        <v>1737</v>
      </c>
      <c r="O181" s="287" t="s">
        <v>1737</v>
      </c>
      <c r="P181" s="219"/>
      <c r="Q181" s="219" t="s">
        <v>7536</v>
      </c>
      <c r="R181" s="219" t="s">
        <v>8172</v>
      </c>
      <c r="S181" s="219" t="s">
        <v>7612</v>
      </c>
      <c r="T181" s="219" t="s">
        <v>8173</v>
      </c>
      <c r="U181" s="219"/>
      <c r="V181" s="219"/>
      <c r="W181" s="219" t="s">
        <v>7612</v>
      </c>
      <c r="X181" s="36" t="s">
        <v>76</v>
      </c>
    </row>
    <row r="182" spans="1:24">
      <c r="A182" s="774"/>
      <c r="B182" s="219" t="s">
        <v>8174</v>
      </c>
      <c r="C182" s="288" t="s">
        <v>8175</v>
      </c>
      <c r="D182" s="288"/>
      <c r="E182" s="289" t="s">
        <v>1732</v>
      </c>
      <c r="F182" s="288" t="s">
        <v>8176</v>
      </c>
      <c r="G182" s="288" t="s">
        <v>8177</v>
      </c>
      <c r="H182" s="288" t="s">
        <v>8178</v>
      </c>
      <c r="I182" s="289" t="s">
        <v>1736</v>
      </c>
      <c r="J182" s="289" t="s">
        <v>4913</v>
      </c>
      <c r="K182" s="289" t="s">
        <v>4913</v>
      </c>
      <c r="L182" s="289" t="s">
        <v>4913</v>
      </c>
      <c r="M182" s="289" t="s">
        <v>4913</v>
      </c>
      <c r="N182" s="288" t="s">
        <v>7371</v>
      </c>
      <c r="O182" s="288" t="s">
        <v>7371</v>
      </c>
      <c r="P182" s="288" t="s">
        <v>7766</v>
      </c>
      <c r="Q182" s="288"/>
      <c r="R182" s="288"/>
      <c r="S182" s="288"/>
      <c r="T182" s="288"/>
      <c r="U182" s="288"/>
      <c r="V182" s="288"/>
      <c r="W182" s="288"/>
      <c r="X182" s="36" t="s">
        <v>7393</v>
      </c>
    </row>
    <row r="183" spans="1:24">
      <c r="A183" s="774"/>
      <c r="B183" s="219" t="s">
        <v>8179</v>
      </c>
      <c r="C183" s="288" t="s">
        <v>8180</v>
      </c>
      <c r="D183" s="288"/>
      <c r="E183" s="289" t="s">
        <v>1732</v>
      </c>
      <c r="F183" s="288" t="s">
        <v>8176</v>
      </c>
      <c r="G183" s="288" t="s">
        <v>8181</v>
      </c>
      <c r="H183" s="288" t="s">
        <v>8178</v>
      </c>
      <c r="I183" s="289" t="s">
        <v>1736</v>
      </c>
      <c r="J183" s="289" t="s">
        <v>4913</v>
      </c>
      <c r="K183" s="289" t="s">
        <v>4913</v>
      </c>
      <c r="L183" s="289" t="s">
        <v>4913</v>
      </c>
      <c r="M183" s="289" t="s">
        <v>4913</v>
      </c>
      <c r="N183" s="288" t="s">
        <v>7371</v>
      </c>
      <c r="O183" s="288" t="s">
        <v>7371</v>
      </c>
      <c r="P183" s="288" t="s">
        <v>7766</v>
      </c>
      <c r="Q183" s="288"/>
      <c r="R183" s="288"/>
      <c r="S183" s="288"/>
      <c r="T183" s="288"/>
      <c r="U183" s="288"/>
      <c r="V183" s="288"/>
      <c r="W183" s="288"/>
      <c r="X183" s="36" t="s">
        <v>76</v>
      </c>
    </row>
    <row r="184" spans="1:24">
      <c r="A184" s="774"/>
      <c r="B184" s="219" t="s">
        <v>8182</v>
      </c>
      <c r="C184" s="288" t="s">
        <v>8183</v>
      </c>
      <c r="D184" s="288"/>
      <c r="E184" s="289" t="s">
        <v>1732</v>
      </c>
      <c r="F184" s="288" t="s">
        <v>8176</v>
      </c>
      <c r="G184" s="288" t="s">
        <v>8184</v>
      </c>
      <c r="H184" s="288" t="s">
        <v>8178</v>
      </c>
      <c r="I184" s="289" t="s">
        <v>1736</v>
      </c>
      <c r="J184" s="289" t="s">
        <v>4913</v>
      </c>
      <c r="K184" s="289" t="s">
        <v>4913</v>
      </c>
      <c r="L184" s="289" t="s">
        <v>4913</v>
      </c>
      <c r="M184" s="289" t="s">
        <v>4913</v>
      </c>
      <c r="N184" s="288" t="s">
        <v>7371</v>
      </c>
      <c r="O184" s="288" t="s">
        <v>7371</v>
      </c>
      <c r="P184" s="288" t="s">
        <v>7766</v>
      </c>
      <c r="Q184" s="288"/>
      <c r="R184" s="288"/>
      <c r="S184" s="288"/>
      <c r="T184" s="288"/>
      <c r="U184" s="288"/>
      <c r="V184" s="288"/>
      <c r="W184" s="288"/>
      <c r="X184" s="36" t="s">
        <v>7393</v>
      </c>
    </row>
    <row r="185" spans="1:24">
      <c r="A185" s="774"/>
      <c r="B185" s="219" t="s">
        <v>8185</v>
      </c>
      <c r="C185" s="288" t="s">
        <v>8186</v>
      </c>
      <c r="D185" s="288"/>
      <c r="E185" s="289" t="s">
        <v>1732</v>
      </c>
      <c r="F185" s="288" t="s">
        <v>8187</v>
      </c>
      <c r="G185" s="288"/>
      <c r="H185" s="288" t="s">
        <v>8188</v>
      </c>
      <c r="I185" s="289" t="s">
        <v>1736</v>
      </c>
      <c r="J185" s="289" t="s">
        <v>4913</v>
      </c>
      <c r="K185" s="289" t="s">
        <v>4913</v>
      </c>
      <c r="L185" s="289" t="s">
        <v>4913</v>
      </c>
      <c r="M185" s="289" t="s">
        <v>4913</v>
      </c>
      <c r="N185" s="288" t="s">
        <v>7371</v>
      </c>
      <c r="O185" s="288" t="s">
        <v>7371</v>
      </c>
      <c r="P185" s="288" t="s">
        <v>7766</v>
      </c>
      <c r="Q185" s="288"/>
      <c r="R185" s="288"/>
      <c r="S185" s="288"/>
      <c r="T185" s="288"/>
      <c r="U185" s="288"/>
      <c r="V185" s="288"/>
      <c r="W185" s="288"/>
      <c r="X185" s="36" t="s">
        <v>76</v>
      </c>
    </row>
    <row r="186" spans="1:24">
      <c r="A186" s="773"/>
      <c r="B186" s="219" t="s">
        <v>8189</v>
      </c>
      <c r="C186" s="288" t="s">
        <v>8190</v>
      </c>
      <c r="D186" s="288"/>
      <c r="E186" s="289" t="s">
        <v>1732</v>
      </c>
      <c r="F186" s="288" t="s">
        <v>8191</v>
      </c>
      <c r="G186" s="288" t="s">
        <v>8192</v>
      </c>
      <c r="H186" s="288" t="s">
        <v>7823</v>
      </c>
      <c r="I186" s="289" t="s">
        <v>1736</v>
      </c>
      <c r="J186" s="289" t="s">
        <v>4913</v>
      </c>
      <c r="K186" s="289" t="s">
        <v>4913</v>
      </c>
      <c r="L186" s="289" t="s">
        <v>4913</v>
      </c>
      <c r="M186" s="289" t="s">
        <v>4913</v>
      </c>
      <c r="N186" s="288" t="s">
        <v>7371</v>
      </c>
      <c r="O186" s="288" t="s">
        <v>7371</v>
      </c>
      <c r="P186" s="288" t="s">
        <v>7766</v>
      </c>
      <c r="Q186" s="288"/>
      <c r="R186" s="288"/>
      <c r="S186" s="288"/>
      <c r="T186" s="288"/>
      <c r="U186" s="288"/>
      <c r="V186" s="288"/>
      <c r="W186" s="288"/>
      <c r="X186" s="36" t="s">
        <v>7393</v>
      </c>
    </row>
    <row r="187" spans="1:24">
      <c r="A187" s="715" t="s">
        <v>8193</v>
      </c>
      <c r="B187" s="219" t="s">
        <v>8194</v>
      </c>
      <c r="C187" s="219" t="s">
        <v>3701</v>
      </c>
      <c r="D187" s="294" t="s">
        <v>8195</v>
      </c>
      <c r="E187" s="215" t="s">
        <v>1732</v>
      </c>
      <c r="F187" s="219" t="s">
        <v>8196</v>
      </c>
      <c r="G187" s="295"/>
      <c r="H187" s="219" t="s">
        <v>8197</v>
      </c>
      <c r="I187" s="285" t="s">
        <v>1736</v>
      </c>
      <c r="J187" s="286" t="s">
        <v>4913</v>
      </c>
      <c r="K187" s="286" t="s">
        <v>4913</v>
      </c>
      <c r="L187" s="286" t="s">
        <v>4913</v>
      </c>
      <c r="M187" s="286" t="s">
        <v>4913</v>
      </c>
      <c r="N187" s="296" t="s">
        <v>1737</v>
      </c>
      <c r="O187" s="296" t="s">
        <v>1737</v>
      </c>
      <c r="P187" s="295"/>
      <c r="Q187" s="295" t="s">
        <v>8198</v>
      </c>
      <c r="R187" s="219" t="s">
        <v>8199</v>
      </c>
      <c r="S187" s="295" t="s">
        <v>8200</v>
      </c>
      <c r="T187" s="219" t="s">
        <v>8201</v>
      </c>
      <c r="U187" s="295"/>
      <c r="V187" s="295"/>
      <c r="W187" s="295" t="s">
        <v>8200</v>
      </c>
      <c r="X187" s="36" t="s">
        <v>76</v>
      </c>
    </row>
    <row r="188" spans="1:24">
      <c r="A188" s="774"/>
      <c r="B188" s="219" t="s">
        <v>8202</v>
      </c>
      <c r="C188" s="219" t="s">
        <v>8203</v>
      </c>
      <c r="D188" s="297" t="s">
        <v>8204</v>
      </c>
      <c r="E188" s="215" t="s">
        <v>1732</v>
      </c>
      <c r="F188" s="219" t="s">
        <v>8205</v>
      </c>
      <c r="G188" s="295"/>
      <c r="H188" s="219" t="s">
        <v>8206</v>
      </c>
      <c r="I188" s="285" t="s">
        <v>1736</v>
      </c>
      <c r="J188" s="286" t="s">
        <v>4913</v>
      </c>
      <c r="K188" s="286" t="s">
        <v>4913</v>
      </c>
      <c r="L188" s="286" t="s">
        <v>4913</v>
      </c>
      <c r="M188" s="286" t="s">
        <v>4913</v>
      </c>
      <c r="N188" s="296" t="s">
        <v>1737</v>
      </c>
      <c r="O188" s="296" t="s">
        <v>1737</v>
      </c>
      <c r="P188" s="295"/>
      <c r="Q188" s="295" t="s">
        <v>8198</v>
      </c>
      <c r="R188" s="219" t="s">
        <v>8207</v>
      </c>
      <c r="S188" s="295" t="s">
        <v>8200</v>
      </c>
      <c r="T188" s="219" t="s">
        <v>8208</v>
      </c>
      <c r="U188" s="295"/>
      <c r="V188" s="295"/>
      <c r="W188" s="295" t="s">
        <v>8200</v>
      </c>
      <c r="X188" s="36" t="s">
        <v>7393</v>
      </c>
    </row>
    <row r="189" spans="1:24">
      <c r="A189" s="774"/>
      <c r="B189" s="219" t="s">
        <v>8209</v>
      </c>
      <c r="C189" s="219" t="s">
        <v>8210</v>
      </c>
      <c r="D189" s="297" t="s">
        <v>8211</v>
      </c>
      <c r="E189" s="215" t="s">
        <v>1732</v>
      </c>
      <c r="F189" s="219" t="s">
        <v>8212</v>
      </c>
      <c r="G189" s="295"/>
      <c r="H189" s="219" t="s">
        <v>8213</v>
      </c>
      <c r="I189" s="285" t="s">
        <v>1736</v>
      </c>
      <c r="J189" s="286" t="s">
        <v>4913</v>
      </c>
      <c r="K189" s="285" t="s">
        <v>1736</v>
      </c>
      <c r="L189" s="286" t="s">
        <v>4913</v>
      </c>
      <c r="M189" s="286" t="s">
        <v>4913</v>
      </c>
      <c r="N189" s="296" t="s">
        <v>1737</v>
      </c>
      <c r="O189" s="296" t="s">
        <v>1737</v>
      </c>
      <c r="P189" s="295"/>
      <c r="Q189" s="295" t="s">
        <v>8214</v>
      </c>
      <c r="R189" s="219" t="s">
        <v>8215</v>
      </c>
      <c r="S189" s="295" t="s">
        <v>8200</v>
      </c>
      <c r="T189" s="219" t="s">
        <v>8216</v>
      </c>
      <c r="U189" s="295"/>
      <c r="V189" s="295"/>
      <c r="W189" s="295" t="s">
        <v>8200</v>
      </c>
      <c r="X189" s="36" t="s">
        <v>76</v>
      </c>
    </row>
    <row r="190" spans="1:24">
      <c r="A190" s="774"/>
      <c r="B190" s="219" t="s">
        <v>8217</v>
      </c>
      <c r="C190" s="219" t="s">
        <v>8218</v>
      </c>
      <c r="D190" s="297" t="s">
        <v>8211</v>
      </c>
      <c r="E190" s="215" t="s">
        <v>1732</v>
      </c>
      <c r="F190" s="219" t="s">
        <v>8219</v>
      </c>
      <c r="G190" s="295"/>
      <c r="H190" s="219" t="s">
        <v>8220</v>
      </c>
      <c r="I190" s="285" t="s">
        <v>1736</v>
      </c>
      <c r="J190" s="286" t="s">
        <v>4913</v>
      </c>
      <c r="K190" s="286" t="s">
        <v>4913</v>
      </c>
      <c r="L190" s="286" t="s">
        <v>4913</v>
      </c>
      <c r="M190" s="286" t="s">
        <v>4913</v>
      </c>
      <c r="N190" s="296" t="s">
        <v>1737</v>
      </c>
      <c r="O190" s="296" t="s">
        <v>1737</v>
      </c>
      <c r="P190" s="295"/>
      <c r="Q190" s="295" t="s">
        <v>8221</v>
      </c>
      <c r="R190" s="219" t="s">
        <v>8222</v>
      </c>
      <c r="S190" s="295" t="s">
        <v>8200</v>
      </c>
      <c r="T190" s="219" t="s">
        <v>8223</v>
      </c>
      <c r="U190" s="295"/>
      <c r="V190" s="295"/>
      <c r="W190" s="295" t="s">
        <v>8200</v>
      </c>
      <c r="X190" s="36" t="s">
        <v>7393</v>
      </c>
    </row>
    <row r="191" spans="1:24">
      <c r="A191" s="774"/>
      <c r="B191" s="219" t="s">
        <v>8224</v>
      </c>
      <c r="C191" s="219" t="s">
        <v>8225</v>
      </c>
      <c r="D191" s="297" t="s">
        <v>8211</v>
      </c>
      <c r="E191" s="215" t="s">
        <v>1732</v>
      </c>
      <c r="F191" s="219" t="s">
        <v>8226</v>
      </c>
      <c r="G191" s="295"/>
      <c r="H191" s="219" t="s">
        <v>8227</v>
      </c>
      <c r="I191" s="285" t="s">
        <v>1736</v>
      </c>
      <c r="J191" s="286" t="s">
        <v>4913</v>
      </c>
      <c r="K191" s="286" t="s">
        <v>4913</v>
      </c>
      <c r="L191" s="285" t="s">
        <v>1736</v>
      </c>
      <c r="M191" s="286" t="s">
        <v>4913</v>
      </c>
      <c r="N191" s="296" t="s">
        <v>1737</v>
      </c>
      <c r="O191" s="296" t="s">
        <v>1737</v>
      </c>
      <c r="P191" s="295"/>
      <c r="Q191" s="295" t="s">
        <v>8228</v>
      </c>
      <c r="R191" s="219" t="s">
        <v>8229</v>
      </c>
      <c r="S191" s="219" t="s">
        <v>8228</v>
      </c>
      <c r="T191" s="219" t="s">
        <v>8230</v>
      </c>
      <c r="U191" s="295"/>
      <c r="V191" s="295"/>
      <c r="W191" s="219" t="s">
        <v>8228</v>
      </c>
      <c r="X191" s="36" t="s">
        <v>76</v>
      </c>
    </row>
    <row r="192" spans="1:24">
      <c r="A192" s="774"/>
      <c r="B192" s="219" t="s">
        <v>8231</v>
      </c>
      <c r="C192" s="219" t="s">
        <v>8232</v>
      </c>
      <c r="D192" s="297" t="s">
        <v>8233</v>
      </c>
      <c r="E192" s="215" t="s">
        <v>1732</v>
      </c>
      <c r="F192" s="219" t="s">
        <v>8234</v>
      </c>
      <c r="G192" s="295"/>
      <c r="H192" s="219" t="s">
        <v>8235</v>
      </c>
      <c r="I192" s="285" t="s">
        <v>1736</v>
      </c>
      <c r="J192" s="285" t="s">
        <v>1736</v>
      </c>
      <c r="K192" s="286" t="s">
        <v>4913</v>
      </c>
      <c r="L192" s="286" t="s">
        <v>4913</v>
      </c>
      <c r="M192" s="286" t="s">
        <v>4913</v>
      </c>
      <c r="N192" s="296" t="s">
        <v>1737</v>
      </c>
      <c r="O192" s="296" t="s">
        <v>1737</v>
      </c>
      <c r="P192" s="295"/>
      <c r="Q192" s="295" t="s">
        <v>8236</v>
      </c>
      <c r="R192" s="219" t="s">
        <v>8237</v>
      </c>
      <c r="S192" s="219" t="s">
        <v>8228</v>
      </c>
      <c r="T192" s="219" t="s">
        <v>8238</v>
      </c>
      <c r="U192" s="295"/>
      <c r="V192" s="295"/>
      <c r="W192" s="219" t="s">
        <v>8228</v>
      </c>
      <c r="X192" s="36" t="s">
        <v>7393</v>
      </c>
    </row>
    <row r="193" spans="1:24">
      <c r="A193" s="774"/>
      <c r="B193" s="219" t="s">
        <v>8239</v>
      </c>
      <c r="C193" s="219" t="s">
        <v>8240</v>
      </c>
      <c r="D193" s="297" t="s">
        <v>8241</v>
      </c>
      <c r="E193" s="215" t="s">
        <v>1732</v>
      </c>
      <c r="F193" s="219" t="s">
        <v>8242</v>
      </c>
      <c r="G193" s="295"/>
      <c r="H193" s="219" t="s">
        <v>8243</v>
      </c>
      <c r="I193" s="285" t="s">
        <v>1736</v>
      </c>
      <c r="J193" s="285" t="s">
        <v>1736</v>
      </c>
      <c r="K193" s="286" t="s">
        <v>4913</v>
      </c>
      <c r="L193" s="286" t="s">
        <v>4913</v>
      </c>
      <c r="M193" s="286" t="s">
        <v>4913</v>
      </c>
      <c r="N193" s="296" t="s">
        <v>1737</v>
      </c>
      <c r="O193" s="296" t="s">
        <v>1737</v>
      </c>
      <c r="P193" s="295"/>
      <c r="Q193" s="295" t="s">
        <v>8244</v>
      </c>
      <c r="R193" s="219" t="s">
        <v>8245</v>
      </c>
      <c r="S193" s="295" t="s">
        <v>8200</v>
      </c>
      <c r="T193" s="219" t="s">
        <v>8246</v>
      </c>
      <c r="U193" s="295"/>
      <c r="V193" s="295"/>
      <c r="W193" s="295" t="s">
        <v>8200</v>
      </c>
      <c r="X193" s="36" t="s">
        <v>76</v>
      </c>
    </row>
    <row r="194" spans="1:24">
      <c r="A194" s="774"/>
      <c r="B194" s="219" t="s">
        <v>8247</v>
      </c>
      <c r="C194" s="219" t="s">
        <v>8248</v>
      </c>
      <c r="D194" s="297" t="s">
        <v>8241</v>
      </c>
      <c r="E194" s="215" t="s">
        <v>1732</v>
      </c>
      <c r="F194" s="219" t="s">
        <v>8249</v>
      </c>
      <c r="G194" s="295"/>
      <c r="H194" s="219" t="s">
        <v>8250</v>
      </c>
      <c r="I194" s="285" t="s">
        <v>1736</v>
      </c>
      <c r="J194" s="285" t="s">
        <v>1736</v>
      </c>
      <c r="K194" s="286" t="s">
        <v>4913</v>
      </c>
      <c r="L194" s="286" t="s">
        <v>4913</v>
      </c>
      <c r="M194" s="286" t="s">
        <v>4913</v>
      </c>
      <c r="N194" s="296" t="s">
        <v>1737</v>
      </c>
      <c r="O194" s="296" t="s">
        <v>1737</v>
      </c>
      <c r="P194" s="295"/>
      <c r="Q194" s="295" t="s">
        <v>8244</v>
      </c>
      <c r="R194" s="219" t="s">
        <v>8251</v>
      </c>
      <c r="S194" s="298" t="s">
        <v>8252</v>
      </c>
      <c r="T194" s="219" t="s">
        <v>8253</v>
      </c>
      <c r="U194" s="295"/>
      <c r="V194" s="295"/>
      <c r="W194" s="298" t="s">
        <v>8252</v>
      </c>
      <c r="X194" s="36" t="s">
        <v>7393</v>
      </c>
    </row>
    <row r="195" spans="1:24">
      <c r="A195" s="774"/>
      <c r="B195" s="219" t="s">
        <v>8254</v>
      </c>
      <c r="C195" s="219" t="s">
        <v>8255</v>
      </c>
      <c r="D195" s="551" t="s">
        <v>8256</v>
      </c>
      <c r="E195" s="215" t="s">
        <v>1732</v>
      </c>
      <c r="F195" s="219" t="s">
        <v>8257</v>
      </c>
      <c r="G195" s="295"/>
      <c r="H195" s="219" t="s">
        <v>8258</v>
      </c>
      <c r="I195" s="285" t="s">
        <v>1736</v>
      </c>
      <c r="J195" s="286" t="s">
        <v>4913</v>
      </c>
      <c r="K195" s="286" t="s">
        <v>4913</v>
      </c>
      <c r="L195" s="285" t="s">
        <v>1736</v>
      </c>
      <c r="M195" s="286" t="s">
        <v>4913</v>
      </c>
      <c r="N195" s="296" t="s">
        <v>1737</v>
      </c>
      <c r="O195" s="296" t="s">
        <v>1737</v>
      </c>
      <c r="P195" s="295"/>
      <c r="Q195" s="295" t="s">
        <v>8244</v>
      </c>
      <c r="R195" s="219" t="s">
        <v>8259</v>
      </c>
      <c r="S195" s="295" t="s">
        <v>8252</v>
      </c>
      <c r="T195" s="219" t="s">
        <v>8260</v>
      </c>
      <c r="U195" s="295"/>
      <c r="V195" s="295"/>
      <c r="W195" s="295" t="s">
        <v>8252</v>
      </c>
      <c r="X195" s="36" t="s">
        <v>76</v>
      </c>
    </row>
    <row r="196" spans="1:24">
      <c r="A196" s="774"/>
      <c r="B196" s="219" t="s">
        <v>8261</v>
      </c>
      <c r="C196" s="219" t="s">
        <v>8262</v>
      </c>
      <c r="D196" s="552" t="s">
        <v>8263</v>
      </c>
      <c r="E196" s="215" t="s">
        <v>1732</v>
      </c>
      <c r="F196" s="219" t="s">
        <v>8264</v>
      </c>
      <c r="G196" s="295"/>
      <c r="H196" s="299" t="s">
        <v>8265</v>
      </c>
      <c r="I196" s="285" t="s">
        <v>1736</v>
      </c>
      <c r="J196" s="286" t="s">
        <v>4913</v>
      </c>
      <c r="K196" s="286" t="s">
        <v>4913</v>
      </c>
      <c r="L196" s="285" t="s">
        <v>1736</v>
      </c>
      <c r="M196" s="286" t="s">
        <v>4913</v>
      </c>
      <c r="N196" s="296" t="s">
        <v>1737</v>
      </c>
      <c r="O196" s="296" t="s">
        <v>1737</v>
      </c>
      <c r="P196" s="295"/>
      <c r="Q196" s="295" t="s">
        <v>8266</v>
      </c>
      <c r="R196" s="219" t="s">
        <v>8267</v>
      </c>
      <c r="S196" s="295" t="s">
        <v>8252</v>
      </c>
      <c r="T196" s="219" t="s">
        <v>8268</v>
      </c>
      <c r="U196" s="295"/>
      <c r="V196" s="295"/>
      <c r="W196" s="295" t="s">
        <v>8252</v>
      </c>
      <c r="X196" s="36" t="s">
        <v>7393</v>
      </c>
    </row>
    <row r="197" spans="1:24">
      <c r="A197" s="774"/>
      <c r="B197" s="219" t="s">
        <v>8269</v>
      </c>
      <c r="C197" s="219" t="s">
        <v>8270</v>
      </c>
      <c r="D197" s="552" t="s">
        <v>8271</v>
      </c>
      <c r="E197" s="215" t="s">
        <v>1732</v>
      </c>
      <c r="F197" s="219" t="s">
        <v>8272</v>
      </c>
      <c r="G197" s="295"/>
      <c r="H197" s="299" t="s">
        <v>8273</v>
      </c>
      <c r="I197" s="285" t="s">
        <v>1736</v>
      </c>
      <c r="J197" s="286" t="s">
        <v>4913</v>
      </c>
      <c r="K197" s="286" t="s">
        <v>4913</v>
      </c>
      <c r="L197" s="285" t="s">
        <v>1736</v>
      </c>
      <c r="M197" s="286" t="s">
        <v>4913</v>
      </c>
      <c r="N197" s="296" t="s">
        <v>1737</v>
      </c>
      <c r="O197" s="296" t="s">
        <v>1737</v>
      </c>
      <c r="P197" s="295"/>
      <c r="Q197" s="295" t="s">
        <v>8266</v>
      </c>
      <c r="R197" s="219" t="s">
        <v>8274</v>
      </c>
      <c r="S197" s="295" t="s">
        <v>8252</v>
      </c>
      <c r="T197" s="219" t="s">
        <v>8275</v>
      </c>
      <c r="U197" s="295"/>
      <c r="V197" s="295"/>
      <c r="W197" s="295" t="s">
        <v>8252</v>
      </c>
      <c r="X197" s="36" t="s">
        <v>76</v>
      </c>
    </row>
    <row r="198" spans="1:24">
      <c r="A198" s="774"/>
      <c r="B198" s="219" t="s">
        <v>8276</v>
      </c>
      <c r="C198" s="219" t="s">
        <v>8270</v>
      </c>
      <c r="D198" s="552" t="s">
        <v>8277</v>
      </c>
      <c r="E198" s="215" t="s">
        <v>1732</v>
      </c>
      <c r="F198" s="219" t="s">
        <v>8278</v>
      </c>
      <c r="G198" s="295"/>
      <c r="H198" s="299" t="s">
        <v>8279</v>
      </c>
      <c r="I198" s="285" t="s">
        <v>1736</v>
      </c>
      <c r="J198" s="286" t="s">
        <v>4913</v>
      </c>
      <c r="K198" s="286" t="s">
        <v>4913</v>
      </c>
      <c r="L198" s="285" t="s">
        <v>1736</v>
      </c>
      <c r="M198" s="286" t="s">
        <v>4913</v>
      </c>
      <c r="N198" s="296" t="s">
        <v>1737</v>
      </c>
      <c r="O198" s="296" t="s">
        <v>1737</v>
      </c>
      <c r="P198" s="295"/>
      <c r="Q198" s="295" t="s">
        <v>8236</v>
      </c>
      <c r="R198" s="219" t="s">
        <v>8280</v>
      </c>
      <c r="S198" s="295" t="s">
        <v>8252</v>
      </c>
      <c r="T198" s="219" t="s">
        <v>8281</v>
      </c>
      <c r="U198" s="295"/>
      <c r="V198" s="295"/>
      <c r="W198" s="295" t="s">
        <v>8252</v>
      </c>
      <c r="X198" s="36" t="s">
        <v>7393</v>
      </c>
    </row>
    <row r="199" spans="1:24">
      <c r="A199" s="774"/>
      <c r="B199" s="219" t="s">
        <v>8282</v>
      </c>
      <c r="C199" s="219" t="s">
        <v>8270</v>
      </c>
      <c r="D199" s="552" t="s">
        <v>8283</v>
      </c>
      <c r="E199" s="215" t="s">
        <v>1732</v>
      </c>
      <c r="F199" s="219" t="s">
        <v>8284</v>
      </c>
      <c r="G199" s="295"/>
      <c r="H199" s="299" t="s">
        <v>8279</v>
      </c>
      <c r="I199" s="285" t="s">
        <v>1736</v>
      </c>
      <c r="J199" s="286" t="s">
        <v>4913</v>
      </c>
      <c r="K199" s="286" t="s">
        <v>4913</v>
      </c>
      <c r="L199" s="285" t="s">
        <v>1736</v>
      </c>
      <c r="M199" s="286" t="s">
        <v>4913</v>
      </c>
      <c r="N199" s="296" t="s">
        <v>1737</v>
      </c>
      <c r="O199" s="296" t="s">
        <v>1737</v>
      </c>
      <c r="P199" s="295"/>
      <c r="Q199" s="295" t="s">
        <v>8266</v>
      </c>
      <c r="R199" s="219" t="s">
        <v>8285</v>
      </c>
      <c r="S199" s="295" t="s">
        <v>8252</v>
      </c>
      <c r="T199" s="219" t="s">
        <v>8286</v>
      </c>
      <c r="U199" s="295"/>
      <c r="V199" s="295"/>
      <c r="W199" s="295" t="s">
        <v>8252</v>
      </c>
      <c r="X199" s="36" t="s">
        <v>76</v>
      </c>
    </row>
    <row r="200" spans="1:24">
      <c r="A200" s="774"/>
      <c r="B200" s="219" t="s">
        <v>8287</v>
      </c>
      <c r="C200" s="219" t="s">
        <v>8270</v>
      </c>
      <c r="D200" s="552" t="s">
        <v>8288</v>
      </c>
      <c r="E200" s="215" t="s">
        <v>1732</v>
      </c>
      <c r="F200" s="219" t="s">
        <v>8289</v>
      </c>
      <c r="G200" s="295"/>
      <c r="H200" s="299" t="s">
        <v>8290</v>
      </c>
      <c r="I200" s="285" t="s">
        <v>1736</v>
      </c>
      <c r="J200" s="286" t="s">
        <v>4913</v>
      </c>
      <c r="K200" s="286" t="s">
        <v>4913</v>
      </c>
      <c r="L200" s="286" t="s">
        <v>4913</v>
      </c>
      <c r="M200" s="286" t="s">
        <v>4913</v>
      </c>
      <c r="N200" s="296" t="s">
        <v>1737</v>
      </c>
      <c r="O200" s="296" t="s">
        <v>1737</v>
      </c>
      <c r="P200" s="295"/>
      <c r="Q200" s="295" t="s">
        <v>8291</v>
      </c>
      <c r="R200" s="219" t="s">
        <v>8292</v>
      </c>
      <c r="S200" s="295" t="s">
        <v>8252</v>
      </c>
      <c r="T200" s="219" t="s">
        <v>8293</v>
      </c>
      <c r="U200" s="295"/>
      <c r="V200" s="295"/>
      <c r="W200" s="295" t="s">
        <v>8252</v>
      </c>
      <c r="X200" s="36" t="s">
        <v>7393</v>
      </c>
    </row>
    <row r="201" spans="1:24">
      <c r="A201" s="774"/>
      <c r="B201" s="219" t="s">
        <v>8294</v>
      </c>
      <c r="C201" s="219" t="s">
        <v>8295</v>
      </c>
      <c r="D201" s="552" t="s">
        <v>8296</v>
      </c>
      <c r="E201" s="215" t="s">
        <v>1732</v>
      </c>
      <c r="F201" s="219" t="s">
        <v>8297</v>
      </c>
      <c r="G201" s="295"/>
      <c r="H201" s="299" t="s">
        <v>8298</v>
      </c>
      <c r="I201" s="285" t="s">
        <v>1736</v>
      </c>
      <c r="J201" s="285" t="s">
        <v>1736</v>
      </c>
      <c r="K201" s="286" t="s">
        <v>4913</v>
      </c>
      <c r="L201" s="286" t="s">
        <v>4913</v>
      </c>
      <c r="M201" s="286" t="s">
        <v>4913</v>
      </c>
      <c r="N201" s="296" t="s">
        <v>1737</v>
      </c>
      <c r="O201" s="296" t="s">
        <v>1737</v>
      </c>
      <c r="P201" s="295"/>
      <c r="Q201" s="295" t="s">
        <v>8266</v>
      </c>
      <c r="R201" s="219" t="s">
        <v>8299</v>
      </c>
      <c r="S201" s="295" t="s">
        <v>8252</v>
      </c>
      <c r="T201" s="219" t="s">
        <v>8300</v>
      </c>
      <c r="U201" s="295"/>
      <c r="V201" s="295"/>
      <c r="W201" s="295" t="s">
        <v>8252</v>
      </c>
      <c r="X201" s="36" t="s">
        <v>76</v>
      </c>
    </row>
    <row r="202" spans="1:24">
      <c r="A202" s="774"/>
      <c r="B202" s="219" t="s">
        <v>8301</v>
      </c>
      <c r="C202" s="219" t="s">
        <v>8295</v>
      </c>
      <c r="D202" s="552" t="s">
        <v>8302</v>
      </c>
      <c r="E202" s="215" t="s">
        <v>1732</v>
      </c>
      <c r="F202" s="219" t="s">
        <v>8303</v>
      </c>
      <c r="G202" s="295"/>
      <c r="H202" s="299" t="s">
        <v>8298</v>
      </c>
      <c r="I202" s="285" t="s">
        <v>1736</v>
      </c>
      <c r="J202" s="285" t="s">
        <v>1736</v>
      </c>
      <c r="K202" s="286" t="s">
        <v>4913</v>
      </c>
      <c r="L202" s="285" t="s">
        <v>1736</v>
      </c>
      <c r="M202" s="286" t="s">
        <v>4913</v>
      </c>
      <c r="N202" s="296" t="s">
        <v>1737</v>
      </c>
      <c r="O202" s="296" t="s">
        <v>1737</v>
      </c>
      <c r="P202" s="295"/>
      <c r="Q202" s="295" t="s">
        <v>8304</v>
      </c>
      <c r="R202" s="219" t="s">
        <v>8305</v>
      </c>
      <c r="S202" s="295" t="s">
        <v>8252</v>
      </c>
      <c r="T202" s="219" t="s">
        <v>8306</v>
      </c>
      <c r="U202" s="295"/>
      <c r="V202" s="295"/>
      <c r="W202" s="295" t="s">
        <v>8252</v>
      </c>
      <c r="X202" s="36" t="s">
        <v>7393</v>
      </c>
    </row>
    <row r="203" spans="1:24">
      <c r="A203" s="774"/>
      <c r="B203" s="219" t="s">
        <v>8307</v>
      </c>
      <c r="C203" s="219" t="s">
        <v>8295</v>
      </c>
      <c r="D203" s="552" t="s">
        <v>8308</v>
      </c>
      <c r="E203" s="215" t="s">
        <v>1732</v>
      </c>
      <c r="F203" s="219" t="s">
        <v>8309</v>
      </c>
      <c r="G203" s="295"/>
      <c r="H203" s="299" t="s">
        <v>8298</v>
      </c>
      <c r="I203" s="285" t="s">
        <v>1736</v>
      </c>
      <c r="J203" s="286" t="s">
        <v>4913</v>
      </c>
      <c r="K203" s="286" t="s">
        <v>4913</v>
      </c>
      <c r="L203" s="285" t="s">
        <v>1736</v>
      </c>
      <c r="M203" s="286" t="s">
        <v>4913</v>
      </c>
      <c r="N203" s="296" t="s">
        <v>1737</v>
      </c>
      <c r="O203" s="296" t="s">
        <v>1737</v>
      </c>
      <c r="P203" s="295"/>
      <c r="Q203" s="295" t="s">
        <v>8304</v>
      </c>
      <c r="R203" s="219" t="s">
        <v>8310</v>
      </c>
      <c r="S203" s="295" t="s">
        <v>8252</v>
      </c>
      <c r="T203" s="219" t="s">
        <v>8311</v>
      </c>
      <c r="U203" s="295"/>
      <c r="V203" s="295"/>
      <c r="W203" s="295" t="s">
        <v>8252</v>
      </c>
      <c r="X203" s="36" t="s">
        <v>76</v>
      </c>
    </row>
    <row r="204" spans="1:24">
      <c r="A204" s="774"/>
      <c r="B204" s="219" t="s">
        <v>8312</v>
      </c>
      <c r="C204" s="219" t="s">
        <v>8295</v>
      </c>
      <c r="D204" s="552" t="s">
        <v>8313</v>
      </c>
      <c r="E204" s="215" t="s">
        <v>1732</v>
      </c>
      <c r="F204" s="219" t="s">
        <v>8314</v>
      </c>
      <c r="G204" s="295"/>
      <c r="H204" s="299" t="s">
        <v>8290</v>
      </c>
      <c r="I204" s="285" t="s">
        <v>1736</v>
      </c>
      <c r="J204" s="286" t="s">
        <v>4913</v>
      </c>
      <c r="K204" s="286" t="s">
        <v>4913</v>
      </c>
      <c r="L204" s="286" t="s">
        <v>4913</v>
      </c>
      <c r="M204" s="286" t="s">
        <v>4913</v>
      </c>
      <c r="N204" s="296" t="s">
        <v>1737</v>
      </c>
      <c r="O204" s="296" t="s">
        <v>1737</v>
      </c>
      <c r="P204" s="295"/>
      <c r="Q204" s="295" t="s">
        <v>8315</v>
      </c>
      <c r="R204" s="219" t="s">
        <v>8316</v>
      </c>
      <c r="S204" s="295" t="s">
        <v>8317</v>
      </c>
      <c r="T204" s="219" t="s">
        <v>8318</v>
      </c>
      <c r="U204" s="295"/>
      <c r="V204" s="295"/>
      <c r="W204" s="295" t="s">
        <v>8317</v>
      </c>
      <c r="X204" s="36" t="s">
        <v>7393</v>
      </c>
    </row>
    <row r="205" spans="1:24">
      <c r="A205" s="774"/>
      <c r="B205" s="219" t="s">
        <v>8319</v>
      </c>
      <c r="C205" s="219" t="s">
        <v>8320</v>
      </c>
      <c r="D205" s="552" t="s">
        <v>8321</v>
      </c>
      <c r="E205" s="215" t="s">
        <v>1732</v>
      </c>
      <c r="F205" s="219" t="s">
        <v>8322</v>
      </c>
      <c r="G205" s="295"/>
      <c r="H205" s="299" t="s">
        <v>8323</v>
      </c>
      <c r="I205" s="285" t="s">
        <v>1736</v>
      </c>
      <c r="J205" s="285" t="s">
        <v>1736</v>
      </c>
      <c r="K205" s="286" t="s">
        <v>4913</v>
      </c>
      <c r="L205" s="285" t="s">
        <v>1736</v>
      </c>
      <c r="M205" s="286" t="s">
        <v>4913</v>
      </c>
      <c r="N205" s="296" t="s">
        <v>1737</v>
      </c>
      <c r="O205" s="296" t="s">
        <v>1737</v>
      </c>
      <c r="P205" s="295"/>
      <c r="Q205" s="295" t="s">
        <v>8214</v>
      </c>
      <c r="R205" s="219" t="s">
        <v>8324</v>
      </c>
      <c r="S205" s="295" t="s">
        <v>8317</v>
      </c>
      <c r="T205" s="219" t="s">
        <v>8325</v>
      </c>
      <c r="U205" s="295"/>
      <c r="V205" s="295"/>
      <c r="W205" s="295" t="s">
        <v>8317</v>
      </c>
      <c r="X205" s="36" t="s">
        <v>76</v>
      </c>
    </row>
    <row r="206" spans="1:24">
      <c r="A206" s="774"/>
      <c r="B206" s="219" t="s">
        <v>8326</v>
      </c>
      <c r="C206" s="219" t="s">
        <v>8320</v>
      </c>
      <c r="D206" s="552" t="s">
        <v>8327</v>
      </c>
      <c r="E206" s="215" t="s">
        <v>1732</v>
      </c>
      <c r="F206" s="219" t="s">
        <v>8328</v>
      </c>
      <c r="G206" s="295"/>
      <c r="H206" s="299" t="s">
        <v>8323</v>
      </c>
      <c r="I206" s="285" t="s">
        <v>1736</v>
      </c>
      <c r="J206" s="286" t="s">
        <v>4913</v>
      </c>
      <c r="K206" s="286" t="s">
        <v>4913</v>
      </c>
      <c r="L206" s="286" t="s">
        <v>4913</v>
      </c>
      <c r="M206" s="286" t="s">
        <v>4913</v>
      </c>
      <c r="N206" s="296" t="s">
        <v>1737</v>
      </c>
      <c r="O206" s="296" t="s">
        <v>1737</v>
      </c>
      <c r="P206" s="295"/>
      <c r="Q206" s="295" t="s">
        <v>8214</v>
      </c>
      <c r="R206" s="219" t="s">
        <v>8329</v>
      </c>
      <c r="S206" s="295" t="s">
        <v>8317</v>
      </c>
      <c r="T206" s="219" t="s">
        <v>8330</v>
      </c>
      <c r="U206" s="295"/>
      <c r="V206" s="295"/>
      <c r="W206" s="295" t="s">
        <v>8317</v>
      </c>
      <c r="X206" s="36" t="s">
        <v>7393</v>
      </c>
    </row>
    <row r="207" spans="1:24">
      <c r="A207" s="774"/>
      <c r="B207" s="219" t="s">
        <v>8331</v>
      </c>
      <c r="C207" s="219" t="s">
        <v>8320</v>
      </c>
      <c r="D207" s="552" t="s">
        <v>8332</v>
      </c>
      <c r="E207" s="215" t="s">
        <v>1732</v>
      </c>
      <c r="F207" s="219" t="s">
        <v>8333</v>
      </c>
      <c r="G207" s="295"/>
      <c r="H207" s="299" t="s">
        <v>8323</v>
      </c>
      <c r="I207" s="285" t="s">
        <v>1736</v>
      </c>
      <c r="J207" s="286" t="s">
        <v>4913</v>
      </c>
      <c r="K207" s="286" t="s">
        <v>4913</v>
      </c>
      <c r="L207" s="286" t="s">
        <v>4913</v>
      </c>
      <c r="M207" s="286" t="s">
        <v>4913</v>
      </c>
      <c r="N207" s="296" t="s">
        <v>1737</v>
      </c>
      <c r="O207" s="296" t="s">
        <v>1737</v>
      </c>
      <c r="P207" s="295"/>
      <c r="Q207" s="295" t="s">
        <v>8214</v>
      </c>
      <c r="R207" s="219" t="s">
        <v>8334</v>
      </c>
      <c r="S207" s="295" t="s">
        <v>8317</v>
      </c>
      <c r="T207" s="219" t="s">
        <v>8335</v>
      </c>
      <c r="U207" s="295"/>
      <c r="V207" s="295"/>
      <c r="W207" s="295" t="s">
        <v>8317</v>
      </c>
      <c r="X207" s="36" t="s">
        <v>76</v>
      </c>
    </row>
    <row r="208" spans="1:24">
      <c r="A208" s="774"/>
      <c r="B208" s="219" t="s">
        <v>8336</v>
      </c>
      <c r="C208" s="219" t="s">
        <v>8320</v>
      </c>
      <c r="D208" s="552" t="s">
        <v>8337</v>
      </c>
      <c r="E208" s="215" t="s">
        <v>1732</v>
      </c>
      <c r="F208" s="219" t="s">
        <v>8338</v>
      </c>
      <c r="G208" s="295"/>
      <c r="H208" s="299" t="s">
        <v>8290</v>
      </c>
      <c r="I208" s="285" t="s">
        <v>1736</v>
      </c>
      <c r="J208" s="286" t="s">
        <v>4913</v>
      </c>
      <c r="K208" s="286" t="s">
        <v>4913</v>
      </c>
      <c r="L208" s="286" t="s">
        <v>4913</v>
      </c>
      <c r="M208" s="286" t="s">
        <v>4913</v>
      </c>
      <c r="N208" s="296" t="s">
        <v>1737</v>
      </c>
      <c r="O208" s="296" t="s">
        <v>1737</v>
      </c>
      <c r="P208" s="295"/>
      <c r="Q208" s="295" t="s">
        <v>8315</v>
      </c>
      <c r="R208" s="219" t="s">
        <v>8339</v>
      </c>
      <c r="S208" s="295" t="s">
        <v>8317</v>
      </c>
      <c r="T208" s="219" t="s">
        <v>8340</v>
      </c>
      <c r="U208" s="295"/>
      <c r="V208" s="295"/>
      <c r="W208" s="295" t="s">
        <v>8317</v>
      </c>
      <c r="X208" s="36" t="s">
        <v>7393</v>
      </c>
    </row>
    <row r="209" spans="1:24">
      <c r="A209" s="774"/>
      <c r="B209" s="219" t="s">
        <v>8341</v>
      </c>
      <c r="C209" s="219" t="s">
        <v>8342</v>
      </c>
      <c r="D209" s="552" t="s">
        <v>8343</v>
      </c>
      <c r="E209" s="215" t="s">
        <v>1732</v>
      </c>
      <c r="F209" s="219" t="s">
        <v>8344</v>
      </c>
      <c r="G209" s="295"/>
      <c r="H209" s="299" t="s">
        <v>8345</v>
      </c>
      <c r="I209" s="285" t="s">
        <v>1736</v>
      </c>
      <c r="J209" s="285" t="s">
        <v>1736</v>
      </c>
      <c r="K209" s="286" t="s">
        <v>4913</v>
      </c>
      <c r="L209" s="285" t="s">
        <v>1736</v>
      </c>
      <c r="M209" s="286" t="s">
        <v>4913</v>
      </c>
      <c r="N209" s="296" t="s">
        <v>1737</v>
      </c>
      <c r="O209" s="296" t="s">
        <v>1737</v>
      </c>
      <c r="P209" s="295"/>
      <c r="Q209" s="295" t="s">
        <v>8214</v>
      </c>
      <c r="R209" s="219" t="s">
        <v>8346</v>
      </c>
      <c r="S209" s="295" t="s">
        <v>8317</v>
      </c>
      <c r="T209" s="219" t="s">
        <v>8347</v>
      </c>
      <c r="U209" s="295"/>
      <c r="V209" s="295"/>
      <c r="W209" s="295" t="s">
        <v>8317</v>
      </c>
      <c r="X209" s="36" t="s">
        <v>76</v>
      </c>
    </row>
    <row r="210" spans="1:24">
      <c r="A210" s="774"/>
      <c r="B210" s="219" t="s">
        <v>8348</v>
      </c>
      <c r="C210" s="219" t="s">
        <v>8342</v>
      </c>
      <c r="D210" s="552" t="s">
        <v>8349</v>
      </c>
      <c r="E210" s="215" t="s">
        <v>1732</v>
      </c>
      <c r="F210" s="219" t="s">
        <v>8350</v>
      </c>
      <c r="G210" s="295"/>
      <c r="H210" s="299" t="s">
        <v>8345</v>
      </c>
      <c r="I210" s="285" t="s">
        <v>1736</v>
      </c>
      <c r="J210" s="286" t="s">
        <v>4913</v>
      </c>
      <c r="K210" s="286" t="s">
        <v>4913</v>
      </c>
      <c r="L210" s="285" t="s">
        <v>1736</v>
      </c>
      <c r="M210" s="286" t="s">
        <v>4913</v>
      </c>
      <c r="N210" s="296" t="s">
        <v>1737</v>
      </c>
      <c r="O210" s="296" t="s">
        <v>1737</v>
      </c>
      <c r="P210" s="295"/>
      <c r="Q210" s="295" t="s">
        <v>8351</v>
      </c>
      <c r="R210" s="219" t="s">
        <v>8352</v>
      </c>
      <c r="S210" s="295" t="s">
        <v>8317</v>
      </c>
      <c r="T210" s="219" t="s">
        <v>8353</v>
      </c>
      <c r="U210" s="295"/>
      <c r="V210" s="295"/>
      <c r="W210" s="295" t="s">
        <v>8317</v>
      </c>
      <c r="X210" s="36" t="s">
        <v>7393</v>
      </c>
    </row>
    <row r="211" spans="1:24">
      <c r="A211" s="774"/>
      <c r="B211" s="219" t="s">
        <v>8354</v>
      </c>
      <c r="C211" s="219" t="s">
        <v>8342</v>
      </c>
      <c r="D211" s="552" t="s">
        <v>8355</v>
      </c>
      <c r="E211" s="215" t="s">
        <v>1732</v>
      </c>
      <c r="F211" s="219" t="s">
        <v>8356</v>
      </c>
      <c r="G211" s="295"/>
      <c r="H211" s="299" t="s">
        <v>8357</v>
      </c>
      <c r="I211" s="285" t="s">
        <v>1736</v>
      </c>
      <c r="J211" s="286" t="s">
        <v>4913</v>
      </c>
      <c r="K211" s="286" t="s">
        <v>4913</v>
      </c>
      <c r="L211" s="285" t="s">
        <v>1736</v>
      </c>
      <c r="M211" s="286" t="s">
        <v>4913</v>
      </c>
      <c r="N211" s="296" t="s">
        <v>1737</v>
      </c>
      <c r="O211" s="296" t="s">
        <v>1737</v>
      </c>
      <c r="P211" s="295"/>
      <c r="Q211" s="295" t="s">
        <v>8351</v>
      </c>
      <c r="R211" s="219" t="s">
        <v>8358</v>
      </c>
      <c r="S211" s="295" t="s">
        <v>8317</v>
      </c>
      <c r="T211" s="219" t="s">
        <v>8359</v>
      </c>
      <c r="U211" s="295"/>
      <c r="V211" s="295"/>
      <c r="W211" s="295" t="s">
        <v>8317</v>
      </c>
      <c r="X211" s="36" t="s">
        <v>76</v>
      </c>
    </row>
    <row r="212" spans="1:24">
      <c r="A212" s="774"/>
      <c r="B212" s="219" t="s">
        <v>8360</v>
      </c>
      <c r="C212" s="219" t="s">
        <v>8342</v>
      </c>
      <c r="D212" s="552" t="s">
        <v>8361</v>
      </c>
      <c r="E212" s="215" t="s">
        <v>1732</v>
      </c>
      <c r="F212" s="219" t="s">
        <v>8362</v>
      </c>
      <c r="G212" s="295"/>
      <c r="H212" s="299" t="s">
        <v>8290</v>
      </c>
      <c r="I212" s="285" t="s">
        <v>1736</v>
      </c>
      <c r="J212" s="286" t="s">
        <v>4913</v>
      </c>
      <c r="K212" s="286" t="s">
        <v>4913</v>
      </c>
      <c r="L212" s="285" t="s">
        <v>1736</v>
      </c>
      <c r="M212" s="286" t="s">
        <v>4913</v>
      </c>
      <c r="N212" s="296" t="s">
        <v>1737</v>
      </c>
      <c r="O212" s="296" t="s">
        <v>1737</v>
      </c>
      <c r="P212" s="295"/>
      <c r="Q212" s="295" t="s">
        <v>8304</v>
      </c>
      <c r="R212" s="219" t="s">
        <v>8363</v>
      </c>
      <c r="S212" s="295" t="s">
        <v>8317</v>
      </c>
      <c r="T212" s="219" t="s">
        <v>8364</v>
      </c>
      <c r="U212" s="295"/>
      <c r="V212" s="295"/>
      <c r="W212" s="295" t="s">
        <v>8317</v>
      </c>
      <c r="X212" s="36" t="s">
        <v>7393</v>
      </c>
    </row>
    <row r="213" spans="1:24">
      <c r="A213" s="774"/>
      <c r="B213" s="219" t="s">
        <v>8365</v>
      </c>
      <c r="C213" s="219" t="s">
        <v>8366</v>
      </c>
      <c r="D213" s="552" t="s">
        <v>8367</v>
      </c>
      <c r="E213" s="215" t="s">
        <v>1732</v>
      </c>
      <c r="F213" s="219" t="s">
        <v>8368</v>
      </c>
      <c r="G213" s="295"/>
      <c r="H213" s="299" t="s">
        <v>8369</v>
      </c>
      <c r="I213" s="285" t="s">
        <v>1736</v>
      </c>
      <c r="J213" s="286" t="s">
        <v>4913</v>
      </c>
      <c r="K213" s="286" t="s">
        <v>4913</v>
      </c>
      <c r="L213" s="285" t="s">
        <v>1736</v>
      </c>
      <c r="M213" s="286" t="s">
        <v>4913</v>
      </c>
      <c r="N213" s="296" t="s">
        <v>1737</v>
      </c>
      <c r="O213" s="296" t="s">
        <v>1737</v>
      </c>
      <c r="P213" s="295"/>
      <c r="Q213" s="295" t="s">
        <v>8304</v>
      </c>
      <c r="R213" s="219" t="s">
        <v>8370</v>
      </c>
      <c r="S213" s="295" t="s">
        <v>8317</v>
      </c>
      <c r="T213" s="219" t="s">
        <v>8371</v>
      </c>
      <c r="U213" s="295"/>
      <c r="V213" s="295"/>
      <c r="W213" s="295" t="s">
        <v>8317</v>
      </c>
      <c r="X213" s="36" t="s">
        <v>76</v>
      </c>
    </row>
    <row r="214" spans="1:24">
      <c r="A214" s="774"/>
      <c r="B214" s="219" t="s">
        <v>8372</v>
      </c>
      <c r="C214" s="219" t="s">
        <v>8366</v>
      </c>
      <c r="D214" s="552" t="s">
        <v>8373</v>
      </c>
      <c r="E214" s="215" t="s">
        <v>1732</v>
      </c>
      <c r="F214" s="219" t="s">
        <v>8374</v>
      </c>
      <c r="G214" s="295"/>
      <c r="H214" s="299" t="s">
        <v>8369</v>
      </c>
      <c r="I214" s="285" t="s">
        <v>1736</v>
      </c>
      <c r="J214" s="286" t="s">
        <v>4913</v>
      </c>
      <c r="K214" s="286" t="s">
        <v>4913</v>
      </c>
      <c r="L214" s="285" t="s">
        <v>1736</v>
      </c>
      <c r="M214" s="286" t="s">
        <v>4913</v>
      </c>
      <c r="N214" s="296" t="s">
        <v>1737</v>
      </c>
      <c r="O214" s="296" t="s">
        <v>1737</v>
      </c>
      <c r="P214" s="295"/>
      <c r="Q214" s="295" t="s">
        <v>8304</v>
      </c>
      <c r="R214" s="219" t="s">
        <v>8375</v>
      </c>
      <c r="S214" s="219" t="s">
        <v>8376</v>
      </c>
      <c r="T214" s="219" t="s">
        <v>8377</v>
      </c>
      <c r="U214" s="295"/>
      <c r="V214" s="295"/>
      <c r="W214" s="219" t="s">
        <v>8376</v>
      </c>
      <c r="X214" s="36" t="s">
        <v>7393</v>
      </c>
    </row>
    <row r="215" spans="1:24">
      <c r="A215" s="774"/>
      <c r="B215" s="219" t="s">
        <v>8378</v>
      </c>
      <c r="C215" s="219" t="s">
        <v>8366</v>
      </c>
      <c r="D215" s="552" t="s">
        <v>8379</v>
      </c>
      <c r="E215" s="215" t="s">
        <v>1732</v>
      </c>
      <c r="F215" s="219" t="s">
        <v>8380</v>
      </c>
      <c r="G215" s="295"/>
      <c r="H215" s="299" t="s">
        <v>8381</v>
      </c>
      <c r="I215" s="285" t="s">
        <v>1736</v>
      </c>
      <c r="J215" s="286" t="s">
        <v>4913</v>
      </c>
      <c r="K215" s="286" t="s">
        <v>4913</v>
      </c>
      <c r="L215" s="285" t="s">
        <v>1736</v>
      </c>
      <c r="M215" s="286" t="s">
        <v>4913</v>
      </c>
      <c r="N215" s="296" t="s">
        <v>1737</v>
      </c>
      <c r="O215" s="296" t="s">
        <v>1737</v>
      </c>
      <c r="P215" s="295"/>
      <c r="Q215" s="295" t="s">
        <v>8351</v>
      </c>
      <c r="R215" s="219" t="s">
        <v>8382</v>
      </c>
      <c r="S215" s="219" t="s">
        <v>8376</v>
      </c>
      <c r="T215" s="219" t="s">
        <v>8383</v>
      </c>
      <c r="U215" s="295"/>
      <c r="V215" s="295"/>
      <c r="W215" s="219" t="s">
        <v>8376</v>
      </c>
      <c r="X215" s="36" t="s">
        <v>76</v>
      </c>
    </row>
    <row r="216" spans="1:24">
      <c r="A216" s="774"/>
      <c r="B216" s="219" t="s">
        <v>8384</v>
      </c>
      <c r="C216" s="219" t="s">
        <v>8366</v>
      </c>
      <c r="D216" s="552" t="s">
        <v>8385</v>
      </c>
      <c r="E216" s="215" t="s">
        <v>1732</v>
      </c>
      <c r="F216" s="219" t="s">
        <v>8386</v>
      </c>
      <c r="G216" s="295"/>
      <c r="H216" s="299" t="s">
        <v>8290</v>
      </c>
      <c r="I216" s="285" t="s">
        <v>1736</v>
      </c>
      <c r="J216" s="286" t="s">
        <v>4913</v>
      </c>
      <c r="K216" s="286" t="s">
        <v>4913</v>
      </c>
      <c r="L216" s="286" t="s">
        <v>4913</v>
      </c>
      <c r="M216" s="286" t="s">
        <v>4913</v>
      </c>
      <c r="N216" s="296" t="s">
        <v>1737</v>
      </c>
      <c r="O216" s="296" t="s">
        <v>1737</v>
      </c>
      <c r="P216" s="295"/>
      <c r="Q216" s="295" t="s">
        <v>8351</v>
      </c>
      <c r="R216" s="219" t="s">
        <v>8387</v>
      </c>
      <c r="S216" s="219" t="s">
        <v>8376</v>
      </c>
      <c r="T216" s="219" t="s">
        <v>8388</v>
      </c>
      <c r="U216" s="295"/>
      <c r="V216" s="295"/>
      <c r="W216" s="219" t="s">
        <v>8376</v>
      </c>
      <c r="X216" s="36" t="s">
        <v>7393</v>
      </c>
    </row>
    <row r="217" spans="1:24">
      <c r="A217" s="774"/>
      <c r="B217" s="219" t="s">
        <v>8389</v>
      </c>
      <c r="C217" s="219" t="s">
        <v>8390</v>
      </c>
      <c r="D217" s="552" t="s">
        <v>8391</v>
      </c>
      <c r="E217" s="215" t="s">
        <v>1732</v>
      </c>
      <c r="F217" s="219" t="s">
        <v>8392</v>
      </c>
      <c r="G217" s="295"/>
      <c r="H217" s="299" t="s">
        <v>8393</v>
      </c>
      <c r="I217" s="285" t="s">
        <v>1736</v>
      </c>
      <c r="J217" s="286" t="s">
        <v>4913</v>
      </c>
      <c r="K217" s="286" t="s">
        <v>4913</v>
      </c>
      <c r="L217" s="285" t="s">
        <v>1736</v>
      </c>
      <c r="M217" s="286" t="s">
        <v>4913</v>
      </c>
      <c r="N217" s="296" t="s">
        <v>1737</v>
      </c>
      <c r="O217" s="296" t="s">
        <v>1737</v>
      </c>
      <c r="P217" s="295"/>
      <c r="Q217" s="295" t="s">
        <v>8351</v>
      </c>
      <c r="R217" s="219" t="s">
        <v>8394</v>
      </c>
      <c r="S217" s="219" t="s">
        <v>8376</v>
      </c>
      <c r="T217" s="219" t="s">
        <v>8395</v>
      </c>
      <c r="U217" s="295"/>
      <c r="V217" s="295"/>
      <c r="W217" s="219" t="s">
        <v>8376</v>
      </c>
      <c r="X217" s="36" t="s">
        <v>76</v>
      </c>
    </row>
    <row r="218" spans="1:24">
      <c r="A218" s="774"/>
      <c r="B218" s="219" t="s">
        <v>8396</v>
      </c>
      <c r="C218" s="219" t="s">
        <v>8390</v>
      </c>
      <c r="D218" s="552" t="s">
        <v>8397</v>
      </c>
      <c r="E218" s="215" t="s">
        <v>1732</v>
      </c>
      <c r="F218" s="219" t="s">
        <v>8398</v>
      </c>
      <c r="G218" s="295"/>
      <c r="H218" s="299" t="s">
        <v>8399</v>
      </c>
      <c r="I218" s="285" t="s">
        <v>1736</v>
      </c>
      <c r="J218" s="286" t="s">
        <v>4913</v>
      </c>
      <c r="K218" s="286" t="s">
        <v>4913</v>
      </c>
      <c r="L218" s="285" t="s">
        <v>1736</v>
      </c>
      <c r="M218" s="286" t="s">
        <v>4913</v>
      </c>
      <c r="N218" s="296" t="s">
        <v>1737</v>
      </c>
      <c r="O218" s="296" t="s">
        <v>1737</v>
      </c>
      <c r="P218" s="295"/>
      <c r="Q218" s="295" t="s">
        <v>8400</v>
      </c>
      <c r="R218" s="219" t="s">
        <v>8401</v>
      </c>
      <c r="S218" s="219" t="s">
        <v>8376</v>
      </c>
      <c r="T218" s="219" t="s">
        <v>8402</v>
      </c>
      <c r="U218" s="295"/>
      <c r="V218" s="295"/>
      <c r="W218" s="219" t="s">
        <v>8376</v>
      </c>
      <c r="X218" s="36" t="s">
        <v>7393</v>
      </c>
    </row>
    <row r="219" spans="1:24">
      <c r="A219" s="774"/>
      <c r="B219" s="219" t="s">
        <v>8403</v>
      </c>
      <c r="C219" s="219" t="s">
        <v>8390</v>
      </c>
      <c r="D219" s="552" t="s">
        <v>8404</v>
      </c>
      <c r="E219" s="215" t="s">
        <v>1732</v>
      </c>
      <c r="F219" s="219" t="s">
        <v>8405</v>
      </c>
      <c r="G219" s="295"/>
      <c r="H219" s="299" t="s">
        <v>8406</v>
      </c>
      <c r="I219" s="285" t="s">
        <v>1736</v>
      </c>
      <c r="J219" s="286" t="s">
        <v>4913</v>
      </c>
      <c r="K219" s="286" t="s">
        <v>4913</v>
      </c>
      <c r="L219" s="285" t="s">
        <v>1736</v>
      </c>
      <c r="M219" s="286" t="s">
        <v>4913</v>
      </c>
      <c r="N219" s="296" t="s">
        <v>1737</v>
      </c>
      <c r="O219" s="296" t="s">
        <v>1737</v>
      </c>
      <c r="P219" s="295"/>
      <c r="Q219" s="295" t="s">
        <v>8400</v>
      </c>
      <c r="R219" s="219" t="s">
        <v>8407</v>
      </c>
      <c r="S219" s="219" t="s">
        <v>8376</v>
      </c>
      <c r="T219" s="219" t="s">
        <v>8408</v>
      </c>
      <c r="U219" s="295"/>
      <c r="V219" s="295"/>
      <c r="W219" s="219" t="s">
        <v>8376</v>
      </c>
      <c r="X219" s="36" t="s">
        <v>76</v>
      </c>
    </row>
    <row r="220" spans="1:24">
      <c r="A220" s="774"/>
      <c r="B220" s="219" t="s">
        <v>8409</v>
      </c>
      <c r="C220" s="219" t="s">
        <v>8390</v>
      </c>
      <c r="D220" s="552" t="s">
        <v>8410</v>
      </c>
      <c r="E220" s="215" t="s">
        <v>1732</v>
      </c>
      <c r="F220" s="219" t="s">
        <v>8411</v>
      </c>
      <c r="G220" s="295"/>
      <c r="H220" s="299" t="s">
        <v>8290</v>
      </c>
      <c r="I220" s="285" t="s">
        <v>1736</v>
      </c>
      <c r="J220" s="286" t="s">
        <v>4913</v>
      </c>
      <c r="K220" s="286" t="s">
        <v>4913</v>
      </c>
      <c r="L220" s="286" t="s">
        <v>4913</v>
      </c>
      <c r="M220" s="286" t="s">
        <v>4913</v>
      </c>
      <c r="N220" s="296" t="s">
        <v>1737</v>
      </c>
      <c r="O220" s="296" t="s">
        <v>1737</v>
      </c>
      <c r="P220" s="295"/>
      <c r="Q220" s="295" t="s">
        <v>8400</v>
      </c>
      <c r="R220" s="219" t="s">
        <v>8412</v>
      </c>
      <c r="S220" s="219" t="s">
        <v>8376</v>
      </c>
      <c r="T220" s="219" t="s">
        <v>8413</v>
      </c>
      <c r="U220" s="295"/>
      <c r="V220" s="295"/>
      <c r="W220" s="219" t="s">
        <v>8376</v>
      </c>
      <c r="X220" s="36" t="s">
        <v>7393</v>
      </c>
    </row>
    <row r="221" spans="1:24">
      <c r="A221" s="774"/>
      <c r="B221" s="219" t="s">
        <v>8414</v>
      </c>
      <c r="C221" s="300" t="s">
        <v>8415</v>
      </c>
      <c r="D221" s="551" t="s">
        <v>8256</v>
      </c>
      <c r="E221" s="215" t="s">
        <v>1732</v>
      </c>
      <c r="F221" s="219" t="s">
        <v>8416</v>
      </c>
      <c r="G221" s="295"/>
      <c r="H221" s="219" t="s">
        <v>8417</v>
      </c>
      <c r="I221" s="285" t="s">
        <v>1736</v>
      </c>
      <c r="J221" s="286" t="s">
        <v>4913</v>
      </c>
      <c r="K221" s="286" t="s">
        <v>4913</v>
      </c>
      <c r="L221" s="286" t="s">
        <v>4913</v>
      </c>
      <c r="M221" s="286" t="s">
        <v>4913</v>
      </c>
      <c r="N221" s="296" t="s">
        <v>1737</v>
      </c>
      <c r="O221" s="296" t="s">
        <v>1737</v>
      </c>
      <c r="P221" s="295"/>
      <c r="Q221" s="295" t="s">
        <v>8291</v>
      </c>
      <c r="R221" s="219" t="s">
        <v>8418</v>
      </c>
      <c r="S221" s="219" t="s">
        <v>8376</v>
      </c>
      <c r="T221" s="219" t="s">
        <v>8419</v>
      </c>
      <c r="U221" s="295"/>
      <c r="V221" s="295"/>
      <c r="W221" s="219" t="s">
        <v>8376</v>
      </c>
      <c r="X221" s="36" t="s">
        <v>76</v>
      </c>
    </row>
    <row r="222" spans="1:24">
      <c r="A222" s="774"/>
      <c r="B222" s="219" t="s">
        <v>8420</v>
      </c>
      <c r="C222" s="219" t="s">
        <v>8262</v>
      </c>
      <c r="D222" s="552" t="s">
        <v>8263</v>
      </c>
      <c r="E222" s="215" t="s">
        <v>1732</v>
      </c>
      <c r="F222" s="219" t="s">
        <v>8421</v>
      </c>
      <c r="G222" s="295"/>
      <c r="H222" s="219" t="s">
        <v>8265</v>
      </c>
      <c r="I222" s="285" t="s">
        <v>1736</v>
      </c>
      <c r="J222" s="286" t="s">
        <v>4913</v>
      </c>
      <c r="K222" s="286" t="s">
        <v>4913</v>
      </c>
      <c r="L222" s="286" t="s">
        <v>4913</v>
      </c>
      <c r="M222" s="286" t="s">
        <v>4913</v>
      </c>
      <c r="N222" s="296" t="s">
        <v>1737</v>
      </c>
      <c r="O222" s="296" t="s">
        <v>1737</v>
      </c>
      <c r="P222" s="295"/>
      <c r="Q222" s="295" t="s">
        <v>8400</v>
      </c>
      <c r="R222" s="219" t="s">
        <v>8422</v>
      </c>
      <c r="S222" s="219" t="s">
        <v>8376</v>
      </c>
      <c r="T222" s="219" t="s">
        <v>8423</v>
      </c>
      <c r="U222" s="295"/>
      <c r="V222" s="295"/>
      <c r="W222" s="219" t="s">
        <v>8376</v>
      </c>
      <c r="X222" s="36" t="s">
        <v>7393</v>
      </c>
    </row>
    <row r="223" spans="1:24">
      <c r="A223" s="774"/>
      <c r="B223" s="219" t="s">
        <v>8424</v>
      </c>
      <c r="C223" s="219" t="s">
        <v>8270</v>
      </c>
      <c r="D223" s="552" t="s">
        <v>8271</v>
      </c>
      <c r="E223" s="215" t="s">
        <v>1732</v>
      </c>
      <c r="F223" s="219" t="s">
        <v>8425</v>
      </c>
      <c r="G223" s="295"/>
      <c r="H223" s="219" t="s">
        <v>8279</v>
      </c>
      <c r="I223" s="285" t="s">
        <v>1736</v>
      </c>
      <c r="J223" s="286" t="s">
        <v>4913</v>
      </c>
      <c r="K223" s="286" t="s">
        <v>4913</v>
      </c>
      <c r="L223" s="285" t="s">
        <v>1736</v>
      </c>
      <c r="M223" s="286" t="s">
        <v>4913</v>
      </c>
      <c r="N223" s="296" t="s">
        <v>1737</v>
      </c>
      <c r="O223" s="296" t="s">
        <v>1737</v>
      </c>
      <c r="P223" s="295"/>
      <c r="Q223" s="295" t="s">
        <v>8400</v>
      </c>
      <c r="R223" s="219" t="s">
        <v>8426</v>
      </c>
      <c r="S223" s="219" t="s">
        <v>8376</v>
      </c>
      <c r="T223" s="219" t="s">
        <v>8427</v>
      </c>
      <c r="U223" s="295"/>
      <c r="V223" s="295"/>
      <c r="W223" s="219" t="s">
        <v>8376</v>
      </c>
      <c r="X223" s="36" t="s">
        <v>76</v>
      </c>
    </row>
    <row r="224" spans="1:24">
      <c r="A224" s="774"/>
      <c r="B224" s="219" t="s">
        <v>8428</v>
      </c>
      <c r="C224" s="219" t="s">
        <v>8270</v>
      </c>
      <c r="D224" s="552" t="s">
        <v>8277</v>
      </c>
      <c r="E224" s="215" t="s">
        <v>1732</v>
      </c>
      <c r="F224" s="219" t="s">
        <v>8429</v>
      </c>
      <c r="G224" s="295"/>
      <c r="H224" s="219" t="s">
        <v>8279</v>
      </c>
      <c r="I224" s="285" t="s">
        <v>1736</v>
      </c>
      <c r="J224" s="286" t="s">
        <v>4913</v>
      </c>
      <c r="K224" s="286" t="s">
        <v>4913</v>
      </c>
      <c r="L224" s="285" t="s">
        <v>1736</v>
      </c>
      <c r="M224" s="286" t="s">
        <v>4913</v>
      </c>
      <c r="N224" s="296" t="s">
        <v>1737</v>
      </c>
      <c r="O224" s="296" t="s">
        <v>1737</v>
      </c>
      <c r="P224" s="295"/>
      <c r="Q224" s="295" t="s">
        <v>8430</v>
      </c>
      <c r="R224" s="219" t="s">
        <v>8431</v>
      </c>
      <c r="S224" s="219" t="s">
        <v>8432</v>
      </c>
      <c r="T224" s="219" t="s">
        <v>8433</v>
      </c>
      <c r="U224" s="295"/>
      <c r="V224" s="295"/>
      <c r="W224" s="219" t="s">
        <v>8432</v>
      </c>
      <c r="X224" s="36" t="s">
        <v>7393</v>
      </c>
    </row>
    <row r="225" spans="1:24">
      <c r="A225" s="774"/>
      <c r="B225" s="219" t="s">
        <v>8434</v>
      </c>
      <c r="C225" s="219" t="s">
        <v>8270</v>
      </c>
      <c r="D225" s="552" t="s">
        <v>8283</v>
      </c>
      <c r="E225" s="215" t="s">
        <v>1732</v>
      </c>
      <c r="F225" s="219" t="s">
        <v>8435</v>
      </c>
      <c r="G225" s="295"/>
      <c r="H225" s="219" t="s">
        <v>8279</v>
      </c>
      <c r="I225" s="285" t="s">
        <v>1736</v>
      </c>
      <c r="J225" s="286" t="s">
        <v>4913</v>
      </c>
      <c r="K225" s="286" t="s">
        <v>4913</v>
      </c>
      <c r="L225" s="285" t="s">
        <v>1736</v>
      </c>
      <c r="M225" s="286" t="s">
        <v>4913</v>
      </c>
      <c r="N225" s="296" t="s">
        <v>1737</v>
      </c>
      <c r="O225" s="296" t="s">
        <v>1737</v>
      </c>
      <c r="P225" s="295"/>
      <c r="Q225" s="295" t="s">
        <v>8430</v>
      </c>
      <c r="R225" s="219" t="s">
        <v>8436</v>
      </c>
      <c r="S225" s="219" t="s">
        <v>8376</v>
      </c>
      <c r="T225" s="219" t="s">
        <v>8437</v>
      </c>
      <c r="U225" s="295"/>
      <c r="V225" s="295"/>
      <c r="W225" s="219" t="s">
        <v>8376</v>
      </c>
      <c r="X225" s="36" t="s">
        <v>76</v>
      </c>
    </row>
    <row r="226" spans="1:24">
      <c r="A226" s="774"/>
      <c r="B226" s="219" t="s">
        <v>8438</v>
      </c>
      <c r="C226" s="219" t="s">
        <v>8270</v>
      </c>
      <c r="D226" s="552" t="s">
        <v>8288</v>
      </c>
      <c r="E226" s="215" t="s">
        <v>1732</v>
      </c>
      <c r="F226" s="219" t="s">
        <v>8439</v>
      </c>
      <c r="G226" s="295"/>
      <c r="H226" s="219" t="s">
        <v>8290</v>
      </c>
      <c r="I226" s="285" t="s">
        <v>1736</v>
      </c>
      <c r="J226" s="286" t="s">
        <v>4913</v>
      </c>
      <c r="K226" s="286" t="s">
        <v>4913</v>
      </c>
      <c r="L226" s="285" t="s">
        <v>1736</v>
      </c>
      <c r="M226" s="286" t="s">
        <v>4913</v>
      </c>
      <c r="N226" s="296" t="s">
        <v>1737</v>
      </c>
      <c r="O226" s="296" t="s">
        <v>1737</v>
      </c>
      <c r="P226" s="295"/>
      <c r="Q226" s="295" t="s">
        <v>8430</v>
      </c>
      <c r="R226" s="219" t="s">
        <v>8440</v>
      </c>
      <c r="S226" s="219" t="s">
        <v>8432</v>
      </c>
      <c r="T226" s="219" t="s">
        <v>8441</v>
      </c>
      <c r="U226" s="295"/>
      <c r="V226" s="295"/>
      <c r="W226" s="219" t="s">
        <v>8432</v>
      </c>
      <c r="X226" s="36" t="s">
        <v>7393</v>
      </c>
    </row>
    <row r="227" spans="1:24">
      <c r="A227" s="773"/>
      <c r="B227" s="219" t="s">
        <v>8442</v>
      </c>
      <c r="C227" s="219" t="s">
        <v>8443</v>
      </c>
      <c r="D227" s="552" t="s">
        <v>8444</v>
      </c>
      <c r="E227" s="215" t="s">
        <v>1743</v>
      </c>
      <c r="F227" s="219" t="s">
        <v>8445</v>
      </c>
      <c r="G227" s="295"/>
      <c r="H227" s="219" t="s">
        <v>8446</v>
      </c>
      <c r="I227" s="285" t="s">
        <v>1736</v>
      </c>
      <c r="J227" s="286" t="s">
        <v>4913</v>
      </c>
      <c r="K227" s="286" t="s">
        <v>4913</v>
      </c>
      <c r="L227" s="286" t="s">
        <v>4913</v>
      </c>
      <c r="M227" s="286" t="s">
        <v>4913</v>
      </c>
      <c r="N227" s="296" t="s">
        <v>1737</v>
      </c>
      <c r="O227" s="296" t="s">
        <v>1737</v>
      </c>
      <c r="P227" s="295"/>
      <c r="Q227" s="295" t="s">
        <v>8447</v>
      </c>
      <c r="R227" s="219" t="s">
        <v>8448</v>
      </c>
      <c r="S227" s="219" t="s">
        <v>8376</v>
      </c>
      <c r="T227" s="219" t="s">
        <v>8449</v>
      </c>
      <c r="U227" s="295"/>
      <c r="V227" s="295"/>
      <c r="W227" s="219" t="s">
        <v>8376</v>
      </c>
      <c r="X227" s="36" t="s">
        <v>76</v>
      </c>
    </row>
    <row r="228" spans="1:24">
      <c r="A228" s="715" t="s">
        <v>8450</v>
      </c>
      <c r="B228" s="219" t="s">
        <v>8451</v>
      </c>
      <c r="C228" s="300" t="s">
        <v>8452</v>
      </c>
      <c r="D228" s="25" t="s">
        <v>8453</v>
      </c>
      <c r="E228" s="215" t="s">
        <v>1732</v>
      </c>
      <c r="F228" s="300" t="s">
        <v>8454</v>
      </c>
      <c r="G228" s="295"/>
      <c r="H228" s="219" t="s">
        <v>8455</v>
      </c>
      <c r="I228" s="285" t="s">
        <v>1736</v>
      </c>
      <c r="J228" s="286" t="s">
        <v>4913</v>
      </c>
      <c r="K228" s="286" t="s">
        <v>4913</v>
      </c>
      <c r="L228" s="286" t="s">
        <v>4913</v>
      </c>
      <c r="M228" s="286" t="s">
        <v>4913</v>
      </c>
      <c r="N228" s="296" t="s">
        <v>1737</v>
      </c>
      <c r="O228" s="296" t="s">
        <v>1737</v>
      </c>
      <c r="P228" s="295"/>
      <c r="Q228" s="295" t="s">
        <v>8430</v>
      </c>
      <c r="R228" s="219" t="s">
        <v>8456</v>
      </c>
      <c r="S228" s="219" t="s">
        <v>8376</v>
      </c>
      <c r="T228" s="219" t="s">
        <v>8457</v>
      </c>
      <c r="U228" s="295"/>
      <c r="V228" s="295"/>
      <c r="W228" s="219" t="s">
        <v>8376</v>
      </c>
      <c r="X228" s="36" t="s">
        <v>7393</v>
      </c>
    </row>
    <row r="229" spans="1:24">
      <c r="A229" s="774"/>
      <c r="B229" s="219" t="s">
        <v>8458</v>
      </c>
      <c r="C229" s="219" t="s">
        <v>8459</v>
      </c>
      <c r="D229" s="159" t="s">
        <v>8460</v>
      </c>
      <c r="E229" s="215" t="s">
        <v>1732</v>
      </c>
      <c r="F229" s="219" t="s">
        <v>8461</v>
      </c>
      <c r="G229" s="295"/>
      <c r="H229" s="299" t="s">
        <v>8462</v>
      </c>
      <c r="I229" s="285" t="s">
        <v>1736</v>
      </c>
      <c r="J229" s="286" t="s">
        <v>4913</v>
      </c>
      <c r="K229" s="286" t="s">
        <v>4913</v>
      </c>
      <c r="L229" s="286" t="s">
        <v>4913</v>
      </c>
      <c r="M229" s="286" t="s">
        <v>4913</v>
      </c>
      <c r="N229" s="296" t="s">
        <v>1737</v>
      </c>
      <c r="O229" s="296" t="s">
        <v>1737</v>
      </c>
      <c r="P229" s="295"/>
      <c r="Q229" s="295" t="s">
        <v>8430</v>
      </c>
      <c r="R229" s="219" t="s">
        <v>8463</v>
      </c>
      <c r="S229" s="219" t="s">
        <v>8376</v>
      </c>
      <c r="T229" s="219" t="s">
        <v>8464</v>
      </c>
      <c r="U229" s="295"/>
      <c r="V229" s="295"/>
      <c r="W229" s="219" t="s">
        <v>8376</v>
      </c>
      <c r="X229" s="36" t="s">
        <v>76</v>
      </c>
    </row>
    <row r="230" spans="1:24">
      <c r="A230" s="774"/>
      <c r="B230" s="219" t="s">
        <v>8465</v>
      </c>
      <c r="C230" s="219" t="s">
        <v>8466</v>
      </c>
      <c r="D230" s="159" t="s">
        <v>8467</v>
      </c>
      <c r="E230" s="215" t="s">
        <v>1732</v>
      </c>
      <c r="F230" s="219" t="s">
        <v>8468</v>
      </c>
      <c r="G230" s="295"/>
      <c r="H230" s="299" t="s">
        <v>8469</v>
      </c>
      <c r="I230" s="285" t="s">
        <v>1736</v>
      </c>
      <c r="J230" s="286" t="s">
        <v>4913</v>
      </c>
      <c r="K230" s="286" t="s">
        <v>4913</v>
      </c>
      <c r="L230" s="286" t="s">
        <v>4913</v>
      </c>
      <c r="M230" s="286" t="s">
        <v>4913</v>
      </c>
      <c r="N230" s="296" t="s">
        <v>1737</v>
      </c>
      <c r="O230" s="296" t="s">
        <v>1737</v>
      </c>
      <c r="P230" s="295"/>
      <c r="Q230" s="295" t="s">
        <v>8430</v>
      </c>
      <c r="R230" s="219" t="s">
        <v>8470</v>
      </c>
      <c r="S230" s="219" t="s">
        <v>8376</v>
      </c>
      <c r="T230" s="219" t="s">
        <v>8471</v>
      </c>
      <c r="U230" s="295"/>
      <c r="V230" s="295"/>
      <c r="W230" s="219" t="s">
        <v>8376</v>
      </c>
      <c r="X230" s="36" t="s">
        <v>7393</v>
      </c>
    </row>
    <row r="231" spans="1:24">
      <c r="A231" s="774"/>
      <c r="B231" s="219" t="s">
        <v>8472</v>
      </c>
      <c r="C231" s="219" t="s">
        <v>8466</v>
      </c>
      <c r="D231" s="159" t="s">
        <v>8473</v>
      </c>
      <c r="E231" s="215" t="s">
        <v>1732</v>
      </c>
      <c r="F231" s="219" t="s">
        <v>8474</v>
      </c>
      <c r="G231" s="295"/>
      <c r="H231" s="299" t="s">
        <v>8475</v>
      </c>
      <c r="I231" s="285" t="s">
        <v>1736</v>
      </c>
      <c r="J231" s="286" t="s">
        <v>4913</v>
      </c>
      <c r="K231" s="286" t="s">
        <v>4913</v>
      </c>
      <c r="L231" s="286" t="s">
        <v>4913</v>
      </c>
      <c r="M231" s="286" t="s">
        <v>4913</v>
      </c>
      <c r="N231" s="296" t="s">
        <v>1737</v>
      </c>
      <c r="O231" s="296" t="s">
        <v>1737</v>
      </c>
      <c r="P231" s="295"/>
      <c r="Q231" s="295" t="s">
        <v>8430</v>
      </c>
      <c r="R231" s="219" t="s">
        <v>8476</v>
      </c>
      <c r="S231" s="219" t="s">
        <v>8376</v>
      </c>
      <c r="T231" s="219" t="s">
        <v>8477</v>
      </c>
      <c r="U231" s="295"/>
      <c r="V231" s="295"/>
      <c r="W231" s="219" t="s">
        <v>8376</v>
      </c>
      <c r="X231" s="36" t="s">
        <v>76</v>
      </c>
    </row>
    <row r="232" spans="1:24">
      <c r="A232" s="773"/>
      <c r="B232" s="219" t="s">
        <v>8478</v>
      </c>
      <c r="C232" s="219" t="s">
        <v>8479</v>
      </c>
      <c r="D232" s="159" t="s">
        <v>8480</v>
      </c>
      <c r="E232" s="215" t="s">
        <v>1732</v>
      </c>
      <c r="F232" s="219" t="s">
        <v>8481</v>
      </c>
      <c r="G232" s="295"/>
      <c r="H232" s="299" t="s">
        <v>8482</v>
      </c>
      <c r="I232" s="285" t="s">
        <v>1736</v>
      </c>
      <c r="J232" s="286" t="s">
        <v>4913</v>
      </c>
      <c r="K232" s="286" t="s">
        <v>4913</v>
      </c>
      <c r="L232" s="286" t="s">
        <v>4913</v>
      </c>
      <c r="M232" s="286" t="s">
        <v>4913</v>
      </c>
      <c r="N232" s="296" t="s">
        <v>1737</v>
      </c>
      <c r="O232" s="296" t="s">
        <v>1737</v>
      </c>
      <c r="P232" s="295"/>
      <c r="Q232" s="295" t="s">
        <v>8447</v>
      </c>
      <c r="R232" s="219" t="s">
        <v>8483</v>
      </c>
      <c r="S232" s="219" t="s">
        <v>8376</v>
      </c>
      <c r="T232" s="219" t="s">
        <v>8484</v>
      </c>
      <c r="U232" s="295"/>
      <c r="V232" s="295"/>
      <c r="W232" s="219" t="s">
        <v>8376</v>
      </c>
      <c r="X232" s="36" t="s">
        <v>7393</v>
      </c>
    </row>
    <row r="233" spans="1:24">
      <c r="A233" s="715" t="s">
        <v>8485</v>
      </c>
      <c r="B233" s="219" t="s">
        <v>8486</v>
      </c>
      <c r="C233" s="219" t="s">
        <v>8487</v>
      </c>
      <c r="D233" s="159" t="s">
        <v>8488</v>
      </c>
      <c r="E233" s="215" t="s">
        <v>1732</v>
      </c>
      <c r="F233" s="219" t="s">
        <v>8489</v>
      </c>
      <c r="G233" s="295"/>
      <c r="H233" s="299" t="s">
        <v>8490</v>
      </c>
      <c r="I233" s="285" t="s">
        <v>1736</v>
      </c>
      <c r="J233" s="286" t="s">
        <v>4913</v>
      </c>
      <c r="K233" s="286" t="s">
        <v>4913</v>
      </c>
      <c r="L233" s="286" t="s">
        <v>4913</v>
      </c>
      <c r="M233" s="286" t="s">
        <v>4913</v>
      </c>
      <c r="N233" s="296" t="s">
        <v>1737</v>
      </c>
      <c r="O233" s="296" t="s">
        <v>1737</v>
      </c>
      <c r="P233" s="295"/>
      <c r="Q233" s="295" t="s">
        <v>8447</v>
      </c>
      <c r="R233" s="219" t="s">
        <v>8491</v>
      </c>
      <c r="S233" s="219" t="s">
        <v>8376</v>
      </c>
      <c r="T233" s="219" t="s">
        <v>8492</v>
      </c>
      <c r="U233" s="295"/>
      <c r="V233" s="295"/>
      <c r="W233" s="219" t="s">
        <v>8376</v>
      </c>
      <c r="X233" s="36" t="s">
        <v>76</v>
      </c>
    </row>
    <row r="234" spans="1:24">
      <c r="A234" s="774"/>
      <c r="B234" s="219" t="s">
        <v>8493</v>
      </c>
      <c r="C234" s="219" t="s">
        <v>8487</v>
      </c>
      <c r="D234" s="159" t="s">
        <v>8494</v>
      </c>
      <c r="E234" s="215" t="s">
        <v>1732</v>
      </c>
      <c r="F234" s="219" t="s">
        <v>8495</v>
      </c>
      <c r="G234" s="295"/>
      <c r="H234" s="299" t="s">
        <v>8496</v>
      </c>
      <c r="I234" s="285" t="s">
        <v>1736</v>
      </c>
      <c r="J234" s="286" t="s">
        <v>4913</v>
      </c>
      <c r="K234" s="286" t="s">
        <v>4913</v>
      </c>
      <c r="L234" s="286" t="s">
        <v>4913</v>
      </c>
      <c r="M234" s="286" t="s">
        <v>4913</v>
      </c>
      <c r="N234" s="296" t="s">
        <v>1737</v>
      </c>
      <c r="O234" s="296" t="s">
        <v>1737</v>
      </c>
      <c r="P234" s="295"/>
      <c r="Q234" s="295" t="s">
        <v>8447</v>
      </c>
      <c r="R234" s="219" t="s">
        <v>8497</v>
      </c>
      <c r="S234" s="219" t="s">
        <v>8376</v>
      </c>
      <c r="T234" s="219" t="s">
        <v>8498</v>
      </c>
      <c r="U234" s="295"/>
      <c r="V234" s="295"/>
      <c r="W234" s="219" t="s">
        <v>8376</v>
      </c>
      <c r="X234" s="36" t="s">
        <v>7393</v>
      </c>
    </row>
    <row r="235" spans="1:24">
      <c r="A235" s="774"/>
      <c r="B235" s="219" t="s">
        <v>8499</v>
      </c>
      <c r="C235" s="219" t="s">
        <v>8487</v>
      </c>
      <c r="D235" s="159" t="s">
        <v>8500</v>
      </c>
      <c r="E235" s="215" t="s">
        <v>1732</v>
      </c>
      <c r="F235" s="219" t="s">
        <v>8501</v>
      </c>
      <c r="G235" s="295"/>
      <c r="H235" s="299" t="s">
        <v>8502</v>
      </c>
      <c r="I235" s="285" t="s">
        <v>1736</v>
      </c>
      <c r="J235" s="286" t="s">
        <v>4913</v>
      </c>
      <c r="K235" s="286" t="s">
        <v>4913</v>
      </c>
      <c r="L235" s="286" t="s">
        <v>4913</v>
      </c>
      <c r="M235" s="286" t="s">
        <v>4913</v>
      </c>
      <c r="N235" s="296" t="s">
        <v>1737</v>
      </c>
      <c r="O235" s="296" t="s">
        <v>1737</v>
      </c>
      <c r="P235" s="295"/>
      <c r="Q235" s="295" t="s">
        <v>8447</v>
      </c>
      <c r="R235" s="219" t="s">
        <v>8503</v>
      </c>
      <c r="S235" s="219" t="s">
        <v>8376</v>
      </c>
      <c r="T235" s="219" t="s">
        <v>8504</v>
      </c>
      <c r="U235" s="295"/>
      <c r="V235" s="295"/>
      <c r="W235" s="219" t="s">
        <v>8376</v>
      </c>
      <c r="X235" s="36" t="s">
        <v>76</v>
      </c>
    </row>
    <row r="236" spans="1:24">
      <c r="A236" s="773"/>
      <c r="B236" s="219" t="s">
        <v>8505</v>
      </c>
      <c r="C236" s="219" t="s">
        <v>8487</v>
      </c>
      <c r="D236" s="159" t="s">
        <v>8506</v>
      </c>
      <c r="E236" s="215" t="s">
        <v>1732</v>
      </c>
      <c r="F236" s="219" t="s">
        <v>8507</v>
      </c>
      <c r="G236" s="295"/>
      <c r="H236" s="299" t="s">
        <v>8508</v>
      </c>
      <c r="I236" s="285" t="s">
        <v>1736</v>
      </c>
      <c r="J236" s="286" t="s">
        <v>4913</v>
      </c>
      <c r="K236" s="286" t="s">
        <v>4913</v>
      </c>
      <c r="L236" s="286" t="s">
        <v>4913</v>
      </c>
      <c r="M236" s="286" t="s">
        <v>4913</v>
      </c>
      <c r="N236" s="296" t="s">
        <v>1737</v>
      </c>
      <c r="O236" s="296" t="s">
        <v>1737</v>
      </c>
      <c r="P236" s="295"/>
      <c r="Q236" s="295" t="s">
        <v>8509</v>
      </c>
      <c r="R236" s="219" t="s">
        <v>8510</v>
      </c>
      <c r="S236" s="219" t="s">
        <v>8432</v>
      </c>
      <c r="T236" s="219" t="s">
        <v>8511</v>
      </c>
      <c r="U236" s="295"/>
      <c r="V236" s="295"/>
      <c r="W236" s="219" t="s">
        <v>8432</v>
      </c>
      <c r="X236" s="36" t="s">
        <v>7393</v>
      </c>
    </row>
    <row r="237" spans="1:24">
      <c r="A237" s="715" t="s">
        <v>8512</v>
      </c>
      <c r="B237" s="219" t="s">
        <v>8513</v>
      </c>
      <c r="C237" s="219" t="s">
        <v>8514</v>
      </c>
      <c r="D237" s="159" t="s">
        <v>8515</v>
      </c>
      <c r="E237" s="215" t="s">
        <v>1732</v>
      </c>
      <c r="F237" s="219" t="s">
        <v>8516</v>
      </c>
      <c r="G237" s="295"/>
      <c r="H237" s="299" t="s">
        <v>8517</v>
      </c>
      <c r="I237" s="285" t="s">
        <v>1736</v>
      </c>
      <c r="J237" s="286" t="s">
        <v>4913</v>
      </c>
      <c r="K237" s="286" t="s">
        <v>4913</v>
      </c>
      <c r="L237" s="286" t="s">
        <v>4913</v>
      </c>
      <c r="M237" s="286" t="s">
        <v>4913</v>
      </c>
      <c r="N237" s="296" t="s">
        <v>1737</v>
      </c>
      <c r="O237" s="296" t="s">
        <v>1737</v>
      </c>
      <c r="P237" s="295"/>
      <c r="Q237" s="295" t="s">
        <v>8518</v>
      </c>
      <c r="R237" s="219" t="s">
        <v>8519</v>
      </c>
      <c r="S237" s="219" t="s">
        <v>8432</v>
      </c>
      <c r="T237" s="219" t="s">
        <v>8520</v>
      </c>
      <c r="U237" s="295"/>
      <c r="V237" s="295"/>
      <c r="W237" s="219" t="s">
        <v>8432</v>
      </c>
      <c r="X237" s="36" t="s">
        <v>76</v>
      </c>
    </row>
    <row r="238" spans="1:24">
      <c r="A238" s="774"/>
      <c r="B238" s="219" t="s">
        <v>8521</v>
      </c>
      <c r="C238" s="219" t="s">
        <v>8522</v>
      </c>
      <c r="D238" s="159" t="s">
        <v>8523</v>
      </c>
      <c r="E238" s="215" t="s">
        <v>1732</v>
      </c>
      <c r="F238" s="219" t="s">
        <v>8524</v>
      </c>
      <c r="G238" s="295"/>
      <c r="H238" s="301" t="s">
        <v>8525</v>
      </c>
      <c r="I238" s="285" t="s">
        <v>1736</v>
      </c>
      <c r="J238" s="286" t="s">
        <v>4913</v>
      </c>
      <c r="K238" s="286" t="s">
        <v>4913</v>
      </c>
      <c r="L238" s="286" t="s">
        <v>4913</v>
      </c>
      <c r="M238" s="286" t="s">
        <v>4913</v>
      </c>
      <c r="N238" s="296" t="s">
        <v>1737</v>
      </c>
      <c r="O238" s="296" t="s">
        <v>1737</v>
      </c>
      <c r="P238" s="295"/>
      <c r="Q238" s="295" t="s">
        <v>8518</v>
      </c>
      <c r="R238" s="219" t="s">
        <v>8526</v>
      </c>
      <c r="S238" s="219" t="s">
        <v>8432</v>
      </c>
      <c r="T238" s="219" t="s">
        <v>8527</v>
      </c>
      <c r="U238" s="295"/>
      <c r="V238" s="295"/>
      <c r="W238" s="219" t="s">
        <v>8432</v>
      </c>
      <c r="X238" s="36" t="s">
        <v>7393</v>
      </c>
    </row>
    <row r="239" spans="1:24">
      <c r="A239" s="773"/>
      <c r="B239" s="219" t="s">
        <v>8528</v>
      </c>
      <c r="C239" s="219" t="s">
        <v>8529</v>
      </c>
      <c r="D239" s="159" t="s">
        <v>8530</v>
      </c>
      <c r="E239" s="215" t="s">
        <v>1732</v>
      </c>
      <c r="F239" s="219" t="s">
        <v>8531</v>
      </c>
      <c r="G239" s="295"/>
      <c r="H239" s="299" t="s">
        <v>8532</v>
      </c>
      <c r="I239" s="285" t="s">
        <v>1736</v>
      </c>
      <c r="J239" s="286" t="s">
        <v>4913</v>
      </c>
      <c r="K239" s="286" t="s">
        <v>4913</v>
      </c>
      <c r="L239" s="286" t="s">
        <v>4913</v>
      </c>
      <c r="M239" s="286" t="s">
        <v>4913</v>
      </c>
      <c r="N239" s="296" t="s">
        <v>1737</v>
      </c>
      <c r="O239" s="296" t="s">
        <v>1737</v>
      </c>
      <c r="P239" s="295"/>
      <c r="Q239" s="295" t="s">
        <v>8509</v>
      </c>
      <c r="R239" s="219" t="s">
        <v>8533</v>
      </c>
      <c r="S239" s="219" t="s">
        <v>8432</v>
      </c>
      <c r="T239" s="219" t="s">
        <v>8534</v>
      </c>
      <c r="U239" s="295"/>
      <c r="V239" s="295"/>
      <c r="W239" s="219" t="s">
        <v>8432</v>
      </c>
      <c r="X239" s="36" t="s">
        <v>76</v>
      </c>
    </row>
    <row r="240" spans="1:24">
      <c r="A240" s="715" t="s">
        <v>8535</v>
      </c>
      <c r="B240" s="219" t="s">
        <v>8536</v>
      </c>
      <c r="C240" s="219" t="s">
        <v>8537</v>
      </c>
      <c r="D240" s="159" t="s">
        <v>8538</v>
      </c>
      <c r="E240" s="215" t="s">
        <v>1732</v>
      </c>
      <c r="F240" s="219" t="s">
        <v>8539</v>
      </c>
      <c r="G240" s="295"/>
      <c r="H240" s="299" t="s">
        <v>8540</v>
      </c>
      <c r="I240" s="285" t="s">
        <v>1736</v>
      </c>
      <c r="J240" s="286" t="s">
        <v>4913</v>
      </c>
      <c r="K240" s="286" t="s">
        <v>4913</v>
      </c>
      <c r="L240" s="286" t="s">
        <v>4913</v>
      </c>
      <c r="M240" s="286" t="s">
        <v>4913</v>
      </c>
      <c r="N240" s="296" t="s">
        <v>1737</v>
      </c>
      <c r="O240" s="296" t="s">
        <v>1737</v>
      </c>
      <c r="P240" s="295"/>
      <c r="Q240" s="295" t="s">
        <v>8518</v>
      </c>
      <c r="R240" s="219" t="s">
        <v>8541</v>
      </c>
      <c r="S240" s="219" t="s">
        <v>8432</v>
      </c>
      <c r="T240" s="219" t="s">
        <v>8542</v>
      </c>
      <c r="U240" s="295"/>
      <c r="V240" s="295"/>
      <c r="W240" s="219" t="s">
        <v>8432</v>
      </c>
      <c r="X240" s="36" t="s">
        <v>7393</v>
      </c>
    </row>
    <row r="241" spans="1:24">
      <c r="A241" s="774"/>
      <c r="B241" s="219" t="s">
        <v>8543</v>
      </c>
      <c r="C241" s="219" t="s">
        <v>8537</v>
      </c>
      <c r="D241" s="159" t="s">
        <v>8544</v>
      </c>
      <c r="E241" s="215" t="s">
        <v>1732</v>
      </c>
      <c r="F241" s="219" t="s">
        <v>8545</v>
      </c>
      <c r="G241" s="295"/>
      <c r="H241" s="299" t="s">
        <v>8546</v>
      </c>
      <c r="I241" s="285" t="s">
        <v>1736</v>
      </c>
      <c r="J241" s="286" t="s">
        <v>4913</v>
      </c>
      <c r="K241" s="286" t="s">
        <v>4913</v>
      </c>
      <c r="L241" s="286" t="s">
        <v>4913</v>
      </c>
      <c r="M241" s="286" t="s">
        <v>4913</v>
      </c>
      <c r="N241" s="296" t="s">
        <v>1737</v>
      </c>
      <c r="O241" s="296" t="s">
        <v>1737</v>
      </c>
      <c r="P241" s="295"/>
      <c r="Q241" s="295" t="s">
        <v>8518</v>
      </c>
      <c r="R241" s="219" t="s">
        <v>8547</v>
      </c>
      <c r="S241" s="219" t="s">
        <v>8432</v>
      </c>
      <c r="T241" s="219" t="s">
        <v>8548</v>
      </c>
      <c r="U241" s="295"/>
      <c r="V241" s="295"/>
      <c r="W241" s="219" t="s">
        <v>8432</v>
      </c>
      <c r="X241" s="36" t="s">
        <v>76</v>
      </c>
    </row>
    <row r="242" spans="1:24">
      <c r="A242" s="774"/>
      <c r="B242" s="219" t="s">
        <v>8549</v>
      </c>
      <c r="C242" s="219" t="s">
        <v>8537</v>
      </c>
      <c r="D242" s="159" t="s">
        <v>8550</v>
      </c>
      <c r="E242" s="215" t="s">
        <v>1732</v>
      </c>
      <c r="F242" s="219" t="s">
        <v>8551</v>
      </c>
      <c r="G242" s="295"/>
      <c r="H242" s="299" t="s">
        <v>8552</v>
      </c>
      <c r="I242" s="285" t="s">
        <v>1736</v>
      </c>
      <c r="J242" s="286" t="s">
        <v>4913</v>
      </c>
      <c r="K242" s="286" t="s">
        <v>4913</v>
      </c>
      <c r="L242" s="286" t="s">
        <v>4913</v>
      </c>
      <c r="M242" s="286" t="s">
        <v>4913</v>
      </c>
      <c r="N242" s="296" t="s">
        <v>1737</v>
      </c>
      <c r="O242" s="296" t="s">
        <v>1737</v>
      </c>
      <c r="P242" s="295"/>
      <c r="Q242" s="295" t="s">
        <v>8518</v>
      </c>
      <c r="R242" s="219" t="s">
        <v>8553</v>
      </c>
      <c r="S242" s="219" t="s">
        <v>8432</v>
      </c>
      <c r="T242" s="219" t="s">
        <v>8554</v>
      </c>
      <c r="U242" s="295"/>
      <c r="V242" s="295"/>
      <c r="W242" s="219" t="s">
        <v>8432</v>
      </c>
      <c r="X242" s="36" t="s">
        <v>7393</v>
      </c>
    </row>
    <row r="243" spans="1:24">
      <c r="A243" s="773"/>
      <c r="B243" s="219" t="s">
        <v>8555</v>
      </c>
      <c r="C243" s="219" t="s">
        <v>8537</v>
      </c>
      <c r="D243" s="159" t="s">
        <v>8556</v>
      </c>
      <c r="E243" s="215" t="s">
        <v>1732</v>
      </c>
      <c r="F243" s="219" t="s">
        <v>8557</v>
      </c>
      <c r="G243" s="295"/>
      <c r="H243" s="299" t="s">
        <v>8558</v>
      </c>
      <c r="I243" s="285" t="s">
        <v>1736</v>
      </c>
      <c r="J243" s="286" t="s">
        <v>4913</v>
      </c>
      <c r="K243" s="286" t="s">
        <v>4913</v>
      </c>
      <c r="L243" s="286" t="s">
        <v>4913</v>
      </c>
      <c r="M243" s="286" t="s">
        <v>4913</v>
      </c>
      <c r="N243" s="296" t="s">
        <v>1737</v>
      </c>
      <c r="O243" s="296" t="s">
        <v>1737</v>
      </c>
      <c r="P243" s="295"/>
      <c r="Q243" s="295" t="s">
        <v>8266</v>
      </c>
      <c r="R243" s="219" t="s">
        <v>8559</v>
      </c>
      <c r="S243" s="219" t="s">
        <v>8432</v>
      </c>
      <c r="T243" s="219" t="s">
        <v>8560</v>
      </c>
      <c r="U243" s="295"/>
      <c r="V243" s="295"/>
      <c r="W243" s="219" t="s">
        <v>8432</v>
      </c>
      <c r="X243" s="36" t="s">
        <v>76</v>
      </c>
    </row>
    <row r="244" spans="1:24">
      <c r="A244" s="715" t="s">
        <v>8561</v>
      </c>
      <c r="B244" s="219" t="s">
        <v>8562</v>
      </c>
      <c r="C244" s="300" t="s">
        <v>8563</v>
      </c>
      <c r="D244" s="25" t="s">
        <v>8564</v>
      </c>
      <c r="E244" s="215" t="s">
        <v>1732</v>
      </c>
      <c r="F244" s="300" t="s">
        <v>8565</v>
      </c>
      <c r="G244" s="295"/>
      <c r="H244" s="300" t="s">
        <v>8566</v>
      </c>
      <c r="I244" s="285" t="s">
        <v>1736</v>
      </c>
      <c r="J244" s="286"/>
      <c r="K244" s="286"/>
      <c r="L244" s="286"/>
      <c r="M244" s="286"/>
      <c r="N244" s="296" t="s">
        <v>1737</v>
      </c>
      <c r="O244" s="296" t="s">
        <v>1737</v>
      </c>
      <c r="P244" s="295"/>
      <c r="Q244" s="302">
        <v>44818</v>
      </c>
      <c r="R244" s="219" t="s">
        <v>8567</v>
      </c>
      <c r="S244" s="295"/>
      <c r="T244" s="295"/>
      <c r="U244" s="295"/>
      <c r="V244" s="295"/>
      <c r="W244" s="302">
        <v>44818</v>
      </c>
      <c r="X244" s="36" t="s">
        <v>7393</v>
      </c>
    </row>
    <row r="245" spans="1:24">
      <c r="A245" s="774"/>
      <c r="B245" s="219" t="s">
        <v>8568</v>
      </c>
      <c r="C245" s="219" t="s">
        <v>8563</v>
      </c>
      <c r="D245" s="159" t="s">
        <v>8564</v>
      </c>
      <c r="E245" s="215" t="s">
        <v>1732</v>
      </c>
      <c r="F245" s="219" t="s">
        <v>8569</v>
      </c>
      <c r="G245" s="295"/>
      <c r="H245" s="219" t="s">
        <v>8566</v>
      </c>
      <c r="I245" s="285" t="s">
        <v>1736</v>
      </c>
      <c r="J245" s="286"/>
      <c r="K245" s="286"/>
      <c r="L245" s="286"/>
      <c r="M245" s="286"/>
      <c r="N245" s="296" t="s">
        <v>1737</v>
      </c>
      <c r="O245" s="296" t="s">
        <v>1737</v>
      </c>
      <c r="P245" s="295"/>
      <c r="Q245" s="302">
        <v>44818</v>
      </c>
      <c r="R245" s="219" t="s">
        <v>8567</v>
      </c>
      <c r="S245" s="295"/>
      <c r="T245" s="295"/>
      <c r="U245" s="295"/>
      <c r="V245" s="295"/>
      <c r="W245" s="302">
        <v>44818</v>
      </c>
      <c r="X245" s="36" t="s">
        <v>76</v>
      </c>
    </row>
    <row r="246" spans="1:24">
      <c r="A246" s="774"/>
      <c r="B246" s="219" t="s">
        <v>8570</v>
      </c>
      <c r="C246" s="219" t="s">
        <v>8563</v>
      </c>
      <c r="D246" s="159" t="s">
        <v>8564</v>
      </c>
      <c r="E246" s="215" t="s">
        <v>1732</v>
      </c>
      <c r="F246" s="219" t="s">
        <v>8571</v>
      </c>
      <c r="G246" s="295"/>
      <c r="H246" s="219" t="s">
        <v>8566</v>
      </c>
      <c r="I246" s="285" t="s">
        <v>1736</v>
      </c>
      <c r="J246" s="286"/>
      <c r="K246" s="286"/>
      <c r="L246" s="286"/>
      <c r="M246" s="286"/>
      <c r="N246" s="296" t="s">
        <v>1737</v>
      </c>
      <c r="O246" s="296" t="s">
        <v>1737</v>
      </c>
      <c r="P246" s="295"/>
      <c r="Q246" s="302">
        <v>44818</v>
      </c>
      <c r="R246" s="219" t="s">
        <v>8567</v>
      </c>
      <c r="S246" s="295"/>
      <c r="T246" s="295"/>
      <c r="U246" s="295"/>
      <c r="V246" s="295"/>
      <c r="W246" s="302">
        <v>44818</v>
      </c>
      <c r="X246" s="36" t="s">
        <v>7393</v>
      </c>
    </row>
    <row r="247" spans="1:24">
      <c r="A247" s="774"/>
      <c r="B247" s="219" t="s">
        <v>8572</v>
      </c>
      <c r="C247" s="219" t="s">
        <v>8563</v>
      </c>
      <c r="D247" s="159" t="s">
        <v>8564</v>
      </c>
      <c r="E247" s="215" t="s">
        <v>1732</v>
      </c>
      <c r="F247" s="219" t="s">
        <v>8573</v>
      </c>
      <c r="G247" s="295"/>
      <c r="H247" s="219" t="s">
        <v>8566</v>
      </c>
      <c r="I247" s="285" t="s">
        <v>1736</v>
      </c>
      <c r="J247" s="286"/>
      <c r="K247" s="286"/>
      <c r="L247" s="286"/>
      <c r="M247" s="286"/>
      <c r="N247" s="296" t="s">
        <v>1737</v>
      </c>
      <c r="O247" s="296" t="s">
        <v>1737</v>
      </c>
      <c r="P247" s="295"/>
      <c r="Q247" s="302">
        <v>44818</v>
      </c>
      <c r="R247" s="219" t="s">
        <v>8567</v>
      </c>
      <c r="S247" s="295"/>
      <c r="T247" s="295"/>
      <c r="U247" s="295"/>
      <c r="V247" s="295"/>
      <c r="W247" s="302">
        <v>44818</v>
      </c>
      <c r="X247" s="36" t="s">
        <v>76</v>
      </c>
    </row>
    <row r="248" spans="1:24">
      <c r="A248" s="774"/>
      <c r="B248" s="219" t="s">
        <v>8574</v>
      </c>
      <c r="C248" s="219" t="s">
        <v>8563</v>
      </c>
      <c r="D248" s="159" t="s">
        <v>8564</v>
      </c>
      <c r="E248" s="215" t="s">
        <v>1732</v>
      </c>
      <c r="F248" s="219" t="s">
        <v>8575</v>
      </c>
      <c r="G248" s="295"/>
      <c r="H248" s="219" t="s">
        <v>8566</v>
      </c>
      <c r="I248" s="285" t="s">
        <v>1736</v>
      </c>
      <c r="J248" s="286"/>
      <c r="K248" s="286"/>
      <c r="L248" s="286"/>
      <c r="M248" s="286"/>
      <c r="N248" s="296" t="s">
        <v>1737</v>
      </c>
      <c r="O248" s="296" t="s">
        <v>1737</v>
      </c>
      <c r="P248" s="295"/>
      <c r="Q248" s="302">
        <v>44818</v>
      </c>
      <c r="R248" s="219" t="s">
        <v>8567</v>
      </c>
      <c r="S248" s="295"/>
      <c r="T248" s="295"/>
      <c r="U248" s="295"/>
      <c r="V248" s="295"/>
      <c r="W248" s="302">
        <v>44818</v>
      </c>
      <c r="X248" s="36" t="s">
        <v>7393</v>
      </c>
    </row>
    <row r="249" spans="1:24">
      <c r="A249" s="774"/>
      <c r="B249" s="219" t="s">
        <v>8576</v>
      </c>
      <c r="C249" s="219" t="s">
        <v>8563</v>
      </c>
      <c r="D249" s="159" t="s">
        <v>8564</v>
      </c>
      <c r="E249" s="215" t="s">
        <v>1732</v>
      </c>
      <c r="F249" s="219" t="s">
        <v>8577</v>
      </c>
      <c r="G249" s="295"/>
      <c r="H249" s="219" t="s">
        <v>8566</v>
      </c>
      <c r="I249" s="285" t="s">
        <v>1736</v>
      </c>
      <c r="J249" s="286"/>
      <c r="K249" s="286"/>
      <c r="L249" s="286"/>
      <c r="M249" s="286"/>
      <c r="N249" s="296" t="s">
        <v>1737</v>
      </c>
      <c r="O249" s="296" t="s">
        <v>1737</v>
      </c>
      <c r="P249" s="295"/>
      <c r="Q249" s="302">
        <v>44818</v>
      </c>
      <c r="R249" s="219" t="s">
        <v>8567</v>
      </c>
      <c r="S249" s="295"/>
      <c r="T249" s="295"/>
      <c r="U249" s="295"/>
      <c r="V249" s="295"/>
      <c r="W249" s="302">
        <v>44818</v>
      </c>
      <c r="X249" s="36" t="s">
        <v>76</v>
      </c>
    </row>
    <row r="250" spans="1:24">
      <c r="A250" s="774"/>
      <c r="B250" s="219" t="s">
        <v>8578</v>
      </c>
      <c r="C250" s="219" t="s">
        <v>8563</v>
      </c>
      <c r="D250" s="159" t="s">
        <v>8564</v>
      </c>
      <c r="E250" s="215" t="s">
        <v>1732</v>
      </c>
      <c r="F250" s="219" t="s">
        <v>8579</v>
      </c>
      <c r="G250" s="295"/>
      <c r="H250" s="219" t="s">
        <v>8566</v>
      </c>
      <c r="I250" s="285" t="s">
        <v>1736</v>
      </c>
      <c r="J250" s="286"/>
      <c r="K250" s="286"/>
      <c r="L250" s="286"/>
      <c r="M250" s="286"/>
      <c r="N250" s="296" t="s">
        <v>1737</v>
      </c>
      <c r="O250" s="296" t="s">
        <v>1737</v>
      </c>
      <c r="P250" s="295"/>
      <c r="Q250" s="302">
        <v>44818</v>
      </c>
      <c r="R250" s="219" t="s">
        <v>8567</v>
      </c>
      <c r="S250" s="295"/>
      <c r="T250" s="295"/>
      <c r="U250" s="295"/>
      <c r="V250" s="295"/>
      <c r="W250" s="302">
        <v>44818</v>
      </c>
      <c r="X250" s="36" t="s">
        <v>7393</v>
      </c>
    </row>
    <row r="251" spans="1:24">
      <c r="A251" s="774"/>
      <c r="B251" s="219" t="s">
        <v>8580</v>
      </c>
      <c r="C251" s="219" t="s">
        <v>8563</v>
      </c>
      <c r="D251" s="159" t="s">
        <v>8564</v>
      </c>
      <c r="E251" s="215" t="s">
        <v>1732</v>
      </c>
      <c r="F251" s="219" t="s">
        <v>8581</v>
      </c>
      <c r="G251" s="295"/>
      <c r="H251" s="219" t="s">
        <v>8566</v>
      </c>
      <c r="I251" s="285" t="s">
        <v>1736</v>
      </c>
      <c r="J251" s="286"/>
      <c r="K251" s="286"/>
      <c r="L251" s="286"/>
      <c r="M251" s="286"/>
      <c r="N251" s="296" t="s">
        <v>1737</v>
      </c>
      <c r="O251" s="296" t="s">
        <v>1737</v>
      </c>
      <c r="P251" s="295"/>
      <c r="Q251" s="302">
        <v>44818</v>
      </c>
      <c r="R251" s="219" t="s">
        <v>8567</v>
      </c>
      <c r="S251" s="295"/>
      <c r="T251" s="295"/>
      <c r="U251" s="295"/>
      <c r="V251" s="295"/>
      <c r="W251" s="302">
        <v>44818</v>
      </c>
      <c r="X251" s="36" t="s">
        <v>76</v>
      </c>
    </row>
    <row r="252" spans="1:24">
      <c r="A252" s="774"/>
      <c r="B252" s="219" t="s">
        <v>8582</v>
      </c>
      <c r="C252" s="219" t="s">
        <v>8563</v>
      </c>
      <c r="D252" s="159" t="s">
        <v>8564</v>
      </c>
      <c r="E252" s="215" t="s">
        <v>1732</v>
      </c>
      <c r="F252" s="219" t="s">
        <v>8583</v>
      </c>
      <c r="G252" s="295"/>
      <c r="H252" s="219" t="s">
        <v>8566</v>
      </c>
      <c r="I252" s="285" t="s">
        <v>1736</v>
      </c>
      <c r="J252" s="286"/>
      <c r="K252" s="286"/>
      <c r="L252" s="286"/>
      <c r="M252" s="286"/>
      <c r="N252" s="296" t="s">
        <v>1737</v>
      </c>
      <c r="O252" s="296" t="s">
        <v>1737</v>
      </c>
      <c r="P252" s="295"/>
      <c r="Q252" s="302">
        <v>44818</v>
      </c>
      <c r="R252" s="219" t="s">
        <v>8567</v>
      </c>
      <c r="S252" s="295"/>
      <c r="T252" s="295"/>
      <c r="U252" s="295"/>
      <c r="V252" s="295"/>
      <c r="W252" s="302">
        <v>44818</v>
      </c>
      <c r="X252" s="36" t="s">
        <v>7393</v>
      </c>
    </row>
    <row r="253" spans="1:24">
      <c r="A253" s="774"/>
      <c r="B253" s="219" t="s">
        <v>8584</v>
      </c>
      <c r="C253" s="219" t="s">
        <v>8563</v>
      </c>
      <c r="D253" s="159" t="s">
        <v>8564</v>
      </c>
      <c r="E253" s="215" t="s">
        <v>1732</v>
      </c>
      <c r="F253" s="219" t="s">
        <v>8585</v>
      </c>
      <c r="G253" s="295"/>
      <c r="H253" s="219" t="s">
        <v>8566</v>
      </c>
      <c r="I253" s="285" t="s">
        <v>1736</v>
      </c>
      <c r="J253" s="286"/>
      <c r="K253" s="286"/>
      <c r="L253" s="286"/>
      <c r="M253" s="286"/>
      <c r="N253" s="296" t="s">
        <v>1737</v>
      </c>
      <c r="O253" s="296" t="s">
        <v>1737</v>
      </c>
      <c r="P253" s="295"/>
      <c r="Q253" s="302">
        <v>44818</v>
      </c>
      <c r="R253" s="219" t="s">
        <v>8567</v>
      </c>
      <c r="S253" s="295"/>
      <c r="T253" s="295"/>
      <c r="U253" s="295"/>
      <c r="V253" s="295"/>
      <c r="W253" s="302">
        <v>44818</v>
      </c>
      <c r="X253" s="36" t="s">
        <v>76</v>
      </c>
    </row>
    <row r="254" spans="1:24">
      <c r="A254" s="774"/>
      <c r="B254" s="219" t="s">
        <v>8586</v>
      </c>
      <c r="C254" s="219" t="s">
        <v>8563</v>
      </c>
      <c r="D254" s="159" t="s">
        <v>8564</v>
      </c>
      <c r="E254" s="215" t="s">
        <v>1732</v>
      </c>
      <c r="F254" s="219" t="s">
        <v>8587</v>
      </c>
      <c r="G254" s="295"/>
      <c r="H254" s="219" t="s">
        <v>8566</v>
      </c>
      <c r="I254" s="285" t="s">
        <v>1736</v>
      </c>
      <c r="J254" s="286"/>
      <c r="K254" s="286"/>
      <c r="L254" s="286"/>
      <c r="M254" s="286"/>
      <c r="N254" s="296" t="s">
        <v>1737</v>
      </c>
      <c r="O254" s="296" t="s">
        <v>1737</v>
      </c>
      <c r="P254" s="295"/>
      <c r="Q254" s="302">
        <v>44818</v>
      </c>
      <c r="R254" s="219" t="s">
        <v>8567</v>
      </c>
      <c r="S254" s="295"/>
      <c r="T254" s="295"/>
      <c r="U254" s="295"/>
      <c r="V254" s="295"/>
      <c r="W254" s="302">
        <v>44818</v>
      </c>
      <c r="X254" s="36" t="s">
        <v>7393</v>
      </c>
    </row>
    <row r="255" spans="1:24">
      <c r="A255" s="774"/>
      <c r="B255" s="219" t="s">
        <v>8588</v>
      </c>
      <c r="C255" s="219" t="s">
        <v>8563</v>
      </c>
      <c r="D255" s="159" t="s">
        <v>8564</v>
      </c>
      <c r="E255" s="215" t="s">
        <v>1732</v>
      </c>
      <c r="F255" s="219" t="s">
        <v>8589</v>
      </c>
      <c r="G255" s="295"/>
      <c r="H255" s="219" t="s">
        <v>8566</v>
      </c>
      <c r="I255" s="285" t="s">
        <v>1736</v>
      </c>
      <c r="J255" s="286"/>
      <c r="K255" s="286"/>
      <c r="L255" s="286"/>
      <c r="M255" s="286"/>
      <c r="N255" s="296" t="s">
        <v>1737</v>
      </c>
      <c r="O255" s="296" t="s">
        <v>1737</v>
      </c>
      <c r="P255" s="295"/>
      <c r="Q255" s="302">
        <v>44818</v>
      </c>
      <c r="R255" s="219" t="s">
        <v>8567</v>
      </c>
      <c r="S255" s="295"/>
      <c r="T255" s="295"/>
      <c r="U255" s="295"/>
      <c r="V255" s="295"/>
      <c r="W255" s="302">
        <v>44818</v>
      </c>
      <c r="X255" s="36" t="s">
        <v>76</v>
      </c>
    </row>
    <row r="256" spans="1:24">
      <c r="A256" s="774"/>
      <c r="B256" s="219" t="s">
        <v>8590</v>
      </c>
      <c r="C256" s="219" t="s">
        <v>8563</v>
      </c>
      <c r="D256" s="159" t="s">
        <v>8564</v>
      </c>
      <c r="E256" s="215" t="s">
        <v>1732</v>
      </c>
      <c r="F256" s="219" t="s">
        <v>8591</v>
      </c>
      <c r="G256" s="295"/>
      <c r="H256" s="219" t="s">
        <v>8566</v>
      </c>
      <c r="I256" s="285" t="s">
        <v>1736</v>
      </c>
      <c r="J256" s="286"/>
      <c r="K256" s="286"/>
      <c r="L256" s="286"/>
      <c r="M256" s="286"/>
      <c r="N256" s="296" t="s">
        <v>1737</v>
      </c>
      <c r="O256" s="296" t="s">
        <v>1737</v>
      </c>
      <c r="P256" s="295"/>
      <c r="Q256" s="302">
        <v>44818</v>
      </c>
      <c r="R256" s="219" t="s">
        <v>8567</v>
      </c>
      <c r="S256" s="295"/>
      <c r="T256" s="295"/>
      <c r="U256" s="295"/>
      <c r="V256" s="295"/>
      <c r="W256" s="302">
        <v>44818</v>
      </c>
      <c r="X256" s="36" t="s">
        <v>7393</v>
      </c>
    </row>
    <row r="257" spans="1:24">
      <c r="A257" s="774"/>
      <c r="B257" s="219" t="s">
        <v>8592</v>
      </c>
      <c r="C257" s="219" t="s">
        <v>8563</v>
      </c>
      <c r="D257" s="159" t="s">
        <v>8564</v>
      </c>
      <c r="E257" s="215" t="s">
        <v>1732</v>
      </c>
      <c r="F257" s="219" t="s">
        <v>8593</v>
      </c>
      <c r="G257" s="295"/>
      <c r="H257" s="219" t="s">
        <v>8566</v>
      </c>
      <c r="I257" s="285" t="s">
        <v>1736</v>
      </c>
      <c r="J257" s="286"/>
      <c r="K257" s="286"/>
      <c r="L257" s="286"/>
      <c r="M257" s="286"/>
      <c r="N257" s="296" t="s">
        <v>1737</v>
      </c>
      <c r="O257" s="296" t="s">
        <v>1737</v>
      </c>
      <c r="P257" s="295"/>
      <c r="Q257" s="302">
        <v>44818</v>
      </c>
      <c r="R257" s="219" t="s">
        <v>8567</v>
      </c>
      <c r="S257" s="295"/>
      <c r="T257" s="295"/>
      <c r="U257" s="295"/>
      <c r="V257" s="295"/>
      <c r="W257" s="302">
        <v>44818</v>
      </c>
      <c r="X257" s="36" t="s">
        <v>76</v>
      </c>
    </row>
    <row r="258" spans="1:24">
      <c r="A258" s="774"/>
      <c r="B258" s="219" t="s">
        <v>8594</v>
      </c>
      <c r="C258" s="219" t="s">
        <v>8563</v>
      </c>
      <c r="D258" s="159" t="s">
        <v>8564</v>
      </c>
      <c r="E258" s="215" t="s">
        <v>1732</v>
      </c>
      <c r="F258" s="219" t="s">
        <v>8595</v>
      </c>
      <c r="G258" s="295"/>
      <c r="H258" s="219" t="s">
        <v>8566</v>
      </c>
      <c r="I258" s="285" t="s">
        <v>1736</v>
      </c>
      <c r="J258" s="286"/>
      <c r="K258" s="286"/>
      <c r="L258" s="286"/>
      <c r="M258" s="286"/>
      <c r="N258" s="296" t="s">
        <v>1737</v>
      </c>
      <c r="O258" s="296" t="s">
        <v>1737</v>
      </c>
      <c r="P258" s="295"/>
      <c r="Q258" s="302">
        <v>44818</v>
      </c>
      <c r="R258" s="219" t="s">
        <v>8567</v>
      </c>
      <c r="S258" s="295"/>
      <c r="T258" s="295"/>
      <c r="U258" s="295"/>
      <c r="V258" s="295"/>
      <c r="W258" s="302">
        <v>44818</v>
      </c>
      <c r="X258" s="36" t="s">
        <v>7393</v>
      </c>
    </row>
    <row r="259" spans="1:24">
      <c r="A259" s="774"/>
      <c r="B259" s="219" t="s">
        <v>8596</v>
      </c>
      <c r="C259" s="219" t="s">
        <v>8563</v>
      </c>
      <c r="D259" s="159" t="s">
        <v>8564</v>
      </c>
      <c r="E259" s="215" t="s">
        <v>1732</v>
      </c>
      <c r="F259" s="219" t="s">
        <v>8597</v>
      </c>
      <c r="G259" s="295"/>
      <c r="H259" s="219" t="s">
        <v>8566</v>
      </c>
      <c r="I259" s="285" t="s">
        <v>1736</v>
      </c>
      <c r="J259" s="286"/>
      <c r="K259" s="286"/>
      <c r="L259" s="286"/>
      <c r="M259" s="286"/>
      <c r="N259" s="296" t="s">
        <v>1737</v>
      </c>
      <c r="O259" s="296" t="s">
        <v>1737</v>
      </c>
      <c r="P259" s="295"/>
      <c r="Q259" s="302">
        <v>44818</v>
      </c>
      <c r="R259" s="219" t="s">
        <v>8567</v>
      </c>
      <c r="S259" s="295"/>
      <c r="T259" s="295"/>
      <c r="U259" s="295"/>
      <c r="V259" s="295"/>
      <c r="W259" s="302">
        <v>44818</v>
      </c>
      <c r="X259" s="36" t="s">
        <v>76</v>
      </c>
    </row>
    <row r="260" spans="1:24">
      <c r="A260" s="774"/>
      <c r="B260" s="219" t="s">
        <v>8598</v>
      </c>
      <c r="C260" s="219" t="s">
        <v>8563</v>
      </c>
      <c r="D260" s="159" t="s">
        <v>8564</v>
      </c>
      <c r="E260" s="215" t="s">
        <v>1732</v>
      </c>
      <c r="F260" s="219" t="s">
        <v>8599</v>
      </c>
      <c r="G260" s="295"/>
      <c r="H260" s="219" t="s">
        <v>8566</v>
      </c>
      <c r="I260" s="285" t="s">
        <v>1736</v>
      </c>
      <c r="J260" s="286"/>
      <c r="K260" s="286"/>
      <c r="L260" s="286"/>
      <c r="M260" s="286"/>
      <c r="N260" s="296" t="s">
        <v>1737</v>
      </c>
      <c r="O260" s="296" t="s">
        <v>1737</v>
      </c>
      <c r="P260" s="295"/>
      <c r="Q260" s="302">
        <v>44818</v>
      </c>
      <c r="R260" s="219" t="s">
        <v>8567</v>
      </c>
      <c r="S260" s="295"/>
      <c r="T260" s="295"/>
      <c r="U260" s="295"/>
      <c r="V260" s="295"/>
      <c r="W260" s="302">
        <v>44818</v>
      </c>
      <c r="X260" s="36" t="s">
        <v>7393</v>
      </c>
    </row>
    <row r="261" spans="1:24">
      <c r="A261" s="774"/>
      <c r="B261" s="219" t="s">
        <v>8600</v>
      </c>
      <c r="C261" s="219" t="s">
        <v>8563</v>
      </c>
      <c r="D261" s="159" t="s">
        <v>8564</v>
      </c>
      <c r="E261" s="215" t="s">
        <v>1732</v>
      </c>
      <c r="F261" s="219" t="s">
        <v>8601</v>
      </c>
      <c r="G261" s="295"/>
      <c r="H261" s="219" t="s">
        <v>8566</v>
      </c>
      <c r="I261" s="285" t="s">
        <v>1736</v>
      </c>
      <c r="J261" s="286"/>
      <c r="K261" s="286"/>
      <c r="L261" s="286"/>
      <c r="M261" s="286"/>
      <c r="N261" s="296" t="s">
        <v>1737</v>
      </c>
      <c r="O261" s="296" t="s">
        <v>1737</v>
      </c>
      <c r="P261" s="295"/>
      <c r="Q261" s="302">
        <v>44818</v>
      </c>
      <c r="R261" s="219" t="s">
        <v>8567</v>
      </c>
      <c r="S261" s="295"/>
      <c r="T261" s="295"/>
      <c r="U261" s="295"/>
      <c r="V261" s="295"/>
      <c r="W261" s="302">
        <v>44818</v>
      </c>
      <c r="X261" s="36" t="s">
        <v>76</v>
      </c>
    </row>
    <row r="262" spans="1:24">
      <c r="A262" s="774"/>
      <c r="B262" s="219" t="s">
        <v>8602</v>
      </c>
      <c r="C262" s="219" t="s">
        <v>8563</v>
      </c>
      <c r="D262" s="159" t="s">
        <v>8564</v>
      </c>
      <c r="E262" s="215" t="s">
        <v>1732</v>
      </c>
      <c r="F262" s="219" t="s">
        <v>8603</v>
      </c>
      <c r="G262" s="295"/>
      <c r="H262" s="219" t="s">
        <v>8566</v>
      </c>
      <c r="I262" s="285" t="s">
        <v>1736</v>
      </c>
      <c r="J262" s="286"/>
      <c r="K262" s="286"/>
      <c r="L262" s="286"/>
      <c r="M262" s="286"/>
      <c r="N262" s="296" t="s">
        <v>1737</v>
      </c>
      <c r="O262" s="296" t="s">
        <v>1737</v>
      </c>
      <c r="P262" s="295"/>
      <c r="Q262" s="302">
        <v>44818</v>
      </c>
      <c r="R262" s="219" t="s">
        <v>8567</v>
      </c>
      <c r="S262" s="295"/>
      <c r="T262" s="295"/>
      <c r="U262" s="295"/>
      <c r="V262" s="295"/>
      <c r="W262" s="302">
        <v>44818</v>
      </c>
      <c r="X262" s="36" t="s">
        <v>7393</v>
      </c>
    </row>
    <row r="263" spans="1:24">
      <c r="A263" s="774"/>
      <c r="B263" s="219" t="s">
        <v>8604</v>
      </c>
      <c r="C263" s="219" t="s">
        <v>8563</v>
      </c>
      <c r="D263" s="159" t="s">
        <v>8564</v>
      </c>
      <c r="E263" s="215" t="s">
        <v>1732</v>
      </c>
      <c r="F263" s="219" t="s">
        <v>8605</v>
      </c>
      <c r="G263" s="295"/>
      <c r="H263" s="219" t="s">
        <v>8566</v>
      </c>
      <c r="I263" s="285" t="s">
        <v>1736</v>
      </c>
      <c r="J263" s="286"/>
      <c r="K263" s="286"/>
      <c r="L263" s="286"/>
      <c r="M263" s="286"/>
      <c r="N263" s="296" t="s">
        <v>1737</v>
      </c>
      <c r="O263" s="296" t="s">
        <v>1737</v>
      </c>
      <c r="P263" s="295"/>
      <c r="Q263" s="302">
        <v>44818</v>
      </c>
      <c r="R263" s="219" t="s">
        <v>8567</v>
      </c>
      <c r="S263" s="295"/>
      <c r="T263" s="295"/>
      <c r="U263" s="295"/>
      <c r="V263" s="295"/>
      <c r="W263" s="302">
        <v>44818</v>
      </c>
      <c r="X263" s="36" t="s">
        <v>76</v>
      </c>
    </row>
    <row r="264" spans="1:24">
      <c r="A264" s="774"/>
      <c r="B264" s="219" t="s">
        <v>8606</v>
      </c>
      <c r="C264" s="219" t="s">
        <v>8563</v>
      </c>
      <c r="D264" s="159" t="s">
        <v>8564</v>
      </c>
      <c r="E264" s="215" t="s">
        <v>1732</v>
      </c>
      <c r="F264" s="219" t="s">
        <v>8607</v>
      </c>
      <c r="G264" s="295"/>
      <c r="H264" s="219" t="s">
        <v>8566</v>
      </c>
      <c r="I264" s="285" t="s">
        <v>1736</v>
      </c>
      <c r="J264" s="286"/>
      <c r="K264" s="286"/>
      <c r="L264" s="286"/>
      <c r="M264" s="286"/>
      <c r="N264" s="296" t="s">
        <v>1737</v>
      </c>
      <c r="O264" s="296" t="s">
        <v>1737</v>
      </c>
      <c r="P264" s="295"/>
      <c r="Q264" s="302">
        <v>44818</v>
      </c>
      <c r="R264" s="219" t="s">
        <v>8567</v>
      </c>
      <c r="S264" s="295"/>
      <c r="T264" s="295"/>
      <c r="U264" s="295"/>
      <c r="V264" s="295"/>
      <c r="W264" s="302">
        <v>44818</v>
      </c>
      <c r="X264" s="36" t="s">
        <v>7393</v>
      </c>
    </row>
    <row r="265" spans="1:24">
      <c r="A265" s="774"/>
      <c r="B265" s="219" t="s">
        <v>8608</v>
      </c>
      <c r="C265" s="219" t="s">
        <v>8563</v>
      </c>
      <c r="D265" s="159" t="s">
        <v>8564</v>
      </c>
      <c r="E265" s="215" t="s">
        <v>1732</v>
      </c>
      <c r="F265" s="219" t="s">
        <v>8609</v>
      </c>
      <c r="G265" s="295"/>
      <c r="H265" s="219" t="s">
        <v>8566</v>
      </c>
      <c r="I265" s="285" t="s">
        <v>1736</v>
      </c>
      <c r="J265" s="286"/>
      <c r="K265" s="286"/>
      <c r="L265" s="286"/>
      <c r="M265" s="286"/>
      <c r="N265" s="295" t="s">
        <v>1737</v>
      </c>
      <c r="O265" s="295" t="s">
        <v>1737</v>
      </c>
      <c r="P265" s="295"/>
      <c r="Q265" s="302">
        <v>44818</v>
      </c>
      <c r="R265" s="219" t="s">
        <v>8567</v>
      </c>
      <c r="S265" s="295"/>
      <c r="T265" s="295"/>
      <c r="U265" s="295"/>
      <c r="V265" s="295"/>
      <c r="W265" s="302">
        <v>44818</v>
      </c>
      <c r="X265" s="36" t="s">
        <v>76</v>
      </c>
    </row>
    <row r="266" spans="1:24">
      <c r="A266" s="774"/>
      <c r="B266" s="219" t="s">
        <v>8610</v>
      </c>
      <c r="C266" s="219" t="s">
        <v>8611</v>
      </c>
      <c r="D266" s="159" t="s">
        <v>8564</v>
      </c>
      <c r="E266" s="215" t="s">
        <v>1732</v>
      </c>
      <c r="F266" s="219" t="s">
        <v>8612</v>
      </c>
      <c r="G266" s="295"/>
      <c r="H266" s="295"/>
      <c r="I266" s="285" t="s">
        <v>1736</v>
      </c>
      <c r="J266" s="286"/>
      <c r="K266" s="286"/>
      <c r="L266" s="286"/>
      <c r="M266" s="286"/>
      <c r="N266" s="295" t="s">
        <v>1737</v>
      </c>
      <c r="O266" s="295" t="s">
        <v>1737</v>
      </c>
      <c r="P266" s="295"/>
      <c r="Q266" s="302">
        <v>44818</v>
      </c>
      <c r="R266" s="219" t="s">
        <v>8613</v>
      </c>
      <c r="S266" s="295"/>
      <c r="T266" s="295"/>
      <c r="U266" s="295"/>
      <c r="V266" s="295"/>
      <c r="W266" s="302">
        <v>44818</v>
      </c>
      <c r="X266" s="36" t="s">
        <v>7393</v>
      </c>
    </row>
    <row r="267" spans="1:24">
      <c r="A267" s="774"/>
      <c r="B267" s="219" t="s">
        <v>8614</v>
      </c>
      <c r="C267" s="219" t="s">
        <v>8611</v>
      </c>
      <c r="D267" s="159" t="s">
        <v>8564</v>
      </c>
      <c r="E267" s="215" t="s">
        <v>1732</v>
      </c>
      <c r="F267" s="219" t="s">
        <v>8615</v>
      </c>
      <c r="G267" s="295"/>
      <c r="H267" s="219" t="s">
        <v>8616</v>
      </c>
      <c r="I267" s="285" t="s">
        <v>1736</v>
      </c>
      <c r="J267" s="286"/>
      <c r="K267" s="286"/>
      <c r="L267" s="286"/>
      <c r="M267" s="286"/>
      <c r="N267" s="295" t="s">
        <v>1737</v>
      </c>
      <c r="O267" s="295" t="s">
        <v>1737</v>
      </c>
      <c r="P267" s="295"/>
      <c r="Q267" s="302">
        <v>44819</v>
      </c>
      <c r="R267" s="219" t="s">
        <v>8617</v>
      </c>
      <c r="S267" s="295"/>
      <c r="T267" s="295"/>
      <c r="U267" s="295"/>
      <c r="V267" s="295"/>
      <c r="W267" s="302">
        <v>44819</v>
      </c>
      <c r="X267" s="36" t="s">
        <v>76</v>
      </c>
    </row>
    <row r="268" spans="1:24">
      <c r="A268" s="774"/>
      <c r="B268" s="219" t="s">
        <v>8618</v>
      </c>
      <c r="C268" s="219" t="s">
        <v>8611</v>
      </c>
      <c r="D268" s="159" t="s">
        <v>8564</v>
      </c>
      <c r="E268" s="215" t="s">
        <v>1732</v>
      </c>
      <c r="F268" s="219" t="s">
        <v>8619</v>
      </c>
      <c r="G268" s="295"/>
      <c r="H268" s="219" t="s">
        <v>8620</v>
      </c>
      <c r="I268" s="285" t="s">
        <v>1736</v>
      </c>
      <c r="J268" s="286"/>
      <c r="K268" s="286"/>
      <c r="L268" s="286"/>
      <c r="M268" s="286"/>
      <c r="N268" s="295" t="s">
        <v>1737</v>
      </c>
      <c r="O268" s="295" t="s">
        <v>1737</v>
      </c>
      <c r="P268" s="295"/>
      <c r="Q268" s="302">
        <v>44819</v>
      </c>
      <c r="R268" s="219" t="s">
        <v>8621</v>
      </c>
      <c r="S268" s="295"/>
      <c r="T268" s="295"/>
      <c r="U268" s="295"/>
      <c r="V268" s="295"/>
      <c r="W268" s="302">
        <v>44819</v>
      </c>
      <c r="X268" s="36" t="s">
        <v>7393</v>
      </c>
    </row>
    <row r="269" spans="1:24">
      <c r="A269" s="774"/>
      <c r="B269" s="219" t="s">
        <v>8622</v>
      </c>
      <c r="C269" s="219" t="s">
        <v>8611</v>
      </c>
      <c r="D269" s="159" t="s">
        <v>8564</v>
      </c>
      <c r="E269" s="215" t="s">
        <v>1732</v>
      </c>
      <c r="F269" s="219" t="s">
        <v>8623</v>
      </c>
      <c r="G269" s="295"/>
      <c r="H269" s="219" t="s">
        <v>8624</v>
      </c>
      <c r="I269" s="285" t="s">
        <v>1736</v>
      </c>
      <c r="J269" s="286"/>
      <c r="K269" s="286"/>
      <c r="L269" s="286"/>
      <c r="M269" s="286"/>
      <c r="N269" s="295" t="s">
        <v>1737</v>
      </c>
      <c r="O269" s="295" t="s">
        <v>1737</v>
      </c>
      <c r="P269" s="295"/>
      <c r="Q269" s="302">
        <v>44819</v>
      </c>
      <c r="R269" s="219" t="s">
        <v>8625</v>
      </c>
      <c r="S269" s="295"/>
      <c r="T269" s="295"/>
      <c r="U269" s="295"/>
      <c r="V269" s="295"/>
      <c r="W269" s="302">
        <v>44819</v>
      </c>
      <c r="X269" s="36" t="s">
        <v>76</v>
      </c>
    </row>
    <row r="270" spans="1:24">
      <c r="A270" s="774"/>
      <c r="B270" s="219" t="s">
        <v>8626</v>
      </c>
      <c r="C270" s="219" t="s">
        <v>8611</v>
      </c>
      <c r="D270" s="159" t="s">
        <v>8564</v>
      </c>
      <c r="E270" s="215" t="s">
        <v>1732</v>
      </c>
      <c r="F270" s="219" t="s">
        <v>8627</v>
      </c>
      <c r="G270" s="295"/>
      <c r="H270" s="219" t="s">
        <v>8628</v>
      </c>
      <c r="I270" s="285" t="s">
        <v>1736</v>
      </c>
      <c r="J270" s="286"/>
      <c r="K270" s="286"/>
      <c r="L270" s="286"/>
      <c r="M270" s="286"/>
      <c r="N270" s="295" t="s">
        <v>1737</v>
      </c>
      <c r="O270" s="295" t="s">
        <v>1737</v>
      </c>
      <c r="P270" s="295"/>
      <c r="Q270" s="302">
        <v>44819</v>
      </c>
      <c r="R270" s="219" t="s">
        <v>8629</v>
      </c>
      <c r="S270" s="295"/>
      <c r="T270" s="295"/>
      <c r="U270" s="295"/>
      <c r="V270" s="295"/>
      <c r="W270" s="302">
        <v>44819</v>
      </c>
      <c r="X270" s="36" t="s">
        <v>7393</v>
      </c>
    </row>
    <row r="271" spans="1:24">
      <c r="A271" s="774"/>
      <c r="B271" s="219" t="s">
        <v>8630</v>
      </c>
      <c r="C271" s="219" t="s">
        <v>8611</v>
      </c>
      <c r="D271" s="159" t="s">
        <v>8564</v>
      </c>
      <c r="E271" s="215" t="s">
        <v>1732</v>
      </c>
      <c r="F271" s="219" t="s">
        <v>8631</v>
      </c>
      <c r="G271" s="295"/>
      <c r="H271" s="219" t="s">
        <v>8632</v>
      </c>
      <c r="I271" s="285" t="s">
        <v>1736</v>
      </c>
      <c r="J271" s="286"/>
      <c r="K271" s="286"/>
      <c r="L271" s="286"/>
      <c r="M271" s="286"/>
      <c r="N271" s="295" t="s">
        <v>1737</v>
      </c>
      <c r="O271" s="295" t="s">
        <v>1737</v>
      </c>
      <c r="P271" s="295"/>
      <c r="Q271" s="302">
        <v>44820</v>
      </c>
      <c r="R271" s="219" t="s">
        <v>8633</v>
      </c>
      <c r="S271" s="295"/>
      <c r="T271" s="295"/>
      <c r="U271" s="295"/>
      <c r="V271" s="295"/>
      <c r="W271" s="302">
        <v>44820</v>
      </c>
      <c r="X271" s="36" t="s">
        <v>76</v>
      </c>
    </row>
    <row r="272" spans="1:24">
      <c r="A272" s="774"/>
      <c r="B272" s="219" t="s">
        <v>8634</v>
      </c>
      <c r="C272" s="219" t="s">
        <v>8611</v>
      </c>
      <c r="D272" s="159" t="s">
        <v>8564</v>
      </c>
      <c r="E272" s="215" t="s">
        <v>1732</v>
      </c>
      <c r="F272" s="219" t="s">
        <v>8635</v>
      </c>
      <c r="G272" s="295"/>
      <c r="H272" s="219" t="s">
        <v>8636</v>
      </c>
      <c r="I272" s="285" t="s">
        <v>1736</v>
      </c>
      <c r="J272" s="286"/>
      <c r="K272" s="286"/>
      <c r="L272" s="286"/>
      <c r="M272" s="286"/>
      <c r="N272" s="295" t="s">
        <v>1737</v>
      </c>
      <c r="O272" s="295" t="s">
        <v>1737</v>
      </c>
      <c r="P272" s="295"/>
      <c r="Q272" s="302">
        <v>44820</v>
      </c>
      <c r="R272" s="219" t="s">
        <v>8637</v>
      </c>
      <c r="S272" s="295"/>
      <c r="T272" s="295"/>
      <c r="U272" s="295"/>
      <c r="V272" s="295"/>
      <c r="W272" s="302">
        <v>44820</v>
      </c>
      <c r="X272" s="36" t="s">
        <v>7393</v>
      </c>
    </row>
    <row r="273" spans="1:24">
      <c r="A273" s="774"/>
      <c r="B273" s="219" t="s">
        <v>8638</v>
      </c>
      <c r="C273" s="219" t="s">
        <v>8611</v>
      </c>
      <c r="D273" s="159" t="s">
        <v>8564</v>
      </c>
      <c r="E273" s="215" t="s">
        <v>1732</v>
      </c>
      <c r="F273" s="219" t="s">
        <v>8639</v>
      </c>
      <c r="G273" s="295"/>
      <c r="H273" s="219" t="s">
        <v>8640</v>
      </c>
      <c r="I273" s="285" t="s">
        <v>1736</v>
      </c>
      <c r="J273" s="286"/>
      <c r="K273" s="286"/>
      <c r="L273" s="286"/>
      <c r="M273" s="286"/>
      <c r="N273" s="295" t="s">
        <v>1737</v>
      </c>
      <c r="O273" s="295" t="s">
        <v>1737</v>
      </c>
      <c r="P273" s="295"/>
      <c r="Q273" s="302">
        <v>44820</v>
      </c>
      <c r="R273" s="219" t="s">
        <v>8641</v>
      </c>
      <c r="S273" s="295"/>
      <c r="T273" s="295"/>
      <c r="U273" s="295"/>
      <c r="V273" s="295"/>
      <c r="W273" s="302">
        <v>44820</v>
      </c>
      <c r="X273" s="36" t="s">
        <v>76</v>
      </c>
    </row>
    <row r="274" spans="1:24">
      <c r="A274" s="774"/>
      <c r="B274" s="219" t="s">
        <v>8642</v>
      </c>
      <c r="C274" s="219" t="s">
        <v>8611</v>
      </c>
      <c r="D274" s="159" t="s">
        <v>8564</v>
      </c>
      <c r="E274" s="215" t="s">
        <v>1732</v>
      </c>
      <c r="F274" s="219" t="s">
        <v>8643</v>
      </c>
      <c r="G274" s="295"/>
      <c r="H274" s="219" t="s">
        <v>8644</v>
      </c>
      <c r="I274" s="285" t="s">
        <v>1736</v>
      </c>
      <c r="J274" s="286"/>
      <c r="K274" s="286"/>
      <c r="L274" s="286"/>
      <c r="M274" s="286"/>
      <c r="N274" s="295" t="s">
        <v>1737</v>
      </c>
      <c r="O274" s="295" t="s">
        <v>1737</v>
      </c>
      <c r="P274" s="295"/>
      <c r="Q274" s="302">
        <v>44820</v>
      </c>
      <c r="R274" s="219" t="s">
        <v>8645</v>
      </c>
      <c r="S274" s="295"/>
      <c r="T274" s="295"/>
      <c r="U274" s="295"/>
      <c r="V274" s="295"/>
      <c r="W274" s="302">
        <v>44820</v>
      </c>
      <c r="X274" s="36" t="s">
        <v>7393</v>
      </c>
    </row>
    <row r="275" spans="1:24">
      <c r="A275" s="774"/>
      <c r="B275" s="219" t="s">
        <v>8646</v>
      </c>
      <c r="C275" s="219" t="s">
        <v>8611</v>
      </c>
      <c r="D275" s="159" t="s">
        <v>8564</v>
      </c>
      <c r="E275" s="215" t="s">
        <v>1732</v>
      </c>
      <c r="F275" s="219" t="s">
        <v>8647</v>
      </c>
      <c r="G275" s="295"/>
      <c r="H275" s="219" t="s">
        <v>8648</v>
      </c>
      <c r="I275" s="285" t="s">
        <v>1736</v>
      </c>
      <c r="J275" s="286"/>
      <c r="K275" s="286"/>
      <c r="L275" s="286"/>
      <c r="M275" s="286"/>
      <c r="N275" s="295" t="s">
        <v>1737</v>
      </c>
      <c r="O275" s="295" t="s">
        <v>1737</v>
      </c>
      <c r="P275" s="295"/>
      <c r="Q275" s="302">
        <v>44820</v>
      </c>
      <c r="R275" s="219" t="s">
        <v>8649</v>
      </c>
      <c r="S275" s="295"/>
      <c r="T275" s="295"/>
      <c r="U275" s="295"/>
      <c r="V275" s="295"/>
      <c r="W275" s="302">
        <v>44820</v>
      </c>
      <c r="X275" s="36" t="s">
        <v>76</v>
      </c>
    </row>
    <row r="276" spans="1:24">
      <c r="A276" s="774"/>
      <c r="B276" s="219" t="s">
        <v>8650</v>
      </c>
      <c r="C276" s="219" t="s">
        <v>8611</v>
      </c>
      <c r="D276" s="159" t="s">
        <v>8564</v>
      </c>
      <c r="E276" s="215" t="s">
        <v>1732</v>
      </c>
      <c r="F276" s="219" t="s">
        <v>8651</v>
      </c>
      <c r="G276" s="295"/>
      <c r="H276" s="219" t="s">
        <v>8652</v>
      </c>
      <c r="I276" s="285" t="s">
        <v>1736</v>
      </c>
      <c r="J276" s="286"/>
      <c r="K276" s="286"/>
      <c r="L276" s="286"/>
      <c r="M276" s="286"/>
      <c r="N276" s="295" t="s">
        <v>1737</v>
      </c>
      <c r="O276" s="295" t="s">
        <v>1737</v>
      </c>
      <c r="P276" s="295"/>
      <c r="Q276" s="302">
        <v>44823</v>
      </c>
      <c r="R276" s="219" t="s">
        <v>8653</v>
      </c>
      <c r="S276" s="295"/>
      <c r="T276" s="295"/>
      <c r="U276" s="295"/>
      <c r="V276" s="295"/>
      <c r="W276" s="302">
        <v>44823</v>
      </c>
      <c r="X276" s="36" t="s">
        <v>7393</v>
      </c>
    </row>
    <row r="277" spans="1:24">
      <c r="A277" s="774"/>
      <c r="B277" s="219" t="s">
        <v>8654</v>
      </c>
      <c r="C277" s="219" t="s">
        <v>8611</v>
      </c>
      <c r="D277" s="159" t="s">
        <v>8564</v>
      </c>
      <c r="E277" s="215" t="s">
        <v>1732</v>
      </c>
      <c r="F277" s="219" t="s">
        <v>8655</v>
      </c>
      <c r="G277" s="295"/>
      <c r="H277" s="219" t="s">
        <v>8656</v>
      </c>
      <c r="I277" s="285" t="s">
        <v>1736</v>
      </c>
      <c r="J277" s="286"/>
      <c r="K277" s="286"/>
      <c r="L277" s="286"/>
      <c r="M277" s="286"/>
      <c r="N277" s="295" t="s">
        <v>1737</v>
      </c>
      <c r="O277" s="295" t="s">
        <v>1737</v>
      </c>
      <c r="P277" s="295"/>
      <c r="Q277" s="302">
        <v>44827</v>
      </c>
      <c r="R277" s="219" t="s">
        <v>8657</v>
      </c>
      <c r="S277" s="295"/>
      <c r="T277" s="295"/>
      <c r="U277" s="295"/>
      <c r="V277" s="295"/>
      <c r="W277" s="302">
        <v>44827</v>
      </c>
      <c r="X277" s="36" t="s">
        <v>76</v>
      </c>
    </row>
    <row r="278" spans="1:24">
      <c r="A278" s="774"/>
      <c r="B278" s="219" t="s">
        <v>8658</v>
      </c>
      <c r="C278" s="219" t="s">
        <v>8611</v>
      </c>
      <c r="D278" s="159" t="s">
        <v>8564</v>
      </c>
      <c r="E278" s="215" t="s">
        <v>1732</v>
      </c>
      <c r="F278" s="219" t="s">
        <v>8659</v>
      </c>
      <c r="G278" s="295"/>
      <c r="H278" s="219" t="s">
        <v>8660</v>
      </c>
      <c r="I278" s="285" t="s">
        <v>1736</v>
      </c>
      <c r="J278" s="286"/>
      <c r="K278" s="286"/>
      <c r="L278" s="286"/>
      <c r="M278" s="286"/>
      <c r="N278" s="295" t="s">
        <v>1737</v>
      </c>
      <c r="O278" s="295" t="s">
        <v>1737</v>
      </c>
      <c r="P278" s="295"/>
      <c r="Q278" s="302">
        <v>44823</v>
      </c>
      <c r="R278" s="219" t="s">
        <v>8661</v>
      </c>
      <c r="S278" s="295"/>
      <c r="T278" s="295"/>
      <c r="U278" s="295"/>
      <c r="V278" s="295"/>
      <c r="W278" s="302">
        <v>44823</v>
      </c>
      <c r="X278" s="36" t="s">
        <v>7393</v>
      </c>
    </row>
    <row r="279" spans="1:24">
      <c r="A279" s="774"/>
      <c r="B279" s="219" t="s">
        <v>8662</v>
      </c>
      <c r="C279" s="219" t="s">
        <v>8611</v>
      </c>
      <c r="D279" s="159" t="s">
        <v>8564</v>
      </c>
      <c r="E279" s="215" t="s">
        <v>1732</v>
      </c>
      <c r="F279" s="219" t="s">
        <v>8663</v>
      </c>
      <c r="G279" s="295"/>
      <c r="H279" s="219" t="s">
        <v>8664</v>
      </c>
      <c r="I279" s="285" t="s">
        <v>1736</v>
      </c>
      <c r="J279" s="286"/>
      <c r="K279" s="286"/>
      <c r="L279" s="286"/>
      <c r="M279" s="286"/>
      <c r="N279" s="295" t="s">
        <v>1737</v>
      </c>
      <c r="O279" s="295" t="s">
        <v>1737</v>
      </c>
      <c r="P279" s="295"/>
      <c r="Q279" s="302">
        <v>44827</v>
      </c>
      <c r="R279" s="219" t="s">
        <v>8665</v>
      </c>
      <c r="S279" s="295"/>
      <c r="T279" s="295"/>
      <c r="U279" s="295"/>
      <c r="V279" s="295"/>
      <c r="W279" s="302">
        <v>44827</v>
      </c>
      <c r="X279" s="36" t="s">
        <v>76</v>
      </c>
    </row>
    <row r="280" spans="1:24" ht="409.6" customHeight="1">
      <c r="A280" s="774"/>
      <c r="B280" s="219" t="s">
        <v>8666</v>
      </c>
      <c r="C280" s="219" t="s">
        <v>8611</v>
      </c>
      <c r="D280" s="159" t="s">
        <v>8564</v>
      </c>
      <c r="E280" s="215" t="s">
        <v>1732</v>
      </c>
      <c r="F280" s="219" t="s">
        <v>8667</v>
      </c>
      <c r="G280" s="295"/>
      <c r="H280" s="219" t="s">
        <v>8668</v>
      </c>
      <c r="I280" s="285" t="s">
        <v>1736</v>
      </c>
      <c r="J280" s="286"/>
      <c r="K280" s="286"/>
      <c r="L280" s="286"/>
      <c r="M280" s="286"/>
      <c r="N280" s="295" t="s">
        <v>1737</v>
      </c>
      <c r="O280" s="295" t="s">
        <v>1737</v>
      </c>
      <c r="P280" s="295"/>
      <c r="Q280" s="302">
        <v>44825</v>
      </c>
      <c r="R280" s="219" t="s">
        <v>8669</v>
      </c>
      <c r="S280" s="295"/>
      <c r="T280" s="295"/>
      <c r="U280" s="295"/>
      <c r="V280" s="295"/>
      <c r="W280" s="302">
        <v>44825</v>
      </c>
      <c r="X280" s="36" t="s">
        <v>7393</v>
      </c>
    </row>
    <row r="281" spans="1:24">
      <c r="A281" s="774"/>
      <c r="B281" s="219" t="s">
        <v>8670</v>
      </c>
      <c r="C281" s="219" t="s">
        <v>8611</v>
      </c>
      <c r="D281" s="159" t="s">
        <v>8564</v>
      </c>
      <c r="E281" s="215" t="s">
        <v>1732</v>
      </c>
      <c r="F281" s="219" t="s">
        <v>8671</v>
      </c>
      <c r="G281" s="295"/>
      <c r="H281" s="219" t="s">
        <v>8668</v>
      </c>
      <c r="I281" s="285" t="s">
        <v>1736</v>
      </c>
      <c r="J281" s="286"/>
      <c r="K281" s="286"/>
      <c r="L281" s="286"/>
      <c r="M281" s="286"/>
      <c r="N281" s="295" t="s">
        <v>1737</v>
      </c>
      <c r="O281" s="295" t="s">
        <v>1737</v>
      </c>
      <c r="P281" s="219" t="s">
        <v>8672</v>
      </c>
      <c r="Q281" s="295" t="s">
        <v>8673</v>
      </c>
      <c r="R281" s="219" t="s">
        <v>8674</v>
      </c>
      <c r="S281" s="295"/>
      <c r="T281" s="295"/>
      <c r="U281" s="295"/>
      <c r="V281" s="295"/>
      <c r="W281" s="295" t="s">
        <v>8673</v>
      </c>
      <c r="X281" s="36" t="s">
        <v>76</v>
      </c>
    </row>
    <row r="282" spans="1:24">
      <c r="A282" s="774"/>
      <c r="B282" s="219" t="s">
        <v>8675</v>
      </c>
      <c r="C282" s="219" t="s">
        <v>8611</v>
      </c>
      <c r="D282" s="159" t="s">
        <v>8564</v>
      </c>
      <c r="E282" s="215" t="s">
        <v>1732</v>
      </c>
      <c r="F282" s="219" t="s">
        <v>8676</v>
      </c>
      <c r="G282" s="295"/>
      <c r="H282" s="219" t="s">
        <v>8677</v>
      </c>
      <c r="I282" s="285" t="s">
        <v>1736</v>
      </c>
      <c r="J282" s="286"/>
      <c r="K282" s="286"/>
      <c r="L282" s="286"/>
      <c r="M282" s="286"/>
      <c r="N282" s="295" t="s">
        <v>1737</v>
      </c>
      <c r="O282" s="295" t="s">
        <v>1737</v>
      </c>
      <c r="P282" s="295"/>
      <c r="Q282" s="302">
        <v>44824</v>
      </c>
      <c r="R282" s="219" t="s">
        <v>8678</v>
      </c>
      <c r="S282" s="295"/>
      <c r="T282" s="295"/>
      <c r="U282" s="295"/>
      <c r="V282" s="295"/>
      <c r="W282" s="302">
        <v>44824</v>
      </c>
      <c r="X282" s="36" t="s">
        <v>7393</v>
      </c>
    </row>
    <row r="283" spans="1:24">
      <c r="A283" s="774"/>
      <c r="B283" s="219" t="s">
        <v>8679</v>
      </c>
      <c r="C283" s="219" t="s">
        <v>8611</v>
      </c>
      <c r="D283" s="159" t="s">
        <v>8564</v>
      </c>
      <c r="E283" s="215" t="s">
        <v>1732</v>
      </c>
      <c r="F283" s="219" t="s">
        <v>8680</v>
      </c>
      <c r="G283" s="295"/>
      <c r="H283" s="219" t="s">
        <v>8681</v>
      </c>
      <c r="I283" s="285" t="s">
        <v>1736</v>
      </c>
      <c r="J283" s="286"/>
      <c r="K283" s="286"/>
      <c r="L283" s="286"/>
      <c r="M283" s="286"/>
      <c r="N283" s="295" t="s">
        <v>1737</v>
      </c>
      <c r="O283" s="295" t="s">
        <v>1737</v>
      </c>
      <c r="P283" s="295"/>
      <c r="Q283" s="302">
        <v>44824</v>
      </c>
      <c r="R283" s="219" t="s">
        <v>8682</v>
      </c>
      <c r="S283" s="295"/>
      <c r="T283" s="295"/>
      <c r="U283" s="295"/>
      <c r="V283" s="295"/>
      <c r="W283" s="302">
        <v>44824</v>
      </c>
      <c r="X283" s="36"/>
    </row>
    <row r="284" spans="1:24">
      <c r="A284" s="774"/>
      <c r="B284" s="219" t="s">
        <v>8683</v>
      </c>
      <c r="C284" s="219" t="s">
        <v>8611</v>
      </c>
      <c r="D284" s="159" t="s">
        <v>8564</v>
      </c>
      <c r="E284" s="215" t="s">
        <v>1732</v>
      </c>
      <c r="F284" s="219" t="s">
        <v>8684</v>
      </c>
      <c r="G284" s="295"/>
      <c r="H284" s="219" t="s">
        <v>8685</v>
      </c>
      <c r="I284" s="285" t="s">
        <v>1736</v>
      </c>
      <c r="J284" s="286"/>
      <c r="K284" s="286"/>
      <c r="L284" s="286"/>
      <c r="M284" s="286"/>
      <c r="N284" s="295" t="s">
        <v>1737</v>
      </c>
      <c r="O284" s="295" t="s">
        <v>1737</v>
      </c>
      <c r="P284" s="295"/>
      <c r="Q284" s="302">
        <v>44825</v>
      </c>
      <c r="R284" s="219" t="s">
        <v>8686</v>
      </c>
      <c r="S284" s="295"/>
      <c r="T284" s="295"/>
      <c r="U284" s="295"/>
      <c r="V284" s="295"/>
      <c r="W284" s="302">
        <v>44825</v>
      </c>
      <c r="X284" s="36" t="s">
        <v>76</v>
      </c>
    </row>
    <row r="285" spans="1:24">
      <c r="A285" s="774"/>
      <c r="B285" s="219" t="s">
        <v>8687</v>
      </c>
      <c r="C285" s="219" t="s">
        <v>8611</v>
      </c>
      <c r="D285" s="159" t="s">
        <v>8564</v>
      </c>
      <c r="E285" s="215" t="s">
        <v>1732</v>
      </c>
      <c r="F285" s="219" t="s">
        <v>8688</v>
      </c>
      <c r="G285" s="295"/>
      <c r="H285" s="219" t="s">
        <v>8689</v>
      </c>
      <c r="I285" s="285" t="s">
        <v>1736</v>
      </c>
      <c r="J285" s="286"/>
      <c r="K285" s="286"/>
      <c r="L285" s="286"/>
      <c r="M285" s="286"/>
      <c r="N285" s="295" t="s">
        <v>1737</v>
      </c>
      <c r="O285" s="295" t="s">
        <v>1737</v>
      </c>
      <c r="P285" s="295"/>
      <c r="Q285" s="302">
        <v>44826</v>
      </c>
      <c r="R285" s="219" t="s">
        <v>8690</v>
      </c>
      <c r="S285" s="295"/>
      <c r="T285" s="295"/>
      <c r="U285" s="295"/>
      <c r="V285" s="295"/>
      <c r="W285" s="302">
        <v>44826</v>
      </c>
      <c r="X285" s="36" t="s">
        <v>7393</v>
      </c>
    </row>
    <row r="286" spans="1:24">
      <c r="A286" s="774"/>
      <c r="B286" s="219" t="s">
        <v>8691</v>
      </c>
      <c r="C286" s="219" t="s">
        <v>8611</v>
      </c>
      <c r="D286" s="159" t="s">
        <v>8564</v>
      </c>
      <c r="E286" s="215" t="s">
        <v>1732</v>
      </c>
      <c r="F286" s="219" t="s">
        <v>8692</v>
      </c>
      <c r="G286" s="295"/>
      <c r="H286" s="219" t="s">
        <v>8693</v>
      </c>
      <c r="I286" s="285" t="s">
        <v>1736</v>
      </c>
      <c r="J286" s="286"/>
      <c r="K286" s="286"/>
      <c r="L286" s="286"/>
      <c r="M286" s="286"/>
      <c r="N286" s="295" t="s">
        <v>1737</v>
      </c>
      <c r="O286" s="295" t="s">
        <v>1737</v>
      </c>
      <c r="P286" s="295"/>
      <c r="Q286" s="302">
        <v>44826</v>
      </c>
      <c r="R286" s="219" t="s">
        <v>8694</v>
      </c>
      <c r="S286" s="295"/>
      <c r="T286" s="295"/>
      <c r="U286" s="295"/>
      <c r="V286" s="295"/>
      <c r="W286" s="302">
        <v>44826</v>
      </c>
      <c r="X286" s="36" t="s">
        <v>76</v>
      </c>
    </row>
    <row r="287" spans="1:24">
      <c r="A287" s="773"/>
      <c r="B287" s="219" t="s">
        <v>8695</v>
      </c>
      <c r="C287" s="219" t="s">
        <v>8611</v>
      </c>
      <c r="D287" s="159" t="s">
        <v>8564</v>
      </c>
      <c r="E287" s="215" t="s">
        <v>1732</v>
      </c>
      <c r="F287" s="219" t="s">
        <v>8696</v>
      </c>
      <c r="G287" s="295"/>
      <c r="H287" s="219" t="s">
        <v>8697</v>
      </c>
      <c r="I287" s="285" t="s">
        <v>1736</v>
      </c>
      <c r="J287" s="286"/>
      <c r="K287" s="286"/>
      <c r="L287" s="286"/>
      <c r="M287" s="286"/>
      <c r="N287" s="295" t="s">
        <v>1737</v>
      </c>
      <c r="O287" s="295" t="s">
        <v>1737</v>
      </c>
      <c r="P287" s="295"/>
      <c r="Q287" s="302">
        <v>44827</v>
      </c>
      <c r="R287" s="219" t="s">
        <v>8698</v>
      </c>
      <c r="S287" s="295"/>
      <c r="T287" s="295"/>
      <c r="U287" s="295"/>
      <c r="V287" s="295"/>
      <c r="W287" s="302">
        <v>44827</v>
      </c>
      <c r="X287" s="36" t="s">
        <v>7393</v>
      </c>
    </row>
    <row r="288" spans="1:24">
      <c r="A288" s="717" t="s">
        <v>8699</v>
      </c>
      <c r="B288" s="219" t="s">
        <v>8700</v>
      </c>
      <c r="C288" s="288" t="s">
        <v>8701</v>
      </c>
      <c r="D288" s="159" t="s">
        <v>8702</v>
      </c>
      <c r="E288" s="303" t="s">
        <v>1732</v>
      </c>
      <c r="F288" s="288" t="s">
        <v>8703</v>
      </c>
      <c r="G288" s="290"/>
      <c r="H288" s="288" t="s">
        <v>8704</v>
      </c>
      <c r="I288" s="304" t="s">
        <v>1736</v>
      </c>
      <c r="J288" s="286"/>
      <c r="K288" s="286"/>
      <c r="L288" s="286"/>
      <c r="M288" s="286"/>
      <c r="N288" s="295"/>
      <c r="O288" s="295"/>
      <c r="P288" s="219" t="s">
        <v>8705</v>
      </c>
      <c r="Q288" s="295"/>
      <c r="R288" s="219"/>
      <c r="S288" s="295"/>
      <c r="T288" s="295"/>
      <c r="U288" s="295"/>
      <c r="V288" s="295"/>
      <c r="W288" s="295"/>
      <c r="X288" s="36" t="s">
        <v>76</v>
      </c>
    </row>
    <row r="289" spans="1:24">
      <c r="A289" s="774"/>
      <c r="B289" s="219" t="s">
        <v>8706</v>
      </c>
      <c r="C289" s="219" t="s">
        <v>8707</v>
      </c>
      <c r="D289" s="159" t="s">
        <v>8708</v>
      </c>
      <c r="E289" s="215" t="s">
        <v>1732</v>
      </c>
      <c r="F289" s="219" t="s">
        <v>8709</v>
      </c>
      <c r="G289" s="295"/>
      <c r="H289" s="219" t="s">
        <v>8710</v>
      </c>
      <c r="I289" s="285" t="s">
        <v>1736</v>
      </c>
      <c r="J289" s="286"/>
      <c r="K289" s="286"/>
      <c r="L289" s="286"/>
      <c r="M289" s="286"/>
      <c r="N289" s="295" t="s">
        <v>1737</v>
      </c>
      <c r="O289" s="295" t="s">
        <v>1737</v>
      </c>
      <c r="P289" s="295"/>
      <c r="Q289" s="302">
        <v>44826</v>
      </c>
      <c r="R289" s="219" t="s">
        <v>8711</v>
      </c>
      <c r="S289" s="295"/>
      <c r="T289" s="295"/>
      <c r="U289" s="295"/>
      <c r="V289" s="295"/>
      <c r="W289" s="302">
        <v>44826</v>
      </c>
      <c r="X289" s="36" t="s">
        <v>7393</v>
      </c>
    </row>
    <row r="290" spans="1:24">
      <c r="A290" s="774"/>
      <c r="B290" s="219" t="s">
        <v>8712</v>
      </c>
      <c r="C290" s="288" t="s">
        <v>8713</v>
      </c>
      <c r="D290" s="159" t="s">
        <v>8714</v>
      </c>
      <c r="E290" s="303" t="s">
        <v>1732</v>
      </c>
      <c r="F290" s="288" t="s">
        <v>8715</v>
      </c>
      <c r="G290" s="290"/>
      <c r="H290" s="288" t="s">
        <v>8716</v>
      </c>
      <c r="I290" s="304" t="s">
        <v>1736</v>
      </c>
      <c r="J290" s="286"/>
      <c r="K290" s="286"/>
      <c r="L290" s="286"/>
      <c r="M290" s="286"/>
      <c r="N290" s="295"/>
      <c r="O290" s="295"/>
      <c r="P290" s="219" t="s">
        <v>8705</v>
      </c>
      <c r="Q290" s="295"/>
      <c r="R290" s="219"/>
      <c r="S290" s="295"/>
      <c r="T290" s="295"/>
      <c r="U290" s="295"/>
      <c r="V290" s="295"/>
      <c r="W290" s="295"/>
      <c r="X290" s="36" t="s">
        <v>76</v>
      </c>
    </row>
    <row r="291" spans="1:24">
      <c r="A291" s="774"/>
      <c r="B291" s="219" t="s">
        <v>8717</v>
      </c>
      <c r="C291" s="219" t="s">
        <v>8718</v>
      </c>
      <c r="D291" s="159" t="s">
        <v>8719</v>
      </c>
      <c r="E291" s="215" t="s">
        <v>1732</v>
      </c>
      <c r="F291" s="219" t="s">
        <v>8720</v>
      </c>
      <c r="G291" s="295"/>
      <c r="H291" s="219" t="s">
        <v>8721</v>
      </c>
      <c r="I291" s="285" t="s">
        <v>1736</v>
      </c>
      <c r="J291" s="286"/>
      <c r="K291" s="286"/>
      <c r="L291" s="286"/>
      <c r="M291" s="286"/>
      <c r="N291" s="295" t="s">
        <v>1737</v>
      </c>
      <c r="O291" s="295" t="s">
        <v>1737</v>
      </c>
      <c r="P291" s="295"/>
      <c r="Q291" s="302">
        <v>44817</v>
      </c>
      <c r="R291" s="219" t="s">
        <v>8722</v>
      </c>
      <c r="S291" s="295"/>
      <c r="T291" s="295"/>
      <c r="U291" s="295"/>
      <c r="V291" s="295"/>
      <c r="W291" s="302">
        <v>44817</v>
      </c>
      <c r="X291" s="36" t="s">
        <v>7393</v>
      </c>
    </row>
    <row r="292" spans="1:24">
      <c r="A292" s="774"/>
      <c r="B292" s="219" t="s">
        <v>8723</v>
      </c>
      <c r="C292" s="219" t="s">
        <v>8724</v>
      </c>
      <c r="D292" s="159" t="s">
        <v>8725</v>
      </c>
      <c r="E292" s="215" t="s">
        <v>1732</v>
      </c>
      <c r="F292" s="219" t="s">
        <v>8726</v>
      </c>
      <c r="G292" s="295"/>
      <c r="H292" s="219" t="s">
        <v>8727</v>
      </c>
      <c r="I292" s="285" t="s">
        <v>1736</v>
      </c>
      <c r="J292" s="286"/>
      <c r="K292" s="286"/>
      <c r="L292" s="286"/>
      <c r="M292" s="286"/>
      <c r="N292" s="295" t="s">
        <v>1737</v>
      </c>
      <c r="O292" s="295" t="s">
        <v>1737</v>
      </c>
      <c r="P292" s="295"/>
      <c r="Q292" s="302">
        <v>44833</v>
      </c>
      <c r="R292" s="219" t="s">
        <v>8728</v>
      </c>
      <c r="S292" s="295"/>
      <c r="T292" s="295"/>
      <c r="U292" s="295"/>
      <c r="V292" s="295"/>
      <c r="W292" s="302">
        <v>44833</v>
      </c>
      <c r="X292" s="36" t="s">
        <v>76</v>
      </c>
    </row>
    <row r="293" spans="1:24">
      <c r="A293" s="774"/>
      <c r="B293" s="219" t="s">
        <v>8729</v>
      </c>
      <c r="C293" s="219" t="s">
        <v>8724</v>
      </c>
      <c r="D293" s="159" t="s">
        <v>8730</v>
      </c>
      <c r="E293" s="215" t="s">
        <v>1732</v>
      </c>
      <c r="F293" s="219" t="s">
        <v>8731</v>
      </c>
      <c r="G293" s="295"/>
      <c r="H293" s="219" t="s">
        <v>8732</v>
      </c>
      <c r="I293" s="285" t="s">
        <v>1736</v>
      </c>
      <c r="J293" s="286"/>
      <c r="K293" s="286"/>
      <c r="L293" s="286"/>
      <c r="M293" s="286"/>
      <c r="N293" s="295" t="s">
        <v>1737</v>
      </c>
      <c r="O293" s="295" t="s">
        <v>1737</v>
      </c>
      <c r="P293" s="295"/>
      <c r="Q293" s="302">
        <v>44827</v>
      </c>
      <c r="R293" s="219" t="s">
        <v>8733</v>
      </c>
      <c r="S293" s="295"/>
      <c r="T293" s="295"/>
      <c r="U293" s="295"/>
      <c r="V293" s="295"/>
      <c r="W293" s="302">
        <v>44827</v>
      </c>
      <c r="X293" s="36" t="s">
        <v>7393</v>
      </c>
    </row>
    <row r="294" spans="1:24">
      <c r="A294" s="773"/>
      <c r="B294" s="219" t="s">
        <v>8734</v>
      </c>
      <c r="C294" s="219" t="s">
        <v>8735</v>
      </c>
      <c r="D294" s="159" t="s">
        <v>8564</v>
      </c>
      <c r="E294" s="215" t="s">
        <v>1732</v>
      </c>
      <c r="F294" s="219" t="s">
        <v>8736</v>
      </c>
      <c r="G294" s="295"/>
      <c r="H294" s="219" t="s">
        <v>8737</v>
      </c>
      <c r="I294" s="304" t="s">
        <v>1736</v>
      </c>
      <c r="J294" s="286"/>
      <c r="K294" s="286"/>
      <c r="L294" s="286"/>
      <c r="M294" s="286"/>
      <c r="N294" s="295"/>
      <c r="O294" s="295"/>
      <c r="P294" s="295"/>
      <c r="Q294" s="295"/>
      <c r="R294" s="219"/>
      <c r="S294" s="295"/>
      <c r="T294" s="295"/>
      <c r="U294" s="295"/>
      <c r="V294" s="295"/>
      <c r="W294" s="295"/>
      <c r="X294" s="36" t="s">
        <v>76</v>
      </c>
    </row>
    <row r="295" spans="1:24">
      <c r="A295" s="715" t="s">
        <v>8738</v>
      </c>
      <c r="B295" s="219" t="s">
        <v>8739</v>
      </c>
      <c r="C295" s="219" t="s">
        <v>8740</v>
      </c>
      <c r="D295" s="25" t="s">
        <v>8741</v>
      </c>
      <c r="E295" s="215" t="s">
        <v>1732</v>
      </c>
      <c r="F295" s="300" t="s">
        <v>8742</v>
      </c>
      <c r="G295" s="295"/>
      <c r="H295" s="300" t="s">
        <v>8743</v>
      </c>
      <c r="I295" s="285" t="s">
        <v>1736</v>
      </c>
      <c r="J295" s="286"/>
      <c r="K295" s="286"/>
      <c r="L295" s="286"/>
      <c r="M295" s="286"/>
      <c r="N295" s="295" t="s">
        <v>1737</v>
      </c>
      <c r="O295" s="295" t="s">
        <v>1737</v>
      </c>
      <c r="P295" s="295"/>
      <c r="Q295" s="295" t="s">
        <v>8744</v>
      </c>
      <c r="R295" s="219" t="s">
        <v>8745</v>
      </c>
      <c r="S295" s="295"/>
      <c r="T295" s="295"/>
      <c r="U295" s="295"/>
      <c r="V295" s="295"/>
      <c r="W295" s="295" t="s">
        <v>8744</v>
      </c>
      <c r="X295" s="36" t="s">
        <v>7393</v>
      </c>
    </row>
    <row r="296" spans="1:24">
      <c r="A296" s="774"/>
      <c r="B296" s="219" t="s">
        <v>8746</v>
      </c>
      <c r="C296" s="219" t="s">
        <v>8747</v>
      </c>
      <c r="D296" s="159" t="s">
        <v>8748</v>
      </c>
      <c r="E296" s="215" t="s">
        <v>1732</v>
      </c>
      <c r="F296" s="219" t="s">
        <v>8749</v>
      </c>
      <c r="G296" s="295"/>
      <c r="H296" s="219" t="s">
        <v>8750</v>
      </c>
      <c r="I296" s="285" t="s">
        <v>1736</v>
      </c>
      <c r="J296" s="286"/>
      <c r="K296" s="286"/>
      <c r="L296" s="286"/>
      <c r="M296" s="286"/>
      <c r="N296" s="295" t="s">
        <v>1737</v>
      </c>
      <c r="O296" s="295" t="s">
        <v>1737</v>
      </c>
      <c r="P296" s="295"/>
      <c r="Q296" s="295" t="s">
        <v>8744</v>
      </c>
      <c r="R296" s="219" t="s">
        <v>8751</v>
      </c>
      <c r="S296" s="295"/>
      <c r="T296" s="295"/>
      <c r="U296" s="295"/>
      <c r="V296" s="295"/>
      <c r="W296" s="295" t="s">
        <v>8744</v>
      </c>
      <c r="X296" s="36" t="s">
        <v>76</v>
      </c>
    </row>
    <row r="297" spans="1:24">
      <c r="A297" s="774"/>
      <c r="B297" s="219" t="s">
        <v>8752</v>
      </c>
      <c r="C297" s="219" t="s">
        <v>8753</v>
      </c>
      <c r="D297" s="159" t="s">
        <v>8754</v>
      </c>
      <c r="E297" s="215" t="s">
        <v>1732</v>
      </c>
      <c r="F297" s="219" t="s">
        <v>8755</v>
      </c>
      <c r="G297" s="295"/>
      <c r="H297" s="219" t="s">
        <v>8756</v>
      </c>
      <c r="I297" s="285" t="s">
        <v>1736</v>
      </c>
      <c r="J297" s="286"/>
      <c r="K297" s="286"/>
      <c r="L297" s="286"/>
      <c r="M297" s="286"/>
      <c r="N297" s="295" t="s">
        <v>1737</v>
      </c>
      <c r="O297" s="295" t="s">
        <v>1737</v>
      </c>
      <c r="P297" s="295"/>
      <c r="Q297" s="295" t="s">
        <v>8744</v>
      </c>
      <c r="R297" s="219" t="s">
        <v>8757</v>
      </c>
      <c r="S297" s="295"/>
      <c r="T297" s="295"/>
      <c r="U297" s="295"/>
      <c r="V297" s="295"/>
      <c r="W297" s="295" t="s">
        <v>8744</v>
      </c>
      <c r="X297" s="36" t="s">
        <v>7393</v>
      </c>
    </row>
    <row r="298" spans="1:24">
      <c r="A298" s="774"/>
      <c r="B298" s="219" t="s">
        <v>8758</v>
      </c>
      <c r="C298" s="219" t="s">
        <v>8759</v>
      </c>
      <c r="D298" s="159" t="s">
        <v>8760</v>
      </c>
      <c r="E298" s="215" t="s">
        <v>1732</v>
      </c>
      <c r="F298" s="219" t="s">
        <v>8761</v>
      </c>
      <c r="G298" s="295"/>
      <c r="H298" s="219" t="s">
        <v>8762</v>
      </c>
      <c r="I298" s="285" t="s">
        <v>1736</v>
      </c>
      <c r="J298" s="286"/>
      <c r="K298" s="286"/>
      <c r="L298" s="286"/>
      <c r="M298" s="286"/>
      <c r="N298" s="295" t="s">
        <v>1737</v>
      </c>
      <c r="O298" s="295" t="s">
        <v>1737</v>
      </c>
      <c r="P298" s="295"/>
      <c r="Q298" s="295" t="s">
        <v>8744</v>
      </c>
      <c r="R298" s="219" t="s">
        <v>8763</v>
      </c>
      <c r="S298" s="295"/>
      <c r="T298" s="295"/>
      <c r="U298" s="295"/>
      <c r="V298" s="295"/>
      <c r="W298" s="295" t="s">
        <v>8744</v>
      </c>
      <c r="X298" s="36" t="s">
        <v>76</v>
      </c>
    </row>
    <row r="299" spans="1:24">
      <c r="A299" s="774"/>
      <c r="B299" s="219" t="s">
        <v>8764</v>
      </c>
      <c r="C299" s="219" t="s">
        <v>8765</v>
      </c>
      <c r="D299" s="159" t="s">
        <v>8766</v>
      </c>
      <c r="E299" s="215" t="s">
        <v>1732</v>
      </c>
      <c r="F299" s="219" t="s">
        <v>8767</v>
      </c>
      <c r="G299" s="295"/>
      <c r="H299" s="219" t="s">
        <v>8768</v>
      </c>
      <c r="I299" s="285" t="s">
        <v>1736</v>
      </c>
      <c r="J299" s="286"/>
      <c r="K299" s="286"/>
      <c r="L299" s="286"/>
      <c r="M299" s="286"/>
      <c r="N299" s="295" t="s">
        <v>1737</v>
      </c>
      <c r="O299" s="295" t="s">
        <v>1737</v>
      </c>
      <c r="P299" s="295"/>
      <c r="Q299" s="295" t="s">
        <v>4801</v>
      </c>
      <c r="R299" s="219" t="s">
        <v>8769</v>
      </c>
      <c r="S299" s="295"/>
      <c r="T299" s="295"/>
      <c r="U299" s="295"/>
      <c r="V299" s="295"/>
      <c r="W299" s="295" t="s">
        <v>4801</v>
      </c>
      <c r="X299" s="36" t="s">
        <v>7393</v>
      </c>
    </row>
    <row r="300" spans="1:24">
      <c r="A300" s="774"/>
      <c r="B300" s="219" t="s">
        <v>8770</v>
      </c>
      <c r="C300" s="219" t="s">
        <v>8771</v>
      </c>
      <c r="D300" s="159" t="s">
        <v>8772</v>
      </c>
      <c r="E300" s="215" t="s">
        <v>1732</v>
      </c>
      <c r="F300" s="219" t="s">
        <v>8773</v>
      </c>
      <c r="G300" s="295"/>
      <c r="H300" s="219" t="s">
        <v>8774</v>
      </c>
      <c r="I300" s="285" t="s">
        <v>1736</v>
      </c>
      <c r="J300" s="286"/>
      <c r="K300" s="286"/>
      <c r="L300" s="286"/>
      <c r="M300" s="286"/>
      <c r="N300" s="295" t="s">
        <v>1737</v>
      </c>
      <c r="O300" s="295" t="s">
        <v>1737</v>
      </c>
      <c r="P300" s="295"/>
      <c r="Q300" s="295" t="s">
        <v>4801</v>
      </c>
      <c r="R300" s="219" t="s">
        <v>8775</v>
      </c>
      <c r="S300" s="295"/>
      <c r="T300" s="295"/>
      <c r="U300" s="295"/>
      <c r="V300" s="295"/>
      <c r="W300" s="295" t="s">
        <v>4801</v>
      </c>
      <c r="X300" s="36" t="s">
        <v>76</v>
      </c>
    </row>
    <row r="301" spans="1:24">
      <c r="A301" s="774"/>
      <c r="B301" s="219" t="s">
        <v>8776</v>
      </c>
      <c r="C301" s="219" t="s">
        <v>8777</v>
      </c>
      <c r="D301" s="159" t="s">
        <v>8778</v>
      </c>
      <c r="E301" s="215" t="s">
        <v>1732</v>
      </c>
      <c r="F301" s="219" t="s">
        <v>8779</v>
      </c>
      <c r="G301" s="295"/>
      <c r="H301" s="219" t="s">
        <v>8780</v>
      </c>
      <c r="I301" s="285" t="s">
        <v>1736</v>
      </c>
      <c r="J301" s="286"/>
      <c r="K301" s="286"/>
      <c r="L301" s="286"/>
      <c r="M301" s="286"/>
      <c r="N301" s="295" t="s">
        <v>1737</v>
      </c>
      <c r="O301" s="295" t="s">
        <v>1737</v>
      </c>
      <c r="P301" s="295"/>
      <c r="Q301" s="295" t="s">
        <v>4801</v>
      </c>
      <c r="R301" s="219" t="s">
        <v>8781</v>
      </c>
      <c r="S301" s="295"/>
      <c r="T301" s="295"/>
      <c r="U301" s="295"/>
      <c r="V301" s="295"/>
      <c r="W301" s="295" t="s">
        <v>4801</v>
      </c>
      <c r="X301" s="36" t="s">
        <v>7393</v>
      </c>
    </row>
    <row r="302" spans="1:24">
      <c r="A302" s="774"/>
      <c r="B302" s="219" t="s">
        <v>8782</v>
      </c>
      <c r="C302" s="219" t="s">
        <v>8783</v>
      </c>
      <c r="D302" s="159" t="s">
        <v>8784</v>
      </c>
      <c r="E302" s="215" t="s">
        <v>1732</v>
      </c>
      <c r="F302" s="219" t="s">
        <v>8785</v>
      </c>
      <c r="G302" s="295"/>
      <c r="H302" s="219" t="s">
        <v>8786</v>
      </c>
      <c r="I302" s="285" t="s">
        <v>1736</v>
      </c>
      <c r="J302" s="286"/>
      <c r="K302" s="286"/>
      <c r="L302" s="286"/>
      <c r="M302" s="286"/>
      <c r="N302" s="295" t="s">
        <v>1737</v>
      </c>
      <c r="O302" s="295" t="s">
        <v>1737</v>
      </c>
      <c r="P302" s="295"/>
      <c r="Q302" s="295" t="s">
        <v>4801</v>
      </c>
      <c r="R302" s="219" t="s">
        <v>8787</v>
      </c>
      <c r="S302" s="295"/>
      <c r="T302" s="295"/>
      <c r="U302" s="295"/>
      <c r="V302" s="295"/>
      <c r="W302" s="295" t="s">
        <v>4801</v>
      </c>
      <c r="X302" s="36" t="s">
        <v>76</v>
      </c>
    </row>
    <row r="303" spans="1:24">
      <c r="A303" s="774"/>
      <c r="B303" s="219" t="s">
        <v>8788</v>
      </c>
      <c r="C303" s="219" t="s">
        <v>8789</v>
      </c>
      <c r="D303" s="159" t="s">
        <v>8790</v>
      </c>
      <c r="E303" s="215" t="s">
        <v>1732</v>
      </c>
      <c r="F303" s="219" t="s">
        <v>8786</v>
      </c>
      <c r="G303" s="295"/>
      <c r="H303" s="219" t="s">
        <v>8791</v>
      </c>
      <c r="I303" s="285" t="s">
        <v>1736</v>
      </c>
      <c r="J303" s="286"/>
      <c r="K303" s="286"/>
      <c r="L303" s="286"/>
      <c r="M303" s="286"/>
      <c r="N303" s="295" t="s">
        <v>1737</v>
      </c>
      <c r="O303" s="295" t="s">
        <v>1737</v>
      </c>
      <c r="P303" s="295"/>
      <c r="Q303" s="295" t="s">
        <v>4801</v>
      </c>
      <c r="R303" s="219" t="s">
        <v>8792</v>
      </c>
      <c r="S303" s="295"/>
      <c r="T303" s="295"/>
      <c r="U303" s="295"/>
      <c r="V303" s="295"/>
      <c r="W303" s="295" t="s">
        <v>4801</v>
      </c>
      <c r="X303" s="36" t="s">
        <v>7393</v>
      </c>
    </row>
    <row r="304" spans="1:24">
      <c r="A304" s="774"/>
      <c r="B304" s="219" t="s">
        <v>8793</v>
      </c>
      <c r="C304" s="219" t="s">
        <v>8794</v>
      </c>
      <c r="D304" s="159" t="s">
        <v>8795</v>
      </c>
      <c r="E304" s="215" t="s">
        <v>1732</v>
      </c>
      <c r="F304" s="219" t="s">
        <v>8796</v>
      </c>
      <c r="G304" s="295"/>
      <c r="H304" s="219" t="s">
        <v>8797</v>
      </c>
      <c r="I304" s="285" t="s">
        <v>1736</v>
      </c>
      <c r="J304" s="286"/>
      <c r="K304" s="286"/>
      <c r="L304" s="286"/>
      <c r="M304" s="286"/>
      <c r="N304" s="295" t="s">
        <v>1737</v>
      </c>
      <c r="O304" s="295" t="s">
        <v>1737</v>
      </c>
      <c r="P304" s="295"/>
      <c r="Q304" s="302">
        <v>44806</v>
      </c>
      <c r="R304" s="219" t="s">
        <v>8798</v>
      </c>
      <c r="S304" s="295"/>
      <c r="T304" s="295"/>
      <c r="U304" s="295"/>
      <c r="V304" s="295"/>
      <c r="W304" s="302">
        <v>44806</v>
      </c>
      <c r="X304" s="36" t="s">
        <v>76</v>
      </c>
    </row>
    <row r="305" spans="1:24">
      <c r="A305" s="774"/>
      <c r="B305" s="219" t="s">
        <v>8799</v>
      </c>
      <c r="C305" s="219" t="s">
        <v>8794</v>
      </c>
      <c r="D305" s="159" t="s">
        <v>8800</v>
      </c>
      <c r="E305" s="215" t="s">
        <v>1732</v>
      </c>
      <c r="F305" s="219" t="s">
        <v>8796</v>
      </c>
      <c r="G305" s="295"/>
      <c r="H305" s="219" t="s">
        <v>8801</v>
      </c>
      <c r="I305" s="285" t="s">
        <v>1736</v>
      </c>
      <c r="J305" s="286"/>
      <c r="K305" s="286"/>
      <c r="L305" s="286"/>
      <c r="M305" s="286"/>
      <c r="N305" s="295" t="s">
        <v>1737</v>
      </c>
      <c r="O305" s="295" t="s">
        <v>1737</v>
      </c>
      <c r="P305" s="295"/>
      <c r="Q305" s="302">
        <v>44806</v>
      </c>
      <c r="R305" s="219" t="s">
        <v>8802</v>
      </c>
      <c r="S305" s="295"/>
      <c r="T305" s="295"/>
      <c r="U305" s="295"/>
      <c r="V305" s="295"/>
      <c r="W305" s="302">
        <v>44806</v>
      </c>
      <c r="X305" s="36" t="s">
        <v>7393</v>
      </c>
    </row>
    <row r="306" spans="1:24">
      <c r="A306" s="774"/>
      <c r="B306" s="219" t="s">
        <v>8803</v>
      </c>
      <c r="C306" s="219" t="s">
        <v>8804</v>
      </c>
      <c r="D306" s="159" t="s">
        <v>8805</v>
      </c>
      <c r="E306" s="215" t="s">
        <v>1732</v>
      </c>
      <c r="F306" s="219" t="s">
        <v>8806</v>
      </c>
      <c r="G306" s="295"/>
      <c r="H306" s="219" t="s">
        <v>8807</v>
      </c>
      <c r="I306" s="285" t="s">
        <v>1736</v>
      </c>
      <c r="J306" s="286"/>
      <c r="K306" s="286"/>
      <c r="L306" s="286"/>
      <c r="M306" s="286"/>
      <c r="N306" s="295" t="s">
        <v>1737</v>
      </c>
      <c r="O306" s="295" t="s">
        <v>1737</v>
      </c>
      <c r="P306" s="295"/>
      <c r="Q306" s="302">
        <v>44809</v>
      </c>
      <c r="R306" s="219" t="s">
        <v>8808</v>
      </c>
      <c r="S306" s="295"/>
      <c r="T306" s="295"/>
      <c r="U306" s="295"/>
      <c r="V306" s="295"/>
      <c r="W306" s="302">
        <v>44809</v>
      </c>
      <c r="X306" s="36" t="s">
        <v>76</v>
      </c>
    </row>
    <row r="307" spans="1:24">
      <c r="A307" s="774"/>
      <c r="B307" s="219" t="s">
        <v>8809</v>
      </c>
      <c r="C307" s="219" t="s">
        <v>8804</v>
      </c>
      <c r="D307" s="159" t="s">
        <v>8810</v>
      </c>
      <c r="E307" s="215" t="s">
        <v>1732</v>
      </c>
      <c r="F307" s="219" t="s">
        <v>8806</v>
      </c>
      <c r="G307" s="295"/>
      <c r="H307" s="219" t="s">
        <v>8811</v>
      </c>
      <c r="I307" s="285" t="s">
        <v>1736</v>
      </c>
      <c r="J307" s="286"/>
      <c r="K307" s="286"/>
      <c r="L307" s="286"/>
      <c r="M307" s="286"/>
      <c r="N307" s="295" t="s">
        <v>1737</v>
      </c>
      <c r="O307" s="295" t="s">
        <v>1737</v>
      </c>
      <c r="P307" s="295"/>
      <c r="Q307" s="302">
        <v>44806</v>
      </c>
      <c r="R307" s="219" t="s">
        <v>8812</v>
      </c>
      <c r="S307" s="295"/>
      <c r="T307" s="295"/>
      <c r="U307" s="295"/>
      <c r="V307" s="295"/>
      <c r="W307" s="302">
        <v>44806</v>
      </c>
      <c r="X307" s="36" t="s">
        <v>7393</v>
      </c>
    </row>
    <row r="308" spans="1:24">
      <c r="A308" s="774"/>
      <c r="B308" s="219" t="s">
        <v>8813</v>
      </c>
      <c r="C308" s="219" t="s">
        <v>8814</v>
      </c>
      <c r="D308" s="159" t="s">
        <v>8815</v>
      </c>
      <c r="E308" s="215" t="s">
        <v>1743</v>
      </c>
      <c r="F308" s="219" t="s">
        <v>8816</v>
      </c>
      <c r="G308" s="295"/>
      <c r="H308" s="219" t="s">
        <v>8817</v>
      </c>
      <c r="I308" s="285" t="s">
        <v>1736</v>
      </c>
      <c r="J308" s="286"/>
      <c r="K308" s="286"/>
      <c r="L308" s="286"/>
      <c r="M308" s="286"/>
      <c r="N308" s="295" t="s">
        <v>1737</v>
      </c>
      <c r="O308" s="295" t="s">
        <v>1737</v>
      </c>
      <c r="P308" s="295"/>
      <c r="Q308" s="302">
        <v>44805</v>
      </c>
      <c r="R308" s="219" t="s">
        <v>8818</v>
      </c>
      <c r="S308" s="295"/>
      <c r="T308" s="295"/>
      <c r="U308" s="295"/>
      <c r="V308" s="295"/>
      <c r="W308" s="302">
        <v>44805</v>
      </c>
      <c r="X308" s="36" t="s">
        <v>76</v>
      </c>
    </row>
    <row r="309" spans="1:24">
      <c r="A309" s="774"/>
      <c r="B309" s="219" t="s">
        <v>8819</v>
      </c>
      <c r="C309" s="219" t="s">
        <v>8820</v>
      </c>
      <c r="D309" s="159" t="s">
        <v>8821</v>
      </c>
      <c r="E309" s="215" t="s">
        <v>1732</v>
      </c>
      <c r="F309" s="219" t="s">
        <v>8822</v>
      </c>
      <c r="G309" s="295"/>
      <c r="H309" s="219" t="s">
        <v>8823</v>
      </c>
      <c r="I309" s="285" t="s">
        <v>1736</v>
      </c>
      <c r="J309" s="286"/>
      <c r="K309" s="286"/>
      <c r="L309" s="286"/>
      <c r="M309" s="286"/>
      <c r="N309" s="295" t="s">
        <v>1737</v>
      </c>
      <c r="O309" s="295" t="s">
        <v>1737</v>
      </c>
      <c r="P309" s="295"/>
      <c r="Q309" s="302">
        <v>44805</v>
      </c>
      <c r="R309" s="219" t="s">
        <v>8824</v>
      </c>
      <c r="S309" s="295"/>
      <c r="T309" s="295"/>
      <c r="U309" s="295"/>
      <c r="V309" s="295"/>
      <c r="W309" s="302">
        <v>44805</v>
      </c>
      <c r="X309" s="36" t="s">
        <v>7393</v>
      </c>
    </row>
    <row r="310" spans="1:24">
      <c r="A310" s="774"/>
      <c r="B310" s="219" t="s">
        <v>8825</v>
      </c>
      <c r="C310" s="219" t="s">
        <v>8826</v>
      </c>
      <c r="D310" s="159" t="s">
        <v>8827</v>
      </c>
      <c r="E310" s="215" t="s">
        <v>1743</v>
      </c>
      <c r="F310" s="219" t="s">
        <v>8828</v>
      </c>
      <c r="G310" s="295"/>
      <c r="H310" s="219" t="s">
        <v>8829</v>
      </c>
      <c r="I310" s="285" t="s">
        <v>1736</v>
      </c>
      <c r="J310" s="286"/>
      <c r="K310" s="286"/>
      <c r="L310" s="286"/>
      <c r="M310" s="286"/>
      <c r="N310" s="295" t="s">
        <v>1737</v>
      </c>
      <c r="O310" s="295" t="s">
        <v>1737</v>
      </c>
      <c r="P310" s="295"/>
      <c r="Q310" s="302">
        <v>44805</v>
      </c>
      <c r="R310" s="219" t="s">
        <v>8830</v>
      </c>
      <c r="S310" s="295"/>
      <c r="T310" s="295"/>
      <c r="U310" s="295"/>
      <c r="V310" s="295"/>
      <c r="W310" s="302">
        <v>44805</v>
      </c>
      <c r="X310" s="36" t="s">
        <v>76</v>
      </c>
    </row>
    <row r="311" spans="1:24">
      <c r="A311" s="774"/>
      <c r="B311" s="219" t="s">
        <v>8831</v>
      </c>
      <c r="C311" s="219" t="s">
        <v>8832</v>
      </c>
      <c r="D311" s="159" t="s">
        <v>8833</v>
      </c>
      <c r="E311" s="215" t="s">
        <v>1732</v>
      </c>
      <c r="F311" s="219" t="s">
        <v>8834</v>
      </c>
      <c r="G311" s="295"/>
      <c r="H311" s="219" t="s">
        <v>8835</v>
      </c>
      <c r="I311" s="285" t="s">
        <v>1736</v>
      </c>
      <c r="J311" s="286"/>
      <c r="K311" s="286"/>
      <c r="L311" s="286"/>
      <c r="M311" s="286"/>
      <c r="N311" s="295" t="s">
        <v>1737</v>
      </c>
      <c r="O311" s="295" t="s">
        <v>1737</v>
      </c>
      <c r="P311" s="295"/>
      <c r="Q311" s="302">
        <v>44809</v>
      </c>
      <c r="R311" s="219" t="s">
        <v>8836</v>
      </c>
      <c r="S311" s="295"/>
      <c r="T311" s="295"/>
      <c r="U311" s="295"/>
      <c r="V311" s="295"/>
      <c r="W311" s="302">
        <v>44809</v>
      </c>
      <c r="X311" s="36" t="s">
        <v>7393</v>
      </c>
    </row>
    <row r="312" spans="1:24">
      <c r="A312" s="774"/>
      <c r="B312" s="219" t="s">
        <v>8837</v>
      </c>
      <c r="C312" s="219" t="s">
        <v>8832</v>
      </c>
      <c r="D312" s="159" t="s">
        <v>8838</v>
      </c>
      <c r="E312" s="215" t="s">
        <v>1732</v>
      </c>
      <c r="F312" s="219" t="s">
        <v>8839</v>
      </c>
      <c r="G312" s="295"/>
      <c r="H312" s="219" t="s">
        <v>8840</v>
      </c>
      <c r="I312" s="285" t="s">
        <v>1736</v>
      </c>
      <c r="J312" s="286"/>
      <c r="K312" s="286"/>
      <c r="L312" s="286"/>
      <c r="M312" s="286"/>
      <c r="N312" s="295" t="s">
        <v>1737</v>
      </c>
      <c r="O312" s="295" t="s">
        <v>1737</v>
      </c>
      <c r="P312" s="295"/>
      <c r="Q312" s="302">
        <v>44810</v>
      </c>
      <c r="R312" s="219" t="s">
        <v>8841</v>
      </c>
      <c r="S312" s="295"/>
      <c r="T312" s="295"/>
      <c r="U312" s="295"/>
      <c r="V312" s="295"/>
      <c r="W312" s="302">
        <v>44810</v>
      </c>
      <c r="X312" s="36" t="s">
        <v>76</v>
      </c>
    </row>
    <row r="313" spans="1:24">
      <c r="A313" s="774"/>
      <c r="B313" s="219" t="s">
        <v>8842</v>
      </c>
      <c r="C313" s="219" t="s">
        <v>8843</v>
      </c>
      <c r="D313" s="159" t="s">
        <v>8844</v>
      </c>
      <c r="E313" s="215" t="s">
        <v>1732</v>
      </c>
      <c r="F313" s="219" t="s">
        <v>8845</v>
      </c>
      <c r="G313" s="295"/>
      <c r="H313" s="219" t="s">
        <v>8846</v>
      </c>
      <c r="I313" s="285" t="s">
        <v>1736</v>
      </c>
      <c r="J313" s="286"/>
      <c r="K313" s="286"/>
      <c r="L313" s="286"/>
      <c r="M313" s="286"/>
      <c r="N313" s="295" t="s">
        <v>1737</v>
      </c>
      <c r="O313" s="295" t="s">
        <v>1737</v>
      </c>
      <c r="P313" s="295"/>
      <c r="Q313" s="302">
        <v>44811</v>
      </c>
      <c r="R313" s="219" t="s">
        <v>8847</v>
      </c>
      <c r="S313" s="295"/>
      <c r="T313" s="295"/>
      <c r="U313" s="295"/>
      <c r="V313" s="295"/>
      <c r="W313" s="302">
        <v>44811</v>
      </c>
      <c r="X313" s="36" t="s">
        <v>7393</v>
      </c>
    </row>
    <row r="314" spans="1:24">
      <c r="A314" s="774"/>
      <c r="B314" s="219" t="s">
        <v>8848</v>
      </c>
      <c r="C314" s="219" t="s">
        <v>8843</v>
      </c>
      <c r="D314" s="159" t="s">
        <v>8849</v>
      </c>
      <c r="E314" s="215" t="s">
        <v>1743</v>
      </c>
      <c r="F314" s="219" t="s">
        <v>8850</v>
      </c>
      <c r="G314" s="295"/>
      <c r="H314" s="219" t="s">
        <v>8851</v>
      </c>
      <c r="I314" s="285" t="s">
        <v>1736</v>
      </c>
      <c r="J314" s="286"/>
      <c r="K314" s="286"/>
      <c r="L314" s="286"/>
      <c r="M314" s="286"/>
      <c r="N314" s="295" t="s">
        <v>1737</v>
      </c>
      <c r="O314" s="295" t="s">
        <v>1737</v>
      </c>
      <c r="P314" s="295"/>
      <c r="Q314" s="302">
        <v>44811</v>
      </c>
      <c r="R314" s="219" t="s">
        <v>8852</v>
      </c>
      <c r="S314" s="295"/>
      <c r="T314" s="295"/>
      <c r="U314" s="295"/>
      <c r="V314" s="295"/>
      <c r="W314" s="302">
        <v>44811</v>
      </c>
      <c r="X314" s="36" t="s">
        <v>76</v>
      </c>
    </row>
    <row r="315" spans="1:24">
      <c r="A315" s="774"/>
      <c r="B315" s="219" t="s">
        <v>8853</v>
      </c>
      <c r="C315" s="219" t="s">
        <v>8854</v>
      </c>
      <c r="D315" s="159" t="s">
        <v>8855</v>
      </c>
      <c r="E315" s="215" t="s">
        <v>1732</v>
      </c>
      <c r="F315" s="219" t="s">
        <v>8856</v>
      </c>
      <c r="G315" s="295"/>
      <c r="H315" s="219" t="s">
        <v>8857</v>
      </c>
      <c r="I315" s="285" t="s">
        <v>1736</v>
      </c>
      <c r="J315" s="286"/>
      <c r="K315" s="286"/>
      <c r="L315" s="286"/>
      <c r="M315" s="286"/>
      <c r="N315" s="295" t="s">
        <v>1737</v>
      </c>
      <c r="O315" s="295" t="s">
        <v>1737</v>
      </c>
      <c r="P315" s="295"/>
      <c r="Q315" s="302">
        <v>44812</v>
      </c>
      <c r="R315" s="219" t="s">
        <v>8858</v>
      </c>
      <c r="S315" s="295"/>
      <c r="T315" s="295"/>
      <c r="U315" s="295"/>
      <c r="V315" s="295"/>
      <c r="W315" s="302">
        <v>44812</v>
      </c>
      <c r="X315" s="36" t="s">
        <v>7393</v>
      </c>
    </row>
    <row r="316" spans="1:24">
      <c r="A316" s="774"/>
      <c r="B316" s="219" t="s">
        <v>8859</v>
      </c>
      <c r="C316" s="219" t="s">
        <v>8860</v>
      </c>
      <c r="D316" s="159" t="s">
        <v>8861</v>
      </c>
      <c r="E316" s="215" t="s">
        <v>1743</v>
      </c>
      <c r="F316" s="219" t="s">
        <v>8862</v>
      </c>
      <c r="G316" s="295"/>
      <c r="H316" s="219" t="s">
        <v>8863</v>
      </c>
      <c r="I316" s="285" t="s">
        <v>1736</v>
      </c>
      <c r="J316" s="286"/>
      <c r="K316" s="286"/>
      <c r="L316" s="286"/>
      <c r="M316" s="286"/>
      <c r="N316" s="295" t="s">
        <v>1737</v>
      </c>
      <c r="O316" s="295" t="s">
        <v>1737</v>
      </c>
      <c r="P316" s="295"/>
      <c r="Q316" s="302">
        <v>44812</v>
      </c>
      <c r="R316" s="219" t="s">
        <v>8864</v>
      </c>
      <c r="S316" s="295"/>
      <c r="T316" s="295"/>
      <c r="U316" s="295"/>
      <c r="V316" s="295"/>
      <c r="W316" s="302">
        <v>44812</v>
      </c>
      <c r="X316" s="36" t="s">
        <v>76</v>
      </c>
    </row>
    <row r="317" spans="1:24">
      <c r="A317" s="774"/>
      <c r="B317" s="219" t="s">
        <v>8865</v>
      </c>
      <c r="C317" s="219" t="s">
        <v>8866</v>
      </c>
      <c r="D317" s="159" t="s">
        <v>8867</v>
      </c>
      <c r="E317" s="215" t="s">
        <v>1732</v>
      </c>
      <c r="F317" s="219" t="s">
        <v>8868</v>
      </c>
      <c r="G317" s="295"/>
      <c r="H317" s="219" t="s">
        <v>8869</v>
      </c>
      <c r="I317" s="285" t="s">
        <v>1736</v>
      </c>
      <c r="J317" s="286"/>
      <c r="K317" s="286"/>
      <c r="L317" s="286"/>
      <c r="M317" s="286"/>
      <c r="N317" s="295" t="s">
        <v>1737</v>
      </c>
      <c r="O317" s="295" t="s">
        <v>1737</v>
      </c>
      <c r="P317" s="295"/>
      <c r="Q317" s="302">
        <v>44812</v>
      </c>
      <c r="R317" s="219" t="s">
        <v>8870</v>
      </c>
      <c r="S317" s="295"/>
      <c r="T317" s="295"/>
      <c r="U317" s="295"/>
      <c r="V317" s="295"/>
      <c r="W317" s="302">
        <v>44812</v>
      </c>
      <c r="X317" s="36" t="s">
        <v>7393</v>
      </c>
    </row>
    <row r="318" spans="1:24">
      <c r="A318" s="774"/>
      <c r="B318" s="219" t="s">
        <v>8871</v>
      </c>
      <c r="C318" s="219" t="s">
        <v>8872</v>
      </c>
      <c r="D318" s="159" t="s">
        <v>8873</v>
      </c>
      <c r="E318" s="215" t="s">
        <v>1732</v>
      </c>
      <c r="F318" s="219" t="s">
        <v>8874</v>
      </c>
      <c r="G318" s="295"/>
      <c r="H318" s="219" t="s">
        <v>8875</v>
      </c>
      <c r="I318" s="285" t="s">
        <v>1736</v>
      </c>
      <c r="J318" s="286"/>
      <c r="K318" s="286"/>
      <c r="L318" s="286"/>
      <c r="M318" s="286"/>
      <c r="N318" s="295" t="s">
        <v>1737</v>
      </c>
      <c r="O318" s="295" t="s">
        <v>1737</v>
      </c>
      <c r="P318" s="295"/>
      <c r="Q318" s="302">
        <v>44812</v>
      </c>
      <c r="R318" s="219" t="s">
        <v>8876</v>
      </c>
      <c r="S318" s="295"/>
      <c r="T318" s="295"/>
      <c r="U318" s="295"/>
      <c r="V318" s="295"/>
      <c r="W318" s="302">
        <v>44812</v>
      </c>
      <c r="X318" s="36" t="s">
        <v>76</v>
      </c>
    </row>
    <row r="319" spans="1:24">
      <c r="A319" s="773"/>
      <c r="B319" s="219" t="s">
        <v>8877</v>
      </c>
      <c r="C319" s="219" t="s">
        <v>8878</v>
      </c>
      <c r="D319" s="159" t="s">
        <v>8879</v>
      </c>
      <c r="E319" s="215" t="s">
        <v>1732</v>
      </c>
      <c r="F319" s="219" t="s">
        <v>8880</v>
      </c>
      <c r="G319" s="295"/>
      <c r="H319" s="219" t="s">
        <v>8881</v>
      </c>
      <c r="I319" s="285" t="s">
        <v>1736</v>
      </c>
      <c r="J319" s="286"/>
      <c r="K319" s="286"/>
      <c r="L319" s="286"/>
      <c r="M319" s="286"/>
      <c r="N319" s="295" t="s">
        <v>1737</v>
      </c>
      <c r="O319" s="295" t="s">
        <v>1737</v>
      </c>
      <c r="P319" s="295"/>
      <c r="Q319" s="302">
        <v>44816</v>
      </c>
      <c r="R319" s="219" t="s">
        <v>8882</v>
      </c>
      <c r="S319" s="295"/>
      <c r="T319" s="295"/>
      <c r="U319" s="295"/>
      <c r="V319" s="295"/>
      <c r="W319" s="302">
        <v>44816</v>
      </c>
      <c r="X319" s="36" t="s">
        <v>7393</v>
      </c>
    </row>
    <row r="320" spans="1:24">
      <c r="A320" s="715" t="s">
        <v>8883</v>
      </c>
      <c r="B320" s="219" t="s">
        <v>8884</v>
      </c>
      <c r="C320" s="305" t="s">
        <v>8885</v>
      </c>
      <c r="D320" s="159" t="s">
        <v>8886</v>
      </c>
      <c r="E320" s="215" t="s">
        <v>1732</v>
      </c>
      <c r="F320" s="219" t="s">
        <v>8887</v>
      </c>
      <c r="G320" s="295"/>
      <c r="H320" s="219" t="s">
        <v>8888</v>
      </c>
      <c r="I320" s="285" t="s">
        <v>1736</v>
      </c>
      <c r="J320" s="286"/>
      <c r="K320" s="286"/>
      <c r="L320" s="286"/>
      <c r="M320" s="286"/>
      <c r="N320" s="295" t="s">
        <v>1737</v>
      </c>
      <c r="O320" s="295" t="s">
        <v>1737</v>
      </c>
      <c r="P320" s="295"/>
      <c r="Q320" s="302">
        <v>44823</v>
      </c>
      <c r="R320" s="219" t="s">
        <v>8889</v>
      </c>
      <c r="S320" s="295"/>
      <c r="T320" s="295"/>
      <c r="U320" s="295"/>
      <c r="V320" s="295"/>
      <c r="W320" s="302">
        <v>44823</v>
      </c>
      <c r="X320" s="36" t="s">
        <v>76</v>
      </c>
    </row>
    <row r="321" spans="1:24">
      <c r="A321" s="774"/>
      <c r="B321" s="219" t="s">
        <v>8890</v>
      </c>
      <c r="C321" s="305" t="s">
        <v>8885</v>
      </c>
      <c r="D321" s="159" t="s">
        <v>149</v>
      </c>
      <c r="E321" s="215" t="s">
        <v>1732</v>
      </c>
      <c r="F321" s="219" t="s">
        <v>8887</v>
      </c>
      <c r="G321" s="295"/>
      <c r="H321" s="219" t="s">
        <v>8888</v>
      </c>
      <c r="I321" s="285" t="s">
        <v>1736</v>
      </c>
      <c r="J321" s="286"/>
      <c r="K321" s="286"/>
      <c r="L321" s="286"/>
      <c r="M321" s="286"/>
      <c r="N321" s="295" t="s">
        <v>1737</v>
      </c>
      <c r="O321" s="295" t="s">
        <v>1737</v>
      </c>
      <c r="P321" s="295"/>
      <c r="Q321" s="302">
        <v>44824</v>
      </c>
      <c r="R321" s="219" t="s">
        <v>8891</v>
      </c>
      <c r="S321" s="295"/>
      <c r="T321" s="295"/>
      <c r="U321" s="295"/>
      <c r="V321" s="295"/>
      <c r="W321" s="302">
        <v>44824</v>
      </c>
      <c r="X321" s="36" t="s">
        <v>7393</v>
      </c>
    </row>
    <row r="322" spans="1:24">
      <c r="A322" s="774"/>
      <c r="B322" s="219" t="s">
        <v>8892</v>
      </c>
      <c r="C322" s="305" t="s">
        <v>8893</v>
      </c>
      <c r="D322" s="159" t="s">
        <v>8886</v>
      </c>
      <c r="E322" s="215" t="s">
        <v>1732</v>
      </c>
      <c r="F322" s="219" t="s">
        <v>8894</v>
      </c>
      <c r="G322" s="295"/>
      <c r="H322" s="219" t="s">
        <v>8895</v>
      </c>
      <c r="I322" s="285" t="s">
        <v>1736</v>
      </c>
      <c r="J322" s="286"/>
      <c r="K322" s="286"/>
      <c r="L322" s="286"/>
      <c r="M322" s="286"/>
      <c r="N322" s="295" t="s">
        <v>1737</v>
      </c>
      <c r="O322" s="295" t="s">
        <v>1737</v>
      </c>
      <c r="P322" s="295"/>
      <c r="Q322" s="302">
        <v>44824</v>
      </c>
      <c r="R322" s="219" t="s">
        <v>8896</v>
      </c>
      <c r="S322" s="295"/>
      <c r="T322" s="295"/>
      <c r="U322" s="295"/>
      <c r="V322" s="295"/>
      <c r="W322" s="302">
        <v>44824</v>
      </c>
      <c r="X322" s="36" t="s">
        <v>76</v>
      </c>
    </row>
    <row r="323" spans="1:24">
      <c r="A323" s="773"/>
      <c r="B323" s="219" t="s">
        <v>8897</v>
      </c>
      <c r="C323" s="305" t="s">
        <v>8893</v>
      </c>
      <c r="D323" s="159" t="s">
        <v>149</v>
      </c>
      <c r="E323" s="215" t="s">
        <v>1732</v>
      </c>
      <c r="F323" s="219" t="s">
        <v>8894</v>
      </c>
      <c r="G323" s="295"/>
      <c r="H323" s="219" t="s">
        <v>8895</v>
      </c>
      <c r="I323" s="285" t="s">
        <v>1736</v>
      </c>
      <c r="J323" s="286"/>
      <c r="K323" s="286"/>
      <c r="L323" s="286"/>
      <c r="M323" s="286"/>
      <c r="N323" s="295" t="s">
        <v>1737</v>
      </c>
      <c r="O323" s="295" t="s">
        <v>1737</v>
      </c>
      <c r="P323" s="295"/>
      <c r="Q323" s="302">
        <v>44825</v>
      </c>
      <c r="R323" s="219" t="s">
        <v>8898</v>
      </c>
      <c r="S323" s="295"/>
      <c r="T323" s="295"/>
      <c r="U323" s="295"/>
      <c r="V323" s="295"/>
      <c r="W323" s="302">
        <v>44825</v>
      </c>
      <c r="X323" s="36" t="s">
        <v>7393</v>
      </c>
    </row>
    <row r="324" spans="1:24">
      <c r="A324" s="715" t="s">
        <v>8899</v>
      </c>
      <c r="B324" s="219" t="s">
        <v>8900</v>
      </c>
      <c r="C324" s="219" t="s">
        <v>8901</v>
      </c>
      <c r="D324" s="159" t="s">
        <v>8902</v>
      </c>
      <c r="E324" s="215" t="s">
        <v>1732</v>
      </c>
      <c r="F324" s="219" t="s">
        <v>8903</v>
      </c>
      <c r="G324" s="295"/>
      <c r="H324" s="219" t="s">
        <v>8904</v>
      </c>
      <c r="I324" s="285" t="s">
        <v>1736</v>
      </c>
      <c r="J324" s="286"/>
      <c r="K324" s="286"/>
      <c r="L324" s="286"/>
      <c r="M324" s="286"/>
      <c r="N324" s="295" t="s">
        <v>1737</v>
      </c>
      <c r="O324" s="295" t="s">
        <v>1737</v>
      </c>
      <c r="P324" s="295"/>
      <c r="Q324" s="302">
        <v>44805</v>
      </c>
      <c r="R324" s="219" t="s">
        <v>8905</v>
      </c>
      <c r="S324" s="295"/>
      <c r="T324" s="295"/>
      <c r="U324" s="295"/>
      <c r="V324" s="295"/>
      <c r="W324" s="302">
        <v>44805</v>
      </c>
      <c r="X324" s="36" t="s">
        <v>76</v>
      </c>
    </row>
    <row r="325" spans="1:24">
      <c r="A325" s="774"/>
      <c r="B325" s="219" t="s">
        <v>8906</v>
      </c>
      <c r="C325" s="219" t="s">
        <v>8907</v>
      </c>
      <c r="D325" s="159" t="s">
        <v>8908</v>
      </c>
      <c r="E325" s="215" t="s">
        <v>1732</v>
      </c>
      <c r="F325" s="219" t="s">
        <v>8909</v>
      </c>
      <c r="G325" s="295"/>
      <c r="H325" s="219" t="s">
        <v>8910</v>
      </c>
      <c r="I325" s="285" t="s">
        <v>1736</v>
      </c>
      <c r="J325" s="286"/>
      <c r="K325" s="286"/>
      <c r="L325" s="286"/>
      <c r="M325" s="286"/>
      <c r="N325" s="295" t="s">
        <v>1737</v>
      </c>
      <c r="O325" s="295" t="s">
        <v>1737</v>
      </c>
      <c r="P325" s="295"/>
      <c r="Q325" s="302">
        <v>44805</v>
      </c>
      <c r="R325" s="219" t="s">
        <v>8911</v>
      </c>
      <c r="S325" s="295"/>
      <c r="T325" s="295"/>
      <c r="U325" s="295"/>
      <c r="V325" s="295"/>
      <c r="W325" s="302">
        <v>44805</v>
      </c>
      <c r="X325" s="36" t="s">
        <v>7393</v>
      </c>
    </row>
    <row r="326" spans="1:24">
      <c r="A326" s="774"/>
      <c r="B326" s="219" t="s">
        <v>8912</v>
      </c>
      <c r="C326" s="219" t="s">
        <v>8913</v>
      </c>
      <c r="D326" s="159" t="s">
        <v>8914</v>
      </c>
      <c r="E326" s="215" t="s">
        <v>1732</v>
      </c>
      <c r="F326" s="219" t="s">
        <v>8915</v>
      </c>
      <c r="G326" s="295"/>
      <c r="H326" s="219" t="s">
        <v>8916</v>
      </c>
      <c r="I326" s="285" t="s">
        <v>1736</v>
      </c>
      <c r="J326" s="286"/>
      <c r="K326" s="286"/>
      <c r="L326" s="286"/>
      <c r="M326" s="286"/>
      <c r="N326" s="295" t="s">
        <v>1737</v>
      </c>
      <c r="O326" s="295" t="s">
        <v>1737</v>
      </c>
      <c r="P326" s="295"/>
      <c r="Q326" s="302">
        <v>44805</v>
      </c>
      <c r="R326" s="219" t="s">
        <v>8917</v>
      </c>
      <c r="S326" s="295"/>
      <c r="T326" s="295"/>
      <c r="U326" s="295"/>
      <c r="V326" s="295"/>
      <c r="W326" s="302">
        <v>44805</v>
      </c>
      <c r="X326" s="36" t="s">
        <v>76</v>
      </c>
    </row>
    <row r="327" spans="1:24">
      <c r="A327" s="774"/>
      <c r="B327" s="219" t="s">
        <v>8918</v>
      </c>
      <c r="C327" s="219" t="s">
        <v>8913</v>
      </c>
      <c r="D327" s="166" t="s">
        <v>8919</v>
      </c>
      <c r="E327" s="215" t="s">
        <v>1743</v>
      </c>
      <c r="F327" s="219" t="s">
        <v>8920</v>
      </c>
      <c r="G327" s="295"/>
      <c r="H327" s="219" t="s">
        <v>8921</v>
      </c>
      <c r="I327" s="285" t="s">
        <v>1736</v>
      </c>
      <c r="J327" s="286"/>
      <c r="K327" s="286"/>
      <c r="L327" s="286"/>
      <c r="M327" s="286"/>
      <c r="N327" s="295" t="s">
        <v>1737</v>
      </c>
      <c r="O327" s="295" t="s">
        <v>1737</v>
      </c>
      <c r="P327" s="295"/>
      <c r="Q327" s="302">
        <v>44805</v>
      </c>
      <c r="R327" s="219" t="s">
        <v>8922</v>
      </c>
      <c r="S327" s="295"/>
      <c r="T327" s="295"/>
      <c r="U327" s="295"/>
      <c r="V327" s="295"/>
      <c r="W327" s="302">
        <v>44805</v>
      </c>
      <c r="X327" s="36" t="s">
        <v>7393</v>
      </c>
    </row>
    <row r="328" spans="1:24">
      <c r="A328" s="774"/>
      <c r="B328" s="219" t="s">
        <v>8923</v>
      </c>
      <c r="C328" s="219" t="s">
        <v>8901</v>
      </c>
      <c r="D328" s="159" t="s">
        <v>8924</v>
      </c>
      <c r="E328" s="215" t="s">
        <v>1743</v>
      </c>
      <c r="F328" s="219" t="s">
        <v>8925</v>
      </c>
      <c r="G328" s="295"/>
      <c r="H328" s="219" t="s">
        <v>8926</v>
      </c>
      <c r="I328" s="285" t="s">
        <v>1736</v>
      </c>
      <c r="J328" s="286"/>
      <c r="K328" s="286"/>
      <c r="L328" s="286"/>
      <c r="M328" s="286"/>
      <c r="N328" s="295" t="s">
        <v>1737</v>
      </c>
      <c r="O328" s="295" t="s">
        <v>1737</v>
      </c>
      <c r="P328" s="295"/>
      <c r="Q328" s="302">
        <v>44806</v>
      </c>
      <c r="R328" s="219" t="s">
        <v>8927</v>
      </c>
      <c r="S328" s="295"/>
      <c r="T328" s="295"/>
      <c r="U328" s="295"/>
      <c r="V328" s="295"/>
      <c r="W328" s="302">
        <v>44806</v>
      </c>
      <c r="X328" s="36" t="s">
        <v>76</v>
      </c>
    </row>
    <row r="329" spans="1:24">
      <c r="A329" s="773"/>
      <c r="B329" s="219" t="s">
        <v>8928</v>
      </c>
      <c r="C329" s="219" t="s">
        <v>8901</v>
      </c>
      <c r="D329" s="166" t="s">
        <v>8929</v>
      </c>
      <c r="E329" s="215" t="s">
        <v>1743</v>
      </c>
      <c r="F329" s="219" t="s">
        <v>8930</v>
      </c>
      <c r="G329" s="295"/>
      <c r="H329" s="219" t="s">
        <v>8931</v>
      </c>
      <c r="I329" s="285" t="s">
        <v>1736</v>
      </c>
      <c r="J329" s="286"/>
      <c r="K329" s="286"/>
      <c r="L329" s="286"/>
      <c r="M329" s="286"/>
      <c r="N329" s="295" t="s">
        <v>1737</v>
      </c>
      <c r="O329" s="295" t="s">
        <v>1737</v>
      </c>
      <c r="P329" s="295"/>
      <c r="Q329" s="302">
        <v>44809</v>
      </c>
      <c r="R329" s="219" t="s">
        <v>8932</v>
      </c>
      <c r="S329" s="295"/>
      <c r="T329" s="295"/>
      <c r="U329" s="295"/>
      <c r="V329" s="295"/>
      <c r="W329" s="302">
        <v>44809</v>
      </c>
      <c r="X329" s="36" t="s">
        <v>7393</v>
      </c>
    </row>
    <row r="330" spans="1:24">
      <c r="A330" s="219" t="s">
        <v>8933</v>
      </c>
      <c r="B330" s="219" t="s">
        <v>8934</v>
      </c>
      <c r="C330" s="219" t="s">
        <v>8935</v>
      </c>
      <c r="D330" s="553"/>
      <c r="E330" s="215" t="s">
        <v>1732</v>
      </c>
      <c r="F330" s="219" t="s">
        <v>8936</v>
      </c>
      <c r="G330" s="295"/>
      <c r="H330" s="219" t="s">
        <v>8937</v>
      </c>
      <c r="I330" s="285" t="s">
        <v>1736</v>
      </c>
      <c r="J330" s="286"/>
      <c r="K330" s="286"/>
      <c r="L330" s="286"/>
      <c r="M330" s="286"/>
      <c r="N330" s="295" t="s">
        <v>1737</v>
      </c>
      <c r="O330" s="295" t="s">
        <v>1737</v>
      </c>
      <c r="P330" s="295"/>
      <c r="Q330" s="302">
        <v>44813</v>
      </c>
      <c r="R330" s="219" t="s">
        <v>8938</v>
      </c>
      <c r="S330" s="295"/>
      <c r="T330" s="295"/>
      <c r="U330" s="295"/>
      <c r="V330" s="295"/>
      <c r="W330" s="302">
        <v>44813</v>
      </c>
      <c r="X330" s="36" t="s">
        <v>76</v>
      </c>
    </row>
    <row r="331" spans="1:24">
      <c r="A331" s="715" t="s">
        <v>8939</v>
      </c>
      <c r="B331" s="219" t="s">
        <v>8940</v>
      </c>
      <c r="C331" s="219" t="s">
        <v>8941</v>
      </c>
      <c r="D331" s="159" t="s">
        <v>8942</v>
      </c>
      <c r="E331" s="215" t="s">
        <v>1732</v>
      </c>
      <c r="F331" s="219" t="s">
        <v>8943</v>
      </c>
      <c r="G331" s="295"/>
      <c r="H331" s="219" t="s">
        <v>8944</v>
      </c>
      <c r="I331" s="285" t="s">
        <v>1736</v>
      </c>
      <c r="J331" s="286"/>
      <c r="K331" s="286"/>
      <c r="L331" s="286"/>
      <c r="M331" s="286"/>
      <c r="N331" s="295" t="s">
        <v>1737</v>
      </c>
      <c r="O331" s="295" t="s">
        <v>1737</v>
      </c>
      <c r="P331" s="295"/>
      <c r="Q331" s="302">
        <v>44809</v>
      </c>
      <c r="R331" s="219" t="s">
        <v>8945</v>
      </c>
      <c r="S331" s="295"/>
      <c r="T331" s="295"/>
      <c r="U331" s="295"/>
      <c r="V331" s="295"/>
      <c r="W331" s="302">
        <v>44809</v>
      </c>
      <c r="X331" s="36" t="s">
        <v>7393</v>
      </c>
    </row>
    <row r="332" spans="1:24">
      <c r="A332" s="774"/>
      <c r="B332" s="219" t="s">
        <v>8946</v>
      </c>
      <c r="C332" s="219" t="s">
        <v>8947</v>
      </c>
      <c r="D332" s="159" t="s">
        <v>8948</v>
      </c>
      <c r="E332" s="215" t="s">
        <v>1743</v>
      </c>
      <c r="F332" s="219" t="s">
        <v>8949</v>
      </c>
      <c r="G332" s="295"/>
      <c r="H332" s="219" t="s">
        <v>8950</v>
      </c>
      <c r="I332" s="285" t="s">
        <v>1736</v>
      </c>
      <c r="J332" s="286"/>
      <c r="K332" s="286"/>
      <c r="L332" s="286"/>
      <c r="M332" s="286"/>
      <c r="N332" s="295" t="s">
        <v>1737</v>
      </c>
      <c r="O332" s="295" t="s">
        <v>1737</v>
      </c>
      <c r="P332" s="295"/>
      <c r="Q332" s="302">
        <v>44810</v>
      </c>
      <c r="R332" s="219" t="s">
        <v>8951</v>
      </c>
      <c r="S332" s="295"/>
      <c r="T332" s="295"/>
      <c r="U332" s="295"/>
      <c r="V332" s="295"/>
      <c r="W332" s="302">
        <v>44810</v>
      </c>
      <c r="X332" s="36" t="s">
        <v>76</v>
      </c>
    </row>
    <row r="333" spans="1:24">
      <c r="A333" s="774"/>
      <c r="B333" s="219" t="s">
        <v>8952</v>
      </c>
      <c r="C333" s="219" t="s">
        <v>8953</v>
      </c>
      <c r="D333" s="159" t="s">
        <v>8954</v>
      </c>
      <c r="E333" s="215" t="s">
        <v>1743</v>
      </c>
      <c r="F333" s="219" t="s">
        <v>8955</v>
      </c>
      <c r="G333" s="295"/>
      <c r="H333" s="219" t="s">
        <v>8956</v>
      </c>
      <c r="I333" s="285" t="s">
        <v>1736</v>
      </c>
      <c r="J333" s="286"/>
      <c r="K333" s="286"/>
      <c r="L333" s="286"/>
      <c r="M333" s="286"/>
      <c r="N333" s="295" t="s">
        <v>1737</v>
      </c>
      <c r="O333" s="295" t="s">
        <v>1737</v>
      </c>
      <c r="P333" s="295"/>
      <c r="Q333" s="302">
        <v>44810</v>
      </c>
      <c r="R333" s="219" t="s">
        <v>8957</v>
      </c>
      <c r="S333" s="295"/>
      <c r="T333" s="295"/>
      <c r="U333" s="295"/>
      <c r="V333" s="295"/>
      <c r="W333" s="302">
        <v>44810</v>
      </c>
      <c r="X333" s="36" t="s">
        <v>7393</v>
      </c>
    </row>
    <row r="334" spans="1:24">
      <c r="A334" s="774"/>
      <c r="B334" s="219" t="s">
        <v>8958</v>
      </c>
      <c r="C334" s="219" t="s">
        <v>8959</v>
      </c>
      <c r="D334" s="159" t="s">
        <v>8960</v>
      </c>
      <c r="E334" s="215" t="s">
        <v>1732</v>
      </c>
      <c r="F334" s="219" t="s">
        <v>8961</v>
      </c>
      <c r="G334" s="295"/>
      <c r="H334" s="219" t="s">
        <v>8962</v>
      </c>
      <c r="I334" s="285" t="s">
        <v>1736</v>
      </c>
      <c r="J334" s="286"/>
      <c r="K334" s="286"/>
      <c r="L334" s="286"/>
      <c r="M334" s="286"/>
      <c r="N334" s="295" t="s">
        <v>1737</v>
      </c>
      <c r="O334" s="295" t="s">
        <v>1737</v>
      </c>
      <c r="P334" s="295"/>
      <c r="Q334" s="302">
        <v>44811</v>
      </c>
      <c r="R334" s="219" t="s">
        <v>8963</v>
      </c>
      <c r="S334" s="295"/>
      <c r="T334" s="295"/>
      <c r="U334" s="295"/>
      <c r="V334" s="295"/>
      <c r="W334" s="302">
        <v>44811</v>
      </c>
      <c r="X334" s="36" t="s">
        <v>76</v>
      </c>
    </row>
    <row r="335" spans="1:24">
      <c r="A335" s="774"/>
      <c r="B335" s="219" t="s">
        <v>8964</v>
      </c>
      <c r="C335" s="219" t="s">
        <v>8965</v>
      </c>
      <c r="D335" s="159" t="s">
        <v>8966</v>
      </c>
      <c r="E335" s="215" t="s">
        <v>1743</v>
      </c>
      <c r="F335" s="219" t="s">
        <v>8967</v>
      </c>
      <c r="G335" s="295"/>
      <c r="H335" s="219" t="s">
        <v>8968</v>
      </c>
      <c r="I335" s="285" t="s">
        <v>1736</v>
      </c>
      <c r="J335" s="286"/>
      <c r="K335" s="286"/>
      <c r="L335" s="286"/>
      <c r="M335" s="286"/>
      <c r="N335" s="295" t="s">
        <v>1737</v>
      </c>
      <c r="O335" s="295" t="s">
        <v>1737</v>
      </c>
      <c r="P335" s="295"/>
      <c r="Q335" s="302">
        <v>44811</v>
      </c>
      <c r="R335" s="219" t="s">
        <v>8969</v>
      </c>
      <c r="S335" s="295"/>
      <c r="T335" s="295"/>
      <c r="U335" s="295"/>
      <c r="V335" s="295"/>
      <c r="W335" s="302">
        <v>44811</v>
      </c>
      <c r="X335" s="36" t="s">
        <v>7393</v>
      </c>
    </row>
    <row r="336" spans="1:24">
      <c r="A336" s="774"/>
      <c r="B336" s="219" t="s">
        <v>8970</v>
      </c>
      <c r="C336" s="219" t="s">
        <v>8971</v>
      </c>
      <c r="D336" s="159" t="s">
        <v>8972</v>
      </c>
      <c r="E336" s="215" t="s">
        <v>1732</v>
      </c>
      <c r="F336" s="219" t="s">
        <v>8961</v>
      </c>
      <c r="G336" s="295"/>
      <c r="H336" s="219" t="s">
        <v>8973</v>
      </c>
      <c r="I336" s="285" t="s">
        <v>1736</v>
      </c>
      <c r="J336" s="286"/>
      <c r="K336" s="286"/>
      <c r="L336" s="286"/>
      <c r="M336" s="286"/>
      <c r="N336" s="295" t="s">
        <v>1737</v>
      </c>
      <c r="O336" s="295" t="s">
        <v>1737</v>
      </c>
      <c r="P336" s="295"/>
      <c r="Q336" s="302">
        <v>44811</v>
      </c>
      <c r="R336" s="219" t="s">
        <v>8974</v>
      </c>
      <c r="S336" s="295"/>
      <c r="T336" s="295"/>
      <c r="U336" s="295"/>
      <c r="V336" s="295"/>
      <c r="W336" s="302">
        <v>44811</v>
      </c>
      <c r="X336" s="36" t="s">
        <v>76</v>
      </c>
    </row>
    <row r="337" spans="1:24">
      <c r="A337" s="773"/>
      <c r="B337" s="219" t="s">
        <v>8975</v>
      </c>
      <c r="C337" s="219" t="s">
        <v>8976</v>
      </c>
      <c r="D337" s="159" t="s">
        <v>8977</v>
      </c>
      <c r="E337" s="215" t="s">
        <v>1743</v>
      </c>
      <c r="F337" s="219" t="s">
        <v>8978</v>
      </c>
      <c r="G337" s="295"/>
      <c r="H337" s="219" t="s">
        <v>8979</v>
      </c>
      <c r="I337" s="285" t="s">
        <v>1736</v>
      </c>
      <c r="J337" s="286"/>
      <c r="K337" s="286"/>
      <c r="L337" s="286"/>
      <c r="M337" s="286"/>
      <c r="N337" s="295" t="s">
        <v>1737</v>
      </c>
      <c r="O337" s="295" t="s">
        <v>1737</v>
      </c>
      <c r="P337" s="295"/>
      <c r="Q337" s="302">
        <v>44811</v>
      </c>
      <c r="R337" s="219" t="s">
        <v>8980</v>
      </c>
      <c r="S337" s="295"/>
      <c r="T337" s="295"/>
      <c r="U337" s="295"/>
      <c r="V337" s="295"/>
      <c r="W337" s="302">
        <v>44811</v>
      </c>
      <c r="X337" s="36" t="s">
        <v>7393</v>
      </c>
    </row>
    <row r="338" spans="1:24">
      <c r="A338" s="219" t="s">
        <v>8981</v>
      </c>
      <c r="B338" s="219" t="s">
        <v>8982</v>
      </c>
      <c r="C338" s="213" t="s">
        <v>8983</v>
      </c>
      <c r="D338" s="306" t="s">
        <v>8984</v>
      </c>
      <c r="E338" s="215" t="s">
        <v>1732</v>
      </c>
      <c r="F338" s="219" t="s">
        <v>8985</v>
      </c>
      <c r="G338" s="295"/>
      <c r="H338" s="219" t="s">
        <v>8986</v>
      </c>
      <c r="I338" s="286"/>
      <c r="J338" s="285" t="s">
        <v>1736</v>
      </c>
      <c r="K338" s="286"/>
      <c r="L338" s="286"/>
      <c r="M338" s="286"/>
      <c r="N338" s="295" t="s">
        <v>1737</v>
      </c>
      <c r="O338" s="295" t="s">
        <v>1737</v>
      </c>
      <c r="P338" s="295"/>
      <c r="Q338" s="302">
        <v>44817</v>
      </c>
      <c r="R338" s="219" t="s">
        <v>8987</v>
      </c>
      <c r="S338" s="295"/>
      <c r="T338" s="295"/>
      <c r="U338" s="295"/>
      <c r="V338" s="295"/>
      <c r="W338" s="302">
        <v>44817</v>
      </c>
      <c r="X338" s="36" t="s">
        <v>76</v>
      </c>
    </row>
    <row r="339" spans="1:24">
      <c r="A339" s="716" t="s">
        <v>8988</v>
      </c>
      <c r="B339" s="219" t="s">
        <v>8989</v>
      </c>
      <c r="C339" s="213" t="s">
        <v>8990</v>
      </c>
      <c r="D339" s="307" t="s">
        <v>8991</v>
      </c>
      <c r="E339" s="215" t="s">
        <v>1732</v>
      </c>
      <c r="F339" s="219" t="s">
        <v>8992</v>
      </c>
      <c r="G339" s="295"/>
      <c r="H339" s="219" t="s">
        <v>8993</v>
      </c>
      <c r="I339" s="285" t="s">
        <v>1736</v>
      </c>
      <c r="J339" s="286"/>
      <c r="K339" s="286"/>
      <c r="L339" s="286"/>
      <c r="M339" s="286"/>
      <c r="N339" s="295" t="s">
        <v>1737</v>
      </c>
      <c r="O339" s="295" t="s">
        <v>1737</v>
      </c>
      <c r="P339" s="295"/>
      <c r="Q339" s="302">
        <v>44813</v>
      </c>
      <c r="R339" s="219" t="s">
        <v>8994</v>
      </c>
      <c r="S339" s="295"/>
      <c r="T339" s="295"/>
      <c r="U339" s="295"/>
      <c r="V339" s="295"/>
      <c r="W339" s="302">
        <v>44813</v>
      </c>
      <c r="X339" s="36" t="s">
        <v>7393</v>
      </c>
    </row>
    <row r="340" spans="1:24">
      <c r="A340" s="774"/>
      <c r="B340" s="219" t="s">
        <v>8995</v>
      </c>
      <c r="C340" s="213" t="s">
        <v>8990</v>
      </c>
      <c r="D340" s="307" t="s">
        <v>8996</v>
      </c>
      <c r="E340" s="215" t="s">
        <v>1732</v>
      </c>
      <c r="F340" s="219" t="s">
        <v>8997</v>
      </c>
      <c r="G340" s="295"/>
      <c r="H340" s="219" t="s">
        <v>8998</v>
      </c>
      <c r="I340" s="285" t="s">
        <v>1736</v>
      </c>
      <c r="J340" s="286"/>
      <c r="K340" s="286"/>
      <c r="L340" s="286"/>
      <c r="M340" s="286"/>
      <c r="N340" s="295" t="s">
        <v>1737</v>
      </c>
      <c r="O340" s="295" t="s">
        <v>1737</v>
      </c>
      <c r="P340" s="295"/>
      <c r="Q340" s="302">
        <v>44813</v>
      </c>
      <c r="R340" s="219" t="s">
        <v>8999</v>
      </c>
      <c r="S340" s="295"/>
      <c r="T340" s="295"/>
      <c r="U340" s="295"/>
      <c r="V340" s="295"/>
      <c r="W340" s="302">
        <v>44813</v>
      </c>
      <c r="X340" s="36" t="s">
        <v>76</v>
      </c>
    </row>
    <row r="341" spans="1:24">
      <c r="A341" s="774"/>
      <c r="B341" s="219" t="s">
        <v>9000</v>
      </c>
      <c r="C341" s="213" t="s">
        <v>9001</v>
      </c>
      <c r="D341" s="307" t="s">
        <v>9002</v>
      </c>
      <c r="E341" s="215" t="s">
        <v>1732</v>
      </c>
      <c r="F341" s="219" t="s">
        <v>9003</v>
      </c>
      <c r="G341" s="295"/>
      <c r="H341" s="219" t="s">
        <v>9004</v>
      </c>
      <c r="I341" s="285" t="s">
        <v>1736</v>
      </c>
      <c r="J341" s="286"/>
      <c r="K341" s="286"/>
      <c r="L341" s="286"/>
      <c r="M341" s="286"/>
      <c r="N341" s="295" t="s">
        <v>1737</v>
      </c>
      <c r="O341" s="295" t="s">
        <v>1737</v>
      </c>
      <c r="P341" s="295"/>
      <c r="Q341" s="302">
        <v>44813</v>
      </c>
      <c r="R341" s="219" t="s">
        <v>9005</v>
      </c>
      <c r="S341" s="295"/>
      <c r="T341" s="295"/>
      <c r="U341" s="295"/>
      <c r="V341" s="295"/>
      <c r="W341" s="302">
        <v>44813</v>
      </c>
      <c r="X341" s="36" t="s">
        <v>7393</v>
      </c>
    </row>
    <row r="342" spans="1:24">
      <c r="A342" s="774"/>
      <c r="B342" s="219" t="s">
        <v>9006</v>
      </c>
      <c r="C342" s="213" t="s">
        <v>9001</v>
      </c>
      <c r="D342" s="307" t="s">
        <v>9007</v>
      </c>
      <c r="E342" s="215" t="s">
        <v>1732</v>
      </c>
      <c r="F342" s="219" t="s">
        <v>9008</v>
      </c>
      <c r="G342" s="295"/>
      <c r="H342" s="219" t="s">
        <v>9009</v>
      </c>
      <c r="I342" s="285" t="s">
        <v>1736</v>
      </c>
      <c r="J342" s="286"/>
      <c r="K342" s="286"/>
      <c r="L342" s="286"/>
      <c r="M342" s="286"/>
      <c r="N342" s="295" t="s">
        <v>1737</v>
      </c>
      <c r="O342" s="295" t="s">
        <v>1737</v>
      </c>
      <c r="P342" s="295"/>
      <c r="Q342" s="302">
        <v>44816</v>
      </c>
      <c r="R342" s="219" t="s">
        <v>9010</v>
      </c>
      <c r="S342" s="295"/>
      <c r="T342" s="295"/>
      <c r="U342" s="295"/>
      <c r="V342" s="295"/>
      <c r="W342" s="302">
        <v>44816</v>
      </c>
      <c r="X342" s="36" t="s">
        <v>76</v>
      </c>
    </row>
    <row r="343" spans="1:24">
      <c r="A343" s="774"/>
      <c r="B343" s="219" t="s">
        <v>9011</v>
      </c>
      <c r="C343" s="213" t="s">
        <v>9001</v>
      </c>
      <c r="D343" s="307" t="s">
        <v>9012</v>
      </c>
      <c r="E343" s="215" t="s">
        <v>1732</v>
      </c>
      <c r="F343" s="219" t="s">
        <v>9013</v>
      </c>
      <c r="G343" s="295"/>
      <c r="H343" s="219" t="s">
        <v>9014</v>
      </c>
      <c r="I343" s="285" t="s">
        <v>1736</v>
      </c>
      <c r="J343" s="286"/>
      <c r="K343" s="286"/>
      <c r="L343" s="286"/>
      <c r="M343" s="286"/>
      <c r="N343" s="295" t="s">
        <v>1737</v>
      </c>
      <c r="O343" s="295" t="s">
        <v>1737</v>
      </c>
      <c r="P343" s="295"/>
      <c r="Q343" s="302">
        <v>44816</v>
      </c>
      <c r="R343" s="219" t="s">
        <v>9015</v>
      </c>
      <c r="S343" s="295"/>
      <c r="T343" s="295"/>
      <c r="U343" s="295"/>
      <c r="V343" s="295"/>
      <c r="W343" s="302">
        <v>44816</v>
      </c>
      <c r="X343" s="36" t="s">
        <v>7393</v>
      </c>
    </row>
    <row r="344" spans="1:24">
      <c r="A344" s="774"/>
      <c r="B344" s="219" t="s">
        <v>9016</v>
      </c>
      <c r="C344" s="213" t="s">
        <v>9001</v>
      </c>
      <c r="D344" s="307" t="s">
        <v>9017</v>
      </c>
      <c r="E344" s="215" t="s">
        <v>1732</v>
      </c>
      <c r="F344" s="219" t="s">
        <v>9018</v>
      </c>
      <c r="G344" s="295"/>
      <c r="H344" s="219" t="s">
        <v>9014</v>
      </c>
      <c r="I344" s="285" t="s">
        <v>1736</v>
      </c>
      <c r="J344" s="286"/>
      <c r="K344" s="286"/>
      <c r="L344" s="286"/>
      <c r="M344" s="286"/>
      <c r="N344" s="295" t="s">
        <v>1737</v>
      </c>
      <c r="O344" s="295" t="s">
        <v>1737</v>
      </c>
      <c r="P344" s="295"/>
      <c r="Q344" s="302">
        <v>44816</v>
      </c>
      <c r="R344" s="219" t="s">
        <v>9019</v>
      </c>
      <c r="S344" s="295"/>
      <c r="T344" s="295"/>
      <c r="U344" s="295"/>
      <c r="V344" s="295"/>
      <c r="W344" s="302">
        <v>44816</v>
      </c>
      <c r="X344" s="36" t="s">
        <v>76</v>
      </c>
    </row>
    <row r="345" spans="1:24">
      <c r="A345" s="774"/>
      <c r="B345" s="219" t="s">
        <v>9020</v>
      </c>
      <c r="C345" s="308" t="s">
        <v>8990</v>
      </c>
      <c r="D345" s="307" t="s">
        <v>9021</v>
      </c>
      <c r="E345" s="309" t="s">
        <v>1743</v>
      </c>
      <c r="F345" s="310" t="s">
        <v>9022</v>
      </c>
      <c r="G345" s="311"/>
      <c r="H345" s="310" t="s">
        <v>9023</v>
      </c>
      <c r="I345" s="304" t="s">
        <v>1736</v>
      </c>
      <c r="J345" s="286"/>
      <c r="K345" s="286"/>
      <c r="L345" s="286"/>
      <c r="M345" s="286"/>
      <c r="N345" s="295"/>
      <c r="O345" s="295"/>
      <c r="P345" s="295"/>
      <c r="R345" s="219"/>
      <c r="S345" s="295"/>
      <c r="T345" s="295"/>
      <c r="U345" s="295"/>
      <c r="V345" s="295"/>
      <c r="X345" s="36" t="s">
        <v>7393</v>
      </c>
    </row>
    <row r="346" spans="1:24">
      <c r="A346" s="774"/>
      <c r="B346" s="219" t="s">
        <v>9024</v>
      </c>
      <c r="C346" s="213" t="s">
        <v>9025</v>
      </c>
      <c r="D346" s="307" t="s">
        <v>9026</v>
      </c>
      <c r="E346" s="215" t="s">
        <v>1743</v>
      </c>
      <c r="F346" s="219" t="s">
        <v>9027</v>
      </c>
      <c r="G346" s="295"/>
      <c r="H346" s="219" t="s">
        <v>9028</v>
      </c>
      <c r="I346" s="285" t="s">
        <v>1736</v>
      </c>
      <c r="J346" s="286"/>
      <c r="K346" s="286"/>
      <c r="L346" s="286"/>
      <c r="M346" s="286"/>
      <c r="N346" s="295" t="s">
        <v>1737</v>
      </c>
      <c r="O346" s="295" t="s">
        <v>1737</v>
      </c>
      <c r="P346" s="295"/>
      <c r="Q346" s="302">
        <v>44816</v>
      </c>
      <c r="R346" s="219" t="s">
        <v>9029</v>
      </c>
      <c r="S346" s="295"/>
      <c r="T346" s="295"/>
      <c r="U346" s="295"/>
      <c r="V346" s="295"/>
      <c r="W346" s="302">
        <v>44816</v>
      </c>
      <c r="X346" s="36" t="s">
        <v>76</v>
      </c>
    </row>
    <row r="347" spans="1:24">
      <c r="A347" s="773"/>
      <c r="B347" s="219" t="s">
        <v>9030</v>
      </c>
      <c r="C347" s="213" t="s">
        <v>9031</v>
      </c>
      <c r="D347" s="307" t="s">
        <v>9032</v>
      </c>
      <c r="E347" s="215" t="s">
        <v>1743</v>
      </c>
      <c r="F347" s="219" t="s">
        <v>9033</v>
      </c>
      <c r="G347" s="295"/>
      <c r="H347" s="219" t="s">
        <v>9034</v>
      </c>
      <c r="I347" s="285" t="s">
        <v>1736</v>
      </c>
      <c r="J347" s="286"/>
      <c r="K347" s="286"/>
      <c r="L347" s="286"/>
      <c r="M347" s="286"/>
      <c r="N347" s="295" t="s">
        <v>1737</v>
      </c>
      <c r="O347" s="295" t="s">
        <v>1737</v>
      </c>
      <c r="P347" s="295"/>
      <c r="Q347" s="302">
        <v>44820</v>
      </c>
      <c r="R347" s="219" t="s">
        <v>9035</v>
      </c>
      <c r="S347" s="295"/>
      <c r="T347" s="295"/>
      <c r="U347" s="295"/>
      <c r="V347" s="295"/>
      <c r="W347" s="302">
        <v>44820</v>
      </c>
      <c r="X347" s="36" t="s">
        <v>7393</v>
      </c>
    </row>
    <row r="348" spans="1:24">
      <c r="A348" s="716" t="s">
        <v>9036</v>
      </c>
      <c r="B348" s="219" t="s">
        <v>9037</v>
      </c>
      <c r="C348" s="213" t="s">
        <v>9038</v>
      </c>
      <c r="D348" s="25" t="s">
        <v>8741</v>
      </c>
      <c r="E348" s="215" t="s">
        <v>1732</v>
      </c>
      <c r="F348" s="219" t="s">
        <v>9039</v>
      </c>
      <c r="G348" s="295"/>
      <c r="H348" s="219" t="s">
        <v>9040</v>
      </c>
      <c r="I348" s="285" t="s">
        <v>1736</v>
      </c>
      <c r="J348" s="286"/>
      <c r="K348" s="286"/>
      <c r="L348" s="285" t="s">
        <v>1736</v>
      </c>
      <c r="M348" s="286"/>
      <c r="N348" s="295" t="s">
        <v>1737</v>
      </c>
      <c r="O348" s="295" t="s">
        <v>1737</v>
      </c>
      <c r="P348" s="295"/>
      <c r="Q348" s="302">
        <v>44825</v>
      </c>
      <c r="R348" s="219" t="s">
        <v>9041</v>
      </c>
      <c r="S348" s="295"/>
      <c r="T348" s="295"/>
      <c r="U348" s="295"/>
      <c r="V348" s="295"/>
      <c r="W348" s="302">
        <v>44825</v>
      </c>
      <c r="X348" s="36" t="s">
        <v>76</v>
      </c>
    </row>
    <row r="349" spans="1:24">
      <c r="A349" s="774"/>
      <c r="B349" s="219" t="s">
        <v>9042</v>
      </c>
      <c r="C349" s="213" t="s">
        <v>9043</v>
      </c>
      <c r="D349" s="159" t="s">
        <v>9044</v>
      </c>
      <c r="E349" s="215" t="s">
        <v>1743</v>
      </c>
      <c r="F349" s="219" t="s">
        <v>9045</v>
      </c>
      <c r="G349" s="295"/>
      <c r="H349" s="219" t="s">
        <v>9046</v>
      </c>
      <c r="I349" s="285" t="s">
        <v>1736</v>
      </c>
      <c r="J349" s="286"/>
      <c r="K349" s="286"/>
      <c r="L349" s="285" t="s">
        <v>1736</v>
      </c>
      <c r="M349" s="286"/>
      <c r="N349" s="295" t="s">
        <v>1737</v>
      </c>
      <c r="O349" s="295" t="s">
        <v>1737</v>
      </c>
      <c r="P349" s="295"/>
      <c r="Q349" s="302">
        <v>44817</v>
      </c>
      <c r="R349" s="219" t="s">
        <v>9047</v>
      </c>
      <c r="S349" s="295"/>
      <c r="T349" s="295"/>
      <c r="U349" s="295"/>
      <c r="V349" s="295"/>
      <c r="W349" s="302">
        <v>44817</v>
      </c>
      <c r="X349" s="36" t="s">
        <v>7393</v>
      </c>
    </row>
    <row r="350" spans="1:24">
      <c r="A350" s="774"/>
      <c r="B350" s="219" t="s">
        <v>9048</v>
      </c>
      <c r="C350" s="213" t="s">
        <v>9038</v>
      </c>
      <c r="D350" s="159" t="s">
        <v>9049</v>
      </c>
      <c r="E350" s="215" t="s">
        <v>1732</v>
      </c>
      <c r="F350" s="219" t="s">
        <v>9050</v>
      </c>
      <c r="G350" s="295"/>
      <c r="H350" s="219" t="s">
        <v>9051</v>
      </c>
      <c r="I350" s="285" t="s">
        <v>1736</v>
      </c>
      <c r="J350" s="286"/>
      <c r="K350" s="286"/>
      <c r="L350" s="286"/>
      <c r="M350" s="286"/>
      <c r="N350" s="295" t="s">
        <v>1737</v>
      </c>
      <c r="O350" s="295" t="s">
        <v>1737</v>
      </c>
      <c r="P350" s="295"/>
      <c r="Q350" s="302">
        <v>44817</v>
      </c>
      <c r="R350" s="219" t="s">
        <v>9052</v>
      </c>
      <c r="S350" s="295"/>
      <c r="T350" s="295"/>
      <c r="U350" s="295"/>
      <c r="V350" s="295"/>
      <c r="W350" s="302">
        <v>44817</v>
      </c>
      <c r="X350" s="36" t="s">
        <v>76</v>
      </c>
    </row>
    <row r="351" spans="1:24">
      <c r="A351" s="774"/>
      <c r="B351" s="219" t="s">
        <v>9053</v>
      </c>
      <c r="C351" s="308" t="s">
        <v>9051</v>
      </c>
      <c r="D351" s="554" t="s">
        <v>9054</v>
      </c>
      <c r="E351" s="309" t="s">
        <v>1732</v>
      </c>
      <c r="F351" s="310" t="s">
        <v>9055</v>
      </c>
      <c r="G351" s="311"/>
      <c r="H351" s="310" t="s">
        <v>9056</v>
      </c>
      <c r="I351" s="304" t="s">
        <v>1736</v>
      </c>
      <c r="J351" s="286"/>
      <c r="K351" s="286"/>
      <c r="L351" s="286"/>
      <c r="M351" s="286"/>
      <c r="N351" s="295"/>
      <c r="O351" s="295"/>
      <c r="P351" s="295"/>
      <c r="Q351" s="295"/>
      <c r="R351" s="219"/>
      <c r="S351" s="295"/>
      <c r="T351" s="295"/>
      <c r="U351" s="295"/>
      <c r="V351" s="295"/>
      <c r="W351" s="295"/>
      <c r="X351" s="36" t="s">
        <v>7393</v>
      </c>
    </row>
    <row r="352" spans="1:24">
      <c r="A352" s="774"/>
      <c r="B352" s="219" t="s">
        <v>9057</v>
      </c>
      <c r="C352" s="213" t="s">
        <v>9058</v>
      </c>
      <c r="D352" s="213"/>
      <c r="E352" s="215" t="s">
        <v>1732</v>
      </c>
      <c r="F352" s="219" t="s">
        <v>9059</v>
      </c>
      <c r="G352" s="295"/>
      <c r="H352" s="219" t="s">
        <v>9060</v>
      </c>
      <c r="I352" s="285" t="s">
        <v>1736</v>
      </c>
      <c r="J352" s="286"/>
      <c r="K352" s="286"/>
      <c r="L352" s="286"/>
      <c r="M352" s="286"/>
      <c r="N352" s="296" t="s">
        <v>1737</v>
      </c>
      <c r="O352" s="296" t="s">
        <v>1737</v>
      </c>
      <c r="P352" s="295"/>
      <c r="Q352" s="302">
        <v>44818</v>
      </c>
      <c r="R352" s="219" t="s">
        <v>9061</v>
      </c>
      <c r="S352" s="295"/>
      <c r="T352" s="295"/>
      <c r="U352" s="295"/>
      <c r="V352" s="295"/>
      <c r="W352" s="302">
        <v>44818</v>
      </c>
      <c r="X352" s="36" t="s">
        <v>76</v>
      </c>
    </row>
    <row r="353" spans="1:25">
      <c r="A353" s="774"/>
      <c r="B353" s="219" t="s">
        <v>9062</v>
      </c>
      <c r="C353" s="213" t="s">
        <v>9063</v>
      </c>
      <c r="D353" s="213"/>
      <c r="E353" s="215" t="s">
        <v>1743</v>
      </c>
      <c r="F353" s="219" t="s">
        <v>9064</v>
      </c>
      <c r="G353" s="295"/>
      <c r="H353" s="219" t="s">
        <v>9065</v>
      </c>
      <c r="I353" s="285" t="s">
        <v>1736</v>
      </c>
      <c r="J353" s="286"/>
      <c r="K353" s="286"/>
      <c r="L353" s="286"/>
      <c r="M353" s="286"/>
      <c r="N353" s="296" t="s">
        <v>1737</v>
      </c>
      <c r="O353" s="296" t="s">
        <v>1737</v>
      </c>
      <c r="P353" s="295"/>
      <c r="Q353" s="302">
        <v>44818</v>
      </c>
      <c r="R353" s="219" t="s">
        <v>9066</v>
      </c>
      <c r="S353" s="295"/>
      <c r="T353" s="295"/>
      <c r="U353" s="295"/>
      <c r="V353" s="295"/>
      <c r="W353" s="302">
        <v>44818</v>
      </c>
      <c r="X353" s="36" t="s">
        <v>7393</v>
      </c>
    </row>
    <row r="354" spans="1:25">
      <c r="A354" s="773"/>
      <c r="B354" s="219" t="s">
        <v>9067</v>
      </c>
      <c r="C354" s="213" t="s">
        <v>9068</v>
      </c>
      <c r="D354" s="213"/>
      <c r="E354" s="215" t="s">
        <v>1732</v>
      </c>
      <c r="F354" s="219" t="s">
        <v>9069</v>
      </c>
      <c r="G354" s="295"/>
      <c r="H354" s="219" t="s">
        <v>9070</v>
      </c>
      <c r="I354" s="285" t="s">
        <v>1736</v>
      </c>
      <c r="J354" s="286"/>
      <c r="K354" s="286"/>
      <c r="L354" s="285" t="s">
        <v>1736</v>
      </c>
      <c r="M354" s="286"/>
      <c r="N354" s="296" t="s">
        <v>1737</v>
      </c>
      <c r="O354" s="296" t="s">
        <v>1737</v>
      </c>
      <c r="P354" s="295"/>
      <c r="Q354" s="302">
        <v>44818</v>
      </c>
      <c r="R354" s="219" t="s">
        <v>9071</v>
      </c>
      <c r="S354" s="295"/>
      <c r="T354" s="295"/>
      <c r="U354" s="295"/>
      <c r="V354" s="295"/>
      <c r="W354" s="302">
        <v>44818</v>
      </c>
      <c r="X354" s="36" t="s">
        <v>76</v>
      </c>
    </row>
    <row r="355" spans="1:25">
      <c r="A355" s="720" t="s">
        <v>9072</v>
      </c>
      <c r="B355" s="219" t="s">
        <v>9073</v>
      </c>
      <c r="C355" s="312" t="s">
        <v>9074</v>
      </c>
      <c r="D355" s="313" t="s">
        <v>9075</v>
      </c>
      <c r="E355" s="314" t="s">
        <v>1732</v>
      </c>
      <c r="F355" s="315" t="s">
        <v>9076</v>
      </c>
      <c r="G355" s="316" t="s">
        <v>9077</v>
      </c>
      <c r="H355" s="316" t="s">
        <v>9078</v>
      </c>
      <c r="I355" s="317" t="s">
        <v>1736</v>
      </c>
      <c r="J355" s="318" t="s">
        <v>4913</v>
      </c>
      <c r="K355" s="318" t="s">
        <v>4913</v>
      </c>
      <c r="L355" s="318" t="s">
        <v>4913</v>
      </c>
      <c r="M355" s="318" t="s">
        <v>4913</v>
      </c>
      <c r="N355" s="296" t="s">
        <v>1737</v>
      </c>
      <c r="O355" s="296" t="s">
        <v>1737</v>
      </c>
      <c r="P355" s="316"/>
      <c r="Q355" s="302">
        <v>44855</v>
      </c>
      <c r="R355" s="319" t="s">
        <v>9079</v>
      </c>
      <c r="S355" s="316"/>
      <c r="T355" s="316"/>
      <c r="U355" s="316"/>
      <c r="V355" s="316"/>
      <c r="W355" s="320">
        <v>44869</v>
      </c>
      <c r="X355" s="316" t="s">
        <v>7393</v>
      </c>
      <c r="Y355" s="321"/>
    </row>
    <row r="356" spans="1:25">
      <c r="A356" s="774"/>
      <c r="B356" s="219" t="s">
        <v>9080</v>
      </c>
      <c r="C356" s="312" t="s">
        <v>9074</v>
      </c>
      <c r="D356" s="313" t="s">
        <v>9081</v>
      </c>
      <c r="E356" s="314" t="s">
        <v>1732</v>
      </c>
      <c r="F356" s="315" t="s">
        <v>9082</v>
      </c>
      <c r="G356" s="316" t="s">
        <v>9083</v>
      </c>
      <c r="H356" s="316" t="s">
        <v>9084</v>
      </c>
      <c r="I356" s="317" t="s">
        <v>1736</v>
      </c>
      <c r="J356" s="318" t="s">
        <v>4913</v>
      </c>
      <c r="K356" s="318" t="s">
        <v>4913</v>
      </c>
      <c r="L356" s="318" t="s">
        <v>4913</v>
      </c>
      <c r="M356" s="318" t="s">
        <v>4913</v>
      </c>
      <c r="N356" s="296" t="s">
        <v>1737</v>
      </c>
      <c r="O356" s="296" t="s">
        <v>1737</v>
      </c>
      <c r="P356" s="316"/>
      <c r="Q356" s="302">
        <v>44855</v>
      </c>
      <c r="R356" s="319" t="s">
        <v>9085</v>
      </c>
      <c r="S356" s="316"/>
      <c r="T356" s="316"/>
      <c r="U356" s="316"/>
      <c r="V356" s="316"/>
      <c r="W356" s="322">
        <v>44868</v>
      </c>
      <c r="X356" s="323" t="s">
        <v>7393</v>
      </c>
      <c r="Y356" s="321"/>
    </row>
    <row r="357" spans="1:25">
      <c r="A357" s="774"/>
      <c r="B357" s="219" t="s">
        <v>9086</v>
      </c>
      <c r="C357" s="312" t="s">
        <v>9074</v>
      </c>
      <c r="D357" s="313" t="s">
        <v>9087</v>
      </c>
      <c r="E357" s="314" t="s">
        <v>1743</v>
      </c>
      <c r="F357" s="315" t="s">
        <v>9088</v>
      </c>
      <c r="G357" s="316" t="s">
        <v>9089</v>
      </c>
      <c r="H357" s="312" t="s">
        <v>9090</v>
      </c>
      <c r="I357" s="317" t="s">
        <v>1736</v>
      </c>
      <c r="J357" s="318" t="s">
        <v>4913</v>
      </c>
      <c r="K357" s="318" t="s">
        <v>4913</v>
      </c>
      <c r="L357" s="318" t="s">
        <v>4913</v>
      </c>
      <c r="M357" s="318" t="s">
        <v>4913</v>
      </c>
      <c r="N357" s="296" t="s">
        <v>1737</v>
      </c>
      <c r="O357" s="296" t="s">
        <v>1737</v>
      </c>
      <c r="P357" s="316"/>
      <c r="Q357" s="302">
        <v>44855</v>
      </c>
      <c r="R357" s="319" t="s">
        <v>9091</v>
      </c>
      <c r="S357" s="316"/>
      <c r="T357" s="316"/>
      <c r="U357" s="316"/>
      <c r="V357" s="316"/>
      <c r="W357" s="322">
        <v>44868</v>
      </c>
      <c r="X357" s="323" t="s">
        <v>76</v>
      </c>
      <c r="Y357" s="321"/>
    </row>
    <row r="358" spans="1:25">
      <c r="A358" s="774"/>
      <c r="B358" s="219" t="s">
        <v>9092</v>
      </c>
      <c r="C358" s="312" t="s">
        <v>9074</v>
      </c>
      <c r="D358" s="313" t="s">
        <v>9093</v>
      </c>
      <c r="E358" s="314" t="s">
        <v>1743</v>
      </c>
      <c r="F358" s="315" t="s">
        <v>9088</v>
      </c>
      <c r="G358" s="316" t="s">
        <v>9094</v>
      </c>
      <c r="H358" s="316" t="s">
        <v>9095</v>
      </c>
      <c r="I358" s="317" t="s">
        <v>1736</v>
      </c>
      <c r="J358" s="318" t="s">
        <v>4913</v>
      </c>
      <c r="K358" s="318" t="s">
        <v>4913</v>
      </c>
      <c r="L358" s="318" t="s">
        <v>4913</v>
      </c>
      <c r="M358" s="318" t="s">
        <v>4913</v>
      </c>
      <c r="N358" s="296" t="s">
        <v>1737</v>
      </c>
      <c r="O358" s="296" t="s">
        <v>1737</v>
      </c>
      <c r="P358" s="316"/>
      <c r="Q358" s="302">
        <v>44855</v>
      </c>
      <c r="R358" s="319" t="s">
        <v>9091</v>
      </c>
      <c r="S358" s="316"/>
      <c r="T358" s="316"/>
      <c r="U358" s="316"/>
      <c r="V358" s="316"/>
      <c r="W358" s="322">
        <v>44868</v>
      </c>
      <c r="X358" s="323" t="s">
        <v>7393</v>
      </c>
      <c r="Y358" s="321"/>
    </row>
    <row r="359" spans="1:25">
      <c r="A359" s="774"/>
      <c r="B359" s="219" t="s">
        <v>9096</v>
      </c>
      <c r="C359" s="312" t="s">
        <v>9074</v>
      </c>
      <c r="D359" s="312" t="s">
        <v>9097</v>
      </c>
      <c r="E359" s="314" t="s">
        <v>1743</v>
      </c>
      <c r="F359" s="315" t="s">
        <v>9088</v>
      </c>
      <c r="G359" s="316" t="s">
        <v>9098</v>
      </c>
      <c r="H359" s="316" t="s">
        <v>9095</v>
      </c>
      <c r="I359" s="317" t="s">
        <v>1736</v>
      </c>
      <c r="J359" s="318" t="s">
        <v>4913</v>
      </c>
      <c r="K359" s="318" t="s">
        <v>4913</v>
      </c>
      <c r="L359" s="318" t="s">
        <v>4913</v>
      </c>
      <c r="M359" s="318" t="s">
        <v>4913</v>
      </c>
      <c r="N359" s="296" t="s">
        <v>1737</v>
      </c>
      <c r="O359" s="296" t="s">
        <v>1737</v>
      </c>
      <c r="P359" s="316"/>
      <c r="Q359" s="302">
        <v>44855</v>
      </c>
      <c r="R359" s="319" t="s">
        <v>9091</v>
      </c>
      <c r="S359" s="316"/>
      <c r="T359" s="316"/>
      <c r="U359" s="316"/>
      <c r="V359" s="316"/>
      <c r="W359" s="322">
        <v>44868</v>
      </c>
      <c r="X359" s="323" t="s">
        <v>76</v>
      </c>
      <c r="Y359" s="321"/>
    </row>
    <row r="360" spans="1:25">
      <c r="A360" s="774"/>
      <c r="B360" s="219" t="s">
        <v>9099</v>
      </c>
      <c r="C360" s="312" t="s">
        <v>9074</v>
      </c>
      <c r="D360" s="312" t="s">
        <v>9100</v>
      </c>
      <c r="E360" s="314" t="s">
        <v>1743</v>
      </c>
      <c r="F360" s="315" t="s">
        <v>9088</v>
      </c>
      <c r="G360" s="316" t="s">
        <v>9101</v>
      </c>
      <c r="H360" s="316" t="s">
        <v>9095</v>
      </c>
      <c r="I360" s="317" t="s">
        <v>1736</v>
      </c>
      <c r="J360" s="318" t="s">
        <v>4913</v>
      </c>
      <c r="K360" s="318" t="s">
        <v>4913</v>
      </c>
      <c r="L360" s="318" t="s">
        <v>4913</v>
      </c>
      <c r="M360" s="318" t="s">
        <v>4913</v>
      </c>
      <c r="N360" s="296" t="s">
        <v>1737</v>
      </c>
      <c r="O360" s="296" t="s">
        <v>1737</v>
      </c>
      <c r="P360" s="316"/>
      <c r="Q360" s="302">
        <v>44855</v>
      </c>
      <c r="R360" s="319" t="s">
        <v>9091</v>
      </c>
      <c r="S360" s="316"/>
      <c r="T360" s="316"/>
      <c r="U360" s="316"/>
      <c r="V360" s="316"/>
      <c r="W360" s="322">
        <v>44868</v>
      </c>
      <c r="X360" s="323" t="s">
        <v>7393</v>
      </c>
      <c r="Y360" s="321"/>
    </row>
    <row r="361" spans="1:25">
      <c r="A361" s="774"/>
      <c r="B361" s="219" t="s">
        <v>9102</v>
      </c>
      <c r="C361" s="312" t="s">
        <v>9074</v>
      </c>
      <c r="D361" s="315" t="s">
        <v>9103</v>
      </c>
      <c r="E361" s="314" t="s">
        <v>1743</v>
      </c>
      <c r="F361" s="315" t="s">
        <v>9088</v>
      </c>
      <c r="G361" s="316" t="s">
        <v>9104</v>
      </c>
      <c r="H361" s="316" t="s">
        <v>9105</v>
      </c>
      <c r="I361" s="317" t="s">
        <v>1736</v>
      </c>
      <c r="J361" s="318" t="s">
        <v>4913</v>
      </c>
      <c r="K361" s="318" t="s">
        <v>4913</v>
      </c>
      <c r="L361" s="318" t="s">
        <v>4913</v>
      </c>
      <c r="M361" s="318" t="s">
        <v>4913</v>
      </c>
      <c r="N361" s="296" t="s">
        <v>1737</v>
      </c>
      <c r="O361" s="296" t="s">
        <v>1737</v>
      </c>
      <c r="P361" s="316"/>
      <c r="Q361" s="302">
        <v>44855</v>
      </c>
      <c r="R361" s="319" t="s">
        <v>9091</v>
      </c>
      <c r="S361" s="316"/>
      <c r="T361" s="316"/>
      <c r="U361" s="316"/>
      <c r="V361" s="316"/>
      <c r="W361" s="322">
        <v>44868</v>
      </c>
      <c r="X361" s="323" t="s">
        <v>76</v>
      </c>
      <c r="Y361" s="321"/>
    </row>
    <row r="362" spans="1:25">
      <c r="A362" s="774"/>
      <c r="B362" s="219" t="s">
        <v>9106</v>
      </c>
      <c r="C362" s="312" t="s">
        <v>9107</v>
      </c>
      <c r="D362" s="313" t="s">
        <v>9108</v>
      </c>
      <c r="E362" s="314" t="s">
        <v>1732</v>
      </c>
      <c r="F362" s="315" t="s">
        <v>9109</v>
      </c>
      <c r="G362" s="316" t="s">
        <v>9110</v>
      </c>
      <c r="H362" s="316" t="s">
        <v>9111</v>
      </c>
      <c r="I362" s="317" t="s">
        <v>1736</v>
      </c>
      <c r="J362" s="318" t="s">
        <v>4913</v>
      </c>
      <c r="K362" s="318" t="s">
        <v>4913</v>
      </c>
      <c r="L362" s="318" t="s">
        <v>4913</v>
      </c>
      <c r="M362" s="318" t="s">
        <v>4913</v>
      </c>
      <c r="N362" s="316" t="s">
        <v>1737</v>
      </c>
      <c r="O362" s="316" t="s">
        <v>1737</v>
      </c>
      <c r="P362" s="316"/>
      <c r="Q362" s="302">
        <v>44858</v>
      </c>
      <c r="R362" s="324" t="s">
        <v>9112</v>
      </c>
      <c r="S362" s="316"/>
      <c r="T362" s="316"/>
      <c r="U362" s="316"/>
      <c r="V362" s="316"/>
      <c r="W362" s="322">
        <v>44868</v>
      </c>
      <c r="X362" s="323" t="s">
        <v>7393</v>
      </c>
      <c r="Y362" s="321"/>
    </row>
    <row r="363" spans="1:25">
      <c r="A363" s="774"/>
      <c r="B363" s="219" t="s">
        <v>9113</v>
      </c>
      <c r="C363" s="312" t="s">
        <v>9107</v>
      </c>
      <c r="D363" s="313" t="s">
        <v>9114</v>
      </c>
      <c r="E363" s="314" t="s">
        <v>1732</v>
      </c>
      <c r="F363" s="315" t="s">
        <v>9115</v>
      </c>
      <c r="G363" s="316" t="s">
        <v>9116</v>
      </c>
      <c r="H363" s="316" t="s">
        <v>9117</v>
      </c>
      <c r="I363" s="317" t="s">
        <v>1736</v>
      </c>
      <c r="J363" s="317" t="s">
        <v>1736</v>
      </c>
      <c r="K363" s="318" t="s">
        <v>4913</v>
      </c>
      <c r="L363" s="318" t="s">
        <v>4913</v>
      </c>
      <c r="M363" s="318" t="s">
        <v>4913</v>
      </c>
      <c r="N363" s="316" t="s">
        <v>1737</v>
      </c>
      <c r="O363" s="316" t="s">
        <v>1737</v>
      </c>
      <c r="P363" s="316"/>
      <c r="Q363" s="302">
        <v>44858</v>
      </c>
      <c r="R363" s="324" t="s">
        <v>9118</v>
      </c>
      <c r="S363" s="316"/>
      <c r="T363" s="316"/>
      <c r="U363" s="316"/>
      <c r="V363" s="316"/>
      <c r="W363" s="316"/>
      <c r="X363" s="323"/>
      <c r="Y363" s="321"/>
    </row>
    <row r="364" spans="1:25">
      <c r="A364" s="774"/>
      <c r="B364" s="219" t="s">
        <v>9119</v>
      </c>
      <c r="C364" s="312" t="s">
        <v>9107</v>
      </c>
      <c r="D364" s="313" t="s">
        <v>9120</v>
      </c>
      <c r="E364" s="314" t="s">
        <v>1732</v>
      </c>
      <c r="F364" s="315" t="s">
        <v>9121</v>
      </c>
      <c r="G364" s="316" t="s">
        <v>9122</v>
      </c>
      <c r="H364" s="316" t="s">
        <v>9123</v>
      </c>
      <c r="I364" s="317" t="s">
        <v>1736</v>
      </c>
      <c r="J364" s="317" t="s">
        <v>1736</v>
      </c>
      <c r="K364" s="318" t="s">
        <v>4913</v>
      </c>
      <c r="L364" s="318" t="s">
        <v>4913</v>
      </c>
      <c r="M364" s="318" t="s">
        <v>4913</v>
      </c>
      <c r="N364" s="316" t="s">
        <v>1737</v>
      </c>
      <c r="O364" s="316" t="s">
        <v>1737</v>
      </c>
      <c r="P364" s="316"/>
      <c r="Q364" s="302">
        <v>44859</v>
      </c>
      <c r="R364" s="324" t="s">
        <v>9124</v>
      </c>
      <c r="S364" s="316"/>
      <c r="T364" s="316"/>
      <c r="U364" s="316"/>
      <c r="V364" s="316"/>
      <c r="W364" s="316"/>
      <c r="X364" s="316"/>
      <c r="Y364" s="321"/>
    </row>
    <row r="365" spans="1:25">
      <c r="A365" s="774"/>
      <c r="B365" s="219" t="s">
        <v>9125</v>
      </c>
      <c r="C365" s="312" t="s">
        <v>9107</v>
      </c>
      <c r="D365" s="313" t="s">
        <v>9126</v>
      </c>
      <c r="E365" s="314" t="s">
        <v>1732</v>
      </c>
      <c r="F365" s="315" t="s">
        <v>9121</v>
      </c>
      <c r="G365" s="316" t="s">
        <v>9094</v>
      </c>
      <c r="H365" s="316" t="s">
        <v>9127</v>
      </c>
      <c r="I365" s="317" t="s">
        <v>1736</v>
      </c>
      <c r="J365" s="317" t="s">
        <v>1736</v>
      </c>
      <c r="K365" s="318" t="s">
        <v>4913</v>
      </c>
      <c r="L365" s="318" t="s">
        <v>4913</v>
      </c>
      <c r="M365" s="318" t="s">
        <v>4913</v>
      </c>
      <c r="N365" s="316" t="s">
        <v>1737</v>
      </c>
      <c r="O365" s="316" t="s">
        <v>1737</v>
      </c>
      <c r="P365" s="316"/>
      <c r="Q365" s="302">
        <v>44859</v>
      </c>
      <c r="R365" s="324" t="s">
        <v>9128</v>
      </c>
      <c r="S365" s="316"/>
      <c r="T365" s="316"/>
      <c r="U365" s="316"/>
      <c r="V365" s="316"/>
      <c r="W365" s="322">
        <v>44868</v>
      </c>
      <c r="X365" s="323" t="s">
        <v>7393</v>
      </c>
      <c r="Y365" s="321"/>
    </row>
    <row r="366" spans="1:25">
      <c r="A366" s="774"/>
      <c r="B366" s="219" t="s">
        <v>9129</v>
      </c>
      <c r="C366" s="312" t="s">
        <v>9107</v>
      </c>
      <c r="D366" s="313" t="s">
        <v>9130</v>
      </c>
      <c r="E366" s="314" t="s">
        <v>1732</v>
      </c>
      <c r="F366" s="315" t="s">
        <v>9131</v>
      </c>
      <c r="G366" s="316" t="s">
        <v>9132</v>
      </c>
      <c r="H366" s="316" t="s">
        <v>9133</v>
      </c>
      <c r="I366" s="317" t="s">
        <v>1736</v>
      </c>
      <c r="J366" s="317" t="s">
        <v>1736</v>
      </c>
      <c r="K366" s="318" t="s">
        <v>4913</v>
      </c>
      <c r="L366" s="318" t="s">
        <v>4913</v>
      </c>
      <c r="M366" s="318" t="s">
        <v>4913</v>
      </c>
      <c r="N366" s="316" t="s">
        <v>1737</v>
      </c>
      <c r="O366" s="316" t="s">
        <v>1737</v>
      </c>
      <c r="P366" s="316"/>
      <c r="Q366" s="302">
        <v>44859</v>
      </c>
      <c r="R366" s="324" t="s">
        <v>9134</v>
      </c>
      <c r="S366" s="316"/>
      <c r="T366" s="316"/>
      <c r="U366" s="316"/>
      <c r="V366" s="316"/>
      <c r="W366" s="320">
        <v>44874</v>
      </c>
      <c r="X366" s="323" t="s">
        <v>7393</v>
      </c>
      <c r="Y366" s="321"/>
    </row>
    <row r="367" spans="1:25">
      <c r="A367" s="774"/>
      <c r="B367" s="219" t="s">
        <v>9135</v>
      </c>
      <c r="C367" s="312" t="s">
        <v>9107</v>
      </c>
      <c r="D367" s="313" t="s">
        <v>9136</v>
      </c>
      <c r="E367" s="314" t="s">
        <v>1732</v>
      </c>
      <c r="F367" s="315" t="s">
        <v>9137</v>
      </c>
      <c r="G367" s="316" t="s">
        <v>9138</v>
      </c>
      <c r="H367" s="316" t="s">
        <v>9139</v>
      </c>
      <c r="I367" s="317" t="s">
        <v>1736</v>
      </c>
      <c r="J367" s="317" t="s">
        <v>1736</v>
      </c>
      <c r="K367" s="318" t="s">
        <v>4913</v>
      </c>
      <c r="L367" s="318" t="s">
        <v>4913</v>
      </c>
      <c r="M367" s="318" t="s">
        <v>4913</v>
      </c>
      <c r="N367" s="316" t="s">
        <v>1737</v>
      </c>
      <c r="O367" s="316" t="s">
        <v>1737</v>
      </c>
      <c r="P367" s="316"/>
      <c r="Q367" s="302">
        <v>44859</v>
      </c>
      <c r="R367" s="324" t="s">
        <v>9140</v>
      </c>
      <c r="S367" s="316"/>
      <c r="T367" s="316"/>
      <c r="U367" s="316"/>
      <c r="V367" s="316"/>
      <c r="W367" s="322">
        <v>44868</v>
      </c>
      <c r="X367" s="323" t="s">
        <v>76</v>
      </c>
      <c r="Y367" s="321"/>
    </row>
    <row r="368" spans="1:25">
      <c r="A368" s="774"/>
      <c r="B368" s="219" t="s">
        <v>9141</v>
      </c>
      <c r="C368" s="312" t="s">
        <v>9107</v>
      </c>
      <c r="D368" s="313" t="s">
        <v>9142</v>
      </c>
      <c r="E368" s="314" t="s">
        <v>1732</v>
      </c>
      <c r="F368" s="315" t="s">
        <v>9143</v>
      </c>
      <c r="G368" s="316" t="s">
        <v>9144</v>
      </c>
      <c r="H368" s="316" t="s">
        <v>9145</v>
      </c>
      <c r="I368" s="317" t="s">
        <v>1736</v>
      </c>
      <c r="J368" s="317" t="s">
        <v>1736</v>
      </c>
      <c r="K368" s="318" t="s">
        <v>4913</v>
      </c>
      <c r="L368" s="318" t="s">
        <v>4913</v>
      </c>
      <c r="M368" s="318" t="s">
        <v>4913</v>
      </c>
      <c r="N368" s="316" t="s">
        <v>1737</v>
      </c>
      <c r="O368" s="316" t="s">
        <v>1737</v>
      </c>
      <c r="P368" s="316"/>
      <c r="Q368" s="302">
        <v>44859</v>
      </c>
      <c r="R368" s="324" t="s">
        <v>9146</v>
      </c>
      <c r="S368" s="316"/>
      <c r="T368" s="316"/>
      <c r="U368" s="316"/>
      <c r="V368" s="316"/>
      <c r="W368" s="320">
        <v>44869</v>
      </c>
      <c r="X368" s="316" t="s">
        <v>76</v>
      </c>
      <c r="Y368" s="321"/>
    </row>
    <row r="369" spans="1:25">
      <c r="A369" s="774"/>
      <c r="B369" s="219" t="s">
        <v>9147</v>
      </c>
      <c r="C369" s="315" t="s">
        <v>9148</v>
      </c>
      <c r="D369" s="313" t="s">
        <v>9149</v>
      </c>
      <c r="E369" s="314" t="s">
        <v>1732</v>
      </c>
      <c r="F369" s="315" t="s">
        <v>9150</v>
      </c>
      <c r="G369" s="316" t="s">
        <v>9151</v>
      </c>
      <c r="H369" s="316" t="s">
        <v>9152</v>
      </c>
      <c r="I369" s="317" t="s">
        <v>1736</v>
      </c>
      <c r="J369" s="318" t="s">
        <v>4913</v>
      </c>
      <c r="K369" s="318" t="s">
        <v>4913</v>
      </c>
      <c r="L369" s="318" t="s">
        <v>4913</v>
      </c>
      <c r="M369" s="318" t="s">
        <v>4913</v>
      </c>
      <c r="N369" s="316" t="s">
        <v>1737</v>
      </c>
      <c r="O369" s="316" t="s">
        <v>1737</v>
      </c>
      <c r="P369" s="316"/>
      <c r="Q369" s="302">
        <v>44860</v>
      </c>
      <c r="R369" s="324" t="s">
        <v>9153</v>
      </c>
      <c r="S369" s="316"/>
      <c r="T369" s="316"/>
      <c r="U369" s="316"/>
      <c r="V369" s="316"/>
      <c r="W369" s="322">
        <v>44868</v>
      </c>
      <c r="X369" s="323" t="s">
        <v>7393</v>
      </c>
      <c r="Y369" s="321"/>
    </row>
    <row r="370" spans="1:25">
      <c r="A370" s="774"/>
      <c r="B370" s="219" t="s">
        <v>9154</v>
      </c>
      <c r="C370" s="315" t="s">
        <v>9148</v>
      </c>
      <c r="D370" s="313" t="s">
        <v>9155</v>
      </c>
      <c r="E370" s="314" t="s">
        <v>1743</v>
      </c>
      <c r="F370" s="315" t="s">
        <v>9115</v>
      </c>
      <c r="G370" s="316" t="s">
        <v>9156</v>
      </c>
      <c r="H370" s="316" t="s">
        <v>9157</v>
      </c>
      <c r="I370" s="317" t="s">
        <v>1736</v>
      </c>
      <c r="J370" s="318" t="s">
        <v>4913</v>
      </c>
      <c r="K370" s="318" t="s">
        <v>4913</v>
      </c>
      <c r="L370" s="318" t="s">
        <v>4913</v>
      </c>
      <c r="M370" s="318" t="s">
        <v>4913</v>
      </c>
      <c r="N370" s="316" t="s">
        <v>1737</v>
      </c>
      <c r="O370" s="316" t="s">
        <v>1737</v>
      </c>
      <c r="P370" s="316"/>
      <c r="Q370" s="302">
        <v>44860</v>
      </c>
      <c r="R370" s="324" t="s">
        <v>9158</v>
      </c>
      <c r="S370" s="316"/>
      <c r="T370" s="316"/>
      <c r="U370" s="316"/>
      <c r="V370" s="316"/>
      <c r="W370" s="322">
        <v>44868</v>
      </c>
      <c r="X370" s="323" t="s">
        <v>76</v>
      </c>
      <c r="Y370" s="321"/>
    </row>
    <row r="371" spans="1:25">
      <c r="A371" s="773"/>
      <c r="B371" s="219" t="s">
        <v>9159</v>
      </c>
      <c r="C371" s="315" t="s">
        <v>9160</v>
      </c>
      <c r="D371" s="83" t="s">
        <v>9161</v>
      </c>
      <c r="E371" s="314" t="s">
        <v>1743</v>
      </c>
      <c r="F371" s="316" t="s">
        <v>9162</v>
      </c>
      <c r="G371" s="316" t="s">
        <v>9163</v>
      </c>
      <c r="H371" s="316" t="s">
        <v>9164</v>
      </c>
      <c r="I371" s="317" t="s">
        <v>1736</v>
      </c>
      <c r="J371" s="318" t="s">
        <v>4913</v>
      </c>
      <c r="K371" s="318" t="s">
        <v>4913</v>
      </c>
      <c r="L371" s="318" t="s">
        <v>4913</v>
      </c>
      <c r="M371" s="318" t="s">
        <v>4913</v>
      </c>
      <c r="N371" s="316" t="s">
        <v>1737</v>
      </c>
      <c r="O371" s="316" t="s">
        <v>1737</v>
      </c>
      <c r="P371" s="316"/>
      <c r="Q371" s="302">
        <v>44861</v>
      </c>
      <c r="R371" s="324" t="s">
        <v>9165</v>
      </c>
      <c r="S371" s="316"/>
      <c r="T371" s="316"/>
      <c r="U371" s="316"/>
      <c r="V371" s="316"/>
      <c r="W371" s="322">
        <v>44868</v>
      </c>
      <c r="X371" s="323" t="s">
        <v>7393</v>
      </c>
      <c r="Y371" s="321"/>
    </row>
    <row r="372" spans="1:25">
      <c r="D372" s="325"/>
      <c r="E372" s="281"/>
      <c r="I372" s="281"/>
      <c r="J372" s="281"/>
      <c r="K372" s="281"/>
      <c r="L372" s="281"/>
      <c r="M372" s="281"/>
      <c r="X372" s="326"/>
    </row>
    <row r="373" spans="1:25">
      <c r="D373" s="325"/>
      <c r="E373" s="281"/>
      <c r="I373" s="281"/>
      <c r="J373" s="281"/>
      <c r="K373" s="281"/>
      <c r="L373" s="281"/>
      <c r="M373" s="281"/>
    </row>
    <row r="374" spans="1:25">
      <c r="D374" s="325"/>
      <c r="E374" s="281"/>
      <c r="I374" s="281"/>
      <c r="J374" s="281"/>
      <c r="K374" s="281"/>
      <c r="L374" s="281"/>
      <c r="M374" s="281"/>
    </row>
    <row r="375" spans="1:25">
      <c r="D375" s="325"/>
      <c r="E375" s="281"/>
      <c r="I375" s="281"/>
      <c r="J375" s="281"/>
      <c r="K375" s="281"/>
      <c r="L375" s="281"/>
      <c r="M375" s="281"/>
    </row>
    <row r="376" spans="1:25">
      <c r="D376" s="325"/>
      <c r="E376" s="281"/>
      <c r="I376" s="281"/>
      <c r="J376" s="281"/>
      <c r="K376" s="281"/>
      <c r="L376" s="281"/>
      <c r="M376" s="281"/>
    </row>
    <row r="377" spans="1:25">
      <c r="D377" s="325"/>
      <c r="E377" s="281"/>
      <c r="I377" s="281"/>
      <c r="J377" s="281"/>
      <c r="K377" s="281"/>
      <c r="L377" s="281"/>
      <c r="M377" s="281"/>
    </row>
    <row r="378" spans="1:25">
      <c r="D378" s="325"/>
      <c r="E378" s="281"/>
      <c r="I378" s="281"/>
      <c r="J378" s="281"/>
      <c r="K378" s="281"/>
      <c r="L378" s="281"/>
      <c r="M378" s="281"/>
    </row>
    <row r="379" spans="1:25">
      <c r="D379" s="325"/>
      <c r="E379" s="281"/>
      <c r="I379" s="281"/>
      <c r="J379" s="281"/>
      <c r="K379" s="281"/>
      <c r="L379" s="281"/>
      <c r="M379" s="281"/>
    </row>
    <row r="380" spans="1:25">
      <c r="D380" s="325"/>
      <c r="E380" s="281"/>
      <c r="I380" s="281"/>
      <c r="J380" s="281"/>
      <c r="K380" s="281"/>
      <c r="L380" s="281"/>
      <c r="M380" s="281"/>
    </row>
    <row r="381" spans="1:25">
      <c r="D381" s="325"/>
      <c r="E381" s="281"/>
      <c r="I381" s="281"/>
      <c r="J381" s="281"/>
      <c r="K381" s="281"/>
      <c r="L381" s="281"/>
      <c r="M381" s="281"/>
    </row>
    <row r="382" spans="1:25">
      <c r="D382" s="325"/>
      <c r="E382" s="281"/>
      <c r="I382" s="281"/>
      <c r="J382" s="281"/>
      <c r="K382" s="281"/>
      <c r="L382" s="281"/>
      <c r="M382" s="281"/>
    </row>
    <row r="383" spans="1:25">
      <c r="D383" s="325"/>
      <c r="E383" s="281"/>
      <c r="I383" s="281"/>
      <c r="J383" s="281"/>
      <c r="K383" s="281"/>
      <c r="L383" s="281"/>
      <c r="M383" s="281"/>
    </row>
    <row r="384" spans="1:25">
      <c r="D384" s="325"/>
      <c r="E384" s="281"/>
      <c r="I384" s="281"/>
      <c r="J384" s="281"/>
      <c r="K384" s="281"/>
      <c r="L384" s="281"/>
      <c r="M384" s="281"/>
    </row>
    <row r="385" spans="4:13">
      <c r="D385" s="325"/>
      <c r="E385" s="281"/>
      <c r="I385" s="281"/>
      <c r="J385" s="281"/>
      <c r="K385" s="281"/>
      <c r="L385" s="281"/>
      <c r="M385" s="281"/>
    </row>
    <row r="386" spans="4:13">
      <c r="D386" s="325"/>
      <c r="E386" s="281"/>
      <c r="I386" s="281"/>
      <c r="J386" s="281"/>
      <c r="K386" s="281"/>
      <c r="L386" s="281"/>
      <c r="M386" s="281"/>
    </row>
    <row r="387" spans="4:13">
      <c r="D387" s="325"/>
      <c r="E387" s="281"/>
      <c r="I387" s="281"/>
      <c r="J387" s="281"/>
      <c r="K387" s="281"/>
      <c r="L387" s="281"/>
      <c r="M387" s="281"/>
    </row>
    <row r="388" spans="4:13">
      <c r="D388" s="325"/>
      <c r="E388" s="281"/>
      <c r="I388" s="281"/>
      <c r="J388" s="281"/>
      <c r="K388" s="281"/>
      <c r="L388" s="281"/>
      <c r="M388" s="281"/>
    </row>
    <row r="389" spans="4:13">
      <c r="D389" s="325"/>
      <c r="E389" s="281"/>
      <c r="I389" s="281"/>
      <c r="J389" s="281"/>
      <c r="K389" s="281"/>
      <c r="L389" s="281"/>
      <c r="M389" s="281"/>
    </row>
    <row r="390" spans="4:13">
      <c r="D390" s="325"/>
      <c r="E390" s="281"/>
      <c r="I390" s="281"/>
      <c r="J390" s="281"/>
      <c r="K390" s="281"/>
      <c r="L390" s="281"/>
      <c r="M390" s="281"/>
    </row>
    <row r="391" spans="4:13">
      <c r="D391" s="325"/>
      <c r="E391" s="281"/>
      <c r="I391" s="281"/>
      <c r="J391" s="281"/>
      <c r="K391" s="281"/>
      <c r="L391" s="281"/>
      <c r="M391" s="281"/>
    </row>
    <row r="392" spans="4:13">
      <c r="D392" s="325"/>
      <c r="E392" s="281"/>
      <c r="I392" s="281"/>
      <c r="J392" s="281"/>
      <c r="K392" s="281"/>
      <c r="L392" s="281"/>
      <c r="M392" s="281"/>
    </row>
    <row r="393" spans="4:13">
      <c r="D393" s="325"/>
      <c r="E393" s="281"/>
      <c r="I393" s="281"/>
      <c r="J393" s="281"/>
      <c r="K393" s="281"/>
      <c r="L393" s="281"/>
      <c r="M393" s="281"/>
    </row>
    <row r="394" spans="4:13">
      <c r="D394" s="325"/>
      <c r="E394" s="281"/>
      <c r="I394" s="281"/>
      <c r="J394" s="281"/>
      <c r="K394" s="281"/>
      <c r="L394" s="281"/>
      <c r="M394" s="281"/>
    </row>
    <row r="395" spans="4:13">
      <c r="D395" s="325"/>
      <c r="E395" s="281"/>
      <c r="I395" s="281"/>
      <c r="J395" s="281"/>
      <c r="K395" s="281"/>
      <c r="L395" s="281"/>
      <c r="M395" s="281"/>
    </row>
    <row r="396" spans="4:13">
      <c r="D396" s="325"/>
      <c r="E396" s="281"/>
      <c r="I396" s="281"/>
      <c r="J396" s="281"/>
      <c r="K396" s="281"/>
      <c r="L396" s="281"/>
      <c r="M396" s="281"/>
    </row>
    <row r="397" spans="4:13">
      <c r="D397" s="325"/>
      <c r="E397" s="281"/>
      <c r="I397" s="281"/>
      <c r="J397" s="281"/>
      <c r="K397" s="281"/>
      <c r="L397" s="281"/>
      <c r="M397" s="281"/>
    </row>
    <row r="398" spans="4:13">
      <c r="D398" s="325"/>
      <c r="E398" s="281"/>
      <c r="I398" s="281"/>
      <c r="J398" s="281"/>
      <c r="K398" s="281"/>
      <c r="L398" s="281"/>
      <c r="M398" s="281"/>
    </row>
    <row r="399" spans="4:13">
      <c r="D399" s="325"/>
      <c r="E399" s="281"/>
      <c r="I399" s="327"/>
      <c r="J399" s="327"/>
      <c r="K399" s="281"/>
      <c r="L399" s="281"/>
      <c r="M399" s="281"/>
    </row>
    <row r="400" spans="4:13">
      <c r="D400" s="325"/>
      <c r="E400" s="281"/>
      <c r="I400" s="327"/>
      <c r="J400" s="327"/>
      <c r="K400" s="327"/>
      <c r="L400" s="327"/>
      <c r="M400" s="327"/>
    </row>
    <row r="401" spans="1:13">
      <c r="D401" s="325"/>
      <c r="E401" s="328" t="s">
        <v>9166</v>
      </c>
      <c r="F401" s="721">
        <v>7</v>
      </c>
      <c r="G401" s="769"/>
      <c r="I401" s="327"/>
      <c r="J401" s="327"/>
      <c r="K401" s="327"/>
      <c r="L401" s="327"/>
      <c r="M401" s="327"/>
    </row>
    <row r="402" spans="1:13">
      <c r="A402" s="329"/>
      <c r="B402" s="111" t="s">
        <v>3688</v>
      </c>
      <c r="D402" s="325"/>
      <c r="E402" s="330" t="s">
        <v>9167</v>
      </c>
      <c r="F402" s="722">
        <v>352</v>
      </c>
      <c r="G402" s="769"/>
      <c r="I402" s="327"/>
      <c r="J402" s="327"/>
      <c r="K402" s="327"/>
      <c r="L402" s="327"/>
      <c r="M402" s="327"/>
    </row>
    <row r="403" spans="1:13">
      <c r="A403" s="331"/>
      <c r="B403" s="111" t="s">
        <v>3691</v>
      </c>
      <c r="D403" s="325"/>
      <c r="E403" s="332" t="s">
        <v>9168</v>
      </c>
      <c r="F403" s="333">
        <f>COUNTIF($N$3:$N$354,"DONE")</f>
        <v>227</v>
      </c>
      <c r="G403" s="334">
        <f>F403/F402</f>
        <v>0.64488636363636365</v>
      </c>
      <c r="I403" s="327"/>
      <c r="J403" s="327"/>
      <c r="K403" s="327"/>
      <c r="L403" s="327"/>
      <c r="M403" s="327"/>
    </row>
    <row r="404" spans="1:13">
      <c r="A404" s="335"/>
      <c r="B404" s="111" t="s">
        <v>3692</v>
      </c>
      <c r="D404" s="325"/>
      <c r="E404" s="336" t="s">
        <v>9169</v>
      </c>
      <c r="F404" s="337">
        <f>COUNTIF($N$3:$N$354,"In Progress")</f>
        <v>0</v>
      </c>
      <c r="G404" s="338">
        <f t="shared" ref="G404:G405" si="0">F404/$F$402</f>
        <v>0</v>
      </c>
      <c r="I404" s="327"/>
      <c r="J404" s="327"/>
      <c r="K404" s="327"/>
      <c r="L404" s="327"/>
      <c r="M404" s="327"/>
    </row>
    <row r="405" spans="1:13">
      <c r="A405" s="339"/>
      <c r="B405" s="111" t="s">
        <v>3693</v>
      </c>
      <c r="D405" s="325"/>
      <c r="E405" s="340" t="s">
        <v>9170</v>
      </c>
      <c r="F405" s="341">
        <f>COUNTIF($N$3:$N$354,"Pending")</f>
        <v>113</v>
      </c>
      <c r="G405" s="342">
        <f t="shared" si="0"/>
        <v>0.32102272727272729</v>
      </c>
      <c r="I405" s="327"/>
      <c r="J405" s="327"/>
      <c r="K405" s="327"/>
      <c r="L405" s="327"/>
      <c r="M405" s="327"/>
    </row>
    <row r="406" spans="1:13">
      <c r="A406" s="343"/>
      <c r="B406" s="111" t="s">
        <v>3694</v>
      </c>
      <c r="D406" s="325"/>
      <c r="E406" s="344" t="s">
        <v>9171</v>
      </c>
      <c r="F406" s="345">
        <f>COUNTIF($N$3:$N$354,"")</f>
        <v>5</v>
      </c>
      <c r="G406" s="346">
        <f>F406/F402</f>
        <v>1.4204545454545454E-2</v>
      </c>
      <c r="I406" s="327"/>
      <c r="J406" s="327"/>
      <c r="K406" s="327"/>
      <c r="L406" s="327"/>
      <c r="M406" s="327"/>
    </row>
    <row r="407" spans="1:13">
      <c r="D407" s="325"/>
      <c r="E407" s="344" t="s">
        <v>9172</v>
      </c>
      <c r="F407" s="347">
        <f>($F$402-$F$406)</f>
        <v>347</v>
      </c>
      <c r="G407" s="555"/>
      <c r="I407" s="327"/>
      <c r="J407" s="327"/>
      <c r="K407" s="327"/>
      <c r="L407" s="327"/>
      <c r="M407" s="327"/>
    </row>
    <row r="408" spans="1:13">
      <c r="D408" s="325"/>
      <c r="E408" s="5"/>
      <c r="F408" s="4"/>
      <c r="G408" s="4"/>
      <c r="I408" s="327"/>
      <c r="J408" s="327"/>
      <c r="K408" s="327"/>
      <c r="L408" s="327"/>
      <c r="M408" s="327"/>
    </row>
    <row r="409" spans="1:13">
      <c r="D409" s="325"/>
      <c r="E409" s="330" t="s">
        <v>9173</v>
      </c>
      <c r="F409" s="722">
        <v>352</v>
      </c>
      <c r="G409" s="769"/>
      <c r="I409" s="327"/>
      <c r="J409" s="327"/>
      <c r="K409" s="327"/>
      <c r="L409" s="327"/>
      <c r="M409" s="327"/>
    </row>
    <row r="410" spans="1:13">
      <c r="D410" s="325"/>
      <c r="E410" s="332" t="s">
        <v>9174</v>
      </c>
      <c r="F410" s="333">
        <f>COUNTIF($O$3:$O$354,"DONE")</f>
        <v>227</v>
      </c>
      <c r="G410" s="334">
        <f t="shared" ref="G410:G412" si="1">F410/$F$402</f>
        <v>0.64488636363636365</v>
      </c>
      <c r="I410" s="327"/>
      <c r="J410" s="327"/>
      <c r="K410" s="327"/>
      <c r="L410" s="327"/>
      <c r="M410" s="327"/>
    </row>
    <row r="411" spans="1:13">
      <c r="D411" s="325"/>
      <c r="E411" s="336" t="s">
        <v>9175</v>
      </c>
      <c r="F411" s="337">
        <f>COUNTIF($O$3:$O$354,"In Progress")</f>
        <v>0</v>
      </c>
      <c r="G411" s="338">
        <f t="shared" si="1"/>
        <v>0</v>
      </c>
      <c r="I411" s="327"/>
      <c r="J411" s="327"/>
      <c r="K411" s="327"/>
      <c r="L411" s="327"/>
      <c r="M411" s="327"/>
    </row>
    <row r="412" spans="1:13">
      <c r="D412" s="325"/>
      <c r="E412" s="340" t="s">
        <v>9176</v>
      </c>
      <c r="F412" s="341">
        <f>COUNTIF($O$3:$O$354,"Pending")</f>
        <v>113</v>
      </c>
      <c r="G412" s="342">
        <f t="shared" si="1"/>
        <v>0.32102272727272729</v>
      </c>
      <c r="I412" s="327"/>
      <c r="J412" s="327"/>
      <c r="K412" s="327"/>
      <c r="L412" s="327"/>
      <c r="M412" s="327"/>
    </row>
    <row r="413" spans="1:13">
      <c r="D413" s="325"/>
      <c r="E413" s="344" t="s">
        <v>9177</v>
      </c>
      <c r="F413" s="347">
        <f>F405+F406</f>
        <v>118</v>
      </c>
      <c r="G413" s="555"/>
      <c r="I413" s="327"/>
      <c r="J413" s="327"/>
      <c r="K413" s="281"/>
      <c r="L413" s="281"/>
      <c r="M413" s="281"/>
    </row>
    <row r="414" spans="1:13">
      <c r="D414" s="325"/>
      <c r="E414" s="281"/>
      <c r="I414" s="327"/>
      <c r="J414" s="327"/>
      <c r="K414" s="281"/>
      <c r="L414" s="281"/>
      <c r="M414" s="281"/>
    </row>
    <row r="415" spans="1:13">
      <c r="D415" s="325"/>
      <c r="E415" s="281"/>
      <c r="I415" s="327"/>
      <c r="J415" s="327"/>
      <c r="K415" s="281"/>
      <c r="L415" s="281"/>
      <c r="M415" s="281"/>
    </row>
    <row r="416" spans="1:13">
      <c r="B416" s="550" t="s">
        <v>3689</v>
      </c>
      <c r="C416" s="550" t="s">
        <v>76</v>
      </c>
      <c r="D416" s="556" t="s">
        <v>7393</v>
      </c>
      <c r="E416" s="550" t="s">
        <v>9178</v>
      </c>
      <c r="F416" s="550" t="s">
        <v>9179</v>
      </c>
      <c r="G416" s="550" t="s">
        <v>9180</v>
      </c>
      <c r="H416" s="557" t="s">
        <v>9181</v>
      </c>
      <c r="I416" s="327"/>
      <c r="J416" s="327"/>
      <c r="K416" s="281"/>
      <c r="L416" s="281"/>
      <c r="M416" s="281"/>
    </row>
    <row r="417" spans="2:13">
      <c r="B417" s="110" t="s">
        <v>7495</v>
      </c>
      <c r="C417" s="110">
        <f>COUNTIFS(W:W,"6 Juli 2022",X:X,"Thomas")</f>
        <v>3</v>
      </c>
      <c r="D417" s="172">
        <f>COUNTIFS(W:W,"6 Juli 2022",X:X,"Putri")</f>
        <v>1</v>
      </c>
      <c r="E417" s="692" t="s">
        <v>9182</v>
      </c>
      <c r="F417" s="692">
        <f t="shared" ref="F417:G417" si="2">SUM(C417:C419)</f>
        <v>16</v>
      </c>
      <c r="G417" s="692">
        <f t="shared" si="2"/>
        <v>15</v>
      </c>
      <c r="H417" s="692">
        <f>SUM(F417:G450)</f>
        <v>240</v>
      </c>
      <c r="I417" s="327"/>
      <c r="J417" s="327"/>
      <c r="K417" s="281"/>
      <c r="L417" s="281"/>
      <c r="M417" s="281"/>
    </row>
    <row r="418" spans="2:13">
      <c r="B418" s="110" t="s">
        <v>7415</v>
      </c>
      <c r="C418" s="110">
        <f>COUNTIFS(W:W,"7 Juli 2022",X:X,"Thomas")</f>
        <v>6</v>
      </c>
      <c r="D418" s="172">
        <f>COUNTIFS(W:W,"7 Juli 2022",X:X,"Putri")</f>
        <v>5</v>
      </c>
      <c r="E418" s="774"/>
      <c r="F418" s="774"/>
      <c r="G418" s="774"/>
      <c r="H418" s="774"/>
      <c r="I418" s="327"/>
      <c r="J418" s="327"/>
      <c r="K418" s="281"/>
      <c r="L418" s="281"/>
      <c r="M418" s="281"/>
    </row>
    <row r="419" spans="2:13">
      <c r="B419" s="110" t="s">
        <v>7388</v>
      </c>
      <c r="C419" s="110">
        <f>COUNTIFS(W:W,"8 Juli 2022",X:X,"Thomas")</f>
        <v>7</v>
      </c>
      <c r="D419" s="172">
        <f>COUNTIFS(W:W,"8 Juli 2022",X:X,"Putri")</f>
        <v>9</v>
      </c>
      <c r="E419" s="773"/>
      <c r="F419" s="773"/>
      <c r="G419" s="773"/>
      <c r="H419" s="774"/>
      <c r="I419" s="327"/>
      <c r="J419" s="327"/>
      <c r="K419" s="281"/>
      <c r="L419" s="281"/>
      <c r="M419" s="281"/>
    </row>
    <row r="420" spans="2:13">
      <c r="B420" s="110" t="s">
        <v>7612</v>
      </c>
      <c r="C420" s="110">
        <f>COUNTIFS(W:W,"11 Juli 2022",X:X,"Thomas")</f>
        <v>17</v>
      </c>
      <c r="D420" s="172">
        <f>COUNTIFS(W:W,"11 Juli 2022",X:X,"Putri")</f>
        <v>15</v>
      </c>
      <c r="E420" s="110" t="s">
        <v>9183</v>
      </c>
      <c r="F420" s="110">
        <f t="shared" ref="F420:G420" si="3">SUM(C420)</f>
        <v>17</v>
      </c>
      <c r="G420" s="110">
        <f t="shared" si="3"/>
        <v>15</v>
      </c>
      <c r="H420" s="774"/>
      <c r="I420" s="327"/>
      <c r="J420" s="327"/>
      <c r="K420" s="281"/>
      <c r="L420" s="281"/>
      <c r="M420" s="281"/>
    </row>
    <row r="421" spans="2:13">
      <c r="B421" s="110" t="s">
        <v>8200</v>
      </c>
      <c r="C421" s="110">
        <f>COUNTIFS(W:W,"5 Agustus 2022",X:X,"Thomas")</f>
        <v>3</v>
      </c>
      <c r="D421" s="172">
        <f>COUNTIFS(W:W,"5 Agustus 2022",X:X,"Putri")</f>
        <v>2</v>
      </c>
      <c r="E421" s="110" t="s">
        <v>9184</v>
      </c>
      <c r="F421" s="110">
        <f t="shared" ref="F421:G421" si="4">SUM(C421)</f>
        <v>3</v>
      </c>
      <c r="G421" s="110">
        <f t="shared" si="4"/>
        <v>2</v>
      </c>
      <c r="H421" s="774"/>
      <c r="I421" s="327"/>
      <c r="J421" s="327"/>
      <c r="K421" s="281"/>
      <c r="L421" s="281"/>
      <c r="M421" s="281"/>
    </row>
    <row r="422" spans="2:13">
      <c r="B422" s="110" t="s">
        <v>8252</v>
      </c>
      <c r="C422" s="110">
        <f>COUNTIFS(W:W,"8 Agustus 2022",X:X,"Thomas")</f>
        <v>5</v>
      </c>
      <c r="D422" s="172">
        <f>COUNTIFS(W:W,"8 Agustus 2022",X:X,"Putri")</f>
        <v>5</v>
      </c>
      <c r="E422" s="692" t="s">
        <v>9185</v>
      </c>
      <c r="F422" s="692">
        <f t="shared" ref="F422:G422" si="5">SUM(C422:C425)</f>
        <v>25</v>
      </c>
      <c r="G422" s="692">
        <f t="shared" si="5"/>
        <v>25</v>
      </c>
      <c r="H422" s="774"/>
      <c r="I422" s="327"/>
      <c r="J422" s="327"/>
      <c r="K422" s="281"/>
      <c r="L422" s="281"/>
      <c r="M422" s="281"/>
    </row>
    <row r="423" spans="2:13">
      <c r="B423" s="110" t="s">
        <v>8317</v>
      </c>
      <c r="C423" s="110">
        <f>COUNTIFS(W:W,"9 Agustus 2022",X:X,"Thomas")</f>
        <v>5</v>
      </c>
      <c r="D423" s="172">
        <f>COUNTIFS(W:W,"9 Agustus 2022",X:X,"Putri")</f>
        <v>5</v>
      </c>
      <c r="E423" s="774"/>
      <c r="F423" s="774"/>
      <c r="G423" s="774"/>
      <c r="H423" s="774"/>
      <c r="I423" s="327"/>
      <c r="J423" s="327"/>
      <c r="K423" s="281"/>
      <c r="L423" s="281"/>
      <c r="M423" s="281"/>
    </row>
    <row r="424" spans="2:13">
      <c r="B424" s="110" t="s">
        <v>8376</v>
      </c>
      <c r="C424" s="110">
        <f>COUNTIFS(W:W,"11 Agustus 2022",X:X,"Thomas")</f>
        <v>11</v>
      </c>
      <c r="D424" s="172">
        <f>COUNTIFS(W:W,"11 Agustus 2022",X:X,"Putri")</f>
        <v>9</v>
      </c>
      <c r="E424" s="774"/>
      <c r="F424" s="774"/>
      <c r="G424" s="774"/>
      <c r="H424" s="774"/>
      <c r="I424" s="327"/>
      <c r="J424" s="327"/>
      <c r="K424" s="281"/>
      <c r="L424" s="281"/>
      <c r="M424" s="281"/>
    </row>
    <row r="425" spans="2:13">
      <c r="B425" s="110" t="s">
        <v>8432</v>
      </c>
      <c r="C425" s="110">
        <f>COUNTIFS(W:W,"12 Agustus 2022",X:X,"Thomas")</f>
        <v>4</v>
      </c>
      <c r="D425" s="172">
        <f>COUNTIFS(W:W,"12 Agustus 2022",X:X,"Putri")</f>
        <v>6</v>
      </c>
      <c r="E425" s="773"/>
      <c r="F425" s="773"/>
      <c r="G425" s="773"/>
      <c r="H425" s="774"/>
      <c r="I425" s="327"/>
      <c r="J425" s="327"/>
      <c r="K425" s="281"/>
      <c r="L425" s="281"/>
      <c r="M425" s="281"/>
    </row>
    <row r="426" spans="2:13">
      <c r="B426" s="110" t="s">
        <v>8228</v>
      </c>
      <c r="C426" s="110">
        <f>COUNTIFS(W:W,"15 Agustus 2022",X:X,"Thomas")</f>
        <v>1</v>
      </c>
      <c r="D426" s="172">
        <f>COUNTIFS(W:W,"15 Agustus 2022",X:X,"Putri")</f>
        <v>1</v>
      </c>
      <c r="E426" s="110" t="s">
        <v>9186</v>
      </c>
      <c r="F426" s="110">
        <f t="shared" ref="F426:G426" si="6">SUM(C426)</f>
        <v>1</v>
      </c>
      <c r="G426" s="110">
        <f t="shared" si="6"/>
        <v>1</v>
      </c>
      <c r="H426" s="774"/>
      <c r="I426" s="327"/>
      <c r="J426" s="327"/>
      <c r="K426" s="281"/>
      <c r="L426" s="281"/>
      <c r="M426" s="281"/>
    </row>
    <row r="427" spans="2:13">
      <c r="B427" s="110" t="s">
        <v>8744</v>
      </c>
      <c r="C427" s="110">
        <f>COUNTIFS(W:W,"30 Agustus 2022",X:X,"Thomas")</f>
        <v>2</v>
      </c>
      <c r="D427" s="172">
        <f>COUNTIFS(W:W,"30 Agustus 2022",X:X,"Putri")</f>
        <v>2</v>
      </c>
      <c r="E427" s="692" t="s">
        <v>9187</v>
      </c>
      <c r="F427" s="692">
        <f t="shared" ref="F427:G427" si="7">SUM(C427:C430)</f>
        <v>10</v>
      </c>
      <c r="G427" s="692">
        <f t="shared" si="7"/>
        <v>10</v>
      </c>
      <c r="H427" s="774"/>
      <c r="I427" s="327"/>
      <c r="J427" s="327"/>
      <c r="K427" s="281"/>
      <c r="L427" s="281"/>
      <c r="M427" s="281"/>
    </row>
    <row r="428" spans="2:13">
      <c r="B428" s="110" t="s">
        <v>4801</v>
      </c>
      <c r="C428" s="110">
        <f>COUNTIFS(W:W,"31 Agustus 2022",X:X,"Thomas")</f>
        <v>2</v>
      </c>
      <c r="D428" s="172">
        <f>COUNTIFS(W:W,"31 Agustus 2022",X:X,"Putri")</f>
        <v>3</v>
      </c>
      <c r="E428" s="774"/>
      <c r="F428" s="774"/>
      <c r="G428" s="774"/>
      <c r="H428" s="774"/>
      <c r="I428" s="327"/>
      <c r="J428" s="327"/>
      <c r="K428" s="281"/>
      <c r="L428" s="281"/>
      <c r="M428" s="281"/>
    </row>
    <row r="429" spans="2:13">
      <c r="B429" s="558">
        <v>44805</v>
      </c>
      <c r="C429" s="110">
        <f>COUNTIFS(W:W,"01 September 2022",X:X,"Thomas")</f>
        <v>4</v>
      </c>
      <c r="D429" s="172">
        <f>COUNTIFS(W:W,"01 September 2022",X:X,"Putri")</f>
        <v>3</v>
      </c>
      <c r="E429" s="774"/>
      <c r="F429" s="774"/>
      <c r="G429" s="774"/>
      <c r="H429" s="774"/>
      <c r="I429" s="327"/>
      <c r="J429" s="327"/>
      <c r="K429" s="281"/>
      <c r="L429" s="281"/>
      <c r="M429" s="281"/>
    </row>
    <row r="430" spans="2:13">
      <c r="B430" s="558">
        <v>44806</v>
      </c>
      <c r="C430" s="110">
        <f>COUNTIFS(W:W,"02 September 2022",X:X,"Thomas")</f>
        <v>2</v>
      </c>
      <c r="D430" s="172">
        <f>COUNTIFS(W:W,"02 September 2022",X:X,"Putri")</f>
        <v>2</v>
      </c>
      <c r="E430" s="773"/>
      <c r="F430" s="773"/>
      <c r="G430" s="773"/>
      <c r="H430" s="774"/>
      <c r="I430" s="327"/>
      <c r="J430" s="327"/>
      <c r="K430" s="281"/>
      <c r="L430" s="281"/>
      <c r="M430" s="281"/>
    </row>
    <row r="431" spans="2:13">
      <c r="B431" s="558">
        <v>44809</v>
      </c>
      <c r="C431" s="110">
        <f>COUNTIFS(W:W,"05 September 2022",X:X,"Thomas")</f>
        <v>1</v>
      </c>
      <c r="D431" s="172">
        <f>COUNTIFS(W:W,"05 September 2022",X:X,"Putri")</f>
        <v>3</v>
      </c>
      <c r="E431" s="692" t="s">
        <v>9188</v>
      </c>
      <c r="F431" s="692">
        <f t="shared" ref="F431:G431" si="8">SUM(C431:C435)</f>
        <v>10</v>
      </c>
      <c r="G431" s="692">
        <f t="shared" si="8"/>
        <v>11</v>
      </c>
      <c r="H431" s="774"/>
      <c r="I431" s="327"/>
      <c r="J431" s="327"/>
      <c r="K431" s="281"/>
      <c r="L431" s="281"/>
      <c r="M431" s="281"/>
    </row>
    <row r="432" spans="2:13">
      <c r="B432" s="558">
        <v>44810</v>
      </c>
      <c r="C432" s="110">
        <f>COUNTIFS(W:W,"06 September 2022",X:X,"Thomas")</f>
        <v>2</v>
      </c>
      <c r="D432" s="172">
        <f>COUNTIFS(W:W,"06 September 2022",X:X,"Putri")</f>
        <v>1</v>
      </c>
      <c r="E432" s="774"/>
      <c r="F432" s="774"/>
      <c r="G432" s="774"/>
      <c r="H432" s="774"/>
      <c r="I432" s="327"/>
      <c r="J432" s="327"/>
      <c r="K432" s="281"/>
      <c r="L432" s="281"/>
      <c r="M432" s="281"/>
    </row>
    <row r="433" spans="2:13">
      <c r="B433" s="558">
        <v>44811</v>
      </c>
      <c r="C433" s="110">
        <f>COUNTIFS(W:W,"07 September 2022",X:X,"Thomas")</f>
        <v>3</v>
      </c>
      <c r="D433" s="172">
        <f>COUNTIFS(W:W,"07 September 2022",X:X,"Putri")</f>
        <v>3</v>
      </c>
      <c r="E433" s="774"/>
      <c r="F433" s="774"/>
      <c r="G433" s="774"/>
      <c r="H433" s="774"/>
      <c r="I433" s="281"/>
      <c r="J433" s="281"/>
      <c r="K433" s="281"/>
      <c r="L433" s="281"/>
      <c r="M433" s="281"/>
    </row>
    <row r="434" spans="2:13">
      <c r="B434" s="558">
        <v>44812</v>
      </c>
      <c r="C434" s="110">
        <f>COUNTIFS(W:W,"08 September 2022",X:X,"Thomas")</f>
        <v>2</v>
      </c>
      <c r="D434" s="172">
        <f>COUNTIFS(W:W,"08 September 2022",X:X,"Putri")</f>
        <v>2</v>
      </c>
      <c r="E434" s="774"/>
      <c r="F434" s="774"/>
      <c r="G434" s="774"/>
      <c r="H434" s="774"/>
      <c r="I434" s="281"/>
      <c r="J434" s="281"/>
      <c r="K434" s="281"/>
      <c r="L434" s="281"/>
      <c r="M434" s="281"/>
    </row>
    <row r="435" spans="2:13">
      <c r="B435" s="350">
        <v>44813</v>
      </c>
      <c r="C435" s="110">
        <f>COUNTIFS(W:W,"09 September 2022",X:X,"Thomas")</f>
        <v>2</v>
      </c>
      <c r="D435" s="172">
        <f>COUNTIFS(W:W,"09 September 2022",X:X,"Putri")</f>
        <v>2</v>
      </c>
      <c r="E435" s="773"/>
      <c r="F435" s="773"/>
      <c r="G435" s="773"/>
      <c r="H435" s="774"/>
      <c r="I435" s="281"/>
      <c r="J435" s="281"/>
      <c r="K435" s="281"/>
      <c r="L435" s="281"/>
      <c r="M435" s="281"/>
    </row>
    <row r="436" spans="2:13">
      <c r="B436" s="351">
        <v>44816</v>
      </c>
      <c r="C436" s="110">
        <f>COUNTIFS(W:W,"12 September 2022",X:X,"Thomas")</f>
        <v>3</v>
      </c>
      <c r="D436" s="172">
        <f>COUNTIFS(W:W,"12 September 2022",X:X,"Putri")</f>
        <v>2</v>
      </c>
      <c r="E436" s="692" t="s">
        <v>9189</v>
      </c>
      <c r="F436" s="692">
        <f t="shared" ref="F436:G436" si="9">SUM(C436:C440)</f>
        <v>23</v>
      </c>
      <c r="G436" s="692">
        <f t="shared" si="9"/>
        <v>22</v>
      </c>
      <c r="H436" s="774"/>
      <c r="I436" s="281"/>
      <c r="J436" s="281"/>
      <c r="K436" s="281"/>
      <c r="L436" s="281"/>
      <c r="M436" s="281"/>
    </row>
    <row r="437" spans="2:13">
      <c r="B437" s="351">
        <v>44817</v>
      </c>
      <c r="C437" s="110">
        <f>COUNTIFS(W:W,"13 September 2022",X:X,"Thomas")</f>
        <v>2</v>
      </c>
      <c r="D437" s="172">
        <f>COUNTIFS(W:W,"13 September 2022",X:X,"Putri")</f>
        <v>2</v>
      </c>
      <c r="E437" s="774"/>
      <c r="F437" s="774"/>
      <c r="G437" s="774"/>
      <c r="H437" s="774"/>
      <c r="I437" s="281"/>
      <c r="J437" s="281"/>
      <c r="K437" s="281"/>
      <c r="L437" s="281"/>
      <c r="M437" s="281"/>
    </row>
    <row r="438" spans="2:13">
      <c r="B438" s="272">
        <v>44818</v>
      </c>
      <c r="C438" s="110">
        <f>COUNTIFS(W:W,"14 September 2022",X:X,"Thomas")</f>
        <v>13</v>
      </c>
      <c r="D438" s="172">
        <f>COUNTIFS(W:W,"14 September 2022",X:X,"Putri")</f>
        <v>13</v>
      </c>
      <c r="E438" s="774"/>
      <c r="F438" s="774"/>
      <c r="G438" s="774"/>
      <c r="H438" s="774"/>
      <c r="I438" s="281"/>
      <c r="J438" s="281"/>
      <c r="K438" s="281"/>
      <c r="L438" s="281"/>
      <c r="M438" s="281"/>
    </row>
    <row r="439" spans="2:13">
      <c r="B439" s="272">
        <v>44819</v>
      </c>
      <c r="C439" s="110">
        <f>COUNTIFS(W:W,"15 September 2022",X:X,"Thomas")</f>
        <v>2</v>
      </c>
      <c r="D439" s="172">
        <f>COUNTIFS(W:W,"15 September 2022",X:X,"Putri")</f>
        <v>2</v>
      </c>
      <c r="E439" s="774"/>
      <c r="F439" s="774"/>
      <c r="G439" s="774"/>
      <c r="H439" s="774"/>
      <c r="I439" s="281"/>
      <c r="J439" s="281"/>
      <c r="K439" s="281"/>
      <c r="L439" s="281"/>
      <c r="M439" s="281"/>
    </row>
    <row r="440" spans="2:13">
      <c r="B440" s="351">
        <v>44820</v>
      </c>
      <c r="C440" s="110">
        <f>COUNTIFS(W:W,"16 September 2022",X:X,"Thomas")</f>
        <v>3</v>
      </c>
      <c r="D440" s="172">
        <f>COUNTIFS(W:W,"16 September 2022",X:X,"Putri")</f>
        <v>3</v>
      </c>
      <c r="E440" s="773"/>
      <c r="F440" s="773"/>
      <c r="G440" s="773"/>
      <c r="H440" s="774"/>
      <c r="I440" s="281"/>
      <c r="J440" s="281"/>
      <c r="K440" s="281"/>
      <c r="L440" s="281"/>
      <c r="M440" s="281"/>
    </row>
    <row r="441" spans="2:13">
      <c r="B441" s="351">
        <v>44823</v>
      </c>
      <c r="C441" s="110">
        <f>COUNTIFS(W:W,"19 September 2022",X:X,"Thomas")</f>
        <v>1</v>
      </c>
      <c r="D441" s="172">
        <f>COUNTIFS(W:W,"19 September 2022",X:X,"Putri")</f>
        <v>2</v>
      </c>
      <c r="E441" s="692" t="s">
        <v>9190</v>
      </c>
      <c r="F441" s="692">
        <f t="shared" ref="F441:G441" si="10">SUM(C441:C445)</f>
        <v>7</v>
      </c>
      <c r="G441" s="692">
        <f t="shared" si="10"/>
        <v>10</v>
      </c>
      <c r="H441" s="774"/>
      <c r="I441" s="281"/>
      <c r="J441" s="281"/>
      <c r="K441" s="281"/>
      <c r="L441" s="281"/>
      <c r="M441" s="281"/>
    </row>
    <row r="442" spans="2:13">
      <c r="B442" s="351">
        <v>44824</v>
      </c>
      <c r="C442" s="110">
        <f>COUNTIFS(W:W,"20 September 2022",X:X,"Thomas")</f>
        <v>1</v>
      </c>
      <c r="D442" s="172">
        <f>COUNTIFS(W:W,"20 September 2022",X:X,"Putri")</f>
        <v>2</v>
      </c>
      <c r="E442" s="774"/>
      <c r="F442" s="774"/>
      <c r="G442" s="774"/>
      <c r="H442" s="774"/>
      <c r="I442" s="281"/>
      <c r="J442" s="281"/>
      <c r="K442" s="281"/>
      <c r="L442" s="281"/>
      <c r="M442" s="281"/>
    </row>
    <row r="443" spans="2:13">
      <c r="B443" s="351">
        <v>44825</v>
      </c>
      <c r="C443" s="110">
        <f>COUNTIFS(W:W,"21 September 2022",X:X,"Thomas")</f>
        <v>2</v>
      </c>
      <c r="D443" s="172">
        <f>COUNTIFS(W:W,"21 September 2022",X:X,"Putri")</f>
        <v>2</v>
      </c>
      <c r="E443" s="774"/>
      <c r="F443" s="774"/>
      <c r="G443" s="774"/>
      <c r="H443" s="774"/>
      <c r="I443" s="281"/>
      <c r="J443" s="281"/>
      <c r="K443" s="281"/>
      <c r="L443" s="281"/>
      <c r="M443" s="281"/>
    </row>
    <row r="444" spans="2:13">
      <c r="B444" s="351">
        <v>44826</v>
      </c>
      <c r="C444" s="110">
        <f>COUNTIFS(W:W,"22 September 2022",X:X,"Thomas")</f>
        <v>1</v>
      </c>
      <c r="D444" s="172">
        <f>COUNTIFS(W:W,"22 September 2022",X:X,"Putri")</f>
        <v>2</v>
      </c>
      <c r="E444" s="774"/>
      <c r="F444" s="774"/>
      <c r="G444" s="774"/>
      <c r="H444" s="774"/>
      <c r="I444" s="281"/>
      <c r="J444" s="281"/>
      <c r="K444" s="281"/>
      <c r="L444" s="281"/>
      <c r="M444" s="281"/>
    </row>
    <row r="445" spans="2:13">
      <c r="B445" s="351">
        <v>44827</v>
      </c>
      <c r="C445" s="110">
        <f>COUNTIFS(W:W,"23 September 2022",X:X,"Thomas")</f>
        <v>2</v>
      </c>
      <c r="D445" s="172">
        <f>COUNTIFS(W:W,"23 September 2022",X:X,"Putri")</f>
        <v>2</v>
      </c>
      <c r="E445" s="773"/>
      <c r="F445" s="773"/>
      <c r="G445" s="773"/>
      <c r="H445" s="774"/>
      <c r="I445" s="281"/>
      <c r="J445" s="281"/>
      <c r="K445" s="281"/>
      <c r="L445" s="281"/>
      <c r="M445" s="281"/>
    </row>
    <row r="446" spans="2:13">
      <c r="B446" s="351">
        <v>44833</v>
      </c>
      <c r="C446" s="110">
        <f>COUNTIFS(W:W,"29 September 2022",X:X,"Thomas")</f>
        <v>1</v>
      </c>
      <c r="D446" s="172">
        <f>COUNTIFS(W:W,"29 September 2022",X:X,"Putri")</f>
        <v>0</v>
      </c>
      <c r="E446" s="110" t="s">
        <v>9191</v>
      </c>
      <c r="F446" s="110">
        <f t="shared" ref="F446:G446" si="11">SUM(C446)</f>
        <v>1</v>
      </c>
      <c r="G446" s="110">
        <f t="shared" si="11"/>
        <v>0</v>
      </c>
      <c r="H446" s="774"/>
      <c r="I446" s="281"/>
      <c r="J446" s="281"/>
      <c r="K446" s="281"/>
      <c r="L446" s="281"/>
      <c r="M446" s="281"/>
    </row>
    <row r="447" spans="2:13">
      <c r="B447" s="23" t="s">
        <v>8673</v>
      </c>
      <c r="C447" s="110">
        <f>COUNTIFS(W:W,"17 Oktober 2022",X:X,"Thomas")</f>
        <v>1</v>
      </c>
      <c r="D447" s="172">
        <f>COUNTIFS(W:W,"17 Oktober 2022",X:X,"Putri")</f>
        <v>0</v>
      </c>
      <c r="E447" s="98" t="s">
        <v>9192</v>
      </c>
      <c r="F447" s="98">
        <v>1</v>
      </c>
      <c r="G447" s="98">
        <v>0</v>
      </c>
      <c r="H447" s="774"/>
      <c r="I447" s="281"/>
      <c r="J447" s="281"/>
      <c r="K447" s="281"/>
      <c r="L447" s="281"/>
      <c r="M447" s="281"/>
    </row>
    <row r="448" spans="2:13">
      <c r="B448" s="350">
        <v>44868</v>
      </c>
      <c r="C448" s="348">
        <f>COUNTIFS(W:W,"03 November 2022",X:X,"Thomas")</f>
        <v>5</v>
      </c>
      <c r="D448" s="349">
        <f>COUNTIFS(W:W,"03 November 2022",X:X,"Putri")</f>
        <v>7</v>
      </c>
      <c r="E448" s="692" t="s">
        <v>9193</v>
      </c>
      <c r="F448" s="719">
        <v>6</v>
      </c>
      <c r="G448" s="719">
        <v>8</v>
      </c>
      <c r="H448" s="774"/>
      <c r="I448" s="281"/>
      <c r="J448" s="281"/>
      <c r="K448" s="281"/>
      <c r="L448" s="281"/>
      <c r="M448" s="281"/>
    </row>
    <row r="449" spans="2:13">
      <c r="B449" s="350">
        <v>44869</v>
      </c>
      <c r="C449" s="348">
        <f>COUNTIFS(W:W,"04 November 2022",X:X,"Thomas")</f>
        <v>1</v>
      </c>
      <c r="D449" s="349">
        <f>COUNTIFS(W:W,"04 November 2022",X:X,"Putri")</f>
        <v>1</v>
      </c>
      <c r="E449" s="773"/>
      <c r="F449" s="773"/>
      <c r="G449" s="773"/>
      <c r="H449" s="774"/>
      <c r="I449" s="281"/>
      <c r="J449" s="281"/>
      <c r="K449" s="281"/>
      <c r="L449" s="281"/>
      <c r="M449" s="281"/>
    </row>
    <row r="450" spans="2:13">
      <c r="B450" s="351">
        <v>44874</v>
      </c>
      <c r="C450" s="352">
        <f>COUNTIFS(W:W,"09 November 2022",X:X,"Thomas")</f>
        <v>0</v>
      </c>
      <c r="D450" s="349">
        <f>COUNTIFS(W:W,"09 November 2022",X:X,"Putri")</f>
        <v>1</v>
      </c>
      <c r="E450" s="98" t="s">
        <v>9194</v>
      </c>
      <c r="F450" s="36">
        <f t="shared" ref="F450:G450" si="12">SUM(C450)</f>
        <v>0</v>
      </c>
      <c r="G450" s="36">
        <f t="shared" si="12"/>
        <v>1</v>
      </c>
      <c r="H450" s="773"/>
      <c r="I450" s="281"/>
      <c r="J450" s="281"/>
      <c r="K450" s="281"/>
      <c r="L450" s="281"/>
      <c r="M450" s="281"/>
    </row>
    <row r="451" spans="2:13">
      <c r="D451" s="325"/>
      <c r="E451" s="281"/>
      <c r="I451" s="281"/>
      <c r="J451" s="281"/>
      <c r="K451" s="281"/>
      <c r="L451" s="281"/>
      <c r="M451" s="281"/>
    </row>
    <row r="452" spans="2:13">
      <c r="D452" s="325"/>
      <c r="E452" s="281"/>
      <c r="I452" s="281"/>
      <c r="J452" s="281"/>
      <c r="K452" s="281"/>
      <c r="L452" s="281"/>
      <c r="M452" s="281"/>
    </row>
    <row r="453" spans="2:13">
      <c r="D453" s="325"/>
      <c r="E453" s="281"/>
      <c r="I453" s="281"/>
      <c r="J453" s="281"/>
      <c r="K453" s="281"/>
      <c r="L453" s="281"/>
      <c r="M453" s="281"/>
    </row>
    <row r="454" spans="2:13">
      <c r="D454" s="325"/>
      <c r="E454" s="281"/>
      <c r="I454" s="281"/>
      <c r="J454" s="281"/>
      <c r="K454" s="281"/>
      <c r="L454" s="281"/>
      <c r="M454" s="281"/>
    </row>
    <row r="455" spans="2:13">
      <c r="D455" s="325"/>
      <c r="E455" s="281"/>
      <c r="I455" s="281"/>
      <c r="J455" s="281"/>
      <c r="K455" s="281"/>
      <c r="L455" s="281"/>
      <c r="M455" s="281"/>
    </row>
    <row r="456" spans="2:13">
      <c r="D456" s="325"/>
      <c r="E456" s="281"/>
      <c r="I456" s="281"/>
      <c r="J456" s="281"/>
      <c r="K456" s="281"/>
      <c r="L456" s="281"/>
      <c r="M456" s="281"/>
    </row>
    <row r="457" spans="2:13">
      <c r="D457" s="325"/>
      <c r="E457" s="281"/>
      <c r="I457" s="281"/>
      <c r="J457" s="281"/>
      <c r="K457" s="281"/>
      <c r="L457" s="281"/>
      <c r="M457" s="281"/>
    </row>
    <row r="458" spans="2:13">
      <c r="D458" s="325"/>
      <c r="E458" s="281"/>
      <c r="I458" s="281"/>
      <c r="J458" s="281"/>
      <c r="K458" s="281"/>
      <c r="L458" s="281"/>
      <c r="M458" s="281"/>
    </row>
    <row r="459" spans="2:13">
      <c r="D459" s="325"/>
      <c r="E459" s="281"/>
      <c r="I459" s="281"/>
      <c r="J459" s="281"/>
      <c r="K459" s="281"/>
      <c r="L459" s="281"/>
      <c r="M459" s="281"/>
    </row>
    <row r="460" spans="2:13">
      <c r="D460" s="325"/>
      <c r="E460" s="281"/>
      <c r="I460" s="281"/>
      <c r="J460" s="281"/>
      <c r="K460" s="281"/>
      <c r="L460" s="281"/>
      <c r="M460" s="281"/>
    </row>
    <row r="461" spans="2:13">
      <c r="D461" s="325"/>
      <c r="E461" s="281"/>
      <c r="I461" s="281"/>
      <c r="J461" s="281"/>
      <c r="K461" s="281"/>
      <c r="L461" s="281"/>
      <c r="M461" s="281"/>
    </row>
    <row r="462" spans="2:13">
      <c r="D462" s="325"/>
      <c r="E462" s="281"/>
      <c r="I462" s="281"/>
      <c r="J462" s="281"/>
      <c r="K462" s="281"/>
      <c r="L462" s="281"/>
      <c r="M462" s="281"/>
    </row>
    <row r="463" spans="2:13">
      <c r="D463" s="325"/>
      <c r="E463" s="281"/>
      <c r="I463" s="281"/>
      <c r="J463" s="281"/>
      <c r="K463" s="281"/>
      <c r="L463" s="281"/>
      <c r="M463" s="281"/>
    </row>
    <row r="464" spans="2:13">
      <c r="D464" s="325"/>
      <c r="E464" s="281"/>
      <c r="I464" s="281"/>
      <c r="J464" s="281"/>
      <c r="K464" s="281"/>
      <c r="L464" s="281"/>
      <c r="M464" s="281"/>
    </row>
    <row r="465" spans="4:13">
      <c r="D465" s="325"/>
      <c r="E465" s="281"/>
      <c r="I465" s="281"/>
      <c r="J465" s="281"/>
      <c r="K465" s="281"/>
      <c r="L465" s="281"/>
      <c r="M465" s="281"/>
    </row>
    <row r="466" spans="4:13">
      <c r="D466" s="325"/>
      <c r="E466" s="281"/>
      <c r="I466" s="281"/>
      <c r="J466" s="281"/>
      <c r="K466" s="281"/>
      <c r="L466" s="281"/>
      <c r="M466" s="281"/>
    </row>
    <row r="467" spans="4:13">
      <c r="D467" s="325"/>
      <c r="E467" s="281"/>
      <c r="I467" s="281"/>
      <c r="J467" s="281"/>
      <c r="K467" s="281"/>
      <c r="L467" s="281"/>
      <c r="M467" s="281"/>
    </row>
    <row r="468" spans="4:13">
      <c r="D468" s="325"/>
      <c r="E468" s="281"/>
      <c r="I468" s="281"/>
      <c r="J468" s="281"/>
      <c r="K468" s="281"/>
      <c r="L468" s="281"/>
      <c r="M468" s="281"/>
    </row>
    <row r="469" spans="4:13">
      <c r="D469" s="325"/>
      <c r="E469" s="281"/>
      <c r="I469" s="281"/>
      <c r="J469" s="281"/>
      <c r="K469" s="281"/>
      <c r="L469" s="281"/>
      <c r="M469" s="281"/>
    </row>
    <row r="470" spans="4:13">
      <c r="D470" s="325"/>
      <c r="E470" s="281"/>
      <c r="I470" s="281"/>
      <c r="J470" s="281"/>
      <c r="K470" s="281"/>
      <c r="L470" s="281"/>
      <c r="M470" s="281"/>
    </row>
    <row r="471" spans="4:13">
      <c r="D471" s="325"/>
      <c r="E471" s="281"/>
      <c r="I471" s="281"/>
      <c r="J471" s="281"/>
      <c r="K471" s="281"/>
      <c r="L471" s="281"/>
      <c r="M471" s="281"/>
    </row>
    <row r="472" spans="4:13">
      <c r="D472" s="325"/>
      <c r="E472" s="281"/>
      <c r="I472" s="281"/>
      <c r="J472" s="281"/>
      <c r="K472" s="281"/>
      <c r="L472" s="281"/>
      <c r="M472" s="281"/>
    </row>
    <row r="473" spans="4:13">
      <c r="D473" s="325"/>
      <c r="E473" s="281"/>
      <c r="I473" s="281"/>
      <c r="J473" s="281"/>
      <c r="K473" s="281"/>
      <c r="L473" s="281"/>
      <c r="M473" s="281"/>
    </row>
    <row r="474" spans="4:13">
      <c r="D474" s="325"/>
      <c r="E474" s="281"/>
      <c r="I474" s="281"/>
      <c r="J474" s="281"/>
      <c r="K474" s="281"/>
      <c r="L474" s="281"/>
      <c r="M474" s="281"/>
    </row>
    <row r="475" spans="4:13">
      <c r="D475" s="325"/>
      <c r="E475" s="281"/>
      <c r="I475" s="281"/>
      <c r="J475" s="281"/>
      <c r="K475" s="281"/>
      <c r="L475" s="281"/>
      <c r="M475" s="281"/>
    </row>
    <row r="476" spans="4:13">
      <c r="D476" s="325"/>
      <c r="E476" s="281"/>
      <c r="I476" s="281"/>
      <c r="J476" s="281"/>
      <c r="K476" s="281"/>
      <c r="L476" s="281"/>
      <c r="M476" s="281"/>
    </row>
    <row r="477" spans="4:13">
      <c r="D477" s="325"/>
      <c r="E477" s="281"/>
      <c r="I477" s="281"/>
      <c r="J477" s="281"/>
      <c r="K477" s="281"/>
      <c r="L477" s="281"/>
      <c r="M477" s="281"/>
    </row>
    <row r="478" spans="4:13">
      <c r="D478" s="325"/>
      <c r="E478" s="281"/>
      <c r="I478" s="281"/>
      <c r="J478" s="281"/>
      <c r="K478" s="281"/>
      <c r="L478" s="281"/>
      <c r="M478" s="281"/>
    </row>
    <row r="479" spans="4:13">
      <c r="D479" s="325"/>
      <c r="E479" s="281"/>
      <c r="I479" s="281"/>
      <c r="J479" s="281"/>
      <c r="K479" s="281"/>
      <c r="L479" s="281"/>
      <c r="M479" s="281"/>
    </row>
    <row r="480" spans="4:13">
      <c r="D480" s="325"/>
      <c r="E480" s="281"/>
      <c r="I480" s="281"/>
      <c r="J480" s="281"/>
      <c r="K480" s="281"/>
      <c r="L480" s="281"/>
      <c r="M480" s="281"/>
    </row>
    <row r="481" spans="4:13">
      <c r="D481" s="325"/>
      <c r="E481" s="281"/>
      <c r="I481" s="281"/>
      <c r="J481" s="281"/>
      <c r="K481" s="281"/>
      <c r="L481" s="281"/>
      <c r="M481" s="281"/>
    </row>
    <row r="482" spans="4:13">
      <c r="D482" s="325"/>
      <c r="E482" s="281"/>
      <c r="I482" s="281"/>
      <c r="J482" s="281"/>
      <c r="K482" s="281"/>
      <c r="L482" s="281"/>
      <c r="M482" s="281"/>
    </row>
    <row r="483" spans="4:13">
      <c r="D483" s="325"/>
      <c r="E483" s="281"/>
      <c r="I483" s="281"/>
      <c r="J483" s="281"/>
      <c r="K483" s="281"/>
      <c r="L483" s="281"/>
      <c r="M483" s="281"/>
    </row>
    <row r="484" spans="4:13">
      <c r="D484" s="325"/>
      <c r="E484" s="281"/>
      <c r="I484" s="281"/>
      <c r="J484" s="281"/>
      <c r="K484" s="281"/>
      <c r="L484" s="281"/>
      <c r="M484" s="281"/>
    </row>
    <row r="485" spans="4:13">
      <c r="D485" s="325"/>
      <c r="E485" s="281"/>
      <c r="I485" s="281"/>
      <c r="J485" s="281"/>
      <c r="K485" s="281"/>
      <c r="L485" s="281"/>
      <c r="M485" s="281"/>
    </row>
    <row r="486" spans="4:13">
      <c r="D486" s="325"/>
      <c r="E486" s="281"/>
      <c r="I486" s="281"/>
      <c r="J486" s="281"/>
      <c r="K486" s="281"/>
      <c r="L486" s="281"/>
      <c r="M486" s="281"/>
    </row>
    <row r="487" spans="4:13">
      <c r="D487" s="325"/>
      <c r="E487" s="281"/>
      <c r="I487" s="281"/>
      <c r="J487" s="281"/>
      <c r="K487" s="281"/>
      <c r="L487" s="281"/>
      <c r="M487" s="281"/>
    </row>
    <row r="488" spans="4:13">
      <c r="D488" s="325"/>
      <c r="E488" s="281"/>
      <c r="I488" s="281"/>
      <c r="J488" s="281"/>
      <c r="K488" s="281"/>
      <c r="L488" s="281"/>
      <c r="M488" s="281"/>
    </row>
    <row r="489" spans="4:13">
      <c r="D489" s="325"/>
      <c r="E489" s="281"/>
      <c r="I489" s="281"/>
      <c r="J489" s="281"/>
      <c r="K489" s="281"/>
      <c r="L489" s="281"/>
      <c r="M489" s="281"/>
    </row>
    <row r="490" spans="4:13">
      <c r="D490" s="325"/>
      <c r="E490" s="281"/>
      <c r="I490" s="281"/>
      <c r="J490" s="281"/>
      <c r="K490" s="281"/>
      <c r="L490" s="281"/>
      <c r="M490" s="281"/>
    </row>
    <row r="491" spans="4:13">
      <c r="D491" s="325"/>
      <c r="E491" s="281"/>
      <c r="I491" s="281"/>
      <c r="J491" s="281"/>
      <c r="K491" s="281"/>
      <c r="L491" s="281"/>
      <c r="M491" s="281"/>
    </row>
    <row r="492" spans="4:13">
      <c r="D492" s="325"/>
      <c r="E492" s="281"/>
      <c r="I492" s="281"/>
      <c r="J492" s="281"/>
      <c r="K492" s="281"/>
      <c r="L492" s="281"/>
      <c r="M492" s="281"/>
    </row>
    <row r="493" spans="4:13">
      <c r="D493" s="325"/>
      <c r="E493" s="281"/>
      <c r="I493" s="281"/>
      <c r="J493" s="281"/>
      <c r="K493" s="281"/>
      <c r="L493" s="281"/>
      <c r="M493" s="281"/>
    </row>
    <row r="494" spans="4:13">
      <c r="D494" s="325"/>
      <c r="E494" s="281"/>
      <c r="I494" s="281"/>
      <c r="J494" s="281"/>
      <c r="K494" s="281"/>
      <c r="L494" s="281"/>
      <c r="M494" s="281"/>
    </row>
    <row r="495" spans="4:13">
      <c r="D495" s="325"/>
      <c r="E495" s="281"/>
      <c r="I495" s="281"/>
      <c r="J495" s="281"/>
      <c r="K495" s="281"/>
      <c r="L495" s="281"/>
      <c r="M495" s="281"/>
    </row>
    <row r="496" spans="4:13">
      <c r="D496" s="325"/>
      <c r="E496" s="281"/>
      <c r="I496" s="281"/>
      <c r="J496" s="281"/>
      <c r="K496" s="281"/>
      <c r="L496" s="281"/>
      <c r="M496" s="281"/>
    </row>
    <row r="497" spans="4:13">
      <c r="D497" s="325"/>
      <c r="E497" s="281"/>
      <c r="I497" s="281"/>
      <c r="J497" s="281"/>
      <c r="K497" s="281"/>
      <c r="L497" s="281"/>
      <c r="M497" s="281"/>
    </row>
    <row r="498" spans="4:13">
      <c r="D498" s="325"/>
      <c r="E498" s="281"/>
      <c r="I498" s="281"/>
      <c r="J498" s="281"/>
      <c r="K498" s="281"/>
      <c r="L498" s="281"/>
      <c r="M498" s="281"/>
    </row>
    <row r="499" spans="4:13">
      <c r="D499" s="325"/>
      <c r="E499" s="281"/>
      <c r="I499" s="281"/>
      <c r="J499" s="281"/>
      <c r="K499" s="281"/>
      <c r="L499" s="281"/>
      <c r="M499" s="281"/>
    </row>
    <row r="500" spans="4:13">
      <c r="D500" s="325"/>
      <c r="E500" s="281"/>
      <c r="I500" s="281"/>
      <c r="J500" s="281"/>
      <c r="K500" s="281"/>
      <c r="L500" s="281"/>
      <c r="M500" s="281"/>
    </row>
    <row r="501" spans="4:13">
      <c r="D501" s="325"/>
      <c r="E501" s="281"/>
      <c r="I501" s="281"/>
      <c r="J501" s="281"/>
      <c r="K501" s="281"/>
      <c r="L501" s="281"/>
      <c r="M501" s="281"/>
    </row>
    <row r="502" spans="4:13">
      <c r="D502" s="325"/>
      <c r="E502" s="281"/>
      <c r="I502" s="281"/>
      <c r="J502" s="281"/>
      <c r="K502" s="281"/>
      <c r="L502" s="281"/>
      <c r="M502" s="281"/>
    </row>
    <row r="503" spans="4:13">
      <c r="D503" s="325"/>
      <c r="E503" s="281"/>
      <c r="I503" s="281"/>
      <c r="J503" s="281"/>
      <c r="K503" s="281"/>
      <c r="L503" s="281"/>
      <c r="M503" s="281"/>
    </row>
    <row r="504" spans="4:13">
      <c r="D504" s="325"/>
      <c r="E504" s="281"/>
      <c r="I504" s="281"/>
      <c r="J504" s="281"/>
      <c r="K504" s="281"/>
      <c r="L504" s="281"/>
      <c r="M504" s="281"/>
    </row>
    <row r="505" spans="4:13">
      <c r="D505" s="325"/>
      <c r="E505" s="281"/>
      <c r="I505" s="281"/>
      <c r="J505" s="281"/>
      <c r="K505" s="281"/>
      <c r="L505" s="281"/>
      <c r="M505" s="281"/>
    </row>
    <row r="506" spans="4:13">
      <c r="D506" s="325"/>
      <c r="E506" s="281"/>
      <c r="I506" s="281"/>
      <c r="J506" s="281"/>
      <c r="K506" s="281"/>
      <c r="L506" s="281"/>
      <c r="M506" s="281"/>
    </row>
    <row r="507" spans="4:13">
      <c r="D507" s="325"/>
      <c r="E507" s="281"/>
      <c r="I507" s="281"/>
      <c r="J507" s="281"/>
      <c r="K507" s="281"/>
      <c r="L507" s="281"/>
      <c r="M507" s="281"/>
    </row>
    <row r="508" spans="4:13">
      <c r="D508" s="325"/>
      <c r="E508" s="281"/>
      <c r="I508" s="281"/>
      <c r="J508" s="281"/>
      <c r="K508" s="281"/>
      <c r="L508" s="281"/>
      <c r="M508" s="281"/>
    </row>
    <row r="509" spans="4:13">
      <c r="D509" s="325"/>
      <c r="E509" s="281"/>
      <c r="I509" s="281"/>
      <c r="J509" s="281"/>
      <c r="K509" s="281"/>
      <c r="L509" s="281"/>
      <c r="M509" s="281"/>
    </row>
    <row r="510" spans="4:13">
      <c r="D510" s="325"/>
      <c r="E510" s="281"/>
      <c r="I510" s="281"/>
      <c r="J510" s="281"/>
      <c r="K510" s="281"/>
      <c r="L510" s="281"/>
      <c r="M510" s="281"/>
    </row>
    <row r="511" spans="4:13">
      <c r="D511" s="325"/>
      <c r="E511" s="281"/>
      <c r="I511" s="281"/>
      <c r="J511" s="281"/>
      <c r="K511" s="281"/>
      <c r="L511" s="281"/>
      <c r="M511" s="281"/>
    </row>
    <row r="512" spans="4:13">
      <c r="D512" s="325"/>
      <c r="E512" s="281"/>
      <c r="I512" s="281"/>
      <c r="J512" s="281"/>
      <c r="K512" s="281"/>
      <c r="L512" s="281"/>
      <c r="M512" s="281"/>
    </row>
    <row r="513" spans="4:13">
      <c r="D513" s="325"/>
      <c r="E513" s="281"/>
      <c r="I513" s="281"/>
      <c r="J513" s="281"/>
      <c r="K513" s="281"/>
      <c r="L513" s="281"/>
      <c r="M513" s="281"/>
    </row>
    <row r="514" spans="4:13">
      <c r="D514" s="325"/>
      <c r="E514" s="281"/>
      <c r="I514" s="281"/>
      <c r="J514" s="281"/>
      <c r="K514" s="281"/>
      <c r="L514" s="281"/>
      <c r="M514" s="281"/>
    </row>
    <row r="515" spans="4:13">
      <c r="D515" s="325"/>
      <c r="E515" s="281"/>
      <c r="I515" s="281"/>
      <c r="J515" s="281"/>
      <c r="K515" s="281"/>
      <c r="L515" s="281"/>
      <c r="M515" s="281"/>
    </row>
    <row r="516" spans="4:13">
      <c r="D516" s="325"/>
      <c r="E516" s="281"/>
      <c r="I516" s="281"/>
      <c r="J516" s="281"/>
      <c r="K516" s="281"/>
      <c r="L516" s="281"/>
      <c r="M516" s="281"/>
    </row>
    <row r="517" spans="4:13">
      <c r="D517" s="325"/>
      <c r="E517" s="281"/>
      <c r="I517" s="281"/>
      <c r="J517" s="281"/>
      <c r="K517" s="281"/>
      <c r="L517" s="281"/>
      <c r="M517" s="281"/>
    </row>
    <row r="518" spans="4:13">
      <c r="D518" s="325"/>
      <c r="E518" s="281"/>
      <c r="I518" s="281"/>
      <c r="J518" s="281"/>
      <c r="K518" s="281"/>
      <c r="L518" s="281"/>
      <c r="M518" s="281"/>
    </row>
    <row r="519" spans="4:13">
      <c r="D519" s="325"/>
      <c r="E519" s="281"/>
      <c r="I519" s="281"/>
      <c r="J519" s="281"/>
      <c r="K519" s="281"/>
      <c r="L519" s="281"/>
      <c r="M519" s="281"/>
    </row>
    <row r="520" spans="4:13">
      <c r="D520" s="325"/>
      <c r="E520" s="281"/>
      <c r="I520" s="281"/>
      <c r="J520" s="281"/>
      <c r="K520" s="281"/>
      <c r="L520" s="281"/>
      <c r="M520" s="281"/>
    </row>
    <row r="521" spans="4:13">
      <c r="D521" s="325"/>
      <c r="E521" s="281"/>
      <c r="I521" s="281"/>
      <c r="J521" s="281"/>
      <c r="K521" s="281"/>
      <c r="L521" s="281"/>
      <c r="M521" s="281"/>
    </row>
    <row r="522" spans="4:13">
      <c r="D522" s="325"/>
      <c r="E522" s="281"/>
      <c r="I522" s="281"/>
      <c r="J522" s="281"/>
      <c r="K522" s="281"/>
      <c r="L522" s="281"/>
      <c r="M522" s="281"/>
    </row>
    <row r="523" spans="4:13">
      <c r="D523" s="325"/>
      <c r="E523" s="281"/>
      <c r="I523" s="281"/>
      <c r="J523" s="281"/>
      <c r="K523" s="281"/>
      <c r="L523" s="281"/>
      <c r="M523" s="281"/>
    </row>
    <row r="524" spans="4:13">
      <c r="D524" s="325"/>
      <c r="E524" s="281"/>
      <c r="I524" s="281"/>
      <c r="J524" s="281"/>
      <c r="K524" s="281"/>
      <c r="L524" s="281"/>
      <c r="M524" s="281"/>
    </row>
    <row r="525" spans="4:13">
      <c r="D525" s="325"/>
      <c r="E525" s="281"/>
      <c r="I525" s="281"/>
      <c r="J525" s="281"/>
      <c r="K525" s="281"/>
      <c r="L525" s="281"/>
      <c r="M525" s="281"/>
    </row>
    <row r="526" spans="4:13">
      <c r="D526" s="325"/>
      <c r="E526" s="281"/>
      <c r="I526" s="281"/>
      <c r="J526" s="281"/>
      <c r="K526" s="281"/>
      <c r="L526" s="281"/>
      <c r="M526" s="281"/>
    </row>
    <row r="527" spans="4:13">
      <c r="D527" s="325"/>
      <c r="E527" s="281"/>
      <c r="I527" s="281"/>
      <c r="J527" s="281"/>
      <c r="K527" s="281"/>
      <c r="L527" s="281"/>
      <c r="M527" s="281"/>
    </row>
    <row r="528" spans="4:13">
      <c r="D528" s="325"/>
      <c r="E528" s="281"/>
      <c r="I528" s="281"/>
      <c r="J528" s="281"/>
      <c r="K528" s="281"/>
      <c r="L528" s="281"/>
      <c r="M528" s="281"/>
    </row>
    <row r="529" spans="4:13">
      <c r="D529" s="325"/>
      <c r="E529" s="281"/>
      <c r="I529" s="281"/>
      <c r="J529" s="281"/>
      <c r="K529" s="281"/>
      <c r="L529" s="281"/>
      <c r="M529" s="281"/>
    </row>
    <row r="530" spans="4:13">
      <c r="D530" s="325"/>
      <c r="E530" s="281"/>
      <c r="I530" s="281"/>
      <c r="J530" s="281"/>
      <c r="K530" s="281"/>
      <c r="L530" s="281"/>
      <c r="M530" s="281"/>
    </row>
    <row r="531" spans="4:13">
      <c r="D531" s="325"/>
      <c r="E531" s="281"/>
      <c r="I531" s="281"/>
      <c r="J531" s="281"/>
      <c r="K531" s="281"/>
      <c r="L531" s="281"/>
      <c r="M531" s="281"/>
    </row>
    <row r="532" spans="4:13">
      <c r="D532" s="325"/>
      <c r="E532" s="281"/>
      <c r="I532" s="281"/>
      <c r="J532" s="281"/>
      <c r="K532" s="281"/>
      <c r="L532" s="281"/>
      <c r="M532" s="281"/>
    </row>
    <row r="533" spans="4:13">
      <c r="D533" s="325"/>
      <c r="E533" s="281"/>
      <c r="I533" s="281"/>
      <c r="J533" s="281"/>
      <c r="K533" s="281"/>
      <c r="L533" s="281"/>
      <c r="M533" s="281"/>
    </row>
    <row r="534" spans="4:13">
      <c r="D534" s="325"/>
      <c r="E534" s="281"/>
      <c r="I534" s="281"/>
      <c r="J534" s="281"/>
      <c r="K534" s="281"/>
      <c r="L534" s="281"/>
      <c r="M534" s="281"/>
    </row>
    <row r="535" spans="4:13">
      <c r="D535" s="325"/>
      <c r="E535" s="281"/>
      <c r="I535" s="281"/>
      <c r="J535" s="281"/>
      <c r="K535" s="281"/>
      <c r="L535" s="281"/>
      <c r="M535" s="281"/>
    </row>
    <row r="536" spans="4:13">
      <c r="D536" s="325"/>
      <c r="E536" s="281"/>
      <c r="I536" s="281"/>
      <c r="J536" s="281"/>
      <c r="K536" s="281"/>
      <c r="L536" s="281"/>
      <c r="M536" s="281"/>
    </row>
    <row r="537" spans="4:13">
      <c r="D537" s="325"/>
      <c r="E537" s="281"/>
      <c r="I537" s="281"/>
      <c r="J537" s="281"/>
      <c r="K537" s="281"/>
      <c r="L537" s="281"/>
      <c r="M537" s="281"/>
    </row>
    <row r="538" spans="4:13">
      <c r="D538" s="325"/>
      <c r="E538" s="281"/>
      <c r="I538" s="281"/>
      <c r="J538" s="281"/>
      <c r="K538" s="281"/>
      <c r="L538" s="281"/>
      <c r="M538" s="281"/>
    </row>
    <row r="539" spans="4:13">
      <c r="D539" s="325"/>
      <c r="E539" s="281"/>
      <c r="I539" s="281"/>
      <c r="J539" s="281"/>
      <c r="K539" s="281"/>
      <c r="L539" s="281"/>
      <c r="M539" s="281"/>
    </row>
    <row r="540" spans="4:13">
      <c r="D540" s="325"/>
      <c r="E540" s="281"/>
      <c r="I540" s="281"/>
      <c r="J540" s="281"/>
      <c r="K540" s="281"/>
      <c r="L540" s="281"/>
      <c r="M540" s="281"/>
    </row>
    <row r="541" spans="4:13">
      <c r="D541" s="325"/>
      <c r="E541" s="281"/>
      <c r="I541" s="281"/>
      <c r="J541" s="281"/>
      <c r="K541" s="281"/>
      <c r="L541" s="281"/>
      <c r="M541" s="281"/>
    </row>
    <row r="542" spans="4:13">
      <c r="D542" s="325"/>
      <c r="E542" s="281"/>
      <c r="I542" s="281"/>
      <c r="J542" s="281"/>
      <c r="K542" s="281"/>
      <c r="L542" s="281"/>
      <c r="M542" s="281"/>
    </row>
    <row r="543" spans="4:13">
      <c r="D543" s="325"/>
      <c r="E543" s="281"/>
      <c r="I543" s="281"/>
      <c r="J543" s="281"/>
      <c r="K543" s="281"/>
      <c r="L543" s="281"/>
      <c r="M543" s="281"/>
    </row>
    <row r="544" spans="4:13">
      <c r="D544" s="325"/>
      <c r="E544" s="281"/>
      <c r="I544" s="281"/>
      <c r="J544" s="281"/>
      <c r="K544" s="281"/>
      <c r="L544" s="281"/>
      <c r="M544" s="281"/>
    </row>
    <row r="545" spans="4:13">
      <c r="D545" s="325"/>
      <c r="E545" s="281"/>
      <c r="I545" s="281"/>
      <c r="J545" s="281"/>
      <c r="K545" s="281"/>
      <c r="L545" s="281"/>
      <c r="M545" s="281"/>
    </row>
    <row r="546" spans="4:13">
      <c r="D546" s="325"/>
      <c r="E546" s="281"/>
      <c r="I546" s="281"/>
      <c r="J546" s="281"/>
      <c r="K546" s="281"/>
      <c r="L546" s="281"/>
      <c r="M546" s="281"/>
    </row>
    <row r="547" spans="4:13">
      <c r="D547" s="325"/>
      <c r="E547" s="281"/>
      <c r="I547" s="281"/>
      <c r="J547" s="281"/>
      <c r="K547" s="281"/>
      <c r="L547" s="281"/>
      <c r="M547" s="281"/>
    </row>
    <row r="548" spans="4:13">
      <c r="D548" s="325"/>
      <c r="E548" s="281"/>
      <c r="I548" s="281"/>
      <c r="J548" s="281"/>
      <c r="K548" s="281"/>
      <c r="L548" s="281"/>
      <c r="M548" s="281"/>
    </row>
    <row r="549" spans="4:13">
      <c r="D549" s="325"/>
      <c r="E549" s="281"/>
      <c r="I549" s="281"/>
      <c r="J549" s="281"/>
      <c r="K549" s="281"/>
      <c r="L549" s="281"/>
      <c r="M549" s="281"/>
    </row>
    <row r="550" spans="4:13">
      <c r="D550" s="325"/>
      <c r="E550" s="281"/>
      <c r="I550" s="281"/>
      <c r="J550" s="281"/>
      <c r="K550" s="281"/>
      <c r="L550" s="281"/>
      <c r="M550" s="281"/>
    </row>
    <row r="551" spans="4:13">
      <c r="D551" s="325"/>
      <c r="E551" s="281"/>
      <c r="I551" s="281"/>
      <c r="J551" s="281"/>
      <c r="K551" s="281"/>
      <c r="L551" s="281"/>
      <c r="M551" s="281"/>
    </row>
    <row r="552" spans="4:13">
      <c r="D552" s="325"/>
      <c r="E552" s="281"/>
      <c r="I552" s="281"/>
      <c r="J552" s="281"/>
      <c r="K552" s="281"/>
      <c r="L552" s="281"/>
      <c r="M552" s="281"/>
    </row>
    <row r="553" spans="4:13">
      <c r="D553" s="325"/>
      <c r="E553" s="281"/>
      <c r="I553" s="281"/>
      <c r="J553" s="281"/>
      <c r="K553" s="281"/>
      <c r="L553" s="281"/>
      <c r="M553" s="281"/>
    </row>
    <row r="554" spans="4:13">
      <c r="D554" s="325"/>
      <c r="E554" s="281"/>
      <c r="I554" s="281"/>
      <c r="J554" s="281"/>
      <c r="K554" s="281"/>
      <c r="L554" s="281"/>
      <c r="M554" s="281"/>
    </row>
    <row r="555" spans="4:13">
      <c r="D555" s="325"/>
      <c r="E555" s="281"/>
      <c r="I555" s="281"/>
      <c r="J555" s="281"/>
      <c r="K555" s="281"/>
      <c r="L555" s="281"/>
      <c r="M555" s="281"/>
    </row>
    <row r="556" spans="4:13">
      <c r="D556" s="325"/>
      <c r="E556" s="281"/>
      <c r="I556" s="281"/>
      <c r="J556" s="281"/>
      <c r="K556" s="281"/>
      <c r="L556" s="281"/>
      <c r="M556" s="281"/>
    </row>
    <row r="557" spans="4:13">
      <c r="D557" s="325"/>
      <c r="E557" s="281"/>
      <c r="I557" s="281"/>
      <c r="J557" s="281"/>
      <c r="K557" s="281"/>
      <c r="L557" s="281"/>
      <c r="M557" s="281"/>
    </row>
    <row r="558" spans="4:13">
      <c r="D558" s="325"/>
      <c r="E558" s="281"/>
      <c r="I558" s="281"/>
      <c r="J558" s="281"/>
      <c r="K558" s="281"/>
      <c r="L558" s="281"/>
      <c r="M558" s="281"/>
    </row>
    <row r="559" spans="4:13">
      <c r="D559" s="325"/>
      <c r="E559" s="281"/>
      <c r="I559" s="281"/>
      <c r="J559" s="281"/>
      <c r="K559" s="281"/>
      <c r="L559" s="281"/>
      <c r="M559" s="281"/>
    </row>
    <row r="560" spans="4:13">
      <c r="D560" s="325"/>
      <c r="E560" s="281"/>
      <c r="I560" s="281"/>
      <c r="J560" s="281"/>
      <c r="K560" s="281"/>
      <c r="L560" s="281"/>
      <c r="M560" s="281"/>
    </row>
    <row r="561" spans="4:13">
      <c r="D561" s="325"/>
      <c r="E561" s="281"/>
      <c r="I561" s="281"/>
      <c r="J561" s="281"/>
      <c r="K561" s="281"/>
      <c r="L561" s="281"/>
      <c r="M561" s="281"/>
    </row>
    <row r="562" spans="4:13">
      <c r="D562" s="325"/>
      <c r="E562" s="281"/>
      <c r="I562" s="281"/>
      <c r="J562" s="281"/>
      <c r="K562" s="281"/>
      <c r="L562" s="281"/>
      <c r="M562" s="281"/>
    </row>
    <row r="563" spans="4:13">
      <c r="D563" s="325"/>
      <c r="E563" s="281"/>
      <c r="I563" s="281"/>
      <c r="J563" s="281"/>
      <c r="K563" s="281"/>
      <c r="L563" s="281"/>
      <c r="M563" s="281"/>
    </row>
    <row r="564" spans="4:13">
      <c r="D564" s="325"/>
      <c r="E564" s="281"/>
      <c r="I564" s="281"/>
      <c r="J564" s="281"/>
      <c r="K564" s="281"/>
      <c r="L564" s="281"/>
      <c r="M564" s="281"/>
    </row>
    <row r="565" spans="4:13">
      <c r="D565" s="325"/>
      <c r="E565" s="281"/>
      <c r="I565" s="281"/>
      <c r="J565" s="281"/>
      <c r="K565" s="281"/>
      <c r="L565" s="281"/>
      <c r="M565" s="281"/>
    </row>
    <row r="566" spans="4:13">
      <c r="D566" s="325"/>
      <c r="E566" s="281"/>
      <c r="I566" s="281"/>
      <c r="J566" s="281"/>
      <c r="K566" s="281"/>
      <c r="L566" s="281"/>
      <c r="M566" s="281"/>
    </row>
    <row r="567" spans="4:13">
      <c r="D567" s="325"/>
      <c r="E567" s="281"/>
      <c r="I567" s="281"/>
      <c r="J567" s="281"/>
      <c r="K567" s="281"/>
      <c r="L567" s="281"/>
      <c r="M567" s="281"/>
    </row>
    <row r="568" spans="4:13">
      <c r="D568" s="325"/>
      <c r="E568" s="281"/>
      <c r="I568" s="281"/>
      <c r="J568" s="281"/>
      <c r="K568" s="281"/>
      <c r="L568" s="281"/>
      <c r="M568" s="281"/>
    </row>
    <row r="569" spans="4:13">
      <c r="D569" s="325"/>
      <c r="E569" s="281"/>
      <c r="I569" s="281"/>
      <c r="J569" s="281"/>
      <c r="K569" s="281"/>
      <c r="L569" s="281"/>
      <c r="M569" s="281"/>
    </row>
    <row r="570" spans="4:13">
      <c r="D570" s="325"/>
      <c r="E570" s="281"/>
      <c r="I570" s="281"/>
      <c r="J570" s="281"/>
      <c r="K570" s="281"/>
      <c r="L570" s="281"/>
      <c r="M570" s="281"/>
    </row>
    <row r="571" spans="4:13">
      <c r="D571" s="325"/>
      <c r="E571" s="281"/>
      <c r="I571" s="281"/>
      <c r="J571" s="281"/>
      <c r="K571" s="281"/>
      <c r="L571" s="281"/>
      <c r="M571" s="281"/>
    </row>
    <row r="572" spans="4:13">
      <c r="D572" s="325"/>
      <c r="E572" s="281"/>
      <c r="I572" s="281"/>
      <c r="J572" s="281"/>
      <c r="K572" s="281"/>
      <c r="L572" s="281"/>
      <c r="M572" s="281"/>
    </row>
    <row r="573" spans="4:13">
      <c r="D573" s="325"/>
      <c r="E573" s="281"/>
      <c r="I573" s="281"/>
      <c r="J573" s="281"/>
      <c r="K573" s="281"/>
      <c r="L573" s="281"/>
      <c r="M573" s="281"/>
    </row>
    <row r="574" spans="4:13">
      <c r="D574" s="325"/>
      <c r="E574" s="281"/>
      <c r="I574" s="281"/>
      <c r="J574" s="281"/>
      <c r="K574" s="281"/>
      <c r="L574" s="281"/>
      <c r="M574" s="281"/>
    </row>
    <row r="575" spans="4:13">
      <c r="D575" s="325"/>
      <c r="E575" s="281"/>
      <c r="I575" s="281"/>
      <c r="J575" s="281"/>
      <c r="K575" s="281"/>
      <c r="L575" s="281"/>
      <c r="M575" s="281"/>
    </row>
    <row r="576" spans="4:13">
      <c r="D576" s="325"/>
      <c r="E576" s="281"/>
      <c r="I576" s="281"/>
      <c r="J576" s="281"/>
      <c r="K576" s="281"/>
      <c r="L576" s="281"/>
      <c r="M576" s="281"/>
    </row>
    <row r="577" spans="4:13">
      <c r="D577" s="325"/>
      <c r="E577" s="281"/>
      <c r="I577" s="281"/>
      <c r="J577" s="281"/>
      <c r="K577" s="281"/>
      <c r="L577" s="281"/>
      <c r="M577" s="281"/>
    </row>
    <row r="578" spans="4:13">
      <c r="D578" s="325"/>
      <c r="E578" s="281"/>
      <c r="I578" s="281"/>
      <c r="J578" s="281"/>
      <c r="K578" s="281"/>
      <c r="L578" s="281"/>
      <c r="M578" s="281"/>
    </row>
    <row r="579" spans="4:13">
      <c r="D579" s="325"/>
      <c r="E579" s="281"/>
      <c r="I579" s="281"/>
      <c r="J579" s="281"/>
      <c r="K579" s="281"/>
      <c r="L579" s="281"/>
      <c r="M579" s="281"/>
    </row>
    <row r="580" spans="4:13">
      <c r="D580" s="325"/>
      <c r="E580" s="281"/>
      <c r="I580" s="281"/>
      <c r="J580" s="281"/>
      <c r="K580" s="281"/>
      <c r="L580" s="281"/>
      <c r="M580" s="281"/>
    </row>
    <row r="581" spans="4:13">
      <c r="D581" s="325"/>
      <c r="E581" s="281"/>
      <c r="I581" s="281"/>
      <c r="J581" s="281"/>
      <c r="K581" s="281"/>
      <c r="L581" s="281"/>
      <c r="M581" s="281"/>
    </row>
    <row r="582" spans="4:13">
      <c r="D582" s="325"/>
      <c r="E582" s="281"/>
      <c r="I582" s="281"/>
      <c r="J582" s="281"/>
      <c r="K582" s="281"/>
      <c r="L582" s="281"/>
      <c r="M582" s="281"/>
    </row>
    <row r="583" spans="4:13">
      <c r="D583" s="325"/>
      <c r="E583" s="281"/>
      <c r="I583" s="281"/>
      <c r="J583" s="281"/>
      <c r="K583" s="281"/>
      <c r="L583" s="281"/>
      <c r="M583" s="281"/>
    </row>
    <row r="584" spans="4:13">
      <c r="D584" s="325"/>
      <c r="E584" s="281"/>
      <c r="I584" s="281"/>
      <c r="J584" s="281"/>
      <c r="K584" s="281"/>
      <c r="L584" s="281"/>
      <c r="M584" s="281"/>
    </row>
    <row r="585" spans="4:13">
      <c r="D585" s="325"/>
      <c r="E585" s="281"/>
      <c r="I585" s="281"/>
      <c r="J585" s="281"/>
      <c r="K585" s="281"/>
      <c r="L585" s="281"/>
      <c r="M585" s="281"/>
    </row>
    <row r="586" spans="4:13">
      <c r="D586" s="325"/>
      <c r="E586" s="281"/>
      <c r="I586" s="281"/>
      <c r="J586" s="281"/>
      <c r="K586" s="281"/>
      <c r="L586" s="281"/>
      <c r="M586" s="281"/>
    </row>
    <row r="587" spans="4:13">
      <c r="D587" s="325"/>
      <c r="E587" s="281"/>
      <c r="I587" s="281"/>
      <c r="J587" s="281"/>
      <c r="K587" s="281"/>
      <c r="L587" s="281"/>
      <c r="M587" s="281"/>
    </row>
    <row r="588" spans="4:13">
      <c r="D588" s="325"/>
      <c r="E588" s="281"/>
      <c r="I588" s="281"/>
      <c r="J588" s="281"/>
      <c r="K588" s="281"/>
      <c r="L588" s="281"/>
      <c r="M588" s="281"/>
    </row>
    <row r="589" spans="4:13">
      <c r="D589" s="325"/>
      <c r="E589" s="281"/>
      <c r="I589" s="281"/>
      <c r="J589" s="281"/>
      <c r="K589" s="281"/>
      <c r="L589" s="281"/>
      <c r="M589" s="281"/>
    </row>
    <row r="590" spans="4:13">
      <c r="D590" s="325"/>
      <c r="E590" s="281"/>
      <c r="I590" s="281"/>
      <c r="J590" s="281"/>
      <c r="K590" s="281"/>
      <c r="L590" s="281"/>
      <c r="M590" s="281"/>
    </row>
    <row r="591" spans="4:13">
      <c r="D591" s="325"/>
      <c r="E591" s="281"/>
      <c r="I591" s="281"/>
      <c r="J591" s="281"/>
      <c r="K591" s="281"/>
      <c r="L591" s="281"/>
      <c r="M591" s="281"/>
    </row>
    <row r="592" spans="4:13">
      <c r="D592" s="325"/>
      <c r="E592" s="281"/>
      <c r="I592" s="281"/>
      <c r="J592" s="281"/>
      <c r="K592" s="281"/>
      <c r="L592" s="281"/>
      <c r="M592" s="281"/>
    </row>
    <row r="593" spans="4:13">
      <c r="D593" s="325"/>
      <c r="E593" s="281"/>
      <c r="I593" s="281"/>
      <c r="J593" s="281"/>
      <c r="K593" s="281"/>
      <c r="L593" s="281"/>
      <c r="M593" s="281"/>
    </row>
    <row r="594" spans="4:13">
      <c r="D594" s="325"/>
      <c r="E594" s="281"/>
      <c r="I594" s="281"/>
      <c r="J594" s="281"/>
      <c r="K594" s="281"/>
      <c r="L594" s="281"/>
      <c r="M594" s="281"/>
    </row>
    <row r="595" spans="4:13">
      <c r="D595" s="325"/>
      <c r="E595" s="281"/>
      <c r="I595" s="281"/>
      <c r="J595" s="281"/>
      <c r="K595" s="281"/>
      <c r="L595" s="281"/>
      <c r="M595" s="281"/>
    </row>
    <row r="596" spans="4:13">
      <c r="D596" s="325"/>
      <c r="E596" s="281"/>
      <c r="I596" s="281"/>
      <c r="J596" s="281"/>
      <c r="K596" s="281"/>
      <c r="L596" s="281"/>
      <c r="M596" s="281"/>
    </row>
    <row r="597" spans="4:13">
      <c r="D597" s="325"/>
      <c r="E597" s="281"/>
      <c r="I597" s="281"/>
      <c r="J597" s="281"/>
      <c r="K597" s="281"/>
      <c r="L597" s="281"/>
      <c r="M597" s="281"/>
    </row>
    <row r="598" spans="4:13">
      <c r="D598" s="325"/>
      <c r="E598" s="281"/>
      <c r="I598" s="281"/>
      <c r="J598" s="281"/>
      <c r="K598" s="281"/>
      <c r="L598" s="281"/>
      <c r="M598" s="281"/>
    </row>
    <row r="599" spans="4:13">
      <c r="D599" s="325"/>
      <c r="E599" s="281"/>
      <c r="I599" s="281"/>
      <c r="J599" s="281"/>
      <c r="K599" s="281"/>
      <c r="L599" s="281"/>
      <c r="M599" s="281"/>
    </row>
    <row r="600" spans="4:13">
      <c r="D600" s="325"/>
      <c r="E600" s="281"/>
      <c r="I600" s="281"/>
      <c r="J600" s="281"/>
      <c r="K600" s="281"/>
      <c r="L600" s="281"/>
      <c r="M600" s="281"/>
    </row>
    <row r="601" spans="4:13">
      <c r="D601" s="325"/>
      <c r="E601" s="281"/>
      <c r="I601" s="281"/>
      <c r="J601" s="281"/>
      <c r="K601" s="281"/>
      <c r="L601" s="281"/>
      <c r="M601" s="281"/>
    </row>
    <row r="602" spans="4:13">
      <c r="D602" s="325"/>
      <c r="E602" s="281"/>
      <c r="I602" s="281"/>
      <c r="J602" s="281"/>
      <c r="K602" s="281"/>
      <c r="L602" s="281"/>
      <c r="M602" s="281"/>
    </row>
    <row r="603" spans="4:13">
      <c r="D603" s="325"/>
      <c r="E603" s="281"/>
      <c r="I603" s="281"/>
      <c r="J603" s="281"/>
      <c r="K603" s="281"/>
      <c r="L603" s="281"/>
      <c r="M603" s="281"/>
    </row>
    <row r="604" spans="4:13">
      <c r="D604" s="325"/>
      <c r="E604" s="281"/>
      <c r="I604" s="281"/>
      <c r="J604" s="281"/>
      <c r="K604" s="281"/>
      <c r="L604" s="281"/>
      <c r="M604" s="281"/>
    </row>
    <row r="605" spans="4:13">
      <c r="D605" s="325"/>
      <c r="E605" s="281"/>
      <c r="I605" s="281"/>
      <c r="J605" s="281"/>
      <c r="K605" s="281"/>
      <c r="L605" s="281"/>
      <c r="M605" s="281"/>
    </row>
    <row r="606" spans="4:13">
      <c r="D606" s="325"/>
      <c r="E606" s="281"/>
      <c r="I606" s="281"/>
      <c r="J606" s="281"/>
      <c r="K606" s="281"/>
      <c r="L606" s="281"/>
      <c r="M606" s="281"/>
    </row>
    <row r="607" spans="4:13">
      <c r="D607" s="325"/>
      <c r="E607" s="281"/>
      <c r="I607" s="281"/>
      <c r="J607" s="281"/>
      <c r="K607" s="281"/>
      <c r="L607" s="281"/>
      <c r="M607" s="281"/>
    </row>
    <row r="608" spans="4:13">
      <c r="D608" s="325"/>
      <c r="E608" s="281"/>
      <c r="I608" s="281"/>
      <c r="J608" s="281"/>
      <c r="K608" s="281"/>
      <c r="L608" s="281"/>
      <c r="M608" s="281"/>
    </row>
    <row r="609" spans="4:13">
      <c r="D609" s="325"/>
      <c r="E609" s="281"/>
      <c r="I609" s="281"/>
      <c r="J609" s="281"/>
      <c r="K609" s="281"/>
      <c r="L609" s="281"/>
      <c r="M609" s="281"/>
    </row>
    <row r="610" spans="4:13">
      <c r="D610" s="325"/>
      <c r="E610" s="281"/>
      <c r="I610" s="281"/>
      <c r="J610" s="281"/>
      <c r="K610" s="281"/>
      <c r="L610" s="281"/>
      <c r="M610" s="281"/>
    </row>
    <row r="611" spans="4:13">
      <c r="D611" s="325"/>
      <c r="E611" s="281"/>
      <c r="I611" s="281"/>
      <c r="J611" s="281"/>
      <c r="K611" s="281"/>
      <c r="L611" s="281"/>
      <c r="M611" s="281"/>
    </row>
    <row r="612" spans="4:13">
      <c r="D612" s="325"/>
      <c r="E612" s="281"/>
      <c r="I612" s="281"/>
      <c r="J612" s="281"/>
      <c r="K612" s="281"/>
      <c r="L612" s="281"/>
      <c r="M612" s="281"/>
    </row>
    <row r="613" spans="4:13">
      <c r="D613" s="325"/>
      <c r="E613" s="281"/>
      <c r="I613" s="281"/>
      <c r="J613" s="281"/>
      <c r="K613" s="281"/>
      <c r="L613" s="281"/>
      <c r="M613" s="281"/>
    </row>
    <row r="614" spans="4:13">
      <c r="D614" s="325"/>
      <c r="E614" s="281"/>
      <c r="I614" s="281"/>
      <c r="J614" s="281"/>
      <c r="K614" s="281"/>
      <c r="L614" s="281"/>
      <c r="M614" s="281"/>
    </row>
    <row r="615" spans="4:13">
      <c r="D615" s="325"/>
      <c r="E615" s="281"/>
      <c r="I615" s="281"/>
      <c r="J615" s="281"/>
      <c r="K615" s="281"/>
      <c r="L615" s="281"/>
      <c r="M615" s="281"/>
    </row>
    <row r="616" spans="4:13">
      <c r="D616" s="325"/>
      <c r="E616" s="281"/>
      <c r="I616" s="281"/>
      <c r="J616" s="281"/>
      <c r="K616" s="281"/>
      <c r="L616" s="281"/>
      <c r="M616" s="281"/>
    </row>
    <row r="617" spans="4:13">
      <c r="D617" s="325"/>
      <c r="E617" s="281"/>
      <c r="I617" s="281"/>
      <c r="J617" s="281"/>
      <c r="K617" s="281"/>
      <c r="L617" s="281"/>
      <c r="M617" s="281"/>
    </row>
    <row r="618" spans="4:13">
      <c r="D618" s="325"/>
      <c r="E618" s="281"/>
      <c r="I618" s="281"/>
      <c r="J618" s="281"/>
      <c r="K618" s="281"/>
      <c r="L618" s="281"/>
      <c r="M618" s="281"/>
    </row>
    <row r="619" spans="4:13">
      <c r="D619" s="325"/>
      <c r="E619" s="281"/>
      <c r="I619" s="281"/>
      <c r="J619" s="281"/>
      <c r="K619" s="281"/>
      <c r="L619" s="281"/>
      <c r="M619" s="281"/>
    </row>
    <row r="620" spans="4:13">
      <c r="D620" s="325"/>
      <c r="E620" s="281"/>
      <c r="I620" s="281"/>
      <c r="J620" s="281"/>
      <c r="K620" s="281"/>
      <c r="L620" s="281"/>
      <c r="M620" s="281"/>
    </row>
    <row r="621" spans="4:13">
      <c r="D621" s="325"/>
      <c r="E621" s="281"/>
      <c r="I621" s="281"/>
      <c r="J621" s="281"/>
      <c r="K621" s="281"/>
      <c r="L621" s="281"/>
      <c r="M621" s="281"/>
    </row>
    <row r="622" spans="4:13">
      <c r="D622" s="325"/>
      <c r="E622" s="281"/>
      <c r="I622" s="281"/>
      <c r="J622" s="281"/>
      <c r="K622" s="281"/>
      <c r="L622" s="281"/>
      <c r="M622" s="281"/>
    </row>
    <row r="623" spans="4:13">
      <c r="D623" s="325"/>
      <c r="E623" s="281"/>
      <c r="I623" s="281"/>
      <c r="J623" s="281"/>
      <c r="K623" s="281"/>
      <c r="L623" s="281"/>
      <c r="M623" s="281"/>
    </row>
    <row r="624" spans="4:13">
      <c r="D624" s="325"/>
      <c r="E624" s="281"/>
      <c r="I624" s="281"/>
      <c r="J624" s="281"/>
      <c r="K624" s="281"/>
      <c r="L624" s="281"/>
      <c r="M624" s="281"/>
    </row>
    <row r="625" spans="4:13">
      <c r="D625" s="325"/>
      <c r="E625" s="281"/>
      <c r="I625" s="281"/>
      <c r="J625" s="281"/>
      <c r="K625" s="281"/>
      <c r="L625" s="281"/>
      <c r="M625" s="281"/>
    </row>
    <row r="626" spans="4:13">
      <c r="D626" s="325"/>
      <c r="E626" s="281"/>
      <c r="I626" s="281"/>
      <c r="J626" s="281"/>
      <c r="K626" s="281"/>
      <c r="L626" s="281"/>
      <c r="M626" s="281"/>
    </row>
    <row r="627" spans="4:13">
      <c r="D627" s="325"/>
      <c r="E627" s="281"/>
      <c r="I627" s="281"/>
      <c r="J627" s="281"/>
      <c r="K627" s="281"/>
      <c r="L627" s="281"/>
      <c r="M627" s="281"/>
    </row>
    <row r="628" spans="4:13">
      <c r="D628" s="325"/>
      <c r="E628" s="281"/>
      <c r="I628" s="281"/>
      <c r="J628" s="281"/>
      <c r="K628" s="281"/>
      <c r="L628" s="281"/>
      <c r="M628" s="281"/>
    </row>
    <row r="629" spans="4:13">
      <c r="D629" s="325"/>
      <c r="E629" s="281"/>
      <c r="I629" s="281"/>
      <c r="J629" s="281"/>
      <c r="K629" s="281"/>
      <c r="L629" s="281"/>
      <c r="M629" s="281"/>
    </row>
    <row r="630" spans="4:13">
      <c r="D630" s="325"/>
      <c r="E630" s="281"/>
      <c r="I630" s="281"/>
      <c r="J630" s="281"/>
      <c r="K630" s="281"/>
      <c r="L630" s="281"/>
      <c r="M630" s="281"/>
    </row>
    <row r="631" spans="4:13">
      <c r="D631" s="325"/>
      <c r="E631" s="281"/>
      <c r="I631" s="281"/>
      <c r="J631" s="281"/>
      <c r="K631" s="281"/>
      <c r="L631" s="281"/>
      <c r="M631" s="281"/>
    </row>
    <row r="632" spans="4:13">
      <c r="D632" s="325"/>
      <c r="E632" s="281"/>
      <c r="I632" s="281"/>
      <c r="J632" s="281"/>
      <c r="K632" s="281"/>
      <c r="L632" s="281"/>
      <c r="M632" s="281"/>
    </row>
    <row r="633" spans="4:13">
      <c r="D633" s="325"/>
      <c r="E633" s="281"/>
      <c r="I633" s="281"/>
      <c r="J633" s="281"/>
      <c r="K633" s="281"/>
      <c r="L633" s="281"/>
      <c r="M633" s="281"/>
    </row>
    <row r="634" spans="4:13">
      <c r="D634" s="325"/>
      <c r="E634" s="281"/>
      <c r="I634" s="281"/>
      <c r="J634" s="281"/>
      <c r="K634" s="281"/>
      <c r="L634" s="281"/>
      <c r="M634" s="281"/>
    </row>
    <row r="635" spans="4:13">
      <c r="D635" s="325"/>
      <c r="E635" s="281"/>
      <c r="I635" s="281"/>
      <c r="J635" s="281"/>
      <c r="K635" s="281"/>
      <c r="L635" s="281"/>
      <c r="M635" s="281"/>
    </row>
    <row r="636" spans="4:13">
      <c r="D636" s="325"/>
      <c r="E636" s="281"/>
      <c r="I636" s="281"/>
      <c r="J636" s="281"/>
      <c r="K636" s="281"/>
      <c r="L636" s="281"/>
      <c r="M636" s="281"/>
    </row>
    <row r="637" spans="4:13">
      <c r="D637" s="325"/>
      <c r="E637" s="281"/>
      <c r="I637" s="281"/>
      <c r="J637" s="281"/>
      <c r="K637" s="281"/>
      <c r="L637" s="281"/>
      <c r="M637" s="281"/>
    </row>
    <row r="638" spans="4:13">
      <c r="D638" s="325"/>
      <c r="E638" s="281"/>
      <c r="I638" s="281"/>
      <c r="J638" s="281"/>
      <c r="K638" s="281"/>
      <c r="L638" s="281"/>
      <c r="M638" s="281"/>
    </row>
    <row r="639" spans="4:13">
      <c r="D639" s="325"/>
      <c r="E639" s="281"/>
      <c r="I639" s="281"/>
      <c r="J639" s="281"/>
      <c r="K639" s="281"/>
      <c r="L639" s="281"/>
      <c r="M639" s="281"/>
    </row>
    <row r="640" spans="4:13">
      <c r="D640" s="325"/>
      <c r="E640" s="281"/>
      <c r="I640" s="281"/>
      <c r="J640" s="281"/>
      <c r="K640" s="281"/>
      <c r="L640" s="281"/>
      <c r="M640" s="281"/>
    </row>
    <row r="641" spans="4:13">
      <c r="D641" s="325"/>
      <c r="E641" s="281"/>
      <c r="I641" s="281"/>
      <c r="J641" s="281"/>
      <c r="K641" s="281"/>
      <c r="L641" s="281"/>
      <c r="M641" s="281"/>
    </row>
    <row r="642" spans="4:13">
      <c r="D642" s="325"/>
      <c r="E642" s="281"/>
      <c r="I642" s="281"/>
      <c r="J642" s="281"/>
      <c r="K642" s="281"/>
      <c r="L642" s="281"/>
      <c r="M642" s="281"/>
    </row>
    <row r="643" spans="4:13">
      <c r="D643" s="325"/>
      <c r="E643" s="281"/>
      <c r="I643" s="281"/>
      <c r="J643" s="281"/>
      <c r="K643" s="281"/>
      <c r="L643" s="281"/>
      <c r="M643" s="281"/>
    </row>
    <row r="644" spans="4:13">
      <c r="D644" s="325"/>
      <c r="E644" s="281"/>
      <c r="I644" s="281"/>
      <c r="J644" s="281"/>
      <c r="K644" s="281"/>
      <c r="L644" s="281"/>
      <c r="M644" s="281"/>
    </row>
    <row r="645" spans="4:13">
      <c r="D645" s="325"/>
      <c r="E645" s="281"/>
      <c r="I645" s="281"/>
      <c r="J645" s="281"/>
      <c r="K645" s="281"/>
      <c r="L645" s="281"/>
      <c r="M645" s="281"/>
    </row>
    <row r="646" spans="4:13">
      <c r="D646" s="325"/>
      <c r="E646" s="281"/>
      <c r="I646" s="281"/>
      <c r="J646" s="281"/>
      <c r="K646" s="281"/>
      <c r="L646" s="281"/>
      <c r="M646" s="281"/>
    </row>
    <row r="647" spans="4:13">
      <c r="D647" s="325"/>
      <c r="E647" s="281"/>
      <c r="I647" s="281"/>
      <c r="J647" s="281"/>
      <c r="K647" s="281"/>
      <c r="L647" s="281"/>
      <c r="M647" s="281"/>
    </row>
    <row r="648" spans="4:13">
      <c r="D648" s="325"/>
      <c r="E648" s="281"/>
      <c r="I648" s="281"/>
      <c r="J648" s="281"/>
      <c r="K648" s="281"/>
      <c r="L648" s="281"/>
      <c r="M648" s="281"/>
    </row>
    <row r="649" spans="4:13">
      <c r="D649" s="325"/>
      <c r="E649" s="281"/>
      <c r="I649" s="281"/>
      <c r="J649" s="281"/>
      <c r="K649" s="281"/>
      <c r="L649" s="281"/>
      <c r="M649" s="281"/>
    </row>
    <row r="650" spans="4:13">
      <c r="D650" s="325"/>
      <c r="E650" s="281"/>
      <c r="I650" s="281"/>
      <c r="J650" s="281"/>
      <c r="K650" s="281"/>
      <c r="L650" s="281"/>
      <c r="M650" s="281"/>
    </row>
    <row r="651" spans="4:13">
      <c r="D651" s="325"/>
      <c r="E651" s="281"/>
      <c r="I651" s="281"/>
      <c r="J651" s="281"/>
      <c r="K651" s="281"/>
      <c r="L651" s="281"/>
      <c r="M651" s="281"/>
    </row>
    <row r="652" spans="4:13">
      <c r="D652" s="325"/>
      <c r="E652" s="281"/>
      <c r="I652" s="281"/>
      <c r="J652" s="281"/>
      <c r="K652" s="281"/>
      <c r="L652" s="281"/>
      <c r="M652" s="281"/>
    </row>
    <row r="653" spans="4:13">
      <c r="D653" s="325"/>
      <c r="E653" s="281"/>
      <c r="I653" s="281"/>
      <c r="J653" s="281"/>
      <c r="K653" s="281"/>
      <c r="L653" s="281"/>
      <c r="M653" s="281"/>
    </row>
    <row r="654" spans="4:13">
      <c r="D654" s="325"/>
      <c r="E654" s="281"/>
      <c r="I654" s="281"/>
      <c r="J654" s="281"/>
      <c r="K654" s="281"/>
      <c r="L654" s="281"/>
      <c r="M654" s="281"/>
    </row>
    <row r="655" spans="4:13">
      <c r="D655" s="325"/>
      <c r="E655" s="281"/>
      <c r="I655" s="281"/>
      <c r="J655" s="281"/>
      <c r="K655" s="281"/>
      <c r="L655" s="281"/>
      <c r="M655" s="281"/>
    </row>
    <row r="656" spans="4:13">
      <c r="D656" s="325"/>
      <c r="E656" s="281"/>
      <c r="I656" s="281"/>
      <c r="J656" s="281"/>
      <c r="K656" s="281"/>
      <c r="L656" s="281"/>
      <c r="M656" s="281"/>
    </row>
    <row r="657" spans="4:13">
      <c r="D657" s="325"/>
      <c r="E657" s="281"/>
      <c r="I657" s="281"/>
      <c r="J657" s="281"/>
      <c r="K657" s="281"/>
      <c r="L657" s="281"/>
      <c r="M657" s="281"/>
    </row>
    <row r="658" spans="4:13">
      <c r="D658" s="325"/>
      <c r="E658" s="281"/>
      <c r="I658" s="281"/>
      <c r="J658" s="281"/>
      <c r="K658" s="281"/>
      <c r="L658" s="281"/>
      <c r="M658" s="281"/>
    </row>
    <row r="659" spans="4:13">
      <c r="D659" s="325"/>
      <c r="E659" s="281"/>
      <c r="I659" s="281"/>
      <c r="J659" s="281"/>
      <c r="K659" s="281"/>
      <c r="L659" s="281"/>
      <c r="M659" s="281"/>
    </row>
    <row r="660" spans="4:13">
      <c r="D660" s="325"/>
      <c r="E660" s="281"/>
      <c r="I660" s="281"/>
      <c r="J660" s="281"/>
      <c r="K660" s="281"/>
      <c r="L660" s="281"/>
      <c r="M660" s="281"/>
    </row>
    <row r="661" spans="4:13">
      <c r="D661" s="325"/>
      <c r="E661" s="281"/>
      <c r="I661" s="281"/>
      <c r="J661" s="281"/>
      <c r="K661" s="281"/>
      <c r="L661" s="281"/>
      <c r="M661" s="281"/>
    </row>
    <row r="662" spans="4:13">
      <c r="D662" s="325"/>
      <c r="E662" s="281"/>
      <c r="I662" s="281"/>
      <c r="J662" s="281"/>
      <c r="K662" s="281"/>
      <c r="L662" s="281"/>
      <c r="M662" s="281"/>
    </row>
    <row r="663" spans="4:13">
      <c r="D663" s="325"/>
      <c r="E663" s="281"/>
      <c r="I663" s="281"/>
      <c r="J663" s="281"/>
      <c r="K663" s="281"/>
      <c r="L663" s="281"/>
      <c r="M663" s="281"/>
    </row>
    <row r="664" spans="4:13">
      <c r="D664" s="325"/>
      <c r="E664" s="281"/>
      <c r="I664" s="281"/>
      <c r="J664" s="281"/>
      <c r="K664" s="281"/>
      <c r="L664" s="281"/>
      <c r="M664" s="281"/>
    </row>
    <row r="665" spans="4:13">
      <c r="D665" s="325"/>
      <c r="E665" s="281"/>
      <c r="I665" s="281"/>
      <c r="J665" s="281"/>
      <c r="K665" s="281"/>
      <c r="L665" s="281"/>
      <c r="M665" s="281"/>
    </row>
    <row r="666" spans="4:13">
      <c r="D666" s="325"/>
      <c r="E666" s="281"/>
      <c r="I666" s="281"/>
      <c r="J666" s="281"/>
      <c r="K666" s="281"/>
      <c r="L666" s="281"/>
      <c r="M666" s="281"/>
    </row>
    <row r="667" spans="4:13">
      <c r="D667" s="325"/>
      <c r="E667" s="281"/>
      <c r="I667" s="281"/>
      <c r="J667" s="281"/>
      <c r="K667" s="281"/>
      <c r="L667" s="281"/>
      <c r="M667" s="281"/>
    </row>
    <row r="668" spans="4:13">
      <c r="D668" s="325"/>
      <c r="E668" s="281"/>
      <c r="I668" s="281"/>
      <c r="J668" s="281"/>
      <c r="K668" s="281"/>
      <c r="L668" s="281"/>
      <c r="M668" s="281"/>
    </row>
    <row r="669" spans="4:13">
      <c r="D669" s="325"/>
      <c r="E669" s="281"/>
      <c r="I669" s="281"/>
      <c r="J669" s="281"/>
      <c r="K669" s="281"/>
      <c r="L669" s="281"/>
      <c r="M669" s="281"/>
    </row>
    <row r="670" spans="4:13">
      <c r="D670" s="325"/>
      <c r="E670" s="281"/>
      <c r="I670" s="281"/>
      <c r="J670" s="281"/>
      <c r="K670" s="281"/>
      <c r="L670" s="281"/>
      <c r="M670" s="281"/>
    </row>
    <row r="671" spans="4:13">
      <c r="D671" s="325"/>
      <c r="E671" s="281"/>
      <c r="I671" s="281"/>
      <c r="J671" s="281"/>
      <c r="K671" s="281"/>
      <c r="L671" s="281"/>
      <c r="M671" s="281"/>
    </row>
    <row r="672" spans="4:13">
      <c r="D672" s="325"/>
      <c r="E672" s="281"/>
      <c r="I672" s="281"/>
      <c r="J672" s="281"/>
      <c r="K672" s="281"/>
      <c r="L672" s="281"/>
      <c r="M672" s="281"/>
    </row>
    <row r="673" spans="4:13">
      <c r="D673" s="325"/>
      <c r="E673" s="281"/>
      <c r="I673" s="281"/>
      <c r="J673" s="281"/>
      <c r="K673" s="281"/>
      <c r="L673" s="281"/>
      <c r="M673" s="281"/>
    </row>
    <row r="674" spans="4:13">
      <c r="D674" s="325"/>
      <c r="E674" s="281"/>
      <c r="I674" s="281"/>
      <c r="J674" s="281"/>
      <c r="K674" s="281"/>
      <c r="L674" s="281"/>
      <c r="M674" s="281"/>
    </row>
    <row r="675" spans="4:13">
      <c r="D675" s="325"/>
      <c r="E675" s="281"/>
      <c r="I675" s="281"/>
      <c r="J675" s="281"/>
      <c r="K675" s="281"/>
      <c r="L675" s="281"/>
      <c r="M675" s="281"/>
    </row>
    <row r="676" spans="4:13">
      <c r="D676" s="325"/>
      <c r="E676" s="281"/>
      <c r="I676" s="281"/>
      <c r="J676" s="281"/>
      <c r="K676" s="281"/>
      <c r="L676" s="281"/>
      <c r="M676" s="281"/>
    </row>
    <row r="677" spans="4:13">
      <c r="D677" s="325"/>
      <c r="E677" s="281"/>
      <c r="I677" s="281"/>
      <c r="J677" s="281"/>
      <c r="K677" s="281"/>
      <c r="L677" s="281"/>
      <c r="M677" s="281"/>
    </row>
    <row r="678" spans="4:13">
      <c r="D678" s="325"/>
      <c r="E678" s="281"/>
      <c r="I678" s="281"/>
      <c r="J678" s="281"/>
      <c r="K678" s="281"/>
      <c r="L678" s="281"/>
      <c r="M678" s="281"/>
    </row>
    <row r="679" spans="4:13">
      <c r="D679" s="325"/>
      <c r="E679" s="281"/>
      <c r="I679" s="281"/>
      <c r="J679" s="281"/>
      <c r="K679" s="281"/>
      <c r="L679" s="281"/>
      <c r="M679" s="281"/>
    </row>
    <row r="680" spans="4:13">
      <c r="D680" s="325"/>
      <c r="E680" s="281"/>
      <c r="I680" s="281"/>
      <c r="J680" s="281"/>
      <c r="K680" s="281"/>
      <c r="L680" s="281"/>
      <c r="M680" s="281"/>
    </row>
    <row r="681" spans="4:13">
      <c r="D681" s="325"/>
      <c r="E681" s="281"/>
      <c r="I681" s="281"/>
      <c r="J681" s="281"/>
      <c r="K681" s="281"/>
      <c r="L681" s="281"/>
      <c r="M681" s="281"/>
    </row>
    <row r="682" spans="4:13">
      <c r="D682" s="325"/>
      <c r="E682" s="281"/>
      <c r="I682" s="281"/>
      <c r="J682" s="281"/>
      <c r="K682" s="281"/>
      <c r="L682" s="281"/>
      <c r="M682" s="281"/>
    </row>
    <row r="683" spans="4:13">
      <c r="D683" s="325"/>
      <c r="E683" s="281"/>
      <c r="I683" s="281"/>
      <c r="J683" s="281"/>
      <c r="K683" s="281"/>
      <c r="L683" s="281"/>
      <c r="M683" s="281"/>
    </row>
    <row r="684" spans="4:13">
      <c r="D684" s="325"/>
      <c r="E684" s="281"/>
      <c r="I684" s="281"/>
      <c r="J684" s="281"/>
      <c r="K684" s="281"/>
      <c r="L684" s="281"/>
      <c r="M684" s="281"/>
    </row>
    <row r="685" spans="4:13">
      <c r="D685" s="325"/>
      <c r="E685" s="281"/>
      <c r="I685" s="281"/>
      <c r="J685" s="281"/>
      <c r="K685" s="281"/>
      <c r="L685" s="281"/>
      <c r="M685" s="281"/>
    </row>
    <row r="686" spans="4:13">
      <c r="D686" s="325"/>
      <c r="E686" s="281"/>
      <c r="I686" s="281"/>
      <c r="J686" s="281"/>
      <c r="K686" s="281"/>
      <c r="L686" s="281"/>
      <c r="M686" s="281"/>
    </row>
    <row r="687" spans="4:13">
      <c r="D687" s="325"/>
      <c r="E687" s="281"/>
      <c r="I687" s="281"/>
      <c r="J687" s="281"/>
      <c r="K687" s="281"/>
      <c r="L687" s="281"/>
      <c r="M687" s="281"/>
    </row>
    <row r="688" spans="4:13">
      <c r="D688" s="325"/>
      <c r="E688" s="281"/>
      <c r="I688" s="281"/>
      <c r="J688" s="281"/>
      <c r="K688" s="281"/>
      <c r="L688" s="281"/>
      <c r="M688" s="281"/>
    </row>
    <row r="689" spans="4:13">
      <c r="D689" s="325"/>
      <c r="E689" s="281"/>
      <c r="I689" s="281"/>
      <c r="J689" s="281"/>
      <c r="K689" s="281"/>
      <c r="L689" s="281"/>
      <c r="M689" s="281"/>
    </row>
    <row r="690" spans="4:13">
      <c r="D690" s="325"/>
      <c r="E690" s="281"/>
      <c r="I690" s="281"/>
      <c r="J690" s="281"/>
      <c r="K690" s="281"/>
      <c r="L690" s="281"/>
      <c r="M690" s="281"/>
    </row>
    <row r="691" spans="4:13">
      <c r="D691" s="325"/>
      <c r="E691" s="281"/>
      <c r="I691" s="281"/>
      <c r="J691" s="281"/>
      <c r="K691" s="281"/>
      <c r="L691" s="281"/>
      <c r="M691" s="281"/>
    </row>
    <row r="692" spans="4:13">
      <c r="D692" s="325"/>
      <c r="E692" s="281"/>
      <c r="I692" s="281"/>
      <c r="J692" s="281"/>
      <c r="K692" s="281"/>
      <c r="L692" s="281"/>
      <c r="M692" s="281"/>
    </row>
    <row r="693" spans="4:13">
      <c r="D693" s="325"/>
      <c r="E693" s="281"/>
      <c r="I693" s="281"/>
      <c r="J693" s="281"/>
      <c r="K693" s="281"/>
      <c r="L693" s="281"/>
      <c r="M693" s="281"/>
    </row>
    <row r="694" spans="4:13">
      <c r="D694" s="325"/>
      <c r="E694" s="281"/>
      <c r="I694" s="281"/>
      <c r="J694" s="281"/>
      <c r="K694" s="281"/>
      <c r="L694" s="281"/>
      <c r="M694" s="281"/>
    </row>
    <row r="695" spans="4:13">
      <c r="D695" s="325"/>
      <c r="E695" s="281"/>
      <c r="I695" s="281"/>
      <c r="J695" s="281"/>
      <c r="K695" s="281"/>
      <c r="L695" s="281"/>
      <c r="M695" s="281"/>
    </row>
    <row r="696" spans="4:13">
      <c r="D696" s="325"/>
      <c r="E696" s="281"/>
      <c r="I696" s="281"/>
      <c r="J696" s="281"/>
      <c r="K696" s="281"/>
      <c r="L696" s="281"/>
      <c r="M696" s="281"/>
    </row>
    <row r="697" spans="4:13">
      <c r="D697" s="325"/>
      <c r="E697" s="281"/>
      <c r="I697" s="281"/>
      <c r="J697" s="281"/>
      <c r="K697" s="281"/>
      <c r="L697" s="281"/>
      <c r="M697" s="281"/>
    </row>
    <row r="698" spans="4:13">
      <c r="D698" s="325"/>
      <c r="E698" s="281"/>
      <c r="I698" s="281"/>
      <c r="J698" s="281"/>
      <c r="K698" s="281"/>
      <c r="L698" s="281"/>
      <c r="M698" s="281"/>
    </row>
    <row r="699" spans="4:13">
      <c r="D699" s="325"/>
      <c r="E699" s="281"/>
      <c r="I699" s="281"/>
      <c r="J699" s="281"/>
      <c r="K699" s="281"/>
      <c r="L699" s="281"/>
      <c r="M699" s="281"/>
    </row>
    <row r="700" spans="4:13">
      <c r="D700" s="325"/>
      <c r="E700" s="281"/>
      <c r="I700" s="281"/>
      <c r="J700" s="281"/>
      <c r="K700" s="281"/>
      <c r="L700" s="281"/>
      <c r="M700" s="281"/>
    </row>
    <row r="701" spans="4:13">
      <c r="D701" s="325"/>
      <c r="E701" s="281"/>
      <c r="I701" s="281"/>
      <c r="J701" s="281"/>
      <c r="K701" s="281"/>
      <c r="L701" s="281"/>
      <c r="M701" s="281"/>
    </row>
    <row r="702" spans="4:13">
      <c r="D702" s="325"/>
      <c r="E702" s="281"/>
      <c r="I702" s="281"/>
      <c r="J702" s="281"/>
      <c r="K702" s="281"/>
      <c r="L702" s="281"/>
      <c r="M702" s="281"/>
    </row>
    <row r="703" spans="4:13">
      <c r="D703" s="325"/>
      <c r="E703" s="281"/>
      <c r="I703" s="281"/>
      <c r="J703" s="281"/>
      <c r="K703" s="281"/>
      <c r="L703" s="281"/>
      <c r="M703" s="281"/>
    </row>
    <row r="704" spans="4:13">
      <c r="D704" s="325"/>
      <c r="E704" s="281"/>
      <c r="I704" s="281"/>
      <c r="J704" s="281"/>
      <c r="K704" s="281"/>
      <c r="L704" s="281"/>
      <c r="M704" s="281"/>
    </row>
    <row r="705" spans="4:13">
      <c r="D705" s="325"/>
      <c r="E705" s="281"/>
      <c r="I705" s="281"/>
      <c r="J705" s="281"/>
      <c r="K705" s="281"/>
      <c r="L705" s="281"/>
      <c r="M705" s="281"/>
    </row>
    <row r="706" spans="4:13">
      <c r="D706" s="325"/>
      <c r="E706" s="281"/>
      <c r="I706" s="281"/>
      <c r="J706" s="281"/>
      <c r="K706" s="281"/>
      <c r="L706" s="281"/>
      <c r="M706" s="281"/>
    </row>
    <row r="707" spans="4:13">
      <c r="D707" s="325"/>
      <c r="E707" s="281"/>
      <c r="I707" s="281"/>
      <c r="J707" s="281"/>
      <c r="K707" s="281"/>
      <c r="L707" s="281"/>
      <c r="M707" s="281"/>
    </row>
    <row r="708" spans="4:13">
      <c r="D708" s="325"/>
      <c r="E708" s="281"/>
      <c r="I708" s="281"/>
      <c r="J708" s="281"/>
      <c r="K708" s="281"/>
      <c r="L708" s="281"/>
      <c r="M708" s="281"/>
    </row>
    <row r="709" spans="4:13">
      <c r="D709" s="325"/>
      <c r="E709" s="281"/>
      <c r="I709" s="281"/>
      <c r="J709" s="281"/>
      <c r="K709" s="281"/>
      <c r="L709" s="281"/>
      <c r="M709" s="281"/>
    </row>
    <row r="710" spans="4:13">
      <c r="D710" s="325"/>
      <c r="E710" s="281"/>
      <c r="I710" s="281"/>
      <c r="J710" s="281"/>
      <c r="K710" s="281"/>
      <c r="L710" s="281"/>
      <c r="M710" s="281"/>
    </row>
    <row r="711" spans="4:13">
      <c r="D711" s="325"/>
      <c r="E711" s="281"/>
      <c r="I711" s="281"/>
      <c r="J711" s="281"/>
      <c r="K711" s="281"/>
      <c r="L711" s="281"/>
      <c r="M711" s="281"/>
    </row>
    <row r="712" spans="4:13">
      <c r="D712" s="325"/>
      <c r="E712" s="281"/>
      <c r="I712" s="281"/>
      <c r="J712" s="281"/>
      <c r="K712" s="281"/>
      <c r="L712" s="281"/>
      <c r="M712" s="281"/>
    </row>
    <row r="713" spans="4:13">
      <c r="D713" s="325"/>
      <c r="E713" s="281"/>
      <c r="I713" s="281"/>
      <c r="J713" s="281"/>
      <c r="K713" s="281"/>
      <c r="L713" s="281"/>
      <c r="M713" s="281"/>
    </row>
    <row r="714" spans="4:13">
      <c r="D714" s="325"/>
      <c r="E714" s="281"/>
      <c r="I714" s="281"/>
      <c r="J714" s="281"/>
      <c r="K714" s="281"/>
      <c r="L714" s="281"/>
      <c r="M714" s="281"/>
    </row>
    <row r="715" spans="4:13">
      <c r="D715" s="325"/>
      <c r="E715" s="281"/>
      <c r="I715" s="281"/>
      <c r="J715" s="281"/>
      <c r="K715" s="281"/>
      <c r="L715" s="281"/>
      <c r="M715" s="281"/>
    </row>
    <row r="716" spans="4:13">
      <c r="D716" s="325"/>
      <c r="E716" s="281"/>
      <c r="I716" s="281"/>
      <c r="J716" s="281"/>
      <c r="K716" s="281"/>
      <c r="L716" s="281"/>
      <c r="M716" s="281"/>
    </row>
    <row r="717" spans="4:13">
      <c r="D717" s="325"/>
      <c r="E717" s="281"/>
      <c r="I717" s="281"/>
      <c r="J717" s="281"/>
      <c r="K717" s="281"/>
      <c r="L717" s="281"/>
      <c r="M717" s="281"/>
    </row>
    <row r="718" spans="4:13">
      <c r="D718" s="325"/>
      <c r="E718" s="281"/>
      <c r="I718" s="281"/>
      <c r="J718" s="281"/>
      <c r="K718" s="281"/>
      <c r="L718" s="281"/>
      <c r="M718" s="281"/>
    </row>
    <row r="719" spans="4:13">
      <c r="D719" s="325"/>
      <c r="E719" s="281"/>
      <c r="I719" s="281"/>
      <c r="J719" s="281"/>
      <c r="K719" s="281"/>
      <c r="L719" s="281"/>
      <c r="M719" s="281"/>
    </row>
    <row r="720" spans="4:13">
      <c r="D720" s="325"/>
      <c r="E720" s="281"/>
      <c r="I720" s="281"/>
      <c r="J720" s="281"/>
      <c r="K720" s="281"/>
      <c r="L720" s="281"/>
      <c r="M720" s="281"/>
    </row>
    <row r="721" spans="4:13">
      <c r="D721" s="325"/>
      <c r="E721" s="281"/>
      <c r="I721" s="281"/>
      <c r="J721" s="281"/>
      <c r="K721" s="281"/>
      <c r="L721" s="281"/>
      <c r="M721" s="281"/>
    </row>
    <row r="722" spans="4:13">
      <c r="D722" s="325"/>
      <c r="E722" s="281"/>
      <c r="I722" s="281"/>
      <c r="J722" s="281"/>
      <c r="K722" s="281"/>
      <c r="L722" s="281"/>
      <c r="M722" s="281"/>
    </row>
    <row r="723" spans="4:13">
      <c r="D723" s="325"/>
      <c r="E723" s="281"/>
      <c r="I723" s="281"/>
      <c r="J723" s="281"/>
      <c r="K723" s="281"/>
      <c r="L723" s="281"/>
      <c r="M723" s="281"/>
    </row>
    <row r="724" spans="4:13">
      <c r="D724" s="325"/>
      <c r="E724" s="281"/>
      <c r="I724" s="281"/>
      <c r="J724" s="281"/>
      <c r="K724" s="281"/>
      <c r="L724" s="281"/>
      <c r="M724" s="281"/>
    </row>
    <row r="725" spans="4:13">
      <c r="D725" s="325"/>
      <c r="E725" s="281"/>
      <c r="I725" s="281"/>
      <c r="J725" s="281"/>
      <c r="K725" s="281"/>
      <c r="L725" s="281"/>
      <c r="M725" s="281"/>
    </row>
    <row r="726" spans="4:13">
      <c r="D726" s="325"/>
      <c r="E726" s="281"/>
      <c r="I726" s="281"/>
      <c r="J726" s="281"/>
      <c r="K726" s="281"/>
      <c r="L726" s="281"/>
      <c r="M726" s="281"/>
    </row>
    <row r="727" spans="4:13">
      <c r="D727" s="325"/>
      <c r="E727" s="281"/>
      <c r="I727" s="281"/>
      <c r="J727" s="281"/>
      <c r="K727" s="281"/>
      <c r="L727" s="281"/>
      <c r="M727" s="281"/>
    </row>
    <row r="728" spans="4:13">
      <c r="D728" s="325"/>
      <c r="E728" s="281"/>
      <c r="I728" s="281"/>
      <c r="J728" s="281"/>
      <c r="K728" s="281"/>
      <c r="L728" s="281"/>
      <c r="M728" s="281"/>
    </row>
    <row r="729" spans="4:13">
      <c r="D729" s="325"/>
      <c r="E729" s="281"/>
      <c r="I729" s="281"/>
      <c r="J729" s="281"/>
      <c r="K729" s="281"/>
      <c r="L729" s="281"/>
      <c r="M729" s="281"/>
    </row>
    <row r="730" spans="4:13">
      <c r="D730" s="325"/>
      <c r="E730" s="281"/>
      <c r="I730" s="281"/>
      <c r="J730" s="281"/>
      <c r="K730" s="281"/>
      <c r="L730" s="281"/>
      <c r="M730" s="281"/>
    </row>
    <row r="731" spans="4:13">
      <c r="D731" s="325"/>
      <c r="E731" s="281"/>
      <c r="I731" s="281"/>
      <c r="J731" s="281"/>
      <c r="K731" s="281"/>
      <c r="L731" s="281"/>
      <c r="M731" s="281"/>
    </row>
    <row r="732" spans="4:13">
      <c r="D732" s="325"/>
      <c r="E732" s="281"/>
      <c r="I732" s="281"/>
      <c r="J732" s="281"/>
      <c r="K732" s="281"/>
      <c r="L732" s="281"/>
      <c r="M732" s="281"/>
    </row>
    <row r="733" spans="4:13">
      <c r="D733" s="325"/>
      <c r="E733" s="281"/>
      <c r="I733" s="281"/>
      <c r="J733" s="281"/>
      <c r="K733" s="281"/>
      <c r="L733" s="281"/>
      <c r="M733" s="281"/>
    </row>
    <row r="734" spans="4:13">
      <c r="D734" s="325"/>
      <c r="E734" s="281"/>
      <c r="I734" s="281"/>
      <c r="J734" s="281"/>
      <c r="K734" s="281"/>
      <c r="L734" s="281"/>
      <c r="M734" s="281"/>
    </row>
    <row r="735" spans="4:13">
      <c r="D735" s="325"/>
      <c r="E735" s="281"/>
      <c r="I735" s="281"/>
      <c r="J735" s="281"/>
      <c r="K735" s="281"/>
      <c r="L735" s="281"/>
      <c r="M735" s="281"/>
    </row>
    <row r="736" spans="4:13">
      <c r="D736" s="325"/>
      <c r="E736" s="281"/>
      <c r="I736" s="281"/>
      <c r="J736" s="281"/>
      <c r="K736" s="281"/>
      <c r="L736" s="281"/>
      <c r="M736" s="281"/>
    </row>
    <row r="737" spans="4:13">
      <c r="D737" s="325"/>
      <c r="E737" s="281"/>
      <c r="I737" s="281"/>
      <c r="J737" s="281"/>
      <c r="K737" s="281"/>
      <c r="L737" s="281"/>
      <c r="M737" s="281"/>
    </row>
    <row r="738" spans="4:13">
      <c r="D738" s="325"/>
      <c r="E738" s="281"/>
      <c r="I738" s="281"/>
      <c r="J738" s="281"/>
      <c r="K738" s="281"/>
      <c r="L738" s="281"/>
      <c r="M738" s="281"/>
    </row>
    <row r="739" spans="4:13">
      <c r="D739" s="325"/>
      <c r="E739" s="281"/>
      <c r="I739" s="281"/>
      <c r="J739" s="281"/>
      <c r="K739" s="281"/>
      <c r="L739" s="281"/>
      <c r="M739" s="281"/>
    </row>
    <row r="740" spans="4:13">
      <c r="D740" s="325"/>
      <c r="E740" s="281"/>
      <c r="I740" s="281"/>
      <c r="J740" s="281"/>
      <c r="K740" s="281"/>
      <c r="L740" s="281"/>
      <c r="M740" s="281"/>
    </row>
    <row r="741" spans="4:13">
      <c r="D741" s="325"/>
      <c r="E741" s="281"/>
      <c r="I741" s="281"/>
      <c r="J741" s="281"/>
      <c r="K741" s="281"/>
      <c r="L741" s="281"/>
      <c r="M741" s="281"/>
    </row>
    <row r="742" spans="4:13">
      <c r="D742" s="325"/>
      <c r="E742" s="281"/>
      <c r="I742" s="281"/>
      <c r="J742" s="281"/>
      <c r="K742" s="281"/>
      <c r="L742" s="281"/>
      <c r="M742" s="281"/>
    </row>
    <row r="743" spans="4:13">
      <c r="D743" s="325"/>
      <c r="E743" s="281"/>
      <c r="I743" s="281"/>
      <c r="J743" s="281"/>
      <c r="K743" s="281"/>
      <c r="L743" s="281"/>
      <c r="M743" s="281"/>
    </row>
    <row r="744" spans="4:13">
      <c r="D744" s="325"/>
      <c r="E744" s="281"/>
      <c r="I744" s="281"/>
      <c r="J744" s="281"/>
      <c r="K744" s="281"/>
      <c r="L744" s="281"/>
      <c r="M744" s="281"/>
    </row>
    <row r="745" spans="4:13">
      <c r="D745" s="325"/>
      <c r="E745" s="281"/>
      <c r="I745" s="281"/>
      <c r="J745" s="281"/>
      <c r="K745" s="281"/>
      <c r="L745" s="281"/>
      <c r="M745" s="281"/>
    </row>
    <row r="746" spans="4:13">
      <c r="D746" s="325"/>
      <c r="E746" s="281"/>
      <c r="I746" s="281"/>
      <c r="J746" s="281"/>
      <c r="K746" s="281"/>
      <c r="L746" s="281"/>
      <c r="M746" s="281"/>
    </row>
    <row r="747" spans="4:13">
      <c r="D747" s="325"/>
      <c r="E747" s="281"/>
      <c r="I747" s="281"/>
      <c r="J747" s="281"/>
      <c r="K747" s="281"/>
      <c r="L747" s="281"/>
      <c r="M747" s="281"/>
    </row>
    <row r="748" spans="4:13">
      <c r="D748" s="325"/>
      <c r="E748" s="281"/>
      <c r="I748" s="281"/>
      <c r="J748" s="281"/>
      <c r="K748" s="281"/>
      <c r="L748" s="281"/>
      <c r="M748" s="281"/>
    </row>
    <row r="749" spans="4:13">
      <c r="D749" s="325"/>
      <c r="E749" s="281"/>
      <c r="I749" s="281"/>
      <c r="J749" s="281"/>
      <c r="K749" s="281"/>
      <c r="L749" s="281"/>
      <c r="M749" s="281"/>
    </row>
    <row r="750" spans="4:13">
      <c r="D750" s="325"/>
      <c r="E750" s="281"/>
      <c r="I750" s="281"/>
      <c r="J750" s="281"/>
      <c r="K750" s="281"/>
      <c r="L750" s="281"/>
      <c r="M750" s="281"/>
    </row>
    <row r="751" spans="4:13">
      <c r="D751" s="325"/>
      <c r="E751" s="281"/>
      <c r="I751" s="281"/>
      <c r="J751" s="281"/>
      <c r="K751" s="281"/>
      <c r="L751" s="281"/>
      <c r="M751" s="281"/>
    </row>
    <row r="752" spans="4:13">
      <c r="D752" s="325"/>
      <c r="E752" s="281"/>
      <c r="I752" s="281"/>
      <c r="J752" s="281"/>
      <c r="K752" s="281"/>
      <c r="L752" s="281"/>
      <c r="M752" s="281"/>
    </row>
    <row r="753" spans="4:13">
      <c r="D753" s="325"/>
      <c r="E753" s="281"/>
      <c r="I753" s="281"/>
      <c r="J753" s="281"/>
      <c r="K753" s="281"/>
      <c r="L753" s="281"/>
      <c r="M753" s="281"/>
    </row>
    <row r="754" spans="4:13">
      <c r="D754" s="325"/>
      <c r="E754" s="281"/>
      <c r="I754" s="281"/>
      <c r="J754" s="281"/>
      <c r="K754" s="281"/>
      <c r="L754" s="281"/>
      <c r="M754" s="281"/>
    </row>
    <row r="755" spans="4:13">
      <c r="D755" s="325"/>
      <c r="E755" s="281"/>
      <c r="I755" s="281"/>
      <c r="J755" s="281"/>
      <c r="K755" s="281"/>
      <c r="L755" s="281"/>
      <c r="M755" s="281"/>
    </row>
    <row r="756" spans="4:13">
      <c r="D756" s="325"/>
      <c r="E756" s="281"/>
      <c r="I756" s="281"/>
      <c r="J756" s="281"/>
      <c r="K756" s="281"/>
      <c r="L756" s="281"/>
      <c r="M756" s="281"/>
    </row>
    <row r="757" spans="4:13">
      <c r="D757" s="325"/>
      <c r="E757" s="281"/>
      <c r="I757" s="281"/>
      <c r="J757" s="281"/>
      <c r="K757" s="281"/>
      <c r="L757" s="281"/>
      <c r="M757" s="281"/>
    </row>
    <row r="758" spans="4:13">
      <c r="D758" s="325"/>
      <c r="E758" s="281"/>
      <c r="I758" s="281"/>
      <c r="J758" s="281"/>
      <c r="K758" s="281"/>
      <c r="L758" s="281"/>
      <c r="M758" s="281"/>
    </row>
    <row r="759" spans="4:13">
      <c r="D759" s="325"/>
      <c r="E759" s="281"/>
      <c r="I759" s="281"/>
      <c r="J759" s="281"/>
      <c r="K759" s="281"/>
      <c r="L759" s="281"/>
      <c r="M759" s="281"/>
    </row>
    <row r="760" spans="4:13">
      <c r="D760" s="325"/>
      <c r="E760" s="281"/>
      <c r="I760" s="281"/>
      <c r="J760" s="281"/>
      <c r="K760" s="281"/>
      <c r="L760" s="281"/>
      <c r="M760" s="281"/>
    </row>
    <row r="761" spans="4:13">
      <c r="D761" s="325"/>
      <c r="E761" s="281"/>
      <c r="I761" s="281"/>
      <c r="J761" s="281"/>
      <c r="K761" s="281"/>
      <c r="L761" s="281"/>
      <c r="M761" s="281"/>
    </row>
    <row r="762" spans="4:13">
      <c r="D762" s="325"/>
      <c r="E762" s="281"/>
      <c r="I762" s="281"/>
      <c r="J762" s="281"/>
      <c r="K762" s="281"/>
      <c r="L762" s="281"/>
      <c r="M762" s="281"/>
    </row>
    <row r="763" spans="4:13">
      <c r="D763" s="325"/>
      <c r="E763" s="281"/>
      <c r="I763" s="281"/>
      <c r="J763" s="281"/>
      <c r="K763" s="281"/>
      <c r="L763" s="281"/>
      <c r="M763" s="281"/>
    </row>
    <row r="764" spans="4:13">
      <c r="D764" s="325"/>
      <c r="E764" s="281"/>
      <c r="I764" s="281"/>
      <c r="J764" s="281"/>
      <c r="K764" s="281"/>
      <c r="L764" s="281"/>
      <c r="M764" s="281"/>
    </row>
    <row r="765" spans="4:13">
      <c r="D765" s="325"/>
      <c r="E765" s="281"/>
      <c r="I765" s="281"/>
      <c r="J765" s="281"/>
      <c r="K765" s="281"/>
      <c r="L765" s="281"/>
      <c r="M765" s="281"/>
    </row>
    <row r="766" spans="4:13">
      <c r="D766" s="325"/>
      <c r="E766" s="281"/>
      <c r="I766" s="281"/>
      <c r="J766" s="281"/>
      <c r="K766" s="281"/>
      <c r="L766" s="281"/>
      <c r="M766" s="281"/>
    </row>
    <row r="767" spans="4:13">
      <c r="D767" s="325"/>
      <c r="E767" s="281"/>
      <c r="I767" s="281"/>
      <c r="J767" s="281"/>
      <c r="K767" s="281"/>
      <c r="L767" s="281"/>
      <c r="M767" s="281"/>
    </row>
    <row r="768" spans="4:13">
      <c r="D768" s="325"/>
      <c r="E768" s="281"/>
      <c r="I768" s="281"/>
      <c r="J768" s="281"/>
      <c r="K768" s="281"/>
      <c r="L768" s="281"/>
      <c r="M768" s="281"/>
    </row>
    <row r="769" spans="4:13">
      <c r="D769" s="325"/>
      <c r="E769" s="281"/>
      <c r="I769" s="281"/>
      <c r="J769" s="281"/>
      <c r="K769" s="281"/>
      <c r="L769" s="281"/>
      <c r="M769" s="281"/>
    </row>
    <row r="770" spans="4:13">
      <c r="D770" s="325"/>
      <c r="E770" s="281"/>
      <c r="I770" s="281"/>
      <c r="J770" s="281"/>
      <c r="K770" s="281"/>
      <c r="L770" s="281"/>
      <c r="M770" s="281"/>
    </row>
    <row r="771" spans="4:13">
      <c r="D771" s="325"/>
      <c r="E771" s="281"/>
      <c r="I771" s="281"/>
      <c r="J771" s="281"/>
      <c r="K771" s="281"/>
      <c r="L771" s="281"/>
      <c r="M771" s="281"/>
    </row>
    <row r="772" spans="4:13">
      <c r="D772" s="325"/>
      <c r="E772" s="281"/>
      <c r="I772" s="281"/>
      <c r="J772" s="281"/>
      <c r="K772" s="281"/>
      <c r="L772" s="281"/>
      <c r="M772" s="281"/>
    </row>
    <row r="773" spans="4:13">
      <c r="D773" s="325"/>
      <c r="E773" s="281"/>
      <c r="I773" s="281"/>
      <c r="J773" s="281"/>
      <c r="K773" s="281"/>
      <c r="L773" s="281"/>
      <c r="M773" s="281"/>
    </row>
    <row r="774" spans="4:13">
      <c r="D774" s="325"/>
      <c r="E774" s="281"/>
      <c r="I774" s="281"/>
      <c r="J774" s="281"/>
      <c r="K774" s="281"/>
      <c r="L774" s="281"/>
      <c r="M774" s="281"/>
    </row>
    <row r="775" spans="4:13">
      <c r="D775" s="325"/>
      <c r="E775" s="281"/>
      <c r="I775" s="281"/>
      <c r="J775" s="281"/>
      <c r="K775" s="281"/>
      <c r="L775" s="281"/>
      <c r="M775" s="281"/>
    </row>
    <row r="776" spans="4:13">
      <c r="D776" s="325"/>
      <c r="E776" s="281"/>
      <c r="I776" s="281"/>
      <c r="J776" s="281"/>
      <c r="K776" s="281"/>
      <c r="L776" s="281"/>
      <c r="M776" s="281"/>
    </row>
    <row r="777" spans="4:13">
      <c r="D777" s="325"/>
      <c r="E777" s="281"/>
      <c r="I777" s="281"/>
      <c r="J777" s="281"/>
      <c r="K777" s="281"/>
      <c r="L777" s="281"/>
      <c r="M777" s="281"/>
    </row>
    <row r="778" spans="4:13">
      <c r="D778" s="325"/>
      <c r="E778" s="281"/>
      <c r="I778" s="281"/>
      <c r="J778" s="281"/>
      <c r="K778" s="281"/>
      <c r="L778" s="281"/>
      <c r="M778" s="281"/>
    </row>
    <row r="779" spans="4:13">
      <c r="D779" s="325"/>
      <c r="E779" s="281"/>
      <c r="I779" s="281"/>
      <c r="J779" s="281"/>
      <c r="K779" s="281"/>
      <c r="L779" s="281"/>
      <c r="M779" s="281"/>
    </row>
    <row r="780" spans="4:13">
      <c r="D780" s="325"/>
      <c r="E780" s="281"/>
      <c r="I780" s="281"/>
      <c r="J780" s="281"/>
      <c r="K780" s="281"/>
      <c r="L780" s="281"/>
      <c r="M780" s="281"/>
    </row>
    <row r="781" spans="4:13">
      <c r="D781" s="325"/>
      <c r="E781" s="281"/>
      <c r="I781" s="281"/>
      <c r="J781" s="281"/>
      <c r="K781" s="281"/>
      <c r="L781" s="281"/>
      <c r="M781" s="281"/>
    </row>
    <row r="782" spans="4:13">
      <c r="D782" s="325"/>
      <c r="E782" s="281"/>
      <c r="I782" s="281"/>
      <c r="J782" s="281"/>
      <c r="K782" s="281"/>
      <c r="L782" s="281"/>
      <c r="M782" s="281"/>
    </row>
    <row r="783" spans="4:13">
      <c r="D783" s="325"/>
      <c r="E783" s="281"/>
      <c r="I783" s="281"/>
      <c r="J783" s="281"/>
      <c r="K783" s="281"/>
      <c r="L783" s="281"/>
      <c r="M783" s="281"/>
    </row>
    <row r="784" spans="4:13">
      <c r="D784" s="325"/>
      <c r="E784" s="281"/>
      <c r="I784" s="281"/>
      <c r="J784" s="281"/>
      <c r="K784" s="281"/>
      <c r="L784" s="281"/>
      <c r="M784" s="281"/>
    </row>
    <row r="785" spans="4:13">
      <c r="D785" s="325"/>
      <c r="E785" s="281"/>
      <c r="I785" s="281"/>
      <c r="J785" s="281"/>
      <c r="K785" s="281"/>
      <c r="L785" s="281"/>
      <c r="M785" s="281"/>
    </row>
    <row r="786" spans="4:13">
      <c r="D786" s="325"/>
      <c r="E786" s="281"/>
      <c r="I786" s="281"/>
      <c r="J786" s="281"/>
      <c r="K786" s="281"/>
      <c r="L786" s="281"/>
      <c r="M786" s="281"/>
    </row>
    <row r="787" spans="4:13">
      <c r="D787" s="325"/>
      <c r="E787" s="281"/>
      <c r="I787" s="281"/>
      <c r="J787" s="281"/>
      <c r="K787" s="281"/>
      <c r="L787" s="281"/>
      <c r="M787" s="281"/>
    </row>
    <row r="788" spans="4:13">
      <c r="D788" s="325"/>
      <c r="E788" s="281"/>
      <c r="I788" s="281"/>
      <c r="J788" s="281"/>
      <c r="K788" s="281"/>
      <c r="L788" s="281"/>
      <c r="M788" s="281"/>
    </row>
    <row r="789" spans="4:13">
      <c r="D789" s="325"/>
      <c r="E789" s="281"/>
      <c r="I789" s="281"/>
      <c r="J789" s="281"/>
      <c r="K789" s="281"/>
      <c r="L789" s="281"/>
      <c r="M789" s="281"/>
    </row>
    <row r="790" spans="4:13">
      <c r="D790" s="325"/>
      <c r="E790" s="281"/>
      <c r="I790" s="281"/>
      <c r="J790" s="281"/>
      <c r="K790" s="281"/>
      <c r="L790" s="281"/>
      <c r="M790" s="281"/>
    </row>
    <row r="791" spans="4:13">
      <c r="D791" s="325"/>
      <c r="E791" s="281"/>
      <c r="I791" s="281"/>
      <c r="J791" s="281"/>
      <c r="K791" s="281"/>
      <c r="L791" s="281"/>
      <c r="M791" s="281"/>
    </row>
    <row r="792" spans="4:13">
      <c r="D792" s="325"/>
      <c r="E792" s="281"/>
      <c r="I792" s="281"/>
      <c r="J792" s="281"/>
      <c r="K792" s="281"/>
      <c r="L792" s="281"/>
      <c r="M792" s="281"/>
    </row>
    <row r="793" spans="4:13">
      <c r="D793" s="325"/>
      <c r="E793" s="281"/>
      <c r="I793" s="281"/>
      <c r="J793" s="281"/>
      <c r="K793" s="281"/>
      <c r="L793" s="281"/>
      <c r="M793" s="281"/>
    </row>
    <row r="794" spans="4:13">
      <c r="D794" s="325"/>
      <c r="E794" s="281"/>
      <c r="I794" s="281"/>
      <c r="J794" s="281"/>
      <c r="K794" s="281"/>
      <c r="L794" s="281"/>
      <c r="M794" s="281"/>
    </row>
    <row r="795" spans="4:13">
      <c r="D795" s="325"/>
      <c r="E795" s="281"/>
      <c r="I795" s="281"/>
      <c r="J795" s="281"/>
      <c r="K795" s="281"/>
      <c r="L795" s="281"/>
      <c r="M795" s="281"/>
    </row>
    <row r="796" spans="4:13">
      <c r="D796" s="325"/>
      <c r="E796" s="281"/>
      <c r="I796" s="281"/>
      <c r="J796" s="281"/>
      <c r="K796" s="281"/>
      <c r="L796" s="281"/>
      <c r="M796" s="281"/>
    </row>
    <row r="797" spans="4:13">
      <c r="D797" s="325"/>
      <c r="E797" s="281"/>
      <c r="I797" s="281"/>
      <c r="J797" s="281"/>
      <c r="K797" s="281"/>
      <c r="L797" s="281"/>
      <c r="M797" s="281"/>
    </row>
    <row r="798" spans="4:13">
      <c r="D798" s="325"/>
      <c r="E798" s="281"/>
      <c r="I798" s="281"/>
      <c r="J798" s="281"/>
      <c r="K798" s="281"/>
      <c r="L798" s="281"/>
      <c r="M798" s="281"/>
    </row>
    <row r="799" spans="4:13">
      <c r="D799" s="325"/>
      <c r="E799" s="281"/>
      <c r="I799" s="281"/>
      <c r="J799" s="281"/>
      <c r="K799" s="281"/>
      <c r="L799" s="281"/>
      <c r="M799" s="281"/>
    </row>
    <row r="800" spans="4:13">
      <c r="D800" s="325"/>
      <c r="E800" s="281"/>
      <c r="I800" s="281"/>
      <c r="J800" s="281"/>
      <c r="K800" s="281"/>
      <c r="L800" s="281"/>
      <c r="M800" s="281"/>
    </row>
    <row r="801" spans="4:13">
      <c r="D801" s="325"/>
      <c r="E801" s="281"/>
      <c r="I801" s="281"/>
      <c r="J801" s="281"/>
      <c r="K801" s="281"/>
      <c r="L801" s="281"/>
      <c r="M801" s="281"/>
    </row>
    <row r="802" spans="4:13">
      <c r="D802" s="325"/>
      <c r="E802" s="281"/>
      <c r="I802" s="281"/>
      <c r="J802" s="281"/>
      <c r="K802" s="281"/>
      <c r="L802" s="281"/>
      <c r="M802" s="281"/>
    </row>
    <row r="803" spans="4:13">
      <c r="D803" s="325"/>
      <c r="E803" s="281"/>
      <c r="I803" s="281"/>
      <c r="J803" s="281"/>
      <c r="K803" s="281"/>
      <c r="L803" s="281"/>
      <c r="M803" s="281"/>
    </row>
    <row r="804" spans="4:13">
      <c r="D804" s="325"/>
      <c r="E804" s="281"/>
      <c r="I804" s="281"/>
      <c r="J804" s="281"/>
      <c r="K804" s="281"/>
      <c r="L804" s="281"/>
      <c r="M804" s="281"/>
    </row>
    <row r="805" spans="4:13">
      <c r="D805" s="325"/>
      <c r="E805" s="281"/>
      <c r="I805" s="281"/>
      <c r="J805" s="281"/>
      <c r="K805" s="281"/>
      <c r="L805" s="281"/>
      <c r="M805" s="281"/>
    </row>
    <row r="806" spans="4:13">
      <c r="D806" s="325"/>
      <c r="E806" s="281"/>
      <c r="I806" s="281"/>
      <c r="J806" s="281"/>
      <c r="K806" s="281"/>
      <c r="L806" s="281"/>
      <c r="M806" s="281"/>
    </row>
    <row r="807" spans="4:13">
      <c r="D807" s="325"/>
      <c r="E807" s="281"/>
      <c r="I807" s="281"/>
      <c r="J807" s="281"/>
      <c r="K807" s="281"/>
      <c r="L807" s="281"/>
      <c r="M807" s="281"/>
    </row>
    <row r="808" spans="4:13">
      <c r="D808" s="325"/>
      <c r="E808" s="281"/>
      <c r="I808" s="281"/>
      <c r="J808" s="281"/>
      <c r="K808" s="281"/>
      <c r="L808" s="281"/>
      <c r="M808" s="281"/>
    </row>
    <row r="809" spans="4:13">
      <c r="D809" s="325"/>
      <c r="E809" s="281"/>
      <c r="I809" s="281"/>
      <c r="J809" s="281"/>
      <c r="K809" s="281"/>
      <c r="L809" s="281"/>
      <c r="M809" s="281"/>
    </row>
    <row r="810" spans="4:13">
      <c r="D810" s="325"/>
      <c r="E810" s="281"/>
      <c r="I810" s="281"/>
      <c r="J810" s="281"/>
      <c r="K810" s="281"/>
      <c r="L810" s="281"/>
      <c r="M810" s="281"/>
    </row>
    <row r="811" spans="4:13">
      <c r="D811" s="325"/>
      <c r="E811" s="281"/>
      <c r="I811" s="281"/>
      <c r="J811" s="281"/>
      <c r="K811" s="281"/>
      <c r="L811" s="281"/>
      <c r="M811" s="281"/>
    </row>
    <row r="812" spans="4:13">
      <c r="D812" s="325"/>
      <c r="E812" s="281"/>
      <c r="I812" s="281"/>
      <c r="J812" s="281"/>
      <c r="K812" s="281"/>
      <c r="L812" s="281"/>
      <c r="M812" s="281"/>
    </row>
    <row r="813" spans="4:13">
      <c r="D813" s="325"/>
      <c r="E813" s="281"/>
      <c r="I813" s="281"/>
      <c r="J813" s="281"/>
      <c r="K813" s="281"/>
      <c r="L813" s="281"/>
      <c r="M813" s="281"/>
    </row>
    <row r="814" spans="4:13">
      <c r="D814" s="325"/>
      <c r="E814" s="281"/>
      <c r="I814" s="281"/>
      <c r="J814" s="281"/>
      <c r="K814" s="281"/>
      <c r="L814" s="281"/>
      <c r="M814" s="281"/>
    </row>
    <row r="815" spans="4:13">
      <c r="D815" s="325"/>
      <c r="E815" s="281"/>
      <c r="I815" s="281"/>
      <c r="J815" s="281"/>
      <c r="K815" s="281"/>
      <c r="L815" s="281"/>
      <c r="M815" s="281"/>
    </row>
    <row r="816" spans="4:13">
      <c r="D816" s="325"/>
      <c r="E816" s="281"/>
      <c r="I816" s="281"/>
      <c r="J816" s="281"/>
      <c r="K816" s="281"/>
      <c r="L816" s="281"/>
      <c r="M816" s="281"/>
    </row>
    <row r="817" spans="4:13">
      <c r="D817" s="325"/>
      <c r="E817" s="281"/>
      <c r="I817" s="281"/>
      <c r="J817" s="281"/>
      <c r="K817" s="281"/>
      <c r="L817" s="281"/>
      <c r="M817" s="281"/>
    </row>
    <row r="818" spans="4:13">
      <c r="D818" s="325"/>
      <c r="E818" s="281"/>
      <c r="I818" s="281"/>
      <c r="J818" s="281"/>
      <c r="K818" s="281"/>
      <c r="L818" s="281"/>
      <c r="M818" s="281"/>
    </row>
    <row r="819" spans="4:13">
      <c r="D819" s="325"/>
      <c r="E819" s="281"/>
      <c r="I819" s="281"/>
      <c r="J819" s="281"/>
      <c r="K819" s="281"/>
      <c r="L819" s="281"/>
      <c r="M819" s="281"/>
    </row>
    <row r="820" spans="4:13">
      <c r="D820" s="325"/>
      <c r="E820" s="281"/>
      <c r="I820" s="281"/>
      <c r="J820" s="281"/>
      <c r="K820" s="281"/>
      <c r="L820" s="281"/>
      <c r="M820" s="281"/>
    </row>
    <row r="821" spans="4:13">
      <c r="D821" s="325"/>
      <c r="E821" s="281"/>
      <c r="I821" s="281"/>
      <c r="J821" s="281"/>
      <c r="K821" s="281"/>
      <c r="L821" s="281"/>
      <c r="M821" s="281"/>
    </row>
    <row r="822" spans="4:13">
      <c r="D822" s="325"/>
      <c r="E822" s="281"/>
      <c r="I822" s="281"/>
      <c r="J822" s="281"/>
      <c r="K822" s="281"/>
      <c r="L822" s="281"/>
      <c r="M822" s="281"/>
    </row>
    <row r="823" spans="4:13">
      <c r="D823" s="325"/>
      <c r="E823" s="281"/>
      <c r="I823" s="281"/>
      <c r="J823" s="281"/>
      <c r="K823" s="281"/>
      <c r="L823" s="281"/>
      <c r="M823" s="281"/>
    </row>
    <row r="824" spans="4:13">
      <c r="D824" s="325"/>
      <c r="E824" s="281"/>
      <c r="I824" s="281"/>
      <c r="J824" s="281"/>
      <c r="K824" s="281"/>
      <c r="L824" s="281"/>
      <c r="M824" s="281"/>
    </row>
    <row r="825" spans="4:13">
      <c r="D825" s="325"/>
      <c r="E825" s="281"/>
      <c r="I825" s="281"/>
      <c r="J825" s="281"/>
      <c r="K825" s="281"/>
      <c r="L825" s="281"/>
      <c r="M825" s="281"/>
    </row>
    <row r="826" spans="4:13">
      <c r="D826" s="325"/>
      <c r="E826" s="281"/>
      <c r="I826" s="281"/>
      <c r="J826" s="281"/>
      <c r="K826" s="281"/>
      <c r="L826" s="281"/>
      <c r="M826" s="281"/>
    </row>
    <row r="827" spans="4:13">
      <c r="D827" s="325"/>
      <c r="E827" s="281"/>
      <c r="I827" s="281"/>
      <c r="J827" s="281"/>
      <c r="K827" s="281"/>
      <c r="L827" s="281"/>
      <c r="M827" s="281"/>
    </row>
    <row r="828" spans="4:13">
      <c r="D828" s="325"/>
      <c r="E828" s="281"/>
      <c r="I828" s="281"/>
      <c r="J828" s="281"/>
      <c r="K828" s="281"/>
      <c r="L828" s="281"/>
      <c r="M828" s="281"/>
    </row>
    <row r="829" spans="4:13">
      <c r="D829" s="325"/>
      <c r="E829" s="281"/>
      <c r="I829" s="281"/>
      <c r="J829" s="281"/>
      <c r="K829" s="281"/>
      <c r="L829" s="281"/>
      <c r="M829" s="281"/>
    </row>
    <row r="830" spans="4:13">
      <c r="D830" s="325"/>
      <c r="E830" s="281"/>
      <c r="I830" s="281"/>
      <c r="J830" s="281"/>
      <c r="K830" s="281"/>
      <c r="L830" s="281"/>
      <c r="M830" s="281"/>
    </row>
    <row r="831" spans="4:13">
      <c r="D831" s="325"/>
      <c r="E831" s="281"/>
      <c r="I831" s="281"/>
      <c r="J831" s="281"/>
      <c r="K831" s="281"/>
      <c r="L831" s="281"/>
      <c r="M831" s="281"/>
    </row>
    <row r="832" spans="4:13">
      <c r="D832" s="325"/>
      <c r="E832" s="281"/>
      <c r="I832" s="281"/>
      <c r="J832" s="281"/>
      <c r="K832" s="281"/>
      <c r="L832" s="281"/>
      <c r="M832" s="281"/>
    </row>
    <row r="833" spans="4:13">
      <c r="D833" s="325"/>
      <c r="E833" s="281"/>
      <c r="I833" s="281"/>
      <c r="J833" s="281"/>
      <c r="K833" s="281"/>
      <c r="L833" s="281"/>
      <c r="M833" s="281"/>
    </row>
    <row r="834" spans="4:13">
      <c r="D834" s="325"/>
      <c r="E834" s="281"/>
      <c r="I834" s="281"/>
      <c r="J834" s="281"/>
      <c r="K834" s="281"/>
      <c r="L834" s="281"/>
      <c r="M834" s="281"/>
    </row>
    <row r="835" spans="4:13">
      <c r="D835" s="325"/>
      <c r="E835" s="281"/>
      <c r="I835" s="281"/>
      <c r="J835" s="281"/>
      <c r="K835" s="281"/>
      <c r="L835" s="281"/>
      <c r="M835" s="281"/>
    </row>
    <row r="836" spans="4:13">
      <c r="D836" s="325"/>
      <c r="E836" s="281"/>
      <c r="I836" s="281"/>
      <c r="J836" s="281"/>
      <c r="K836" s="281"/>
      <c r="L836" s="281"/>
      <c r="M836" s="281"/>
    </row>
    <row r="837" spans="4:13">
      <c r="D837" s="325"/>
      <c r="E837" s="281"/>
      <c r="I837" s="281"/>
      <c r="J837" s="281"/>
      <c r="K837" s="281"/>
      <c r="L837" s="281"/>
      <c r="M837" s="281"/>
    </row>
    <row r="838" spans="4:13">
      <c r="D838" s="325"/>
      <c r="E838" s="281"/>
      <c r="I838" s="281"/>
      <c r="J838" s="281"/>
      <c r="K838" s="281"/>
      <c r="L838" s="281"/>
      <c r="M838" s="281"/>
    </row>
    <row r="839" spans="4:13">
      <c r="D839" s="325"/>
      <c r="E839" s="281"/>
      <c r="I839" s="281"/>
      <c r="J839" s="281"/>
      <c r="K839" s="281"/>
      <c r="L839" s="281"/>
      <c r="M839" s="281"/>
    </row>
    <row r="840" spans="4:13">
      <c r="D840" s="325"/>
      <c r="E840" s="281"/>
      <c r="I840" s="281"/>
      <c r="J840" s="281"/>
      <c r="K840" s="281"/>
      <c r="L840" s="281"/>
      <c r="M840" s="281"/>
    </row>
    <row r="841" spans="4:13">
      <c r="D841" s="325"/>
      <c r="E841" s="281"/>
      <c r="I841" s="281"/>
      <c r="J841" s="281"/>
      <c r="K841" s="281"/>
      <c r="L841" s="281"/>
      <c r="M841" s="281"/>
    </row>
    <row r="842" spans="4:13">
      <c r="D842" s="325"/>
      <c r="E842" s="281"/>
      <c r="I842" s="281"/>
      <c r="J842" s="281"/>
      <c r="K842" s="281"/>
      <c r="L842" s="281"/>
      <c r="M842" s="281"/>
    </row>
    <row r="843" spans="4:13">
      <c r="D843" s="325"/>
      <c r="E843" s="281"/>
      <c r="I843" s="281"/>
      <c r="J843" s="281"/>
      <c r="K843" s="281"/>
      <c r="L843" s="281"/>
      <c r="M843" s="281"/>
    </row>
    <row r="844" spans="4:13">
      <c r="D844" s="325"/>
      <c r="E844" s="281"/>
      <c r="I844" s="281"/>
      <c r="J844" s="281"/>
      <c r="K844" s="281"/>
      <c r="L844" s="281"/>
      <c r="M844" s="281"/>
    </row>
    <row r="845" spans="4:13">
      <c r="D845" s="325"/>
      <c r="E845" s="281"/>
      <c r="I845" s="281"/>
      <c r="J845" s="281"/>
      <c r="K845" s="281"/>
      <c r="L845" s="281"/>
      <c r="M845" s="281"/>
    </row>
    <row r="846" spans="4:13">
      <c r="D846" s="325"/>
      <c r="E846" s="281"/>
      <c r="I846" s="281"/>
      <c r="J846" s="281"/>
      <c r="K846" s="281"/>
      <c r="L846" s="281"/>
      <c r="M846" s="281"/>
    </row>
    <row r="847" spans="4:13">
      <c r="D847" s="325"/>
      <c r="E847" s="281"/>
      <c r="I847" s="281"/>
      <c r="J847" s="281"/>
      <c r="K847" s="281"/>
      <c r="L847" s="281"/>
      <c r="M847" s="281"/>
    </row>
    <row r="848" spans="4:13">
      <c r="D848" s="325"/>
      <c r="E848" s="281"/>
      <c r="I848" s="281"/>
      <c r="J848" s="281"/>
      <c r="K848" s="281"/>
      <c r="L848" s="281"/>
      <c r="M848" s="281"/>
    </row>
    <row r="849" spans="4:13">
      <c r="D849" s="325"/>
      <c r="E849" s="281"/>
      <c r="I849" s="281"/>
      <c r="J849" s="281"/>
      <c r="K849" s="281"/>
      <c r="L849" s="281"/>
      <c r="M849" s="281"/>
    </row>
    <row r="850" spans="4:13">
      <c r="D850" s="325"/>
      <c r="E850" s="281"/>
      <c r="I850" s="281"/>
      <c r="J850" s="281"/>
      <c r="K850" s="281"/>
      <c r="L850" s="281"/>
      <c r="M850" s="281"/>
    </row>
    <row r="851" spans="4:13">
      <c r="D851" s="325"/>
      <c r="E851" s="281"/>
      <c r="I851" s="281"/>
      <c r="J851" s="281"/>
      <c r="K851" s="281"/>
      <c r="L851" s="281"/>
      <c r="M851" s="281"/>
    </row>
    <row r="852" spans="4:13">
      <c r="D852" s="325"/>
      <c r="E852" s="281"/>
      <c r="I852" s="281"/>
      <c r="J852" s="281"/>
      <c r="K852" s="281"/>
      <c r="L852" s="281"/>
      <c r="M852" s="281"/>
    </row>
    <row r="853" spans="4:13">
      <c r="D853" s="325"/>
      <c r="E853" s="281"/>
      <c r="I853" s="281"/>
      <c r="J853" s="281"/>
      <c r="K853" s="281"/>
      <c r="L853" s="281"/>
      <c r="M853" s="281"/>
    </row>
    <row r="854" spans="4:13">
      <c r="D854" s="325"/>
      <c r="E854" s="281"/>
      <c r="I854" s="281"/>
      <c r="J854" s="281"/>
      <c r="K854" s="281"/>
      <c r="L854" s="281"/>
      <c r="M854" s="281"/>
    </row>
    <row r="855" spans="4:13">
      <c r="D855" s="325"/>
      <c r="E855" s="281"/>
      <c r="I855" s="281"/>
      <c r="J855" s="281"/>
      <c r="K855" s="281"/>
      <c r="L855" s="281"/>
      <c r="M855" s="281"/>
    </row>
    <row r="856" spans="4:13">
      <c r="D856" s="325"/>
      <c r="E856" s="281"/>
      <c r="I856" s="281"/>
      <c r="J856" s="281"/>
      <c r="K856" s="281"/>
      <c r="L856" s="281"/>
      <c r="M856" s="281"/>
    </row>
    <row r="857" spans="4:13">
      <c r="D857" s="325"/>
      <c r="E857" s="281"/>
      <c r="I857" s="281"/>
      <c r="J857" s="281"/>
      <c r="K857" s="281"/>
      <c r="L857" s="281"/>
      <c r="M857" s="281"/>
    </row>
    <row r="858" spans="4:13">
      <c r="D858" s="325"/>
      <c r="E858" s="281"/>
      <c r="I858" s="281"/>
      <c r="J858" s="281"/>
      <c r="K858" s="281"/>
      <c r="L858" s="281"/>
      <c r="M858" s="281"/>
    </row>
    <row r="859" spans="4:13">
      <c r="D859" s="325"/>
      <c r="E859" s="281"/>
      <c r="I859" s="281"/>
      <c r="J859" s="281"/>
      <c r="K859" s="281"/>
      <c r="L859" s="281"/>
      <c r="M859" s="281"/>
    </row>
    <row r="860" spans="4:13">
      <c r="D860" s="325"/>
      <c r="E860" s="281"/>
      <c r="I860" s="281"/>
      <c r="J860" s="281"/>
      <c r="K860" s="281"/>
      <c r="L860" s="281"/>
      <c r="M860" s="281"/>
    </row>
    <row r="861" spans="4:13">
      <c r="D861" s="325"/>
      <c r="E861" s="281"/>
      <c r="I861" s="281"/>
      <c r="J861" s="281"/>
      <c r="K861" s="281"/>
      <c r="L861" s="281"/>
      <c r="M861" s="281"/>
    </row>
    <row r="862" spans="4:13">
      <c r="D862" s="325"/>
      <c r="E862" s="281"/>
      <c r="I862" s="281"/>
      <c r="J862" s="281"/>
      <c r="K862" s="281"/>
      <c r="L862" s="281"/>
      <c r="M862" s="281"/>
    </row>
    <row r="863" spans="4:13">
      <c r="D863" s="325"/>
      <c r="E863" s="281"/>
      <c r="I863" s="281"/>
      <c r="J863" s="281"/>
      <c r="K863" s="281"/>
      <c r="L863" s="281"/>
      <c r="M863" s="281"/>
    </row>
    <row r="864" spans="4:13">
      <c r="D864" s="325"/>
      <c r="E864" s="281"/>
      <c r="I864" s="281"/>
      <c r="J864" s="281"/>
      <c r="K864" s="281"/>
      <c r="L864" s="281"/>
      <c r="M864" s="281"/>
    </row>
    <row r="865" spans="4:13">
      <c r="D865" s="325"/>
      <c r="E865" s="281"/>
      <c r="I865" s="281"/>
      <c r="J865" s="281"/>
      <c r="K865" s="281"/>
      <c r="L865" s="281"/>
      <c r="M865" s="281"/>
    </row>
    <row r="866" spans="4:13">
      <c r="D866" s="325"/>
      <c r="E866" s="281"/>
      <c r="I866" s="281"/>
      <c r="J866" s="281"/>
      <c r="K866" s="281"/>
      <c r="L866" s="281"/>
      <c r="M866" s="281"/>
    </row>
    <row r="867" spans="4:13">
      <c r="D867" s="325"/>
      <c r="E867" s="281"/>
      <c r="I867" s="281"/>
      <c r="J867" s="281"/>
      <c r="K867" s="281"/>
      <c r="L867" s="281"/>
      <c r="M867" s="281"/>
    </row>
    <row r="868" spans="4:13">
      <c r="D868" s="325"/>
      <c r="E868" s="281"/>
      <c r="I868" s="281"/>
      <c r="J868" s="281"/>
      <c r="K868" s="281"/>
      <c r="L868" s="281"/>
      <c r="M868" s="281"/>
    </row>
    <row r="869" spans="4:13">
      <c r="D869" s="325"/>
      <c r="E869" s="281"/>
      <c r="I869" s="281"/>
      <c r="J869" s="281"/>
      <c r="K869" s="281"/>
      <c r="L869" s="281"/>
      <c r="M869" s="281"/>
    </row>
    <row r="870" spans="4:13">
      <c r="D870" s="325"/>
      <c r="E870" s="281"/>
      <c r="I870" s="281"/>
      <c r="J870" s="281"/>
      <c r="K870" s="281"/>
      <c r="L870" s="281"/>
      <c r="M870" s="281"/>
    </row>
    <row r="871" spans="4:13">
      <c r="D871" s="325"/>
      <c r="E871" s="281"/>
      <c r="I871" s="281"/>
      <c r="J871" s="281"/>
      <c r="K871" s="281"/>
      <c r="L871" s="281"/>
      <c r="M871" s="281"/>
    </row>
    <row r="872" spans="4:13">
      <c r="D872" s="325"/>
      <c r="E872" s="281"/>
      <c r="I872" s="281"/>
      <c r="J872" s="281"/>
      <c r="K872" s="281"/>
      <c r="L872" s="281"/>
      <c r="M872" s="281"/>
    </row>
    <row r="873" spans="4:13">
      <c r="D873" s="325"/>
      <c r="E873" s="281"/>
      <c r="I873" s="281"/>
      <c r="J873" s="281"/>
      <c r="K873" s="281"/>
      <c r="L873" s="281"/>
      <c r="M873" s="281"/>
    </row>
    <row r="874" spans="4:13">
      <c r="D874" s="325"/>
      <c r="E874" s="281"/>
      <c r="I874" s="281"/>
      <c r="J874" s="281"/>
      <c r="K874" s="281"/>
      <c r="L874" s="281"/>
      <c r="M874" s="281"/>
    </row>
    <row r="875" spans="4:13">
      <c r="D875" s="325"/>
      <c r="E875" s="281"/>
      <c r="I875" s="281"/>
      <c r="J875" s="281"/>
      <c r="K875" s="281"/>
      <c r="L875" s="281"/>
      <c r="M875" s="281"/>
    </row>
    <row r="876" spans="4:13">
      <c r="D876" s="325"/>
      <c r="E876" s="281"/>
      <c r="I876" s="281"/>
      <c r="J876" s="281"/>
      <c r="K876" s="281"/>
      <c r="L876" s="281"/>
      <c r="M876" s="281"/>
    </row>
    <row r="877" spans="4:13">
      <c r="D877" s="325"/>
      <c r="E877" s="281"/>
      <c r="I877" s="281"/>
      <c r="J877" s="281"/>
      <c r="K877" s="281"/>
      <c r="L877" s="281"/>
      <c r="M877" s="281"/>
    </row>
    <row r="878" spans="4:13">
      <c r="D878" s="325"/>
      <c r="E878" s="281"/>
      <c r="I878" s="281"/>
      <c r="J878" s="281"/>
      <c r="K878" s="281"/>
      <c r="L878" s="281"/>
      <c r="M878" s="281"/>
    </row>
    <row r="879" spans="4:13">
      <c r="D879" s="325"/>
      <c r="E879" s="281"/>
      <c r="I879" s="281"/>
      <c r="J879" s="281"/>
      <c r="K879" s="281"/>
      <c r="L879" s="281"/>
      <c r="M879" s="281"/>
    </row>
    <row r="880" spans="4:13">
      <c r="D880" s="325"/>
      <c r="E880" s="281"/>
      <c r="I880" s="281"/>
      <c r="J880" s="281"/>
      <c r="K880" s="281"/>
      <c r="L880" s="281"/>
      <c r="M880" s="281"/>
    </row>
    <row r="881" spans="4:13">
      <c r="D881" s="325"/>
      <c r="E881" s="281"/>
      <c r="I881" s="281"/>
      <c r="J881" s="281"/>
      <c r="K881" s="281"/>
      <c r="L881" s="281"/>
      <c r="M881" s="281"/>
    </row>
    <row r="882" spans="4:13">
      <c r="D882" s="325"/>
      <c r="E882" s="281"/>
      <c r="I882" s="281"/>
      <c r="J882" s="281"/>
      <c r="K882" s="281"/>
      <c r="L882" s="281"/>
      <c r="M882" s="281"/>
    </row>
    <row r="883" spans="4:13">
      <c r="D883" s="325"/>
      <c r="E883" s="281"/>
      <c r="I883" s="281"/>
      <c r="J883" s="281"/>
      <c r="K883" s="281"/>
      <c r="L883" s="281"/>
      <c r="M883" s="281"/>
    </row>
    <row r="884" spans="4:13">
      <c r="D884" s="325"/>
      <c r="E884" s="281"/>
      <c r="I884" s="281"/>
      <c r="J884" s="281"/>
      <c r="K884" s="281"/>
      <c r="L884" s="281"/>
      <c r="M884" s="281"/>
    </row>
    <row r="885" spans="4:13">
      <c r="D885" s="325"/>
      <c r="E885" s="281"/>
      <c r="I885" s="281"/>
      <c r="J885" s="281"/>
      <c r="K885" s="281"/>
      <c r="L885" s="281"/>
      <c r="M885" s="281"/>
    </row>
    <row r="886" spans="4:13">
      <c r="D886" s="325"/>
      <c r="E886" s="281"/>
      <c r="I886" s="281"/>
      <c r="J886" s="281"/>
      <c r="K886" s="281"/>
      <c r="L886" s="281"/>
      <c r="M886" s="281"/>
    </row>
    <row r="887" spans="4:13">
      <c r="D887" s="325"/>
      <c r="E887" s="281"/>
      <c r="I887" s="281"/>
      <c r="J887" s="281"/>
      <c r="K887" s="281"/>
      <c r="L887" s="281"/>
      <c r="M887" s="281"/>
    </row>
    <row r="888" spans="4:13">
      <c r="D888" s="325"/>
      <c r="E888" s="281"/>
      <c r="I888" s="281"/>
      <c r="J888" s="281"/>
      <c r="K888" s="281"/>
      <c r="L888" s="281"/>
      <c r="M888" s="281"/>
    </row>
    <row r="889" spans="4:13">
      <c r="D889" s="325"/>
      <c r="E889" s="281"/>
      <c r="I889" s="281"/>
      <c r="J889" s="281"/>
      <c r="K889" s="281"/>
      <c r="L889" s="281"/>
      <c r="M889" s="281"/>
    </row>
    <row r="890" spans="4:13">
      <c r="D890" s="325"/>
      <c r="E890" s="281"/>
      <c r="I890" s="281"/>
      <c r="J890" s="281"/>
      <c r="K890" s="281"/>
      <c r="L890" s="281"/>
      <c r="M890" s="281"/>
    </row>
    <row r="891" spans="4:13">
      <c r="D891" s="325"/>
      <c r="E891" s="281"/>
      <c r="I891" s="281"/>
      <c r="J891" s="281"/>
      <c r="K891" s="281"/>
      <c r="L891" s="281"/>
      <c r="M891" s="281"/>
    </row>
    <row r="892" spans="4:13">
      <c r="D892" s="325"/>
      <c r="E892" s="281"/>
      <c r="I892" s="281"/>
      <c r="J892" s="281"/>
      <c r="K892" s="281"/>
      <c r="L892" s="281"/>
      <c r="M892" s="281"/>
    </row>
    <row r="893" spans="4:13">
      <c r="D893" s="325"/>
      <c r="E893" s="281"/>
      <c r="I893" s="281"/>
      <c r="J893" s="281"/>
      <c r="K893" s="281"/>
      <c r="L893" s="281"/>
      <c r="M893" s="281"/>
    </row>
    <row r="894" spans="4:13">
      <c r="D894" s="325"/>
      <c r="E894" s="281"/>
      <c r="I894" s="281"/>
      <c r="J894" s="281"/>
      <c r="K894" s="281"/>
      <c r="L894" s="281"/>
      <c r="M894" s="281"/>
    </row>
    <row r="895" spans="4:13">
      <c r="D895" s="325"/>
      <c r="E895" s="281"/>
      <c r="I895" s="281"/>
      <c r="J895" s="281"/>
      <c r="K895" s="281"/>
      <c r="L895" s="281"/>
      <c r="M895" s="281"/>
    </row>
    <row r="896" spans="4:13">
      <c r="D896" s="325"/>
      <c r="E896" s="281"/>
      <c r="I896" s="281"/>
      <c r="J896" s="281"/>
      <c r="K896" s="281"/>
      <c r="L896" s="281"/>
      <c r="M896" s="281"/>
    </row>
    <row r="897" spans="4:13">
      <c r="D897" s="325"/>
      <c r="E897" s="281"/>
      <c r="I897" s="281"/>
      <c r="J897" s="281"/>
      <c r="K897" s="281"/>
      <c r="L897" s="281"/>
      <c r="M897" s="281"/>
    </row>
    <row r="898" spans="4:13">
      <c r="D898" s="325"/>
      <c r="E898" s="281"/>
      <c r="I898" s="281"/>
      <c r="J898" s="281"/>
      <c r="K898" s="281"/>
      <c r="L898" s="281"/>
      <c r="M898" s="281"/>
    </row>
    <row r="899" spans="4:13">
      <c r="D899" s="325"/>
      <c r="E899" s="281"/>
      <c r="I899" s="281"/>
      <c r="J899" s="281"/>
      <c r="K899" s="281"/>
      <c r="L899" s="281"/>
      <c r="M899" s="281"/>
    </row>
    <row r="900" spans="4:13">
      <c r="D900" s="325"/>
      <c r="E900" s="281"/>
      <c r="I900" s="281"/>
      <c r="J900" s="281"/>
      <c r="K900" s="281"/>
      <c r="L900" s="281"/>
      <c r="M900" s="281"/>
    </row>
    <row r="901" spans="4:13">
      <c r="D901" s="325"/>
      <c r="E901" s="281"/>
      <c r="I901" s="281"/>
      <c r="J901" s="281"/>
      <c r="K901" s="281"/>
      <c r="L901" s="281"/>
      <c r="M901" s="281"/>
    </row>
    <row r="902" spans="4:13">
      <c r="D902" s="325"/>
      <c r="E902" s="281"/>
      <c r="I902" s="281"/>
      <c r="J902" s="281"/>
      <c r="K902" s="281"/>
      <c r="L902" s="281"/>
      <c r="M902" s="281"/>
    </row>
    <row r="903" spans="4:13">
      <c r="D903" s="325"/>
      <c r="E903" s="281"/>
      <c r="I903" s="281"/>
      <c r="J903" s="281"/>
      <c r="K903" s="281"/>
      <c r="L903" s="281"/>
      <c r="M903" s="281"/>
    </row>
    <row r="904" spans="4:13">
      <c r="D904" s="325"/>
      <c r="E904" s="281"/>
      <c r="I904" s="281"/>
      <c r="J904" s="281"/>
      <c r="K904" s="281"/>
      <c r="L904" s="281"/>
      <c r="M904" s="281"/>
    </row>
    <row r="905" spans="4:13">
      <c r="D905" s="325"/>
      <c r="E905" s="281"/>
      <c r="I905" s="281"/>
      <c r="J905" s="281"/>
      <c r="K905" s="281"/>
      <c r="L905" s="281"/>
      <c r="M905" s="281"/>
    </row>
    <row r="906" spans="4:13">
      <c r="D906" s="325"/>
      <c r="E906" s="281"/>
      <c r="I906" s="281"/>
      <c r="J906" s="281"/>
      <c r="K906" s="281"/>
      <c r="L906" s="281"/>
      <c r="M906" s="281"/>
    </row>
    <row r="907" spans="4:13">
      <c r="D907" s="325"/>
      <c r="E907" s="281"/>
      <c r="I907" s="281"/>
      <c r="J907" s="281"/>
      <c r="K907" s="281"/>
      <c r="L907" s="281"/>
      <c r="M907" s="281"/>
    </row>
    <row r="908" spans="4:13">
      <c r="D908" s="325"/>
      <c r="E908" s="281"/>
      <c r="I908" s="281"/>
      <c r="J908" s="281"/>
      <c r="K908" s="281"/>
      <c r="L908" s="281"/>
      <c r="M908" s="281"/>
    </row>
    <row r="909" spans="4:13">
      <c r="D909" s="325"/>
      <c r="E909" s="281"/>
      <c r="I909" s="281"/>
      <c r="J909" s="281"/>
      <c r="K909" s="281"/>
      <c r="L909" s="281"/>
      <c r="M909" s="281"/>
    </row>
    <row r="910" spans="4:13">
      <c r="D910" s="325"/>
      <c r="E910" s="281"/>
      <c r="I910" s="281"/>
      <c r="J910" s="281"/>
      <c r="K910" s="281"/>
      <c r="L910" s="281"/>
      <c r="M910" s="281"/>
    </row>
    <row r="911" spans="4:13">
      <c r="D911" s="325"/>
      <c r="E911" s="281"/>
      <c r="I911" s="281"/>
      <c r="J911" s="281"/>
      <c r="K911" s="281"/>
      <c r="L911" s="281"/>
      <c r="M911" s="281"/>
    </row>
    <row r="912" spans="4:13">
      <c r="D912" s="325"/>
      <c r="E912" s="281"/>
      <c r="I912" s="281"/>
      <c r="J912" s="281"/>
      <c r="K912" s="281"/>
      <c r="L912" s="281"/>
      <c r="M912" s="281"/>
    </row>
    <row r="913" spans="4:13">
      <c r="D913" s="325"/>
      <c r="E913" s="281"/>
      <c r="I913" s="281"/>
      <c r="J913" s="281"/>
      <c r="K913" s="281"/>
      <c r="L913" s="281"/>
      <c r="M913" s="281"/>
    </row>
    <row r="914" spans="4:13">
      <c r="D914" s="325"/>
      <c r="E914" s="281"/>
      <c r="I914" s="281"/>
      <c r="J914" s="281"/>
      <c r="K914" s="281"/>
      <c r="L914" s="281"/>
      <c r="M914" s="281"/>
    </row>
    <row r="915" spans="4:13">
      <c r="D915" s="325"/>
      <c r="E915" s="281"/>
      <c r="I915" s="281"/>
      <c r="J915" s="281"/>
      <c r="K915" s="281"/>
      <c r="L915" s="281"/>
      <c r="M915" s="281"/>
    </row>
    <row r="916" spans="4:13">
      <c r="D916" s="325"/>
      <c r="E916" s="281"/>
      <c r="I916" s="281"/>
      <c r="J916" s="281"/>
      <c r="K916" s="281"/>
      <c r="L916" s="281"/>
      <c r="M916" s="281"/>
    </row>
    <row r="917" spans="4:13">
      <c r="D917" s="325"/>
      <c r="E917" s="281"/>
      <c r="I917" s="281"/>
      <c r="J917" s="281"/>
      <c r="K917" s="281"/>
      <c r="L917" s="281"/>
      <c r="M917" s="281"/>
    </row>
    <row r="918" spans="4:13">
      <c r="D918" s="325"/>
      <c r="E918" s="281"/>
      <c r="I918" s="281"/>
      <c r="J918" s="281"/>
      <c r="K918" s="281"/>
      <c r="L918" s="281"/>
      <c r="M918" s="281"/>
    </row>
    <row r="919" spans="4:13">
      <c r="D919" s="325"/>
      <c r="E919" s="281"/>
      <c r="I919" s="281"/>
      <c r="J919" s="281"/>
      <c r="K919" s="281"/>
      <c r="L919" s="281"/>
      <c r="M919" s="281"/>
    </row>
    <row r="920" spans="4:13">
      <c r="D920" s="325"/>
      <c r="E920" s="281"/>
      <c r="I920" s="281"/>
      <c r="J920" s="281"/>
      <c r="K920" s="281"/>
      <c r="L920" s="281"/>
      <c r="M920" s="281"/>
    </row>
    <row r="921" spans="4:13">
      <c r="D921" s="325"/>
      <c r="E921" s="281"/>
      <c r="I921" s="281"/>
      <c r="J921" s="281"/>
      <c r="K921" s="281"/>
      <c r="L921" s="281"/>
      <c r="M921" s="281"/>
    </row>
    <row r="922" spans="4:13">
      <c r="D922" s="325"/>
      <c r="E922" s="281"/>
      <c r="I922" s="281"/>
      <c r="J922" s="281"/>
      <c r="K922" s="281"/>
      <c r="L922" s="281"/>
      <c r="M922" s="281"/>
    </row>
    <row r="923" spans="4:13">
      <c r="D923" s="325"/>
      <c r="E923" s="281"/>
      <c r="I923" s="281"/>
      <c r="J923" s="281"/>
      <c r="K923" s="281"/>
      <c r="L923" s="281"/>
      <c r="M923" s="281"/>
    </row>
    <row r="924" spans="4:13">
      <c r="D924" s="325"/>
      <c r="E924" s="281"/>
      <c r="I924" s="281"/>
      <c r="J924" s="281"/>
      <c r="K924" s="281"/>
      <c r="L924" s="281"/>
      <c r="M924" s="281"/>
    </row>
    <row r="925" spans="4:13">
      <c r="D925" s="325"/>
      <c r="E925" s="281"/>
      <c r="I925" s="281"/>
      <c r="J925" s="281"/>
      <c r="K925" s="281"/>
      <c r="L925" s="281"/>
      <c r="M925" s="281"/>
    </row>
    <row r="926" spans="4:13">
      <c r="D926" s="325"/>
      <c r="E926" s="281"/>
      <c r="I926" s="281"/>
      <c r="J926" s="281"/>
      <c r="K926" s="281"/>
      <c r="L926" s="281"/>
      <c r="M926" s="281"/>
    </row>
    <row r="927" spans="4:13">
      <c r="D927" s="325"/>
      <c r="E927" s="281"/>
      <c r="I927" s="281"/>
      <c r="J927" s="281"/>
      <c r="K927" s="281"/>
      <c r="L927" s="281"/>
      <c r="M927" s="281"/>
    </row>
    <row r="928" spans="4:13">
      <c r="D928" s="325"/>
      <c r="E928" s="281"/>
      <c r="I928" s="281"/>
      <c r="J928" s="281"/>
      <c r="K928" s="281"/>
      <c r="L928" s="281"/>
      <c r="M928" s="281"/>
    </row>
    <row r="929" spans="4:13">
      <c r="D929" s="325"/>
      <c r="E929" s="281"/>
      <c r="I929" s="281"/>
      <c r="J929" s="281"/>
      <c r="K929" s="281"/>
      <c r="L929" s="281"/>
      <c r="M929" s="281"/>
    </row>
    <row r="930" spans="4:13">
      <c r="D930" s="325"/>
      <c r="E930" s="281"/>
      <c r="I930" s="281"/>
      <c r="J930" s="281"/>
      <c r="K930" s="281"/>
      <c r="L930" s="281"/>
      <c r="M930" s="281"/>
    </row>
    <row r="931" spans="4:13">
      <c r="D931" s="325"/>
      <c r="E931" s="281"/>
      <c r="I931" s="281"/>
      <c r="J931" s="281"/>
      <c r="K931" s="281"/>
      <c r="L931" s="281"/>
      <c r="M931" s="281"/>
    </row>
    <row r="932" spans="4:13">
      <c r="D932" s="325"/>
      <c r="E932" s="281"/>
      <c r="I932" s="281"/>
      <c r="J932" s="281"/>
      <c r="K932" s="281"/>
      <c r="L932" s="281"/>
      <c r="M932" s="281"/>
    </row>
    <row r="933" spans="4:13">
      <c r="D933" s="325"/>
      <c r="E933" s="281"/>
      <c r="I933" s="281"/>
      <c r="J933" s="281"/>
      <c r="K933" s="281"/>
      <c r="L933" s="281"/>
      <c r="M933" s="281"/>
    </row>
    <row r="934" spans="4:13">
      <c r="D934" s="325"/>
      <c r="E934" s="281"/>
      <c r="I934" s="281"/>
      <c r="J934" s="281"/>
      <c r="K934" s="281"/>
      <c r="L934" s="281"/>
      <c r="M934" s="281"/>
    </row>
    <row r="935" spans="4:13">
      <c r="D935" s="325"/>
      <c r="E935" s="281"/>
      <c r="I935" s="281"/>
      <c r="J935" s="281"/>
      <c r="K935" s="281"/>
      <c r="L935" s="281"/>
      <c r="M935" s="281"/>
    </row>
    <row r="936" spans="4:13">
      <c r="D936" s="325"/>
      <c r="E936" s="281"/>
      <c r="I936" s="281"/>
      <c r="J936" s="281"/>
      <c r="K936" s="281"/>
      <c r="L936" s="281"/>
      <c r="M936" s="281"/>
    </row>
    <row r="937" spans="4:13">
      <c r="D937" s="325"/>
      <c r="E937" s="281"/>
      <c r="I937" s="281"/>
      <c r="J937" s="281"/>
      <c r="K937" s="281"/>
      <c r="L937" s="281"/>
      <c r="M937" s="281"/>
    </row>
    <row r="938" spans="4:13">
      <c r="D938" s="325"/>
      <c r="E938" s="281"/>
      <c r="I938" s="281"/>
      <c r="J938" s="281"/>
      <c r="K938" s="281"/>
      <c r="L938" s="281"/>
      <c r="M938" s="281"/>
    </row>
    <row r="939" spans="4:13">
      <c r="D939" s="325"/>
      <c r="E939" s="281"/>
      <c r="I939" s="281"/>
      <c r="J939" s="281"/>
      <c r="K939" s="281"/>
      <c r="L939" s="281"/>
      <c r="M939" s="281"/>
    </row>
    <row r="940" spans="4:13">
      <c r="D940" s="325"/>
      <c r="E940" s="281"/>
      <c r="I940" s="281"/>
      <c r="J940" s="281"/>
      <c r="K940" s="281"/>
      <c r="L940" s="281"/>
      <c r="M940" s="281"/>
    </row>
    <row r="941" spans="4:13">
      <c r="D941" s="325"/>
      <c r="E941" s="281"/>
      <c r="I941" s="281"/>
      <c r="J941" s="281"/>
      <c r="K941" s="281"/>
      <c r="L941" s="281"/>
      <c r="M941" s="281"/>
    </row>
    <row r="942" spans="4:13">
      <c r="D942" s="325"/>
      <c r="E942" s="281"/>
      <c r="I942" s="281"/>
      <c r="J942" s="281"/>
      <c r="K942" s="281"/>
      <c r="L942" s="281"/>
      <c r="M942" s="281"/>
    </row>
    <row r="943" spans="4:13">
      <c r="D943" s="325"/>
      <c r="E943" s="281"/>
      <c r="I943" s="281"/>
      <c r="J943" s="281"/>
      <c r="K943" s="281"/>
      <c r="L943" s="281"/>
      <c r="M943" s="281"/>
    </row>
    <row r="944" spans="4:13">
      <c r="D944" s="325"/>
      <c r="E944" s="281"/>
      <c r="I944" s="281"/>
      <c r="J944" s="281"/>
      <c r="K944" s="281"/>
      <c r="L944" s="281"/>
      <c r="M944" s="281"/>
    </row>
    <row r="945" spans="4:13">
      <c r="D945" s="325"/>
      <c r="E945" s="281"/>
      <c r="I945" s="281"/>
      <c r="J945" s="281"/>
      <c r="K945" s="281"/>
      <c r="L945" s="281"/>
      <c r="M945" s="281"/>
    </row>
    <row r="946" spans="4:13">
      <c r="D946" s="325"/>
      <c r="E946" s="281"/>
      <c r="I946" s="281"/>
      <c r="J946" s="281"/>
      <c r="K946" s="281"/>
      <c r="L946" s="281"/>
      <c r="M946" s="281"/>
    </row>
    <row r="947" spans="4:13">
      <c r="D947" s="325"/>
      <c r="E947" s="281"/>
      <c r="I947" s="281"/>
      <c r="J947" s="281"/>
      <c r="K947" s="281"/>
      <c r="L947" s="281"/>
      <c r="M947" s="281"/>
    </row>
    <row r="948" spans="4:13">
      <c r="D948" s="325"/>
      <c r="E948" s="281"/>
      <c r="I948" s="281"/>
      <c r="J948" s="281"/>
      <c r="K948" s="281"/>
      <c r="L948" s="281"/>
      <c r="M948" s="281"/>
    </row>
    <row r="949" spans="4:13">
      <c r="D949" s="325"/>
      <c r="E949" s="281"/>
      <c r="I949" s="281"/>
      <c r="J949" s="281"/>
      <c r="K949" s="281"/>
      <c r="L949" s="281"/>
      <c r="M949" s="281"/>
    </row>
    <row r="950" spans="4:13">
      <c r="D950" s="325"/>
      <c r="E950" s="281"/>
      <c r="I950" s="281"/>
      <c r="J950" s="281"/>
      <c r="K950" s="281"/>
      <c r="L950" s="281"/>
      <c r="M950" s="281"/>
    </row>
    <row r="951" spans="4:13">
      <c r="D951" s="325"/>
      <c r="E951" s="281"/>
      <c r="I951" s="281"/>
      <c r="J951" s="281"/>
      <c r="K951" s="281"/>
      <c r="L951" s="281"/>
      <c r="M951" s="281"/>
    </row>
    <row r="952" spans="4:13">
      <c r="D952" s="325"/>
      <c r="E952" s="281"/>
      <c r="I952" s="281"/>
      <c r="J952" s="281"/>
      <c r="K952" s="281"/>
      <c r="L952" s="281"/>
      <c r="M952" s="281"/>
    </row>
    <row r="953" spans="4:13">
      <c r="D953" s="325"/>
      <c r="E953" s="281"/>
      <c r="I953" s="281"/>
      <c r="J953" s="281"/>
      <c r="K953" s="281"/>
      <c r="L953" s="281"/>
      <c r="M953" s="281"/>
    </row>
    <row r="954" spans="4:13">
      <c r="D954" s="325"/>
      <c r="E954" s="281"/>
      <c r="I954" s="281"/>
      <c r="J954" s="281"/>
      <c r="K954" s="281"/>
      <c r="L954" s="281"/>
      <c r="M954" s="281"/>
    </row>
    <row r="955" spans="4:13">
      <c r="D955" s="325"/>
      <c r="E955" s="281"/>
      <c r="I955" s="281"/>
      <c r="J955" s="281"/>
      <c r="K955" s="281"/>
      <c r="L955" s="281"/>
      <c r="M955" s="281"/>
    </row>
    <row r="956" spans="4:13">
      <c r="D956" s="325"/>
      <c r="E956" s="281"/>
      <c r="I956" s="281"/>
      <c r="J956" s="281"/>
      <c r="K956" s="281"/>
      <c r="L956" s="281"/>
      <c r="M956" s="281"/>
    </row>
    <row r="957" spans="4:13">
      <c r="D957" s="325"/>
      <c r="E957" s="281"/>
      <c r="I957" s="281"/>
      <c r="J957" s="281"/>
      <c r="K957" s="281"/>
      <c r="L957" s="281"/>
      <c r="M957" s="281"/>
    </row>
    <row r="958" spans="4:13">
      <c r="D958" s="325"/>
      <c r="E958" s="281"/>
      <c r="I958" s="281"/>
      <c r="J958" s="281"/>
      <c r="K958" s="281"/>
      <c r="L958" s="281"/>
      <c r="M958" s="281"/>
    </row>
    <row r="959" spans="4:13">
      <c r="D959" s="325"/>
      <c r="E959" s="281"/>
      <c r="I959" s="281"/>
      <c r="J959" s="281"/>
      <c r="K959" s="281"/>
      <c r="L959" s="281"/>
      <c r="M959" s="281"/>
    </row>
    <row r="960" spans="4:13">
      <c r="D960" s="325"/>
      <c r="E960" s="281"/>
      <c r="I960" s="281"/>
      <c r="J960" s="281"/>
      <c r="K960" s="281"/>
      <c r="L960" s="281"/>
      <c r="M960" s="281"/>
    </row>
    <row r="961" spans="4:13">
      <c r="D961" s="325"/>
      <c r="E961" s="281"/>
      <c r="I961" s="281"/>
      <c r="J961" s="281"/>
      <c r="K961" s="281"/>
      <c r="L961" s="281"/>
      <c r="M961" s="281"/>
    </row>
    <row r="962" spans="4:13">
      <c r="D962" s="325"/>
      <c r="E962" s="281"/>
      <c r="I962" s="281"/>
      <c r="J962" s="281"/>
      <c r="K962" s="281"/>
      <c r="L962" s="281"/>
      <c r="M962" s="281"/>
    </row>
    <row r="963" spans="4:13">
      <c r="D963" s="325"/>
      <c r="E963" s="281"/>
      <c r="I963" s="281"/>
      <c r="J963" s="281"/>
      <c r="K963" s="281"/>
      <c r="L963" s="281"/>
      <c r="M963" s="281"/>
    </row>
    <row r="964" spans="4:13">
      <c r="D964" s="325"/>
      <c r="E964" s="281"/>
      <c r="I964" s="281"/>
      <c r="J964" s="281"/>
      <c r="K964" s="281"/>
      <c r="L964" s="281"/>
      <c r="M964" s="281"/>
    </row>
    <row r="965" spans="4:13">
      <c r="D965" s="325"/>
      <c r="E965" s="281"/>
      <c r="I965" s="281"/>
      <c r="J965" s="281"/>
      <c r="K965" s="281"/>
      <c r="L965" s="281"/>
      <c r="M965" s="281"/>
    </row>
    <row r="966" spans="4:13">
      <c r="D966" s="325"/>
      <c r="E966" s="281"/>
      <c r="I966" s="281"/>
      <c r="J966" s="281"/>
      <c r="K966" s="281"/>
      <c r="L966" s="281"/>
      <c r="M966" s="281"/>
    </row>
    <row r="967" spans="4:13">
      <c r="D967" s="325"/>
      <c r="E967" s="281"/>
      <c r="I967" s="281"/>
      <c r="J967" s="281"/>
      <c r="K967" s="281"/>
      <c r="L967" s="281"/>
      <c r="M967" s="281"/>
    </row>
    <row r="968" spans="4:13">
      <c r="D968" s="325"/>
      <c r="E968" s="281"/>
      <c r="I968" s="281"/>
      <c r="J968" s="281"/>
      <c r="K968" s="281"/>
      <c r="L968" s="281"/>
      <c r="M968" s="281"/>
    </row>
    <row r="969" spans="4:13">
      <c r="D969" s="325"/>
      <c r="E969" s="281"/>
      <c r="I969" s="281"/>
      <c r="J969" s="281"/>
      <c r="K969" s="281"/>
      <c r="L969" s="281"/>
      <c r="M969" s="281"/>
    </row>
    <row r="970" spans="4:13">
      <c r="D970" s="325"/>
      <c r="E970" s="281"/>
      <c r="I970" s="281"/>
      <c r="J970" s="281"/>
      <c r="K970" s="281"/>
      <c r="L970" s="281"/>
      <c r="M970" s="281"/>
    </row>
    <row r="971" spans="4:13">
      <c r="D971" s="325"/>
      <c r="E971" s="281"/>
      <c r="I971" s="281"/>
      <c r="J971" s="281"/>
      <c r="K971" s="281"/>
      <c r="L971" s="281"/>
      <c r="M971" s="281"/>
    </row>
    <row r="972" spans="4:13">
      <c r="D972" s="325"/>
      <c r="E972" s="281"/>
      <c r="I972" s="281"/>
      <c r="J972" s="281"/>
      <c r="K972" s="281"/>
      <c r="L972" s="281"/>
      <c r="M972" s="281"/>
    </row>
    <row r="973" spans="4:13">
      <c r="D973" s="325"/>
      <c r="E973" s="281"/>
      <c r="I973" s="281"/>
      <c r="J973" s="281"/>
      <c r="K973" s="281"/>
      <c r="L973" s="281"/>
      <c r="M973" s="281"/>
    </row>
    <row r="974" spans="4:13">
      <c r="D974" s="325"/>
      <c r="E974" s="281"/>
      <c r="I974" s="281"/>
      <c r="J974" s="281"/>
      <c r="K974" s="281"/>
      <c r="L974" s="281"/>
      <c r="M974" s="281"/>
    </row>
    <row r="975" spans="4:13">
      <c r="D975" s="325"/>
      <c r="E975" s="281"/>
      <c r="I975" s="281"/>
      <c r="J975" s="281"/>
      <c r="K975" s="281"/>
      <c r="L975" s="281"/>
      <c r="M975" s="281"/>
    </row>
    <row r="976" spans="4:13">
      <c r="D976" s="325"/>
      <c r="E976" s="281"/>
      <c r="I976" s="281"/>
      <c r="J976" s="281"/>
      <c r="K976" s="281"/>
      <c r="L976" s="281"/>
      <c r="M976" s="281"/>
    </row>
    <row r="977" spans="4:13">
      <c r="D977" s="325"/>
      <c r="E977" s="281"/>
      <c r="I977" s="281"/>
      <c r="J977" s="281"/>
      <c r="K977" s="281"/>
      <c r="L977" s="281"/>
      <c r="M977" s="281"/>
    </row>
    <row r="978" spans="4:13">
      <c r="D978" s="325"/>
      <c r="E978" s="281"/>
      <c r="I978" s="281"/>
      <c r="J978" s="281"/>
      <c r="K978" s="281"/>
      <c r="L978" s="281"/>
      <c r="M978" s="281"/>
    </row>
    <row r="979" spans="4:13">
      <c r="D979" s="325"/>
      <c r="E979" s="281"/>
      <c r="I979" s="281"/>
      <c r="J979" s="281"/>
      <c r="K979" s="281"/>
      <c r="L979" s="281"/>
      <c r="M979" s="281"/>
    </row>
    <row r="980" spans="4:13">
      <c r="D980" s="325"/>
      <c r="E980" s="281"/>
      <c r="I980" s="281"/>
      <c r="J980" s="281"/>
      <c r="K980" s="281"/>
      <c r="L980" s="281"/>
      <c r="M980" s="281"/>
    </row>
    <row r="981" spans="4:13">
      <c r="D981" s="325"/>
      <c r="E981" s="281"/>
      <c r="I981" s="281"/>
      <c r="J981" s="281"/>
      <c r="K981" s="281"/>
      <c r="L981" s="281"/>
      <c r="M981" s="281"/>
    </row>
    <row r="982" spans="4:13">
      <c r="D982" s="325"/>
      <c r="E982" s="281"/>
      <c r="I982" s="281"/>
      <c r="J982" s="281"/>
      <c r="K982" s="281"/>
      <c r="L982" s="281"/>
      <c r="M982" s="281"/>
    </row>
    <row r="983" spans="4:13">
      <c r="D983" s="325"/>
      <c r="E983" s="281"/>
      <c r="I983" s="281"/>
      <c r="J983" s="281"/>
      <c r="K983" s="281"/>
      <c r="L983" s="281"/>
      <c r="M983" s="281"/>
    </row>
    <row r="984" spans="4:13">
      <c r="D984" s="325"/>
      <c r="E984" s="281"/>
      <c r="I984" s="281"/>
      <c r="J984" s="281"/>
      <c r="K984" s="281"/>
      <c r="L984" s="281"/>
      <c r="M984" s="281"/>
    </row>
    <row r="985" spans="4:13">
      <c r="D985" s="325"/>
      <c r="E985" s="281"/>
      <c r="I985" s="281"/>
      <c r="J985" s="281"/>
      <c r="K985" s="281"/>
      <c r="L985" s="281"/>
      <c r="M985" s="281"/>
    </row>
    <row r="986" spans="4:13">
      <c r="D986" s="325"/>
      <c r="E986" s="281"/>
      <c r="I986" s="281"/>
      <c r="J986" s="281"/>
      <c r="K986" s="281"/>
      <c r="L986" s="281"/>
      <c r="M986" s="281"/>
    </row>
    <row r="987" spans="4:13">
      <c r="D987" s="325"/>
      <c r="E987" s="281"/>
      <c r="I987" s="281"/>
      <c r="J987" s="281"/>
      <c r="K987" s="281"/>
      <c r="L987" s="281"/>
      <c r="M987" s="281"/>
    </row>
    <row r="988" spans="4:13">
      <c r="D988" s="325"/>
      <c r="E988" s="281"/>
      <c r="I988" s="281"/>
      <c r="J988" s="281"/>
      <c r="K988" s="281"/>
      <c r="L988" s="281"/>
      <c r="M988" s="281"/>
    </row>
    <row r="989" spans="4:13">
      <c r="D989" s="325"/>
      <c r="E989" s="281"/>
      <c r="I989" s="281"/>
      <c r="J989" s="281"/>
      <c r="K989" s="281"/>
      <c r="L989" s="281"/>
      <c r="M989" s="281"/>
    </row>
    <row r="990" spans="4:13">
      <c r="D990" s="325"/>
      <c r="E990" s="281"/>
      <c r="I990" s="281"/>
      <c r="J990" s="281"/>
      <c r="K990" s="281"/>
      <c r="L990" s="281"/>
      <c r="M990" s="281"/>
    </row>
    <row r="991" spans="4:13">
      <c r="D991" s="325"/>
      <c r="E991" s="281"/>
      <c r="I991" s="281"/>
      <c r="J991" s="281"/>
      <c r="K991" s="281"/>
      <c r="L991" s="281"/>
      <c r="M991" s="281"/>
    </row>
    <row r="992" spans="4:13">
      <c r="D992" s="325"/>
      <c r="E992" s="281"/>
      <c r="I992" s="281"/>
      <c r="J992" s="281"/>
      <c r="K992" s="281"/>
      <c r="L992" s="281"/>
      <c r="M992" s="281"/>
    </row>
    <row r="993" spans="4:13">
      <c r="D993" s="325"/>
      <c r="E993" s="281"/>
      <c r="I993" s="281"/>
      <c r="J993" s="281"/>
      <c r="K993" s="281"/>
      <c r="L993" s="281"/>
      <c r="M993" s="281"/>
    </row>
    <row r="994" spans="4:13">
      <c r="D994" s="325"/>
      <c r="E994" s="281"/>
      <c r="I994" s="281"/>
      <c r="J994" s="281"/>
      <c r="K994" s="281"/>
      <c r="L994" s="281"/>
      <c r="M994" s="281"/>
    </row>
    <row r="995" spans="4:13">
      <c r="D995" s="325"/>
      <c r="E995" s="281"/>
      <c r="I995" s="281"/>
      <c r="J995" s="281"/>
      <c r="K995" s="281"/>
      <c r="L995" s="281"/>
      <c r="M995" s="281"/>
    </row>
    <row r="996" spans="4:13">
      <c r="D996" s="325"/>
      <c r="E996" s="281"/>
      <c r="I996" s="281"/>
      <c r="J996" s="281"/>
      <c r="K996" s="281"/>
      <c r="L996" s="281"/>
      <c r="M996" s="281"/>
    </row>
    <row r="997" spans="4:13">
      <c r="D997" s="325"/>
      <c r="E997" s="281"/>
      <c r="I997" s="281"/>
      <c r="J997" s="281"/>
      <c r="K997" s="281"/>
      <c r="L997" s="281"/>
      <c r="M997" s="281"/>
    </row>
    <row r="998" spans="4:13">
      <c r="D998" s="325"/>
      <c r="E998" s="281"/>
      <c r="I998" s="281"/>
      <c r="J998" s="281"/>
      <c r="K998" s="281"/>
      <c r="L998" s="281"/>
      <c r="M998" s="281"/>
    </row>
    <row r="999" spans="4:13">
      <c r="D999" s="325"/>
      <c r="E999" s="281"/>
      <c r="I999" s="281"/>
      <c r="J999" s="281"/>
      <c r="K999" s="281"/>
      <c r="L999" s="281"/>
      <c r="M999" s="281"/>
    </row>
    <row r="1000" spans="4:13">
      <c r="D1000" s="325"/>
      <c r="E1000" s="281"/>
      <c r="I1000" s="281"/>
      <c r="J1000" s="281"/>
      <c r="K1000" s="281"/>
      <c r="L1000" s="281"/>
      <c r="M1000" s="281"/>
    </row>
    <row r="1001" spans="4:13">
      <c r="D1001" s="325"/>
      <c r="E1001" s="281"/>
      <c r="I1001" s="281"/>
      <c r="J1001" s="281"/>
      <c r="K1001" s="281"/>
      <c r="L1001" s="281"/>
      <c r="M1001" s="281"/>
    </row>
    <row r="1002" spans="4:13">
      <c r="D1002" s="325"/>
      <c r="E1002" s="281"/>
      <c r="I1002" s="281"/>
      <c r="J1002" s="281"/>
      <c r="K1002" s="281"/>
      <c r="L1002" s="281"/>
      <c r="M1002" s="281"/>
    </row>
    <row r="1003" spans="4:13">
      <c r="D1003" s="325"/>
      <c r="E1003" s="281"/>
      <c r="I1003" s="281"/>
      <c r="J1003" s="281"/>
      <c r="K1003" s="281"/>
      <c r="L1003" s="281"/>
      <c r="M1003" s="281"/>
    </row>
    <row r="1004" spans="4:13">
      <c r="D1004" s="325"/>
      <c r="E1004" s="281"/>
      <c r="I1004" s="281"/>
      <c r="J1004" s="281"/>
      <c r="K1004" s="281"/>
      <c r="L1004" s="281"/>
      <c r="M1004" s="281"/>
    </row>
    <row r="1005" spans="4:13">
      <c r="D1005" s="325"/>
      <c r="E1005" s="281"/>
      <c r="I1005" s="281"/>
      <c r="J1005" s="281"/>
      <c r="K1005" s="281"/>
      <c r="L1005" s="281"/>
      <c r="M1005" s="281"/>
    </row>
    <row r="1006" spans="4:13">
      <c r="D1006" s="325"/>
      <c r="E1006" s="281"/>
      <c r="I1006" s="281"/>
      <c r="J1006" s="281"/>
      <c r="K1006" s="281"/>
      <c r="L1006" s="281"/>
      <c r="M1006" s="281"/>
    </row>
    <row r="1007" spans="4:13">
      <c r="D1007" s="325"/>
      <c r="E1007" s="281"/>
      <c r="I1007" s="281"/>
      <c r="J1007" s="281"/>
      <c r="K1007" s="281"/>
      <c r="L1007" s="281"/>
      <c r="M1007" s="281"/>
    </row>
    <row r="1008" spans="4:13">
      <c r="D1008" s="325"/>
      <c r="E1008" s="281"/>
      <c r="I1008" s="281"/>
      <c r="J1008" s="281"/>
      <c r="K1008" s="281"/>
      <c r="L1008" s="281"/>
      <c r="M1008" s="281"/>
    </row>
    <row r="1009" spans="4:13">
      <c r="D1009" s="325"/>
      <c r="E1009" s="281"/>
      <c r="I1009" s="281"/>
      <c r="J1009" s="281"/>
      <c r="K1009" s="281"/>
      <c r="L1009" s="281"/>
      <c r="M1009" s="281"/>
    </row>
    <row r="1010" spans="4:13">
      <c r="D1010" s="325"/>
      <c r="E1010" s="281"/>
      <c r="I1010" s="281"/>
      <c r="J1010" s="281"/>
      <c r="K1010" s="281"/>
      <c r="L1010" s="281"/>
      <c r="M1010" s="281"/>
    </row>
    <row r="1011" spans="4:13">
      <c r="D1011" s="325"/>
      <c r="E1011" s="281"/>
      <c r="I1011" s="281"/>
      <c r="J1011" s="281"/>
      <c r="K1011" s="281"/>
      <c r="L1011" s="281"/>
      <c r="M1011" s="281"/>
    </row>
    <row r="1012" spans="4:13">
      <c r="D1012" s="325"/>
      <c r="E1012" s="281"/>
      <c r="I1012" s="281"/>
      <c r="J1012" s="281"/>
      <c r="K1012" s="281"/>
      <c r="L1012" s="281"/>
      <c r="M1012" s="281"/>
    </row>
    <row r="1013" spans="4:13">
      <c r="D1013" s="325"/>
      <c r="E1013" s="281"/>
      <c r="I1013" s="281"/>
      <c r="J1013" s="281"/>
      <c r="K1013" s="281"/>
      <c r="L1013" s="281"/>
      <c r="M1013" s="281"/>
    </row>
    <row r="1014" spans="4:13">
      <c r="D1014" s="325"/>
      <c r="E1014" s="281"/>
      <c r="I1014" s="281"/>
      <c r="J1014" s="281"/>
      <c r="K1014" s="281"/>
      <c r="L1014" s="281"/>
      <c r="M1014" s="281"/>
    </row>
    <row r="1015" spans="4:13">
      <c r="D1015" s="325"/>
      <c r="E1015" s="281"/>
      <c r="I1015" s="281"/>
      <c r="J1015" s="281"/>
      <c r="K1015" s="281"/>
      <c r="L1015" s="281"/>
      <c r="M1015" s="281"/>
    </row>
    <row r="1016" spans="4:13">
      <c r="D1016" s="325"/>
      <c r="E1016" s="281"/>
      <c r="I1016" s="281"/>
      <c r="J1016" s="281"/>
      <c r="K1016" s="281"/>
      <c r="L1016" s="281"/>
      <c r="M1016" s="281"/>
    </row>
    <row r="1017" spans="4:13">
      <c r="D1017" s="325"/>
      <c r="E1017" s="281"/>
      <c r="I1017" s="281"/>
      <c r="J1017" s="281"/>
      <c r="K1017" s="281"/>
      <c r="L1017" s="281"/>
      <c r="M1017" s="281"/>
    </row>
    <row r="1018" spans="4:13">
      <c r="D1018" s="325"/>
      <c r="E1018" s="281"/>
      <c r="I1018" s="281"/>
      <c r="J1018" s="281"/>
      <c r="K1018" s="281"/>
      <c r="L1018" s="281"/>
      <c r="M1018" s="281"/>
    </row>
    <row r="1019" spans="4:13">
      <c r="D1019" s="325"/>
      <c r="E1019" s="281"/>
      <c r="I1019" s="281"/>
      <c r="J1019" s="281"/>
      <c r="K1019" s="281"/>
      <c r="L1019" s="281"/>
      <c r="M1019" s="281"/>
    </row>
    <row r="1020" spans="4:13">
      <c r="D1020" s="325"/>
      <c r="E1020" s="281"/>
      <c r="I1020" s="281"/>
      <c r="J1020" s="281"/>
      <c r="K1020" s="281"/>
      <c r="L1020" s="281"/>
      <c r="M1020" s="281"/>
    </row>
    <row r="1021" spans="4:13">
      <c r="D1021" s="325"/>
      <c r="E1021" s="281"/>
      <c r="I1021" s="281"/>
      <c r="J1021" s="281"/>
      <c r="K1021" s="281"/>
      <c r="L1021" s="281"/>
      <c r="M1021" s="281"/>
    </row>
    <row r="1022" spans="4:13">
      <c r="D1022" s="325"/>
      <c r="E1022" s="281"/>
      <c r="I1022" s="281"/>
      <c r="J1022" s="281"/>
      <c r="K1022" s="281"/>
      <c r="L1022" s="281"/>
      <c r="M1022" s="281"/>
    </row>
    <row r="1023" spans="4:13">
      <c r="D1023" s="325"/>
      <c r="E1023" s="281"/>
      <c r="I1023" s="281"/>
      <c r="J1023" s="281"/>
      <c r="K1023" s="281"/>
      <c r="L1023" s="281"/>
      <c r="M1023" s="281"/>
    </row>
    <row r="1024" spans="4:13">
      <c r="D1024" s="325"/>
      <c r="E1024" s="281"/>
      <c r="I1024" s="281"/>
      <c r="J1024" s="281"/>
      <c r="K1024" s="281"/>
      <c r="L1024" s="281"/>
      <c r="M1024" s="281"/>
    </row>
    <row r="1025" spans="4:13">
      <c r="D1025" s="325"/>
      <c r="E1025" s="281"/>
      <c r="I1025" s="281"/>
      <c r="J1025" s="281"/>
      <c r="K1025" s="281"/>
      <c r="L1025" s="281"/>
      <c r="M1025" s="281"/>
    </row>
    <row r="1026" spans="4:13">
      <c r="D1026" s="325"/>
      <c r="E1026" s="281"/>
      <c r="I1026" s="281"/>
      <c r="J1026" s="281"/>
      <c r="K1026" s="281"/>
      <c r="L1026" s="281"/>
      <c r="M1026" s="281"/>
    </row>
    <row r="1027" spans="4:13">
      <c r="D1027" s="325"/>
      <c r="E1027" s="281"/>
      <c r="I1027" s="281"/>
      <c r="J1027" s="281"/>
      <c r="K1027" s="281"/>
      <c r="L1027" s="281"/>
      <c r="M1027" s="281"/>
    </row>
    <row r="1028" spans="4:13">
      <c r="D1028" s="325"/>
      <c r="E1028" s="281"/>
      <c r="I1028" s="281"/>
      <c r="J1028" s="281"/>
      <c r="K1028" s="281"/>
      <c r="L1028" s="281"/>
      <c r="M1028" s="281"/>
    </row>
    <row r="1029" spans="4:13">
      <c r="D1029" s="325"/>
      <c r="E1029" s="281"/>
      <c r="I1029" s="281"/>
      <c r="J1029" s="281"/>
      <c r="K1029" s="281"/>
      <c r="L1029" s="281"/>
      <c r="M1029" s="281"/>
    </row>
    <row r="1030" spans="4:13">
      <c r="D1030" s="325"/>
      <c r="E1030" s="281"/>
      <c r="I1030" s="281"/>
      <c r="J1030" s="281"/>
      <c r="K1030" s="281"/>
      <c r="L1030" s="281"/>
      <c r="M1030" s="281"/>
    </row>
    <row r="1031" spans="4:13">
      <c r="D1031" s="325"/>
      <c r="E1031" s="281"/>
      <c r="I1031" s="281"/>
      <c r="J1031" s="281"/>
      <c r="K1031" s="281"/>
      <c r="L1031" s="281"/>
      <c r="M1031" s="281"/>
    </row>
    <row r="1032" spans="4:13">
      <c r="D1032" s="325"/>
      <c r="E1032" s="281"/>
      <c r="I1032" s="281"/>
      <c r="J1032" s="281"/>
      <c r="K1032" s="281"/>
      <c r="L1032" s="281"/>
      <c r="M1032" s="281"/>
    </row>
    <row r="1033" spans="4:13">
      <c r="D1033" s="325"/>
      <c r="E1033" s="281"/>
      <c r="I1033" s="281"/>
      <c r="J1033" s="281"/>
      <c r="K1033" s="281"/>
      <c r="L1033" s="281"/>
      <c r="M1033" s="281"/>
    </row>
    <row r="1034" spans="4:13">
      <c r="D1034" s="325"/>
      <c r="E1034" s="281"/>
      <c r="I1034" s="281"/>
      <c r="J1034" s="281"/>
      <c r="K1034" s="281"/>
      <c r="L1034" s="281"/>
      <c r="M1034" s="281"/>
    </row>
    <row r="1035" spans="4:13">
      <c r="D1035" s="325"/>
      <c r="E1035" s="281"/>
      <c r="I1035" s="281"/>
      <c r="J1035" s="281"/>
      <c r="K1035" s="281"/>
      <c r="L1035" s="281"/>
      <c r="M1035" s="281"/>
    </row>
    <row r="1036" spans="4:13">
      <c r="D1036" s="325"/>
      <c r="E1036" s="281"/>
      <c r="I1036" s="281"/>
      <c r="J1036" s="281"/>
      <c r="K1036" s="281"/>
      <c r="L1036" s="281"/>
      <c r="M1036" s="281"/>
    </row>
    <row r="1037" spans="4:13">
      <c r="D1037" s="325"/>
      <c r="E1037" s="281"/>
      <c r="I1037" s="281"/>
      <c r="J1037" s="281"/>
      <c r="K1037" s="281"/>
      <c r="L1037" s="281"/>
      <c r="M1037" s="281"/>
    </row>
    <row r="1038" spans="4:13">
      <c r="D1038" s="325"/>
      <c r="E1038" s="281"/>
      <c r="I1038" s="281"/>
      <c r="J1038" s="281"/>
      <c r="K1038" s="281"/>
      <c r="L1038" s="281"/>
      <c r="M1038" s="281"/>
    </row>
    <row r="1039" spans="4:13">
      <c r="D1039" s="325"/>
      <c r="E1039" s="281"/>
      <c r="I1039" s="281"/>
      <c r="J1039" s="281"/>
      <c r="K1039" s="281"/>
      <c r="L1039" s="281"/>
      <c r="M1039" s="281"/>
    </row>
    <row r="1040" spans="4:13">
      <c r="D1040" s="325"/>
      <c r="E1040" s="281"/>
      <c r="I1040" s="281"/>
      <c r="J1040" s="281"/>
      <c r="K1040" s="281"/>
      <c r="L1040" s="281"/>
      <c r="M1040" s="281"/>
    </row>
    <row r="1041" spans="4:13">
      <c r="D1041" s="325"/>
      <c r="E1041" s="281"/>
      <c r="I1041" s="281"/>
      <c r="J1041" s="281"/>
      <c r="K1041" s="281"/>
      <c r="L1041" s="281"/>
      <c r="M1041" s="281"/>
    </row>
    <row r="1042" spans="4:13">
      <c r="D1042" s="325"/>
      <c r="E1042" s="281"/>
      <c r="I1042" s="281"/>
      <c r="J1042" s="281"/>
      <c r="K1042" s="281"/>
      <c r="L1042" s="281"/>
      <c r="M1042" s="281"/>
    </row>
    <row r="1043" spans="4:13">
      <c r="D1043" s="325"/>
      <c r="E1043" s="281"/>
      <c r="I1043" s="281"/>
      <c r="J1043" s="281"/>
      <c r="K1043" s="281"/>
      <c r="L1043" s="281"/>
      <c r="M1043" s="281"/>
    </row>
    <row r="1044" spans="4:13">
      <c r="D1044" s="325"/>
      <c r="E1044" s="281"/>
      <c r="I1044" s="281"/>
      <c r="J1044" s="281"/>
      <c r="K1044" s="281"/>
      <c r="L1044" s="281"/>
      <c r="M1044" s="281"/>
    </row>
    <row r="1045" spans="4:13">
      <c r="D1045" s="325"/>
      <c r="E1045" s="281"/>
      <c r="I1045" s="281"/>
      <c r="J1045" s="281"/>
      <c r="K1045" s="281"/>
      <c r="L1045" s="281"/>
      <c r="M1045" s="281"/>
    </row>
    <row r="1046" spans="4:13">
      <c r="D1046" s="325"/>
      <c r="E1046" s="281"/>
      <c r="I1046" s="281"/>
      <c r="J1046" s="281"/>
      <c r="K1046" s="281"/>
      <c r="L1046" s="281"/>
      <c r="M1046" s="281"/>
    </row>
    <row r="1047" spans="4:13">
      <c r="D1047" s="325"/>
      <c r="E1047" s="281"/>
      <c r="I1047" s="281"/>
      <c r="J1047" s="281"/>
      <c r="K1047" s="281"/>
      <c r="L1047" s="281"/>
      <c r="M1047" s="281"/>
    </row>
    <row r="1048" spans="4:13">
      <c r="D1048" s="325"/>
      <c r="E1048" s="281"/>
      <c r="I1048" s="281"/>
      <c r="J1048" s="281"/>
      <c r="K1048" s="281"/>
      <c r="L1048" s="281"/>
      <c r="M1048" s="281"/>
    </row>
    <row r="1049" spans="4:13">
      <c r="D1049" s="325"/>
      <c r="E1049" s="281"/>
      <c r="I1049" s="281"/>
      <c r="J1049" s="281"/>
      <c r="K1049" s="281"/>
      <c r="L1049" s="281"/>
      <c r="M1049" s="281"/>
    </row>
    <row r="1050" spans="4:13">
      <c r="D1050" s="325"/>
      <c r="E1050" s="281"/>
      <c r="I1050" s="281"/>
      <c r="J1050" s="281"/>
      <c r="K1050" s="281"/>
      <c r="L1050" s="281"/>
      <c r="M1050" s="281"/>
    </row>
    <row r="1051" spans="4:13">
      <c r="D1051" s="325"/>
      <c r="E1051" s="281"/>
      <c r="I1051" s="281"/>
      <c r="J1051" s="281"/>
      <c r="K1051" s="281"/>
      <c r="L1051" s="281"/>
      <c r="M1051" s="281"/>
    </row>
    <row r="1052" spans="4:13">
      <c r="D1052" s="325"/>
      <c r="E1052" s="281"/>
      <c r="I1052" s="281"/>
      <c r="J1052" s="281"/>
      <c r="K1052" s="281"/>
      <c r="L1052" s="281"/>
      <c r="M1052" s="281"/>
    </row>
    <row r="1053" spans="4:13">
      <c r="D1053" s="325"/>
      <c r="E1053" s="281"/>
      <c r="I1053" s="281"/>
      <c r="J1053" s="281"/>
      <c r="K1053" s="281"/>
      <c r="L1053" s="281"/>
      <c r="M1053" s="281"/>
    </row>
    <row r="1054" spans="4:13">
      <c r="D1054" s="325"/>
      <c r="E1054" s="281"/>
      <c r="I1054" s="281"/>
      <c r="J1054" s="281"/>
      <c r="K1054" s="281"/>
      <c r="L1054" s="281"/>
      <c r="M1054" s="281"/>
    </row>
    <row r="1055" spans="4:13">
      <c r="D1055" s="325"/>
      <c r="E1055" s="281"/>
      <c r="I1055" s="281"/>
      <c r="J1055" s="281"/>
      <c r="K1055" s="281"/>
      <c r="L1055" s="281"/>
      <c r="M1055" s="281"/>
    </row>
    <row r="1056" spans="4:13">
      <c r="D1056" s="325"/>
      <c r="E1056" s="281"/>
      <c r="I1056" s="281"/>
      <c r="J1056" s="281"/>
      <c r="K1056" s="281"/>
      <c r="L1056" s="281"/>
      <c r="M1056" s="281"/>
    </row>
    <row r="1057" spans="4:13">
      <c r="D1057" s="325"/>
      <c r="E1057" s="281"/>
      <c r="I1057" s="281"/>
      <c r="J1057" s="281"/>
      <c r="K1057" s="281"/>
      <c r="L1057" s="281"/>
      <c r="M1057" s="281"/>
    </row>
    <row r="1058" spans="4:13">
      <c r="D1058" s="325"/>
      <c r="E1058" s="281"/>
      <c r="I1058" s="281"/>
      <c r="J1058" s="281"/>
      <c r="K1058" s="281"/>
      <c r="L1058" s="281"/>
      <c r="M1058" s="281"/>
    </row>
    <row r="1059" spans="4:13">
      <c r="D1059" s="325"/>
      <c r="E1059" s="281"/>
      <c r="I1059" s="281"/>
      <c r="J1059" s="281"/>
      <c r="K1059" s="281"/>
      <c r="L1059" s="281"/>
      <c r="M1059" s="281"/>
    </row>
    <row r="1060" spans="4:13">
      <c r="D1060" s="325"/>
      <c r="E1060" s="281"/>
      <c r="I1060" s="281"/>
      <c r="J1060" s="281"/>
      <c r="K1060" s="281"/>
      <c r="L1060" s="281"/>
      <c r="M1060" s="281"/>
    </row>
    <row r="1061" spans="4:13">
      <c r="D1061" s="325"/>
      <c r="E1061" s="281"/>
      <c r="I1061" s="281"/>
      <c r="J1061" s="281"/>
      <c r="K1061" s="281"/>
      <c r="L1061" s="281"/>
      <c r="M1061" s="281"/>
    </row>
    <row r="1062" spans="4:13">
      <c r="D1062" s="325"/>
      <c r="E1062" s="281"/>
      <c r="I1062" s="281"/>
      <c r="J1062" s="281"/>
      <c r="K1062" s="281"/>
      <c r="L1062" s="281"/>
      <c r="M1062" s="281"/>
    </row>
    <row r="1063" spans="4:13">
      <c r="D1063" s="325"/>
      <c r="E1063" s="281"/>
      <c r="I1063" s="281"/>
      <c r="J1063" s="281"/>
      <c r="K1063" s="281"/>
      <c r="L1063" s="281"/>
      <c r="M1063" s="281"/>
    </row>
    <row r="1064" spans="4:13">
      <c r="D1064" s="325"/>
      <c r="E1064" s="281"/>
      <c r="I1064" s="281"/>
      <c r="J1064" s="281"/>
      <c r="K1064" s="281"/>
      <c r="L1064" s="281"/>
      <c r="M1064" s="281"/>
    </row>
    <row r="1065" spans="4:13">
      <c r="D1065" s="325"/>
      <c r="E1065" s="281"/>
      <c r="I1065" s="281"/>
      <c r="J1065" s="281"/>
      <c r="K1065" s="281"/>
      <c r="L1065" s="281"/>
      <c r="M1065" s="281"/>
    </row>
    <row r="1066" spans="4:13">
      <c r="D1066" s="325"/>
      <c r="E1066" s="281"/>
      <c r="I1066" s="281"/>
      <c r="J1066" s="281"/>
      <c r="K1066" s="281"/>
      <c r="L1066" s="281"/>
      <c r="M1066" s="281"/>
    </row>
    <row r="1067" spans="4:13">
      <c r="D1067" s="325"/>
      <c r="E1067" s="281"/>
      <c r="I1067" s="281"/>
      <c r="J1067" s="281"/>
      <c r="K1067" s="281"/>
      <c r="L1067" s="281"/>
      <c r="M1067" s="281"/>
    </row>
    <row r="1068" spans="4:13">
      <c r="D1068" s="325"/>
      <c r="E1068" s="281"/>
      <c r="I1068" s="281"/>
      <c r="J1068" s="281"/>
      <c r="K1068" s="281"/>
      <c r="L1068" s="281"/>
      <c r="M1068" s="281"/>
    </row>
    <row r="1069" spans="4:13">
      <c r="D1069" s="325"/>
      <c r="E1069" s="281"/>
      <c r="I1069" s="281"/>
      <c r="J1069" s="281"/>
      <c r="K1069" s="281"/>
      <c r="L1069" s="281"/>
      <c r="M1069" s="281"/>
    </row>
    <row r="1070" spans="4:13">
      <c r="D1070" s="325"/>
      <c r="E1070" s="281"/>
      <c r="I1070" s="281"/>
      <c r="J1070" s="281"/>
      <c r="K1070" s="281"/>
      <c r="L1070" s="281"/>
      <c r="M1070" s="281"/>
    </row>
    <row r="1071" spans="4:13">
      <c r="D1071" s="325"/>
      <c r="E1071" s="281"/>
      <c r="I1071" s="281"/>
      <c r="J1071" s="281"/>
      <c r="K1071" s="281"/>
      <c r="L1071" s="281"/>
      <c r="M1071" s="281"/>
    </row>
    <row r="1072" spans="4:13">
      <c r="D1072" s="325"/>
      <c r="E1072" s="281"/>
      <c r="I1072" s="281"/>
      <c r="J1072" s="281"/>
      <c r="K1072" s="281"/>
      <c r="L1072" s="281"/>
      <c r="M1072" s="281"/>
    </row>
    <row r="1073" spans="4:13">
      <c r="D1073" s="325"/>
      <c r="E1073" s="281"/>
      <c r="I1073" s="281"/>
      <c r="J1073" s="281"/>
      <c r="K1073" s="281"/>
      <c r="L1073" s="281"/>
      <c r="M1073" s="281"/>
    </row>
    <row r="1074" spans="4:13">
      <c r="D1074" s="325"/>
      <c r="E1074" s="281"/>
      <c r="I1074" s="281"/>
      <c r="J1074" s="281"/>
      <c r="K1074" s="281"/>
      <c r="L1074" s="281"/>
      <c r="M1074" s="281"/>
    </row>
    <row r="1075" spans="4:13">
      <c r="D1075" s="325"/>
      <c r="E1075" s="281"/>
      <c r="I1075" s="281"/>
      <c r="J1075" s="281"/>
      <c r="K1075" s="281"/>
      <c r="L1075" s="281"/>
      <c r="M1075" s="281"/>
    </row>
    <row r="1076" spans="4:13">
      <c r="D1076" s="325"/>
      <c r="E1076" s="281"/>
      <c r="I1076" s="281"/>
      <c r="J1076" s="281"/>
      <c r="K1076" s="281"/>
      <c r="L1076" s="281"/>
      <c r="M1076" s="281"/>
    </row>
    <row r="1077" spans="4:13">
      <c r="D1077" s="325"/>
      <c r="E1077" s="281"/>
      <c r="I1077" s="281"/>
      <c r="J1077" s="281"/>
      <c r="K1077" s="281"/>
      <c r="L1077" s="281"/>
      <c r="M1077" s="281"/>
    </row>
    <row r="1078" spans="4:13">
      <c r="D1078" s="325"/>
      <c r="E1078" s="281"/>
      <c r="I1078" s="281"/>
      <c r="J1078" s="281"/>
      <c r="K1078" s="281"/>
      <c r="L1078" s="281"/>
      <c r="M1078" s="281"/>
    </row>
    <row r="1079" spans="4:13">
      <c r="D1079" s="325"/>
      <c r="E1079" s="281"/>
      <c r="I1079" s="281"/>
      <c r="J1079" s="281"/>
      <c r="K1079" s="281"/>
      <c r="L1079" s="281"/>
      <c r="M1079" s="281"/>
    </row>
    <row r="1080" spans="4:13">
      <c r="D1080" s="325"/>
      <c r="E1080" s="281"/>
      <c r="I1080" s="281"/>
      <c r="J1080" s="281"/>
      <c r="K1080" s="281"/>
      <c r="L1080" s="281"/>
      <c r="M1080" s="281"/>
    </row>
    <row r="1081" spans="4:13">
      <c r="D1081" s="325"/>
      <c r="E1081" s="281"/>
      <c r="I1081" s="281"/>
      <c r="J1081" s="281"/>
      <c r="K1081" s="281"/>
      <c r="L1081" s="281"/>
      <c r="M1081" s="281"/>
    </row>
    <row r="1082" spans="4:13">
      <c r="D1082" s="325"/>
      <c r="E1082" s="281"/>
      <c r="I1082" s="281"/>
      <c r="J1082" s="281"/>
      <c r="K1082" s="281"/>
      <c r="L1082" s="281"/>
      <c r="M1082" s="281"/>
    </row>
    <row r="1083" spans="4:13">
      <c r="D1083" s="325"/>
      <c r="E1083" s="281"/>
      <c r="I1083" s="281"/>
      <c r="J1083" s="281"/>
      <c r="K1083" s="281"/>
      <c r="L1083" s="281"/>
      <c r="M1083" s="281"/>
    </row>
    <row r="1084" spans="4:13">
      <c r="D1084" s="325"/>
      <c r="E1084" s="281"/>
      <c r="I1084" s="281"/>
      <c r="J1084" s="281"/>
      <c r="K1084" s="281"/>
      <c r="L1084" s="281"/>
      <c r="M1084" s="281"/>
    </row>
    <row r="1085" spans="4:13">
      <c r="D1085" s="325"/>
      <c r="E1085" s="281"/>
      <c r="I1085" s="281"/>
      <c r="J1085" s="281"/>
      <c r="K1085" s="281"/>
      <c r="L1085" s="281"/>
      <c r="M1085" s="281"/>
    </row>
    <row r="1086" spans="4:13">
      <c r="D1086" s="325"/>
      <c r="E1086" s="281"/>
      <c r="I1086" s="281"/>
      <c r="J1086" s="281"/>
      <c r="K1086" s="281"/>
      <c r="L1086" s="281"/>
      <c r="M1086" s="281"/>
    </row>
    <row r="1087" spans="4:13">
      <c r="D1087" s="325"/>
      <c r="E1087" s="281"/>
      <c r="I1087" s="281"/>
      <c r="J1087" s="281"/>
      <c r="K1087" s="281"/>
      <c r="L1087" s="281"/>
      <c r="M1087" s="281"/>
    </row>
    <row r="1088" spans="4:13">
      <c r="D1088" s="325"/>
      <c r="E1088" s="281"/>
      <c r="I1088" s="281"/>
      <c r="J1088" s="281"/>
      <c r="K1088" s="281"/>
      <c r="L1088" s="281"/>
      <c r="M1088" s="281"/>
    </row>
    <row r="1089" spans="4:13">
      <c r="D1089" s="325"/>
      <c r="E1089" s="281"/>
      <c r="I1089" s="281"/>
      <c r="J1089" s="281"/>
      <c r="K1089" s="281"/>
      <c r="L1089" s="281"/>
      <c r="M1089" s="281"/>
    </row>
    <row r="1090" spans="4:13">
      <c r="D1090" s="325"/>
      <c r="E1090" s="281"/>
      <c r="I1090" s="281"/>
      <c r="J1090" s="281"/>
      <c r="K1090" s="281"/>
      <c r="L1090" s="281"/>
      <c r="M1090" s="281"/>
    </row>
    <row r="1091" spans="4:13">
      <c r="D1091" s="325"/>
      <c r="E1091" s="281"/>
      <c r="I1091" s="281"/>
      <c r="J1091" s="281"/>
      <c r="K1091" s="281"/>
      <c r="L1091" s="281"/>
      <c r="M1091" s="281"/>
    </row>
    <row r="1092" spans="4:13">
      <c r="D1092" s="325"/>
      <c r="E1092" s="281"/>
      <c r="I1092" s="281"/>
      <c r="J1092" s="281"/>
      <c r="K1092" s="281"/>
      <c r="L1092" s="281"/>
      <c r="M1092" s="281"/>
    </row>
    <row r="1093" spans="4:13">
      <c r="D1093" s="325"/>
      <c r="E1093" s="281"/>
      <c r="I1093" s="281"/>
      <c r="J1093" s="281"/>
      <c r="K1093" s="281"/>
      <c r="L1093" s="281"/>
      <c r="M1093" s="281"/>
    </row>
    <row r="1094" spans="4:13">
      <c r="D1094" s="325"/>
      <c r="E1094" s="281"/>
      <c r="I1094" s="281"/>
      <c r="J1094" s="281"/>
      <c r="K1094" s="281"/>
      <c r="L1094" s="281"/>
      <c r="M1094" s="281"/>
    </row>
    <row r="1095" spans="4:13">
      <c r="D1095" s="325"/>
      <c r="E1095" s="281"/>
      <c r="I1095" s="281"/>
      <c r="J1095" s="281"/>
      <c r="K1095" s="281"/>
      <c r="L1095" s="281"/>
      <c r="M1095" s="281"/>
    </row>
    <row r="1096" spans="4:13">
      <c r="D1096" s="325"/>
      <c r="E1096" s="281"/>
      <c r="I1096" s="281"/>
      <c r="J1096" s="281"/>
      <c r="K1096" s="281"/>
      <c r="L1096" s="281"/>
      <c r="M1096" s="281"/>
    </row>
    <row r="1097" spans="4:13">
      <c r="D1097" s="325"/>
      <c r="E1097" s="281"/>
      <c r="I1097" s="281"/>
      <c r="J1097" s="281"/>
      <c r="K1097" s="281"/>
      <c r="L1097" s="281"/>
      <c r="M1097" s="281"/>
    </row>
    <row r="1098" spans="4:13">
      <c r="D1098" s="325"/>
      <c r="E1098" s="281"/>
      <c r="I1098" s="281"/>
      <c r="J1098" s="281"/>
      <c r="K1098" s="281"/>
      <c r="L1098" s="281"/>
      <c r="M1098" s="281"/>
    </row>
    <row r="1099" spans="4:13">
      <c r="D1099" s="325"/>
      <c r="E1099" s="281"/>
      <c r="I1099" s="281"/>
      <c r="J1099" s="281"/>
      <c r="K1099" s="281"/>
      <c r="L1099" s="281"/>
      <c r="M1099" s="281"/>
    </row>
    <row r="1100" spans="4:13">
      <c r="D1100" s="325"/>
      <c r="E1100" s="281"/>
      <c r="I1100" s="281"/>
      <c r="J1100" s="281"/>
      <c r="K1100" s="281"/>
      <c r="L1100" s="281"/>
      <c r="M1100" s="281"/>
    </row>
    <row r="1101" spans="4:13">
      <c r="D1101" s="325"/>
      <c r="E1101" s="281"/>
      <c r="I1101" s="281"/>
      <c r="J1101" s="281"/>
      <c r="K1101" s="281"/>
      <c r="L1101" s="281"/>
      <c r="M1101" s="281"/>
    </row>
    <row r="1102" spans="4:13">
      <c r="D1102" s="325"/>
      <c r="E1102" s="281"/>
      <c r="I1102" s="281"/>
      <c r="J1102" s="281"/>
      <c r="K1102" s="281"/>
      <c r="L1102" s="281"/>
      <c r="M1102" s="281"/>
    </row>
    <row r="1103" spans="4:13">
      <c r="D1103" s="325"/>
      <c r="E1103" s="281"/>
      <c r="I1103" s="281"/>
      <c r="J1103" s="281"/>
      <c r="K1103" s="281"/>
      <c r="L1103" s="281"/>
      <c r="M1103" s="281"/>
    </row>
    <row r="1104" spans="4:13">
      <c r="D1104" s="325"/>
      <c r="E1104" s="281"/>
      <c r="I1104" s="281"/>
      <c r="J1104" s="281"/>
      <c r="K1104" s="281"/>
      <c r="L1104" s="281"/>
      <c r="M1104" s="281"/>
    </row>
    <row r="1105" spans="4:13">
      <c r="D1105" s="325"/>
      <c r="E1105" s="281"/>
      <c r="I1105" s="281"/>
      <c r="J1105" s="281"/>
      <c r="K1105" s="281"/>
      <c r="L1105" s="281"/>
      <c r="M1105" s="281"/>
    </row>
    <row r="1106" spans="4:13">
      <c r="D1106" s="325"/>
      <c r="E1106" s="281"/>
      <c r="I1106" s="281"/>
      <c r="J1106" s="281"/>
      <c r="K1106" s="281"/>
      <c r="L1106" s="281"/>
      <c r="M1106" s="281"/>
    </row>
    <row r="1107" spans="4:13">
      <c r="D1107" s="325"/>
      <c r="E1107" s="281"/>
      <c r="I1107" s="281"/>
      <c r="J1107" s="281"/>
      <c r="K1107" s="281"/>
      <c r="L1107" s="281"/>
      <c r="M1107" s="281"/>
    </row>
    <row r="1108" spans="4:13">
      <c r="D1108" s="325"/>
      <c r="E1108" s="281"/>
      <c r="I1108" s="281"/>
      <c r="J1108" s="281"/>
      <c r="K1108" s="281"/>
      <c r="L1108" s="281"/>
      <c r="M1108" s="281"/>
    </row>
    <row r="1109" spans="4:13">
      <c r="D1109" s="325"/>
      <c r="E1109" s="281"/>
      <c r="I1109" s="281"/>
      <c r="J1109" s="281"/>
      <c r="K1109" s="281"/>
      <c r="L1109" s="281"/>
      <c r="M1109" s="281"/>
    </row>
    <row r="1110" spans="4:13">
      <c r="D1110" s="325"/>
      <c r="E1110" s="281"/>
      <c r="I1110" s="281"/>
      <c r="J1110" s="281"/>
      <c r="K1110" s="281"/>
      <c r="L1110" s="281"/>
      <c r="M1110" s="281"/>
    </row>
    <row r="1111" spans="4:13">
      <c r="D1111" s="325"/>
      <c r="E1111" s="281"/>
      <c r="I1111" s="281"/>
      <c r="J1111" s="281"/>
      <c r="K1111" s="281"/>
      <c r="L1111" s="281"/>
      <c r="M1111" s="281"/>
    </row>
    <row r="1112" spans="4:13">
      <c r="D1112" s="325"/>
      <c r="E1112" s="281"/>
      <c r="I1112" s="281"/>
      <c r="J1112" s="281"/>
      <c r="K1112" s="281"/>
      <c r="L1112" s="281"/>
      <c r="M1112" s="281"/>
    </row>
    <row r="1113" spans="4:13">
      <c r="D1113" s="325"/>
      <c r="E1113" s="281"/>
      <c r="I1113" s="281"/>
      <c r="J1113" s="281"/>
      <c r="K1113" s="281"/>
      <c r="L1113" s="281"/>
      <c r="M1113" s="281"/>
    </row>
    <row r="1114" spans="4:13">
      <c r="D1114" s="325"/>
      <c r="E1114" s="281"/>
      <c r="I1114" s="281"/>
      <c r="J1114" s="281"/>
      <c r="K1114" s="281"/>
      <c r="L1114" s="281"/>
      <c r="M1114" s="281"/>
    </row>
    <row r="1115" spans="4:13">
      <c r="D1115" s="325"/>
      <c r="E1115" s="281"/>
      <c r="I1115" s="281"/>
      <c r="J1115" s="281"/>
      <c r="K1115" s="281"/>
      <c r="L1115" s="281"/>
      <c r="M1115" s="281"/>
    </row>
    <row r="1116" spans="4:13">
      <c r="D1116" s="325"/>
      <c r="E1116" s="281"/>
      <c r="I1116" s="281"/>
      <c r="J1116" s="281"/>
      <c r="K1116" s="281"/>
      <c r="L1116" s="281"/>
      <c r="M1116" s="281"/>
    </row>
    <row r="1117" spans="4:13">
      <c r="D1117" s="325"/>
      <c r="E1117" s="281"/>
      <c r="I1117" s="281"/>
      <c r="J1117" s="281"/>
      <c r="K1117" s="281"/>
      <c r="L1117" s="281"/>
      <c r="M1117" s="281"/>
    </row>
    <row r="1118" spans="4:13">
      <c r="D1118" s="325"/>
      <c r="E1118" s="281"/>
      <c r="I1118" s="281"/>
      <c r="J1118" s="281"/>
      <c r="K1118" s="281"/>
      <c r="L1118" s="281"/>
      <c r="M1118" s="281"/>
    </row>
    <row r="1119" spans="4:13">
      <c r="D1119" s="325"/>
      <c r="E1119" s="281"/>
      <c r="I1119" s="281"/>
      <c r="J1119" s="281"/>
      <c r="K1119" s="281"/>
      <c r="L1119" s="281"/>
      <c r="M1119" s="281"/>
    </row>
    <row r="1120" spans="4:13">
      <c r="D1120" s="325"/>
      <c r="E1120" s="281"/>
      <c r="I1120" s="281"/>
      <c r="J1120" s="281"/>
      <c r="K1120" s="281"/>
      <c r="L1120" s="281"/>
      <c r="M1120" s="281"/>
    </row>
    <row r="1121" spans="4:13">
      <c r="D1121" s="325"/>
      <c r="E1121" s="281"/>
      <c r="I1121" s="281"/>
      <c r="J1121" s="281"/>
      <c r="K1121" s="281"/>
      <c r="L1121" s="281"/>
      <c r="M1121" s="281"/>
    </row>
    <row r="1122" spans="4:13">
      <c r="D1122" s="325"/>
      <c r="E1122" s="281"/>
      <c r="I1122" s="281"/>
      <c r="J1122" s="281"/>
      <c r="K1122" s="281"/>
      <c r="L1122" s="281"/>
      <c r="M1122" s="281"/>
    </row>
    <row r="1123" spans="4:13">
      <c r="D1123" s="325"/>
      <c r="E1123" s="281"/>
      <c r="I1123" s="281"/>
      <c r="J1123" s="281"/>
      <c r="K1123" s="281"/>
      <c r="L1123" s="281"/>
      <c r="M1123" s="281"/>
    </row>
    <row r="1124" spans="4:13">
      <c r="D1124" s="325"/>
      <c r="E1124" s="281"/>
      <c r="I1124" s="281"/>
      <c r="J1124" s="281"/>
      <c r="K1124" s="281"/>
      <c r="L1124" s="281"/>
      <c r="M1124" s="281"/>
    </row>
    <row r="1125" spans="4:13">
      <c r="D1125" s="325"/>
      <c r="E1125" s="281"/>
      <c r="I1125" s="281"/>
      <c r="J1125" s="281"/>
      <c r="K1125" s="281"/>
      <c r="L1125" s="281"/>
      <c r="M1125" s="281"/>
    </row>
    <row r="1126" spans="4:13">
      <c r="D1126" s="325"/>
      <c r="E1126" s="281"/>
      <c r="I1126" s="281"/>
      <c r="J1126" s="281"/>
      <c r="K1126" s="281"/>
      <c r="L1126" s="281"/>
      <c r="M1126" s="281"/>
    </row>
    <row r="1127" spans="4:13">
      <c r="D1127" s="325"/>
      <c r="E1127" s="281"/>
      <c r="I1127" s="281"/>
      <c r="J1127" s="281"/>
      <c r="K1127" s="281"/>
      <c r="L1127" s="281"/>
      <c r="M1127" s="281"/>
    </row>
    <row r="1128" spans="4:13">
      <c r="D1128" s="325"/>
      <c r="E1128" s="281"/>
      <c r="I1128" s="281"/>
      <c r="J1128" s="281"/>
      <c r="K1128" s="281"/>
      <c r="L1128" s="281"/>
      <c r="M1128" s="281"/>
    </row>
    <row r="1129" spans="4:13">
      <c r="D1129" s="325"/>
      <c r="E1129" s="281"/>
      <c r="I1129" s="281"/>
      <c r="J1129" s="281"/>
      <c r="K1129" s="281"/>
      <c r="L1129" s="281"/>
      <c r="M1129" s="281"/>
    </row>
    <row r="1130" spans="4:13">
      <c r="D1130" s="325"/>
      <c r="E1130" s="281"/>
      <c r="I1130" s="281"/>
      <c r="J1130" s="281"/>
      <c r="K1130" s="281"/>
      <c r="L1130" s="281"/>
      <c r="M1130" s="281"/>
    </row>
    <row r="1131" spans="4:13">
      <c r="D1131" s="325"/>
      <c r="E1131" s="281"/>
      <c r="I1131" s="281"/>
      <c r="J1131" s="281"/>
      <c r="K1131" s="281"/>
      <c r="L1131" s="281"/>
      <c r="M1131" s="281"/>
    </row>
    <row r="1132" spans="4:13">
      <c r="D1132" s="325"/>
      <c r="E1132" s="281"/>
      <c r="I1132" s="281"/>
      <c r="J1132" s="281"/>
      <c r="K1132" s="281"/>
      <c r="L1132" s="281"/>
      <c r="M1132" s="281"/>
    </row>
    <row r="1133" spans="4:13">
      <c r="D1133" s="325"/>
      <c r="E1133" s="281"/>
      <c r="I1133" s="281"/>
      <c r="J1133" s="281"/>
      <c r="K1133" s="281"/>
      <c r="L1133" s="281"/>
      <c r="M1133" s="281"/>
    </row>
    <row r="1134" spans="4:13">
      <c r="D1134" s="325"/>
      <c r="E1134" s="281"/>
      <c r="I1134" s="281"/>
      <c r="J1134" s="281"/>
      <c r="K1134" s="281"/>
      <c r="L1134" s="281"/>
      <c r="M1134" s="281"/>
    </row>
    <row r="1135" spans="4:13">
      <c r="D1135" s="325"/>
      <c r="E1135" s="281"/>
      <c r="I1135" s="281"/>
      <c r="J1135" s="281"/>
      <c r="K1135" s="281"/>
      <c r="L1135" s="281"/>
      <c r="M1135" s="281"/>
    </row>
    <row r="1136" spans="4:13">
      <c r="D1136" s="325"/>
      <c r="E1136" s="281"/>
      <c r="I1136" s="281"/>
      <c r="J1136" s="281"/>
      <c r="K1136" s="281"/>
      <c r="L1136" s="281"/>
      <c r="M1136" s="281"/>
    </row>
    <row r="1137" spans="4:13">
      <c r="D1137" s="325"/>
      <c r="E1137" s="281"/>
      <c r="I1137" s="281"/>
      <c r="J1137" s="281"/>
      <c r="K1137" s="281"/>
      <c r="L1137" s="281"/>
      <c r="M1137" s="281"/>
    </row>
    <row r="1138" spans="4:13">
      <c r="D1138" s="325"/>
      <c r="E1138" s="281"/>
      <c r="I1138" s="281"/>
      <c r="J1138" s="281"/>
      <c r="K1138" s="281"/>
      <c r="L1138" s="281"/>
      <c r="M1138" s="281"/>
    </row>
    <row r="1139" spans="4:13">
      <c r="D1139" s="325"/>
      <c r="E1139" s="281"/>
      <c r="I1139" s="281"/>
      <c r="J1139" s="281"/>
      <c r="K1139" s="281"/>
      <c r="L1139" s="281"/>
      <c r="M1139" s="281"/>
    </row>
    <row r="1140" spans="4:13">
      <c r="D1140" s="325"/>
      <c r="E1140" s="281"/>
      <c r="I1140" s="281"/>
      <c r="J1140" s="281"/>
      <c r="K1140" s="281"/>
      <c r="L1140" s="281"/>
      <c r="M1140" s="281"/>
    </row>
    <row r="1141" spans="4:13">
      <c r="D1141" s="325"/>
      <c r="E1141" s="281"/>
      <c r="I1141" s="281"/>
      <c r="J1141" s="281"/>
      <c r="K1141" s="281"/>
      <c r="L1141" s="281"/>
      <c r="M1141" s="281"/>
    </row>
    <row r="1142" spans="4:13">
      <c r="D1142" s="325"/>
      <c r="E1142" s="281"/>
      <c r="I1142" s="281"/>
      <c r="J1142" s="281"/>
      <c r="K1142" s="281"/>
      <c r="L1142" s="281"/>
      <c r="M1142" s="281"/>
    </row>
    <row r="1143" spans="4:13">
      <c r="D1143" s="325"/>
      <c r="E1143" s="281"/>
      <c r="I1143" s="281"/>
      <c r="J1143" s="281"/>
      <c r="K1143" s="281"/>
      <c r="L1143" s="281"/>
      <c r="M1143" s="281"/>
    </row>
    <row r="1144" spans="4:13">
      <c r="D1144" s="325"/>
      <c r="E1144" s="281"/>
      <c r="I1144" s="281"/>
      <c r="J1144" s="281"/>
      <c r="K1144" s="281"/>
      <c r="L1144" s="281"/>
      <c r="M1144" s="281"/>
    </row>
    <row r="1145" spans="4:13">
      <c r="D1145" s="325"/>
      <c r="E1145" s="281"/>
      <c r="I1145" s="281"/>
      <c r="J1145" s="281"/>
      <c r="K1145" s="281"/>
      <c r="L1145" s="281"/>
      <c r="M1145" s="281"/>
    </row>
    <row r="1146" spans="4:13">
      <c r="D1146" s="325"/>
      <c r="E1146" s="281"/>
      <c r="I1146" s="281"/>
      <c r="J1146" s="281"/>
      <c r="K1146" s="281"/>
      <c r="L1146" s="281"/>
      <c r="M1146" s="281"/>
    </row>
    <row r="1147" spans="4:13">
      <c r="D1147" s="325"/>
      <c r="E1147" s="281"/>
      <c r="I1147" s="281"/>
      <c r="J1147" s="281"/>
      <c r="K1147" s="281"/>
      <c r="L1147" s="281"/>
      <c r="M1147" s="281"/>
    </row>
    <row r="1148" spans="4:13">
      <c r="D1148" s="325"/>
      <c r="E1148" s="281"/>
      <c r="I1148" s="281"/>
      <c r="J1148" s="281"/>
      <c r="K1148" s="281"/>
      <c r="L1148" s="281"/>
      <c r="M1148" s="281"/>
    </row>
    <row r="1149" spans="4:13">
      <c r="D1149" s="325"/>
      <c r="E1149" s="281"/>
      <c r="I1149" s="281"/>
      <c r="J1149" s="281"/>
      <c r="K1149" s="281"/>
      <c r="L1149" s="281"/>
      <c r="M1149" s="281"/>
    </row>
    <row r="1150" spans="4:13">
      <c r="D1150" s="325"/>
      <c r="E1150" s="281"/>
      <c r="I1150" s="281"/>
      <c r="J1150" s="281"/>
      <c r="K1150" s="281"/>
      <c r="L1150" s="281"/>
      <c r="M1150" s="281"/>
    </row>
    <row r="1151" spans="4:13">
      <c r="D1151" s="325"/>
      <c r="E1151" s="281"/>
      <c r="I1151" s="281"/>
      <c r="J1151" s="281"/>
      <c r="K1151" s="281"/>
      <c r="L1151" s="281"/>
      <c r="M1151" s="281"/>
    </row>
    <row r="1152" spans="4:13">
      <c r="D1152" s="325"/>
      <c r="E1152" s="281"/>
      <c r="I1152" s="281"/>
      <c r="J1152" s="281"/>
      <c r="K1152" s="281"/>
      <c r="L1152" s="281"/>
      <c r="M1152" s="281"/>
    </row>
    <row r="1153" spans="4:13">
      <c r="D1153" s="325"/>
      <c r="E1153" s="281"/>
      <c r="I1153" s="281"/>
      <c r="J1153" s="281"/>
      <c r="K1153" s="281"/>
      <c r="L1153" s="281"/>
      <c r="M1153" s="281"/>
    </row>
    <row r="1154" spans="4:13">
      <c r="D1154" s="325"/>
      <c r="E1154" s="281"/>
      <c r="I1154" s="281"/>
      <c r="J1154" s="281"/>
      <c r="K1154" s="281"/>
      <c r="L1154" s="281"/>
      <c r="M1154" s="281"/>
    </row>
    <row r="1155" spans="4:13">
      <c r="D1155" s="325"/>
      <c r="E1155" s="281"/>
      <c r="I1155" s="281"/>
      <c r="J1155" s="281"/>
      <c r="K1155" s="281"/>
      <c r="L1155" s="281"/>
      <c r="M1155" s="281"/>
    </row>
    <row r="1156" spans="4:13">
      <c r="D1156" s="325"/>
      <c r="E1156" s="281"/>
      <c r="I1156" s="281"/>
      <c r="J1156" s="281"/>
      <c r="K1156" s="281"/>
      <c r="L1156" s="281"/>
      <c r="M1156" s="281"/>
    </row>
    <row r="1157" spans="4:13">
      <c r="D1157" s="325"/>
      <c r="E1157" s="281"/>
      <c r="I1157" s="281"/>
      <c r="J1157" s="281"/>
      <c r="K1157" s="281"/>
      <c r="L1157" s="281"/>
      <c r="M1157" s="281"/>
    </row>
    <row r="1158" spans="4:13">
      <c r="D1158" s="325"/>
      <c r="E1158" s="281"/>
      <c r="I1158" s="281"/>
      <c r="J1158" s="281"/>
      <c r="K1158" s="281"/>
      <c r="L1158" s="281"/>
      <c r="M1158" s="281"/>
    </row>
    <row r="1159" spans="4:13">
      <c r="D1159" s="325"/>
      <c r="E1159" s="281"/>
      <c r="I1159" s="281"/>
      <c r="J1159" s="281"/>
      <c r="K1159" s="281"/>
      <c r="L1159" s="281"/>
      <c r="M1159" s="281"/>
    </row>
    <row r="1160" spans="4:13">
      <c r="D1160" s="325"/>
      <c r="E1160" s="281"/>
      <c r="I1160" s="281"/>
      <c r="J1160" s="281"/>
      <c r="K1160" s="281"/>
      <c r="L1160" s="281"/>
      <c r="M1160" s="281"/>
    </row>
    <row r="1161" spans="4:13">
      <c r="D1161" s="325"/>
      <c r="E1161" s="281"/>
      <c r="I1161" s="281"/>
      <c r="J1161" s="281"/>
      <c r="K1161" s="281"/>
      <c r="L1161" s="281"/>
      <c r="M1161" s="281"/>
    </row>
    <row r="1162" spans="4:13">
      <c r="D1162" s="325"/>
      <c r="E1162" s="281"/>
      <c r="I1162" s="281"/>
      <c r="J1162" s="281"/>
      <c r="K1162" s="281"/>
      <c r="L1162" s="281"/>
      <c r="M1162" s="281"/>
    </row>
    <row r="1163" spans="4:13">
      <c r="D1163" s="325"/>
      <c r="E1163" s="281"/>
      <c r="I1163" s="281"/>
      <c r="J1163" s="281"/>
      <c r="K1163" s="281"/>
      <c r="L1163" s="281"/>
      <c r="M1163" s="281"/>
    </row>
    <row r="1164" spans="4:13">
      <c r="D1164" s="325"/>
      <c r="E1164" s="281"/>
      <c r="I1164" s="281"/>
      <c r="J1164" s="281"/>
      <c r="K1164" s="281"/>
      <c r="L1164" s="281"/>
      <c r="M1164" s="281"/>
    </row>
    <row r="1165" spans="4:13">
      <c r="D1165" s="325"/>
      <c r="E1165" s="281"/>
      <c r="I1165" s="281"/>
      <c r="J1165" s="281"/>
      <c r="K1165" s="281"/>
      <c r="L1165" s="281"/>
      <c r="M1165" s="281"/>
    </row>
    <row r="1166" spans="4:13">
      <c r="D1166" s="325"/>
      <c r="E1166" s="281"/>
      <c r="I1166" s="281"/>
      <c r="J1166" s="281"/>
      <c r="K1166" s="281"/>
      <c r="L1166" s="281"/>
      <c r="M1166" s="281"/>
    </row>
    <row r="1167" spans="4:13">
      <c r="D1167" s="325"/>
      <c r="E1167" s="281"/>
      <c r="I1167" s="281"/>
      <c r="J1167" s="281"/>
      <c r="K1167" s="281"/>
      <c r="L1167" s="281"/>
      <c r="M1167" s="281"/>
    </row>
    <row r="1168" spans="4:13">
      <c r="D1168" s="325"/>
      <c r="E1168" s="281"/>
      <c r="I1168" s="281"/>
      <c r="J1168" s="281"/>
      <c r="K1168" s="281"/>
      <c r="L1168" s="281"/>
      <c r="M1168" s="281"/>
    </row>
    <row r="1169" spans="4:13">
      <c r="D1169" s="325"/>
      <c r="E1169" s="281"/>
      <c r="I1169" s="281"/>
      <c r="J1169" s="281"/>
      <c r="K1169" s="281"/>
      <c r="L1169" s="281"/>
      <c r="M1169" s="281"/>
    </row>
    <row r="1170" spans="4:13">
      <c r="D1170" s="325"/>
      <c r="E1170" s="281"/>
      <c r="I1170" s="281"/>
      <c r="J1170" s="281"/>
      <c r="K1170" s="281"/>
      <c r="L1170" s="281"/>
      <c r="M1170" s="281"/>
    </row>
    <row r="1171" spans="4:13">
      <c r="D1171" s="325"/>
      <c r="E1171" s="281"/>
      <c r="I1171" s="281"/>
      <c r="J1171" s="281"/>
      <c r="K1171" s="281"/>
      <c r="L1171" s="281"/>
      <c r="M1171" s="281"/>
    </row>
    <row r="1172" spans="4:13">
      <c r="D1172" s="325"/>
      <c r="E1172" s="281"/>
      <c r="I1172" s="281"/>
      <c r="J1172" s="281"/>
      <c r="K1172" s="281"/>
      <c r="L1172" s="281"/>
      <c r="M1172" s="281"/>
    </row>
    <row r="1173" spans="4:13">
      <c r="D1173" s="325"/>
      <c r="E1173" s="281"/>
      <c r="I1173" s="281"/>
      <c r="J1173" s="281"/>
      <c r="K1173" s="281"/>
      <c r="L1173" s="281"/>
      <c r="M1173" s="281"/>
    </row>
    <row r="1174" spans="4:13">
      <c r="D1174" s="325"/>
      <c r="E1174" s="281"/>
      <c r="I1174" s="281"/>
      <c r="J1174" s="281"/>
      <c r="K1174" s="281"/>
      <c r="L1174" s="281"/>
      <c r="M1174" s="281"/>
    </row>
    <row r="1175" spans="4:13">
      <c r="D1175" s="325"/>
      <c r="E1175" s="281"/>
      <c r="I1175" s="281"/>
      <c r="J1175" s="281"/>
      <c r="K1175" s="281"/>
      <c r="L1175" s="281"/>
      <c r="M1175" s="281"/>
    </row>
    <row r="1176" spans="4:13">
      <c r="D1176" s="325"/>
      <c r="E1176" s="281"/>
      <c r="I1176" s="281"/>
      <c r="J1176" s="281"/>
      <c r="K1176" s="281"/>
      <c r="L1176" s="281"/>
      <c r="M1176" s="281"/>
    </row>
    <row r="1177" spans="4:13">
      <c r="D1177" s="325"/>
      <c r="E1177" s="281"/>
      <c r="I1177" s="281"/>
      <c r="J1177" s="281"/>
      <c r="K1177" s="281"/>
      <c r="L1177" s="281"/>
      <c r="M1177" s="281"/>
    </row>
    <row r="1178" spans="4:13">
      <c r="D1178" s="325"/>
      <c r="E1178" s="281"/>
      <c r="I1178" s="281"/>
      <c r="J1178" s="281"/>
      <c r="K1178" s="281"/>
      <c r="L1178" s="281"/>
      <c r="M1178" s="281"/>
    </row>
    <row r="1179" spans="4:13">
      <c r="D1179" s="325"/>
      <c r="E1179" s="281"/>
      <c r="I1179" s="281"/>
      <c r="J1179" s="281"/>
      <c r="K1179" s="281"/>
      <c r="L1179" s="281"/>
      <c r="M1179" s="281"/>
    </row>
    <row r="1180" spans="4:13">
      <c r="D1180" s="325"/>
      <c r="E1180" s="281"/>
      <c r="I1180" s="281"/>
      <c r="J1180" s="281"/>
      <c r="K1180" s="281"/>
      <c r="L1180" s="281"/>
      <c r="M1180" s="281"/>
    </row>
    <row r="1181" spans="4:13">
      <c r="D1181" s="325"/>
      <c r="E1181" s="281"/>
      <c r="I1181" s="281"/>
      <c r="J1181" s="281"/>
      <c r="K1181" s="281"/>
      <c r="L1181" s="281"/>
      <c r="M1181" s="281"/>
    </row>
    <row r="1182" spans="4:13">
      <c r="D1182" s="325"/>
      <c r="E1182" s="281"/>
      <c r="I1182" s="281"/>
      <c r="J1182" s="281"/>
      <c r="K1182" s="281"/>
      <c r="L1182" s="281"/>
      <c r="M1182" s="281"/>
    </row>
    <row r="1183" spans="4:13">
      <c r="D1183" s="325"/>
      <c r="E1183" s="281"/>
      <c r="I1183" s="281"/>
      <c r="J1183" s="281"/>
      <c r="K1183" s="281"/>
      <c r="L1183" s="281"/>
      <c r="M1183" s="281"/>
    </row>
    <row r="1184" spans="4:13">
      <c r="D1184" s="325"/>
      <c r="E1184" s="281"/>
      <c r="I1184" s="281"/>
      <c r="J1184" s="281"/>
      <c r="K1184" s="281"/>
      <c r="L1184" s="281"/>
      <c r="M1184" s="281"/>
    </row>
    <row r="1185" spans="4:13">
      <c r="D1185" s="325"/>
      <c r="E1185" s="281"/>
      <c r="I1185" s="281"/>
      <c r="J1185" s="281"/>
      <c r="K1185" s="281"/>
      <c r="L1185" s="281"/>
      <c r="M1185" s="281"/>
    </row>
    <row r="1186" spans="4:13">
      <c r="D1186" s="325"/>
      <c r="E1186" s="281"/>
      <c r="I1186" s="281"/>
      <c r="J1186" s="281"/>
      <c r="K1186" s="281"/>
      <c r="L1186" s="281"/>
      <c r="M1186" s="281"/>
    </row>
    <row r="1187" spans="4:13">
      <c r="D1187" s="325"/>
      <c r="E1187" s="281"/>
      <c r="I1187" s="281"/>
      <c r="J1187" s="281"/>
      <c r="K1187" s="281"/>
      <c r="L1187" s="281"/>
      <c r="M1187" s="281"/>
    </row>
    <row r="1188" spans="4:13">
      <c r="D1188" s="325"/>
      <c r="E1188" s="281"/>
      <c r="I1188" s="281"/>
      <c r="J1188" s="281"/>
      <c r="K1188" s="281"/>
      <c r="L1188" s="281"/>
      <c r="M1188" s="281"/>
    </row>
    <row r="1189" spans="4:13">
      <c r="D1189" s="325"/>
      <c r="E1189" s="281"/>
      <c r="I1189" s="281"/>
      <c r="J1189" s="281"/>
      <c r="K1189" s="281"/>
      <c r="L1189" s="281"/>
      <c r="M1189" s="281"/>
    </row>
    <row r="1190" spans="4:13">
      <c r="D1190" s="325"/>
      <c r="E1190" s="281"/>
      <c r="I1190" s="281"/>
      <c r="J1190" s="281"/>
      <c r="K1190" s="281"/>
      <c r="L1190" s="281"/>
      <c r="M1190" s="281"/>
    </row>
    <row r="1191" spans="4:13">
      <c r="D1191" s="325"/>
      <c r="E1191" s="281"/>
      <c r="I1191" s="281"/>
      <c r="J1191" s="281"/>
      <c r="K1191" s="281"/>
      <c r="L1191" s="281"/>
      <c r="M1191" s="281"/>
    </row>
    <row r="1192" spans="4:13">
      <c r="D1192" s="325"/>
      <c r="E1192" s="281"/>
      <c r="I1192" s="281"/>
      <c r="J1192" s="281"/>
      <c r="K1192" s="281"/>
      <c r="L1192" s="281"/>
      <c r="M1192" s="281"/>
    </row>
    <row r="1193" spans="4:13">
      <c r="D1193" s="325"/>
      <c r="E1193" s="281"/>
      <c r="I1193" s="281"/>
      <c r="J1193" s="281"/>
      <c r="K1193" s="281"/>
      <c r="L1193" s="281"/>
      <c r="M1193" s="281"/>
    </row>
    <row r="1194" spans="4:13">
      <c r="D1194" s="325"/>
      <c r="E1194" s="281"/>
      <c r="I1194" s="281"/>
      <c r="J1194" s="281"/>
      <c r="K1194" s="281"/>
      <c r="L1194" s="281"/>
      <c r="M1194" s="281"/>
    </row>
    <row r="1195" spans="4:13">
      <c r="D1195" s="325"/>
      <c r="E1195" s="281"/>
      <c r="I1195" s="281"/>
      <c r="J1195" s="281"/>
      <c r="K1195" s="281"/>
      <c r="L1195" s="281"/>
      <c r="M1195" s="281"/>
    </row>
    <row r="1196" spans="4:13">
      <c r="D1196" s="325"/>
      <c r="E1196" s="281"/>
      <c r="I1196" s="281"/>
      <c r="J1196" s="281"/>
      <c r="K1196" s="281"/>
      <c r="L1196" s="281"/>
      <c r="M1196" s="281"/>
    </row>
    <row r="1197" spans="4:13">
      <c r="D1197" s="325"/>
      <c r="E1197" s="281"/>
      <c r="I1197" s="281"/>
      <c r="J1197" s="281"/>
      <c r="K1197" s="281"/>
      <c r="L1197" s="281"/>
      <c r="M1197" s="281"/>
    </row>
    <row r="1198" spans="4:13">
      <c r="D1198" s="325"/>
      <c r="E1198" s="281"/>
      <c r="I1198" s="281"/>
      <c r="J1198" s="281"/>
      <c r="K1198" s="281"/>
      <c r="L1198" s="281"/>
      <c r="M1198" s="281"/>
    </row>
    <row r="1199" spans="4:13">
      <c r="D1199" s="325"/>
      <c r="E1199" s="281"/>
      <c r="I1199" s="281"/>
      <c r="J1199" s="281"/>
      <c r="K1199" s="281"/>
      <c r="L1199" s="281"/>
      <c r="M1199" s="281"/>
    </row>
    <row r="1200" spans="4:13">
      <c r="D1200" s="325"/>
      <c r="E1200" s="281"/>
      <c r="I1200" s="281"/>
      <c r="J1200" s="281"/>
      <c r="K1200" s="281"/>
      <c r="L1200" s="281"/>
      <c r="M1200" s="281"/>
    </row>
    <row r="1201" spans="4:13">
      <c r="D1201" s="325"/>
      <c r="E1201" s="281"/>
      <c r="I1201" s="281"/>
      <c r="J1201" s="281"/>
      <c r="K1201" s="281"/>
      <c r="L1201" s="281"/>
      <c r="M1201" s="281"/>
    </row>
    <row r="1202" spans="4:13">
      <c r="D1202" s="325"/>
      <c r="E1202" s="281"/>
      <c r="I1202" s="281"/>
      <c r="J1202" s="281"/>
      <c r="K1202" s="281"/>
      <c r="L1202" s="281"/>
      <c r="M1202" s="281"/>
    </row>
    <row r="1203" spans="4:13">
      <c r="D1203" s="325"/>
      <c r="E1203" s="281"/>
      <c r="I1203" s="281"/>
      <c r="J1203" s="281"/>
      <c r="K1203" s="281"/>
      <c r="L1203" s="281"/>
      <c r="M1203" s="281"/>
    </row>
    <row r="1204" spans="4:13">
      <c r="D1204" s="325"/>
      <c r="E1204" s="281"/>
      <c r="I1204" s="281"/>
      <c r="J1204" s="281"/>
      <c r="K1204" s="281"/>
      <c r="L1204" s="281"/>
      <c r="M1204" s="281"/>
    </row>
    <row r="1205" spans="4:13">
      <c r="D1205" s="325"/>
      <c r="E1205" s="281"/>
      <c r="I1205" s="281"/>
      <c r="J1205" s="281"/>
      <c r="K1205" s="281"/>
      <c r="L1205" s="281"/>
      <c r="M1205" s="281"/>
    </row>
    <row r="1206" spans="4:13">
      <c r="D1206" s="325"/>
      <c r="E1206" s="281"/>
      <c r="I1206" s="281"/>
      <c r="J1206" s="281"/>
      <c r="K1206" s="281"/>
      <c r="L1206" s="281"/>
      <c r="M1206" s="281"/>
    </row>
    <row r="1207" spans="4:13">
      <c r="D1207" s="325"/>
      <c r="E1207" s="281"/>
      <c r="I1207" s="281"/>
      <c r="J1207" s="281"/>
      <c r="K1207" s="281"/>
      <c r="L1207" s="281"/>
      <c r="M1207" s="281"/>
    </row>
    <row r="1208" spans="4:13">
      <c r="D1208" s="325"/>
      <c r="E1208" s="281"/>
      <c r="I1208" s="281"/>
      <c r="J1208" s="281"/>
      <c r="K1208" s="281"/>
      <c r="L1208" s="281"/>
      <c r="M1208" s="281"/>
    </row>
    <row r="1209" spans="4:13">
      <c r="D1209" s="325"/>
      <c r="E1209" s="281"/>
      <c r="I1209" s="281"/>
      <c r="J1209" s="281"/>
      <c r="K1209" s="281"/>
      <c r="L1209" s="281"/>
      <c r="M1209" s="281"/>
    </row>
    <row r="1210" spans="4:13">
      <c r="D1210" s="325"/>
      <c r="E1210" s="281"/>
      <c r="I1210" s="281"/>
      <c r="J1210" s="281"/>
      <c r="K1210" s="281"/>
      <c r="L1210" s="281"/>
      <c r="M1210" s="281"/>
    </row>
    <row r="1211" spans="4:13">
      <c r="D1211" s="325"/>
      <c r="E1211" s="281"/>
      <c r="I1211" s="281"/>
      <c r="J1211" s="281"/>
      <c r="K1211" s="281"/>
      <c r="L1211" s="281"/>
      <c r="M1211" s="281"/>
    </row>
    <row r="1212" spans="4:13">
      <c r="D1212" s="325"/>
      <c r="E1212" s="281"/>
      <c r="I1212" s="281"/>
      <c r="J1212" s="281"/>
      <c r="K1212" s="281"/>
      <c r="L1212" s="281"/>
      <c r="M1212" s="281"/>
    </row>
    <row r="1213" spans="4:13">
      <c r="D1213" s="325"/>
      <c r="E1213" s="281"/>
      <c r="I1213" s="281"/>
      <c r="J1213" s="281"/>
      <c r="K1213" s="281"/>
      <c r="L1213" s="281"/>
      <c r="M1213" s="281"/>
    </row>
    <row r="1214" spans="4:13">
      <c r="D1214" s="325"/>
      <c r="E1214" s="281"/>
      <c r="I1214" s="281"/>
      <c r="J1214" s="281"/>
      <c r="K1214" s="281"/>
      <c r="L1214" s="281"/>
      <c r="M1214" s="281"/>
    </row>
    <row r="1215" spans="4:13">
      <c r="D1215" s="325"/>
      <c r="E1215" s="281"/>
      <c r="I1215" s="281"/>
      <c r="J1215" s="281"/>
      <c r="K1215" s="281"/>
      <c r="L1215" s="281"/>
      <c r="M1215" s="281"/>
    </row>
    <row r="1216" spans="4:13">
      <c r="D1216" s="325"/>
      <c r="E1216" s="281"/>
      <c r="I1216" s="281"/>
      <c r="J1216" s="281"/>
      <c r="K1216" s="281"/>
      <c r="L1216" s="281"/>
      <c r="M1216" s="281"/>
    </row>
    <row r="1217" spans="4:13">
      <c r="D1217" s="325"/>
      <c r="E1217" s="281"/>
      <c r="I1217" s="281"/>
      <c r="J1217" s="281"/>
      <c r="K1217" s="281"/>
      <c r="L1217" s="281"/>
      <c r="M1217" s="281"/>
    </row>
    <row r="1218" spans="4:13">
      <c r="D1218" s="325"/>
      <c r="E1218" s="281"/>
      <c r="I1218" s="281"/>
      <c r="J1218" s="281"/>
      <c r="K1218" s="281"/>
      <c r="L1218" s="281"/>
      <c r="M1218" s="281"/>
    </row>
    <row r="1219" spans="4:13">
      <c r="D1219" s="325"/>
      <c r="E1219" s="281"/>
      <c r="I1219" s="281"/>
      <c r="J1219" s="281"/>
      <c r="K1219" s="281"/>
      <c r="L1219" s="281"/>
      <c r="M1219" s="281"/>
    </row>
    <row r="1220" spans="4:13">
      <c r="D1220" s="325"/>
      <c r="E1220" s="281"/>
      <c r="I1220" s="281"/>
      <c r="J1220" s="281"/>
      <c r="K1220" s="281"/>
      <c r="L1220" s="281"/>
      <c r="M1220" s="281"/>
    </row>
    <row r="1221" spans="4:13">
      <c r="D1221" s="325"/>
      <c r="E1221" s="281"/>
      <c r="I1221" s="281"/>
      <c r="J1221" s="281"/>
      <c r="K1221" s="281"/>
      <c r="L1221" s="281"/>
      <c r="M1221" s="281"/>
    </row>
    <row r="1222" spans="4:13">
      <c r="D1222" s="325"/>
      <c r="E1222" s="281"/>
      <c r="I1222" s="281"/>
      <c r="J1222" s="281"/>
      <c r="K1222" s="281"/>
      <c r="L1222" s="281"/>
      <c r="M1222" s="281"/>
    </row>
    <row r="1223" spans="4:13">
      <c r="D1223" s="325"/>
      <c r="E1223" s="281"/>
      <c r="I1223" s="281"/>
      <c r="J1223" s="281"/>
      <c r="K1223" s="281"/>
      <c r="L1223" s="281"/>
      <c r="M1223" s="281"/>
    </row>
    <row r="1224" spans="4:13">
      <c r="D1224" s="325"/>
      <c r="E1224" s="281"/>
      <c r="I1224" s="281"/>
      <c r="J1224" s="281"/>
      <c r="K1224" s="281"/>
      <c r="L1224" s="281"/>
      <c r="M1224" s="281"/>
    </row>
    <row r="1225" spans="4:13">
      <c r="D1225" s="325"/>
      <c r="E1225" s="281"/>
      <c r="I1225" s="281"/>
      <c r="J1225" s="281"/>
      <c r="K1225" s="281"/>
      <c r="L1225" s="281"/>
      <c r="M1225" s="281"/>
    </row>
    <row r="1226" spans="4:13">
      <c r="D1226" s="325"/>
      <c r="E1226" s="281"/>
      <c r="I1226" s="281"/>
      <c r="J1226" s="281"/>
      <c r="K1226" s="281"/>
      <c r="L1226" s="281"/>
      <c r="M1226" s="281"/>
    </row>
    <row r="1227" spans="4:13">
      <c r="D1227" s="325"/>
      <c r="E1227" s="281"/>
      <c r="I1227" s="281"/>
      <c r="J1227" s="281"/>
      <c r="K1227" s="281"/>
      <c r="L1227" s="281"/>
      <c r="M1227" s="281"/>
    </row>
    <row r="1228" spans="4:13">
      <c r="D1228" s="325"/>
      <c r="E1228" s="281"/>
      <c r="I1228" s="281"/>
      <c r="J1228" s="281"/>
      <c r="K1228" s="281"/>
      <c r="L1228" s="281"/>
      <c r="M1228" s="281"/>
    </row>
    <row r="1229" spans="4:13">
      <c r="D1229" s="325"/>
      <c r="E1229" s="281"/>
      <c r="I1229" s="281"/>
      <c r="J1229" s="281"/>
      <c r="K1229" s="281"/>
      <c r="L1229" s="281"/>
      <c r="M1229" s="281"/>
    </row>
    <row r="1230" spans="4:13">
      <c r="D1230" s="325"/>
      <c r="E1230" s="281"/>
      <c r="I1230" s="281"/>
      <c r="J1230" s="281"/>
      <c r="K1230" s="281"/>
      <c r="L1230" s="281"/>
      <c r="M1230" s="281"/>
    </row>
    <row r="1231" spans="4:13">
      <c r="D1231" s="325"/>
      <c r="E1231" s="281"/>
      <c r="I1231" s="281"/>
      <c r="J1231" s="281"/>
      <c r="K1231" s="281"/>
      <c r="L1231" s="281"/>
      <c r="M1231" s="281"/>
    </row>
    <row r="1232" spans="4:13">
      <c r="D1232" s="325"/>
      <c r="E1232" s="281"/>
      <c r="I1232" s="281"/>
      <c r="J1232" s="281"/>
      <c r="K1232" s="281"/>
      <c r="L1232" s="281"/>
      <c r="M1232" s="281"/>
    </row>
    <row r="1233" spans="4:13">
      <c r="D1233" s="325"/>
      <c r="E1233" s="281"/>
      <c r="I1233" s="281"/>
      <c r="J1233" s="281"/>
      <c r="K1233" s="281"/>
      <c r="L1233" s="281"/>
      <c r="M1233" s="281"/>
    </row>
    <row r="1234" spans="4:13">
      <c r="D1234" s="325"/>
      <c r="E1234" s="281"/>
      <c r="I1234" s="281"/>
      <c r="J1234" s="281"/>
      <c r="K1234" s="281"/>
      <c r="L1234" s="281"/>
      <c r="M1234" s="281"/>
    </row>
    <row r="1235" spans="4:13">
      <c r="D1235" s="325"/>
      <c r="E1235" s="281"/>
      <c r="I1235" s="281"/>
      <c r="J1235" s="281"/>
      <c r="K1235" s="281"/>
      <c r="L1235" s="281"/>
      <c r="M1235" s="281"/>
    </row>
    <row r="1236" spans="4:13">
      <c r="D1236" s="325"/>
      <c r="E1236" s="281"/>
      <c r="I1236" s="281"/>
      <c r="J1236" s="281"/>
      <c r="K1236" s="281"/>
      <c r="L1236" s="281"/>
      <c r="M1236" s="281"/>
    </row>
    <row r="1237" spans="4:13">
      <c r="D1237" s="325"/>
      <c r="E1237" s="281"/>
      <c r="I1237" s="281"/>
      <c r="J1237" s="281"/>
      <c r="K1237" s="281"/>
      <c r="L1237" s="281"/>
      <c r="M1237" s="281"/>
    </row>
    <row r="1238" spans="4:13">
      <c r="D1238" s="325"/>
      <c r="E1238" s="281"/>
      <c r="I1238" s="281"/>
      <c r="J1238" s="281"/>
      <c r="K1238" s="281"/>
      <c r="L1238" s="281"/>
      <c r="M1238" s="281"/>
    </row>
    <row r="1239" spans="4:13">
      <c r="D1239" s="325"/>
      <c r="E1239" s="281"/>
      <c r="I1239" s="281"/>
      <c r="J1239" s="281"/>
      <c r="K1239" s="281"/>
      <c r="L1239" s="281"/>
      <c r="M1239" s="281"/>
    </row>
    <row r="1240" spans="4:13">
      <c r="D1240" s="325"/>
      <c r="E1240" s="281"/>
      <c r="I1240" s="281"/>
      <c r="J1240" s="281"/>
      <c r="K1240" s="281"/>
      <c r="L1240" s="281"/>
      <c r="M1240" s="281"/>
    </row>
    <row r="1241" spans="4:13">
      <c r="D1241" s="325"/>
      <c r="E1241" s="281"/>
      <c r="I1241" s="281"/>
      <c r="J1241" s="281"/>
      <c r="K1241" s="281"/>
      <c r="L1241" s="281"/>
      <c r="M1241" s="281"/>
    </row>
    <row r="1242" spans="4:13">
      <c r="D1242" s="325"/>
      <c r="E1242" s="281"/>
      <c r="I1242" s="281"/>
      <c r="J1242" s="281"/>
      <c r="K1242" s="281"/>
      <c r="L1242" s="281"/>
      <c r="M1242" s="281"/>
    </row>
    <row r="1243" spans="4:13">
      <c r="D1243" s="325"/>
      <c r="E1243" s="281"/>
      <c r="I1243" s="281"/>
      <c r="J1243" s="281"/>
      <c r="K1243" s="281"/>
      <c r="L1243" s="281"/>
      <c r="M1243" s="281"/>
    </row>
    <row r="1244" spans="4:13">
      <c r="D1244" s="325"/>
      <c r="E1244" s="281"/>
      <c r="I1244" s="281"/>
      <c r="J1244" s="281"/>
      <c r="K1244" s="281"/>
      <c r="L1244" s="281"/>
      <c r="M1244" s="281"/>
    </row>
    <row r="1245" spans="4:13">
      <c r="D1245" s="325"/>
      <c r="E1245" s="281"/>
      <c r="I1245" s="281"/>
      <c r="J1245" s="281"/>
      <c r="K1245" s="281"/>
      <c r="L1245" s="281"/>
      <c r="M1245" s="281"/>
    </row>
    <row r="1246" spans="4:13">
      <c r="D1246" s="325"/>
      <c r="E1246" s="281"/>
      <c r="I1246" s="281"/>
      <c r="J1246" s="281"/>
      <c r="K1246" s="281"/>
      <c r="L1246" s="281"/>
      <c r="M1246" s="281"/>
    </row>
    <row r="1247" spans="4:13">
      <c r="D1247" s="325"/>
      <c r="E1247" s="281"/>
      <c r="I1247" s="281"/>
      <c r="J1247" s="281"/>
      <c r="K1247" s="281"/>
      <c r="L1247" s="281"/>
      <c r="M1247" s="281"/>
    </row>
    <row r="1248" spans="4:13">
      <c r="D1248" s="325"/>
      <c r="E1248" s="281"/>
      <c r="I1248" s="281"/>
      <c r="J1248" s="281"/>
      <c r="K1248" s="281"/>
      <c r="L1248" s="281"/>
      <c r="M1248" s="281"/>
    </row>
    <row r="1249" spans="4:13">
      <c r="D1249" s="325"/>
      <c r="E1249" s="281"/>
      <c r="I1249" s="281"/>
      <c r="J1249" s="281"/>
      <c r="K1249" s="281"/>
      <c r="L1249" s="281"/>
      <c r="M1249" s="281"/>
    </row>
    <row r="1250" spans="4:13">
      <c r="D1250" s="325"/>
      <c r="E1250" s="281"/>
      <c r="I1250" s="281"/>
      <c r="J1250" s="281"/>
      <c r="K1250" s="281"/>
      <c r="L1250" s="281"/>
      <c r="M1250" s="281"/>
    </row>
    <row r="1251" spans="4:13">
      <c r="D1251" s="325"/>
      <c r="E1251" s="281"/>
      <c r="I1251" s="281"/>
      <c r="J1251" s="281"/>
      <c r="K1251" s="281"/>
      <c r="L1251" s="281"/>
      <c r="M1251" s="281"/>
    </row>
    <row r="1252" spans="4:13">
      <c r="D1252" s="325"/>
      <c r="E1252" s="281"/>
      <c r="I1252" s="281"/>
      <c r="J1252" s="281"/>
      <c r="K1252" s="281"/>
      <c r="L1252" s="281"/>
      <c r="M1252" s="281"/>
    </row>
    <row r="1253" spans="4:13">
      <c r="D1253" s="325"/>
      <c r="E1253" s="281"/>
      <c r="I1253" s="281"/>
      <c r="J1253" s="281"/>
      <c r="K1253" s="281"/>
      <c r="L1253" s="281"/>
      <c r="M1253" s="281"/>
    </row>
    <row r="1254" spans="4:13">
      <c r="D1254" s="325"/>
      <c r="E1254" s="281"/>
      <c r="I1254" s="281"/>
      <c r="J1254" s="281"/>
      <c r="K1254" s="281"/>
      <c r="L1254" s="281"/>
      <c r="M1254" s="281"/>
    </row>
    <row r="1255" spans="4:13">
      <c r="D1255" s="325"/>
      <c r="E1255" s="281"/>
      <c r="I1255" s="281"/>
      <c r="J1255" s="281"/>
      <c r="K1255" s="281"/>
      <c r="L1255" s="281"/>
      <c r="M1255" s="281"/>
    </row>
    <row r="1256" spans="4:13">
      <c r="D1256" s="325"/>
      <c r="E1256" s="281"/>
      <c r="I1256" s="281"/>
      <c r="J1256" s="281"/>
      <c r="K1256" s="281"/>
      <c r="L1256" s="281"/>
      <c r="M1256" s="281"/>
    </row>
    <row r="1257" spans="4:13">
      <c r="D1257" s="325"/>
      <c r="E1257" s="281"/>
      <c r="I1257" s="281"/>
      <c r="J1257" s="281"/>
      <c r="K1257" s="281"/>
      <c r="L1257" s="281"/>
      <c r="M1257" s="281"/>
    </row>
    <row r="1258" spans="4:13">
      <c r="D1258" s="325"/>
      <c r="E1258" s="281"/>
      <c r="I1258" s="281"/>
      <c r="J1258" s="281"/>
      <c r="K1258" s="281"/>
      <c r="L1258" s="281"/>
      <c r="M1258" s="281"/>
    </row>
    <row r="1259" spans="4:13">
      <c r="D1259" s="325"/>
      <c r="E1259" s="281"/>
      <c r="I1259" s="281"/>
      <c r="J1259" s="281"/>
      <c r="K1259" s="281"/>
      <c r="L1259" s="281"/>
      <c r="M1259" s="281"/>
    </row>
    <row r="1260" spans="4:13">
      <c r="D1260" s="325"/>
      <c r="E1260" s="281"/>
      <c r="I1260" s="281"/>
      <c r="J1260" s="281"/>
      <c r="K1260" s="281"/>
      <c r="L1260" s="281"/>
      <c r="M1260" s="281"/>
    </row>
    <row r="1261" spans="4:13">
      <c r="D1261" s="325"/>
      <c r="E1261" s="281"/>
      <c r="I1261" s="281"/>
      <c r="J1261" s="281"/>
      <c r="K1261" s="281"/>
      <c r="L1261" s="281"/>
      <c r="M1261" s="281"/>
    </row>
    <row r="1262" spans="4:13">
      <c r="D1262" s="325"/>
      <c r="E1262" s="281"/>
      <c r="I1262" s="281"/>
      <c r="J1262" s="281"/>
      <c r="K1262" s="281"/>
      <c r="L1262" s="281"/>
      <c r="M1262" s="281"/>
    </row>
    <row r="1263" spans="4:13">
      <c r="D1263" s="325"/>
      <c r="E1263" s="281"/>
      <c r="I1263" s="281"/>
      <c r="J1263" s="281"/>
      <c r="K1263" s="281"/>
      <c r="L1263" s="281"/>
      <c r="M1263" s="281"/>
    </row>
    <row r="1264" spans="4:13">
      <c r="D1264" s="325"/>
      <c r="E1264" s="281"/>
      <c r="I1264" s="281"/>
      <c r="J1264" s="281"/>
      <c r="K1264" s="281"/>
      <c r="L1264" s="281"/>
      <c r="M1264" s="281"/>
    </row>
    <row r="1265" spans="4:13">
      <c r="D1265" s="325"/>
      <c r="E1265" s="281"/>
      <c r="I1265" s="281"/>
      <c r="J1265" s="281"/>
      <c r="K1265" s="281"/>
      <c r="L1265" s="281"/>
      <c r="M1265" s="281"/>
    </row>
    <row r="1266" spans="4:13">
      <c r="D1266" s="325"/>
      <c r="E1266" s="281"/>
      <c r="I1266" s="281"/>
      <c r="J1266" s="281"/>
      <c r="K1266" s="281"/>
      <c r="L1266" s="281"/>
      <c r="M1266" s="281"/>
    </row>
    <row r="1267" spans="4:13">
      <c r="D1267" s="325"/>
      <c r="E1267" s="281"/>
      <c r="I1267" s="281"/>
      <c r="J1267" s="281"/>
      <c r="K1267" s="281"/>
      <c r="L1267" s="281"/>
      <c r="M1267" s="281"/>
    </row>
    <row r="1268" spans="4:13">
      <c r="D1268" s="325"/>
      <c r="E1268" s="281"/>
      <c r="I1268" s="281"/>
      <c r="J1268" s="281"/>
      <c r="K1268" s="281"/>
      <c r="L1268" s="281"/>
      <c r="M1268" s="281"/>
    </row>
    <row r="1269" spans="4:13">
      <c r="D1269" s="325"/>
      <c r="E1269" s="281"/>
      <c r="I1269" s="281"/>
      <c r="J1269" s="281"/>
      <c r="K1269" s="281"/>
      <c r="L1269" s="281"/>
      <c r="M1269" s="281"/>
    </row>
    <row r="1270" spans="4:13">
      <c r="D1270" s="325"/>
      <c r="E1270" s="281"/>
      <c r="I1270" s="281"/>
      <c r="J1270" s="281"/>
      <c r="K1270" s="281"/>
      <c r="L1270" s="281"/>
      <c r="M1270" s="281"/>
    </row>
    <row r="1271" spans="4:13">
      <c r="D1271" s="325"/>
      <c r="E1271" s="281"/>
      <c r="I1271" s="281"/>
      <c r="J1271" s="281"/>
      <c r="K1271" s="281"/>
      <c r="L1271" s="281"/>
      <c r="M1271" s="281"/>
    </row>
    <row r="1272" spans="4:13">
      <c r="D1272" s="325"/>
      <c r="E1272" s="281"/>
      <c r="I1272" s="281"/>
      <c r="J1272" s="281"/>
      <c r="K1272" s="281"/>
      <c r="L1272" s="281"/>
      <c r="M1272" s="281"/>
    </row>
    <row r="1273" spans="4:13">
      <c r="D1273" s="325"/>
      <c r="E1273" s="281"/>
      <c r="I1273" s="281"/>
      <c r="J1273" s="281"/>
      <c r="K1273" s="281"/>
      <c r="L1273" s="281"/>
      <c r="M1273" s="281"/>
    </row>
    <row r="1274" spans="4:13">
      <c r="D1274" s="325"/>
      <c r="E1274" s="281"/>
      <c r="I1274" s="281"/>
      <c r="J1274" s="281"/>
      <c r="K1274" s="281"/>
      <c r="L1274" s="281"/>
      <c r="M1274" s="281"/>
    </row>
    <row r="1275" spans="4:13">
      <c r="D1275" s="325"/>
      <c r="E1275" s="281"/>
      <c r="I1275" s="281"/>
      <c r="J1275" s="281"/>
      <c r="K1275" s="281"/>
      <c r="L1275" s="281"/>
      <c r="M1275" s="281"/>
    </row>
    <row r="1276" spans="4:13">
      <c r="D1276" s="325"/>
      <c r="E1276" s="281"/>
      <c r="I1276" s="281"/>
      <c r="J1276" s="281"/>
      <c r="K1276" s="281"/>
      <c r="L1276" s="281"/>
      <c r="M1276" s="281"/>
    </row>
    <row r="1277" spans="4:13">
      <c r="D1277" s="325"/>
      <c r="E1277" s="281"/>
      <c r="I1277" s="281"/>
      <c r="J1277" s="281"/>
      <c r="K1277" s="281"/>
      <c r="L1277" s="281"/>
      <c r="M1277" s="281"/>
    </row>
    <row r="1278" spans="4:13">
      <c r="D1278" s="325"/>
      <c r="E1278" s="281"/>
      <c r="I1278" s="281"/>
      <c r="J1278" s="281"/>
      <c r="K1278" s="281"/>
      <c r="L1278" s="281"/>
      <c r="M1278" s="281"/>
    </row>
    <row r="1279" spans="4:13">
      <c r="D1279" s="325"/>
      <c r="E1279" s="281"/>
      <c r="I1279" s="281"/>
      <c r="J1279" s="281"/>
      <c r="K1279" s="281"/>
      <c r="L1279" s="281"/>
      <c r="M1279" s="281"/>
    </row>
    <row r="1280" spans="4:13">
      <c r="D1280" s="325"/>
      <c r="E1280" s="281"/>
      <c r="I1280" s="281"/>
      <c r="J1280" s="281"/>
      <c r="K1280" s="281"/>
      <c r="L1280" s="281"/>
      <c r="M1280" s="281"/>
    </row>
    <row r="1281" spans="4:13">
      <c r="D1281" s="325"/>
      <c r="E1281" s="281"/>
      <c r="I1281" s="281"/>
      <c r="J1281" s="281"/>
      <c r="K1281" s="281"/>
      <c r="L1281" s="281"/>
      <c r="M1281" s="281"/>
    </row>
    <row r="1282" spans="4:13">
      <c r="D1282" s="325"/>
      <c r="E1282" s="281"/>
      <c r="I1282" s="281"/>
      <c r="J1282" s="281"/>
      <c r="K1282" s="281"/>
      <c r="L1282" s="281"/>
      <c r="M1282" s="281"/>
    </row>
    <row r="1283" spans="4:13">
      <c r="D1283" s="325"/>
      <c r="E1283" s="281"/>
      <c r="I1283" s="281"/>
      <c r="J1283" s="281"/>
      <c r="K1283" s="281"/>
      <c r="L1283" s="281"/>
      <c r="M1283" s="281"/>
    </row>
    <row r="1284" spans="4:13">
      <c r="D1284" s="325"/>
      <c r="E1284" s="281"/>
      <c r="I1284" s="281"/>
      <c r="J1284" s="281"/>
      <c r="K1284" s="281"/>
      <c r="L1284" s="281"/>
      <c r="M1284" s="281"/>
    </row>
    <row r="1285" spans="4:13">
      <c r="D1285" s="325"/>
      <c r="E1285" s="281"/>
      <c r="I1285" s="281"/>
      <c r="J1285" s="281"/>
      <c r="K1285" s="281"/>
      <c r="L1285" s="281"/>
      <c r="M1285" s="281"/>
    </row>
    <row r="1286" spans="4:13">
      <c r="D1286" s="325"/>
      <c r="E1286" s="281"/>
      <c r="I1286" s="281"/>
      <c r="J1286" s="281"/>
      <c r="K1286" s="281"/>
      <c r="L1286" s="281"/>
      <c r="M1286" s="281"/>
    </row>
    <row r="1287" spans="4:13">
      <c r="D1287" s="325"/>
      <c r="E1287" s="281"/>
      <c r="I1287" s="281"/>
      <c r="J1287" s="281"/>
      <c r="K1287" s="281"/>
      <c r="L1287" s="281"/>
      <c r="M1287" s="281"/>
    </row>
    <row r="1288" spans="4:13">
      <c r="D1288" s="325"/>
      <c r="E1288" s="281"/>
      <c r="I1288" s="281"/>
      <c r="J1288" s="281"/>
      <c r="K1288" s="281"/>
      <c r="L1288" s="281"/>
      <c r="M1288" s="281"/>
    </row>
    <row r="1289" spans="4:13">
      <c r="D1289" s="325"/>
      <c r="E1289" s="281"/>
      <c r="I1289" s="281"/>
      <c r="J1289" s="281"/>
      <c r="K1289" s="281"/>
      <c r="L1289" s="281"/>
      <c r="M1289" s="281"/>
    </row>
    <row r="1290" spans="4:13">
      <c r="D1290" s="325"/>
      <c r="E1290" s="281"/>
      <c r="I1290" s="281"/>
      <c r="J1290" s="281"/>
      <c r="K1290" s="281"/>
      <c r="L1290" s="281"/>
      <c r="M1290" s="281"/>
    </row>
    <row r="1291" spans="4:13">
      <c r="D1291" s="325"/>
      <c r="E1291" s="281"/>
      <c r="I1291" s="281"/>
      <c r="J1291" s="281"/>
      <c r="K1291" s="281"/>
      <c r="L1291" s="281"/>
      <c r="M1291" s="281"/>
    </row>
    <row r="1292" spans="4:13">
      <c r="D1292" s="325"/>
      <c r="E1292" s="281"/>
      <c r="I1292" s="281"/>
      <c r="J1292" s="281"/>
      <c r="K1292" s="281"/>
      <c r="L1292" s="281"/>
      <c r="M1292" s="281"/>
    </row>
    <row r="1293" spans="4:13">
      <c r="D1293" s="325"/>
      <c r="E1293" s="281"/>
      <c r="I1293" s="281"/>
      <c r="J1293" s="281"/>
      <c r="K1293" s="281"/>
      <c r="L1293" s="281"/>
      <c r="M1293" s="281"/>
    </row>
    <row r="1294" spans="4:13">
      <c r="D1294" s="325"/>
      <c r="E1294" s="281"/>
      <c r="I1294" s="281"/>
      <c r="J1294" s="281"/>
      <c r="K1294" s="281"/>
      <c r="L1294" s="281"/>
      <c r="M1294" s="281"/>
    </row>
    <row r="1295" spans="4:13">
      <c r="D1295" s="325"/>
      <c r="E1295" s="281"/>
      <c r="I1295" s="281"/>
      <c r="J1295" s="281"/>
      <c r="K1295" s="281"/>
      <c r="L1295" s="281"/>
      <c r="M1295" s="281"/>
    </row>
    <row r="1296" spans="4:13">
      <c r="D1296" s="325"/>
      <c r="E1296" s="281"/>
      <c r="I1296" s="281"/>
      <c r="J1296" s="281"/>
      <c r="K1296" s="281"/>
      <c r="L1296" s="281"/>
      <c r="M1296" s="281"/>
    </row>
    <row r="1297" spans="4:13">
      <c r="D1297" s="325"/>
      <c r="E1297" s="281"/>
      <c r="I1297" s="281"/>
      <c r="J1297" s="281"/>
      <c r="K1297" s="281"/>
      <c r="L1297" s="281"/>
      <c r="M1297" s="281"/>
    </row>
    <row r="1298" spans="4:13">
      <c r="D1298" s="325"/>
      <c r="E1298" s="281"/>
      <c r="I1298" s="281"/>
      <c r="J1298" s="281"/>
      <c r="K1298" s="281"/>
      <c r="L1298" s="281"/>
      <c r="M1298" s="281"/>
    </row>
    <row r="1299" spans="4:13">
      <c r="D1299" s="325"/>
      <c r="E1299" s="281"/>
      <c r="I1299" s="281"/>
      <c r="J1299" s="281"/>
      <c r="K1299" s="281"/>
      <c r="L1299" s="281"/>
      <c r="M1299" s="281"/>
    </row>
    <row r="1300" spans="4:13">
      <c r="D1300" s="325"/>
      <c r="E1300" s="281"/>
      <c r="I1300" s="281"/>
      <c r="J1300" s="281"/>
      <c r="K1300" s="281"/>
      <c r="L1300" s="281"/>
      <c r="M1300" s="281"/>
    </row>
    <row r="1301" spans="4:13">
      <c r="D1301" s="325"/>
      <c r="E1301" s="281"/>
      <c r="I1301" s="281"/>
      <c r="J1301" s="281"/>
      <c r="K1301" s="281"/>
      <c r="L1301" s="281"/>
      <c r="M1301" s="281"/>
    </row>
    <row r="1302" spans="4:13">
      <c r="D1302" s="325"/>
      <c r="E1302" s="281"/>
      <c r="I1302" s="281"/>
      <c r="J1302" s="281"/>
      <c r="K1302" s="281"/>
      <c r="L1302" s="281"/>
      <c r="M1302" s="281"/>
    </row>
    <row r="1303" spans="4:13">
      <c r="D1303" s="325"/>
      <c r="E1303" s="281"/>
      <c r="I1303" s="281"/>
      <c r="J1303" s="281"/>
      <c r="K1303" s="281"/>
      <c r="L1303" s="281"/>
      <c r="M1303" s="281"/>
    </row>
    <row r="1304" spans="4:13">
      <c r="D1304" s="325"/>
      <c r="E1304" s="281"/>
      <c r="I1304" s="281"/>
      <c r="J1304" s="281"/>
      <c r="K1304" s="281"/>
      <c r="L1304" s="281"/>
      <c r="M1304" s="281"/>
    </row>
    <row r="1305" spans="4:13">
      <c r="D1305" s="325"/>
      <c r="E1305" s="281"/>
      <c r="I1305" s="281"/>
      <c r="J1305" s="281"/>
      <c r="K1305" s="281"/>
      <c r="L1305" s="281"/>
      <c r="M1305" s="281"/>
    </row>
    <row r="1306" spans="4:13">
      <c r="D1306" s="325"/>
      <c r="E1306" s="281"/>
      <c r="I1306" s="281"/>
      <c r="J1306" s="281"/>
      <c r="K1306" s="281"/>
      <c r="L1306" s="281"/>
      <c r="M1306" s="281"/>
    </row>
    <row r="1307" spans="4:13">
      <c r="D1307" s="325"/>
      <c r="E1307" s="281"/>
      <c r="I1307" s="281"/>
      <c r="J1307" s="281"/>
      <c r="K1307" s="281"/>
      <c r="L1307" s="281"/>
      <c r="M1307" s="281"/>
    </row>
    <row r="1308" spans="4:13">
      <c r="D1308" s="325"/>
      <c r="E1308" s="281"/>
      <c r="I1308" s="281"/>
      <c r="J1308" s="281"/>
      <c r="K1308" s="281"/>
      <c r="L1308" s="281"/>
      <c r="M1308" s="281"/>
    </row>
    <row r="1309" spans="4:13">
      <c r="D1309" s="325"/>
      <c r="E1309" s="281"/>
      <c r="I1309" s="281"/>
      <c r="J1309" s="281"/>
      <c r="K1309" s="281"/>
      <c r="L1309" s="281"/>
      <c r="M1309" s="281"/>
    </row>
    <row r="1310" spans="4:13">
      <c r="D1310" s="325"/>
      <c r="E1310" s="281"/>
      <c r="I1310" s="281"/>
      <c r="J1310" s="281"/>
      <c r="K1310" s="281"/>
      <c r="L1310" s="281"/>
      <c r="M1310" s="281"/>
    </row>
    <row r="1311" spans="4:13">
      <c r="D1311" s="325"/>
      <c r="E1311" s="281"/>
      <c r="I1311" s="281"/>
      <c r="J1311" s="281"/>
      <c r="K1311" s="281"/>
      <c r="L1311" s="281"/>
      <c r="M1311" s="281"/>
    </row>
    <row r="1312" spans="4:13">
      <c r="D1312" s="325"/>
      <c r="E1312" s="281"/>
      <c r="I1312" s="281"/>
      <c r="J1312" s="281"/>
      <c r="K1312" s="281"/>
      <c r="L1312" s="281"/>
      <c r="M1312" s="281"/>
    </row>
    <row r="1313" spans="4:13">
      <c r="D1313" s="325"/>
      <c r="E1313" s="281"/>
      <c r="I1313" s="281"/>
      <c r="J1313" s="281"/>
      <c r="K1313" s="281"/>
      <c r="L1313" s="281"/>
      <c r="M1313" s="281"/>
    </row>
    <row r="1314" spans="4:13">
      <c r="D1314" s="325"/>
      <c r="E1314" s="281"/>
      <c r="I1314" s="281"/>
      <c r="J1314" s="281"/>
      <c r="K1314" s="281"/>
      <c r="L1314" s="281"/>
      <c r="M1314" s="281"/>
    </row>
    <row r="1315" spans="4:13">
      <c r="D1315" s="325"/>
      <c r="E1315" s="281"/>
      <c r="I1315" s="281"/>
      <c r="J1315" s="281"/>
      <c r="K1315" s="281"/>
      <c r="L1315" s="281"/>
      <c r="M1315" s="281"/>
    </row>
    <row r="1316" spans="4:13">
      <c r="D1316" s="325"/>
      <c r="E1316" s="281"/>
      <c r="I1316" s="281"/>
      <c r="J1316" s="281"/>
      <c r="K1316" s="281"/>
      <c r="L1316" s="281"/>
      <c r="M1316" s="281"/>
    </row>
    <row r="1317" spans="4:13">
      <c r="D1317" s="325"/>
      <c r="E1317" s="281"/>
      <c r="I1317" s="281"/>
      <c r="J1317" s="281"/>
      <c r="K1317" s="281"/>
      <c r="L1317" s="281"/>
      <c r="M1317" s="281"/>
    </row>
    <row r="1318" spans="4:13">
      <c r="D1318" s="325"/>
      <c r="E1318" s="281"/>
      <c r="I1318" s="281"/>
      <c r="J1318" s="281"/>
      <c r="K1318" s="281"/>
      <c r="L1318" s="281"/>
      <c r="M1318" s="281"/>
    </row>
    <row r="1319" spans="4:13">
      <c r="D1319" s="325"/>
      <c r="E1319" s="281"/>
      <c r="I1319" s="281"/>
      <c r="J1319" s="281"/>
      <c r="K1319" s="281"/>
      <c r="L1319" s="281"/>
      <c r="M1319" s="281"/>
    </row>
    <row r="1320" spans="4:13">
      <c r="D1320" s="325"/>
      <c r="E1320" s="281"/>
      <c r="I1320" s="281"/>
      <c r="J1320" s="281"/>
      <c r="K1320" s="281"/>
      <c r="L1320" s="281"/>
      <c r="M1320" s="281"/>
    </row>
    <row r="1321" spans="4:13">
      <c r="D1321" s="325"/>
      <c r="E1321" s="281"/>
      <c r="I1321" s="281"/>
      <c r="J1321" s="281"/>
      <c r="K1321" s="281"/>
      <c r="L1321" s="281"/>
      <c r="M1321" s="281"/>
    </row>
    <row r="1322" spans="4:13">
      <c r="D1322" s="325"/>
      <c r="E1322" s="281"/>
      <c r="I1322" s="281"/>
      <c r="J1322" s="281"/>
      <c r="K1322" s="281"/>
      <c r="L1322" s="281"/>
      <c r="M1322" s="281"/>
    </row>
    <row r="1323" spans="4:13">
      <c r="D1323" s="325"/>
      <c r="E1323" s="281"/>
      <c r="I1323" s="281"/>
      <c r="J1323" s="281"/>
      <c r="K1323" s="281"/>
      <c r="L1323" s="281"/>
      <c r="M1323" s="281"/>
    </row>
  </sheetData>
  <customSheetViews>
    <customSheetView guid="{C4D1F31B-990F-4A3F-96C3-627354A7675C}" filter="1" showAutoFilter="1">
      <autoFilter ref="N1:O1323" xr:uid="{74A41114-F246-4256-8149-4DA9CFA35559}"/>
    </customSheetView>
  </customSheetViews>
  <mergeCells count="66">
    <mergeCell ref="F422:F425"/>
    <mergeCell ref="G422:G425"/>
    <mergeCell ref="A348:A354"/>
    <mergeCell ref="A355:A371"/>
    <mergeCell ref="F401:G401"/>
    <mergeCell ref="F402:G402"/>
    <mergeCell ref="F409:G409"/>
    <mergeCell ref="E417:E419"/>
    <mergeCell ref="F417:F419"/>
    <mergeCell ref="E448:E449"/>
    <mergeCell ref="F448:F449"/>
    <mergeCell ref="G448:G449"/>
    <mergeCell ref="G417:G419"/>
    <mergeCell ref="H417:H450"/>
    <mergeCell ref="F427:F430"/>
    <mergeCell ref="G427:G430"/>
    <mergeCell ref="F431:F435"/>
    <mergeCell ref="G431:G435"/>
    <mergeCell ref="G441:G445"/>
    <mergeCell ref="F436:F440"/>
    <mergeCell ref="G436:G440"/>
    <mergeCell ref="E441:E445"/>
    <mergeCell ref="F441:F445"/>
    <mergeCell ref="E427:E430"/>
    <mergeCell ref="E422:E425"/>
    <mergeCell ref="U1:U2"/>
    <mergeCell ref="V1:V2"/>
    <mergeCell ref="W1:W2"/>
    <mergeCell ref="X1:X2"/>
    <mergeCell ref="H1:H2"/>
    <mergeCell ref="I1:M1"/>
    <mergeCell ref="P1:P2"/>
    <mergeCell ref="Q1:Q2"/>
    <mergeCell ref="R1:R2"/>
    <mergeCell ref="S1:S2"/>
    <mergeCell ref="T1:T2"/>
    <mergeCell ref="F1:F2"/>
    <mergeCell ref="G1:G2"/>
    <mergeCell ref="A3:A8"/>
    <mergeCell ref="A9:A16"/>
    <mergeCell ref="A17:A18"/>
    <mergeCell ref="A1:A2"/>
    <mergeCell ref="B1:B2"/>
    <mergeCell ref="C1:C2"/>
    <mergeCell ref="D1:D2"/>
    <mergeCell ref="E1:E2"/>
    <mergeCell ref="A19:A30"/>
    <mergeCell ref="A31:A39"/>
    <mergeCell ref="A41:A58"/>
    <mergeCell ref="A59:A67"/>
    <mergeCell ref="A68:A69"/>
    <mergeCell ref="A70:A186"/>
    <mergeCell ref="A187:A227"/>
    <mergeCell ref="A228:A232"/>
    <mergeCell ref="A233:A236"/>
    <mergeCell ref="A237:A239"/>
    <mergeCell ref="A240:A243"/>
    <mergeCell ref="A244:A287"/>
    <mergeCell ref="A288:A294"/>
    <mergeCell ref="A295:A319"/>
    <mergeCell ref="A320:A323"/>
    <mergeCell ref="A324:A329"/>
    <mergeCell ref="A331:A337"/>
    <mergeCell ref="A339:A347"/>
    <mergeCell ref="E431:E435"/>
    <mergeCell ref="E436:E440"/>
  </mergeCells>
  <conditionalFormatting sqref="N1:O1323">
    <cfRule type="notContainsBlanks" dxfId="0" priority="1">
      <formula>LEN(TRIM(N1))&gt;0</formula>
    </cfRule>
  </conditionalFormatting>
  <pageMargins left="0" right="0" top="0" bottom="0" header="0" footer="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AA2051"/>
  <sheetViews>
    <sheetView workbookViewId="0">
      <pane xSplit="4" ySplit="2" topLeftCell="E3" activePane="bottomRight" state="frozen"/>
      <selection pane="bottomRight" activeCell="E3" sqref="E3"/>
      <selection pane="bottomLeft" activeCell="A3" sqref="A3"/>
      <selection pane="topRight" activeCell="E1" sqref="E1"/>
    </sheetView>
  </sheetViews>
  <sheetFormatPr defaultColWidth="12.5703125" defaultRowHeight="15.75" customHeight="1"/>
  <cols>
    <col min="2" max="2" width="58.28515625" customWidth="1"/>
    <col min="4" max="4" width="82.5703125" customWidth="1"/>
    <col min="6" max="6" width="20.85546875" customWidth="1"/>
    <col min="7" max="7" width="40.5703125" customWidth="1"/>
    <col min="8" max="8" width="64.85546875" customWidth="1"/>
    <col min="9" max="9" width="22.42578125" customWidth="1"/>
    <col min="18" max="18" width="34.5703125" customWidth="1"/>
    <col min="19" max="19" width="17.42578125" customWidth="1"/>
    <col min="20" max="20" width="59.42578125" customWidth="1"/>
    <col min="21" max="21" width="12.140625" customWidth="1"/>
    <col min="26" max="26" width="14.140625" customWidth="1"/>
  </cols>
  <sheetData>
    <row r="1" spans="1:27">
      <c r="A1" s="745" t="s">
        <v>9195</v>
      </c>
      <c r="B1" s="745" t="s">
        <v>1709</v>
      </c>
      <c r="C1" s="745" t="s">
        <v>1708</v>
      </c>
      <c r="D1" s="745" t="s">
        <v>1710</v>
      </c>
      <c r="E1" s="745" t="s">
        <v>1711</v>
      </c>
      <c r="F1" s="745" t="s">
        <v>1712</v>
      </c>
      <c r="G1" s="746" t="s">
        <v>9196</v>
      </c>
      <c r="H1" s="745" t="s">
        <v>3697</v>
      </c>
      <c r="I1" s="745" t="s">
        <v>1714</v>
      </c>
      <c r="J1" s="750" t="s">
        <v>1715</v>
      </c>
      <c r="K1" s="781"/>
      <c r="L1" s="781"/>
      <c r="M1" s="781"/>
      <c r="N1" s="781"/>
      <c r="O1" s="782"/>
      <c r="P1" s="353"/>
      <c r="Q1" s="353"/>
      <c r="R1" s="745" t="s">
        <v>1716</v>
      </c>
      <c r="S1" s="745" t="s">
        <v>1717</v>
      </c>
      <c r="T1" s="748" t="s">
        <v>1718</v>
      </c>
      <c r="U1" s="748" t="s">
        <v>1719</v>
      </c>
      <c r="V1" s="748" t="s">
        <v>1720</v>
      </c>
      <c r="W1" s="749" t="s">
        <v>1721</v>
      </c>
      <c r="X1" s="251"/>
      <c r="Y1" s="702" t="s">
        <v>1722</v>
      </c>
      <c r="Z1" s="701" t="s">
        <v>1723</v>
      </c>
      <c r="AA1" s="702" t="s">
        <v>1724</v>
      </c>
    </row>
    <row r="2" spans="1:27">
      <c r="A2" s="783"/>
      <c r="B2" s="783"/>
      <c r="C2" s="783"/>
      <c r="D2" s="783"/>
      <c r="E2" s="783"/>
      <c r="F2" s="783"/>
      <c r="G2" s="783"/>
      <c r="H2" s="783"/>
      <c r="I2" s="783"/>
      <c r="J2" s="354" t="s">
        <v>4791</v>
      </c>
      <c r="K2" s="355" t="s">
        <v>9197</v>
      </c>
      <c r="L2" s="355" t="s">
        <v>9198</v>
      </c>
      <c r="M2" s="355" t="s">
        <v>9199</v>
      </c>
      <c r="N2" s="355" t="s">
        <v>9200</v>
      </c>
      <c r="O2" s="355" t="s">
        <v>4792</v>
      </c>
      <c r="P2" s="355" t="s">
        <v>1726</v>
      </c>
      <c r="Q2" s="355" t="s">
        <v>1727</v>
      </c>
      <c r="R2" s="783"/>
      <c r="S2" s="783"/>
      <c r="T2" s="773"/>
      <c r="U2" s="773"/>
      <c r="V2" s="773"/>
      <c r="W2" s="773"/>
      <c r="X2" s="251"/>
      <c r="Y2" s="773"/>
      <c r="Z2" s="773"/>
      <c r="AA2" s="773"/>
    </row>
    <row r="3" spans="1:27">
      <c r="A3" s="731" t="s">
        <v>9201</v>
      </c>
      <c r="B3" s="747" t="s">
        <v>9202</v>
      </c>
      <c r="C3" s="357" t="s">
        <v>9203</v>
      </c>
      <c r="D3" s="357" t="s">
        <v>9204</v>
      </c>
      <c r="E3" s="357" t="s">
        <v>1732</v>
      </c>
      <c r="F3" s="357" t="s">
        <v>9205</v>
      </c>
      <c r="G3" s="357"/>
      <c r="H3" s="357"/>
      <c r="I3" s="357" t="s">
        <v>9206</v>
      </c>
      <c r="J3" s="357" t="s">
        <v>1736</v>
      </c>
      <c r="K3" s="357" t="s">
        <v>1736</v>
      </c>
      <c r="L3" s="357"/>
      <c r="M3" s="357" t="s">
        <v>1736</v>
      </c>
      <c r="N3" s="357" t="s">
        <v>1736</v>
      </c>
      <c r="O3" s="357" t="s">
        <v>1736</v>
      </c>
      <c r="P3" s="357"/>
      <c r="Q3" s="358" t="s">
        <v>9207</v>
      </c>
      <c r="R3" s="357" t="s">
        <v>9208</v>
      </c>
      <c r="S3" s="357"/>
      <c r="T3" s="359" t="s">
        <v>9209</v>
      </c>
      <c r="U3" s="359"/>
      <c r="V3" s="359"/>
      <c r="W3" s="359"/>
      <c r="X3" s="359"/>
      <c r="Y3" s="359"/>
      <c r="Z3" s="360">
        <v>44789</v>
      </c>
      <c r="AA3" s="359" t="s">
        <v>254</v>
      </c>
    </row>
    <row r="4" spans="1:27">
      <c r="A4" s="769"/>
      <c r="B4" s="769"/>
      <c r="C4" s="361" t="s">
        <v>9210</v>
      </c>
      <c r="D4" s="361" t="s">
        <v>9211</v>
      </c>
      <c r="E4" s="361" t="s">
        <v>1732</v>
      </c>
      <c r="F4" s="361" t="s">
        <v>9205</v>
      </c>
      <c r="G4" s="361"/>
      <c r="H4" s="361"/>
      <c r="I4" s="361" t="s">
        <v>9212</v>
      </c>
      <c r="J4" s="361" t="s">
        <v>1736</v>
      </c>
      <c r="K4" s="361" t="s">
        <v>1736</v>
      </c>
      <c r="L4" s="361"/>
      <c r="M4" s="361" t="s">
        <v>1736</v>
      </c>
      <c r="N4" s="361" t="s">
        <v>1736</v>
      </c>
      <c r="O4" s="361" t="s">
        <v>1736</v>
      </c>
      <c r="P4" s="361"/>
      <c r="Q4" s="361" t="s">
        <v>9213</v>
      </c>
      <c r="R4" s="361" t="s">
        <v>9214</v>
      </c>
      <c r="S4" s="361"/>
      <c r="T4" s="359"/>
      <c r="U4" s="359"/>
      <c r="V4" s="359"/>
      <c r="W4" s="359"/>
      <c r="X4" s="359"/>
      <c r="Y4" s="359"/>
      <c r="Z4" s="359"/>
      <c r="AA4" s="359"/>
    </row>
    <row r="5" spans="1:27">
      <c r="A5" s="769"/>
      <c r="B5" s="769"/>
      <c r="C5" s="357" t="s">
        <v>9215</v>
      </c>
      <c r="D5" s="357" t="s">
        <v>9216</v>
      </c>
      <c r="E5" s="357" t="s">
        <v>1743</v>
      </c>
      <c r="F5" s="357" t="s">
        <v>9205</v>
      </c>
      <c r="G5" s="357"/>
      <c r="H5" s="357"/>
      <c r="I5" s="357" t="s">
        <v>9217</v>
      </c>
      <c r="J5" s="357" t="s">
        <v>1736</v>
      </c>
      <c r="K5" s="357" t="s">
        <v>1736</v>
      </c>
      <c r="L5" s="357"/>
      <c r="M5" s="357" t="s">
        <v>1736</v>
      </c>
      <c r="N5" s="357" t="s">
        <v>1736</v>
      </c>
      <c r="O5" s="357"/>
      <c r="P5" s="357"/>
      <c r="Q5" s="358" t="s">
        <v>9207</v>
      </c>
      <c r="R5" s="357" t="s">
        <v>9208</v>
      </c>
      <c r="S5" s="357"/>
      <c r="T5" s="359" t="s">
        <v>9218</v>
      </c>
      <c r="U5" s="359"/>
      <c r="V5" s="359"/>
      <c r="W5" s="359"/>
      <c r="X5" s="359"/>
      <c r="Y5" s="359"/>
      <c r="Z5" s="360">
        <v>44789</v>
      </c>
      <c r="AA5" s="359" t="s">
        <v>254</v>
      </c>
    </row>
    <row r="6" spans="1:27">
      <c r="A6" s="769"/>
      <c r="B6" s="769"/>
      <c r="C6" s="361" t="s">
        <v>9219</v>
      </c>
      <c r="D6" s="361" t="s">
        <v>9220</v>
      </c>
      <c r="E6" s="361" t="s">
        <v>1743</v>
      </c>
      <c r="F6" s="361" t="s">
        <v>9205</v>
      </c>
      <c r="G6" s="361"/>
      <c r="H6" s="361"/>
      <c r="I6" s="361" t="s">
        <v>9220</v>
      </c>
      <c r="J6" s="361" t="s">
        <v>1736</v>
      </c>
      <c r="K6" s="361" t="s">
        <v>1736</v>
      </c>
      <c r="L6" s="361"/>
      <c r="M6" s="361" t="s">
        <v>1736</v>
      </c>
      <c r="N6" s="361" t="s">
        <v>1736</v>
      </c>
      <c r="O6" s="361"/>
      <c r="P6" s="361"/>
      <c r="Q6" s="358" t="s">
        <v>9207</v>
      </c>
      <c r="R6" s="361" t="s">
        <v>9208</v>
      </c>
      <c r="S6" s="361"/>
      <c r="T6" s="359" t="s">
        <v>9221</v>
      </c>
      <c r="U6" s="359"/>
      <c r="V6" s="359"/>
      <c r="W6" s="359"/>
      <c r="X6" s="359"/>
      <c r="Y6" s="359"/>
      <c r="Z6" s="360">
        <v>44789</v>
      </c>
      <c r="AA6" s="359" t="s">
        <v>254</v>
      </c>
    </row>
    <row r="7" spans="1:27">
      <c r="A7" s="769"/>
      <c r="B7" s="769"/>
      <c r="C7" s="357" t="s">
        <v>9222</v>
      </c>
      <c r="D7" s="357" t="s">
        <v>9223</v>
      </c>
      <c r="E7" s="357" t="s">
        <v>1743</v>
      </c>
      <c r="F7" s="357" t="s">
        <v>9205</v>
      </c>
      <c r="G7" s="357"/>
      <c r="H7" s="357"/>
      <c r="I7" s="357" t="s">
        <v>9223</v>
      </c>
      <c r="J7" s="357" t="s">
        <v>1736</v>
      </c>
      <c r="K7" s="357" t="s">
        <v>1736</v>
      </c>
      <c r="L7" s="357"/>
      <c r="M7" s="357" t="s">
        <v>1736</v>
      </c>
      <c r="N7" s="357" t="s">
        <v>1736</v>
      </c>
      <c r="O7" s="357"/>
      <c r="P7" s="357"/>
      <c r="Q7" s="358" t="s">
        <v>9207</v>
      </c>
      <c r="R7" s="357" t="s">
        <v>9208</v>
      </c>
      <c r="S7" s="357"/>
      <c r="T7" s="359"/>
      <c r="U7" s="359"/>
      <c r="V7" s="359"/>
      <c r="W7" s="359"/>
      <c r="X7" s="359"/>
      <c r="Y7" s="359"/>
      <c r="Z7" s="360">
        <v>44789</v>
      </c>
      <c r="AA7" s="359" t="s">
        <v>254</v>
      </c>
    </row>
    <row r="8" spans="1:27">
      <c r="A8" s="730" t="s">
        <v>9224</v>
      </c>
      <c r="B8" s="730" t="s">
        <v>9225</v>
      </c>
      <c r="C8" s="361" t="s">
        <v>9226</v>
      </c>
      <c r="D8" s="361" t="s">
        <v>9227</v>
      </c>
      <c r="E8" s="361" t="s">
        <v>1732</v>
      </c>
      <c r="F8" s="361" t="s">
        <v>9205</v>
      </c>
      <c r="G8" s="363"/>
      <c r="H8" s="363" t="s">
        <v>9228</v>
      </c>
      <c r="I8" s="361"/>
      <c r="J8" s="361" t="s">
        <v>1736</v>
      </c>
      <c r="K8" s="361" t="s">
        <v>1736</v>
      </c>
      <c r="L8" s="361"/>
      <c r="M8" s="361"/>
      <c r="N8" s="361"/>
      <c r="O8" s="361" t="s">
        <v>1736</v>
      </c>
      <c r="P8" s="361"/>
      <c r="Q8" s="361" t="s">
        <v>9213</v>
      </c>
      <c r="R8" s="361"/>
      <c r="S8" s="361"/>
      <c r="T8" s="359"/>
      <c r="U8" s="359"/>
      <c r="V8" s="359"/>
      <c r="W8" s="359"/>
      <c r="X8" s="359"/>
      <c r="Y8" s="359"/>
      <c r="Z8" s="364"/>
      <c r="AA8" s="359"/>
    </row>
    <row r="9" spans="1:27">
      <c r="A9" s="769"/>
      <c r="B9" s="769"/>
      <c r="C9" s="357" t="s">
        <v>9229</v>
      </c>
      <c r="D9" s="357" t="s">
        <v>9230</v>
      </c>
      <c r="E9" s="357" t="s">
        <v>1732</v>
      </c>
      <c r="F9" s="357" t="s">
        <v>9205</v>
      </c>
      <c r="G9" s="357"/>
      <c r="H9" s="357"/>
      <c r="I9" s="357"/>
      <c r="J9" s="357" t="s">
        <v>1736</v>
      </c>
      <c r="K9" s="357" t="s">
        <v>1736</v>
      </c>
      <c r="L9" s="357"/>
      <c r="M9" s="357"/>
      <c r="N9" s="357"/>
      <c r="O9" s="357" t="s">
        <v>1736</v>
      </c>
      <c r="P9" s="357"/>
      <c r="Q9" s="358" t="s">
        <v>9207</v>
      </c>
      <c r="R9" s="357"/>
      <c r="S9" s="357"/>
      <c r="T9" s="359" t="s">
        <v>9231</v>
      </c>
      <c r="U9" s="359"/>
      <c r="V9" s="359"/>
      <c r="W9" s="359"/>
      <c r="X9" s="359"/>
      <c r="Y9" s="359"/>
      <c r="Z9" s="364">
        <v>44824</v>
      </c>
      <c r="AA9" s="359" t="s">
        <v>254</v>
      </c>
    </row>
    <row r="10" spans="1:27">
      <c r="A10" s="769"/>
      <c r="B10" s="769"/>
      <c r="C10" s="361" t="s">
        <v>9232</v>
      </c>
      <c r="D10" s="361" t="s">
        <v>9233</v>
      </c>
      <c r="E10" s="361" t="s">
        <v>1743</v>
      </c>
      <c r="F10" s="361" t="s">
        <v>9205</v>
      </c>
      <c r="G10" s="361"/>
      <c r="H10" s="361"/>
      <c r="I10" s="361"/>
      <c r="J10" s="361" t="s">
        <v>1736</v>
      </c>
      <c r="K10" s="361" t="s">
        <v>1736</v>
      </c>
      <c r="L10" s="361"/>
      <c r="M10" s="361"/>
      <c r="N10" s="361"/>
      <c r="O10" s="361" t="s">
        <v>1736</v>
      </c>
      <c r="P10" s="361"/>
      <c r="Q10" s="361" t="s">
        <v>9213</v>
      </c>
      <c r="R10" s="361"/>
      <c r="S10" s="361"/>
      <c r="T10" s="359"/>
      <c r="U10" s="359"/>
      <c r="V10" s="359"/>
      <c r="W10" s="359"/>
      <c r="X10" s="359"/>
      <c r="Y10" s="359"/>
      <c r="Z10" s="364"/>
      <c r="AA10" s="359"/>
    </row>
    <row r="11" spans="1:27">
      <c r="A11" s="769"/>
      <c r="B11" s="769"/>
      <c r="C11" s="357" t="s">
        <v>9234</v>
      </c>
      <c r="D11" s="357" t="s">
        <v>9235</v>
      </c>
      <c r="E11" s="357" t="s">
        <v>1732</v>
      </c>
      <c r="F11" s="357" t="s">
        <v>9205</v>
      </c>
      <c r="G11" s="365"/>
      <c r="H11" s="365" t="s">
        <v>9236</v>
      </c>
      <c r="I11" s="357"/>
      <c r="J11" s="357" t="s">
        <v>1736</v>
      </c>
      <c r="K11" s="357" t="s">
        <v>1736</v>
      </c>
      <c r="L11" s="357"/>
      <c r="M11" s="357"/>
      <c r="N11" s="357"/>
      <c r="O11" s="357"/>
      <c r="P11" s="357"/>
      <c r="Q11" s="357" t="s">
        <v>9213</v>
      </c>
      <c r="R11" s="357"/>
      <c r="S11" s="357"/>
      <c r="T11" s="359"/>
      <c r="U11" s="359"/>
      <c r="V11" s="359"/>
      <c r="W11" s="359"/>
      <c r="X11" s="359"/>
      <c r="Y11" s="359"/>
      <c r="Z11" s="364"/>
      <c r="AA11" s="359"/>
    </row>
    <row r="12" spans="1:27">
      <c r="A12" s="769"/>
      <c r="B12" s="769"/>
      <c r="C12" s="361" t="s">
        <v>9237</v>
      </c>
      <c r="D12" s="361" t="s">
        <v>9238</v>
      </c>
      <c r="E12" s="361" t="s">
        <v>1732</v>
      </c>
      <c r="F12" s="361" t="s">
        <v>9205</v>
      </c>
      <c r="G12" s="361"/>
      <c r="H12" s="361"/>
      <c r="I12" s="361"/>
      <c r="J12" s="361" t="s">
        <v>1736</v>
      </c>
      <c r="K12" s="361" t="s">
        <v>1736</v>
      </c>
      <c r="L12" s="361"/>
      <c r="M12" s="361"/>
      <c r="N12" s="361"/>
      <c r="O12" s="361"/>
      <c r="P12" s="361"/>
      <c r="Q12" s="358" t="s">
        <v>9207</v>
      </c>
      <c r="R12" s="361"/>
      <c r="S12" s="361"/>
      <c r="T12" s="359" t="s">
        <v>9239</v>
      </c>
      <c r="U12" s="359"/>
      <c r="V12" s="359"/>
      <c r="W12" s="359"/>
      <c r="X12" s="359"/>
      <c r="Y12" s="359"/>
      <c r="Z12" s="364">
        <v>44824</v>
      </c>
      <c r="AA12" s="359" t="s">
        <v>254</v>
      </c>
    </row>
    <row r="13" spans="1:27">
      <c r="A13" s="769"/>
      <c r="B13" s="769"/>
      <c r="C13" s="357" t="s">
        <v>9240</v>
      </c>
      <c r="D13" s="357" t="s">
        <v>9241</v>
      </c>
      <c r="E13" s="357" t="s">
        <v>1743</v>
      </c>
      <c r="F13" s="357" t="s">
        <v>9205</v>
      </c>
      <c r="G13" s="357"/>
      <c r="H13" s="357"/>
      <c r="I13" s="357"/>
      <c r="J13" s="357" t="s">
        <v>1736</v>
      </c>
      <c r="K13" s="357" t="s">
        <v>1736</v>
      </c>
      <c r="L13" s="357"/>
      <c r="M13" s="357"/>
      <c r="N13" s="357"/>
      <c r="O13" s="357"/>
      <c r="P13" s="357"/>
      <c r="Q13" s="357" t="s">
        <v>9213</v>
      </c>
      <c r="R13" s="357"/>
      <c r="S13" s="357"/>
      <c r="T13" s="359"/>
      <c r="U13" s="359"/>
      <c r="V13" s="359"/>
      <c r="W13" s="359"/>
      <c r="X13" s="359"/>
      <c r="Y13" s="359"/>
      <c r="Z13" s="364"/>
      <c r="AA13" s="359"/>
    </row>
    <row r="14" spans="1:27">
      <c r="A14" s="361" t="s">
        <v>9242</v>
      </c>
      <c r="B14" s="361" t="s">
        <v>9243</v>
      </c>
      <c r="C14" s="361" t="s">
        <v>9244</v>
      </c>
      <c r="D14" s="361" t="s">
        <v>9245</v>
      </c>
      <c r="E14" s="361" t="s">
        <v>1732</v>
      </c>
      <c r="F14" s="361" t="s">
        <v>9205</v>
      </c>
      <c r="G14" s="361"/>
      <c r="H14" s="361"/>
      <c r="I14" s="361" t="s">
        <v>9246</v>
      </c>
      <c r="J14" s="361" t="s">
        <v>1736</v>
      </c>
      <c r="K14" s="361" t="s">
        <v>1736</v>
      </c>
      <c r="L14" s="361"/>
      <c r="M14" s="361"/>
      <c r="N14" s="361"/>
      <c r="O14" s="361" t="s">
        <v>1736</v>
      </c>
      <c r="P14" s="361"/>
      <c r="Q14" s="358" t="s">
        <v>9207</v>
      </c>
      <c r="R14" s="361"/>
      <c r="S14" s="361"/>
      <c r="T14" s="359" t="s">
        <v>9247</v>
      </c>
      <c r="U14" s="359"/>
      <c r="V14" s="359"/>
      <c r="W14" s="359"/>
      <c r="X14" s="359"/>
      <c r="Y14" s="359"/>
      <c r="Z14" s="364">
        <v>44816</v>
      </c>
      <c r="AA14" s="359" t="s">
        <v>254</v>
      </c>
    </row>
    <row r="15" spans="1:27">
      <c r="A15" s="731" t="s">
        <v>9248</v>
      </c>
      <c r="B15" s="731" t="s">
        <v>9249</v>
      </c>
      <c r="C15" s="357" t="s">
        <v>9250</v>
      </c>
      <c r="D15" s="357" t="s">
        <v>9251</v>
      </c>
      <c r="E15" s="357" t="s">
        <v>1732</v>
      </c>
      <c r="F15" s="357" t="s">
        <v>9205</v>
      </c>
      <c r="G15" s="357"/>
      <c r="H15" s="357"/>
      <c r="I15" s="357" t="s">
        <v>9246</v>
      </c>
      <c r="J15" s="357" t="s">
        <v>1736</v>
      </c>
      <c r="K15" s="357" t="s">
        <v>1736</v>
      </c>
      <c r="L15" s="357" t="s">
        <v>1736</v>
      </c>
      <c r="M15" s="357"/>
      <c r="N15" s="357" t="s">
        <v>1736</v>
      </c>
      <c r="O15" s="357" t="s">
        <v>1736</v>
      </c>
      <c r="P15" s="357"/>
      <c r="Q15" s="358" t="s">
        <v>9207</v>
      </c>
      <c r="R15" s="357" t="s">
        <v>9252</v>
      </c>
      <c r="S15" s="357"/>
      <c r="T15" s="359" t="s">
        <v>9253</v>
      </c>
      <c r="U15" s="359"/>
      <c r="V15" s="359"/>
      <c r="W15" s="359"/>
      <c r="X15" s="359"/>
      <c r="Y15" s="359"/>
      <c r="Z15" s="364">
        <v>44819</v>
      </c>
      <c r="AA15" s="359" t="s">
        <v>254</v>
      </c>
    </row>
    <row r="16" spans="1:27">
      <c r="A16" s="769"/>
      <c r="B16" s="769"/>
      <c r="C16" s="361" t="s">
        <v>9254</v>
      </c>
      <c r="D16" s="361" t="s">
        <v>9255</v>
      </c>
      <c r="E16" s="361" t="s">
        <v>1732</v>
      </c>
      <c r="F16" s="361" t="s">
        <v>9205</v>
      </c>
      <c r="G16" s="361"/>
      <c r="H16" s="361"/>
      <c r="I16" s="361" t="s">
        <v>9246</v>
      </c>
      <c r="J16" s="361" t="s">
        <v>1736</v>
      </c>
      <c r="K16" s="361" t="s">
        <v>1736</v>
      </c>
      <c r="L16" s="361" t="s">
        <v>1736</v>
      </c>
      <c r="M16" s="361"/>
      <c r="N16" s="361" t="s">
        <v>1736</v>
      </c>
      <c r="O16" s="361" t="s">
        <v>1736</v>
      </c>
      <c r="P16" s="361"/>
      <c r="Q16" s="358" t="s">
        <v>9207</v>
      </c>
      <c r="R16" s="361" t="s">
        <v>9252</v>
      </c>
      <c r="S16" s="361"/>
      <c r="T16" s="359" t="s">
        <v>9256</v>
      </c>
      <c r="U16" s="359"/>
      <c r="V16" s="359"/>
      <c r="W16" s="359"/>
      <c r="X16" s="359"/>
      <c r="Y16" s="359"/>
      <c r="Z16" s="364">
        <v>44819</v>
      </c>
      <c r="AA16" s="359" t="s">
        <v>254</v>
      </c>
    </row>
    <row r="17" spans="1:27">
      <c r="A17" s="769"/>
      <c r="B17" s="769"/>
      <c r="C17" s="357" t="s">
        <v>9257</v>
      </c>
      <c r="D17" s="357" t="s">
        <v>9258</v>
      </c>
      <c r="E17" s="357" t="s">
        <v>1732</v>
      </c>
      <c r="F17" s="357" t="s">
        <v>9205</v>
      </c>
      <c r="G17" s="357"/>
      <c r="H17" s="357"/>
      <c r="I17" s="357" t="s">
        <v>9246</v>
      </c>
      <c r="J17" s="357" t="s">
        <v>1736</v>
      </c>
      <c r="K17" s="357" t="s">
        <v>1736</v>
      </c>
      <c r="L17" s="357" t="s">
        <v>1736</v>
      </c>
      <c r="M17" s="357"/>
      <c r="N17" s="357" t="s">
        <v>1736</v>
      </c>
      <c r="O17" s="357" t="s">
        <v>1736</v>
      </c>
      <c r="P17" s="357"/>
      <c r="Q17" s="358" t="s">
        <v>9207</v>
      </c>
      <c r="R17" s="357" t="s">
        <v>9252</v>
      </c>
      <c r="S17" s="357"/>
      <c r="T17" s="359" t="s">
        <v>9259</v>
      </c>
      <c r="U17" s="359"/>
      <c r="V17" s="359"/>
      <c r="W17" s="359"/>
      <c r="X17" s="359"/>
      <c r="Y17" s="359"/>
      <c r="Z17" s="364">
        <v>44819</v>
      </c>
      <c r="AA17" s="359" t="s">
        <v>254</v>
      </c>
    </row>
    <row r="18" spans="1:27">
      <c r="A18" s="769"/>
      <c r="B18" s="769"/>
      <c r="C18" s="361" t="s">
        <v>9260</v>
      </c>
      <c r="D18" s="361" t="s">
        <v>9261</v>
      </c>
      <c r="E18" s="361" t="s">
        <v>1732</v>
      </c>
      <c r="F18" s="361" t="s">
        <v>9205</v>
      </c>
      <c r="G18" s="361"/>
      <c r="H18" s="361"/>
      <c r="I18" s="361" t="s">
        <v>9246</v>
      </c>
      <c r="J18" s="361" t="s">
        <v>1736</v>
      </c>
      <c r="K18" s="361" t="s">
        <v>1736</v>
      </c>
      <c r="L18" s="361" t="s">
        <v>1736</v>
      </c>
      <c r="M18" s="361"/>
      <c r="N18" s="361" t="s">
        <v>1736</v>
      </c>
      <c r="O18" s="361" t="s">
        <v>1736</v>
      </c>
      <c r="P18" s="361"/>
      <c r="Q18" s="358" t="s">
        <v>9207</v>
      </c>
      <c r="R18" s="361" t="s">
        <v>9252</v>
      </c>
      <c r="S18" s="361"/>
      <c r="T18" s="359" t="s">
        <v>9262</v>
      </c>
      <c r="U18" s="359"/>
      <c r="V18" s="359"/>
      <c r="W18" s="359"/>
      <c r="X18" s="359"/>
      <c r="Y18" s="359"/>
      <c r="Z18" s="364">
        <v>44819</v>
      </c>
      <c r="AA18" s="359" t="s">
        <v>254</v>
      </c>
    </row>
    <row r="19" spans="1:27">
      <c r="A19" s="769"/>
      <c r="B19" s="769"/>
      <c r="C19" s="357" t="s">
        <v>9263</v>
      </c>
      <c r="D19" s="357" t="s">
        <v>9264</v>
      </c>
      <c r="E19" s="357" t="s">
        <v>1732</v>
      </c>
      <c r="F19" s="357" t="s">
        <v>9205</v>
      </c>
      <c r="G19" s="357"/>
      <c r="H19" s="357"/>
      <c r="I19" s="357" t="s">
        <v>9246</v>
      </c>
      <c r="J19" s="357" t="s">
        <v>1736</v>
      </c>
      <c r="K19" s="357" t="s">
        <v>1736</v>
      </c>
      <c r="L19" s="357" t="s">
        <v>1736</v>
      </c>
      <c r="M19" s="357"/>
      <c r="N19" s="357" t="s">
        <v>1736</v>
      </c>
      <c r="O19" s="357" t="s">
        <v>1736</v>
      </c>
      <c r="P19" s="357"/>
      <c r="Q19" s="358" t="s">
        <v>9207</v>
      </c>
      <c r="R19" s="357" t="s">
        <v>9252</v>
      </c>
      <c r="S19" s="357"/>
      <c r="T19" s="359" t="s">
        <v>9265</v>
      </c>
      <c r="U19" s="359"/>
      <c r="V19" s="359"/>
      <c r="W19" s="359"/>
      <c r="X19" s="359"/>
      <c r="Y19" s="359"/>
      <c r="Z19" s="364">
        <v>44819</v>
      </c>
      <c r="AA19" s="359" t="s">
        <v>254</v>
      </c>
    </row>
    <row r="20" spans="1:27">
      <c r="A20" s="730" t="s">
        <v>9266</v>
      </c>
      <c r="B20" s="730" t="s">
        <v>9267</v>
      </c>
      <c r="C20" s="361" t="s">
        <v>9268</v>
      </c>
      <c r="D20" s="361" t="s">
        <v>9269</v>
      </c>
      <c r="E20" s="361" t="s">
        <v>1732</v>
      </c>
      <c r="F20" s="361" t="s">
        <v>9205</v>
      </c>
      <c r="G20" s="361"/>
      <c r="H20" s="361"/>
      <c r="I20" s="361"/>
      <c r="J20" s="361" t="s">
        <v>1736</v>
      </c>
      <c r="K20" s="361" t="s">
        <v>1736</v>
      </c>
      <c r="L20" s="361" t="s">
        <v>1736</v>
      </c>
      <c r="M20" s="361"/>
      <c r="N20" s="361"/>
      <c r="O20" s="361"/>
      <c r="P20" s="361"/>
      <c r="Q20" s="358" t="s">
        <v>9207</v>
      </c>
      <c r="R20" s="361" t="s">
        <v>9270</v>
      </c>
      <c r="S20" s="361"/>
      <c r="T20" s="359" t="s">
        <v>9271</v>
      </c>
      <c r="U20" s="359"/>
      <c r="V20" s="359"/>
      <c r="W20" s="359"/>
      <c r="X20" s="359"/>
      <c r="Y20" s="359"/>
      <c r="Z20" s="364">
        <v>44819</v>
      </c>
      <c r="AA20" s="359" t="s">
        <v>254</v>
      </c>
    </row>
    <row r="21" spans="1:27">
      <c r="A21" s="769"/>
      <c r="B21" s="769"/>
      <c r="C21" s="357" t="s">
        <v>9272</v>
      </c>
      <c r="D21" s="357" t="s">
        <v>9269</v>
      </c>
      <c r="E21" s="357" t="s">
        <v>1743</v>
      </c>
      <c r="F21" s="357" t="s">
        <v>9205</v>
      </c>
      <c r="G21" s="357"/>
      <c r="H21" s="357"/>
      <c r="I21" s="357"/>
      <c r="J21" s="357" t="s">
        <v>1736</v>
      </c>
      <c r="K21" s="357" t="s">
        <v>1736</v>
      </c>
      <c r="L21" s="357" t="s">
        <v>1736</v>
      </c>
      <c r="M21" s="357"/>
      <c r="N21" s="357"/>
      <c r="O21" s="357"/>
      <c r="P21" s="357"/>
      <c r="Q21" s="358" t="s">
        <v>9207</v>
      </c>
      <c r="R21" s="357" t="s">
        <v>9270</v>
      </c>
      <c r="S21" s="357"/>
      <c r="T21" s="359" t="s">
        <v>9273</v>
      </c>
      <c r="U21" s="359"/>
      <c r="V21" s="359"/>
      <c r="W21" s="359"/>
      <c r="X21" s="359"/>
      <c r="Y21" s="359"/>
      <c r="Z21" s="364">
        <v>44819</v>
      </c>
      <c r="AA21" s="359" t="s">
        <v>254</v>
      </c>
    </row>
    <row r="22" spans="1:27">
      <c r="A22" s="769"/>
      <c r="B22" s="769"/>
      <c r="C22" s="361" t="s">
        <v>9274</v>
      </c>
      <c r="D22" s="361" t="s">
        <v>9275</v>
      </c>
      <c r="E22" s="361" t="s">
        <v>1732</v>
      </c>
      <c r="F22" s="361" t="s">
        <v>9205</v>
      </c>
      <c r="G22" s="361"/>
      <c r="H22" s="361"/>
      <c r="I22" s="361"/>
      <c r="J22" s="361" t="s">
        <v>1736</v>
      </c>
      <c r="K22" s="361" t="s">
        <v>1736</v>
      </c>
      <c r="L22" s="361" t="s">
        <v>1736</v>
      </c>
      <c r="M22" s="361"/>
      <c r="N22" s="361"/>
      <c r="O22" s="361"/>
      <c r="P22" s="361"/>
      <c r="Q22" s="358" t="s">
        <v>9207</v>
      </c>
      <c r="R22" s="361" t="s">
        <v>9270</v>
      </c>
      <c r="S22" s="361"/>
      <c r="T22" s="366" t="s">
        <v>9276</v>
      </c>
      <c r="U22" s="359"/>
      <c r="V22" s="359"/>
      <c r="W22" s="359"/>
      <c r="X22" s="359"/>
      <c r="Y22" s="359"/>
      <c r="Z22" s="364">
        <v>44819</v>
      </c>
      <c r="AA22" s="359" t="s">
        <v>254</v>
      </c>
    </row>
    <row r="23" spans="1:27">
      <c r="A23" s="769"/>
      <c r="B23" s="769"/>
      <c r="C23" s="357" t="s">
        <v>9277</v>
      </c>
      <c r="D23" s="357" t="s">
        <v>9275</v>
      </c>
      <c r="E23" s="357" t="s">
        <v>1743</v>
      </c>
      <c r="F23" s="357" t="s">
        <v>9205</v>
      </c>
      <c r="G23" s="357"/>
      <c r="H23" s="357"/>
      <c r="I23" s="357"/>
      <c r="J23" s="357" t="s">
        <v>1736</v>
      </c>
      <c r="K23" s="357" t="s">
        <v>1736</v>
      </c>
      <c r="L23" s="357" t="s">
        <v>1736</v>
      </c>
      <c r="M23" s="357"/>
      <c r="N23" s="357"/>
      <c r="O23" s="357"/>
      <c r="P23" s="357"/>
      <c r="Q23" s="358" t="s">
        <v>9207</v>
      </c>
      <c r="R23" s="357" t="s">
        <v>9270</v>
      </c>
      <c r="S23" s="357"/>
      <c r="T23" s="359" t="s">
        <v>9278</v>
      </c>
      <c r="U23" s="359"/>
      <c r="V23" s="359"/>
      <c r="W23" s="359"/>
      <c r="X23" s="359"/>
      <c r="Y23" s="359"/>
      <c r="Z23" s="364">
        <v>44819</v>
      </c>
      <c r="AA23" s="359" t="s">
        <v>254</v>
      </c>
    </row>
    <row r="24" spans="1:27">
      <c r="A24" s="730" t="s">
        <v>9279</v>
      </c>
      <c r="B24" s="730" t="s">
        <v>9280</v>
      </c>
      <c r="C24" s="361" t="s">
        <v>9281</v>
      </c>
      <c r="D24" s="361" t="s">
        <v>9204</v>
      </c>
      <c r="E24" s="361" t="s">
        <v>1732</v>
      </c>
      <c r="F24" s="361" t="s">
        <v>9205</v>
      </c>
      <c r="G24" s="361"/>
      <c r="H24" s="361"/>
      <c r="I24" s="361"/>
      <c r="J24" s="361" t="s">
        <v>1736</v>
      </c>
      <c r="K24" s="361" t="s">
        <v>1736</v>
      </c>
      <c r="L24" s="361"/>
      <c r="M24" s="361" t="s">
        <v>1736</v>
      </c>
      <c r="N24" s="361"/>
      <c r="O24" s="361"/>
      <c r="P24" s="361"/>
      <c r="Q24" s="358" t="s">
        <v>9207</v>
      </c>
      <c r="R24" s="361" t="s">
        <v>9282</v>
      </c>
      <c r="S24" s="361"/>
      <c r="T24" s="359" t="s">
        <v>9283</v>
      </c>
      <c r="U24" s="359"/>
      <c r="V24" s="359"/>
      <c r="W24" s="359"/>
      <c r="X24" s="359"/>
      <c r="Y24" s="359"/>
      <c r="Z24" s="364">
        <v>44824</v>
      </c>
      <c r="AA24" s="359" t="s">
        <v>254</v>
      </c>
    </row>
    <row r="25" spans="1:27">
      <c r="A25" s="769"/>
      <c r="B25" s="769"/>
      <c r="C25" s="357" t="s">
        <v>9284</v>
      </c>
      <c r="D25" s="357" t="s">
        <v>9285</v>
      </c>
      <c r="E25" s="357" t="s">
        <v>1732</v>
      </c>
      <c r="F25" s="357" t="s">
        <v>9205</v>
      </c>
      <c r="G25" s="357"/>
      <c r="H25" s="357"/>
      <c r="I25" s="357"/>
      <c r="J25" s="357" t="s">
        <v>1736</v>
      </c>
      <c r="K25" s="357" t="s">
        <v>1736</v>
      </c>
      <c r="L25" s="357"/>
      <c r="M25" s="357" t="s">
        <v>1736</v>
      </c>
      <c r="N25" s="357"/>
      <c r="O25" s="357"/>
      <c r="P25" s="357"/>
      <c r="Q25" s="358" t="s">
        <v>9207</v>
      </c>
      <c r="R25" s="357" t="s">
        <v>9282</v>
      </c>
      <c r="S25" s="357"/>
      <c r="T25" s="359" t="s">
        <v>9286</v>
      </c>
      <c r="U25" s="359"/>
      <c r="V25" s="359"/>
      <c r="W25" s="359"/>
      <c r="X25" s="359"/>
      <c r="Y25" s="359"/>
      <c r="Z25" s="364">
        <v>44824</v>
      </c>
      <c r="AA25" s="359" t="s">
        <v>254</v>
      </c>
    </row>
    <row r="26" spans="1:27">
      <c r="A26" s="769"/>
      <c r="B26" s="769"/>
      <c r="C26" s="361" t="s">
        <v>9287</v>
      </c>
      <c r="D26" s="361" t="s">
        <v>9288</v>
      </c>
      <c r="E26" s="361" t="s">
        <v>1732</v>
      </c>
      <c r="F26" s="361" t="s">
        <v>9205</v>
      </c>
      <c r="G26" s="361"/>
      <c r="H26" s="361"/>
      <c r="I26" s="361"/>
      <c r="J26" s="361" t="s">
        <v>1736</v>
      </c>
      <c r="K26" s="361" t="s">
        <v>1736</v>
      </c>
      <c r="L26" s="361"/>
      <c r="M26" s="361" t="s">
        <v>1736</v>
      </c>
      <c r="N26" s="361"/>
      <c r="O26" s="361"/>
      <c r="P26" s="361"/>
      <c r="Q26" s="358" t="s">
        <v>9207</v>
      </c>
      <c r="R26" s="361" t="s">
        <v>9282</v>
      </c>
      <c r="S26" s="361"/>
      <c r="T26" s="359" t="s">
        <v>9289</v>
      </c>
      <c r="U26" s="359"/>
      <c r="V26" s="359"/>
      <c r="W26" s="359"/>
      <c r="X26" s="359"/>
      <c r="Y26" s="359"/>
      <c r="Z26" s="364">
        <v>44824</v>
      </c>
      <c r="AA26" s="359" t="s">
        <v>254</v>
      </c>
    </row>
    <row r="27" spans="1:27">
      <c r="A27" s="769"/>
      <c r="B27" s="769"/>
      <c r="C27" s="357" t="s">
        <v>9290</v>
      </c>
      <c r="D27" s="357" t="s">
        <v>9291</v>
      </c>
      <c r="E27" s="357" t="s">
        <v>1732</v>
      </c>
      <c r="F27" s="357" t="s">
        <v>9205</v>
      </c>
      <c r="G27" s="357"/>
      <c r="H27" s="357"/>
      <c r="I27" s="357"/>
      <c r="J27" s="357" t="s">
        <v>1736</v>
      </c>
      <c r="K27" s="357" t="s">
        <v>1736</v>
      </c>
      <c r="L27" s="357"/>
      <c r="M27" s="357" t="s">
        <v>1736</v>
      </c>
      <c r="N27" s="357"/>
      <c r="O27" s="357"/>
      <c r="P27" s="357"/>
      <c r="Q27" s="358" t="s">
        <v>9207</v>
      </c>
      <c r="R27" s="357" t="s">
        <v>9282</v>
      </c>
      <c r="S27" s="357"/>
      <c r="T27" s="359" t="s">
        <v>9292</v>
      </c>
      <c r="U27" s="359"/>
      <c r="V27" s="359"/>
      <c r="W27" s="359"/>
      <c r="X27" s="359"/>
      <c r="Y27" s="359"/>
      <c r="Z27" s="364">
        <v>44824</v>
      </c>
      <c r="AA27" s="359" t="s">
        <v>254</v>
      </c>
    </row>
    <row r="28" spans="1:27">
      <c r="A28" s="769"/>
      <c r="B28" s="769"/>
      <c r="C28" s="361" t="s">
        <v>9293</v>
      </c>
      <c r="D28" s="361" t="s">
        <v>9294</v>
      </c>
      <c r="E28" s="361" t="s">
        <v>1732</v>
      </c>
      <c r="F28" s="361" t="s">
        <v>9205</v>
      </c>
      <c r="G28" s="361"/>
      <c r="H28" s="361"/>
      <c r="I28" s="361"/>
      <c r="J28" s="361" t="s">
        <v>1736</v>
      </c>
      <c r="K28" s="361" t="s">
        <v>1736</v>
      </c>
      <c r="L28" s="361"/>
      <c r="M28" s="361" t="s">
        <v>1736</v>
      </c>
      <c r="N28" s="361"/>
      <c r="O28" s="361"/>
      <c r="P28" s="361"/>
      <c r="Q28" s="358" t="s">
        <v>9207</v>
      </c>
      <c r="R28" s="361" t="s">
        <v>9282</v>
      </c>
      <c r="S28" s="361"/>
      <c r="T28" s="359" t="s">
        <v>9295</v>
      </c>
      <c r="U28" s="359"/>
      <c r="V28" s="359"/>
      <c r="W28" s="359"/>
      <c r="X28" s="359"/>
      <c r="Y28" s="359"/>
      <c r="Z28" s="364">
        <v>44824</v>
      </c>
      <c r="AA28" s="359" t="s">
        <v>254</v>
      </c>
    </row>
    <row r="29" spans="1:27">
      <c r="A29" s="769"/>
      <c r="B29" s="769"/>
      <c r="C29" s="357" t="s">
        <v>9296</v>
      </c>
      <c r="D29" s="357" t="s">
        <v>9297</v>
      </c>
      <c r="E29" s="357" t="s">
        <v>1732</v>
      </c>
      <c r="F29" s="357" t="s">
        <v>9205</v>
      </c>
      <c r="G29" s="357"/>
      <c r="H29" s="357"/>
      <c r="I29" s="357"/>
      <c r="J29" s="357" t="s">
        <v>1736</v>
      </c>
      <c r="K29" s="357" t="s">
        <v>1736</v>
      </c>
      <c r="L29" s="357"/>
      <c r="M29" s="357" t="s">
        <v>1736</v>
      </c>
      <c r="N29" s="357"/>
      <c r="O29" s="357"/>
      <c r="P29" s="357"/>
      <c r="Q29" s="358" t="s">
        <v>9207</v>
      </c>
      <c r="R29" s="357" t="s">
        <v>9282</v>
      </c>
      <c r="S29" s="357"/>
      <c r="T29" s="359" t="s">
        <v>9298</v>
      </c>
      <c r="U29" s="359"/>
      <c r="V29" s="359"/>
      <c r="W29" s="359"/>
      <c r="X29" s="359"/>
      <c r="Y29" s="359"/>
      <c r="Z29" s="364">
        <v>44824</v>
      </c>
      <c r="AA29" s="359" t="s">
        <v>254</v>
      </c>
    </row>
    <row r="30" spans="1:27">
      <c r="A30" s="730" t="s">
        <v>9299</v>
      </c>
      <c r="B30" s="730" t="s">
        <v>9300</v>
      </c>
      <c r="C30" s="361" t="s">
        <v>9301</v>
      </c>
      <c r="D30" s="361" t="s">
        <v>9302</v>
      </c>
      <c r="E30" s="361" t="s">
        <v>1732</v>
      </c>
      <c r="F30" s="361" t="s">
        <v>9205</v>
      </c>
      <c r="G30" s="367" t="s">
        <v>9303</v>
      </c>
      <c r="H30" s="361" t="s">
        <v>9304</v>
      </c>
      <c r="I30" s="361" t="s">
        <v>9305</v>
      </c>
      <c r="J30" s="361" t="s">
        <v>1736</v>
      </c>
      <c r="K30" s="361" t="s">
        <v>1736</v>
      </c>
      <c r="L30" s="361" t="s">
        <v>1736</v>
      </c>
      <c r="M30" s="361"/>
      <c r="N30" s="361"/>
      <c r="O30" s="361"/>
      <c r="P30" s="361"/>
      <c r="Q30" s="358" t="s">
        <v>9207</v>
      </c>
      <c r="R30" s="361" t="s">
        <v>9306</v>
      </c>
      <c r="S30" s="361"/>
      <c r="T30" s="359" t="s">
        <v>9307</v>
      </c>
      <c r="U30" s="359"/>
      <c r="V30" s="359"/>
      <c r="W30" s="359"/>
      <c r="X30" s="359"/>
      <c r="Y30" s="359"/>
      <c r="Z30" s="364">
        <v>44826</v>
      </c>
      <c r="AA30" s="359" t="s">
        <v>254</v>
      </c>
    </row>
    <row r="31" spans="1:27">
      <c r="A31" s="769"/>
      <c r="B31" s="769"/>
      <c r="C31" s="357" t="s">
        <v>9308</v>
      </c>
      <c r="D31" s="357" t="s">
        <v>9309</v>
      </c>
      <c r="E31" s="357" t="s">
        <v>1743</v>
      </c>
      <c r="F31" s="357" t="s">
        <v>9205</v>
      </c>
      <c r="G31" s="368" t="s">
        <v>9303</v>
      </c>
      <c r="H31" s="357" t="s">
        <v>9310</v>
      </c>
      <c r="I31" s="357"/>
      <c r="J31" s="357" t="s">
        <v>1736</v>
      </c>
      <c r="K31" s="357" t="s">
        <v>1736</v>
      </c>
      <c r="L31" s="357" t="s">
        <v>1736</v>
      </c>
      <c r="M31" s="357"/>
      <c r="N31" s="357"/>
      <c r="O31" s="357"/>
      <c r="P31" s="357"/>
      <c r="Q31" s="358" t="s">
        <v>9207</v>
      </c>
      <c r="R31" s="357" t="s">
        <v>9306</v>
      </c>
      <c r="S31" s="357"/>
      <c r="T31" s="359" t="s">
        <v>9311</v>
      </c>
      <c r="U31" s="359"/>
      <c r="V31" s="359"/>
      <c r="W31" s="359"/>
      <c r="X31" s="359"/>
      <c r="Y31" s="359"/>
      <c r="Z31" s="364">
        <v>44826</v>
      </c>
      <c r="AA31" s="359" t="s">
        <v>254</v>
      </c>
    </row>
    <row r="32" spans="1:27">
      <c r="A32" s="769"/>
      <c r="B32" s="769"/>
      <c r="C32" s="361" t="s">
        <v>9312</v>
      </c>
      <c r="D32" s="361" t="s">
        <v>9313</v>
      </c>
      <c r="E32" s="361" t="s">
        <v>1732</v>
      </c>
      <c r="F32" s="361" t="s">
        <v>9205</v>
      </c>
      <c r="G32" s="559" t="s">
        <v>9303</v>
      </c>
      <c r="H32" s="361" t="s">
        <v>9314</v>
      </c>
      <c r="I32" s="361" t="s">
        <v>9315</v>
      </c>
      <c r="J32" s="361" t="s">
        <v>1736</v>
      </c>
      <c r="K32" s="361" t="s">
        <v>1736</v>
      </c>
      <c r="L32" s="361" t="s">
        <v>1736</v>
      </c>
      <c r="M32" s="361"/>
      <c r="N32" s="361"/>
      <c r="O32" s="361"/>
      <c r="P32" s="361"/>
      <c r="Q32" s="358" t="s">
        <v>9207</v>
      </c>
      <c r="R32" s="361" t="s">
        <v>9306</v>
      </c>
      <c r="S32" s="361"/>
      <c r="T32" s="359" t="s">
        <v>9316</v>
      </c>
      <c r="U32" s="359"/>
      <c r="V32" s="359"/>
      <c r="W32" s="359"/>
      <c r="X32" s="359"/>
      <c r="Y32" s="359"/>
      <c r="Z32" s="364">
        <v>44826</v>
      </c>
      <c r="AA32" s="359" t="s">
        <v>254</v>
      </c>
    </row>
    <row r="33" spans="1:27">
      <c r="A33" s="769"/>
      <c r="B33" s="769"/>
      <c r="C33" s="357" t="s">
        <v>9317</v>
      </c>
      <c r="D33" s="357" t="s">
        <v>9318</v>
      </c>
      <c r="E33" s="357" t="s">
        <v>1732</v>
      </c>
      <c r="F33" s="357" t="s">
        <v>9205</v>
      </c>
      <c r="G33" s="368" t="s">
        <v>9303</v>
      </c>
      <c r="H33" s="365" t="s">
        <v>9319</v>
      </c>
      <c r="I33" s="357"/>
      <c r="J33" s="357" t="s">
        <v>1736</v>
      </c>
      <c r="K33" s="357" t="s">
        <v>1736</v>
      </c>
      <c r="L33" s="357" t="s">
        <v>1736</v>
      </c>
      <c r="M33" s="357"/>
      <c r="N33" s="357"/>
      <c r="O33" s="357"/>
      <c r="P33" s="357"/>
      <c r="Q33" s="358" t="s">
        <v>9207</v>
      </c>
      <c r="R33" s="357" t="s">
        <v>9306</v>
      </c>
      <c r="S33" s="357"/>
      <c r="T33" s="359" t="s">
        <v>9320</v>
      </c>
      <c r="U33" s="359"/>
      <c r="V33" s="359"/>
      <c r="W33" s="359"/>
      <c r="X33" s="359"/>
      <c r="Y33" s="359"/>
      <c r="Z33" s="364">
        <v>44826</v>
      </c>
      <c r="AA33" s="359" t="s">
        <v>254</v>
      </c>
    </row>
    <row r="34" spans="1:27">
      <c r="A34" s="769"/>
      <c r="B34" s="769"/>
      <c r="C34" s="361" t="s">
        <v>9321</v>
      </c>
      <c r="D34" s="361" t="s">
        <v>9322</v>
      </c>
      <c r="E34" s="361" t="s">
        <v>1732</v>
      </c>
      <c r="F34" s="361" t="s">
        <v>9205</v>
      </c>
      <c r="G34" s="559" t="s">
        <v>9303</v>
      </c>
      <c r="H34" s="361"/>
      <c r="I34" s="361" t="s">
        <v>9323</v>
      </c>
      <c r="J34" s="361" t="s">
        <v>1736</v>
      </c>
      <c r="K34" s="361" t="s">
        <v>1736</v>
      </c>
      <c r="L34" s="361" t="s">
        <v>1736</v>
      </c>
      <c r="M34" s="361"/>
      <c r="N34" s="361"/>
      <c r="O34" s="361"/>
      <c r="P34" s="361"/>
      <c r="Q34" s="358" t="s">
        <v>9207</v>
      </c>
      <c r="R34" s="361" t="s">
        <v>9306</v>
      </c>
      <c r="S34" s="361"/>
      <c r="T34" s="359" t="s">
        <v>9324</v>
      </c>
      <c r="U34" s="359"/>
      <c r="V34" s="359"/>
      <c r="W34" s="359"/>
      <c r="X34" s="359"/>
      <c r="Y34" s="359"/>
      <c r="Z34" s="364">
        <v>44826</v>
      </c>
      <c r="AA34" s="359" t="s">
        <v>254</v>
      </c>
    </row>
    <row r="35" spans="1:27">
      <c r="A35" s="769"/>
      <c r="B35" s="769"/>
      <c r="C35" s="357" t="s">
        <v>9325</v>
      </c>
      <c r="D35" s="357" t="s">
        <v>9326</v>
      </c>
      <c r="E35" s="357" t="s">
        <v>1743</v>
      </c>
      <c r="F35" s="357" t="s">
        <v>9205</v>
      </c>
      <c r="G35" s="368" t="s">
        <v>9303</v>
      </c>
      <c r="H35" s="365" t="s">
        <v>9319</v>
      </c>
      <c r="I35" s="365" t="s">
        <v>9327</v>
      </c>
      <c r="J35" s="357" t="s">
        <v>1736</v>
      </c>
      <c r="K35" s="357" t="s">
        <v>1736</v>
      </c>
      <c r="L35" s="357" t="s">
        <v>1736</v>
      </c>
      <c r="M35" s="357"/>
      <c r="N35" s="357"/>
      <c r="O35" s="357"/>
      <c r="P35" s="357"/>
      <c r="Q35" s="358" t="s">
        <v>9207</v>
      </c>
      <c r="R35" s="357" t="s">
        <v>9306</v>
      </c>
      <c r="S35" s="357"/>
      <c r="T35" s="359" t="s">
        <v>9328</v>
      </c>
      <c r="U35" s="359"/>
      <c r="V35" s="359"/>
      <c r="W35" s="359"/>
      <c r="X35" s="359"/>
      <c r="Y35" s="359"/>
      <c r="Z35" s="364">
        <v>44826</v>
      </c>
      <c r="AA35" s="359" t="s">
        <v>254</v>
      </c>
    </row>
    <row r="36" spans="1:27">
      <c r="A36" s="769"/>
      <c r="B36" s="769"/>
      <c r="C36" s="361" t="s">
        <v>9329</v>
      </c>
      <c r="D36" s="361" t="s">
        <v>9330</v>
      </c>
      <c r="E36" s="361" t="s">
        <v>1732</v>
      </c>
      <c r="F36" s="361" t="s">
        <v>9205</v>
      </c>
      <c r="G36" s="559" t="s">
        <v>9303</v>
      </c>
      <c r="H36" s="361"/>
      <c r="I36" s="361"/>
      <c r="J36" s="361" t="s">
        <v>1736</v>
      </c>
      <c r="K36" s="361" t="s">
        <v>1736</v>
      </c>
      <c r="L36" s="361" t="s">
        <v>1736</v>
      </c>
      <c r="M36" s="361"/>
      <c r="N36" s="361"/>
      <c r="O36" s="361"/>
      <c r="P36" s="361"/>
      <c r="Q36" s="358" t="s">
        <v>9207</v>
      </c>
      <c r="R36" s="361" t="s">
        <v>9306</v>
      </c>
      <c r="S36" s="361"/>
      <c r="T36" s="359" t="s">
        <v>9331</v>
      </c>
      <c r="U36" s="359"/>
      <c r="V36" s="359"/>
      <c r="W36" s="359"/>
      <c r="X36" s="359"/>
      <c r="Y36" s="359"/>
      <c r="Z36" s="364">
        <v>44826</v>
      </c>
      <c r="AA36" s="359" t="s">
        <v>254</v>
      </c>
    </row>
    <row r="37" spans="1:27">
      <c r="A37" s="769"/>
      <c r="B37" s="769"/>
      <c r="C37" s="357" t="s">
        <v>9332</v>
      </c>
      <c r="D37" s="357" t="s">
        <v>9333</v>
      </c>
      <c r="E37" s="357" t="s">
        <v>1743</v>
      </c>
      <c r="F37" s="357" t="s">
        <v>9205</v>
      </c>
      <c r="G37" s="368" t="s">
        <v>9303</v>
      </c>
      <c r="H37" s="357"/>
      <c r="I37" s="357"/>
      <c r="J37" s="357" t="s">
        <v>1736</v>
      </c>
      <c r="K37" s="357" t="s">
        <v>1736</v>
      </c>
      <c r="L37" s="357" t="s">
        <v>1736</v>
      </c>
      <c r="M37" s="357"/>
      <c r="N37" s="357"/>
      <c r="O37" s="357"/>
      <c r="P37" s="357"/>
      <c r="Q37" s="358" t="s">
        <v>9207</v>
      </c>
      <c r="R37" s="357" t="s">
        <v>9306</v>
      </c>
      <c r="S37" s="357"/>
      <c r="T37" s="359" t="s">
        <v>9334</v>
      </c>
      <c r="U37" s="359"/>
      <c r="V37" s="359"/>
      <c r="W37" s="359"/>
      <c r="X37" s="359"/>
      <c r="Y37" s="359"/>
      <c r="Z37" s="364">
        <v>44826</v>
      </c>
      <c r="AA37" s="359" t="s">
        <v>254</v>
      </c>
    </row>
    <row r="38" spans="1:27">
      <c r="A38" s="769"/>
      <c r="B38" s="769"/>
      <c r="C38" s="361" t="s">
        <v>9335</v>
      </c>
      <c r="D38" s="361" t="s">
        <v>9336</v>
      </c>
      <c r="E38" s="361" t="s">
        <v>1732</v>
      </c>
      <c r="F38" s="361" t="s">
        <v>9205</v>
      </c>
      <c r="G38" s="559" t="s">
        <v>9303</v>
      </c>
      <c r="H38" s="361"/>
      <c r="I38" s="361"/>
      <c r="J38" s="361" t="s">
        <v>1736</v>
      </c>
      <c r="K38" s="361" t="s">
        <v>1736</v>
      </c>
      <c r="L38" s="361" t="s">
        <v>1736</v>
      </c>
      <c r="M38" s="361"/>
      <c r="N38" s="361"/>
      <c r="O38" s="361"/>
      <c r="P38" s="361"/>
      <c r="Q38" s="358" t="s">
        <v>9207</v>
      </c>
      <c r="R38" s="361" t="s">
        <v>9306</v>
      </c>
      <c r="S38" s="361"/>
      <c r="T38" s="359" t="s">
        <v>9337</v>
      </c>
      <c r="U38" s="359"/>
      <c r="V38" s="359"/>
      <c r="W38" s="359"/>
      <c r="X38" s="359"/>
      <c r="Y38" s="359"/>
      <c r="Z38" s="364">
        <v>44826</v>
      </c>
      <c r="AA38" s="359" t="s">
        <v>254</v>
      </c>
    </row>
    <row r="39" spans="1:27">
      <c r="A39" s="769"/>
      <c r="B39" s="769"/>
      <c r="C39" s="357" t="s">
        <v>9338</v>
      </c>
      <c r="D39" s="357" t="s">
        <v>9339</v>
      </c>
      <c r="E39" s="357" t="s">
        <v>1743</v>
      </c>
      <c r="F39" s="357" t="s">
        <v>9205</v>
      </c>
      <c r="G39" s="368" t="s">
        <v>9303</v>
      </c>
      <c r="H39" s="357"/>
      <c r="I39" s="357"/>
      <c r="J39" s="357" t="s">
        <v>1736</v>
      </c>
      <c r="K39" s="357" t="s">
        <v>1736</v>
      </c>
      <c r="L39" s="357" t="s">
        <v>1736</v>
      </c>
      <c r="M39" s="357"/>
      <c r="N39" s="357"/>
      <c r="O39" s="357"/>
      <c r="P39" s="357"/>
      <c r="Q39" s="358" t="s">
        <v>9207</v>
      </c>
      <c r="R39" s="357" t="s">
        <v>9306</v>
      </c>
      <c r="S39" s="357"/>
      <c r="T39" s="359" t="s">
        <v>9340</v>
      </c>
      <c r="U39" s="359"/>
      <c r="V39" s="359"/>
      <c r="W39" s="359"/>
      <c r="X39" s="359"/>
      <c r="Y39" s="359"/>
      <c r="Z39" s="364">
        <v>44826</v>
      </c>
      <c r="AA39" s="359" t="s">
        <v>254</v>
      </c>
    </row>
    <row r="40" spans="1:27">
      <c r="A40" s="769"/>
      <c r="B40" s="769"/>
      <c r="C40" s="361" t="s">
        <v>9341</v>
      </c>
      <c r="D40" s="361" t="s">
        <v>9342</v>
      </c>
      <c r="E40" s="361" t="s">
        <v>1732</v>
      </c>
      <c r="F40" s="361" t="s">
        <v>9205</v>
      </c>
      <c r="G40" s="559" t="s">
        <v>9303</v>
      </c>
      <c r="H40" s="361"/>
      <c r="I40" s="361"/>
      <c r="J40" s="361" t="s">
        <v>1736</v>
      </c>
      <c r="K40" s="361" t="s">
        <v>1736</v>
      </c>
      <c r="L40" s="361" t="s">
        <v>1736</v>
      </c>
      <c r="M40" s="361"/>
      <c r="N40" s="361"/>
      <c r="O40" s="361"/>
      <c r="P40" s="361"/>
      <c r="Q40" s="358" t="s">
        <v>9207</v>
      </c>
      <c r="R40" s="361" t="s">
        <v>9306</v>
      </c>
      <c r="S40" s="361"/>
      <c r="T40" s="359" t="s">
        <v>9343</v>
      </c>
      <c r="U40" s="359"/>
      <c r="V40" s="359"/>
      <c r="W40" s="359"/>
      <c r="X40" s="359"/>
      <c r="Y40" s="359"/>
      <c r="Z40" s="364">
        <v>44831</v>
      </c>
      <c r="AA40" s="359" t="s">
        <v>254</v>
      </c>
    </row>
    <row r="41" spans="1:27">
      <c r="A41" s="769"/>
      <c r="B41" s="769"/>
      <c r="C41" s="357" t="s">
        <v>9344</v>
      </c>
      <c r="D41" s="357" t="s">
        <v>9345</v>
      </c>
      <c r="E41" s="357" t="s">
        <v>1743</v>
      </c>
      <c r="F41" s="357" t="s">
        <v>9205</v>
      </c>
      <c r="G41" s="368" t="s">
        <v>9303</v>
      </c>
      <c r="H41" s="357"/>
      <c r="I41" s="357"/>
      <c r="J41" s="357" t="s">
        <v>1736</v>
      </c>
      <c r="K41" s="357" t="s">
        <v>1736</v>
      </c>
      <c r="L41" s="357" t="s">
        <v>1736</v>
      </c>
      <c r="M41" s="357"/>
      <c r="N41" s="357"/>
      <c r="O41" s="357"/>
      <c r="P41" s="357"/>
      <c r="Q41" s="358" t="s">
        <v>9207</v>
      </c>
      <c r="R41" s="357" t="s">
        <v>9306</v>
      </c>
      <c r="S41" s="357"/>
      <c r="T41" s="359" t="s">
        <v>9346</v>
      </c>
      <c r="U41" s="359"/>
      <c r="V41" s="359"/>
      <c r="W41" s="359"/>
      <c r="X41" s="359"/>
      <c r="Y41" s="359"/>
      <c r="Z41" s="364">
        <v>44831</v>
      </c>
      <c r="AA41" s="359" t="s">
        <v>254</v>
      </c>
    </row>
    <row r="42" spans="1:27">
      <c r="A42" s="769"/>
      <c r="B42" s="769"/>
      <c r="C42" s="361" t="s">
        <v>9347</v>
      </c>
      <c r="D42" s="361" t="s">
        <v>9348</v>
      </c>
      <c r="E42" s="361" t="s">
        <v>1732</v>
      </c>
      <c r="F42" s="361" t="s">
        <v>9205</v>
      </c>
      <c r="G42" s="559" t="s">
        <v>9303</v>
      </c>
      <c r="H42" s="361"/>
      <c r="I42" s="361"/>
      <c r="J42" s="361" t="s">
        <v>1736</v>
      </c>
      <c r="K42" s="361" t="s">
        <v>1736</v>
      </c>
      <c r="L42" s="361" t="s">
        <v>1736</v>
      </c>
      <c r="M42" s="361"/>
      <c r="N42" s="361"/>
      <c r="O42" s="361"/>
      <c r="P42" s="361"/>
      <c r="Q42" s="358" t="s">
        <v>9207</v>
      </c>
      <c r="R42" s="361" t="s">
        <v>9306</v>
      </c>
      <c r="S42" s="361"/>
      <c r="T42" s="359" t="s">
        <v>9349</v>
      </c>
      <c r="U42" s="359"/>
      <c r="V42" s="359"/>
      <c r="W42" s="359"/>
      <c r="X42" s="359"/>
      <c r="Y42" s="359"/>
      <c r="Z42" s="364">
        <v>44831</v>
      </c>
      <c r="AA42" s="359" t="s">
        <v>254</v>
      </c>
    </row>
    <row r="43" spans="1:27">
      <c r="A43" s="769"/>
      <c r="B43" s="769"/>
      <c r="C43" s="357" t="s">
        <v>9350</v>
      </c>
      <c r="D43" s="357" t="s">
        <v>9351</v>
      </c>
      <c r="E43" s="357" t="s">
        <v>1743</v>
      </c>
      <c r="F43" s="357" t="s">
        <v>9205</v>
      </c>
      <c r="G43" s="368" t="s">
        <v>9303</v>
      </c>
      <c r="H43" s="357"/>
      <c r="I43" s="357"/>
      <c r="J43" s="357" t="s">
        <v>1736</v>
      </c>
      <c r="K43" s="357" t="s">
        <v>1736</v>
      </c>
      <c r="L43" s="357" t="s">
        <v>1736</v>
      </c>
      <c r="M43" s="357"/>
      <c r="N43" s="357"/>
      <c r="O43" s="357"/>
      <c r="P43" s="357"/>
      <c r="Q43" s="358" t="s">
        <v>9207</v>
      </c>
      <c r="R43" s="357" t="s">
        <v>9306</v>
      </c>
      <c r="S43" s="357"/>
      <c r="T43" s="359" t="s">
        <v>9352</v>
      </c>
      <c r="U43" s="359"/>
      <c r="V43" s="359"/>
      <c r="W43" s="359"/>
      <c r="X43" s="359"/>
      <c r="Y43" s="359"/>
      <c r="Z43" s="364">
        <v>44831</v>
      </c>
      <c r="AA43" s="359" t="s">
        <v>254</v>
      </c>
    </row>
    <row r="44" spans="1:27">
      <c r="A44" s="769"/>
      <c r="B44" s="769"/>
      <c r="C44" s="361" t="s">
        <v>9353</v>
      </c>
      <c r="D44" s="361" t="s">
        <v>9354</v>
      </c>
      <c r="E44" s="361" t="s">
        <v>1732</v>
      </c>
      <c r="F44" s="361" t="s">
        <v>9205</v>
      </c>
      <c r="G44" s="559" t="s">
        <v>9303</v>
      </c>
      <c r="H44" s="361"/>
      <c r="I44" s="361"/>
      <c r="J44" s="361" t="s">
        <v>1736</v>
      </c>
      <c r="K44" s="361" t="s">
        <v>1736</v>
      </c>
      <c r="L44" s="361" t="s">
        <v>1736</v>
      </c>
      <c r="M44" s="361"/>
      <c r="N44" s="361"/>
      <c r="O44" s="361"/>
      <c r="P44" s="361"/>
      <c r="Q44" s="358" t="s">
        <v>9207</v>
      </c>
      <c r="R44" s="361" t="s">
        <v>9306</v>
      </c>
      <c r="S44" s="361"/>
      <c r="T44" s="369" t="s">
        <v>9355</v>
      </c>
      <c r="U44" s="359"/>
      <c r="V44" s="359"/>
      <c r="W44" s="359"/>
      <c r="X44" s="359"/>
      <c r="Y44" s="359"/>
      <c r="Z44" s="364">
        <v>44831</v>
      </c>
      <c r="AA44" s="359" t="s">
        <v>254</v>
      </c>
    </row>
    <row r="45" spans="1:27">
      <c r="A45" s="769"/>
      <c r="B45" s="769"/>
      <c r="C45" s="357" t="s">
        <v>9356</v>
      </c>
      <c r="D45" s="357" t="s">
        <v>9357</v>
      </c>
      <c r="E45" s="357" t="s">
        <v>1743</v>
      </c>
      <c r="F45" s="357" t="s">
        <v>9205</v>
      </c>
      <c r="G45" s="368" t="s">
        <v>9303</v>
      </c>
      <c r="H45" s="357"/>
      <c r="I45" s="357"/>
      <c r="J45" s="357" t="s">
        <v>1736</v>
      </c>
      <c r="K45" s="357" t="s">
        <v>1736</v>
      </c>
      <c r="L45" s="357" t="s">
        <v>1736</v>
      </c>
      <c r="M45" s="357"/>
      <c r="N45" s="357"/>
      <c r="O45" s="357"/>
      <c r="P45" s="357"/>
      <c r="Q45" s="358" t="s">
        <v>9207</v>
      </c>
      <c r="R45" s="357" t="s">
        <v>9306</v>
      </c>
      <c r="S45" s="357"/>
      <c r="T45" s="359" t="s">
        <v>9358</v>
      </c>
      <c r="U45" s="359"/>
      <c r="V45" s="359"/>
      <c r="W45" s="359"/>
      <c r="X45" s="359"/>
      <c r="Y45" s="359"/>
      <c r="Z45" s="364">
        <v>44831</v>
      </c>
      <c r="AA45" s="359" t="s">
        <v>254</v>
      </c>
    </row>
    <row r="46" spans="1:27">
      <c r="A46" s="769"/>
      <c r="B46" s="769"/>
      <c r="C46" s="361" t="s">
        <v>9359</v>
      </c>
      <c r="D46" s="361" t="s">
        <v>9360</v>
      </c>
      <c r="E46" s="361" t="s">
        <v>1732</v>
      </c>
      <c r="F46" s="361" t="s">
        <v>9205</v>
      </c>
      <c r="G46" s="559" t="s">
        <v>9303</v>
      </c>
      <c r="H46" s="361"/>
      <c r="I46" s="361"/>
      <c r="J46" s="361" t="s">
        <v>1736</v>
      </c>
      <c r="K46" s="361" t="s">
        <v>1736</v>
      </c>
      <c r="L46" s="361" t="s">
        <v>1736</v>
      </c>
      <c r="M46" s="361"/>
      <c r="N46" s="361"/>
      <c r="O46" s="361"/>
      <c r="P46" s="361"/>
      <c r="Q46" s="358" t="s">
        <v>9207</v>
      </c>
      <c r="R46" s="361" t="s">
        <v>9306</v>
      </c>
      <c r="S46" s="361"/>
      <c r="T46" s="359" t="s">
        <v>9361</v>
      </c>
      <c r="U46" s="359"/>
      <c r="V46" s="359"/>
      <c r="W46" s="359"/>
      <c r="X46" s="359"/>
      <c r="Y46" s="359"/>
      <c r="Z46" s="364">
        <v>44831</v>
      </c>
      <c r="AA46" s="359" t="s">
        <v>254</v>
      </c>
    </row>
    <row r="47" spans="1:27">
      <c r="A47" s="769"/>
      <c r="B47" s="769"/>
      <c r="C47" s="357" t="s">
        <v>9362</v>
      </c>
      <c r="D47" s="357" t="s">
        <v>9363</v>
      </c>
      <c r="E47" s="357" t="s">
        <v>1743</v>
      </c>
      <c r="F47" s="357" t="s">
        <v>9205</v>
      </c>
      <c r="G47" s="368" t="s">
        <v>9303</v>
      </c>
      <c r="H47" s="357"/>
      <c r="I47" s="357"/>
      <c r="J47" s="357" t="s">
        <v>1736</v>
      </c>
      <c r="K47" s="357" t="s">
        <v>1736</v>
      </c>
      <c r="L47" s="357" t="s">
        <v>1736</v>
      </c>
      <c r="M47" s="357"/>
      <c r="N47" s="357"/>
      <c r="O47" s="357"/>
      <c r="P47" s="357"/>
      <c r="Q47" s="358" t="s">
        <v>9207</v>
      </c>
      <c r="R47" s="357" t="s">
        <v>9306</v>
      </c>
      <c r="S47" s="357"/>
      <c r="T47" s="359" t="s">
        <v>9364</v>
      </c>
      <c r="U47" s="359"/>
      <c r="V47" s="359"/>
      <c r="W47" s="359"/>
      <c r="X47" s="359"/>
      <c r="Y47" s="359"/>
      <c r="Z47" s="364">
        <v>44831</v>
      </c>
      <c r="AA47" s="359" t="s">
        <v>254</v>
      </c>
    </row>
    <row r="48" spans="1:27">
      <c r="A48" s="769"/>
      <c r="B48" s="769"/>
      <c r="C48" s="361" t="s">
        <v>9365</v>
      </c>
      <c r="D48" s="361" t="s">
        <v>9366</v>
      </c>
      <c r="E48" s="361" t="s">
        <v>1743</v>
      </c>
      <c r="F48" s="361" t="s">
        <v>9205</v>
      </c>
      <c r="G48" s="559" t="s">
        <v>9303</v>
      </c>
      <c r="H48" s="361"/>
      <c r="I48" s="361"/>
      <c r="J48" s="361" t="s">
        <v>1736</v>
      </c>
      <c r="K48" s="361" t="s">
        <v>1736</v>
      </c>
      <c r="L48" s="361" t="s">
        <v>1736</v>
      </c>
      <c r="M48" s="361"/>
      <c r="N48" s="361"/>
      <c r="O48" s="361"/>
      <c r="P48" s="361"/>
      <c r="Q48" s="358" t="s">
        <v>9207</v>
      </c>
      <c r="R48" s="361" t="s">
        <v>9306</v>
      </c>
      <c r="S48" s="361"/>
      <c r="T48" s="359" t="s">
        <v>9367</v>
      </c>
      <c r="U48" s="359"/>
      <c r="V48" s="359"/>
      <c r="W48" s="359"/>
      <c r="X48" s="359"/>
      <c r="Y48" s="359"/>
      <c r="Z48" s="364">
        <v>44831</v>
      </c>
      <c r="AA48" s="359" t="s">
        <v>254</v>
      </c>
    </row>
    <row r="49" spans="1:27">
      <c r="A49" s="769"/>
      <c r="B49" s="769"/>
      <c r="C49" s="357" t="s">
        <v>9368</v>
      </c>
      <c r="D49" s="357" t="s">
        <v>9369</v>
      </c>
      <c r="E49" s="357" t="s">
        <v>1743</v>
      </c>
      <c r="F49" s="357" t="s">
        <v>9205</v>
      </c>
      <c r="G49" s="368" t="s">
        <v>9303</v>
      </c>
      <c r="H49" s="357"/>
      <c r="I49" s="357"/>
      <c r="J49" s="357" t="s">
        <v>1736</v>
      </c>
      <c r="K49" s="357" t="s">
        <v>1736</v>
      </c>
      <c r="L49" s="357" t="s">
        <v>1736</v>
      </c>
      <c r="M49" s="357"/>
      <c r="N49" s="357"/>
      <c r="O49" s="357"/>
      <c r="P49" s="357"/>
      <c r="Q49" s="358" t="s">
        <v>9207</v>
      </c>
      <c r="R49" s="357" t="s">
        <v>9306</v>
      </c>
      <c r="S49" s="357"/>
      <c r="T49" s="359" t="s">
        <v>9370</v>
      </c>
      <c r="U49" s="359"/>
      <c r="V49" s="359"/>
      <c r="W49" s="359"/>
      <c r="X49" s="359"/>
      <c r="Y49" s="359"/>
      <c r="Z49" s="364">
        <v>44831</v>
      </c>
      <c r="AA49" s="359" t="s">
        <v>254</v>
      </c>
    </row>
    <row r="50" spans="1:27">
      <c r="A50" s="769"/>
      <c r="B50" s="769"/>
      <c r="C50" s="361" t="s">
        <v>9371</v>
      </c>
      <c r="D50" s="361" t="s">
        <v>9372</v>
      </c>
      <c r="E50" s="361" t="s">
        <v>1743</v>
      </c>
      <c r="F50" s="361" t="s">
        <v>9205</v>
      </c>
      <c r="G50" s="559" t="s">
        <v>9303</v>
      </c>
      <c r="H50" s="361"/>
      <c r="I50" s="361"/>
      <c r="J50" s="361" t="s">
        <v>1736</v>
      </c>
      <c r="K50" s="361" t="s">
        <v>1736</v>
      </c>
      <c r="L50" s="361" t="s">
        <v>1736</v>
      </c>
      <c r="M50" s="361"/>
      <c r="N50" s="361"/>
      <c r="O50" s="361"/>
      <c r="P50" s="361"/>
      <c r="Q50" s="358" t="s">
        <v>9207</v>
      </c>
      <c r="R50" s="361" t="s">
        <v>9306</v>
      </c>
      <c r="S50" s="361"/>
      <c r="T50" s="359" t="s">
        <v>9373</v>
      </c>
      <c r="U50" s="359"/>
      <c r="V50" s="359"/>
      <c r="W50" s="359"/>
      <c r="X50" s="359"/>
      <c r="Y50" s="359"/>
      <c r="Z50" s="364">
        <v>44831</v>
      </c>
      <c r="AA50" s="359" t="s">
        <v>254</v>
      </c>
    </row>
    <row r="51" spans="1:27">
      <c r="A51" s="769"/>
      <c r="B51" s="769"/>
      <c r="C51" s="357" t="s">
        <v>9374</v>
      </c>
      <c r="D51" s="357" t="s">
        <v>9375</v>
      </c>
      <c r="E51" s="357" t="s">
        <v>1743</v>
      </c>
      <c r="F51" s="357" t="s">
        <v>9205</v>
      </c>
      <c r="G51" s="368" t="s">
        <v>9303</v>
      </c>
      <c r="H51" s="357"/>
      <c r="I51" s="357"/>
      <c r="J51" s="357" t="s">
        <v>1736</v>
      </c>
      <c r="K51" s="357" t="s">
        <v>1736</v>
      </c>
      <c r="L51" s="357" t="s">
        <v>1736</v>
      </c>
      <c r="M51" s="357"/>
      <c r="N51" s="357"/>
      <c r="O51" s="357"/>
      <c r="P51" s="357"/>
      <c r="Q51" s="358" t="s">
        <v>9207</v>
      </c>
      <c r="R51" s="357" t="s">
        <v>9306</v>
      </c>
      <c r="S51" s="357"/>
      <c r="T51" s="359" t="s">
        <v>9376</v>
      </c>
      <c r="U51" s="359"/>
      <c r="V51" s="359"/>
      <c r="W51" s="359"/>
      <c r="X51" s="359"/>
      <c r="Y51" s="359"/>
      <c r="Z51" s="364">
        <v>44831</v>
      </c>
      <c r="AA51" s="359" t="s">
        <v>254</v>
      </c>
    </row>
    <row r="52" spans="1:27">
      <c r="A52" s="769"/>
      <c r="B52" s="769"/>
      <c r="C52" s="361" t="s">
        <v>9377</v>
      </c>
      <c r="D52" s="361" t="s">
        <v>9378</v>
      </c>
      <c r="E52" s="361" t="s">
        <v>1732</v>
      </c>
      <c r="F52" s="361" t="s">
        <v>9205</v>
      </c>
      <c r="G52" s="559" t="s">
        <v>9303</v>
      </c>
      <c r="H52" s="743" t="s">
        <v>9319</v>
      </c>
      <c r="I52" s="361"/>
      <c r="J52" s="361" t="s">
        <v>1736</v>
      </c>
      <c r="K52" s="361" t="s">
        <v>1736</v>
      </c>
      <c r="L52" s="361" t="s">
        <v>1736</v>
      </c>
      <c r="M52" s="361"/>
      <c r="N52" s="361"/>
      <c r="O52" s="361"/>
      <c r="P52" s="361"/>
      <c r="Q52" s="358" t="s">
        <v>9207</v>
      </c>
      <c r="R52" s="361" t="s">
        <v>9306</v>
      </c>
      <c r="S52" s="361"/>
      <c r="T52" s="359" t="s">
        <v>9379</v>
      </c>
      <c r="U52" s="359"/>
      <c r="V52" s="359"/>
      <c r="W52" s="359"/>
      <c r="X52" s="359"/>
      <c r="Y52" s="359"/>
      <c r="Z52" s="364">
        <v>44831</v>
      </c>
      <c r="AA52" s="359" t="s">
        <v>254</v>
      </c>
    </row>
    <row r="53" spans="1:27">
      <c r="A53" s="769"/>
      <c r="B53" s="769"/>
      <c r="C53" s="357" t="s">
        <v>9380</v>
      </c>
      <c r="D53" s="357" t="s">
        <v>9381</v>
      </c>
      <c r="E53" s="357" t="s">
        <v>1743</v>
      </c>
      <c r="F53" s="357" t="s">
        <v>9205</v>
      </c>
      <c r="G53" s="368" t="s">
        <v>9303</v>
      </c>
      <c r="H53" s="769"/>
      <c r="I53" s="357"/>
      <c r="J53" s="357" t="s">
        <v>1736</v>
      </c>
      <c r="K53" s="357" t="s">
        <v>1736</v>
      </c>
      <c r="L53" s="357" t="s">
        <v>1736</v>
      </c>
      <c r="M53" s="357"/>
      <c r="N53" s="357"/>
      <c r="O53" s="357"/>
      <c r="P53" s="357"/>
      <c r="Q53" s="358" t="s">
        <v>9207</v>
      </c>
      <c r="R53" s="357" t="s">
        <v>9306</v>
      </c>
      <c r="S53" s="357"/>
      <c r="T53" s="359" t="s">
        <v>9382</v>
      </c>
      <c r="U53" s="359"/>
      <c r="V53" s="359"/>
      <c r="W53" s="359"/>
      <c r="X53" s="359"/>
      <c r="Y53" s="359"/>
      <c r="Z53" s="364">
        <v>44831</v>
      </c>
      <c r="AA53" s="359" t="s">
        <v>254</v>
      </c>
    </row>
    <row r="54" spans="1:27">
      <c r="A54" s="769"/>
      <c r="B54" s="769"/>
      <c r="C54" s="361" t="s">
        <v>9383</v>
      </c>
      <c r="D54" s="361" t="s">
        <v>9384</v>
      </c>
      <c r="E54" s="361" t="s">
        <v>1732</v>
      </c>
      <c r="F54" s="361" t="s">
        <v>9205</v>
      </c>
      <c r="G54" s="559" t="s">
        <v>9303</v>
      </c>
      <c r="H54" s="742" t="s">
        <v>9319</v>
      </c>
      <c r="I54" s="361"/>
      <c r="J54" s="361" t="s">
        <v>1736</v>
      </c>
      <c r="K54" s="361" t="s">
        <v>1736</v>
      </c>
      <c r="L54" s="361" t="s">
        <v>1736</v>
      </c>
      <c r="M54" s="361"/>
      <c r="N54" s="361"/>
      <c r="O54" s="361"/>
      <c r="P54" s="361"/>
      <c r="Q54" s="358" t="s">
        <v>9207</v>
      </c>
      <c r="R54" s="361" t="s">
        <v>9306</v>
      </c>
      <c r="S54" s="361"/>
      <c r="T54" s="359" t="s">
        <v>9385</v>
      </c>
      <c r="U54" s="359"/>
      <c r="V54" s="359"/>
      <c r="W54" s="359"/>
      <c r="X54" s="359"/>
      <c r="Y54" s="359"/>
      <c r="Z54" s="364">
        <v>44831</v>
      </c>
      <c r="AA54" s="359" t="s">
        <v>254</v>
      </c>
    </row>
    <row r="55" spans="1:27">
      <c r="A55" s="769"/>
      <c r="B55" s="769"/>
      <c r="C55" s="357" t="s">
        <v>9386</v>
      </c>
      <c r="D55" s="357" t="s">
        <v>9387</v>
      </c>
      <c r="E55" s="357" t="s">
        <v>1732</v>
      </c>
      <c r="F55" s="357" t="s">
        <v>9205</v>
      </c>
      <c r="G55" s="368" t="s">
        <v>9303</v>
      </c>
      <c r="H55" s="769"/>
      <c r="I55" s="357"/>
      <c r="J55" s="357" t="s">
        <v>1736</v>
      </c>
      <c r="K55" s="357" t="s">
        <v>1736</v>
      </c>
      <c r="L55" s="357" t="s">
        <v>1736</v>
      </c>
      <c r="M55" s="357"/>
      <c r="N55" s="357"/>
      <c r="O55" s="357"/>
      <c r="P55" s="357"/>
      <c r="Q55" s="358" t="s">
        <v>9207</v>
      </c>
      <c r="R55" s="357" t="s">
        <v>9306</v>
      </c>
      <c r="S55" s="357"/>
      <c r="T55" s="359" t="s">
        <v>9388</v>
      </c>
      <c r="U55" s="359"/>
      <c r="V55" s="359"/>
      <c r="W55" s="359"/>
      <c r="X55" s="359"/>
      <c r="Y55" s="359"/>
      <c r="Z55" s="364">
        <v>44831</v>
      </c>
      <c r="AA55" s="359" t="s">
        <v>254</v>
      </c>
    </row>
    <row r="56" spans="1:27">
      <c r="A56" s="769"/>
      <c r="B56" s="769"/>
      <c r="C56" s="361" t="s">
        <v>9389</v>
      </c>
      <c r="D56" s="361" t="s">
        <v>9390</v>
      </c>
      <c r="E56" s="361" t="s">
        <v>1743</v>
      </c>
      <c r="F56" s="361" t="s">
        <v>9205</v>
      </c>
      <c r="G56" s="559" t="s">
        <v>9303</v>
      </c>
      <c r="H56" s="769"/>
      <c r="I56" s="361"/>
      <c r="J56" s="361" t="s">
        <v>1736</v>
      </c>
      <c r="K56" s="361" t="s">
        <v>1736</v>
      </c>
      <c r="L56" s="361" t="s">
        <v>1736</v>
      </c>
      <c r="M56" s="361"/>
      <c r="N56" s="361"/>
      <c r="O56" s="361"/>
      <c r="P56" s="361"/>
      <c r="Q56" s="358" t="s">
        <v>9207</v>
      </c>
      <c r="R56" s="361" t="s">
        <v>9306</v>
      </c>
      <c r="S56" s="361"/>
      <c r="T56" s="359" t="s">
        <v>9391</v>
      </c>
      <c r="U56" s="359"/>
      <c r="V56" s="359"/>
      <c r="W56" s="359"/>
      <c r="X56" s="359"/>
      <c r="Y56" s="359"/>
      <c r="Z56" s="364">
        <v>44831</v>
      </c>
      <c r="AA56" s="359" t="s">
        <v>254</v>
      </c>
    </row>
    <row r="57" spans="1:27">
      <c r="A57" s="769"/>
      <c r="B57" s="769"/>
      <c r="C57" s="357" t="s">
        <v>9392</v>
      </c>
      <c r="D57" s="357" t="s">
        <v>9393</v>
      </c>
      <c r="E57" s="357" t="s">
        <v>1743</v>
      </c>
      <c r="F57" s="357" t="s">
        <v>9205</v>
      </c>
      <c r="G57" s="368" t="s">
        <v>9303</v>
      </c>
      <c r="H57" s="769"/>
      <c r="I57" s="357"/>
      <c r="J57" s="357" t="s">
        <v>1736</v>
      </c>
      <c r="K57" s="357" t="s">
        <v>1736</v>
      </c>
      <c r="L57" s="357" t="s">
        <v>1736</v>
      </c>
      <c r="M57" s="357"/>
      <c r="N57" s="357"/>
      <c r="O57" s="357"/>
      <c r="P57" s="357"/>
      <c r="Q57" s="358" t="s">
        <v>9207</v>
      </c>
      <c r="R57" s="357" t="s">
        <v>9306</v>
      </c>
      <c r="S57" s="357"/>
      <c r="T57" s="359" t="s">
        <v>9394</v>
      </c>
      <c r="U57" s="359"/>
      <c r="V57" s="359"/>
      <c r="W57" s="359"/>
      <c r="X57" s="359"/>
      <c r="Y57" s="359"/>
      <c r="Z57" s="364">
        <v>44831</v>
      </c>
      <c r="AA57" s="359" t="s">
        <v>254</v>
      </c>
    </row>
    <row r="58" spans="1:27">
      <c r="A58" s="769"/>
      <c r="B58" s="769"/>
      <c r="C58" s="361" t="s">
        <v>9395</v>
      </c>
      <c r="D58" s="361" t="s">
        <v>9396</v>
      </c>
      <c r="E58" s="361" t="s">
        <v>1743</v>
      </c>
      <c r="F58" s="361" t="s">
        <v>9205</v>
      </c>
      <c r="G58" s="559" t="s">
        <v>9303</v>
      </c>
      <c r="H58" s="769"/>
      <c r="I58" s="361"/>
      <c r="J58" s="361" t="s">
        <v>1736</v>
      </c>
      <c r="K58" s="361" t="s">
        <v>1736</v>
      </c>
      <c r="L58" s="361" t="s">
        <v>1736</v>
      </c>
      <c r="M58" s="361"/>
      <c r="N58" s="361"/>
      <c r="O58" s="361"/>
      <c r="P58" s="361"/>
      <c r="Q58" s="358" t="s">
        <v>9207</v>
      </c>
      <c r="R58" s="361" t="s">
        <v>9306</v>
      </c>
      <c r="S58" s="361"/>
      <c r="T58" s="359" t="s">
        <v>9397</v>
      </c>
      <c r="U58" s="359"/>
      <c r="V58" s="359"/>
      <c r="W58" s="359"/>
      <c r="X58" s="359"/>
      <c r="Y58" s="359"/>
      <c r="Z58" s="364">
        <v>44831</v>
      </c>
      <c r="AA58" s="359" t="s">
        <v>254</v>
      </c>
    </row>
    <row r="59" spans="1:27">
      <c r="A59" s="769"/>
      <c r="B59" s="769"/>
      <c r="C59" s="357" t="s">
        <v>9398</v>
      </c>
      <c r="D59" s="357" t="s">
        <v>9399</v>
      </c>
      <c r="E59" s="357" t="s">
        <v>1732</v>
      </c>
      <c r="F59" s="357" t="s">
        <v>9205</v>
      </c>
      <c r="G59" s="368" t="s">
        <v>9303</v>
      </c>
      <c r="H59" s="769"/>
      <c r="I59" s="357"/>
      <c r="J59" s="357" t="s">
        <v>1736</v>
      </c>
      <c r="K59" s="357" t="s">
        <v>1736</v>
      </c>
      <c r="L59" s="357" t="s">
        <v>1736</v>
      </c>
      <c r="M59" s="357"/>
      <c r="N59" s="357"/>
      <c r="O59" s="357"/>
      <c r="P59" s="357"/>
      <c r="Q59" s="358" t="s">
        <v>9207</v>
      </c>
      <c r="R59" s="357" t="s">
        <v>9306</v>
      </c>
      <c r="S59" s="357"/>
      <c r="T59" s="359" t="s">
        <v>9400</v>
      </c>
      <c r="U59" s="359"/>
      <c r="V59" s="359"/>
      <c r="W59" s="359"/>
      <c r="X59" s="359"/>
      <c r="Y59" s="359"/>
      <c r="Z59" s="364">
        <v>44831</v>
      </c>
      <c r="AA59" s="359" t="s">
        <v>254</v>
      </c>
    </row>
    <row r="60" spans="1:27">
      <c r="A60" s="769"/>
      <c r="B60" s="769"/>
      <c r="C60" s="361" t="s">
        <v>9401</v>
      </c>
      <c r="D60" s="361" t="s">
        <v>9402</v>
      </c>
      <c r="E60" s="361" t="s">
        <v>1743</v>
      </c>
      <c r="F60" s="361" t="s">
        <v>9205</v>
      </c>
      <c r="G60" s="559" t="s">
        <v>9303</v>
      </c>
      <c r="H60" s="769"/>
      <c r="I60" s="361"/>
      <c r="J60" s="361" t="s">
        <v>1736</v>
      </c>
      <c r="K60" s="361" t="s">
        <v>1736</v>
      </c>
      <c r="L60" s="361" t="s">
        <v>1736</v>
      </c>
      <c r="M60" s="361"/>
      <c r="N60" s="361"/>
      <c r="O60" s="361"/>
      <c r="P60" s="361"/>
      <c r="Q60" s="358" t="s">
        <v>9207</v>
      </c>
      <c r="R60" s="361" t="s">
        <v>9306</v>
      </c>
      <c r="S60" s="361"/>
      <c r="T60" s="359" t="s">
        <v>9403</v>
      </c>
      <c r="U60" s="359"/>
      <c r="V60" s="359"/>
      <c r="W60" s="359"/>
      <c r="X60" s="359"/>
      <c r="Y60" s="359"/>
      <c r="Z60" s="364">
        <v>44831</v>
      </c>
      <c r="AA60" s="359" t="s">
        <v>254</v>
      </c>
    </row>
    <row r="61" spans="1:27">
      <c r="A61" s="769"/>
      <c r="B61" s="769"/>
      <c r="C61" s="357" t="s">
        <v>9404</v>
      </c>
      <c r="D61" s="357" t="s">
        <v>9405</v>
      </c>
      <c r="E61" s="357" t="s">
        <v>1743</v>
      </c>
      <c r="F61" s="357" t="s">
        <v>9205</v>
      </c>
      <c r="G61" s="368" t="s">
        <v>9303</v>
      </c>
      <c r="H61" s="357"/>
      <c r="I61" s="357"/>
      <c r="J61" s="357" t="s">
        <v>1736</v>
      </c>
      <c r="K61" s="357" t="s">
        <v>1736</v>
      </c>
      <c r="L61" s="357" t="s">
        <v>1736</v>
      </c>
      <c r="M61" s="357"/>
      <c r="N61" s="357"/>
      <c r="O61" s="357"/>
      <c r="P61" s="357"/>
      <c r="Q61" s="358" t="s">
        <v>9207</v>
      </c>
      <c r="R61" s="357" t="s">
        <v>9306</v>
      </c>
      <c r="S61" s="357"/>
      <c r="T61" s="359" t="s">
        <v>9406</v>
      </c>
      <c r="U61" s="359"/>
      <c r="V61" s="359"/>
      <c r="W61" s="359"/>
      <c r="X61" s="359"/>
      <c r="Y61" s="359"/>
      <c r="Z61" s="364">
        <v>44831</v>
      </c>
      <c r="AA61" s="359" t="s">
        <v>254</v>
      </c>
    </row>
    <row r="62" spans="1:27">
      <c r="A62" s="769"/>
      <c r="B62" s="769"/>
      <c r="C62" s="361" t="s">
        <v>9407</v>
      </c>
      <c r="D62" s="361" t="s">
        <v>9408</v>
      </c>
      <c r="E62" s="361" t="s">
        <v>1743</v>
      </c>
      <c r="F62" s="361" t="s">
        <v>9205</v>
      </c>
      <c r="G62" s="559" t="s">
        <v>9303</v>
      </c>
      <c r="H62" s="361"/>
      <c r="I62" s="361"/>
      <c r="J62" s="361" t="s">
        <v>1736</v>
      </c>
      <c r="K62" s="361" t="s">
        <v>1736</v>
      </c>
      <c r="L62" s="361" t="s">
        <v>1736</v>
      </c>
      <c r="M62" s="361"/>
      <c r="N62" s="361"/>
      <c r="O62" s="361"/>
      <c r="P62" s="361"/>
      <c r="Q62" s="358" t="s">
        <v>9207</v>
      </c>
      <c r="R62" s="361" t="s">
        <v>9306</v>
      </c>
      <c r="S62" s="361"/>
      <c r="T62" s="359" t="s">
        <v>9409</v>
      </c>
      <c r="U62" s="359"/>
      <c r="V62" s="359"/>
      <c r="W62" s="359"/>
      <c r="X62" s="359"/>
      <c r="Y62" s="359"/>
      <c r="Z62" s="364">
        <v>44831</v>
      </c>
      <c r="AA62" s="359" t="s">
        <v>254</v>
      </c>
    </row>
    <row r="63" spans="1:27">
      <c r="A63" s="769"/>
      <c r="B63" s="769"/>
      <c r="C63" s="357" t="s">
        <v>9410</v>
      </c>
      <c r="D63" s="357" t="s">
        <v>9411</v>
      </c>
      <c r="E63" s="357" t="s">
        <v>1732</v>
      </c>
      <c r="F63" s="357" t="s">
        <v>9205</v>
      </c>
      <c r="G63" s="368" t="s">
        <v>9303</v>
      </c>
      <c r="H63" s="357"/>
      <c r="I63" s="357"/>
      <c r="J63" s="357" t="s">
        <v>1736</v>
      </c>
      <c r="K63" s="357" t="s">
        <v>1736</v>
      </c>
      <c r="L63" s="357" t="s">
        <v>1736</v>
      </c>
      <c r="M63" s="357"/>
      <c r="N63" s="357"/>
      <c r="O63" s="357"/>
      <c r="P63" s="357"/>
      <c r="Q63" s="358" t="s">
        <v>9207</v>
      </c>
      <c r="R63" s="357" t="s">
        <v>9306</v>
      </c>
      <c r="S63" s="357"/>
      <c r="T63" s="359" t="s">
        <v>9412</v>
      </c>
      <c r="U63" s="359"/>
      <c r="V63" s="359"/>
      <c r="W63" s="359"/>
      <c r="X63" s="359"/>
      <c r="Y63" s="359"/>
      <c r="Z63" s="364">
        <v>44831</v>
      </c>
      <c r="AA63" s="359" t="s">
        <v>254</v>
      </c>
    </row>
    <row r="64" spans="1:27">
      <c r="A64" s="769"/>
      <c r="B64" s="769"/>
      <c r="C64" s="361" t="s">
        <v>9413</v>
      </c>
      <c r="D64" s="361" t="s">
        <v>9414</v>
      </c>
      <c r="E64" s="361" t="s">
        <v>1743</v>
      </c>
      <c r="F64" s="361" t="s">
        <v>9205</v>
      </c>
      <c r="G64" s="559" t="s">
        <v>9303</v>
      </c>
      <c r="H64" s="361"/>
      <c r="I64" s="361"/>
      <c r="J64" s="361" t="s">
        <v>1736</v>
      </c>
      <c r="K64" s="361" t="s">
        <v>1736</v>
      </c>
      <c r="L64" s="361" t="s">
        <v>1736</v>
      </c>
      <c r="M64" s="361"/>
      <c r="N64" s="361"/>
      <c r="O64" s="361"/>
      <c r="P64" s="361"/>
      <c r="Q64" s="358" t="s">
        <v>9207</v>
      </c>
      <c r="R64" s="361" t="s">
        <v>9306</v>
      </c>
      <c r="S64" s="361"/>
      <c r="T64" s="359" t="s">
        <v>9415</v>
      </c>
      <c r="U64" s="359"/>
      <c r="V64" s="359"/>
      <c r="W64" s="359"/>
      <c r="X64" s="359"/>
      <c r="Y64" s="359"/>
      <c r="Z64" s="364">
        <v>44831</v>
      </c>
      <c r="AA64" s="359" t="s">
        <v>254</v>
      </c>
    </row>
    <row r="65" spans="1:27">
      <c r="A65" s="769"/>
      <c r="B65" s="769"/>
      <c r="C65" s="357" t="s">
        <v>9416</v>
      </c>
      <c r="D65" s="357" t="s">
        <v>9417</v>
      </c>
      <c r="E65" s="357" t="s">
        <v>1743</v>
      </c>
      <c r="F65" s="357" t="s">
        <v>9205</v>
      </c>
      <c r="G65" s="368" t="s">
        <v>9303</v>
      </c>
      <c r="H65" s="357"/>
      <c r="I65" s="357"/>
      <c r="J65" s="357" t="s">
        <v>1736</v>
      </c>
      <c r="K65" s="357" t="s">
        <v>1736</v>
      </c>
      <c r="L65" s="357" t="s">
        <v>1736</v>
      </c>
      <c r="M65" s="357"/>
      <c r="N65" s="357"/>
      <c r="O65" s="357"/>
      <c r="P65" s="357"/>
      <c r="Q65" s="358" t="s">
        <v>9207</v>
      </c>
      <c r="R65" s="357" t="s">
        <v>9306</v>
      </c>
      <c r="S65" s="357"/>
      <c r="T65" s="359" t="s">
        <v>9418</v>
      </c>
      <c r="U65" s="359"/>
      <c r="V65" s="359"/>
      <c r="W65" s="359"/>
      <c r="X65" s="359"/>
      <c r="Y65" s="359"/>
      <c r="Z65" s="364">
        <v>44831</v>
      </c>
      <c r="AA65" s="359" t="s">
        <v>254</v>
      </c>
    </row>
    <row r="66" spans="1:27">
      <c r="A66" s="769"/>
      <c r="B66" s="769"/>
      <c r="C66" s="361" t="s">
        <v>9419</v>
      </c>
      <c r="D66" s="361" t="s">
        <v>9420</v>
      </c>
      <c r="E66" s="361" t="s">
        <v>1743</v>
      </c>
      <c r="F66" s="361" t="s">
        <v>9205</v>
      </c>
      <c r="G66" s="559" t="s">
        <v>9303</v>
      </c>
      <c r="H66" s="361"/>
      <c r="I66" s="361"/>
      <c r="J66" s="361" t="s">
        <v>1736</v>
      </c>
      <c r="K66" s="361" t="s">
        <v>1736</v>
      </c>
      <c r="L66" s="361" t="s">
        <v>1736</v>
      </c>
      <c r="M66" s="361"/>
      <c r="N66" s="361"/>
      <c r="O66" s="361"/>
      <c r="P66" s="361"/>
      <c r="Q66" s="358" t="s">
        <v>9207</v>
      </c>
      <c r="R66" s="361" t="s">
        <v>9306</v>
      </c>
      <c r="S66" s="361"/>
      <c r="T66" s="359" t="s">
        <v>9421</v>
      </c>
      <c r="U66" s="359"/>
      <c r="V66" s="359"/>
      <c r="W66" s="359"/>
      <c r="X66" s="359"/>
      <c r="Y66" s="359"/>
      <c r="Z66" s="364">
        <v>44831</v>
      </c>
      <c r="AA66" s="359" t="s">
        <v>254</v>
      </c>
    </row>
    <row r="67" spans="1:27">
      <c r="A67" s="769"/>
      <c r="B67" s="769"/>
      <c r="C67" s="357" t="s">
        <v>9422</v>
      </c>
      <c r="D67" s="357" t="s">
        <v>9423</v>
      </c>
      <c r="E67" s="357" t="s">
        <v>1732</v>
      </c>
      <c r="F67" s="357" t="s">
        <v>9205</v>
      </c>
      <c r="G67" s="368" t="s">
        <v>9303</v>
      </c>
      <c r="H67" s="357"/>
      <c r="I67" s="357"/>
      <c r="J67" s="357" t="s">
        <v>1736</v>
      </c>
      <c r="K67" s="357" t="s">
        <v>1736</v>
      </c>
      <c r="L67" s="357" t="s">
        <v>1736</v>
      </c>
      <c r="M67" s="357"/>
      <c r="N67" s="357"/>
      <c r="O67" s="357"/>
      <c r="P67" s="357"/>
      <c r="Q67" s="358" t="s">
        <v>9207</v>
      </c>
      <c r="R67" s="357" t="s">
        <v>9306</v>
      </c>
      <c r="S67" s="357"/>
      <c r="T67" s="359" t="s">
        <v>9424</v>
      </c>
      <c r="U67" s="359"/>
      <c r="V67" s="359"/>
      <c r="W67" s="359"/>
      <c r="X67" s="359"/>
      <c r="Y67" s="359"/>
      <c r="Z67" s="364">
        <v>44831</v>
      </c>
      <c r="AA67" s="359" t="s">
        <v>254</v>
      </c>
    </row>
    <row r="68" spans="1:27">
      <c r="A68" s="769"/>
      <c r="B68" s="769"/>
      <c r="C68" s="361" t="s">
        <v>9425</v>
      </c>
      <c r="D68" s="361" t="s">
        <v>9426</v>
      </c>
      <c r="E68" s="361" t="s">
        <v>1732</v>
      </c>
      <c r="F68" s="361" t="s">
        <v>9205</v>
      </c>
      <c r="G68" s="559" t="s">
        <v>9303</v>
      </c>
      <c r="H68" s="361"/>
      <c r="I68" s="361"/>
      <c r="J68" s="361" t="s">
        <v>1736</v>
      </c>
      <c r="K68" s="361" t="s">
        <v>1736</v>
      </c>
      <c r="L68" s="361" t="s">
        <v>1736</v>
      </c>
      <c r="M68" s="361"/>
      <c r="N68" s="361"/>
      <c r="O68" s="361"/>
      <c r="P68" s="361"/>
      <c r="Q68" s="358" t="s">
        <v>9207</v>
      </c>
      <c r="R68" s="361" t="s">
        <v>9306</v>
      </c>
      <c r="S68" s="361"/>
      <c r="T68" s="359" t="s">
        <v>9427</v>
      </c>
      <c r="U68" s="359"/>
      <c r="V68" s="359"/>
      <c r="W68" s="359"/>
      <c r="X68" s="359"/>
      <c r="Y68" s="359"/>
      <c r="Z68" s="364">
        <v>44831</v>
      </c>
      <c r="AA68" s="359" t="s">
        <v>254</v>
      </c>
    </row>
    <row r="69" spans="1:27">
      <c r="A69" s="769"/>
      <c r="B69" s="769"/>
      <c r="C69" s="357" t="s">
        <v>9428</v>
      </c>
      <c r="D69" s="357" t="s">
        <v>9429</v>
      </c>
      <c r="E69" s="357" t="s">
        <v>1732</v>
      </c>
      <c r="F69" s="357" t="s">
        <v>9205</v>
      </c>
      <c r="G69" s="368" t="s">
        <v>9303</v>
      </c>
      <c r="H69" s="357"/>
      <c r="I69" s="357"/>
      <c r="J69" s="357" t="s">
        <v>1736</v>
      </c>
      <c r="K69" s="357" t="s">
        <v>1736</v>
      </c>
      <c r="L69" s="357" t="s">
        <v>1736</v>
      </c>
      <c r="M69" s="357"/>
      <c r="N69" s="357"/>
      <c r="O69" s="357"/>
      <c r="P69" s="357"/>
      <c r="Q69" s="358" t="s">
        <v>9207</v>
      </c>
      <c r="R69" s="357" t="s">
        <v>9306</v>
      </c>
      <c r="S69" s="357"/>
      <c r="T69" s="359" t="s">
        <v>9430</v>
      </c>
      <c r="U69" s="359"/>
      <c r="V69" s="359"/>
      <c r="W69" s="359"/>
      <c r="X69" s="359"/>
      <c r="Y69" s="359"/>
      <c r="Z69" s="364">
        <v>44833</v>
      </c>
      <c r="AA69" s="359" t="s">
        <v>254</v>
      </c>
    </row>
    <row r="70" spans="1:27">
      <c r="A70" s="769"/>
      <c r="B70" s="769"/>
      <c r="C70" s="361" t="s">
        <v>9431</v>
      </c>
      <c r="D70" s="361" t="s">
        <v>9432</v>
      </c>
      <c r="E70" s="361" t="s">
        <v>1732</v>
      </c>
      <c r="F70" s="361" t="s">
        <v>9205</v>
      </c>
      <c r="G70" s="559" t="s">
        <v>9303</v>
      </c>
      <c r="H70" s="361"/>
      <c r="I70" s="361"/>
      <c r="J70" s="361" t="s">
        <v>1736</v>
      </c>
      <c r="K70" s="361" t="s">
        <v>1736</v>
      </c>
      <c r="L70" s="361" t="s">
        <v>1736</v>
      </c>
      <c r="M70" s="361"/>
      <c r="N70" s="361"/>
      <c r="O70" s="361"/>
      <c r="P70" s="361"/>
      <c r="Q70" s="358" t="s">
        <v>9207</v>
      </c>
      <c r="R70" s="361" t="s">
        <v>9306</v>
      </c>
      <c r="S70" s="361"/>
      <c r="T70" s="359" t="s">
        <v>9433</v>
      </c>
      <c r="U70" s="359"/>
      <c r="V70" s="359"/>
      <c r="W70" s="359"/>
      <c r="X70" s="359"/>
      <c r="Y70" s="359"/>
      <c r="Z70" s="364">
        <v>44833</v>
      </c>
      <c r="AA70" s="359" t="s">
        <v>254</v>
      </c>
    </row>
    <row r="71" spans="1:27">
      <c r="A71" s="769"/>
      <c r="B71" s="769"/>
      <c r="C71" s="357" t="s">
        <v>9434</v>
      </c>
      <c r="D71" s="357" t="s">
        <v>9435</v>
      </c>
      <c r="E71" s="357" t="s">
        <v>1743</v>
      </c>
      <c r="F71" s="357" t="s">
        <v>9205</v>
      </c>
      <c r="G71" s="368" t="s">
        <v>9303</v>
      </c>
      <c r="H71" s="357"/>
      <c r="I71" s="357"/>
      <c r="J71" s="357" t="s">
        <v>1736</v>
      </c>
      <c r="K71" s="357" t="s">
        <v>1736</v>
      </c>
      <c r="L71" s="357" t="s">
        <v>1736</v>
      </c>
      <c r="M71" s="357"/>
      <c r="N71" s="357"/>
      <c r="O71" s="357"/>
      <c r="P71" s="357"/>
      <c r="Q71" s="358" t="s">
        <v>9207</v>
      </c>
      <c r="R71" s="357" t="s">
        <v>9306</v>
      </c>
      <c r="S71" s="357"/>
      <c r="T71" s="366" t="s">
        <v>9436</v>
      </c>
      <c r="U71" s="359"/>
      <c r="V71" s="359"/>
      <c r="W71" s="359"/>
      <c r="X71" s="359"/>
      <c r="Y71" s="359"/>
      <c r="Z71" s="364">
        <v>44833</v>
      </c>
      <c r="AA71" s="359" t="s">
        <v>254</v>
      </c>
    </row>
    <row r="72" spans="1:27">
      <c r="A72" s="769"/>
      <c r="B72" s="769"/>
      <c r="C72" s="361" t="s">
        <v>9437</v>
      </c>
      <c r="D72" s="361" t="s">
        <v>9438</v>
      </c>
      <c r="E72" s="361" t="s">
        <v>1743</v>
      </c>
      <c r="F72" s="361" t="s">
        <v>9205</v>
      </c>
      <c r="G72" s="559" t="s">
        <v>9303</v>
      </c>
      <c r="H72" s="361"/>
      <c r="I72" s="361"/>
      <c r="J72" s="361" t="s">
        <v>1736</v>
      </c>
      <c r="K72" s="361" t="s">
        <v>1736</v>
      </c>
      <c r="L72" s="361" t="s">
        <v>1736</v>
      </c>
      <c r="M72" s="361"/>
      <c r="N72" s="361"/>
      <c r="O72" s="361"/>
      <c r="P72" s="361"/>
      <c r="Q72" s="358" t="s">
        <v>9207</v>
      </c>
      <c r="R72" s="361" t="s">
        <v>9306</v>
      </c>
      <c r="S72" s="361"/>
      <c r="T72" s="359" t="s">
        <v>9439</v>
      </c>
      <c r="U72" s="359"/>
      <c r="V72" s="359"/>
      <c r="W72" s="359"/>
      <c r="X72" s="359"/>
      <c r="Y72" s="359"/>
      <c r="Z72" s="364">
        <v>44833</v>
      </c>
      <c r="AA72" s="359" t="s">
        <v>254</v>
      </c>
    </row>
    <row r="73" spans="1:27">
      <c r="A73" s="769"/>
      <c r="B73" s="769"/>
      <c r="C73" s="357" t="s">
        <v>9440</v>
      </c>
      <c r="D73" s="357" t="s">
        <v>9441</v>
      </c>
      <c r="E73" s="357" t="s">
        <v>1743</v>
      </c>
      <c r="F73" s="357" t="s">
        <v>9205</v>
      </c>
      <c r="G73" s="368" t="s">
        <v>9303</v>
      </c>
      <c r="H73" s="357"/>
      <c r="I73" s="357"/>
      <c r="J73" s="357" t="s">
        <v>1736</v>
      </c>
      <c r="K73" s="357" t="s">
        <v>1736</v>
      </c>
      <c r="L73" s="357" t="s">
        <v>1736</v>
      </c>
      <c r="M73" s="357"/>
      <c r="N73" s="357"/>
      <c r="O73" s="357"/>
      <c r="P73" s="357"/>
      <c r="Q73" s="358" t="s">
        <v>9207</v>
      </c>
      <c r="R73" s="357" t="s">
        <v>9306</v>
      </c>
      <c r="S73" s="357"/>
      <c r="T73" s="359" t="s">
        <v>9442</v>
      </c>
      <c r="U73" s="359"/>
      <c r="V73" s="359"/>
      <c r="W73" s="359"/>
      <c r="X73" s="359"/>
      <c r="Y73" s="359"/>
      <c r="Z73" s="364">
        <v>44833</v>
      </c>
      <c r="AA73" s="359" t="s">
        <v>254</v>
      </c>
    </row>
    <row r="74" spans="1:27">
      <c r="A74" s="769"/>
      <c r="B74" s="769"/>
      <c r="C74" s="361" t="s">
        <v>9443</v>
      </c>
      <c r="D74" s="361" t="s">
        <v>9444</v>
      </c>
      <c r="E74" s="361" t="s">
        <v>1732</v>
      </c>
      <c r="F74" s="361" t="s">
        <v>9205</v>
      </c>
      <c r="G74" s="559" t="s">
        <v>9303</v>
      </c>
      <c r="H74" s="361"/>
      <c r="I74" s="361"/>
      <c r="J74" s="361" t="s">
        <v>1736</v>
      </c>
      <c r="K74" s="361" t="s">
        <v>1736</v>
      </c>
      <c r="L74" s="361" t="s">
        <v>1736</v>
      </c>
      <c r="M74" s="361"/>
      <c r="N74" s="361"/>
      <c r="O74" s="361"/>
      <c r="P74" s="361"/>
      <c r="Q74" s="358" t="s">
        <v>9207</v>
      </c>
      <c r="R74" s="361" t="s">
        <v>9306</v>
      </c>
      <c r="S74" s="361"/>
      <c r="T74" s="359" t="s">
        <v>9445</v>
      </c>
      <c r="U74" s="359"/>
      <c r="V74" s="359"/>
      <c r="W74" s="359"/>
      <c r="X74" s="359"/>
      <c r="Y74" s="359"/>
      <c r="Z74" s="364">
        <v>44833</v>
      </c>
      <c r="AA74" s="359" t="s">
        <v>254</v>
      </c>
    </row>
    <row r="75" spans="1:27">
      <c r="A75" s="769"/>
      <c r="B75" s="769"/>
      <c r="C75" s="357" t="s">
        <v>9446</v>
      </c>
      <c r="D75" s="357" t="s">
        <v>9447</v>
      </c>
      <c r="E75" s="357" t="s">
        <v>1743</v>
      </c>
      <c r="F75" s="357" t="s">
        <v>9205</v>
      </c>
      <c r="G75" s="368" t="s">
        <v>9303</v>
      </c>
      <c r="H75" s="357"/>
      <c r="I75" s="357"/>
      <c r="J75" s="357" t="s">
        <v>1736</v>
      </c>
      <c r="K75" s="357" t="s">
        <v>1736</v>
      </c>
      <c r="L75" s="357" t="s">
        <v>1736</v>
      </c>
      <c r="M75" s="357"/>
      <c r="N75" s="357"/>
      <c r="O75" s="357"/>
      <c r="P75" s="357"/>
      <c r="Q75" s="358" t="s">
        <v>9207</v>
      </c>
      <c r="R75" s="357" t="s">
        <v>9306</v>
      </c>
      <c r="S75" s="357"/>
      <c r="T75" s="359" t="s">
        <v>9448</v>
      </c>
      <c r="U75" s="359"/>
      <c r="V75" s="359"/>
      <c r="W75" s="359"/>
      <c r="X75" s="359"/>
      <c r="Y75" s="359"/>
      <c r="Z75" s="364">
        <v>44833</v>
      </c>
      <c r="AA75" s="359" t="s">
        <v>254</v>
      </c>
    </row>
    <row r="76" spans="1:27">
      <c r="A76" s="769"/>
      <c r="B76" s="769"/>
      <c r="C76" s="361" t="s">
        <v>9449</v>
      </c>
      <c r="D76" s="361" t="s">
        <v>9450</v>
      </c>
      <c r="E76" s="361" t="s">
        <v>1743</v>
      </c>
      <c r="F76" s="361" t="s">
        <v>9205</v>
      </c>
      <c r="G76" s="559" t="s">
        <v>9303</v>
      </c>
      <c r="H76" s="361"/>
      <c r="I76" s="361"/>
      <c r="J76" s="361" t="s">
        <v>1736</v>
      </c>
      <c r="K76" s="361" t="s">
        <v>1736</v>
      </c>
      <c r="L76" s="361" t="s">
        <v>1736</v>
      </c>
      <c r="M76" s="361"/>
      <c r="N76" s="361"/>
      <c r="O76" s="361"/>
      <c r="P76" s="361"/>
      <c r="Q76" s="358" t="s">
        <v>9207</v>
      </c>
      <c r="R76" s="361" t="s">
        <v>9451</v>
      </c>
      <c r="S76" s="361"/>
      <c r="T76" s="359" t="s">
        <v>9452</v>
      </c>
      <c r="U76" s="359"/>
      <c r="V76" s="359"/>
      <c r="W76" s="359"/>
      <c r="X76" s="359"/>
      <c r="Y76" s="359"/>
      <c r="Z76" s="364">
        <v>44833</v>
      </c>
      <c r="AA76" s="359" t="s">
        <v>254</v>
      </c>
    </row>
    <row r="77" spans="1:27">
      <c r="A77" s="731" t="s">
        <v>9453</v>
      </c>
      <c r="B77" s="731" t="s">
        <v>9454</v>
      </c>
      <c r="C77" s="357" t="s">
        <v>9455</v>
      </c>
      <c r="D77" s="357" t="s">
        <v>9456</v>
      </c>
      <c r="E77" s="357" t="s">
        <v>1732</v>
      </c>
      <c r="F77" s="357" t="s">
        <v>9205</v>
      </c>
      <c r="G77" s="357" t="s">
        <v>9457</v>
      </c>
      <c r="H77" s="357"/>
      <c r="I77" s="357"/>
      <c r="J77" s="357" t="s">
        <v>1736</v>
      </c>
      <c r="K77" s="357" t="s">
        <v>1736</v>
      </c>
      <c r="L77" s="357"/>
      <c r="M77" s="357"/>
      <c r="N77" s="357"/>
      <c r="O77" s="357" t="s">
        <v>1736</v>
      </c>
      <c r="P77" s="357"/>
      <c r="Q77" s="358" t="s">
        <v>9207</v>
      </c>
      <c r="R77" s="357"/>
      <c r="S77" s="357"/>
      <c r="T77" s="359" t="s">
        <v>9458</v>
      </c>
      <c r="U77" s="359"/>
      <c r="V77" s="359"/>
      <c r="W77" s="359"/>
      <c r="X77" s="359"/>
      <c r="Y77" s="359"/>
      <c r="Z77" s="364">
        <v>44839</v>
      </c>
      <c r="AA77" s="359" t="s">
        <v>254</v>
      </c>
    </row>
    <row r="78" spans="1:27">
      <c r="A78" s="769"/>
      <c r="B78" s="769"/>
      <c r="C78" s="361" t="s">
        <v>9459</v>
      </c>
      <c r="D78" s="361" t="s">
        <v>9460</v>
      </c>
      <c r="E78" s="361" t="s">
        <v>1732</v>
      </c>
      <c r="F78" s="361"/>
      <c r="G78" s="361" t="s">
        <v>9457</v>
      </c>
      <c r="H78" s="361"/>
      <c r="I78" s="361"/>
      <c r="J78" s="361" t="s">
        <v>1736</v>
      </c>
      <c r="K78" s="361" t="s">
        <v>1736</v>
      </c>
      <c r="L78" s="361"/>
      <c r="M78" s="361"/>
      <c r="N78" s="361"/>
      <c r="O78" s="361" t="s">
        <v>1736</v>
      </c>
      <c r="P78" s="361"/>
      <c r="Q78" s="358" t="s">
        <v>9207</v>
      </c>
      <c r="R78" s="370"/>
      <c r="S78" s="361"/>
      <c r="T78" s="359" t="s">
        <v>9461</v>
      </c>
      <c r="U78" s="359"/>
      <c r="V78" s="359"/>
      <c r="W78" s="359"/>
      <c r="X78" s="359"/>
      <c r="Y78" s="359"/>
      <c r="Z78" s="364">
        <v>44853</v>
      </c>
      <c r="AA78" s="359" t="s">
        <v>254</v>
      </c>
    </row>
    <row r="79" spans="1:27">
      <c r="A79" s="769"/>
      <c r="B79" s="769"/>
      <c r="C79" s="357" t="s">
        <v>9462</v>
      </c>
      <c r="D79" s="357" t="s">
        <v>9463</v>
      </c>
      <c r="E79" s="357" t="s">
        <v>1732</v>
      </c>
      <c r="F79" s="357" t="s">
        <v>9205</v>
      </c>
      <c r="G79" s="357" t="s">
        <v>9457</v>
      </c>
      <c r="H79" s="357"/>
      <c r="I79" s="357"/>
      <c r="J79" s="357" t="s">
        <v>1736</v>
      </c>
      <c r="K79" s="357" t="s">
        <v>1736</v>
      </c>
      <c r="L79" s="357"/>
      <c r="M79" s="357"/>
      <c r="N79" s="357"/>
      <c r="O79" s="357" t="s">
        <v>1736</v>
      </c>
      <c r="P79" s="357"/>
      <c r="Q79" s="358" t="s">
        <v>9207</v>
      </c>
      <c r="R79" s="357"/>
      <c r="S79" s="357"/>
      <c r="T79" s="359" t="s">
        <v>9464</v>
      </c>
      <c r="U79" s="359"/>
      <c r="V79" s="359"/>
      <c r="W79" s="359"/>
      <c r="X79" s="359"/>
      <c r="Y79" s="359"/>
      <c r="Z79" s="364">
        <v>44840</v>
      </c>
      <c r="AA79" s="359" t="s">
        <v>254</v>
      </c>
    </row>
    <row r="80" spans="1:27">
      <c r="A80" s="769"/>
      <c r="B80" s="769"/>
      <c r="C80" s="361" t="s">
        <v>9465</v>
      </c>
      <c r="D80" s="361" t="s">
        <v>9466</v>
      </c>
      <c r="E80" s="361" t="s">
        <v>1732</v>
      </c>
      <c r="F80" s="361" t="s">
        <v>9205</v>
      </c>
      <c r="G80" s="361" t="s">
        <v>9457</v>
      </c>
      <c r="H80" s="361"/>
      <c r="I80" s="361"/>
      <c r="J80" s="361" t="s">
        <v>1736</v>
      </c>
      <c r="K80" s="361" t="s">
        <v>1736</v>
      </c>
      <c r="L80" s="361"/>
      <c r="M80" s="361"/>
      <c r="N80" s="361"/>
      <c r="O80" s="361" t="s">
        <v>1736</v>
      </c>
      <c r="P80" s="361"/>
      <c r="Q80" s="358" t="s">
        <v>9207</v>
      </c>
      <c r="R80" s="361"/>
      <c r="S80" s="361"/>
      <c r="T80" s="359" t="s">
        <v>9467</v>
      </c>
      <c r="U80" s="359"/>
      <c r="V80" s="359"/>
      <c r="W80" s="359"/>
      <c r="X80" s="359"/>
      <c r="Y80" s="359"/>
      <c r="Z80" s="364">
        <v>44840</v>
      </c>
      <c r="AA80" s="359" t="s">
        <v>254</v>
      </c>
    </row>
    <row r="81" spans="1:27">
      <c r="A81" s="769"/>
      <c r="B81" s="769"/>
      <c r="C81" s="357" t="s">
        <v>9468</v>
      </c>
      <c r="D81" s="357" t="s">
        <v>9469</v>
      </c>
      <c r="E81" s="357" t="s">
        <v>1732</v>
      </c>
      <c r="F81" s="357" t="s">
        <v>9205</v>
      </c>
      <c r="G81" s="357" t="s">
        <v>9457</v>
      </c>
      <c r="H81" s="357"/>
      <c r="I81" s="357"/>
      <c r="J81" s="357" t="s">
        <v>1736</v>
      </c>
      <c r="K81" s="357" t="s">
        <v>1736</v>
      </c>
      <c r="L81" s="357"/>
      <c r="M81" s="357"/>
      <c r="N81" s="357"/>
      <c r="O81" s="357" t="s">
        <v>1736</v>
      </c>
      <c r="P81" s="357"/>
      <c r="Q81" s="358" t="s">
        <v>9207</v>
      </c>
      <c r="R81" s="357"/>
      <c r="S81" s="357"/>
      <c r="T81" s="359" t="s">
        <v>9470</v>
      </c>
      <c r="U81" s="359"/>
      <c r="V81" s="359"/>
      <c r="W81" s="359"/>
      <c r="X81" s="359"/>
      <c r="Y81" s="359"/>
      <c r="Z81" s="364">
        <v>44840</v>
      </c>
      <c r="AA81" s="359" t="s">
        <v>254</v>
      </c>
    </row>
    <row r="82" spans="1:27">
      <c r="A82" s="769"/>
      <c r="B82" s="769"/>
      <c r="C82" s="361" t="s">
        <v>9471</v>
      </c>
      <c r="D82" s="361" t="s">
        <v>9472</v>
      </c>
      <c r="E82" s="361" t="s">
        <v>1732</v>
      </c>
      <c r="F82" s="361" t="s">
        <v>9205</v>
      </c>
      <c r="G82" s="361" t="s">
        <v>9457</v>
      </c>
      <c r="H82" s="361"/>
      <c r="I82" s="361"/>
      <c r="J82" s="361" t="s">
        <v>1736</v>
      </c>
      <c r="K82" s="361" t="s">
        <v>1736</v>
      </c>
      <c r="L82" s="361"/>
      <c r="M82" s="361"/>
      <c r="N82" s="361"/>
      <c r="O82" s="361" t="s">
        <v>1736</v>
      </c>
      <c r="P82" s="361"/>
      <c r="Q82" s="358" t="s">
        <v>9207</v>
      </c>
      <c r="R82" s="361"/>
      <c r="S82" s="361"/>
      <c r="T82" s="359" t="s">
        <v>9473</v>
      </c>
      <c r="U82" s="359"/>
      <c r="V82" s="359"/>
      <c r="W82" s="359"/>
      <c r="X82" s="359"/>
      <c r="Y82" s="359"/>
      <c r="Z82" s="364">
        <v>44853</v>
      </c>
      <c r="AA82" s="359" t="s">
        <v>254</v>
      </c>
    </row>
    <row r="83" spans="1:27">
      <c r="A83" s="769"/>
      <c r="B83" s="769"/>
      <c r="C83" s="357" t="s">
        <v>9474</v>
      </c>
      <c r="D83" s="357" t="s">
        <v>9475</v>
      </c>
      <c r="E83" s="357" t="s">
        <v>1743</v>
      </c>
      <c r="F83" s="357" t="s">
        <v>9205</v>
      </c>
      <c r="G83" s="357" t="s">
        <v>9457</v>
      </c>
      <c r="H83" s="357"/>
      <c r="I83" s="357"/>
      <c r="J83" s="357" t="s">
        <v>1736</v>
      </c>
      <c r="K83" s="357" t="s">
        <v>1736</v>
      </c>
      <c r="L83" s="357"/>
      <c r="M83" s="357"/>
      <c r="N83" s="357"/>
      <c r="O83" s="357" t="s">
        <v>1736</v>
      </c>
      <c r="P83" s="357"/>
      <c r="Q83" s="358" t="s">
        <v>9207</v>
      </c>
      <c r="R83" s="357"/>
      <c r="S83" s="357"/>
      <c r="T83" s="359" t="s">
        <v>9476</v>
      </c>
      <c r="U83" s="359"/>
      <c r="V83" s="359"/>
      <c r="W83" s="359"/>
      <c r="X83" s="359"/>
      <c r="Y83" s="359"/>
      <c r="Z83" s="364">
        <v>44847</v>
      </c>
      <c r="AA83" s="359" t="s">
        <v>254</v>
      </c>
    </row>
    <row r="84" spans="1:27">
      <c r="A84" s="769"/>
      <c r="B84" s="769"/>
      <c r="C84" s="361" t="s">
        <v>9477</v>
      </c>
      <c r="D84" s="361" t="s">
        <v>9478</v>
      </c>
      <c r="E84" s="361" t="s">
        <v>1743</v>
      </c>
      <c r="F84" s="361" t="s">
        <v>9205</v>
      </c>
      <c r="G84" s="361" t="s">
        <v>9457</v>
      </c>
      <c r="H84" s="361"/>
      <c r="I84" s="361"/>
      <c r="J84" s="361"/>
      <c r="K84" s="361"/>
      <c r="L84" s="361"/>
      <c r="M84" s="361"/>
      <c r="N84" s="361"/>
      <c r="O84" s="361"/>
      <c r="P84" s="361"/>
      <c r="Q84" s="358" t="s">
        <v>9207</v>
      </c>
      <c r="R84" s="361"/>
      <c r="S84" s="361"/>
      <c r="T84" s="359"/>
      <c r="U84" s="359"/>
      <c r="V84" s="359"/>
      <c r="W84" s="359"/>
      <c r="X84" s="359"/>
      <c r="Y84" s="359"/>
      <c r="Z84" s="364">
        <v>44847</v>
      </c>
      <c r="AA84" s="359" t="s">
        <v>254</v>
      </c>
    </row>
    <row r="85" spans="1:27">
      <c r="A85" s="769"/>
      <c r="B85" s="769"/>
      <c r="C85" s="357" t="s">
        <v>9479</v>
      </c>
      <c r="D85" s="357" t="s">
        <v>9480</v>
      </c>
      <c r="E85" s="357" t="s">
        <v>1743</v>
      </c>
      <c r="F85" s="357" t="s">
        <v>9205</v>
      </c>
      <c r="G85" s="357" t="s">
        <v>9457</v>
      </c>
      <c r="H85" s="357"/>
      <c r="I85" s="357"/>
      <c r="J85" s="357" t="s">
        <v>1736</v>
      </c>
      <c r="K85" s="357" t="s">
        <v>1736</v>
      </c>
      <c r="L85" s="357"/>
      <c r="M85" s="357"/>
      <c r="N85" s="357"/>
      <c r="O85" s="357" t="s">
        <v>1736</v>
      </c>
      <c r="P85" s="357"/>
      <c r="Q85" s="358" t="s">
        <v>9207</v>
      </c>
      <c r="R85" s="357"/>
      <c r="S85" s="357"/>
      <c r="T85" s="359" t="s">
        <v>9481</v>
      </c>
      <c r="U85" s="359"/>
      <c r="V85" s="359"/>
      <c r="W85" s="359"/>
      <c r="X85" s="359"/>
      <c r="Y85" s="359"/>
      <c r="Z85" s="364">
        <v>44847</v>
      </c>
      <c r="AA85" s="359" t="s">
        <v>254</v>
      </c>
    </row>
    <row r="86" spans="1:27">
      <c r="A86" s="769"/>
      <c r="B86" s="769"/>
      <c r="C86" s="361" t="s">
        <v>9482</v>
      </c>
      <c r="D86" s="361" t="s">
        <v>9483</v>
      </c>
      <c r="E86" s="361" t="s">
        <v>1743</v>
      </c>
      <c r="F86" s="361" t="s">
        <v>9205</v>
      </c>
      <c r="G86" s="361" t="s">
        <v>9457</v>
      </c>
      <c r="H86" s="361"/>
      <c r="I86" s="361"/>
      <c r="J86" s="361" t="s">
        <v>1736</v>
      </c>
      <c r="K86" s="361" t="s">
        <v>1736</v>
      </c>
      <c r="L86" s="361"/>
      <c r="M86" s="361"/>
      <c r="N86" s="361"/>
      <c r="O86" s="361" t="s">
        <v>1736</v>
      </c>
      <c r="P86" s="361"/>
      <c r="Q86" s="358" t="s">
        <v>9207</v>
      </c>
      <c r="R86" s="361"/>
      <c r="S86" s="361"/>
      <c r="T86" s="359" t="s">
        <v>9484</v>
      </c>
      <c r="U86" s="359"/>
      <c r="V86" s="359"/>
      <c r="W86" s="359"/>
      <c r="X86" s="359"/>
      <c r="Y86" s="359"/>
      <c r="Z86" s="364">
        <v>44853</v>
      </c>
      <c r="AA86" s="359" t="s">
        <v>254</v>
      </c>
    </row>
    <row r="87" spans="1:27">
      <c r="A87" s="769"/>
      <c r="B87" s="769"/>
      <c r="C87" s="357" t="s">
        <v>9485</v>
      </c>
      <c r="D87" s="357" t="s">
        <v>9486</v>
      </c>
      <c r="E87" s="357" t="s">
        <v>1743</v>
      </c>
      <c r="F87" s="357" t="s">
        <v>9205</v>
      </c>
      <c r="G87" s="357" t="s">
        <v>9457</v>
      </c>
      <c r="H87" s="357"/>
      <c r="I87" s="357"/>
      <c r="J87" s="357" t="s">
        <v>1736</v>
      </c>
      <c r="K87" s="357" t="s">
        <v>1736</v>
      </c>
      <c r="L87" s="357"/>
      <c r="M87" s="357"/>
      <c r="N87" s="357"/>
      <c r="O87" s="357" t="s">
        <v>1736</v>
      </c>
      <c r="P87" s="357"/>
      <c r="Q87" s="358" t="s">
        <v>9207</v>
      </c>
      <c r="R87" s="357"/>
      <c r="S87" s="357"/>
      <c r="T87" s="359" t="s">
        <v>9487</v>
      </c>
      <c r="U87" s="359"/>
      <c r="V87" s="359"/>
      <c r="W87" s="359"/>
      <c r="X87" s="359"/>
      <c r="Y87" s="359"/>
      <c r="Z87" s="364">
        <v>44853</v>
      </c>
      <c r="AA87" s="359" t="s">
        <v>254</v>
      </c>
    </row>
    <row r="88" spans="1:27">
      <c r="A88" s="769"/>
      <c r="B88" s="769"/>
      <c r="C88" s="361" t="s">
        <v>9488</v>
      </c>
      <c r="D88" s="361" t="s">
        <v>9489</v>
      </c>
      <c r="E88" s="361" t="s">
        <v>1743</v>
      </c>
      <c r="F88" s="361" t="s">
        <v>9205</v>
      </c>
      <c r="G88" s="361" t="s">
        <v>9457</v>
      </c>
      <c r="H88" s="361"/>
      <c r="I88" s="361"/>
      <c r="J88" s="361"/>
      <c r="K88" s="361"/>
      <c r="L88" s="361"/>
      <c r="M88" s="361"/>
      <c r="N88" s="361"/>
      <c r="O88" s="361"/>
      <c r="P88" s="361"/>
      <c r="Q88" s="241" t="s">
        <v>7371</v>
      </c>
      <c r="R88" s="361"/>
      <c r="S88" s="361"/>
      <c r="T88" s="359"/>
      <c r="U88" s="359"/>
      <c r="V88" s="359"/>
      <c r="W88" s="359"/>
      <c r="X88" s="359"/>
      <c r="Y88" s="359"/>
      <c r="Z88" s="359"/>
      <c r="AA88" s="359"/>
    </row>
    <row r="89" spans="1:27">
      <c r="A89" s="731" t="s">
        <v>9490</v>
      </c>
      <c r="B89" s="731" t="s">
        <v>9491</v>
      </c>
      <c r="C89" s="357" t="s">
        <v>9492</v>
      </c>
      <c r="D89" s="357" t="s">
        <v>9493</v>
      </c>
      <c r="E89" s="357" t="s">
        <v>1732</v>
      </c>
      <c r="F89" s="357" t="s">
        <v>9205</v>
      </c>
      <c r="G89" s="560" t="s">
        <v>9494</v>
      </c>
      <c r="H89" s="357"/>
      <c r="I89" s="357"/>
      <c r="J89" s="357"/>
      <c r="K89" s="357"/>
      <c r="L89" s="357"/>
      <c r="M89" s="357"/>
      <c r="N89" s="357"/>
      <c r="O89" s="357"/>
      <c r="P89" s="357"/>
      <c r="Q89" s="241" t="s">
        <v>7371</v>
      </c>
      <c r="R89" s="357"/>
      <c r="S89" s="357"/>
      <c r="T89" s="359"/>
      <c r="U89" s="359"/>
      <c r="V89" s="359"/>
      <c r="W89" s="359"/>
      <c r="X89" s="359"/>
      <c r="Y89" s="359"/>
      <c r="Z89" s="359"/>
      <c r="AA89" s="359"/>
    </row>
    <row r="90" spans="1:27">
      <c r="A90" s="769"/>
      <c r="B90" s="769"/>
      <c r="C90" s="361" t="s">
        <v>9495</v>
      </c>
      <c r="D90" s="361" t="s">
        <v>9496</v>
      </c>
      <c r="E90" s="361" t="s">
        <v>1732</v>
      </c>
      <c r="F90" s="361" t="s">
        <v>9205</v>
      </c>
      <c r="G90" s="367" t="s">
        <v>9494</v>
      </c>
      <c r="H90" s="361"/>
      <c r="I90" s="361"/>
      <c r="J90" s="361"/>
      <c r="K90" s="361"/>
      <c r="L90" s="361"/>
      <c r="M90" s="361"/>
      <c r="N90" s="361"/>
      <c r="O90" s="361"/>
      <c r="P90" s="361"/>
      <c r="Q90" s="358" t="s">
        <v>9207</v>
      </c>
      <c r="R90" s="361"/>
      <c r="S90" s="361"/>
      <c r="T90" s="359" t="str">
        <f t="shared" ref="T90:T91" si="0">CONCATENATE(C90, " - ", D90)</f>
        <v>SOA0009-002 - Reversal – Direct Topup</v>
      </c>
      <c r="U90" s="359"/>
      <c r="V90" s="359"/>
      <c r="W90" s="359"/>
      <c r="X90" s="359"/>
      <c r="Y90" s="359"/>
      <c r="Z90" s="364">
        <v>44916</v>
      </c>
      <c r="AA90" s="359" t="s">
        <v>254</v>
      </c>
    </row>
    <row r="91" spans="1:27">
      <c r="A91" s="769"/>
      <c r="B91" s="769"/>
      <c r="C91" s="357" t="s">
        <v>9497</v>
      </c>
      <c r="D91" s="357" t="s">
        <v>9498</v>
      </c>
      <c r="E91" s="357" t="s">
        <v>1732</v>
      </c>
      <c r="F91" s="357" t="s">
        <v>9205</v>
      </c>
      <c r="G91" s="560" t="s">
        <v>9494</v>
      </c>
      <c r="H91" s="357"/>
      <c r="I91" s="357"/>
      <c r="J91" s="357"/>
      <c r="K91" s="357"/>
      <c r="L91" s="357"/>
      <c r="M91" s="357"/>
      <c r="N91" s="357"/>
      <c r="O91" s="357"/>
      <c r="P91" s="357"/>
      <c r="Q91" s="358" t="s">
        <v>9207</v>
      </c>
      <c r="R91" s="357"/>
      <c r="S91" s="357"/>
      <c r="T91" s="359" t="str">
        <f t="shared" si="0"/>
        <v>SOA0009-003 - Transaction Success – Pending Topup</v>
      </c>
      <c r="U91" s="359"/>
      <c r="V91" s="359"/>
      <c r="W91" s="359"/>
      <c r="X91" s="359"/>
      <c r="Y91" s="359"/>
      <c r="Z91" s="364">
        <v>44916</v>
      </c>
      <c r="AA91" s="359" t="s">
        <v>254</v>
      </c>
    </row>
    <row r="92" spans="1:27">
      <c r="A92" s="769"/>
      <c r="B92" s="769"/>
      <c r="C92" s="361" t="s">
        <v>9499</v>
      </c>
      <c r="D92" s="361" t="s">
        <v>9500</v>
      </c>
      <c r="E92" s="361" t="s">
        <v>1732</v>
      </c>
      <c r="F92" s="361" t="s">
        <v>9205</v>
      </c>
      <c r="G92" s="367" t="s">
        <v>9494</v>
      </c>
      <c r="H92" s="361"/>
      <c r="I92" s="361"/>
      <c r="J92" s="361"/>
      <c r="K92" s="361"/>
      <c r="L92" s="361"/>
      <c r="M92" s="361"/>
      <c r="N92" s="361"/>
      <c r="O92" s="361"/>
      <c r="P92" s="361"/>
      <c r="Q92" s="241" t="s">
        <v>7371</v>
      </c>
      <c r="R92" s="361"/>
      <c r="S92" s="361"/>
      <c r="T92" s="359"/>
      <c r="U92" s="359"/>
      <c r="V92" s="359"/>
      <c r="W92" s="359"/>
      <c r="X92" s="359"/>
      <c r="Y92" s="359"/>
      <c r="Z92" s="359"/>
      <c r="AA92" s="359"/>
    </row>
    <row r="93" spans="1:27">
      <c r="A93" s="769"/>
      <c r="B93" s="769"/>
      <c r="C93" s="357" t="s">
        <v>9501</v>
      </c>
      <c r="D93" s="357" t="s">
        <v>9502</v>
      </c>
      <c r="E93" s="357" t="s">
        <v>1732</v>
      </c>
      <c r="F93" s="357" t="s">
        <v>9205</v>
      </c>
      <c r="G93" s="560" t="s">
        <v>9494</v>
      </c>
      <c r="H93" s="357"/>
      <c r="I93" s="357"/>
      <c r="J93" s="357"/>
      <c r="K93" s="357"/>
      <c r="L93" s="357"/>
      <c r="M93" s="357"/>
      <c r="N93" s="357"/>
      <c r="O93" s="357"/>
      <c r="P93" s="357"/>
      <c r="Q93" s="358" t="s">
        <v>9207</v>
      </c>
      <c r="R93" s="357"/>
      <c r="S93" s="357"/>
      <c r="T93" s="359" t="str">
        <f t="shared" ref="T93:T94" si="1">CONCATENATE(C93, " - ", D93)</f>
        <v>SOA0009-005 - Reversal – Update Balance</v>
      </c>
      <c r="U93" s="359"/>
      <c r="V93" s="359"/>
      <c r="W93" s="359"/>
      <c r="X93" s="359"/>
      <c r="Y93" s="359"/>
      <c r="Z93" s="364">
        <v>44916</v>
      </c>
      <c r="AA93" s="359" t="s">
        <v>254</v>
      </c>
    </row>
    <row r="94" spans="1:27">
      <c r="A94" s="769"/>
      <c r="B94" s="769"/>
      <c r="C94" s="361" t="s">
        <v>9503</v>
      </c>
      <c r="D94" s="361" t="s">
        <v>9504</v>
      </c>
      <c r="E94" s="361" t="s">
        <v>1743</v>
      </c>
      <c r="F94" s="361" t="s">
        <v>9205</v>
      </c>
      <c r="G94" s="367" t="s">
        <v>9494</v>
      </c>
      <c r="H94" s="361"/>
      <c r="I94" s="361"/>
      <c r="J94" s="361"/>
      <c r="K94" s="361"/>
      <c r="L94" s="361"/>
      <c r="M94" s="361"/>
      <c r="N94" s="361"/>
      <c r="O94" s="361"/>
      <c r="P94" s="361"/>
      <c r="Q94" s="358" t="s">
        <v>9207</v>
      </c>
      <c r="R94" s="361"/>
      <c r="S94" s="361"/>
      <c r="T94" s="359" t="str">
        <f t="shared" si="1"/>
        <v>SOA0009-006 - Direct Topup Timeout</v>
      </c>
      <c r="U94" s="359"/>
      <c r="V94" s="359"/>
      <c r="W94" s="359"/>
      <c r="X94" s="359"/>
      <c r="Y94" s="359"/>
      <c r="Z94" s="364">
        <v>44916</v>
      </c>
      <c r="AA94" s="359" t="s">
        <v>254</v>
      </c>
    </row>
    <row r="95" spans="1:27">
      <c r="A95" s="731" t="s">
        <v>9505</v>
      </c>
      <c r="B95" s="731" t="s">
        <v>9506</v>
      </c>
      <c r="C95" s="357" t="s">
        <v>9507</v>
      </c>
      <c r="D95" s="357" t="s">
        <v>9508</v>
      </c>
      <c r="E95" s="357" t="s">
        <v>1732</v>
      </c>
      <c r="F95" s="357" t="s">
        <v>9205</v>
      </c>
      <c r="G95" s="560" t="s">
        <v>9509</v>
      </c>
      <c r="H95" s="357"/>
      <c r="I95" s="357"/>
      <c r="J95" s="357"/>
      <c r="K95" s="357"/>
      <c r="L95" s="357"/>
      <c r="M95" s="357"/>
      <c r="N95" s="357"/>
      <c r="O95" s="357"/>
      <c r="P95" s="357"/>
      <c r="Q95" s="358" t="s">
        <v>9207</v>
      </c>
      <c r="R95" s="357"/>
      <c r="S95" s="357"/>
      <c r="T95" s="359" t="s">
        <v>9510</v>
      </c>
      <c r="U95" s="359"/>
      <c r="V95" s="359"/>
      <c r="W95" s="359"/>
      <c r="X95" s="359"/>
      <c r="Y95" s="359"/>
      <c r="Z95" s="364">
        <v>44868</v>
      </c>
      <c r="AA95" s="359" t="s">
        <v>254</v>
      </c>
    </row>
    <row r="96" spans="1:27">
      <c r="A96" s="769"/>
      <c r="B96" s="769"/>
      <c r="C96" s="361" t="s">
        <v>9511</v>
      </c>
      <c r="D96" s="371" t="s">
        <v>9512</v>
      </c>
      <c r="E96" s="361" t="s">
        <v>1732</v>
      </c>
      <c r="F96" s="361" t="s">
        <v>9205</v>
      </c>
      <c r="G96" s="367" t="s">
        <v>9509</v>
      </c>
      <c r="H96" s="361"/>
      <c r="I96" s="361"/>
      <c r="J96" s="361"/>
      <c r="K96" s="361"/>
      <c r="L96" s="361"/>
      <c r="M96" s="361"/>
      <c r="N96" s="361"/>
      <c r="O96" s="361"/>
      <c r="P96" s="361"/>
      <c r="Q96" s="358" t="s">
        <v>9207</v>
      </c>
      <c r="R96" s="361"/>
      <c r="S96" s="361"/>
      <c r="T96" s="359" t="s">
        <v>9513</v>
      </c>
      <c r="U96" s="359"/>
      <c r="V96" s="359"/>
      <c r="W96" s="359"/>
      <c r="X96" s="359"/>
      <c r="Y96" s="359"/>
      <c r="Z96" s="364">
        <v>44868</v>
      </c>
      <c r="AA96" s="359" t="s">
        <v>254</v>
      </c>
    </row>
    <row r="97" spans="1:27">
      <c r="A97" s="769"/>
      <c r="B97" s="769"/>
      <c r="C97" s="357" t="s">
        <v>9514</v>
      </c>
      <c r="D97" s="357" t="s">
        <v>9515</v>
      </c>
      <c r="E97" s="357" t="s">
        <v>1743</v>
      </c>
      <c r="F97" s="357" t="s">
        <v>9205</v>
      </c>
      <c r="G97" s="560" t="s">
        <v>9509</v>
      </c>
      <c r="H97" s="357"/>
      <c r="I97" s="357"/>
      <c r="J97" s="357"/>
      <c r="K97" s="357"/>
      <c r="L97" s="357"/>
      <c r="M97" s="357"/>
      <c r="N97" s="357"/>
      <c r="O97" s="357"/>
      <c r="P97" s="357"/>
      <c r="Q97" s="358" t="s">
        <v>9207</v>
      </c>
      <c r="R97" s="357"/>
      <c r="S97" s="357"/>
      <c r="T97" s="359" t="s">
        <v>9516</v>
      </c>
      <c r="U97" s="359"/>
      <c r="V97" s="359"/>
      <c r="W97" s="359"/>
      <c r="X97" s="359"/>
      <c r="Y97" s="359"/>
      <c r="Z97" s="364">
        <v>44869</v>
      </c>
      <c r="AA97" s="359" t="s">
        <v>254</v>
      </c>
    </row>
    <row r="98" spans="1:27">
      <c r="A98" s="769"/>
      <c r="B98" s="769"/>
      <c r="C98" s="361" t="s">
        <v>9517</v>
      </c>
      <c r="D98" s="361" t="s">
        <v>9518</v>
      </c>
      <c r="E98" s="361" t="s">
        <v>1743</v>
      </c>
      <c r="F98" s="361" t="s">
        <v>9205</v>
      </c>
      <c r="G98" s="367" t="s">
        <v>9509</v>
      </c>
      <c r="H98" s="361"/>
      <c r="I98" s="361"/>
      <c r="J98" s="361"/>
      <c r="K98" s="361"/>
      <c r="L98" s="361"/>
      <c r="M98" s="361"/>
      <c r="N98" s="361"/>
      <c r="O98" s="361"/>
      <c r="P98" s="361"/>
      <c r="Q98" s="358" t="s">
        <v>9207</v>
      </c>
      <c r="R98" s="361"/>
      <c r="S98" s="361"/>
      <c r="T98" s="359" t="s">
        <v>9519</v>
      </c>
      <c r="U98" s="359"/>
      <c r="V98" s="359"/>
      <c r="W98" s="359"/>
      <c r="X98" s="359"/>
      <c r="Y98" s="359"/>
      <c r="Z98" s="364">
        <v>44869</v>
      </c>
      <c r="AA98" s="359" t="s">
        <v>254</v>
      </c>
    </row>
    <row r="99" spans="1:27">
      <c r="A99" s="731" t="s">
        <v>9520</v>
      </c>
      <c r="B99" s="731" t="s">
        <v>9521</v>
      </c>
      <c r="C99" s="357" t="s">
        <v>9522</v>
      </c>
      <c r="D99" s="357" t="s">
        <v>9523</v>
      </c>
      <c r="E99" s="357" t="s">
        <v>1732</v>
      </c>
      <c r="F99" s="357" t="s">
        <v>9205</v>
      </c>
      <c r="G99" s="357" t="s">
        <v>9524</v>
      </c>
      <c r="H99" s="357"/>
      <c r="I99" s="357"/>
      <c r="J99" s="357"/>
      <c r="K99" s="357"/>
      <c r="L99" s="357"/>
      <c r="M99" s="357"/>
      <c r="N99" s="357"/>
      <c r="O99" s="357"/>
      <c r="P99" s="357"/>
      <c r="Q99" s="358" t="s">
        <v>9207</v>
      </c>
      <c r="R99" s="372"/>
      <c r="S99" s="357"/>
      <c r="T99" s="359" t="s">
        <v>9525</v>
      </c>
      <c r="U99" s="359"/>
      <c r="V99" s="359"/>
      <c r="W99" s="359"/>
      <c r="X99" s="359"/>
      <c r="Y99" s="359"/>
      <c r="Z99" s="364">
        <v>44858</v>
      </c>
      <c r="AA99" s="359" t="s">
        <v>254</v>
      </c>
    </row>
    <row r="100" spans="1:27">
      <c r="A100" s="769"/>
      <c r="B100" s="769"/>
      <c r="C100" s="361" t="s">
        <v>9526</v>
      </c>
      <c r="D100" s="361" t="s">
        <v>9527</v>
      </c>
      <c r="E100" s="361" t="s">
        <v>1732</v>
      </c>
      <c r="F100" s="361" t="s">
        <v>9205</v>
      </c>
      <c r="G100" s="361" t="s">
        <v>9524</v>
      </c>
      <c r="H100" s="361"/>
      <c r="I100" s="361"/>
      <c r="J100" s="361"/>
      <c r="K100" s="361"/>
      <c r="L100" s="361"/>
      <c r="M100" s="361"/>
      <c r="N100" s="361"/>
      <c r="O100" s="361"/>
      <c r="P100" s="361"/>
      <c r="Q100" s="358" t="s">
        <v>9207</v>
      </c>
      <c r="R100" s="373"/>
      <c r="S100" s="361"/>
      <c r="T100" s="359" t="s">
        <v>9528</v>
      </c>
      <c r="U100" s="359"/>
      <c r="V100" s="359"/>
      <c r="W100" s="359"/>
      <c r="X100" s="359"/>
      <c r="Y100" s="359"/>
      <c r="Z100" s="364">
        <v>44858</v>
      </c>
      <c r="AA100" s="359" t="s">
        <v>254</v>
      </c>
    </row>
    <row r="101" spans="1:27">
      <c r="A101" s="769"/>
      <c r="B101" s="769"/>
      <c r="C101" s="357" t="s">
        <v>9529</v>
      </c>
      <c r="D101" s="357" t="s">
        <v>9530</v>
      </c>
      <c r="E101" s="357" t="s">
        <v>1732</v>
      </c>
      <c r="F101" s="357" t="s">
        <v>9205</v>
      </c>
      <c r="G101" s="357" t="s">
        <v>9524</v>
      </c>
      <c r="H101" s="357"/>
      <c r="I101" s="357"/>
      <c r="J101" s="357"/>
      <c r="K101" s="357"/>
      <c r="L101" s="357"/>
      <c r="M101" s="357"/>
      <c r="N101" s="357"/>
      <c r="O101" s="357"/>
      <c r="P101" s="357"/>
      <c r="Q101" s="358" t="s">
        <v>9207</v>
      </c>
      <c r="R101" s="372"/>
      <c r="S101" s="357"/>
      <c r="T101" s="359" t="s">
        <v>9531</v>
      </c>
      <c r="U101" s="359"/>
      <c r="V101" s="359"/>
      <c r="W101" s="359"/>
      <c r="X101" s="359"/>
      <c r="Y101" s="359"/>
      <c r="Z101" s="364">
        <v>44858</v>
      </c>
      <c r="AA101" s="359" t="s">
        <v>254</v>
      </c>
    </row>
    <row r="102" spans="1:27">
      <c r="A102" s="769"/>
      <c r="B102" s="769"/>
      <c r="C102" s="361" t="s">
        <v>9532</v>
      </c>
      <c r="D102" s="361" t="s">
        <v>9533</v>
      </c>
      <c r="E102" s="361" t="s">
        <v>1732</v>
      </c>
      <c r="F102" s="361" t="s">
        <v>9205</v>
      </c>
      <c r="G102" s="361" t="s">
        <v>9534</v>
      </c>
      <c r="H102" s="361"/>
      <c r="I102" s="361"/>
      <c r="J102" s="361"/>
      <c r="K102" s="361"/>
      <c r="L102" s="361"/>
      <c r="M102" s="361"/>
      <c r="N102" s="361"/>
      <c r="O102" s="361"/>
      <c r="P102" s="361"/>
      <c r="Q102" s="358" t="s">
        <v>9207</v>
      </c>
      <c r="R102" s="373"/>
      <c r="S102" s="361"/>
      <c r="T102" s="359" t="s">
        <v>9535</v>
      </c>
      <c r="U102" s="359"/>
      <c r="V102" s="359"/>
      <c r="W102" s="359"/>
      <c r="X102" s="359"/>
      <c r="Y102" s="359"/>
      <c r="Z102" s="364">
        <v>44860</v>
      </c>
      <c r="AA102" s="359" t="s">
        <v>254</v>
      </c>
    </row>
    <row r="103" spans="1:27">
      <c r="A103" s="769"/>
      <c r="B103" s="769"/>
      <c r="C103" s="357" t="s">
        <v>9536</v>
      </c>
      <c r="D103" s="357" t="s">
        <v>9537</v>
      </c>
      <c r="E103" s="357" t="s">
        <v>1732</v>
      </c>
      <c r="F103" s="357" t="s">
        <v>9205</v>
      </c>
      <c r="G103" s="357" t="s">
        <v>9538</v>
      </c>
      <c r="H103" s="357"/>
      <c r="I103" s="357"/>
      <c r="J103" s="357"/>
      <c r="K103" s="357"/>
      <c r="L103" s="357"/>
      <c r="M103" s="357"/>
      <c r="N103" s="357"/>
      <c r="O103" s="357"/>
      <c r="P103" s="357"/>
      <c r="Q103" s="358" t="s">
        <v>9207</v>
      </c>
      <c r="R103" s="372"/>
      <c r="S103" s="357"/>
      <c r="T103" s="359" t="s">
        <v>9539</v>
      </c>
      <c r="U103" s="359"/>
      <c r="V103" s="359"/>
      <c r="W103" s="359"/>
      <c r="X103" s="359"/>
      <c r="Y103" s="359"/>
      <c r="Z103" s="364">
        <v>44858</v>
      </c>
      <c r="AA103" s="359" t="s">
        <v>254</v>
      </c>
    </row>
    <row r="104" spans="1:27">
      <c r="A104" s="769"/>
      <c r="B104" s="769"/>
      <c r="C104" s="361" t="s">
        <v>9540</v>
      </c>
      <c r="D104" s="361" t="s">
        <v>9541</v>
      </c>
      <c r="E104" s="361" t="s">
        <v>1743</v>
      </c>
      <c r="F104" s="361" t="s">
        <v>9205</v>
      </c>
      <c r="G104" s="361"/>
      <c r="H104" s="361"/>
      <c r="I104" s="361"/>
      <c r="J104" s="361"/>
      <c r="K104" s="361"/>
      <c r="L104" s="361"/>
      <c r="M104" s="361"/>
      <c r="N104" s="361"/>
      <c r="O104" s="361"/>
      <c r="P104" s="361"/>
      <c r="Q104" s="358" t="s">
        <v>9207</v>
      </c>
      <c r="R104" s="373"/>
      <c r="S104" s="361"/>
      <c r="T104" s="359" t="s">
        <v>9542</v>
      </c>
      <c r="U104" s="359"/>
      <c r="V104" s="359"/>
      <c r="W104" s="359"/>
      <c r="X104" s="359"/>
      <c r="Y104" s="359"/>
      <c r="Z104" s="364">
        <v>44858</v>
      </c>
      <c r="AA104" s="359" t="s">
        <v>254</v>
      </c>
    </row>
    <row r="105" spans="1:27">
      <c r="A105" s="769"/>
      <c r="B105" s="769"/>
      <c r="C105" s="357" t="s">
        <v>9543</v>
      </c>
      <c r="D105" s="357" t="s">
        <v>9544</v>
      </c>
      <c r="E105" s="357" t="s">
        <v>1743</v>
      </c>
      <c r="F105" s="357" t="s">
        <v>9205</v>
      </c>
      <c r="G105" s="357" t="s">
        <v>9538</v>
      </c>
      <c r="H105" s="357"/>
      <c r="I105" s="357"/>
      <c r="J105" s="357"/>
      <c r="K105" s="357"/>
      <c r="L105" s="357"/>
      <c r="M105" s="357"/>
      <c r="N105" s="357"/>
      <c r="O105" s="357"/>
      <c r="P105" s="357"/>
      <c r="Q105" s="358" t="s">
        <v>9207</v>
      </c>
      <c r="R105" s="372"/>
      <c r="S105" s="357"/>
      <c r="T105" s="359" t="s">
        <v>9545</v>
      </c>
      <c r="U105" s="359"/>
      <c r="V105" s="359"/>
      <c r="W105" s="359"/>
      <c r="X105" s="359"/>
      <c r="Y105" s="359"/>
      <c r="Z105" s="364">
        <v>44858</v>
      </c>
      <c r="AA105" s="359" t="s">
        <v>254</v>
      </c>
    </row>
    <row r="106" spans="1:27">
      <c r="A106" s="769"/>
      <c r="B106" s="769"/>
      <c r="C106" s="361" t="s">
        <v>9546</v>
      </c>
      <c r="D106" s="361" t="s">
        <v>9547</v>
      </c>
      <c r="E106" s="361" t="s">
        <v>1743</v>
      </c>
      <c r="F106" s="361" t="s">
        <v>9205</v>
      </c>
      <c r="G106" s="361" t="s">
        <v>9524</v>
      </c>
      <c r="H106" s="361"/>
      <c r="I106" s="361"/>
      <c r="J106" s="361"/>
      <c r="K106" s="361"/>
      <c r="L106" s="361"/>
      <c r="M106" s="361"/>
      <c r="N106" s="361"/>
      <c r="O106" s="361"/>
      <c r="P106" s="361"/>
      <c r="Q106" s="358" t="s">
        <v>9207</v>
      </c>
      <c r="R106" s="373"/>
      <c r="S106" s="361"/>
      <c r="T106" s="359" t="s">
        <v>9548</v>
      </c>
      <c r="U106" s="359"/>
      <c r="V106" s="359"/>
      <c r="W106" s="359"/>
      <c r="X106" s="359"/>
      <c r="Y106" s="359"/>
      <c r="Z106" s="364">
        <v>44868</v>
      </c>
      <c r="AA106" s="359" t="s">
        <v>254</v>
      </c>
    </row>
    <row r="107" spans="1:27">
      <c r="A107" s="769"/>
      <c r="B107" s="769"/>
      <c r="C107" s="357" t="s">
        <v>9549</v>
      </c>
      <c r="D107" s="357" t="s">
        <v>9550</v>
      </c>
      <c r="E107" s="357" t="s">
        <v>1743</v>
      </c>
      <c r="F107" s="357" t="s">
        <v>9205</v>
      </c>
      <c r="G107" s="357"/>
      <c r="H107" s="357"/>
      <c r="I107" s="357"/>
      <c r="J107" s="357"/>
      <c r="K107" s="357"/>
      <c r="L107" s="357"/>
      <c r="M107" s="357"/>
      <c r="N107" s="357"/>
      <c r="O107" s="357"/>
      <c r="P107" s="357"/>
      <c r="Q107" s="241" t="s">
        <v>7371</v>
      </c>
      <c r="R107" s="372"/>
      <c r="S107" s="357"/>
      <c r="T107" s="359"/>
      <c r="U107" s="359"/>
      <c r="V107" s="359"/>
      <c r="W107" s="359"/>
      <c r="X107" s="359"/>
      <c r="Y107" s="359"/>
      <c r="Z107" s="359"/>
      <c r="AA107" s="359"/>
    </row>
    <row r="108" spans="1:27">
      <c r="A108" s="769"/>
      <c r="B108" s="769"/>
      <c r="C108" s="361" t="s">
        <v>9551</v>
      </c>
      <c r="D108" s="361" t="s">
        <v>9552</v>
      </c>
      <c r="E108" s="361" t="s">
        <v>1743</v>
      </c>
      <c r="F108" s="361" t="s">
        <v>9205</v>
      </c>
      <c r="G108" s="361" t="s">
        <v>9524</v>
      </c>
      <c r="H108" s="361"/>
      <c r="I108" s="361"/>
      <c r="J108" s="361"/>
      <c r="K108" s="361"/>
      <c r="L108" s="361"/>
      <c r="M108" s="361"/>
      <c r="N108" s="361"/>
      <c r="O108" s="361"/>
      <c r="P108" s="361"/>
      <c r="Q108" s="241" t="s">
        <v>7371</v>
      </c>
      <c r="R108" s="373"/>
      <c r="S108" s="361"/>
      <c r="T108" s="359"/>
      <c r="U108" s="359"/>
      <c r="V108" s="359"/>
      <c r="W108" s="359"/>
      <c r="X108" s="359"/>
      <c r="Y108" s="359"/>
      <c r="Z108" s="359"/>
      <c r="AA108" s="359"/>
    </row>
    <row r="109" spans="1:27">
      <c r="A109" s="769"/>
      <c r="B109" s="769"/>
      <c r="C109" s="357" t="s">
        <v>9553</v>
      </c>
      <c r="D109" s="357" t="s">
        <v>9554</v>
      </c>
      <c r="E109" s="357" t="s">
        <v>1743</v>
      </c>
      <c r="F109" s="357" t="s">
        <v>9205</v>
      </c>
      <c r="G109" s="357" t="s">
        <v>9534</v>
      </c>
      <c r="H109" s="357"/>
      <c r="I109" s="357"/>
      <c r="J109" s="357"/>
      <c r="K109" s="357"/>
      <c r="L109" s="357"/>
      <c r="M109" s="357"/>
      <c r="N109" s="357"/>
      <c r="O109" s="357"/>
      <c r="P109" s="357"/>
      <c r="Q109" s="358" t="s">
        <v>9207</v>
      </c>
      <c r="R109" s="372"/>
      <c r="S109" s="357"/>
      <c r="T109" s="359" t="s">
        <v>9555</v>
      </c>
      <c r="U109" s="359"/>
      <c r="V109" s="359"/>
      <c r="W109" s="359"/>
      <c r="X109" s="359"/>
      <c r="Y109" s="359"/>
      <c r="Z109" s="364">
        <v>44868</v>
      </c>
      <c r="AA109" s="359" t="s">
        <v>254</v>
      </c>
    </row>
    <row r="110" spans="1:27">
      <c r="A110" s="769"/>
      <c r="B110" s="769"/>
      <c r="C110" s="361" t="s">
        <v>9556</v>
      </c>
      <c r="D110" s="361" t="s">
        <v>9557</v>
      </c>
      <c r="E110" s="361" t="s">
        <v>1743</v>
      </c>
      <c r="F110" s="361" t="s">
        <v>9205</v>
      </c>
      <c r="G110" s="361" t="s">
        <v>9534</v>
      </c>
      <c r="H110" s="361"/>
      <c r="I110" s="361"/>
      <c r="J110" s="361"/>
      <c r="K110" s="361"/>
      <c r="L110" s="361"/>
      <c r="M110" s="361"/>
      <c r="N110" s="361"/>
      <c r="O110" s="361"/>
      <c r="P110" s="361"/>
      <c r="Q110" s="358" t="s">
        <v>9207</v>
      </c>
      <c r="R110" s="373"/>
      <c r="S110" s="361"/>
      <c r="T110" s="359" t="s">
        <v>9558</v>
      </c>
      <c r="U110" s="359"/>
      <c r="V110" s="359"/>
      <c r="W110" s="359"/>
      <c r="X110" s="359"/>
      <c r="Y110" s="359"/>
      <c r="Z110" s="364">
        <v>44860</v>
      </c>
      <c r="AA110" s="359" t="s">
        <v>254</v>
      </c>
    </row>
    <row r="111" spans="1:27">
      <c r="A111" s="769"/>
      <c r="B111" s="769"/>
      <c r="C111" s="357" t="s">
        <v>9559</v>
      </c>
      <c r="D111" s="357" t="s">
        <v>9560</v>
      </c>
      <c r="E111" s="357" t="s">
        <v>1743</v>
      </c>
      <c r="F111" s="357" t="s">
        <v>9205</v>
      </c>
      <c r="G111" s="357" t="s">
        <v>9534</v>
      </c>
      <c r="H111" s="357"/>
      <c r="I111" s="357"/>
      <c r="J111" s="357"/>
      <c r="K111" s="357"/>
      <c r="L111" s="357"/>
      <c r="M111" s="357"/>
      <c r="N111" s="357"/>
      <c r="O111" s="357"/>
      <c r="P111" s="357"/>
      <c r="Q111" s="358" t="s">
        <v>9207</v>
      </c>
      <c r="R111" s="372"/>
      <c r="S111" s="357"/>
      <c r="T111" s="359" t="s">
        <v>9561</v>
      </c>
      <c r="U111" s="359"/>
      <c r="V111" s="359"/>
      <c r="W111" s="359"/>
      <c r="X111" s="359"/>
      <c r="Y111" s="359"/>
      <c r="Z111" s="364">
        <v>44868</v>
      </c>
      <c r="AA111" s="359" t="s">
        <v>254</v>
      </c>
    </row>
    <row r="112" spans="1:27">
      <c r="A112" s="769"/>
      <c r="B112" s="769"/>
      <c r="C112" s="361" t="s">
        <v>9562</v>
      </c>
      <c r="D112" s="361" t="s">
        <v>9563</v>
      </c>
      <c r="E112" s="361" t="s">
        <v>1743</v>
      </c>
      <c r="F112" s="361" t="s">
        <v>9205</v>
      </c>
      <c r="G112" s="361" t="s">
        <v>9534</v>
      </c>
      <c r="H112" s="361"/>
      <c r="I112" s="361"/>
      <c r="J112" s="361"/>
      <c r="K112" s="361"/>
      <c r="L112" s="361"/>
      <c r="M112" s="361"/>
      <c r="N112" s="361"/>
      <c r="O112" s="361"/>
      <c r="P112" s="361"/>
      <c r="Q112" s="358" t="s">
        <v>9207</v>
      </c>
      <c r="R112" s="373"/>
      <c r="S112" s="361"/>
      <c r="T112" s="359" t="s">
        <v>9564</v>
      </c>
      <c r="U112" s="359"/>
      <c r="V112" s="359"/>
      <c r="W112" s="359"/>
      <c r="X112" s="359"/>
      <c r="Y112" s="359"/>
      <c r="Z112" s="364">
        <v>44858</v>
      </c>
      <c r="AA112" s="359" t="s">
        <v>254</v>
      </c>
    </row>
    <row r="113" spans="1:27">
      <c r="A113" s="731" t="s">
        <v>9565</v>
      </c>
      <c r="B113" s="731" t="s">
        <v>9566</v>
      </c>
      <c r="C113" s="357" t="s">
        <v>9567</v>
      </c>
      <c r="D113" s="357" t="s">
        <v>9568</v>
      </c>
      <c r="E113" s="357" t="s">
        <v>1732</v>
      </c>
      <c r="F113" s="357" t="s">
        <v>9205</v>
      </c>
      <c r="G113" s="744" t="s">
        <v>9569</v>
      </c>
      <c r="H113" s="357"/>
      <c r="I113" s="357"/>
      <c r="J113" s="357"/>
      <c r="K113" s="357"/>
      <c r="L113" s="357"/>
      <c r="M113" s="357"/>
      <c r="N113" s="357"/>
      <c r="O113" s="357"/>
      <c r="P113" s="357"/>
      <c r="Q113" s="241" t="s">
        <v>7371</v>
      </c>
      <c r="R113" s="357"/>
      <c r="S113" s="357"/>
      <c r="T113" s="359"/>
      <c r="U113" s="359"/>
      <c r="V113" s="359"/>
      <c r="W113" s="359"/>
      <c r="X113" s="359"/>
      <c r="Y113" s="359"/>
      <c r="Z113" s="359"/>
      <c r="AA113" s="359"/>
    </row>
    <row r="114" spans="1:27">
      <c r="A114" s="769"/>
      <c r="B114" s="769"/>
      <c r="C114" s="361" t="s">
        <v>9570</v>
      </c>
      <c r="D114" s="361" t="s">
        <v>9571</v>
      </c>
      <c r="E114" s="361" t="s">
        <v>1743</v>
      </c>
      <c r="F114" s="361" t="s">
        <v>9205</v>
      </c>
      <c r="G114" s="769"/>
      <c r="H114" s="361"/>
      <c r="I114" s="361"/>
      <c r="J114" s="361"/>
      <c r="K114" s="361"/>
      <c r="L114" s="361"/>
      <c r="M114" s="361"/>
      <c r="N114" s="361"/>
      <c r="O114" s="361"/>
      <c r="P114" s="361"/>
      <c r="Q114" s="358" t="s">
        <v>9207</v>
      </c>
      <c r="R114" s="361"/>
      <c r="S114" s="361"/>
      <c r="T114" s="359" t="s">
        <v>9572</v>
      </c>
      <c r="U114" s="359"/>
      <c r="V114" s="359"/>
      <c r="W114" s="359"/>
      <c r="X114" s="359"/>
      <c r="Y114" s="359"/>
      <c r="Z114" s="364">
        <v>44869</v>
      </c>
      <c r="AA114" s="359" t="s">
        <v>254</v>
      </c>
    </row>
    <row r="115" spans="1:27">
      <c r="A115" s="769"/>
      <c r="B115" s="769"/>
      <c r="C115" s="357" t="s">
        <v>9573</v>
      </c>
      <c r="D115" s="357" t="s">
        <v>9574</v>
      </c>
      <c r="E115" s="357" t="s">
        <v>1743</v>
      </c>
      <c r="F115" s="357" t="s">
        <v>9205</v>
      </c>
      <c r="G115" s="769"/>
      <c r="H115" s="357"/>
      <c r="I115" s="357"/>
      <c r="J115" s="357"/>
      <c r="K115" s="357"/>
      <c r="L115" s="357"/>
      <c r="M115" s="357"/>
      <c r="N115" s="357"/>
      <c r="O115" s="357"/>
      <c r="P115" s="357"/>
      <c r="Q115" s="358" t="s">
        <v>9207</v>
      </c>
      <c r="R115" s="357"/>
      <c r="S115" s="357"/>
      <c r="T115" s="359" t="s">
        <v>9575</v>
      </c>
      <c r="U115" s="359"/>
      <c r="V115" s="359"/>
      <c r="W115" s="359"/>
      <c r="X115" s="359"/>
      <c r="Y115" s="359"/>
      <c r="Z115" s="364">
        <v>44869</v>
      </c>
      <c r="AA115" s="359" t="s">
        <v>254</v>
      </c>
    </row>
    <row r="116" spans="1:27">
      <c r="A116" s="769"/>
      <c r="B116" s="769"/>
      <c r="C116" s="361" t="s">
        <v>9576</v>
      </c>
      <c r="D116" s="361" t="s">
        <v>9577</v>
      </c>
      <c r="E116" s="361" t="s">
        <v>1743</v>
      </c>
      <c r="F116" s="361" t="s">
        <v>9205</v>
      </c>
      <c r="G116" s="769"/>
      <c r="H116" s="361"/>
      <c r="I116" s="361"/>
      <c r="J116" s="361"/>
      <c r="K116" s="361"/>
      <c r="L116" s="361"/>
      <c r="M116" s="361"/>
      <c r="N116" s="361"/>
      <c r="O116" s="361"/>
      <c r="P116" s="361"/>
      <c r="Q116" s="358" t="s">
        <v>9207</v>
      </c>
      <c r="R116" s="361"/>
      <c r="S116" s="361"/>
      <c r="T116" s="359" t="s">
        <v>9578</v>
      </c>
      <c r="U116" s="359"/>
      <c r="V116" s="359"/>
      <c r="W116" s="359"/>
      <c r="X116" s="359"/>
      <c r="Y116" s="359"/>
      <c r="Z116" s="364">
        <v>44869</v>
      </c>
      <c r="AA116" s="359" t="s">
        <v>254</v>
      </c>
    </row>
    <row r="117" spans="1:27">
      <c r="A117" s="769"/>
      <c r="B117" s="769"/>
      <c r="C117" s="357" t="s">
        <v>9579</v>
      </c>
      <c r="D117" s="357" t="s">
        <v>9580</v>
      </c>
      <c r="E117" s="357" t="s">
        <v>1743</v>
      </c>
      <c r="F117" s="357" t="s">
        <v>9205</v>
      </c>
      <c r="G117" s="769"/>
      <c r="H117" s="357"/>
      <c r="I117" s="357"/>
      <c r="J117" s="357"/>
      <c r="K117" s="357"/>
      <c r="L117" s="357"/>
      <c r="M117" s="357"/>
      <c r="N117" s="357"/>
      <c r="O117" s="357"/>
      <c r="P117" s="357"/>
      <c r="Q117" s="358" t="s">
        <v>9207</v>
      </c>
      <c r="R117" s="357"/>
      <c r="S117" s="357"/>
      <c r="T117" s="359" t="s">
        <v>9581</v>
      </c>
      <c r="U117" s="359"/>
      <c r="V117" s="359"/>
      <c r="W117" s="359"/>
      <c r="X117" s="359"/>
      <c r="Y117" s="359"/>
      <c r="Z117" s="364">
        <v>44872</v>
      </c>
      <c r="AA117" s="359" t="s">
        <v>254</v>
      </c>
    </row>
    <row r="118" spans="1:27">
      <c r="A118" s="769"/>
      <c r="B118" s="769"/>
      <c r="C118" s="361" t="s">
        <v>9582</v>
      </c>
      <c r="D118" s="361" t="s">
        <v>9583</v>
      </c>
      <c r="E118" s="361" t="s">
        <v>1743</v>
      </c>
      <c r="F118" s="361" t="s">
        <v>9205</v>
      </c>
      <c r="G118" s="769"/>
      <c r="H118" s="361"/>
      <c r="I118" s="361"/>
      <c r="J118" s="361"/>
      <c r="K118" s="361"/>
      <c r="L118" s="361"/>
      <c r="M118" s="361"/>
      <c r="N118" s="361"/>
      <c r="O118" s="361"/>
      <c r="P118" s="361"/>
      <c r="Q118" s="241" t="s">
        <v>7371</v>
      </c>
      <c r="R118" s="361"/>
      <c r="S118" s="361"/>
      <c r="T118" s="359"/>
      <c r="U118" s="359"/>
      <c r="V118" s="359"/>
      <c r="W118" s="359"/>
      <c r="X118" s="359"/>
      <c r="Y118" s="359"/>
      <c r="Z118" s="359"/>
      <c r="AA118" s="359"/>
    </row>
    <row r="119" spans="1:27">
      <c r="A119" s="769"/>
      <c r="B119" s="769"/>
      <c r="C119" s="357" t="s">
        <v>9584</v>
      </c>
      <c r="D119" s="357" t="s">
        <v>9585</v>
      </c>
      <c r="E119" s="357" t="s">
        <v>1732</v>
      </c>
      <c r="F119" s="357" t="s">
        <v>9205</v>
      </c>
      <c r="G119" s="744" t="s">
        <v>9586</v>
      </c>
      <c r="H119" s="357"/>
      <c r="I119" s="357"/>
      <c r="J119" s="357"/>
      <c r="K119" s="357"/>
      <c r="L119" s="357"/>
      <c r="M119" s="357"/>
      <c r="N119" s="357"/>
      <c r="O119" s="357"/>
      <c r="P119" s="357"/>
      <c r="Q119" s="241" t="s">
        <v>7371</v>
      </c>
      <c r="R119" s="357"/>
      <c r="S119" s="357"/>
      <c r="T119" s="359"/>
      <c r="U119" s="359"/>
      <c r="V119" s="359"/>
      <c r="W119" s="359"/>
      <c r="X119" s="359"/>
      <c r="Y119" s="359"/>
      <c r="Z119" s="359"/>
      <c r="AA119" s="359"/>
    </row>
    <row r="120" spans="1:27">
      <c r="A120" s="769"/>
      <c r="B120" s="769"/>
      <c r="C120" s="361" t="s">
        <v>9587</v>
      </c>
      <c r="D120" s="361" t="s">
        <v>9588</v>
      </c>
      <c r="E120" s="361" t="s">
        <v>1743</v>
      </c>
      <c r="F120" s="361" t="s">
        <v>9205</v>
      </c>
      <c r="G120" s="769"/>
      <c r="H120" s="361"/>
      <c r="I120" s="361"/>
      <c r="J120" s="361"/>
      <c r="K120" s="361"/>
      <c r="L120" s="361"/>
      <c r="M120" s="361"/>
      <c r="N120" s="361"/>
      <c r="O120" s="361"/>
      <c r="P120" s="361"/>
      <c r="Q120" s="358" t="s">
        <v>9207</v>
      </c>
      <c r="R120" s="361"/>
      <c r="S120" s="361"/>
      <c r="T120" s="359" t="s">
        <v>9589</v>
      </c>
      <c r="U120" s="359"/>
      <c r="V120" s="359"/>
      <c r="W120" s="359"/>
      <c r="X120" s="359"/>
      <c r="Y120" s="359"/>
      <c r="Z120" s="364">
        <v>44872</v>
      </c>
      <c r="AA120" s="359" t="s">
        <v>254</v>
      </c>
    </row>
    <row r="121" spans="1:27">
      <c r="A121" s="769"/>
      <c r="B121" s="769"/>
      <c r="C121" s="357" t="s">
        <v>9590</v>
      </c>
      <c r="D121" s="357" t="s">
        <v>9591</v>
      </c>
      <c r="E121" s="357" t="s">
        <v>1743</v>
      </c>
      <c r="F121" s="357" t="s">
        <v>9205</v>
      </c>
      <c r="G121" s="769"/>
      <c r="H121" s="357"/>
      <c r="I121" s="357"/>
      <c r="J121" s="357"/>
      <c r="K121" s="357"/>
      <c r="L121" s="357"/>
      <c r="M121" s="357"/>
      <c r="N121" s="357"/>
      <c r="O121" s="357"/>
      <c r="P121" s="357"/>
      <c r="Q121" s="358" t="s">
        <v>9207</v>
      </c>
      <c r="R121" s="357"/>
      <c r="S121" s="357"/>
      <c r="T121" s="359" t="s">
        <v>9592</v>
      </c>
      <c r="U121" s="359"/>
      <c r="V121" s="359"/>
      <c r="W121" s="359"/>
      <c r="X121" s="359"/>
      <c r="Y121" s="359"/>
      <c r="Z121" s="364">
        <v>44872</v>
      </c>
      <c r="AA121" s="359" t="s">
        <v>254</v>
      </c>
    </row>
    <row r="122" spans="1:27">
      <c r="A122" s="769"/>
      <c r="B122" s="769"/>
      <c r="C122" s="361" t="s">
        <v>9593</v>
      </c>
      <c r="D122" s="361" t="s">
        <v>9594</v>
      </c>
      <c r="E122" s="361" t="s">
        <v>1743</v>
      </c>
      <c r="F122" s="361" t="s">
        <v>9205</v>
      </c>
      <c r="G122" s="769"/>
      <c r="H122" s="361"/>
      <c r="I122" s="361"/>
      <c r="J122" s="361"/>
      <c r="K122" s="361"/>
      <c r="L122" s="361"/>
      <c r="M122" s="361"/>
      <c r="N122" s="361"/>
      <c r="O122" s="361"/>
      <c r="P122" s="361"/>
      <c r="Q122" s="358" t="s">
        <v>9207</v>
      </c>
      <c r="R122" s="361"/>
      <c r="S122" s="361"/>
      <c r="T122" s="359" t="s">
        <v>9595</v>
      </c>
      <c r="U122" s="359"/>
      <c r="V122" s="359"/>
      <c r="W122" s="359"/>
      <c r="X122" s="359"/>
      <c r="Y122" s="359"/>
      <c r="Z122" s="364">
        <v>44872</v>
      </c>
      <c r="AA122" s="359" t="s">
        <v>254</v>
      </c>
    </row>
    <row r="123" spans="1:27">
      <c r="A123" s="769"/>
      <c r="B123" s="769"/>
      <c r="C123" s="357" t="s">
        <v>9596</v>
      </c>
      <c r="D123" s="357" t="s">
        <v>9597</v>
      </c>
      <c r="E123" s="357" t="s">
        <v>1743</v>
      </c>
      <c r="F123" s="357" t="s">
        <v>9205</v>
      </c>
      <c r="G123" s="769"/>
      <c r="H123" s="357"/>
      <c r="I123" s="357"/>
      <c r="J123" s="357"/>
      <c r="K123" s="357"/>
      <c r="L123" s="357"/>
      <c r="M123" s="357"/>
      <c r="N123" s="357"/>
      <c r="O123" s="357"/>
      <c r="P123" s="357"/>
      <c r="Q123" s="241" t="s">
        <v>7371</v>
      </c>
      <c r="R123" s="357"/>
      <c r="S123" s="357"/>
      <c r="T123" s="359"/>
      <c r="U123" s="359"/>
      <c r="V123" s="359"/>
      <c r="W123" s="359"/>
      <c r="X123" s="359"/>
      <c r="Y123" s="359"/>
      <c r="Z123" s="359"/>
      <c r="AA123" s="359"/>
    </row>
    <row r="124" spans="1:27">
      <c r="A124" s="769"/>
      <c r="B124" s="769"/>
      <c r="C124" s="361" t="s">
        <v>9598</v>
      </c>
      <c r="D124" s="361" t="s">
        <v>9599</v>
      </c>
      <c r="E124" s="361" t="s">
        <v>1732</v>
      </c>
      <c r="F124" s="361" t="s">
        <v>9205</v>
      </c>
      <c r="G124" s="738" t="s">
        <v>9600</v>
      </c>
      <c r="H124" s="361"/>
      <c r="I124" s="361"/>
      <c r="J124" s="361"/>
      <c r="K124" s="361"/>
      <c r="L124" s="361"/>
      <c r="M124" s="361"/>
      <c r="N124" s="361"/>
      <c r="O124" s="361"/>
      <c r="P124" s="361"/>
      <c r="Q124" s="241" t="s">
        <v>7371</v>
      </c>
      <c r="R124" s="361"/>
      <c r="S124" s="361"/>
      <c r="T124" s="359"/>
      <c r="U124" s="359"/>
      <c r="V124" s="359"/>
      <c r="W124" s="359"/>
      <c r="X124" s="359"/>
      <c r="Y124" s="359"/>
      <c r="Z124" s="359"/>
      <c r="AA124" s="359"/>
    </row>
    <row r="125" spans="1:27">
      <c r="A125" s="769"/>
      <c r="B125" s="769"/>
      <c r="C125" s="357" t="s">
        <v>9601</v>
      </c>
      <c r="D125" s="357" t="s">
        <v>9602</v>
      </c>
      <c r="E125" s="357" t="s">
        <v>1743</v>
      </c>
      <c r="F125" s="357" t="s">
        <v>9205</v>
      </c>
      <c r="G125" s="769"/>
      <c r="H125" s="357"/>
      <c r="I125" s="357"/>
      <c r="J125" s="357"/>
      <c r="K125" s="357"/>
      <c r="L125" s="357"/>
      <c r="M125" s="357"/>
      <c r="N125" s="357"/>
      <c r="O125" s="357"/>
      <c r="P125" s="357"/>
      <c r="Q125" s="358" t="s">
        <v>9207</v>
      </c>
      <c r="R125" s="357"/>
      <c r="S125" s="357"/>
      <c r="T125" s="359" t="s">
        <v>9603</v>
      </c>
      <c r="U125" s="359"/>
      <c r="V125" s="359"/>
      <c r="W125" s="359"/>
      <c r="X125" s="359"/>
      <c r="Y125" s="359"/>
      <c r="Z125" s="364">
        <v>44872</v>
      </c>
      <c r="AA125" s="359" t="s">
        <v>254</v>
      </c>
    </row>
    <row r="126" spans="1:27">
      <c r="A126" s="769"/>
      <c r="B126" s="769"/>
      <c r="C126" s="361" t="s">
        <v>9604</v>
      </c>
      <c r="D126" s="361" t="s">
        <v>9605</v>
      </c>
      <c r="E126" s="361" t="s">
        <v>1743</v>
      </c>
      <c r="F126" s="361" t="s">
        <v>9205</v>
      </c>
      <c r="G126" s="769"/>
      <c r="H126" s="361"/>
      <c r="I126" s="361"/>
      <c r="J126" s="361"/>
      <c r="K126" s="361"/>
      <c r="L126" s="361"/>
      <c r="M126" s="361"/>
      <c r="N126" s="361"/>
      <c r="O126" s="361"/>
      <c r="P126" s="361"/>
      <c r="Q126" s="358" t="s">
        <v>9207</v>
      </c>
      <c r="R126" s="361"/>
      <c r="S126" s="361"/>
      <c r="T126" s="359" t="s">
        <v>9606</v>
      </c>
      <c r="U126" s="359"/>
      <c r="V126" s="359"/>
      <c r="W126" s="359"/>
      <c r="X126" s="359"/>
      <c r="Y126" s="359"/>
      <c r="Z126" s="364">
        <v>44872</v>
      </c>
      <c r="AA126" s="359" t="s">
        <v>254</v>
      </c>
    </row>
    <row r="127" spans="1:27">
      <c r="A127" s="769"/>
      <c r="B127" s="769"/>
      <c r="C127" s="357" t="s">
        <v>9607</v>
      </c>
      <c r="D127" s="357" t="s">
        <v>9608</v>
      </c>
      <c r="E127" s="357" t="s">
        <v>1743</v>
      </c>
      <c r="F127" s="357" t="s">
        <v>9205</v>
      </c>
      <c r="G127" s="769"/>
      <c r="H127" s="357"/>
      <c r="I127" s="357"/>
      <c r="J127" s="357"/>
      <c r="K127" s="357"/>
      <c r="L127" s="357"/>
      <c r="M127" s="357"/>
      <c r="N127" s="357"/>
      <c r="O127" s="357"/>
      <c r="P127" s="357"/>
      <c r="Q127" s="358" t="s">
        <v>9207</v>
      </c>
      <c r="R127" s="357"/>
      <c r="S127" s="357"/>
      <c r="T127" s="359" t="s">
        <v>9609</v>
      </c>
      <c r="U127" s="359"/>
      <c r="V127" s="359"/>
      <c r="W127" s="359"/>
      <c r="X127" s="359"/>
      <c r="Y127" s="359"/>
      <c r="Z127" s="364">
        <v>44872</v>
      </c>
      <c r="AA127" s="359" t="s">
        <v>254</v>
      </c>
    </row>
    <row r="128" spans="1:27">
      <c r="A128" s="769"/>
      <c r="B128" s="769"/>
      <c r="C128" s="361" t="s">
        <v>9610</v>
      </c>
      <c r="D128" s="361" t="s">
        <v>9611</v>
      </c>
      <c r="E128" s="361" t="s">
        <v>1743</v>
      </c>
      <c r="F128" s="361" t="s">
        <v>9205</v>
      </c>
      <c r="G128" s="769"/>
      <c r="H128" s="361"/>
      <c r="I128" s="361"/>
      <c r="J128" s="361"/>
      <c r="K128" s="361"/>
      <c r="L128" s="361"/>
      <c r="M128" s="361"/>
      <c r="N128" s="361"/>
      <c r="O128" s="361"/>
      <c r="P128" s="361"/>
      <c r="Q128" s="358" t="s">
        <v>9207</v>
      </c>
      <c r="R128" s="361"/>
      <c r="S128" s="361"/>
      <c r="T128" s="359" t="s">
        <v>9612</v>
      </c>
      <c r="U128" s="359"/>
      <c r="V128" s="359"/>
      <c r="W128" s="359"/>
      <c r="X128" s="359"/>
      <c r="Y128" s="359"/>
      <c r="Z128" s="364">
        <v>44872</v>
      </c>
      <c r="AA128" s="359" t="s">
        <v>254</v>
      </c>
    </row>
    <row r="129" spans="1:27">
      <c r="A129" s="769"/>
      <c r="B129" s="769"/>
      <c r="C129" s="357" t="s">
        <v>9613</v>
      </c>
      <c r="D129" s="357" t="s">
        <v>9614</v>
      </c>
      <c r="E129" s="357" t="s">
        <v>1743</v>
      </c>
      <c r="F129" s="357" t="s">
        <v>9205</v>
      </c>
      <c r="G129" s="769"/>
      <c r="H129" s="357"/>
      <c r="I129" s="357"/>
      <c r="J129" s="357"/>
      <c r="K129" s="357"/>
      <c r="L129" s="357"/>
      <c r="M129" s="357"/>
      <c r="N129" s="357"/>
      <c r="O129" s="357"/>
      <c r="P129" s="357"/>
      <c r="Q129" s="241" t="s">
        <v>7371</v>
      </c>
      <c r="R129" s="357"/>
      <c r="S129" s="357"/>
      <c r="T129" s="359"/>
      <c r="U129" s="359"/>
      <c r="V129" s="359"/>
      <c r="W129" s="359"/>
      <c r="X129" s="359"/>
      <c r="Y129" s="359"/>
      <c r="Z129" s="359"/>
      <c r="AA129" s="359"/>
    </row>
    <row r="130" spans="1:27">
      <c r="A130" s="769"/>
      <c r="B130" s="769"/>
      <c r="C130" s="361" t="s">
        <v>9615</v>
      </c>
      <c r="D130" s="361" t="s">
        <v>9616</v>
      </c>
      <c r="E130" s="361" t="s">
        <v>1732</v>
      </c>
      <c r="F130" s="361" t="s">
        <v>9205</v>
      </c>
      <c r="G130" s="738" t="s">
        <v>9617</v>
      </c>
      <c r="H130" s="361"/>
      <c r="I130" s="361"/>
      <c r="J130" s="361"/>
      <c r="K130" s="361"/>
      <c r="L130" s="361"/>
      <c r="M130" s="361"/>
      <c r="N130" s="361"/>
      <c r="O130" s="361"/>
      <c r="P130" s="361"/>
      <c r="Q130" s="241" t="s">
        <v>7371</v>
      </c>
      <c r="R130" s="361"/>
      <c r="S130" s="361"/>
      <c r="T130" s="359"/>
      <c r="U130" s="359"/>
      <c r="V130" s="359"/>
      <c r="W130" s="359"/>
      <c r="X130" s="359"/>
      <c r="Y130" s="359"/>
      <c r="Z130" s="359"/>
      <c r="AA130" s="359"/>
    </row>
    <row r="131" spans="1:27">
      <c r="A131" s="769"/>
      <c r="B131" s="769"/>
      <c r="C131" s="357" t="s">
        <v>9618</v>
      </c>
      <c r="D131" s="357" t="s">
        <v>9619</v>
      </c>
      <c r="E131" s="357" t="s">
        <v>1743</v>
      </c>
      <c r="F131" s="357" t="s">
        <v>9205</v>
      </c>
      <c r="G131" s="769"/>
      <c r="H131" s="357"/>
      <c r="I131" s="357"/>
      <c r="J131" s="357"/>
      <c r="K131" s="357"/>
      <c r="L131" s="357"/>
      <c r="M131" s="357"/>
      <c r="N131" s="357"/>
      <c r="O131" s="357"/>
      <c r="P131" s="357"/>
      <c r="Q131" s="358" t="s">
        <v>9207</v>
      </c>
      <c r="R131" s="357"/>
      <c r="S131" s="357"/>
      <c r="T131" s="359" t="s">
        <v>9620</v>
      </c>
      <c r="U131" s="359"/>
      <c r="V131" s="359"/>
      <c r="W131" s="359"/>
      <c r="X131" s="359"/>
      <c r="Y131" s="359"/>
      <c r="Z131" s="364">
        <v>44873</v>
      </c>
      <c r="AA131" s="359" t="s">
        <v>254</v>
      </c>
    </row>
    <row r="132" spans="1:27">
      <c r="A132" s="769"/>
      <c r="B132" s="769"/>
      <c r="C132" s="361" t="s">
        <v>9621</v>
      </c>
      <c r="D132" s="361" t="s">
        <v>9622</v>
      </c>
      <c r="E132" s="361" t="s">
        <v>1743</v>
      </c>
      <c r="F132" s="361" t="s">
        <v>9205</v>
      </c>
      <c r="G132" s="769"/>
      <c r="H132" s="361"/>
      <c r="I132" s="361"/>
      <c r="J132" s="361"/>
      <c r="K132" s="361"/>
      <c r="L132" s="361"/>
      <c r="M132" s="361"/>
      <c r="N132" s="361"/>
      <c r="O132" s="361"/>
      <c r="P132" s="361"/>
      <c r="Q132" s="358" t="s">
        <v>9207</v>
      </c>
      <c r="R132" s="361"/>
      <c r="S132" s="361"/>
      <c r="T132" s="359" t="s">
        <v>9623</v>
      </c>
      <c r="U132" s="359"/>
      <c r="V132" s="359"/>
      <c r="W132" s="359"/>
      <c r="X132" s="359"/>
      <c r="Y132" s="359"/>
      <c r="Z132" s="364">
        <v>44873</v>
      </c>
      <c r="AA132" s="359" t="s">
        <v>254</v>
      </c>
    </row>
    <row r="133" spans="1:27">
      <c r="A133" s="769"/>
      <c r="B133" s="769"/>
      <c r="C133" s="357" t="s">
        <v>9624</v>
      </c>
      <c r="D133" s="357" t="s">
        <v>9625</v>
      </c>
      <c r="E133" s="357" t="s">
        <v>1743</v>
      </c>
      <c r="F133" s="357" t="s">
        <v>9205</v>
      </c>
      <c r="G133" s="769"/>
      <c r="H133" s="357"/>
      <c r="I133" s="357"/>
      <c r="J133" s="357"/>
      <c r="K133" s="357"/>
      <c r="L133" s="357"/>
      <c r="M133" s="357"/>
      <c r="N133" s="357"/>
      <c r="O133" s="357"/>
      <c r="P133" s="357"/>
      <c r="Q133" s="358" t="s">
        <v>9207</v>
      </c>
      <c r="R133" s="357"/>
      <c r="S133" s="357"/>
      <c r="T133" s="359" t="s">
        <v>9626</v>
      </c>
      <c r="U133" s="359"/>
      <c r="V133" s="359"/>
      <c r="W133" s="359"/>
      <c r="X133" s="359"/>
      <c r="Y133" s="359"/>
      <c r="Z133" s="364">
        <v>44873</v>
      </c>
      <c r="AA133" s="359" t="s">
        <v>254</v>
      </c>
    </row>
    <row r="134" spans="1:27">
      <c r="A134" s="769"/>
      <c r="B134" s="769"/>
      <c r="C134" s="361" t="s">
        <v>9627</v>
      </c>
      <c r="D134" s="361" t="s">
        <v>9628</v>
      </c>
      <c r="E134" s="361" t="s">
        <v>1743</v>
      </c>
      <c r="F134" s="361" t="s">
        <v>9205</v>
      </c>
      <c r="G134" s="769"/>
      <c r="H134" s="361"/>
      <c r="I134" s="361"/>
      <c r="J134" s="361"/>
      <c r="K134" s="361"/>
      <c r="L134" s="361"/>
      <c r="M134" s="361"/>
      <c r="N134" s="361"/>
      <c r="O134" s="361"/>
      <c r="P134" s="361"/>
      <c r="Q134" s="358" t="s">
        <v>9207</v>
      </c>
      <c r="R134" s="361"/>
      <c r="S134" s="361"/>
      <c r="T134" s="359" t="s">
        <v>9629</v>
      </c>
      <c r="U134" s="359"/>
      <c r="V134" s="359"/>
      <c r="W134" s="359"/>
      <c r="X134" s="359"/>
      <c r="Y134" s="359"/>
      <c r="Z134" s="364">
        <v>44873</v>
      </c>
      <c r="AA134" s="359" t="s">
        <v>254</v>
      </c>
    </row>
    <row r="135" spans="1:27">
      <c r="A135" s="769"/>
      <c r="B135" s="769"/>
      <c r="C135" s="357" t="s">
        <v>9630</v>
      </c>
      <c r="D135" s="357" t="s">
        <v>9631</v>
      </c>
      <c r="E135" s="357" t="s">
        <v>1743</v>
      </c>
      <c r="F135" s="357" t="s">
        <v>9205</v>
      </c>
      <c r="G135" s="769"/>
      <c r="H135" s="357"/>
      <c r="I135" s="357"/>
      <c r="J135" s="357"/>
      <c r="K135" s="357"/>
      <c r="L135" s="357"/>
      <c r="M135" s="357"/>
      <c r="N135" s="357"/>
      <c r="O135" s="357"/>
      <c r="P135" s="357"/>
      <c r="Q135" s="241" t="s">
        <v>7371</v>
      </c>
      <c r="R135" s="357"/>
      <c r="S135" s="357"/>
      <c r="T135" s="359"/>
      <c r="U135" s="359"/>
      <c r="V135" s="359"/>
      <c r="W135" s="359"/>
      <c r="X135" s="359"/>
      <c r="Y135" s="359"/>
      <c r="Z135" s="359"/>
      <c r="AA135" s="359"/>
    </row>
    <row r="136" spans="1:27">
      <c r="A136" s="730" t="s">
        <v>9632</v>
      </c>
      <c r="B136" s="730" t="s">
        <v>9633</v>
      </c>
      <c r="C136" s="361" t="s">
        <v>9634</v>
      </c>
      <c r="D136" s="361" t="s">
        <v>9635</v>
      </c>
      <c r="E136" s="361" t="s">
        <v>1732</v>
      </c>
      <c r="F136" s="361" t="s">
        <v>9205</v>
      </c>
      <c r="G136" s="730" t="s">
        <v>9636</v>
      </c>
      <c r="H136" s="361"/>
      <c r="I136" s="361"/>
      <c r="J136" s="361"/>
      <c r="K136" s="361"/>
      <c r="L136" s="361"/>
      <c r="M136" s="361"/>
      <c r="N136" s="361"/>
      <c r="O136" s="361"/>
      <c r="P136" s="361"/>
      <c r="Q136" s="358" t="s">
        <v>9207</v>
      </c>
      <c r="R136" s="361"/>
      <c r="S136" s="361"/>
      <c r="T136" s="359" t="s">
        <v>9637</v>
      </c>
      <c r="U136" s="359"/>
      <c r="V136" s="359"/>
      <c r="W136" s="359"/>
      <c r="X136" s="359"/>
      <c r="Y136" s="359"/>
      <c r="Z136" s="364">
        <v>44854</v>
      </c>
      <c r="AA136" s="359" t="s">
        <v>254</v>
      </c>
    </row>
    <row r="137" spans="1:27">
      <c r="A137" s="769"/>
      <c r="B137" s="769"/>
      <c r="C137" s="357" t="s">
        <v>9638</v>
      </c>
      <c r="D137" s="357" t="s">
        <v>9639</v>
      </c>
      <c r="E137" s="357" t="s">
        <v>1743</v>
      </c>
      <c r="F137" s="357" t="s">
        <v>9205</v>
      </c>
      <c r="G137" s="769"/>
      <c r="H137" s="357"/>
      <c r="I137" s="357"/>
      <c r="J137" s="357"/>
      <c r="K137" s="357"/>
      <c r="L137" s="357"/>
      <c r="M137" s="357"/>
      <c r="N137" s="357"/>
      <c r="O137" s="357"/>
      <c r="P137" s="357"/>
      <c r="Q137" s="358" t="s">
        <v>9207</v>
      </c>
      <c r="R137" s="357"/>
      <c r="S137" s="357"/>
      <c r="T137" s="359" t="s">
        <v>9640</v>
      </c>
      <c r="U137" s="359"/>
      <c r="V137" s="359"/>
      <c r="W137" s="359"/>
      <c r="X137" s="359"/>
      <c r="Y137" s="359"/>
      <c r="Z137" s="364">
        <v>44854</v>
      </c>
      <c r="AA137" s="359" t="s">
        <v>254</v>
      </c>
    </row>
    <row r="138" spans="1:27">
      <c r="A138" s="769"/>
      <c r="B138" s="769"/>
      <c r="C138" s="361" t="s">
        <v>9641</v>
      </c>
      <c r="D138" s="361" t="s">
        <v>9642</v>
      </c>
      <c r="E138" s="361" t="s">
        <v>1743</v>
      </c>
      <c r="F138" s="361" t="s">
        <v>9205</v>
      </c>
      <c r="G138" s="769"/>
      <c r="H138" s="361"/>
      <c r="I138" s="361"/>
      <c r="J138" s="361"/>
      <c r="K138" s="361"/>
      <c r="L138" s="361"/>
      <c r="M138" s="361"/>
      <c r="N138" s="361"/>
      <c r="O138" s="361"/>
      <c r="P138" s="361"/>
      <c r="Q138" s="358" t="s">
        <v>9207</v>
      </c>
      <c r="R138" s="361"/>
      <c r="S138" s="361"/>
      <c r="T138" s="359" t="s">
        <v>9643</v>
      </c>
      <c r="U138" s="359"/>
      <c r="V138" s="359"/>
      <c r="W138" s="359"/>
      <c r="X138" s="359"/>
      <c r="Y138" s="359"/>
      <c r="Z138" s="364">
        <v>44854</v>
      </c>
      <c r="AA138" s="359" t="s">
        <v>254</v>
      </c>
    </row>
    <row r="139" spans="1:27">
      <c r="A139" s="769"/>
      <c r="B139" s="769"/>
      <c r="C139" s="357" t="s">
        <v>9644</v>
      </c>
      <c r="D139" s="357" t="s">
        <v>9645</v>
      </c>
      <c r="E139" s="357" t="s">
        <v>1743</v>
      </c>
      <c r="F139" s="357" t="s">
        <v>9205</v>
      </c>
      <c r="G139" s="769"/>
      <c r="H139" s="357"/>
      <c r="I139" s="357"/>
      <c r="J139" s="357"/>
      <c r="K139" s="357"/>
      <c r="L139" s="357"/>
      <c r="M139" s="357"/>
      <c r="N139" s="357"/>
      <c r="O139" s="357"/>
      <c r="P139" s="357"/>
      <c r="Q139" s="358" t="s">
        <v>9207</v>
      </c>
      <c r="R139" s="357"/>
      <c r="S139" s="357"/>
      <c r="T139" s="359" t="s">
        <v>9646</v>
      </c>
      <c r="U139" s="359"/>
      <c r="V139" s="359"/>
      <c r="W139" s="359"/>
      <c r="X139" s="359"/>
      <c r="Y139" s="359"/>
      <c r="Z139" s="364">
        <v>44854</v>
      </c>
      <c r="AA139" s="359" t="s">
        <v>254</v>
      </c>
    </row>
    <row r="140" spans="1:27">
      <c r="A140" s="769"/>
      <c r="B140" s="769"/>
      <c r="C140" s="361" t="s">
        <v>9647</v>
      </c>
      <c r="D140" s="361" t="s">
        <v>9648</v>
      </c>
      <c r="E140" s="361" t="s">
        <v>1732</v>
      </c>
      <c r="F140" s="361" t="s">
        <v>9205</v>
      </c>
      <c r="G140" s="769"/>
      <c r="H140" s="361"/>
      <c r="I140" s="361"/>
      <c r="J140" s="361"/>
      <c r="K140" s="361"/>
      <c r="L140" s="361"/>
      <c r="M140" s="361"/>
      <c r="N140" s="361"/>
      <c r="O140" s="361"/>
      <c r="P140" s="361"/>
      <c r="Q140" s="358" t="s">
        <v>9207</v>
      </c>
      <c r="R140" s="361"/>
      <c r="S140" s="361"/>
      <c r="T140" s="359" t="s">
        <v>9649</v>
      </c>
      <c r="U140" s="359"/>
      <c r="V140" s="359"/>
      <c r="W140" s="359"/>
      <c r="X140" s="359"/>
      <c r="Y140" s="359"/>
      <c r="Z140" s="364">
        <v>44854</v>
      </c>
      <c r="AA140" s="359" t="s">
        <v>254</v>
      </c>
    </row>
    <row r="141" spans="1:27">
      <c r="A141" s="769"/>
      <c r="B141" s="769"/>
      <c r="C141" s="357" t="s">
        <v>9650</v>
      </c>
      <c r="D141" s="357" t="s">
        <v>9651</v>
      </c>
      <c r="E141" s="357" t="s">
        <v>1732</v>
      </c>
      <c r="F141" s="357" t="s">
        <v>9205</v>
      </c>
      <c r="G141" s="769"/>
      <c r="H141" s="357"/>
      <c r="I141" s="357"/>
      <c r="J141" s="357"/>
      <c r="K141" s="357"/>
      <c r="L141" s="357"/>
      <c r="M141" s="357"/>
      <c r="N141" s="357"/>
      <c r="O141" s="357"/>
      <c r="P141" s="357"/>
      <c r="Q141" s="358" t="s">
        <v>9207</v>
      </c>
      <c r="R141" s="357"/>
      <c r="S141" s="357"/>
      <c r="T141" s="359" t="s">
        <v>9652</v>
      </c>
      <c r="U141" s="359"/>
      <c r="V141" s="359"/>
      <c r="W141" s="359"/>
      <c r="X141" s="359"/>
      <c r="Y141" s="359"/>
      <c r="Z141" s="364">
        <v>44855</v>
      </c>
      <c r="AA141" s="359" t="s">
        <v>254</v>
      </c>
    </row>
    <row r="142" spans="1:27">
      <c r="A142" s="769"/>
      <c r="B142" s="769"/>
      <c r="C142" s="361" t="s">
        <v>9653</v>
      </c>
      <c r="D142" s="361" t="s">
        <v>9654</v>
      </c>
      <c r="E142" s="361" t="s">
        <v>1743</v>
      </c>
      <c r="F142" s="361" t="s">
        <v>9205</v>
      </c>
      <c r="G142" s="769"/>
      <c r="H142" s="361"/>
      <c r="I142" s="361"/>
      <c r="J142" s="361"/>
      <c r="K142" s="361"/>
      <c r="L142" s="361"/>
      <c r="M142" s="361"/>
      <c r="N142" s="361"/>
      <c r="O142" s="361"/>
      <c r="P142" s="361"/>
      <c r="Q142" s="358" t="s">
        <v>9207</v>
      </c>
      <c r="R142" s="361"/>
      <c r="S142" s="361"/>
      <c r="T142" s="359" t="s">
        <v>9655</v>
      </c>
      <c r="U142" s="359"/>
      <c r="V142" s="359"/>
      <c r="W142" s="359"/>
      <c r="X142" s="359"/>
      <c r="Y142" s="359"/>
      <c r="Z142" s="364">
        <v>44855</v>
      </c>
      <c r="AA142" s="359" t="s">
        <v>254</v>
      </c>
    </row>
    <row r="143" spans="1:27">
      <c r="A143" s="769"/>
      <c r="B143" s="769"/>
      <c r="C143" s="357" t="s">
        <v>9656</v>
      </c>
      <c r="D143" s="357" t="s">
        <v>9657</v>
      </c>
      <c r="E143" s="357" t="s">
        <v>1743</v>
      </c>
      <c r="F143" s="357" t="s">
        <v>9205</v>
      </c>
      <c r="G143" s="769"/>
      <c r="H143" s="357"/>
      <c r="I143" s="357"/>
      <c r="J143" s="357"/>
      <c r="K143" s="357"/>
      <c r="L143" s="357"/>
      <c r="M143" s="357"/>
      <c r="N143" s="357"/>
      <c r="O143" s="357"/>
      <c r="P143" s="357"/>
      <c r="Q143" s="358" t="s">
        <v>9207</v>
      </c>
      <c r="R143" s="357"/>
      <c r="S143" s="357"/>
      <c r="T143" s="359" t="s">
        <v>9658</v>
      </c>
      <c r="U143" s="359"/>
      <c r="V143" s="359"/>
      <c r="W143" s="359"/>
      <c r="X143" s="359"/>
      <c r="Y143" s="359"/>
      <c r="Z143" s="364">
        <v>44855</v>
      </c>
      <c r="AA143" s="359" t="s">
        <v>254</v>
      </c>
    </row>
    <row r="144" spans="1:27">
      <c r="A144" s="769"/>
      <c r="B144" s="769"/>
      <c r="C144" s="361" t="s">
        <v>9659</v>
      </c>
      <c r="D144" s="361" t="s">
        <v>9660</v>
      </c>
      <c r="E144" s="361" t="s">
        <v>1743</v>
      </c>
      <c r="F144" s="361" t="s">
        <v>9205</v>
      </c>
      <c r="G144" s="769"/>
      <c r="H144" s="361"/>
      <c r="I144" s="361"/>
      <c r="J144" s="361"/>
      <c r="K144" s="361"/>
      <c r="L144" s="361"/>
      <c r="M144" s="361"/>
      <c r="N144" s="361"/>
      <c r="O144" s="361"/>
      <c r="P144" s="361"/>
      <c r="Q144" s="358" t="s">
        <v>9207</v>
      </c>
      <c r="R144" s="361"/>
      <c r="S144" s="361"/>
      <c r="T144" s="359" t="s">
        <v>9661</v>
      </c>
      <c r="U144" s="359"/>
      <c r="V144" s="359"/>
      <c r="W144" s="359"/>
      <c r="X144" s="359"/>
      <c r="Y144" s="359"/>
      <c r="Z144" s="364">
        <v>44855</v>
      </c>
      <c r="AA144" s="359" t="s">
        <v>254</v>
      </c>
    </row>
    <row r="145" spans="1:27">
      <c r="A145" s="769"/>
      <c r="B145" s="769"/>
      <c r="C145" s="357" t="s">
        <v>9662</v>
      </c>
      <c r="D145" s="357" t="s">
        <v>9663</v>
      </c>
      <c r="E145" s="357" t="s">
        <v>1743</v>
      </c>
      <c r="F145" s="357" t="s">
        <v>9205</v>
      </c>
      <c r="G145" s="769"/>
      <c r="H145" s="357"/>
      <c r="I145" s="357"/>
      <c r="J145" s="357"/>
      <c r="K145" s="357"/>
      <c r="L145" s="357"/>
      <c r="M145" s="357"/>
      <c r="N145" s="357"/>
      <c r="O145" s="357"/>
      <c r="P145" s="357"/>
      <c r="Q145" s="358" t="s">
        <v>9207</v>
      </c>
      <c r="R145" s="357"/>
      <c r="S145" s="357"/>
      <c r="T145" s="359" t="s">
        <v>9664</v>
      </c>
      <c r="U145" s="359"/>
      <c r="V145" s="359"/>
      <c r="W145" s="359"/>
      <c r="X145" s="359"/>
      <c r="Y145" s="359"/>
      <c r="Z145" s="364">
        <v>44855</v>
      </c>
      <c r="AA145" s="359" t="s">
        <v>254</v>
      </c>
    </row>
    <row r="146" spans="1:27">
      <c r="A146" s="769"/>
      <c r="B146" s="769"/>
      <c r="C146" s="361" t="s">
        <v>9665</v>
      </c>
      <c r="D146" s="361" t="s">
        <v>9666</v>
      </c>
      <c r="E146" s="361" t="s">
        <v>1743</v>
      </c>
      <c r="F146" s="361" t="s">
        <v>9205</v>
      </c>
      <c r="G146" s="769"/>
      <c r="H146" s="361"/>
      <c r="I146" s="361"/>
      <c r="J146" s="361"/>
      <c r="K146" s="361"/>
      <c r="L146" s="361"/>
      <c r="M146" s="361"/>
      <c r="N146" s="361"/>
      <c r="O146" s="361"/>
      <c r="P146" s="361"/>
      <c r="Q146" s="358" t="s">
        <v>9207</v>
      </c>
      <c r="R146" s="361"/>
      <c r="S146" s="361"/>
      <c r="T146" s="359" t="s">
        <v>9667</v>
      </c>
      <c r="U146" s="359"/>
      <c r="V146" s="359"/>
      <c r="W146" s="359"/>
      <c r="X146" s="359"/>
      <c r="Y146" s="359"/>
      <c r="Z146" s="364">
        <v>44855</v>
      </c>
      <c r="AA146" s="359" t="s">
        <v>254</v>
      </c>
    </row>
    <row r="147" spans="1:27">
      <c r="A147" s="769"/>
      <c r="B147" s="769"/>
      <c r="C147" s="357" t="s">
        <v>9668</v>
      </c>
      <c r="D147" s="357" t="s">
        <v>9669</v>
      </c>
      <c r="E147" s="357" t="s">
        <v>1743</v>
      </c>
      <c r="F147" s="357" t="s">
        <v>9205</v>
      </c>
      <c r="G147" s="769"/>
      <c r="H147" s="357"/>
      <c r="I147" s="357"/>
      <c r="J147" s="357"/>
      <c r="K147" s="357"/>
      <c r="L147" s="357"/>
      <c r="M147" s="357"/>
      <c r="N147" s="357"/>
      <c r="O147" s="357"/>
      <c r="P147" s="357"/>
      <c r="Q147" s="358" t="s">
        <v>9207</v>
      </c>
      <c r="R147" s="357"/>
      <c r="S147" s="357"/>
      <c r="T147" s="359" t="s">
        <v>9670</v>
      </c>
      <c r="U147" s="359"/>
      <c r="V147" s="359"/>
      <c r="W147" s="359"/>
      <c r="X147" s="359"/>
      <c r="Y147" s="359"/>
      <c r="Z147" s="364">
        <v>44855</v>
      </c>
      <c r="AA147" s="359" t="s">
        <v>254</v>
      </c>
    </row>
    <row r="148" spans="1:27">
      <c r="A148" s="730" t="s">
        <v>9671</v>
      </c>
      <c r="B148" s="730" t="s">
        <v>9672</v>
      </c>
      <c r="C148" s="361" t="s">
        <v>9673</v>
      </c>
      <c r="D148" s="361" t="s">
        <v>9674</v>
      </c>
      <c r="E148" s="361" t="s">
        <v>1732</v>
      </c>
      <c r="F148" s="361" t="s">
        <v>9205</v>
      </c>
      <c r="G148" s="730" t="s">
        <v>9675</v>
      </c>
      <c r="H148" s="361"/>
      <c r="I148" s="361"/>
      <c r="J148" s="361"/>
      <c r="K148" s="361"/>
      <c r="L148" s="361"/>
      <c r="M148" s="361"/>
      <c r="N148" s="361"/>
      <c r="O148" s="361"/>
      <c r="P148" s="361"/>
      <c r="Q148" s="358" t="s">
        <v>9207</v>
      </c>
      <c r="R148" s="363"/>
      <c r="S148" s="361"/>
      <c r="T148" s="359"/>
      <c r="V148" s="359"/>
      <c r="W148" s="359"/>
      <c r="X148" s="359"/>
      <c r="Y148" s="359"/>
      <c r="Z148" s="364">
        <v>44865</v>
      </c>
      <c r="AA148" s="359" t="s">
        <v>254</v>
      </c>
    </row>
    <row r="149" spans="1:27">
      <c r="A149" s="769"/>
      <c r="B149" s="769"/>
      <c r="C149" s="357" t="s">
        <v>9676</v>
      </c>
      <c r="D149" s="357" t="s">
        <v>9677</v>
      </c>
      <c r="E149" s="357" t="s">
        <v>1732</v>
      </c>
      <c r="F149" s="357" t="s">
        <v>9205</v>
      </c>
      <c r="G149" s="769"/>
      <c r="H149" s="357"/>
      <c r="I149" s="357"/>
      <c r="J149" s="357"/>
      <c r="K149" s="357"/>
      <c r="L149" s="357"/>
      <c r="M149" s="357"/>
      <c r="N149" s="357"/>
      <c r="O149" s="357"/>
      <c r="P149" s="357"/>
      <c r="Q149" s="241" t="s">
        <v>7371</v>
      </c>
      <c r="R149" s="365" t="s">
        <v>9678</v>
      </c>
      <c r="S149" s="357"/>
      <c r="T149" s="359"/>
      <c r="U149" s="364">
        <v>44859</v>
      </c>
      <c r="V149" s="359"/>
      <c r="W149" s="359"/>
      <c r="X149" s="359"/>
      <c r="Y149" s="359"/>
      <c r="Z149" s="359"/>
      <c r="AA149" s="359"/>
    </row>
    <row r="150" spans="1:27">
      <c r="A150" s="769"/>
      <c r="B150" s="769"/>
      <c r="C150" s="361" t="s">
        <v>9679</v>
      </c>
      <c r="D150" s="361" t="s">
        <v>9680</v>
      </c>
      <c r="E150" s="361" t="s">
        <v>1743</v>
      </c>
      <c r="F150" s="361" t="s">
        <v>9205</v>
      </c>
      <c r="G150" s="769"/>
      <c r="H150" s="361"/>
      <c r="I150" s="361"/>
      <c r="J150" s="361"/>
      <c r="K150" s="361"/>
      <c r="L150" s="361"/>
      <c r="M150" s="361"/>
      <c r="N150" s="361"/>
      <c r="O150" s="361"/>
      <c r="P150" s="361"/>
      <c r="Q150" s="241" t="s">
        <v>7371</v>
      </c>
      <c r="R150" s="361"/>
      <c r="S150" s="361"/>
      <c r="T150" s="359"/>
      <c r="U150" s="364">
        <v>44859</v>
      </c>
      <c r="V150" s="359"/>
      <c r="W150" s="359"/>
      <c r="X150" s="359"/>
      <c r="Y150" s="359"/>
      <c r="Z150" s="359"/>
      <c r="AA150" s="359"/>
    </row>
    <row r="151" spans="1:27">
      <c r="A151" s="769"/>
      <c r="B151" s="769"/>
      <c r="C151" s="357" t="s">
        <v>9681</v>
      </c>
      <c r="D151" s="357" t="s">
        <v>9682</v>
      </c>
      <c r="E151" s="357" t="s">
        <v>1743</v>
      </c>
      <c r="F151" s="357" t="s">
        <v>9205</v>
      </c>
      <c r="G151" s="769"/>
      <c r="H151" s="357"/>
      <c r="I151" s="357"/>
      <c r="J151" s="357"/>
      <c r="K151" s="357"/>
      <c r="L151" s="357"/>
      <c r="M151" s="357"/>
      <c r="N151" s="357"/>
      <c r="O151" s="357"/>
      <c r="P151" s="357"/>
      <c r="Q151" s="241" t="s">
        <v>7371</v>
      </c>
      <c r="R151" s="357"/>
      <c r="S151" s="357"/>
      <c r="T151" s="359"/>
      <c r="U151" s="364">
        <v>44859</v>
      </c>
      <c r="V151" s="359"/>
      <c r="W151" s="359"/>
      <c r="X151" s="359"/>
      <c r="Y151" s="359"/>
      <c r="Z151" s="359"/>
      <c r="AA151" s="359"/>
    </row>
    <row r="152" spans="1:27">
      <c r="A152" s="769"/>
      <c r="B152" s="769"/>
      <c r="C152" s="361" t="s">
        <v>9683</v>
      </c>
      <c r="D152" s="361" t="s">
        <v>9684</v>
      </c>
      <c r="E152" s="361" t="s">
        <v>1743</v>
      </c>
      <c r="F152" s="361" t="s">
        <v>9205</v>
      </c>
      <c r="G152" s="769"/>
      <c r="H152" s="361"/>
      <c r="I152" s="361"/>
      <c r="J152" s="361"/>
      <c r="K152" s="361"/>
      <c r="L152" s="361"/>
      <c r="M152" s="361"/>
      <c r="N152" s="361"/>
      <c r="O152" s="361"/>
      <c r="P152" s="361"/>
      <c r="Q152" s="241" t="s">
        <v>7371</v>
      </c>
      <c r="R152" s="361"/>
      <c r="S152" s="361"/>
      <c r="T152" s="359"/>
      <c r="U152" s="364">
        <v>44859</v>
      </c>
      <c r="V152" s="359"/>
      <c r="W152" s="359"/>
      <c r="X152" s="359"/>
      <c r="Y152" s="359"/>
      <c r="Z152" s="359"/>
      <c r="AA152" s="359"/>
    </row>
    <row r="153" spans="1:27">
      <c r="A153" s="769"/>
      <c r="B153" s="769"/>
      <c r="C153" s="357" t="s">
        <v>9685</v>
      </c>
      <c r="D153" s="357" t="s">
        <v>9686</v>
      </c>
      <c r="E153" s="357" t="s">
        <v>1743</v>
      </c>
      <c r="F153" s="357" t="s">
        <v>9205</v>
      </c>
      <c r="G153" s="769"/>
      <c r="H153" s="357"/>
      <c r="I153" s="357"/>
      <c r="J153" s="357"/>
      <c r="K153" s="357"/>
      <c r="L153" s="357"/>
      <c r="M153" s="357"/>
      <c r="N153" s="357"/>
      <c r="O153" s="357"/>
      <c r="P153" s="357"/>
      <c r="Q153" s="241" t="s">
        <v>7371</v>
      </c>
      <c r="R153" s="357"/>
      <c r="S153" s="357"/>
      <c r="T153" s="359"/>
      <c r="U153" s="364">
        <v>44859</v>
      </c>
      <c r="V153" s="359"/>
      <c r="W153" s="359"/>
      <c r="X153" s="359"/>
      <c r="Y153" s="359"/>
      <c r="Z153" s="359"/>
      <c r="AA153" s="359"/>
    </row>
    <row r="154" spans="1:27">
      <c r="A154" s="769"/>
      <c r="B154" s="769"/>
      <c r="C154" s="361" t="s">
        <v>9687</v>
      </c>
      <c r="D154" s="361" t="s">
        <v>9688</v>
      </c>
      <c r="E154" s="361" t="s">
        <v>1743</v>
      </c>
      <c r="F154" s="361" t="s">
        <v>9205</v>
      </c>
      <c r="G154" s="769"/>
      <c r="H154" s="361"/>
      <c r="I154" s="361"/>
      <c r="J154" s="361"/>
      <c r="K154" s="361"/>
      <c r="L154" s="361"/>
      <c r="M154" s="361"/>
      <c r="N154" s="361"/>
      <c r="O154" s="361"/>
      <c r="P154" s="361"/>
      <c r="Q154" s="358" t="s">
        <v>9207</v>
      </c>
      <c r="R154" s="361"/>
      <c r="S154" s="361"/>
      <c r="T154" s="359"/>
      <c r="U154" s="364"/>
      <c r="V154" s="359"/>
      <c r="W154" s="359"/>
      <c r="X154" s="359"/>
      <c r="Y154" s="359"/>
      <c r="Z154" s="364">
        <v>44861</v>
      </c>
      <c r="AA154" s="359" t="s">
        <v>254</v>
      </c>
    </row>
    <row r="155" spans="1:27">
      <c r="A155" s="769"/>
      <c r="B155" s="769"/>
      <c r="C155" s="357" t="s">
        <v>9689</v>
      </c>
      <c r="D155" s="357" t="s">
        <v>9690</v>
      </c>
      <c r="E155" s="357" t="s">
        <v>1743</v>
      </c>
      <c r="F155" s="357" t="s">
        <v>9205</v>
      </c>
      <c r="G155" s="769"/>
      <c r="H155" s="357"/>
      <c r="I155" s="357"/>
      <c r="J155" s="357"/>
      <c r="K155" s="357"/>
      <c r="L155" s="357"/>
      <c r="M155" s="357"/>
      <c r="N155" s="357"/>
      <c r="O155" s="357"/>
      <c r="P155" s="357"/>
      <c r="Q155" s="358" t="s">
        <v>9207</v>
      </c>
      <c r="R155" s="357"/>
      <c r="S155" s="357"/>
      <c r="T155" s="359"/>
      <c r="U155" s="364"/>
      <c r="V155" s="359"/>
      <c r="W155" s="359"/>
      <c r="X155" s="359"/>
      <c r="Y155" s="359"/>
      <c r="Z155" s="364">
        <v>44861</v>
      </c>
      <c r="AA155" s="359" t="s">
        <v>254</v>
      </c>
    </row>
    <row r="156" spans="1:27">
      <c r="A156" s="730" t="s">
        <v>9691</v>
      </c>
      <c r="B156" s="730" t="s">
        <v>9692</v>
      </c>
      <c r="C156" s="361" t="s">
        <v>9693</v>
      </c>
      <c r="D156" s="361" t="s">
        <v>9694</v>
      </c>
      <c r="E156" s="361" t="s">
        <v>1732</v>
      </c>
      <c r="F156" s="361" t="s">
        <v>9205</v>
      </c>
      <c r="G156" s="730" t="s">
        <v>9695</v>
      </c>
      <c r="H156" s="361" t="s">
        <v>9696</v>
      </c>
      <c r="I156" s="361"/>
      <c r="J156" s="361"/>
      <c r="K156" s="361"/>
      <c r="L156" s="361"/>
      <c r="M156" s="361"/>
      <c r="N156" s="361"/>
      <c r="O156" s="361"/>
      <c r="P156" s="361"/>
      <c r="Q156" s="358" t="s">
        <v>9207</v>
      </c>
      <c r="R156" s="742" t="s">
        <v>9697</v>
      </c>
      <c r="S156" s="361"/>
      <c r="T156" s="359" t="s">
        <v>9698</v>
      </c>
      <c r="U156" s="359"/>
      <c r="V156" s="359"/>
      <c r="W156" s="359"/>
      <c r="X156" s="359"/>
      <c r="Y156" s="359"/>
      <c r="Z156" s="364">
        <v>44862</v>
      </c>
      <c r="AA156" s="359" t="s">
        <v>254</v>
      </c>
    </row>
    <row r="157" spans="1:27">
      <c r="A157" s="769"/>
      <c r="B157" s="769"/>
      <c r="C157" s="357" t="s">
        <v>9699</v>
      </c>
      <c r="D157" s="357" t="s">
        <v>9700</v>
      </c>
      <c r="E157" s="357" t="s">
        <v>1732</v>
      </c>
      <c r="F157" s="357" t="s">
        <v>9205</v>
      </c>
      <c r="G157" s="769"/>
      <c r="H157" s="357" t="s">
        <v>9701</v>
      </c>
      <c r="I157" s="357"/>
      <c r="J157" s="357"/>
      <c r="K157" s="357"/>
      <c r="L157" s="357"/>
      <c r="M157" s="357"/>
      <c r="N157" s="357"/>
      <c r="O157" s="357"/>
      <c r="P157" s="357"/>
      <c r="Q157" s="358" t="s">
        <v>9207</v>
      </c>
      <c r="R157" s="769"/>
      <c r="S157" s="357"/>
      <c r="T157" s="359" t="s">
        <v>9702</v>
      </c>
      <c r="U157" s="359"/>
      <c r="V157" s="359"/>
      <c r="W157" s="359"/>
      <c r="X157" s="359"/>
      <c r="Y157" s="359"/>
      <c r="Z157" s="364">
        <v>44862</v>
      </c>
      <c r="AA157" s="359" t="s">
        <v>254</v>
      </c>
    </row>
    <row r="158" spans="1:27">
      <c r="A158" s="769"/>
      <c r="B158" s="769"/>
      <c r="C158" s="361" t="s">
        <v>9703</v>
      </c>
      <c r="D158" s="361" t="s">
        <v>9704</v>
      </c>
      <c r="E158" s="361" t="s">
        <v>1732</v>
      </c>
      <c r="F158" s="361" t="s">
        <v>9205</v>
      </c>
      <c r="G158" s="769"/>
      <c r="H158" s="361" t="s">
        <v>9705</v>
      </c>
      <c r="I158" s="361"/>
      <c r="J158" s="361"/>
      <c r="K158" s="361"/>
      <c r="L158" s="361"/>
      <c r="M158" s="361"/>
      <c r="N158" s="361"/>
      <c r="O158" s="361"/>
      <c r="P158" s="361"/>
      <c r="Q158" s="358" t="s">
        <v>9207</v>
      </c>
      <c r="R158" s="769"/>
      <c r="S158" s="361"/>
      <c r="T158" s="359" t="s">
        <v>9706</v>
      </c>
      <c r="U158" s="359"/>
      <c r="V158" s="359"/>
      <c r="W158" s="359"/>
      <c r="X158" s="359"/>
      <c r="Y158" s="359"/>
      <c r="Z158" s="364">
        <v>44862</v>
      </c>
      <c r="AA158" s="359" t="s">
        <v>254</v>
      </c>
    </row>
    <row r="159" spans="1:27">
      <c r="A159" s="769"/>
      <c r="B159" s="769"/>
      <c r="C159" s="357" t="s">
        <v>9707</v>
      </c>
      <c r="D159" s="357" t="s">
        <v>9708</v>
      </c>
      <c r="E159" s="357" t="s">
        <v>1732</v>
      </c>
      <c r="F159" s="357" t="s">
        <v>9205</v>
      </c>
      <c r="G159" s="769"/>
      <c r="H159" s="357" t="s">
        <v>9709</v>
      </c>
      <c r="I159" s="357"/>
      <c r="J159" s="357"/>
      <c r="K159" s="357"/>
      <c r="L159" s="357"/>
      <c r="M159" s="357"/>
      <c r="N159" s="357"/>
      <c r="O159" s="357"/>
      <c r="P159" s="357"/>
      <c r="Q159" s="358" t="s">
        <v>9207</v>
      </c>
      <c r="R159" s="769"/>
      <c r="S159" s="357"/>
      <c r="T159" s="359" t="s">
        <v>9710</v>
      </c>
      <c r="U159" s="359"/>
      <c r="V159" s="359"/>
      <c r="W159" s="359"/>
      <c r="X159" s="359"/>
      <c r="Y159" s="359"/>
      <c r="Z159" s="364">
        <v>44862</v>
      </c>
      <c r="AA159" s="359" t="s">
        <v>254</v>
      </c>
    </row>
    <row r="160" spans="1:27">
      <c r="A160" s="769"/>
      <c r="B160" s="769"/>
      <c r="C160" s="361" t="s">
        <v>9711</v>
      </c>
      <c r="D160" s="361" t="s">
        <v>9712</v>
      </c>
      <c r="E160" s="361" t="s">
        <v>1743</v>
      </c>
      <c r="F160" s="361" t="s">
        <v>9205</v>
      </c>
      <c r="G160" s="769"/>
      <c r="H160" s="361"/>
      <c r="I160" s="361"/>
      <c r="J160" s="361"/>
      <c r="K160" s="361"/>
      <c r="L160" s="361"/>
      <c r="M160" s="361"/>
      <c r="N160" s="361"/>
      <c r="O160" s="361"/>
      <c r="P160" s="361"/>
      <c r="Q160" s="358" t="s">
        <v>9207</v>
      </c>
      <c r="R160" s="361"/>
      <c r="S160" s="361"/>
      <c r="T160" s="359" t="s">
        <v>9713</v>
      </c>
      <c r="U160" s="359"/>
      <c r="V160" s="359"/>
      <c r="W160" s="359"/>
      <c r="X160" s="359"/>
      <c r="Y160" s="359"/>
      <c r="Z160" s="364">
        <v>44861</v>
      </c>
      <c r="AA160" s="359" t="s">
        <v>254</v>
      </c>
    </row>
    <row r="161" spans="1:27">
      <c r="A161" s="769"/>
      <c r="B161" s="769"/>
      <c r="C161" s="357" t="s">
        <v>9714</v>
      </c>
      <c r="D161" s="357" t="s">
        <v>9715</v>
      </c>
      <c r="E161" s="357" t="s">
        <v>1743</v>
      </c>
      <c r="F161" s="357" t="s">
        <v>9205</v>
      </c>
      <c r="G161" s="769"/>
      <c r="H161" s="357"/>
      <c r="I161" s="357"/>
      <c r="J161" s="357"/>
      <c r="K161" s="357"/>
      <c r="L161" s="357"/>
      <c r="M161" s="357"/>
      <c r="N161" s="357"/>
      <c r="O161" s="357"/>
      <c r="P161" s="357"/>
      <c r="Q161" s="358" t="s">
        <v>9207</v>
      </c>
      <c r="R161" s="357"/>
      <c r="S161" s="357"/>
      <c r="T161" s="359" t="s">
        <v>9716</v>
      </c>
      <c r="U161" s="359"/>
      <c r="V161" s="359"/>
      <c r="W161" s="359"/>
      <c r="X161" s="359"/>
      <c r="Y161" s="359"/>
      <c r="Z161" s="364">
        <v>44859</v>
      </c>
      <c r="AA161" s="359" t="s">
        <v>254</v>
      </c>
    </row>
    <row r="162" spans="1:27">
      <c r="A162" s="769"/>
      <c r="B162" s="769"/>
      <c r="C162" s="361" t="s">
        <v>9717</v>
      </c>
      <c r="D162" s="361" t="s">
        <v>9718</v>
      </c>
      <c r="E162" s="361" t="s">
        <v>1743</v>
      </c>
      <c r="F162" s="361" t="s">
        <v>9205</v>
      </c>
      <c r="G162" s="769"/>
      <c r="H162" s="361"/>
      <c r="I162" s="361"/>
      <c r="J162" s="361"/>
      <c r="K162" s="361"/>
      <c r="L162" s="361"/>
      <c r="M162" s="361"/>
      <c r="N162" s="361"/>
      <c r="O162" s="361"/>
      <c r="P162" s="361"/>
      <c r="Q162" s="358" t="s">
        <v>9207</v>
      </c>
      <c r="R162" s="361"/>
      <c r="S162" s="361"/>
      <c r="T162" s="359" t="s">
        <v>9719</v>
      </c>
      <c r="U162" s="359"/>
      <c r="V162" s="359"/>
      <c r="W162" s="359"/>
      <c r="X162" s="359"/>
      <c r="Y162" s="359"/>
      <c r="Z162" s="364">
        <v>44861</v>
      </c>
      <c r="AA162" s="359" t="s">
        <v>254</v>
      </c>
    </row>
    <row r="163" spans="1:27">
      <c r="A163" s="769"/>
      <c r="B163" s="769"/>
      <c r="C163" s="357" t="s">
        <v>9720</v>
      </c>
      <c r="D163" s="357" t="s">
        <v>9721</v>
      </c>
      <c r="E163" s="357" t="s">
        <v>1743</v>
      </c>
      <c r="F163" s="357" t="s">
        <v>9205</v>
      </c>
      <c r="G163" s="769"/>
      <c r="H163" s="357"/>
      <c r="I163" s="357"/>
      <c r="J163" s="357"/>
      <c r="K163" s="357"/>
      <c r="L163" s="357"/>
      <c r="M163" s="357"/>
      <c r="N163" s="357"/>
      <c r="O163" s="357"/>
      <c r="P163" s="357"/>
      <c r="Q163" s="358" t="s">
        <v>9207</v>
      </c>
      <c r="R163" s="357"/>
      <c r="S163" s="357"/>
      <c r="T163" s="359" t="s">
        <v>9722</v>
      </c>
      <c r="U163" s="359"/>
      <c r="V163" s="359"/>
      <c r="W163" s="359"/>
      <c r="X163" s="359"/>
      <c r="Y163" s="359"/>
      <c r="Z163" s="364">
        <v>44859</v>
      </c>
      <c r="AA163" s="359" t="s">
        <v>254</v>
      </c>
    </row>
    <row r="164" spans="1:27">
      <c r="A164" s="769"/>
      <c r="B164" s="769"/>
      <c r="C164" s="361" t="s">
        <v>9723</v>
      </c>
      <c r="D164" s="361" t="s">
        <v>9724</v>
      </c>
      <c r="E164" s="361" t="s">
        <v>1743</v>
      </c>
      <c r="F164" s="361" t="s">
        <v>9205</v>
      </c>
      <c r="G164" s="769"/>
      <c r="H164" s="361"/>
      <c r="I164" s="361"/>
      <c r="J164" s="361"/>
      <c r="K164" s="361"/>
      <c r="L164" s="361"/>
      <c r="M164" s="361"/>
      <c r="N164" s="361"/>
      <c r="O164" s="361"/>
      <c r="P164" s="361"/>
      <c r="Q164" s="358" t="s">
        <v>9207</v>
      </c>
      <c r="R164" s="361"/>
      <c r="S164" s="361"/>
      <c r="T164" s="359" t="s">
        <v>9725</v>
      </c>
      <c r="U164" s="359"/>
      <c r="V164" s="359"/>
      <c r="W164" s="359"/>
      <c r="X164" s="359"/>
      <c r="Y164" s="359"/>
      <c r="Z164" s="364">
        <v>44859</v>
      </c>
      <c r="AA164" s="359" t="s">
        <v>254</v>
      </c>
    </row>
    <row r="165" spans="1:27">
      <c r="A165" s="769"/>
      <c r="B165" s="769"/>
      <c r="C165" s="357" t="s">
        <v>9726</v>
      </c>
      <c r="D165" s="357" t="s">
        <v>9727</v>
      </c>
      <c r="E165" s="357" t="s">
        <v>1743</v>
      </c>
      <c r="F165" s="357" t="s">
        <v>9205</v>
      </c>
      <c r="G165" s="769"/>
      <c r="H165" s="357"/>
      <c r="I165" s="357"/>
      <c r="J165" s="357"/>
      <c r="K165" s="357"/>
      <c r="L165" s="357"/>
      <c r="M165" s="357"/>
      <c r="N165" s="357"/>
      <c r="O165" s="357"/>
      <c r="P165" s="357"/>
      <c r="Q165" s="358" t="s">
        <v>9207</v>
      </c>
      <c r="R165" s="357" t="s">
        <v>9697</v>
      </c>
      <c r="S165" s="357"/>
      <c r="T165" s="359" t="s">
        <v>9728</v>
      </c>
      <c r="U165" s="364"/>
      <c r="V165" s="359"/>
      <c r="W165" s="359"/>
      <c r="X165" s="359"/>
      <c r="Y165" s="359"/>
      <c r="Z165" s="364">
        <v>44862</v>
      </c>
      <c r="AA165" s="359" t="s">
        <v>254</v>
      </c>
    </row>
    <row r="166" spans="1:27">
      <c r="A166" s="730" t="s">
        <v>9729</v>
      </c>
      <c r="B166" s="730" t="s">
        <v>9730</v>
      </c>
      <c r="C166" s="361" t="s">
        <v>9731</v>
      </c>
      <c r="D166" s="361" t="s">
        <v>9732</v>
      </c>
      <c r="E166" s="361" t="s">
        <v>1732</v>
      </c>
      <c r="F166" s="361" t="s">
        <v>9205</v>
      </c>
      <c r="G166" s="361" t="s">
        <v>9733</v>
      </c>
      <c r="H166" s="361"/>
      <c r="I166" s="361"/>
      <c r="J166" s="361"/>
      <c r="K166" s="361"/>
      <c r="L166" s="361"/>
      <c r="M166" s="361"/>
      <c r="N166" s="361"/>
      <c r="O166" s="361"/>
      <c r="P166" s="361"/>
      <c r="Q166" s="241" t="s">
        <v>7371</v>
      </c>
      <c r="R166" s="743" t="s">
        <v>9734</v>
      </c>
      <c r="S166" s="361"/>
      <c r="T166" s="359"/>
      <c r="U166" s="359"/>
      <c r="V166" s="359"/>
      <c r="W166" s="359"/>
      <c r="X166" s="359"/>
      <c r="Y166" s="359"/>
      <c r="Z166" s="359"/>
      <c r="AA166" s="359"/>
    </row>
    <row r="167" spans="1:27">
      <c r="A167" s="769"/>
      <c r="B167" s="769"/>
      <c r="C167" s="357" t="s">
        <v>9735</v>
      </c>
      <c r="D167" s="357" t="s">
        <v>9736</v>
      </c>
      <c r="E167" s="357" t="s">
        <v>1732</v>
      </c>
      <c r="F167" s="357" t="s">
        <v>9205</v>
      </c>
      <c r="G167" s="560" t="s">
        <v>9737</v>
      </c>
      <c r="H167" s="357"/>
      <c r="I167" s="357"/>
      <c r="J167" s="357"/>
      <c r="K167" s="357"/>
      <c r="L167" s="357"/>
      <c r="M167" s="357"/>
      <c r="N167" s="357"/>
      <c r="O167" s="357"/>
      <c r="P167" s="357"/>
      <c r="Q167" s="241" t="s">
        <v>7371</v>
      </c>
      <c r="R167" s="769"/>
      <c r="S167" s="357"/>
      <c r="T167" s="359"/>
      <c r="U167" s="359"/>
      <c r="V167" s="359"/>
      <c r="W167" s="359"/>
      <c r="X167" s="359"/>
      <c r="Y167" s="359"/>
      <c r="Z167" s="359"/>
      <c r="AA167" s="359"/>
    </row>
    <row r="168" spans="1:27">
      <c r="A168" s="769"/>
      <c r="B168" s="769"/>
      <c r="C168" s="361" t="s">
        <v>9738</v>
      </c>
      <c r="D168" s="361" t="s">
        <v>9739</v>
      </c>
      <c r="E168" s="361" t="s">
        <v>1732</v>
      </c>
      <c r="F168" s="361" t="s">
        <v>9205</v>
      </c>
      <c r="G168" s="730" t="s">
        <v>9740</v>
      </c>
      <c r="H168" s="361"/>
      <c r="I168" s="361"/>
      <c r="J168" s="361"/>
      <c r="K168" s="361"/>
      <c r="L168" s="361"/>
      <c r="M168" s="361"/>
      <c r="N168" s="361"/>
      <c r="O168" s="361"/>
      <c r="P168" s="361"/>
      <c r="Q168" s="241" t="s">
        <v>7371</v>
      </c>
      <c r="R168" s="769"/>
      <c r="S168" s="361"/>
      <c r="T168" s="359"/>
      <c r="U168" s="359"/>
      <c r="V168" s="359"/>
      <c r="W168" s="359"/>
      <c r="X168" s="359"/>
      <c r="Y168" s="359"/>
      <c r="Z168" s="359"/>
      <c r="AA168" s="359"/>
    </row>
    <row r="169" spans="1:27">
      <c r="A169" s="769"/>
      <c r="B169" s="769"/>
      <c r="C169" s="357" t="s">
        <v>9741</v>
      </c>
      <c r="D169" s="374" t="s">
        <v>9742</v>
      </c>
      <c r="E169" s="357" t="s">
        <v>1743</v>
      </c>
      <c r="F169" s="357" t="s">
        <v>9205</v>
      </c>
      <c r="G169" s="769"/>
      <c r="H169" s="357"/>
      <c r="I169" s="357"/>
      <c r="J169" s="357"/>
      <c r="K169" s="357"/>
      <c r="L169" s="357"/>
      <c r="M169" s="357"/>
      <c r="N169" s="357"/>
      <c r="O169" s="357"/>
      <c r="P169" s="357"/>
      <c r="Q169" s="241" t="s">
        <v>7371</v>
      </c>
      <c r="R169" s="357"/>
      <c r="S169" s="357"/>
      <c r="T169" s="359"/>
      <c r="U169" s="359"/>
      <c r="V169" s="359"/>
      <c r="W169" s="359"/>
      <c r="X169" s="359"/>
      <c r="Y169" s="359"/>
      <c r="Z169" s="359"/>
      <c r="AA169" s="359"/>
    </row>
    <row r="170" spans="1:27">
      <c r="A170" s="769"/>
      <c r="B170" s="769"/>
      <c r="C170" s="361" t="s">
        <v>9743</v>
      </c>
      <c r="D170" s="361" t="s">
        <v>9744</v>
      </c>
      <c r="E170" s="361" t="s">
        <v>1743</v>
      </c>
      <c r="F170" s="361" t="s">
        <v>9205</v>
      </c>
      <c r="G170" s="769"/>
      <c r="H170" s="361"/>
      <c r="I170" s="361"/>
      <c r="J170" s="361"/>
      <c r="K170" s="361"/>
      <c r="L170" s="361"/>
      <c r="M170" s="361"/>
      <c r="N170" s="361"/>
      <c r="O170" s="361"/>
      <c r="P170" s="361"/>
      <c r="Q170" s="241" t="s">
        <v>7371</v>
      </c>
      <c r="R170" s="361"/>
      <c r="S170" s="361"/>
      <c r="T170" s="359"/>
      <c r="U170" s="359"/>
      <c r="V170" s="359"/>
      <c r="W170" s="359"/>
      <c r="X170" s="359"/>
      <c r="Y170" s="359"/>
      <c r="Z170" s="359"/>
      <c r="AA170" s="359"/>
    </row>
    <row r="171" spans="1:27">
      <c r="A171" s="769"/>
      <c r="B171" s="769"/>
      <c r="C171" s="357" t="s">
        <v>9745</v>
      </c>
      <c r="D171" s="357" t="s">
        <v>9746</v>
      </c>
      <c r="E171" s="357" t="s">
        <v>1743</v>
      </c>
      <c r="F171" s="357" t="s">
        <v>9205</v>
      </c>
      <c r="G171" s="769"/>
      <c r="H171" s="357"/>
      <c r="I171" s="357"/>
      <c r="J171" s="357"/>
      <c r="K171" s="357"/>
      <c r="L171" s="357"/>
      <c r="M171" s="357"/>
      <c r="N171" s="357"/>
      <c r="O171" s="357"/>
      <c r="P171" s="357"/>
      <c r="Q171" s="241" t="s">
        <v>7371</v>
      </c>
      <c r="R171" s="357"/>
      <c r="S171" s="357"/>
      <c r="T171" s="359"/>
      <c r="U171" s="359"/>
      <c r="V171" s="359"/>
      <c r="W171" s="359"/>
      <c r="X171" s="359"/>
      <c r="Y171" s="359"/>
      <c r="Z171" s="359"/>
      <c r="AA171" s="359"/>
    </row>
    <row r="172" spans="1:27">
      <c r="A172" s="769"/>
      <c r="B172" s="769"/>
      <c r="C172" s="361" t="s">
        <v>9747</v>
      </c>
      <c r="D172" s="361" t="s">
        <v>9748</v>
      </c>
      <c r="E172" s="361" t="s">
        <v>1743</v>
      </c>
      <c r="F172" s="361" t="s">
        <v>9205</v>
      </c>
      <c r="G172" s="769"/>
      <c r="H172" s="361"/>
      <c r="I172" s="361"/>
      <c r="J172" s="361"/>
      <c r="K172" s="361"/>
      <c r="L172" s="361"/>
      <c r="M172" s="361"/>
      <c r="N172" s="361"/>
      <c r="O172" s="361"/>
      <c r="P172" s="361"/>
      <c r="Q172" s="358" t="s">
        <v>9207</v>
      </c>
      <c r="R172" s="361"/>
      <c r="S172" s="361"/>
      <c r="T172" s="359"/>
      <c r="U172" s="359"/>
      <c r="V172" s="359"/>
      <c r="W172" s="359"/>
      <c r="X172" s="359"/>
      <c r="Y172" s="359"/>
      <c r="Z172" s="364">
        <v>44861</v>
      </c>
      <c r="AA172" s="359" t="s">
        <v>254</v>
      </c>
    </row>
    <row r="173" spans="1:27">
      <c r="A173" s="731" t="s">
        <v>9749</v>
      </c>
      <c r="B173" s="731" t="s">
        <v>9750</v>
      </c>
      <c r="C173" s="357" t="s">
        <v>9751</v>
      </c>
      <c r="D173" s="357" t="s">
        <v>9752</v>
      </c>
      <c r="E173" s="357" t="s">
        <v>1732</v>
      </c>
      <c r="F173" s="357" t="s">
        <v>9205</v>
      </c>
      <c r="G173" s="736" t="s">
        <v>9753</v>
      </c>
      <c r="H173" s="357"/>
      <c r="I173" s="357"/>
      <c r="J173" s="357"/>
      <c r="K173" s="357"/>
      <c r="L173" s="357"/>
      <c r="M173" s="357"/>
      <c r="N173" s="357"/>
      <c r="O173" s="357"/>
      <c r="P173" s="357"/>
      <c r="Q173" s="358" t="s">
        <v>9207</v>
      </c>
      <c r="R173" s="357"/>
      <c r="S173" s="357"/>
      <c r="T173" s="359" t="s">
        <v>9754</v>
      </c>
      <c r="U173" s="359"/>
      <c r="V173" s="359"/>
      <c r="W173" s="359"/>
      <c r="X173" s="359"/>
      <c r="Y173" s="359"/>
      <c r="Z173" s="364">
        <v>44862</v>
      </c>
      <c r="AA173" s="359" t="s">
        <v>254</v>
      </c>
    </row>
    <row r="174" spans="1:27">
      <c r="A174" s="769"/>
      <c r="B174" s="769"/>
      <c r="C174" s="361" t="s">
        <v>9755</v>
      </c>
      <c r="D174" s="361" t="s">
        <v>9756</v>
      </c>
      <c r="E174" s="361" t="s">
        <v>1743</v>
      </c>
      <c r="F174" s="361" t="s">
        <v>9205</v>
      </c>
      <c r="G174" s="769"/>
      <c r="H174" s="361"/>
      <c r="I174" s="361"/>
      <c r="J174" s="361"/>
      <c r="K174" s="361"/>
      <c r="L174" s="361"/>
      <c r="M174" s="361"/>
      <c r="N174" s="361"/>
      <c r="O174" s="361"/>
      <c r="P174" s="361"/>
      <c r="Q174" s="358" t="s">
        <v>9207</v>
      </c>
      <c r="R174" s="361"/>
      <c r="S174" s="361"/>
      <c r="T174" s="359" t="s">
        <v>9757</v>
      </c>
      <c r="U174" s="359"/>
      <c r="V174" s="359"/>
      <c r="W174" s="359"/>
      <c r="X174" s="359"/>
      <c r="Y174" s="359"/>
      <c r="Z174" s="364">
        <v>44862</v>
      </c>
      <c r="AA174" s="359" t="s">
        <v>254</v>
      </c>
    </row>
    <row r="175" spans="1:27">
      <c r="A175" s="731" t="s">
        <v>9758</v>
      </c>
      <c r="B175" s="731" t="s">
        <v>9759</v>
      </c>
      <c r="C175" s="357" t="s">
        <v>9760</v>
      </c>
      <c r="D175" s="357" t="s">
        <v>9761</v>
      </c>
      <c r="E175" s="357" t="s">
        <v>1732</v>
      </c>
      <c r="F175" s="357" t="s">
        <v>9205</v>
      </c>
      <c r="G175" s="736" t="s">
        <v>9762</v>
      </c>
      <c r="H175" s="357"/>
      <c r="I175" s="357"/>
      <c r="J175" s="357"/>
      <c r="K175" s="357"/>
      <c r="L175" s="357"/>
      <c r="M175" s="357"/>
      <c r="N175" s="357"/>
      <c r="O175" s="357"/>
      <c r="P175" s="357"/>
      <c r="Q175" s="358" t="s">
        <v>9207</v>
      </c>
      <c r="R175" s="357"/>
      <c r="S175" s="357"/>
      <c r="T175" s="359" t="s">
        <v>9763</v>
      </c>
      <c r="U175" s="359"/>
      <c r="V175" s="359"/>
      <c r="W175" s="359"/>
      <c r="X175" s="359"/>
      <c r="Y175" s="359"/>
      <c r="Z175" s="364">
        <v>44865</v>
      </c>
      <c r="AA175" s="359" t="s">
        <v>254</v>
      </c>
    </row>
    <row r="176" spans="1:27">
      <c r="A176" s="769"/>
      <c r="B176" s="769"/>
      <c r="C176" s="361" t="s">
        <v>9764</v>
      </c>
      <c r="D176" s="361" t="s">
        <v>9765</v>
      </c>
      <c r="E176" s="361" t="s">
        <v>1743</v>
      </c>
      <c r="F176" s="361" t="s">
        <v>9205</v>
      </c>
      <c r="G176" s="769"/>
      <c r="H176" s="361"/>
      <c r="I176" s="361"/>
      <c r="J176" s="361"/>
      <c r="K176" s="361"/>
      <c r="L176" s="361"/>
      <c r="M176" s="361"/>
      <c r="N176" s="361"/>
      <c r="O176" s="361"/>
      <c r="P176" s="361"/>
      <c r="Q176" s="358" t="s">
        <v>9207</v>
      </c>
      <c r="R176" s="361"/>
      <c r="S176" s="361"/>
      <c r="T176" s="359" t="s">
        <v>9766</v>
      </c>
      <c r="U176" s="359"/>
      <c r="V176" s="359"/>
      <c r="W176" s="359"/>
      <c r="X176" s="359"/>
      <c r="Y176" s="359"/>
      <c r="Z176" s="364">
        <v>44866</v>
      </c>
      <c r="AA176" s="359" t="s">
        <v>254</v>
      </c>
    </row>
    <row r="177" spans="1:27">
      <c r="A177" s="769"/>
      <c r="B177" s="769"/>
      <c r="C177" s="357" t="s">
        <v>9767</v>
      </c>
      <c r="D177" s="357" t="s">
        <v>9768</v>
      </c>
      <c r="E177" s="357" t="s">
        <v>1743</v>
      </c>
      <c r="F177" s="357" t="s">
        <v>9205</v>
      </c>
      <c r="G177" s="769"/>
      <c r="H177" s="357"/>
      <c r="I177" s="357"/>
      <c r="J177" s="357"/>
      <c r="K177" s="357"/>
      <c r="L177" s="357"/>
      <c r="M177" s="357"/>
      <c r="N177" s="357"/>
      <c r="O177" s="357"/>
      <c r="P177" s="357"/>
      <c r="Q177" s="358" t="s">
        <v>9207</v>
      </c>
      <c r="R177" s="357"/>
      <c r="S177" s="357"/>
      <c r="T177" s="359" t="s">
        <v>9769</v>
      </c>
      <c r="U177" s="359"/>
      <c r="V177" s="359"/>
      <c r="W177" s="359"/>
      <c r="X177" s="359"/>
      <c r="Y177" s="359"/>
      <c r="Z177" s="364">
        <v>44867</v>
      </c>
      <c r="AA177" s="359" t="s">
        <v>254</v>
      </c>
    </row>
    <row r="178" spans="1:27">
      <c r="A178" s="769"/>
      <c r="B178" s="769"/>
      <c r="C178" s="361" t="s">
        <v>9770</v>
      </c>
      <c r="D178" s="361" t="s">
        <v>9771</v>
      </c>
      <c r="E178" s="361" t="s">
        <v>1743</v>
      </c>
      <c r="F178" s="361" t="s">
        <v>9205</v>
      </c>
      <c r="G178" s="769"/>
      <c r="H178" s="361"/>
      <c r="I178" s="361"/>
      <c r="J178" s="361"/>
      <c r="K178" s="361"/>
      <c r="L178" s="361"/>
      <c r="M178" s="361"/>
      <c r="N178" s="361"/>
      <c r="O178" s="361"/>
      <c r="P178" s="361"/>
      <c r="Q178" s="358" t="s">
        <v>9207</v>
      </c>
      <c r="R178" s="361"/>
      <c r="S178" s="361"/>
      <c r="T178" s="359" t="s">
        <v>9772</v>
      </c>
      <c r="U178" s="359"/>
      <c r="V178" s="359"/>
      <c r="W178" s="359"/>
      <c r="X178" s="359"/>
      <c r="Y178" s="359"/>
      <c r="Z178" s="364">
        <v>44865</v>
      </c>
      <c r="AA178" s="359" t="s">
        <v>254</v>
      </c>
    </row>
    <row r="179" spans="1:27">
      <c r="A179" s="769"/>
      <c r="B179" s="769"/>
      <c r="C179" s="357" t="s">
        <v>9773</v>
      </c>
      <c r="D179" s="357" t="s">
        <v>9774</v>
      </c>
      <c r="E179" s="357" t="s">
        <v>1732</v>
      </c>
      <c r="F179" s="357" t="s">
        <v>9205</v>
      </c>
      <c r="G179" s="736" t="s">
        <v>9775</v>
      </c>
      <c r="H179" s="357"/>
      <c r="I179" s="357"/>
      <c r="J179" s="357"/>
      <c r="K179" s="357"/>
      <c r="L179" s="357"/>
      <c r="M179" s="357"/>
      <c r="N179" s="357"/>
      <c r="O179" s="357"/>
      <c r="P179" s="357"/>
      <c r="Q179" s="358" t="s">
        <v>9207</v>
      </c>
      <c r="R179" s="357"/>
      <c r="S179" s="357"/>
      <c r="T179" s="359" t="s">
        <v>9776</v>
      </c>
      <c r="U179" s="359"/>
      <c r="V179" s="359"/>
      <c r="W179" s="359"/>
      <c r="X179" s="359"/>
      <c r="Y179" s="359"/>
      <c r="Z179" s="364">
        <v>44866</v>
      </c>
      <c r="AA179" s="359" t="s">
        <v>254</v>
      </c>
    </row>
    <row r="180" spans="1:27">
      <c r="A180" s="769"/>
      <c r="B180" s="769"/>
      <c r="C180" s="361" t="s">
        <v>9777</v>
      </c>
      <c r="D180" s="361" t="s">
        <v>9778</v>
      </c>
      <c r="E180" s="361" t="s">
        <v>1732</v>
      </c>
      <c r="F180" s="361" t="s">
        <v>9205</v>
      </c>
      <c r="G180" s="769"/>
      <c r="H180" s="361"/>
      <c r="I180" s="361"/>
      <c r="J180" s="361"/>
      <c r="K180" s="361"/>
      <c r="L180" s="361"/>
      <c r="M180" s="361"/>
      <c r="N180" s="361"/>
      <c r="O180" s="361"/>
      <c r="P180" s="361"/>
      <c r="Q180" s="358" t="s">
        <v>9207</v>
      </c>
      <c r="R180" s="361"/>
      <c r="S180" s="361"/>
      <c r="T180" s="359" t="s">
        <v>9779</v>
      </c>
      <c r="U180" s="359"/>
      <c r="V180" s="359"/>
      <c r="W180" s="359"/>
      <c r="X180" s="359"/>
      <c r="Y180" s="359"/>
      <c r="Z180" s="364">
        <v>44867</v>
      </c>
      <c r="AA180" s="359" t="s">
        <v>254</v>
      </c>
    </row>
    <row r="181" spans="1:27">
      <c r="A181" s="769"/>
      <c r="B181" s="769"/>
      <c r="C181" s="357" t="s">
        <v>9780</v>
      </c>
      <c r="D181" s="357" t="s">
        <v>9781</v>
      </c>
      <c r="E181" s="357" t="s">
        <v>1732</v>
      </c>
      <c r="F181" s="357" t="s">
        <v>9205</v>
      </c>
      <c r="G181" s="769"/>
      <c r="H181" s="357"/>
      <c r="I181" s="357"/>
      <c r="J181" s="357"/>
      <c r="K181" s="357"/>
      <c r="L181" s="357"/>
      <c r="M181" s="357"/>
      <c r="N181" s="357"/>
      <c r="O181" s="357"/>
      <c r="P181" s="357"/>
      <c r="Q181" s="358" t="s">
        <v>9207</v>
      </c>
      <c r="R181" s="357"/>
      <c r="S181" s="357"/>
      <c r="T181" s="359" t="s">
        <v>9782</v>
      </c>
      <c r="U181" s="359"/>
      <c r="V181" s="359"/>
      <c r="W181" s="359"/>
      <c r="X181" s="359"/>
      <c r="Y181" s="359"/>
      <c r="Z181" s="364">
        <v>44866</v>
      </c>
      <c r="AA181" s="359" t="s">
        <v>254</v>
      </c>
    </row>
    <row r="182" spans="1:27">
      <c r="A182" s="769"/>
      <c r="B182" s="769"/>
      <c r="C182" s="361" t="s">
        <v>9783</v>
      </c>
      <c r="D182" s="361" t="s">
        <v>9784</v>
      </c>
      <c r="E182" s="361" t="s">
        <v>1732</v>
      </c>
      <c r="F182" s="361" t="s">
        <v>9205</v>
      </c>
      <c r="G182" s="769"/>
      <c r="H182" s="361"/>
      <c r="I182" s="361"/>
      <c r="J182" s="361"/>
      <c r="K182" s="361"/>
      <c r="L182" s="361"/>
      <c r="M182" s="361"/>
      <c r="N182" s="361"/>
      <c r="O182" s="361"/>
      <c r="P182" s="361"/>
      <c r="Q182" s="358" t="s">
        <v>9207</v>
      </c>
      <c r="R182" s="361"/>
      <c r="S182" s="361"/>
      <c r="T182" s="359" t="s">
        <v>9785</v>
      </c>
      <c r="U182" s="359"/>
      <c r="V182" s="359"/>
      <c r="W182" s="359"/>
      <c r="X182" s="359"/>
      <c r="Y182" s="359"/>
      <c r="Z182" s="364">
        <v>44866</v>
      </c>
      <c r="AA182" s="359" t="s">
        <v>254</v>
      </c>
    </row>
    <row r="183" spans="1:27">
      <c r="A183" s="769"/>
      <c r="B183" s="769"/>
      <c r="C183" s="357" t="s">
        <v>9786</v>
      </c>
      <c r="D183" s="357" t="s">
        <v>9787</v>
      </c>
      <c r="E183" s="357" t="s">
        <v>1743</v>
      </c>
      <c r="F183" s="357" t="s">
        <v>9205</v>
      </c>
      <c r="G183" s="769"/>
      <c r="H183" s="357"/>
      <c r="I183" s="357"/>
      <c r="J183" s="357"/>
      <c r="K183" s="357"/>
      <c r="L183" s="357"/>
      <c r="M183" s="357"/>
      <c r="N183" s="357"/>
      <c r="O183" s="357"/>
      <c r="P183" s="357"/>
      <c r="Q183" s="358" t="s">
        <v>9207</v>
      </c>
      <c r="R183" s="357"/>
      <c r="S183" s="357"/>
      <c r="T183" s="359" t="s">
        <v>9788</v>
      </c>
      <c r="U183" s="359"/>
      <c r="V183" s="359"/>
      <c r="W183" s="359"/>
      <c r="X183" s="359"/>
      <c r="Y183" s="359"/>
      <c r="Z183" s="364">
        <v>44866</v>
      </c>
      <c r="AA183" s="359" t="s">
        <v>254</v>
      </c>
    </row>
    <row r="184" spans="1:27">
      <c r="A184" s="769"/>
      <c r="B184" s="769"/>
      <c r="C184" s="361" t="s">
        <v>9789</v>
      </c>
      <c r="D184" s="361" t="s">
        <v>9790</v>
      </c>
      <c r="E184" s="361" t="s">
        <v>1743</v>
      </c>
      <c r="F184" s="361" t="s">
        <v>9205</v>
      </c>
      <c r="G184" s="769"/>
      <c r="H184" s="361"/>
      <c r="I184" s="361"/>
      <c r="J184" s="361"/>
      <c r="K184" s="361"/>
      <c r="L184" s="361"/>
      <c r="M184" s="361"/>
      <c r="N184" s="361"/>
      <c r="O184" s="361"/>
      <c r="P184" s="361"/>
      <c r="Q184" s="358" t="s">
        <v>9207</v>
      </c>
      <c r="R184" s="361"/>
      <c r="S184" s="361"/>
      <c r="T184" s="359" t="s">
        <v>9791</v>
      </c>
      <c r="U184" s="359"/>
      <c r="V184" s="359"/>
      <c r="W184" s="359"/>
      <c r="X184" s="359"/>
      <c r="Y184" s="359"/>
      <c r="Z184" s="364">
        <v>44866</v>
      </c>
      <c r="AA184" s="359" t="s">
        <v>254</v>
      </c>
    </row>
    <row r="185" spans="1:27">
      <c r="A185" s="769"/>
      <c r="B185" s="769"/>
      <c r="C185" s="357" t="s">
        <v>9792</v>
      </c>
      <c r="D185" s="357" t="s">
        <v>9793</v>
      </c>
      <c r="E185" s="357" t="s">
        <v>1743</v>
      </c>
      <c r="F185" s="357" t="s">
        <v>9205</v>
      </c>
      <c r="G185" s="769"/>
      <c r="H185" s="357"/>
      <c r="I185" s="357"/>
      <c r="J185" s="357"/>
      <c r="K185" s="357"/>
      <c r="L185" s="357"/>
      <c r="M185" s="357"/>
      <c r="N185" s="357"/>
      <c r="O185" s="357"/>
      <c r="P185" s="357"/>
      <c r="Q185" s="358" t="s">
        <v>9207</v>
      </c>
      <c r="R185" s="357"/>
      <c r="S185" s="357"/>
      <c r="T185" s="359" t="s">
        <v>9794</v>
      </c>
      <c r="U185" s="359"/>
      <c r="V185" s="359"/>
      <c r="W185" s="359"/>
      <c r="X185" s="359"/>
      <c r="Y185" s="359"/>
      <c r="Z185" s="364">
        <v>44866</v>
      </c>
      <c r="AA185" s="359" t="s">
        <v>254</v>
      </c>
    </row>
    <row r="186" spans="1:27">
      <c r="A186" s="769"/>
      <c r="B186" s="769"/>
      <c r="C186" s="361" t="s">
        <v>9795</v>
      </c>
      <c r="D186" s="361" t="s">
        <v>9796</v>
      </c>
      <c r="E186" s="361" t="s">
        <v>1743</v>
      </c>
      <c r="F186" s="361" t="s">
        <v>9205</v>
      </c>
      <c r="G186" s="769"/>
      <c r="H186" s="361"/>
      <c r="I186" s="361"/>
      <c r="J186" s="361"/>
      <c r="K186" s="361"/>
      <c r="L186" s="361"/>
      <c r="M186" s="361"/>
      <c r="N186" s="361"/>
      <c r="O186" s="361"/>
      <c r="P186" s="361"/>
      <c r="Q186" s="358" t="s">
        <v>9207</v>
      </c>
      <c r="R186" s="361"/>
      <c r="S186" s="361"/>
      <c r="T186" s="359" t="s">
        <v>9797</v>
      </c>
      <c r="U186" s="359"/>
      <c r="V186" s="359"/>
      <c r="W186" s="359"/>
      <c r="X186" s="359"/>
      <c r="Y186" s="359"/>
      <c r="Z186" s="364">
        <v>44866</v>
      </c>
      <c r="AA186" s="359" t="s">
        <v>254</v>
      </c>
    </row>
    <row r="187" spans="1:27">
      <c r="A187" s="731" t="s">
        <v>9798</v>
      </c>
      <c r="B187" s="731" t="s">
        <v>9799</v>
      </c>
      <c r="C187" s="357" t="s">
        <v>9800</v>
      </c>
      <c r="D187" s="357" t="s">
        <v>9801</v>
      </c>
      <c r="E187" s="357" t="s">
        <v>1732</v>
      </c>
      <c r="F187" s="357" t="s">
        <v>9205</v>
      </c>
      <c r="G187" s="736" t="s">
        <v>9802</v>
      </c>
      <c r="H187" s="357"/>
      <c r="I187" s="357"/>
      <c r="J187" s="357"/>
      <c r="K187" s="357"/>
      <c r="L187" s="357"/>
      <c r="M187" s="357"/>
      <c r="N187" s="357"/>
      <c r="O187" s="357"/>
      <c r="P187" s="357"/>
      <c r="Q187" s="358" t="s">
        <v>9207</v>
      </c>
      <c r="R187" s="357"/>
      <c r="S187" s="357"/>
      <c r="T187" s="359" t="s">
        <v>9803</v>
      </c>
      <c r="U187" s="359"/>
      <c r="V187" s="359"/>
      <c r="W187" s="359"/>
      <c r="X187" s="359"/>
      <c r="Y187" s="359"/>
      <c r="Z187" s="364">
        <v>44867</v>
      </c>
      <c r="AA187" s="359" t="s">
        <v>254</v>
      </c>
    </row>
    <row r="188" spans="1:27">
      <c r="A188" s="769"/>
      <c r="B188" s="769"/>
      <c r="C188" s="361" t="s">
        <v>9804</v>
      </c>
      <c r="D188" s="361" t="s">
        <v>9805</v>
      </c>
      <c r="E188" s="361" t="s">
        <v>1743</v>
      </c>
      <c r="F188" s="361" t="s">
        <v>9205</v>
      </c>
      <c r="G188" s="769"/>
      <c r="H188" s="361"/>
      <c r="I188" s="361"/>
      <c r="J188" s="361"/>
      <c r="K188" s="361"/>
      <c r="L188" s="361"/>
      <c r="M188" s="361"/>
      <c r="N188" s="361"/>
      <c r="O188" s="361"/>
      <c r="P188" s="361"/>
      <c r="Q188" s="358" t="s">
        <v>9207</v>
      </c>
      <c r="R188" s="361"/>
      <c r="S188" s="361"/>
      <c r="T188" s="359" t="s">
        <v>9806</v>
      </c>
      <c r="U188" s="359"/>
      <c r="V188" s="359"/>
      <c r="W188" s="359"/>
      <c r="X188" s="359"/>
      <c r="Y188" s="359"/>
      <c r="Z188" s="364">
        <v>44868</v>
      </c>
      <c r="AA188" s="359" t="s">
        <v>254</v>
      </c>
    </row>
    <row r="189" spans="1:27">
      <c r="A189" s="769"/>
      <c r="B189" s="769"/>
      <c r="C189" s="357" t="s">
        <v>9807</v>
      </c>
      <c r="D189" s="357" t="s">
        <v>9808</v>
      </c>
      <c r="E189" s="357" t="s">
        <v>1743</v>
      </c>
      <c r="F189" s="357" t="s">
        <v>9205</v>
      </c>
      <c r="G189" s="769"/>
      <c r="H189" s="357"/>
      <c r="I189" s="357"/>
      <c r="J189" s="357"/>
      <c r="K189" s="357"/>
      <c r="L189" s="357"/>
      <c r="M189" s="357"/>
      <c r="N189" s="357"/>
      <c r="O189" s="357"/>
      <c r="P189" s="357"/>
      <c r="Q189" s="241" t="s">
        <v>7371</v>
      </c>
      <c r="R189" s="357" t="s">
        <v>9809</v>
      </c>
      <c r="S189" s="357"/>
      <c r="T189" s="359"/>
      <c r="U189" s="359"/>
      <c r="V189" s="359"/>
      <c r="W189" s="359"/>
      <c r="X189" s="359"/>
      <c r="Y189" s="359"/>
      <c r="Z189" s="364"/>
      <c r="AA189" s="359"/>
    </row>
    <row r="190" spans="1:27">
      <c r="A190" s="769"/>
      <c r="B190" s="769"/>
      <c r="C190" s="361" t="s">
        <v>9810</v>
      </c>
      <c r="D190" s="361" t="s">
        <v>9811</v>
      </c>
      <c r="E190" s="361" t="s">
        <v>1743</v>
      </c>
      <c r="F190" s="361" t="s">
        <v>9205</v>
      </c>
      <c r="G190" s="769"/>
      <c r="H190" s="361"/>
      <c r="I190" s="361"/>
      <c r="J190" s="361"/>
      <c r="K190" s="361"/>
      <c r="L190" s="361"/>
      <c r="M190" s="361"/>
      <c r="N190" s="361"/>
      <c r="O190" s="361"/>
      <c r="P190" s="361"/>
      <c r="Q190" s="358" t="s">
        <v>9207</v>
      </c>
      <c r="R190" s="361"/>
      <c r="S190" s="361"/>
      <c r="T190" s="359" t="s">
        <v>9812</v>
      </c>
      <c r="U190" s="359"/>
      <c r="V190" s="359"/>
      <c r="W190" s="359"/>
      <c r="X190" s="359"/>
      <c r="Y190" s="359"/>
      <c r="Z190" s="364">
        <v>44868</v>
      </c>
      <c r="AA190" s="359" t="s">
        <v>254</v>
      </c>
    </row>
    <row r="191" spans="1:27">
      <c r="A191" s="769"/>
      <c r="B191" s="769"/>
      <c r="C191" s="357" t="s">
        <v>9813</v>
      </c>
      <c r="D191" s="357" t="s">
        <v>9814</v>
      </c>
      <c r="E191" s="357" t="s">
        <v>1743</v>
      </c>
      <c r="F191" s="357" t="s">
        <v>9205</v>
      </c>
      <c r="G191" s="769"/>
      <c r="H191" s="357"/>
      <c r="I191" s="357"/>
      <c r="J191" s="357"/>
      <c r="K191" s="357"/>
      <c r="L191" s="357"/>
      <c r="M191" s="357"/>
      <c r="N191" s="357"/>
      <c r="O191" s="357"/>
      <c r="P191" s="357"/>
      <c r="Q191" s="241" t="s">
        <v>7371</v>
      </c>
      <c r="R191" s="357"/>
      <c r="S191" s="357"/>
      <c r="T191" s="359"/>
      <c r="U191" s="359"/>
      <c r="V191" s="359"/>
      <c r="W191" s="359"/>
      <c r="X191" s="359"/>
      <c r="Y191" s="359"/>
      <c r="Z191" s="364"/>
      <c r="AA191" s="359"/>
    </row>
    <row r="192" spans="1:27">
      <c r="A192" s="769"/>
      <c r="B192" s="769"/>
      <c r="C192" s="361" t="s">
        <v>9815</v>
      </c>
      <c r="D192" s="361" t="s">
        <v>9816</v>
      </c>
      <c r="E192" s="361" t="s">
        <v>1743</v>
      </c>
      <c r="F192" s="361" t="s">
        <v>9205</v>
      </c>
      <c r="G192" s="769"/>
      <c r="H192" s="361"/>
      <c r="I192" s="361"/>
      <c r="J192" s="361"/>
      <c r="K192" s="361"/>
      <c r="L192" s="361"/>
      <c r="M192" s="361"/>
      <c r="N192" s="361"/>
      <c r="O192" s="361"/>
      <c r="P192" s="361"/>
      <c r="Q192" s="241" t="s">
        <v>7371</v>
      </c>
      <c r="R192" s="361"/>
      <c r="S192" s="361"/>
      <c r="T192" s="359"/>
      <c r="U192" s="359"/>
      <c r="V192" s="359"/>
      <c r="W192" s="359"/>
      <c r="X192" s="359"/>
      <c r="Y192" s="359"/>
      <c r="Z192" s="364"/>
      <c r="AA192" s="359"/>
    </row>
    <row r="193" spans="1:27">
      <c r="A193" s="769"/>
      <c r="B193" s="769"/>
      <c r="C193" s="357" t="s">
        <v>9817</v>
      </c>
      <c r="D193" s="357" t="s">
        <v>9560</v>
      </c>
      <c r="E193" s="357" t="s">
        <v>1743</v>
      </c>
      <c r="F193" s="357" t="s">
        <v>9205</v>
      </c>
      <c r="G193" s="769"/>
      <c r="H193" s="357"/>
      <c r="I193" s="357"/>
      <c r="J193" s="357"/>
      <c r="K193" s="357"/>
      <c r="L193" s="357"/>
      <c r="M193" s="357"/>
      <c r="N193" s="357"/>
      <c r="O193" s="357"/>
      <c r="P193" s="357"/>
      <c r="Q193" s="358" t="s">
        <v>9207</v>
      </c>
      <c r="R193" s="357"/>
      <c r="S193" s="357"/>
      <c r="T193" s="359" t="s">
        <v>9818</v>
      </c>
      <c r="U193" s="359"/>
      <c r="V193" s="359"/>
      <c r="W193" s="359"/>
      <c r="X193" s="359"/>
      <c r="Y193" s="359"/>
      <c r="Z193" s="364">
        <v>44867</v>
      </c>
      <c r="AA193" s="359" t="s">
        <v>254</v>
      </c>
    </row>
    <row r="194" spans="1:27">
      <c r="A194" s="730" t="s">
        <v>9819</v>
      </c>
      <c r="B194" s="730" t="s">
        <v>9820</v>
      </c>
      <c r="C194" s="361" t="s">
        <v>9821</v>
      </c>
      <c r="D194" s="361" t="s">
        <v>9822</v>
      </c>
      <c r="E194" s="361" t="s">
        <v>1732</v>
      </c>
      <c r="F194" s="361" t="s">
        <v>9205</v>
      </c>
      <c r="G194" s="735" t="s">
        <v>9823</v>
      </c>
      <c r="H194" s="361"/>
      <c r="I194" s="361"/>
      <c r="J194" s="361"/>
      <c r="K194" s="361"/>
      <c r="L194" s="361"/>
      <c r="M194" s="361"/>
      <c r="N194" s="361"/>
      <c r="O194" s="361"/>
      <c r="P194" s="361"/>
      <c r="Q194" s="358" t="s">
        <v>9207</v>
      </c>
      <c r="R194" s="361"/>
      <c r="S194" s="361"/>
      <c r="T194" s="359" t="s">
        <v>9824</v>
      </c>
      <c r="U194" s="359"/>
      <c r="V194" s="359"/>
      <c r="W194" s="359"/>
      <c r="X194" s="359"/>
      <c r="Y194" s="359"/>
      <c r="Z194" s="364">
        <v>44873</v>
      </c>
      <c r="AA194" s="359" t="s">
        <v>254</v>
      </c>
    </row>
    <row r="195" spans="1:27">
      <c r="A195" s="769"/>
      <c r="B195" s="769"/>
      <c r="C195" s="357" t="s">
        <v>9825</v>
      </c>
      <c r="D195" s="357" t="s">
        <v>9826</v>
      </c>
      <c r="E195" s="357" t="s">
        <v>1732</v>
      </c>
      <c r="F195" s="357" t="s">
        <v>9205</v>
      </c>
      <c r="G195" s="769"/>
      <c r="H195" s="357"/>
      <c r="I195" s="357"/>
      <c r="J195" s="357"/>
      <c r="K195" s="357"/>
      <c r="L195" s="357"/>
      <c r="M195" s="357"/>
      <c r="N195" s="357"/>
      <c r="O195" s="357"/>
      <c r="P195" s="357"/>
      <c r="Q195" s="358" t="s">
        <v>9207</v>
      </c>
      <c r="R195" s="357"/>
      <c r="S195" s="357"/>
      <c r="T195" s="359" t="s">
        <v>9827</v>
      </c>
      <c r="U195" s="359"/>
      <c r="V195" s="359"/>
      <c r="W195" s="359"/>
      <c r="X195" s="359"/>
      <c r="Y195" s="359"/>
      <c r="Z195" s="364">
        <v>44873</v>
      </c>
      <c r="AA195" s="359" t="s">
        <v>254</v>
      </c>
    </row>
    <row r="196" spans="1:27">
      <c r="A196" s="769"/>
      <c r="B196" s="769"/>
      <c r="C196" s="361" t="s">
        <v>9828</v>
      </c>
      <c r="D196" s="361" t="s">
        <v>9432</v>
      </c>
      <c r="E196" s="361" t="s">
        <v>1732</v>
      </c>
      <c r="F196" s="361" t="s">
        <v>9205</v>
      </c>
      <c r="G196" s="769"/>
      <c r="H196" s="361"/>
      <c r="I196" s="361"/>
      <c r="J196" s="361"/>
      <c r="K196" s="361"/>
      <c r="L196" s="361"/>
      <c r="M196" s="361"/>
      <c r="N196" s="361"/>
      <c r="O196" s="361"/>
      <c r="P196" s="361"/>
      <c r="Q196" s="358" t="s">
        <v>9207</v>
      </c>
      <c r="R196" s="361"/>
      <c r="S196" s="361"/>
      <c r="T196" s="359" t="s">
        <v>9829</v>
      </c>
      <c r="U196" s="359"/>
      <c r="V196" s="359"/>
      <c r="W196" s="359"/>
      <c r="X196" s="359"/>
      <c r="Y196" s="359"/>
      <c r="Z196" s="364">
        <v>44873</v>
      </c>
      <c r="AA196" s="359" t="s">
        <v>254</v>
      </c>
    </row>
    <row r="197" spans="1:27">
      <c r="A197" s="731" t="s">
        <v>9830</v>
      </c>
      <c r="B197" s="731" t="s">
        <v>9831</v>
      </c>
      <c r="C197" s="357" t="s">
        <v>9832</v>
      </c>
      <c r="D197" s="357" t="s">
        <v>9833</v>
      </c>
      <c r="E197" s="357" t="s">
        <v>1732</v>
      </c>
      <c r="F197" s="357" t="s">
        <v>9205</v>
      </c>
      <c r="G197" s="736" t="s">
        <v>9834</v>
      </c>
      <c r="H197" s="357"/>
      <c r="I197" s="357"/>
      <c r="J197" s="357"/>
      <c r="K197" s="357"/>
      <c r="L197" s="357"/>
      <c r="M197" s="357"/>
      <c r="N197" s="357"/>
      <c r="O197" s="357"/>
      <c r="P197" s="357"/>
      <c r="Q197" s="358" t="s">
        <v>9207</v>
      </c>
      <c r="R197" s="357"/>
      <c r="S197" s="357"/>
      <c r="T197" s="359" t="s">
        <v>9835</v>
      </c>
      <c r="U197" s="359"/>
      <c r="V197" s="359"/>
      <c r="W197" s="359"/>
      <c r="X197" s="359"/>
      <c r="Y197" s="359"/>
      <c r="Z197" s="364">
        <v>44874</v>
      </c>
      <c r="AA197" s="359" t="s">
        <v>254</v>
      </c>
    </row>
    <row r="198" spans="1:27">
      <c r="A198" s="769"/>
      <c r="B198" s="769"/>
      <c r="C198" s="361" t="s">
        <v>9836</v>
      </c>
      <c r="D198" s="361" t="s">
        <v>9837</v>
      </c>
      <c r="E198" s="361" t="s">
        <v>1743</v>
      </c>
      <c r="F198" s="361" t="s">
        <v>9205</v>
      </c>
      <c r="G198" s="769"/>
      <c r="H198" s="361"/>
      <c r="I198" s="361"/>
      <c r="J198" s="361"/>
      <c r="K198" s="361"/>
      <c r="L198" s="361"/>
      <c r="M198" s="361"/>
      <c r="N198" s="361"/>
      <c r="O198" s="361"/>
      <c r="P198" s="361"/>
      <c r="Q198" s="358" t="s">
        <v>9207</v>
      </c>
      <c r="R198" s="361"/>
      <c r="S198" s="361"/>
      <c r="T198" s="359" t="s">
        <v>9838</v>
      </c>
      <c r="U198" s="359"/>
      <c r="V198" s="359"/>
      <c r="W198" s="359"/>
      <c r="X198" s="359"/>
      <c r="Y198" s="359"/>
      <c r="Z198" s="364">
        <v>44874</v>
      </c>
      <c r="AA198" s="359" t="s">
        <v>254</v>
      </c>
    </row>
    <row r="199" spans="1:27">
      <c r="A199" s="769"/>
      <c r="B199" s="769"/>
      <c r="C199" s="357" t="s">
        <v>9839</v>
      </c>
      <c r="D199" s="357" t="s">
        <v>9840</v>
      </c>
      <c r="E199" s="357" t="s">
        <v>1743</v>
      </c>
      <c r="F199" s="357" t="s">
        <v>9205</v>
      </c>
      <c r="G199" s="769"/>
      <c r="H199" s="357"/>
      <c r="I199" s="357"/>
      <c r="J199" s="357"/>
      <c r="K199" s="357"/>
      <c r="L199" s="357"/>
      <c r="M199" s="357"/>
      <c r="N199" s="357"/>
      <c r="O199" s="357"/>
      <c r="P199" s="357"/>
      <c r="Q199" s="358" t="s">
        <v>9207</v>
      </c>
      <c r="R199" s="357"/>
      <c r="S199" s="357"/>
      <c r="T199" s="359" t="s">
        <v>9841</v>
      </c>
      <c r="U199" s="359"/>
      <c r="V199" s="359"/>
      <c r="W199" s="359"/>
      <c r="X199" s="359"/>
      <c r="Y199" s="359"/>
      <c r="Z199" s="364">
        <v>44874</v>
      </c>
      <c r="AA199" s="359" t="s">
        <v>254</v>
      </c>
    </row>
    <row r="200" spans="1:27">
      <c r="A200" s="769"/>
      <c r="B200" s="769"/>
      <c r="C200" s="361" t="s">
        <v>9842</v>
      </c>
      <c r="D200" s="361" t="s">
        <v>9843</v>
      </c>
      <c r="E200" s="361" t="s">
        <v>1743</v>
      </c>
      <c r="F200" s="361" t="s">
        <v>9205</v>
      </c>
      <c r="G200" s="769"/>
      <c r="H200" s="361"/>
      <c r="I200" s="361"/>
      <c r="J200" s="361"/>
      <c r="K200" s="361"/>
      <c r="L200" s="361"/>
      <c r="M200" s="361"/>
      <c r="N200" s="361"/>
      <c r="O200" s="361"/>
      <c r="P200" s="361"/>
      <c r="Q200" s="358" t="s">
        <v>9207</v>
      </c>
      <c r="R200" s="361"/>
      <c r="S200" s="361"/>
      <c r="T200" s="359" t="s">
        <v>9844</v>
      </c>
      <c r="U200" s="359"/>
      <c r="V200" s="359"/>
      <c r="W200" s="359"/>
      <c r="X200" s="359"/>
      <c r="Y200" s="359"/>
      <c r="Z200" s="364">
        <v>44874</v>
      </c>
      <c r="AA200" s="359" t="s">
        <v>254</v>
      </c>
    </row>
    <row r="201" spans="1:27">
      <c r="A201" s="769"/>
      <c r="B201" s="769"/>
      <c r="C201" s="357" t="s">
        <v>9845</v>
      </c>
      <c r="D201" s="357" t="s">
        <v>9846</v>
      </c>
      <c r="E201" s="357" t="s">
        <v>1732</v>
      </c>
      <c r="F201" s="357" t="s">
        <v>9205</v>
      </c>
      <c r="G201" s="769"/>
      <c r="H201" s="357"/>
      <c r="I201" s="357"/>
      <c r="J201" s="357"/>
      <c r="K201" s="357"/>
      <c r="L201" s="357"/>
      <c r="M201" s="357"/>
      <c r="N201" s="357"/>
      <c r="O201" s="357"/>
      <c r="P201" s="357"/>
      <c r="Q201" s="358" t="s">
        <v>9207</v>
      </c>
      <c r="R201" s="357"/>
      <c r="S201" s="357"/>
      <c r="T201" s="359" t="s">
        <v>9847</v>
      </c>
      <c r="U201" s="359"/>
      <c r="V201" s="359"/>
      <c r="W201" s="359"/>
      <c r="X201" s="359"/>
      <c r="Y201" s="359"/>
      <c r="Z201" s="364">
        <v>44874</v>
      </c>
      <c r="AA201" s="359" t="s">
        <v>254</v>
      </c>
    </row>
    <row r="202" spans="1:27">
      <c r="A202" s="769"/>
      <c r="B202" s="769"/>
      <c r="C202" s="361" t="s">
        <v>9848</v>
      </c>
      <c r="D202" s="361" t="s">
        <v>9849</v>
      </c>
      <c r="E202" s="361" t="s">
        <v>1732</v>
      </c>
      <c r="F202" s="361" t="s">
        <v>9205</v>
      </c>
      <c r="G202" s="741" t="s">
        <v>9850</v>
      </c>
      <c r="H202" s="361"/>
      <c r="I202" s="361"/>
      <c r="J202" s="361"/>
      <c r="K202" s="361"/>
      <c r="L202" s="361"/>
      <c r="M202" s="361"/>
      <c r="N202" s="361"/>
      <c r="O202" s="361"/>
      <c r="P202" s="361"/>
      <c r="Q202" s="358" t="s">
        <v>9207</v>
      </c>
      <c r="R202" s="361"/>
      <c r="S202" s="361"/>
      <c r="T202" s="359" t="s">
        <v>9851</v>
      </c>
      <c r="U202" s="359"/>
      <c r="V202" s="359"/>
      <c r="W202" s="359"/>
      <c r="X202" s="359"/>
      <c r="Y202" s="359"/>
      <c r="Z202" s="364">
        <v>44875</v>
      </c>
      <c r="AA202" s="359" t="s">
        <v>254</v>
      </c>
    </row>
    <row r="203" spans="1:27">
      <c r="A203" s="769"/>
      <c r="B203" s="769"/>
      <c r="C203" s="357" t="s">
        <v>9852</v>
      </c>
      <c r="D203" s="357" t="s">
        <v>9853</v>
      </c>
      <c r="E203" s="357" t="s">
        <v>1743</v>
      </c>
      <c r="F203" s="357" t="s">
        <v>9205</v>
      </c>
      <c r="G203" s="769"/>
      <c r="H203" s="357"/>
      <c r="I203" s="357"/>
      <c r="J203" s="357"/>
      <c r="K203" s="357"/>
      <c r="L203" s="357"/>
      <c r="M203" s="357"/>
      <c r="N203" s="357"/>
      <c r="O203" s="357"/>
      <c r="P203" s="357"/>
      <c r="Q203" s="358" t="s">
        <v>9207</v>
      </c>
      <c r="R203" s="357"/>
      <c r="S203" s="357"/>
      <c r="T203" s="359" t="s">
        <v>9854</v>
      </c>
      <c r="U203" s="359"/>
      <c r="V203" s="359"/>
      <c r="W203" s="359"/>
      <c r="X203" s="359"/>
      <c r="Y203" s="359"/>
      <c r="Z203" s="364">
        <v>44875</v>
      </c>
      <c r="AA203" s="359" t="s">
        <v>254</v>
      </c>
    </row>
    <row r="204" spans="1:27">
      <c r="A204" s="769"/>
      <c r="B204" s="769"/>
      <c r="C204" s="361" t="s">
        <v>9855</v>
      </c>
      <c r="D204" s="361" t="s">
        <v>9856</v>
      </c>
      <c r="E204" s="361" t="s">
        <v>1743</v>
      </c>
      <c r="F204" s="361" t="s">
        <v>9205</v>
      </c>
      <c r="G204" s="769"/>
      <c r="H204" s="361"/>
      <c r="I204" s="361"/>
      <c r="J204" s="361"/>
      <c r="K204" s="361"/>
      <c r="L204" s="361"/>
      <c r="M204" s="361"/>
      <c r="N204" s="361"/>
      <c r="O204" s="361"/>
      <c r="P204" s="361"/>
      <c r="Q204" s="358" t="s">
        <v>9207</v>
      </c>
      <c r="R204" s="361"/>
      <c r="S204" s="361"/>
      <c r="T204" s="359" t="s">
        <v>9857</v>
      </c>
      <c r="U204" s="359"/>
      <c r="V204" s="359"/>
      <c r="W204" s="359"/>
      <c r="X204" s="359"/>
      <c r="Y204" s="359"/>
      <c r="Z204" s="364">
        <v>44875</v>
      </c>
      <c r="AA204" s="359" t="s">
        <v>254</v>
      </c>
    </row>
    <row r="205" spans="1:27">
      <c r="A205" s="769"/>
      <c r="B205" s="769"/>
      <c r="C205" s="357" t="s">
        <v>9858</v>
      </c>
      <c r="D205" s="357" t="s">
        <v>9859</v>
      </c>
      <c r="E205" s="357" t="s">
        <v>1743</v>
      </c>
      <c r="F205" s="357" t="s">
        <v>9205</v>
      </c>
      <c r="G205" s="769"/>
      <c r="H205" s="357"/>
      <c r="I205" s="357"/>
      <c r="J205" s="357"/>
      <c r="K205" s="357"/>
      <c r="L205" s="357"/>
      <c r="M205" s="357"/>
      <c r="N205" s="357"/>
      <c r="O205" s="357"/>
      <c r="P205" s="357"/>
      <c r="Q205" s="358" t="s">
        <v>9207</v>
      </c>
      <c r="R205" s="357"/>
      <c r="S205" s="357"/>
      <c r="T205" s="359" t="s">
        <v>9860</v>
      </c>
      <c r="U205" s="359"/>
      <c r="V205" s="359"/>
      <c r="W205" s="359"/>
      <c r="X205" s="359"/>
      <c r="Y205" s="359"/>
      <c r="Z205" s="364">
        <v>44875</v>
      </c>
      <c r="AA205" s="359" t="s">
        <v>254</v>
      </c>
    </row>
    <row r="206" spans="1:27">
      <c r="A206" s="769"/>
      <c r="B206" s="769"/>
      <c r="C206" s="361" t="s">
        <v>9861</v>
      </c>
      <c r="D206" s="361" t="s">
        <v>9862</v>
      </c>
      <c r="E206" s="361" t="s">
        <v>1743</v>
      </c>
      <c r="F206" s="361" t="s">
        <v>9205</v>
      </c>
      <c r="G206" s="769"/>
      <c r="H206" s="361"/>
      <c r="I206" s="361"/>
      <c r="J206" s="361"/>
      <c r="K206" s="361"/>
      <c r="L206" s="361"/>
      <c r="M206" s="361"/>
      <c r="N206" s="361"/>
      <c r="O206" s="361"/>
      <c r="P206" s="361"/>
      <c r="Q206" s="358" t="s">
        <v>9207</v>
      </c>
      <c r="R206" s="361"/>
      <c r="S206" s="361"/>
      <c r="T206" s="359" t="s">
        <v>9863</v>
      </c>
      <c r="U206" s="359"/>
      <c r="V206" s="359"/>
      <c r="W206" s="359"/>
      <c r="X206" s="359"/>
      <c r="Y206" s="359"/>
      <c r="Z206" s="364">
        <v>44875</v>
      </c>
      <c r="AA206" s="359" t="s">
        <v>254</v>
      </c>
    </row>
    <row r="207" spans="1:27">
      <c r="A207" s="769"/>
      <c r="B207" s="769"/>
      <c r="C207" s="357" t="s">
        <v>9864</v>
      </c>
      <c r="D207" s="357" t="s">
        <v>9865</v>
      </c>
      <c r="E207" s="357" t="s">
        <v>1732</v>
      </c>
      <c r="F207" s="357" t="s">
        <v>9205</v>
      </c>
      <c r="G207" s="723" t="s">
        <v>9866</v>
      </c>
      <c r="H207" s="357"/>
      <c r="I207" s="357"/>
      <c r="J207" s="357"/>
      <c r="K207" s="357"/>
      <c r="L207" s="357"/>
      <c r="M207" s="357"/>
      <c r="N207" s="357"/>
      <c r="O207" s="357"/>
      <c r="P207" s="357"/>
      <c r="Q207" s="358" t="s">
        <v>9207</v>
      </c>
      <c r="R207" s="357"/>
      <c r="S207" s="357"/>
      <c r="T207" s="359" t="s">
        <v>9867</v>
      </c>
      <c r="U207" s="359"/>
      <c r="V207" s="359"/>
      <c r="W207" s="359"/>
      <c r="X207" s="359"/>
      <c r="Y207" s="359"/>
      <c r="Z207" s="364">
        <v>44875</v>
      </c>
      <c r="AA207" s="359" t="s">
        <v>254</v>
      </c>
    </row>
    <row r="208" spans="1:27">
      <c r="A208" s="769"/>
      <c r="B208" s="769"/>
      <c r="C208" s="361" t="s">
        <v>9868</v>
      </c>
      <c r="D208" s="361" t="s">
        <v>9869</v>
      </c>
      <c r="E208" s="361" t="s">
        <v>1743</v>
      </c>
      <c r="F208" s="361" t="s">
        <v>9205</v>
      </c>
      <c r="G208" s="769"/>
      <c r="H208" s="361"/>
      <c r="I208" s="361"/>
      <c r="J208" s="361"/>
      <c r="K208" s="361"/>
      <c r="L208" s="361"/>
      <c r="M208" s="361"/>
      <c r="N208" s="361"/>
      <c r="O208" s="361"/>
      <c r="P208" s="361"/>
      <c r="Q208" s="358" t="s">
        <v>9207</v>
      </c>
      <c r="R208" s="361"/>
      <c r="S208" s="361"/>
      <c r="T208" s="359" t="s">
        <v>9870</v>
      </c>
      <c r="U208" s="359"/>
      <c r="V208" s="359"/>
      <c r="W208" s="359"/>
      <c r="X208" s="359"/>
      <c r="Y208" s="359"/>
      <c r="Z208" s="364">
        <v>44875</v>
      </c>
      <c r="AA208" s="359" t="s">
        <v>254</v>
      </c>
    </row>
    <row r="209" spans="1:27">
      <c r="A209" s="769"/>
      <c r="B209" s="769"/>
      <c r="C209" s="357" t="s">
        <v>9871</v>
      </c>
      <c r="D209" s="357" t="s">
        <v>9872</v>
      </c>
      <c r="E209" s="357" t="s">
        <v>1743</v>
      </c>
      <c r="F209" s="357" t="s">
        <v>9205</v>
      </c>
      <c r="G209" s="769"/>
      <c r="H209" s="357"/>
      <c r="I209" s="357"/>
      <c r="J209" s="357"/>
      <c r="K209" s="357"/>
      <c r="L209" s="357"/>
      <c r="M209" s="357"/>
      <c r="N209" s="357"/>
      <c r="O209" s="357"/>
      <c r="P209" s="357"/>
      <c r="Q209" s="358" t="s">
        <v>9207</v>
      </c>
      <c r="R209" s="357"/>
      <c r="S209" s="357"/>
      <c r="T209" s="359" t="s">
        <v>9873</v>
      </c>
      <c r="U209" s="359"/>
      <c r="V209" s="359"/>
      <c r="W209" s="359"/>
      <c r="X209" s="359"/>
      <c r="Y209" s="359"/>
      <c r="Z209" s="364">
        <v>44875</v>
      </c>
      <c r="AA209" s="359" t="s">
        <v>254</v>
      </c>
    </row>
    <row r="210" spans="1:27">
      <c r="A210" s="769"/>
      <c r="B210" s="769"/>
      <c r="C210" s="361" t="s">
        <v>9874</v>
      </c>
      <c r="D210" s="361" t="s">
        <v>9875</v>
      </c>
      <c r="E210" s="361" t="s">
        <v>1743</v>
      </c>
      <c r="F210" s="361" t="s">
        <v>9205</v>
      </c>
      <c r="G210" s="769"/>
      <c r="H210" s="361"/>
      <c r="I210" s="361"/>
      <c r="J210" s="361"/>
      <c r="K210" s="361"/>
      <c r="L210" s="361"/>
      <c r="M210" s="361"/>
      <c r="N210" s="361"/>
      <c r="O210" s="361"/>
      <c r="P210" s="361"/>
      <c r="Q210" s="358" t="s">
        <v>9207</v>
      </c>
      <c r="R210" s="361"/>
      <c r="S210" s="361"/>
      <c r="T210" s="359" t="s">
        <v>9876</v>
      </c>
      <c r="U210" s="359"/>
      <c r="V210" s="359"/>
      <c r="W210" s="359"/>
      <c r="X210" s="359"/>
      <c r="Y210" s="359"/>
      <c r="Z210" s="364">
        <v>44875</v>
      </c>
      <c r="AA210" s="359" t="s">
        <v>254</v>
      </c>
    </row>
    <row r="211" spans="1:27">
      <c r="A211" s="769"/>
      <c r="B211" s="769"/>
      <c r="C211" s="357" t="s">
        <v>9877</v>
      </c>
      <c r="D211" s="357" t="s">
        <v>9878</v>
      </c>
      <c r="E211" s="357" t="s">
        <v>1732</v>
      </c>
      <c r="F211" s="357" t="s">
        <v>9205</v>
      </c>
      <c r="G211" s="769"/>
      <c r="H211" s="357"/>
      <c r="I211" s="357"/>
      <c r="J211" s="357"/>
      <c r="K211" s="357"/>
      <c r="L211" s="357"/>
      <c r="M211" s="357"/>
      <c r="N211" s="357"/>
      <c r="O211" s="357"/>
      <c r="P211" s="357"/>
      <c r="Q211" s="358" t="s">
        <v>9207</v>
      </c>
      <c r="R211" s="357"/>
      <c r="S211" s="357"/>
      <c r="T211" s="359" t="s">
        <v>9879</v>
      </c>
      <c r="U211" s="359"/>
      <c r="V211" s="359"/>
      <c r="W211" s="359"/>
      <c r="X211" s="359"/>
      <c r="Y211" s="359"/>
      <c r="Z211" s="364">
        <v>44875</v>
      </c>
      <c r="AA211" s="359" t="s">
        <v>254</v>
      </c>
    </row>
    <row r="212" spans="1:27">
      <c r="A212" s="769"/>
      <c r="B212" s="769"/>
      <c r="C212" s="361" t="s">
        <v>9880</v>
      </c>
      <c r="D212" s="361" t="s">
        <v>9881</v>
      </c>
      <c r="E212" s="361" t="s">
        <v>1732</v>
      </c>
      <c r="F212" s="361" t="s">
        <v>9205</v>
      </c>
      <c r="G212" s="735" t="s">
        <v>9882</v>
      </c>
      <c r="H212" s="361"/>
      <c r="I212" s="361"/>
      <c r="J212" s="361"/>
      <c r="K212" s="361"/>
      <c r="L212" s="361"/>
      <c r="M212" s="361"/>
      <c r="N212" s="361"/>
      <c r="O212" s="361"/>
      <c r="P212" s="361"/>
      <c r="Q212" s="358" t="s">
        <v>9207</v>
      </c>
      <c r="R212" s="361"/>
      <c r="S212" s="361"/>
      <c r="T212" s="359" t="s">
        <v>9883</v>
      </c>
      <c r="U212" s="359"/>
      <c r="V212" s="359"/>
      <c r="W212" s="359"/>
      <c r="X212" s="359"/>
      <c r="Y212" s="359"/>
      <c r="Z212" s="364">
        <v>44876</v>
      </c>
      <c r="AA212" s="359" t="s">
        <v>254</v>
      </c>
    </row>
    <row r="213" spans="1:27">
      <c r="A213" s="769"/>
      <c r="B213" s="769"/>
      <c r="C213" s="357" t="s">
        <v>9884</v>
      </c>
      <c r="D213" s="357" t="s">
        <v>9885</v>
      </c>
      <c r="E213" s="357" t="s">
        <v>1743</v>
      </c>
      <c r="F213" s="357" t="s">
        <v>9205</v>
      </c>
      <c r="G213" s="769"/>
      <c r="H213" s="357"/>
      <c r="I213" s="357"/>
      <c r="J213" s="357"/>
      <c r="K213" s="357"/>
      <c r="L213" s="357"/>
      <c r="M213" s="357"/>
      <c r="N213" s="357"/>
      <c r="O213" s="357"/>
      <c r="P213" s="357"/>
      <c r="Q213" s="358" t="s">
        <v>9207</v>
      </c>
      <c r="R213" s="357"/>
      <c r="S213" s="357"/>
      <c r="T213" s="359" t="s">
        <v>9886</v>
      </c>
      <c r="U213" s="359"/>
      <c r="V213" s="359"/>
      <c r="W213" s="359"/>
      <c r="X213" s="359"/>
      <c r="Y213" s="359"/>
      <c r="Z213" s="364">
        <v>44876</v>
      </c>
      <c r="AA213" s="359" t="s">
        <v>254</v>
      </c>
    </row>
    <row r="214" spans="1:27">
      <c r="A214" s="769"/>
      <c r="B214" s="769"/>
      <c r="C214" s="361" t="s">
        <v>9887</v>
      </c>
      <c r="D214" s="361" t="s">
        <v>9888</v>
      </c>
      <c r="E214" s="361" t="s">
        <v>1743</v>
      </c>
      <c r="F214" s="361" t="s">
        <v>9205</v>
      </c>
      <c r="G214" s="769"/>
      <c r="H214" s="361"/>
      <c r="I214" s="361"/>
      <c r="J214" s="361"/>
      <c r="K214" s="361"/>
      <c r="L214" s="361"/>
      <c r="M214" s="361"/>
      <c r="N214" s="361"/>
      <c r="O214" s="361"/>
      <c r="P214" s="361"/>
      <c r="Q214" s="358" t="s">
        <v>9207</v>
      </c>
      <c r="R214" s="361"/>
      <c r="S214" s="361"/>
      <c r="T214" s="359" t="s">
        <v>9889</v>
      </c>
      <c r="U214" s="359"/>
      <c r="V214" s="359"/>
      <c r="W214" s="359"/>
      <c r="X214" s="359"/>
      <c r="Y214" s="359"/>
      <c r="Z214" s="364">
        <v>44876</v>
      </c>
      <c r="AA214" s="359" t="s">
        <v>254</v>
      </c>
    </row>
    <row r="215" spans="1:27">
      <c r="A215" s="769"/>
      <c r="B215" s="769"/>
      <c r="C215" s="357" t="s">
        <v>9890</v>
      </c>
      <c r="D215" s="357" t="s">
        <v>9891</v>
      </c>
      <c r="E215" s="357" t="s">
        <v>1743</v>
      </c>
      <c r="F215" s="357" t="s">
        <v>9205</v>
      </c>
      <c r="G215" s="769"/>
      <c r="H215" s="357"/>
      <c r="I215" s="357"/>
      <c r="J215" s="357"/>
      <c r="K215" s="357"/>
      <c r="L215" s="357"/>
      <c r="M215" s="357"/>
      <c r="N215" s="357"/>
      <c r="O215" s="357"/>
      <c r="P215" s="357"/>
      <c r="Q215" s="358" t="s">
        <v>9207</v>
      </c>
      <c r="R215" s="357"/>
      <c r="S215" s="357"/>
      <c r="T215" s="359" t="s">
        <v>9892</v>
      </c>
      <c r="U215" s="359"/>
      <c r="V215" s="359"/>
      <c r="W215" s="359"/>
      <c r="X215" s="359"/>
      <c r="Y215" s="359"/>
      <c r="Z215" s="364">
        <v>44876</v>
      </c>
      <c r="AA215" s="359" t="s">
        <v>254</v>
      </c>
    </row>
    <row r="216" spans="1:27">
      <c r="A216" s="769"/>
      <c r="B216" s="769"/>
      <c r="C216" s="361" t="s">
        <v>9893</v>
      </c>
      <c r="D216" s="361" t="s">
        <v>9894</v>
      </c>
      <c r="E216" s="361" t="s">
        <v>1732</v>
      </c>
      <c r="F216" s="361" t="s">
        <v>9205</v>
      </c>
      <c r="G216" s="769"/>
      <c r="H216" s="361"/>
      <c r="I216" s="361"/>
      <c r="J216" s="361"/>
      <c r="K216" s="361"/>
      <c r="L216" s="361"/>
      <c r="M216" s="361"/>
      <c r="N216" s="361"/>
      <c r="O216" s="361"/>
      <c r="P216" s="361"/>
      <c r="Q216" s="358" t="s">
        <v>9207</v>
      </c>
      <c r="R216" s="361"/>
      <c r="S216" s="361"/>
      <c r="T216" s="359" t="str">
        <f t="shared" ref="T216:T241" si="2">CONCATENATE(C216, " - ", D216)</f>
        <v>SOA0021-020 - Get Harga LPG id_api Bukan Web atau Mobile</v>
      </c>
      <c r="U216" s="359"/>
      <c r="V216" s="359"/>
      <c r="W216" s="359"/>
      <c r="X216" s="359"/>
      <c r="Y216" s="359"/>
      <c r="Z216" s="364">
        <v>44876</v>
      </c>
      <c r="AA216" s="359" t="s">
        <v>254</v>
      </c>
    </row>
    <row r="217" spans="1:27">
      <c r="A217" s="769"/>
      <c r="B217" s="769"/>
      <c r="C217" s="357" t="s">
        <v>9895</v>
      </c>
      <c r="D217" s="357" t="s">
        <v>9896</v>
      </c>
      <c r="E217" s="357" t="s">
        <v>1732</v>
      </c>
      <c r="F217" s="357" t="s">
        <v>9205</v>
      </c>
      <c r="G217" s="736" t="s">
        <v>9897</v>
      </c>
      <c r="H217" s="357"/>
      <c r="I217" s="357"/>
      <c r="J217" s="357"/>
      <c r="K217" s="357"/>
      <c r="L217" s="357"/>
      <c r="M217" s="357"/>
      <c r="N217" s="357"/>
      <c r="O217" s="357"/>
      <c r="P217" s="357"/>
      <c r="Q217" s="358" t="s">
        <v>9207</v>
      </c>
      <c r="R217" s="357"/>
      <c r="S217" s="357"/>
      <c r="T217" s="359" t="str">
        <f t="shared" si="2"/>
        <v>SOA0021-021 - Insert Harga LPG Normal</v>
      </c>
      <c r="U217" s="359"/>
      <c r="V217" s="359"/>
      <c r="W217" s="359"/>
      <c r="X217" s="359"/>
      <c r="Y217" s="359"/>
      <c r="Z217" s="364">
        <v>44876</v>
      </c>
      <c r="AA217" s="359" t="s">
        <v>254</v>
      </c>
    </row>
    <row r="218" spans="1:27">
      <c r="A218" s="769"/>
      <c r="B218" s="769"/>
      <c r="C218" s="361" t="s">
        <v>9898</v>
      </c>
      <c r="D218" s="361" t="s">
        <v>9899</v>
      </c>
      <c r="E218" s="361" t="s">
        <v>1743</v>
      </c>
      <c r="F218" s="361" t="s">
        <v>9205</v>
      </c>
      <c r="G218" s="769"/>
      <c r="H218" s="361"/>
      <c r="I218" s="361"/>
      <c r="J218" s="361"/>
      <c r="K218" s="361"/>
      <c r="L218" s="361"/>
      <c r="M218" s="361"/>
      <c r="N218" s="361"/>
      <c r="O218" s="361"/>
      <c r="P218" s="361"/>
      <c r="Q218" s="358" t="s">
        <v>9207</v>
      </c>
      <c r="R218" s="361"/>
      <c r="S218" s="361"/>
      <c r="T218" s="359" t="str">
        <f t="shared" si="2"/>
        <v>SOA0021-022 - Insert Harga LPG Error</v>
      </c>
      <c r="U218" s="359"/>
      <c r="V218" s="359"/>
      <c r="W218" s="359"/>
      <c r="X218" s="359"/>
      <c r="Y218" s="359"/>
      <c r="Z218" s="364">
        <v>44876</v>
      </c>
      <c r="AA218" s="359" t="s">
        <v>254</v>
      </c>
    </row>
    <row r="219" spans="1:27">
      <c r="A219" s="769"/>
      <c r="B219" s="769"/>
      <c r="C219" s="357" t="s">
        <v>9900</v>
      </c>
      <c r="D219" s="357" t="s">
        <v>9901</v>
      </c>
      <c r="E219" s="357" t="s">
        <v>1743</v>
      </c>
      <c r="F219" s="357" t="s">
        <v>9205</v>
      </c>
      <c r="G219" s="769"/>
      <c r="H219" s="357"/>
      <c r="I219" s="357"/>
      <c r="J219" s="357"/>
      <c r="K219" s="357"/>
      <c r="L219" s="357"/>
      <c r="M219" s="357"/>
      <c r="N219" s="357"/>
      <c r="O219" s="357"/>
      <c r="P219" s="357"/>
      <c r="Q219" s="358" t="s">
        <v>9207</v>
      </c>
      <c r="R219" s="357"/>
      <c r="S219" s="357"/>
      <c r="T219" s="359" t="str">
        <f t="shared" si="2"/>
        <v>SOA0021-023 - Insert Harga LPG Pin Salah</v>
      </c>
      <c r="U219" s="359"/>
      <c r="V219" s="359"/>
      <c r="W219" s="359"/>
      <c r="X219" s="359"/>
      <c r="Y219" s="359"/>
      <c r="Z219" s="364">
        <v>44876</v>
      </c>
      <c r="AA219" s="359" t="s">
        <v>254</v>
      </c>
    </row>
    <row r="220" spans="1:27">
      <c r="A220" s="769"/>
      <c r="B220" s="769"/>
      <c r="C220" s="361" t="s">
        <v>9902</v>
      </c>
      <c r="D220" s="361" t="s">
        <v>9903</v>
      </c>
      <c r="E220" s="361" t="s">
        <v>1743</v>
      </c>
      <c r="F220" s="361" t="s">
        <v>9205</v>
      </c>
      <c r="G220" s="769"/>
      <c r="H220" s="361"/>
      <c r="I220" s="361"/>
      <c r="J220" s="361"/>
      <c r="K220" s="361"/>
      <c r="L220" s="361"/>
      <c r="M220" s="361"/>
      <c r="N220" s="361"/>
      <c r="O220" s="361"/>
      <c r="P220" s="361"/>
      <c r="Q220" s="358" t="s">
        <v>9207</v>
      </c>
      <c r="R220" s="361"/>
      <c r="S220" s="361"/>
      <c r="T220" s="359" t="str">
        <f t="shared" si="2"/>
        <v>SOA0021-024 - Insert Harga LPG Session Tidak Ditemukan</v>
      </c>
      <c r="U220" s="359"/>
      <c r="V220" s="359"/>
      <c r="W220" s="359"/>
      <c r="X220" s="359"/>
      <c r="Y220" s="359"/>
      <c r="Z220" s="364">
        <v>44876</v>
      </c>
      <c r="AA220" s="359" t="s">
        <v>254</v>
      </c>
    </row>
    <row r="221" spans="1:27">
      <c r="A221" s="769"/>
      <c r="B221" s="769"/>
      <c r="C221" s="357" t="s">
        <v>9904</v>
      </c>
      <c r="D221" s="357" t="s">
        <v>9905</v>
      </c>
      <c r="E221" s="357" t="s">
        <v>1743</v>
      </c>
      <c r="F221" s="357" t="s">
        <v>9205</v>
      </c>
      <c r="G221" s="769"/>
      <c r="H221" s="357"/>
      <c r="I221" s="357"/>
      <c r="J221" s="357"/>
      <c r="K221" s="357"/>
      <c r="L221" s="357"/>
      <c r="M221" s="357"/>
      <c r="N221" s="357"/>
      <c r="O221" s="357"/>
      <c r="P221" s="357"/>
      <c r="Q221" s="358" t="s">
        <v>9207</v>
      </c>
      <c r="R221" s="357"/>
      <c r="S221" s="357"/>
      <c r="T221" s="359" t="str">
        <f t="shared" si="2"/>
        <v>SOA0021-025 - Insert Harga LPG Session Invalid</v>
      </c>
      <c r="U221" s="359"/>
      <c r="V221" s="359"/>
      <c r="W221" s="359"/>
      <c r="X221" s="359"/>
      <c r="Y221" s="359"/>
      <c r="Z221" s="364">
        <v>44876</v>
      </c>
      <c r="AA221" s="359" t="s">
        <v>254</v>
      </c>
    </row>
    <row r="222" spans="1:27">
      <c r="A222" s="769"/>
      <c r="B222" s="769"/>
      <c r="C222" s="361" t="s">
        <v>9906</v>
      </c>
      <c r="D222" s="361" t="s">
        <v>9907</v>
      </c>
      <c r="E222" s="361" t="s">
        <v>1732</v>
      </c>
      <c r="F222" s="361" t="s">
        <v>9205</v>
      </c>
      <c r="G222" s="769"/>
      <c r="H222" s="361"/>
      <c r="I222" s="361"/>
      <c r="J222" s="361"/>
      <c r="K222" s="361"/>
      <c r="L222" s="361"/>
      <c r="M222" s="361"/>
      <c r="N222" s="361"/>
      <c r="O222" s="361"/>
      <c r="P222" s="361"/>
      <c r="Q222" s="358" t="s">
        <v>9207</v>
      </c>
      <c r="R222" s="361"/>
      <c r="S222" s="361"/>
      <c r="T222" s="359" t="str">
        <f t="shared" si="2"/>
        <v>SOA0021-026 - Insert Harga LPG id_api Bukan Web atau Mobile</v>
      </c>
      <c r="U222" s="359"/>
      <c r="V222" s="359"/>
      <c r="W222" s="359"/>
      <c r="X222" s="359"/>
      <c r="Y222" s="359"/>
      <c r="Z222" s="364">
        <v>44876</v>
      </c>
      <c r="AA222" s="359" t="s">
        <v>254</v>
      </c>
    </row>
    <row r="223" spans="1:27">
      <c r="A223" s="769"/>
      <c r="B223" s="769"/>
      <c r="C223" s="357" t="s">
        <v>9908</v>
      </c>
      <c r="D223" s="357" t="s">
        <v>9909</v>
      </c>
      <c r="E223" s="357" t="s">
        <v>1732</v>
      </c>
      <c r="F223" s="365" t="s">
        <v>9910</v>
      </c>
      <c r="G223" s="736" t="s">
        <v>9911</v>
      </c>
      <c r="H223" s="357"/>
      <c r="I223" s="357"/>
      <c r="J223" s="357"/>
      <c r="K223" s="357"/>
      <c r="L223" s="357"/>
      <c r="M223" s="357"/>
      <c r="N223" s="357"/>
      <c r="O223" s="357"/>
      <c r="P223" s="357"/>
      <c r="Q223" s="358" t="s">
        <v>9207</v>
      </c>
      <c r="R223" s="357"/>
      <c r="S223" s="357"/>
      <c r="T223" s="359" t="str">
        <f t="shared" si="2"/>
        <v>SOA0021-027 - Delete Harga LPG Normal</v>
      </c>
      <c r="U223" s="359"/>
      <c r="V223" s="359"/>
      <c r="W223" s="359"/>
      <c r="X223" s="359"/>
      <c r="Y223" s="359"/>
      <c r="Z223" s="364">
        <v>44879</v>
      </c>
      <c r="AA223" s="359" t="s">
        <v>254</v>
      </c>
    </row>
    <row r="224" spans="1:27">
      <c r="A224" s="769"/>
      <c r="B224" s="769"/>
      <c r="C224" s="361" t="s">
        <v>9912</v>
      </c>
      <c r="D224" s="361" t="s">
        <v>9913</v>
      </c>
      <c r="E224" s="361" t="s">
        <v>1743</v>
      </c>
      <c r="F224" s="361" t="s">
        <v>9205</v>
      </c>
      <c r="G224" s="769"/>
      <c r="H224" s="361"/>
      <c r="I224" s="361"/>
      <c r="J224" s="361"/>
      <c r="K224" s="361"/>
      <c r="L224" s="361"/>
      <c r="M224" s="361"/>
      <c r="N224" s="361"/>
      <c r="O224" s="361"/>
      <c r="P224" s="361"/>
      <c r="Q224" s="358" t="s">
        <v>9207</v>
      </c>
      <c r="R224" s="361"/>
      <c r="S224" s="361"/>
      <c r="T224" s="359" t="str">
        <f t="shared" si="2"/>
        <v>SOA0021-028 - Delete Harga LPG Error</v>
      </c>
      <c r="U224" s="359"/>
      <c r="V224" s="359"/>
      <c r="W224" s="359"/>
      <c r="X224" s="359"/>
      <c r="Y224" s="359"/>
      <c r="Z224" s="364">
        <v>44879</v>
      </c>
      <c r="AA224" s="359" t="s">
        <v>254</v>
      </c>
    </row>
    <row r="225" spans="1:27">
      <c r="A225" s="769"/>
      <c r="B225" s="769"/>
      <c r="C225" s="357" t="s">
        <v>9914</v>
      </c>
      <c r="D225" s="357" t="s">
        <v>9915</v>
      </c>
      <c r="E225" s="357" t="s">
        <v>1743</v>
      </c>
      <c r="F225" s="357" t="s">
        <v>9205</v>
      </c>
      <c r="G225" s="769"/>
      <c r="H225" s="357"/>
      <c r="I225" s="357"/>
      <c r="J225" s="357"/>
      <c r="K225" s="357"/>
      <c r="L225" s="357"/>
      <c r="M225" s="357"/>
      <c r="N225" s="357"/>
      <c r="O225" s="357"/>
      <c r="P225" s="357"/>
      <c r="Q225" s="358" t="s">
        <v>9207</v>
      </c>
      <c r="R225" s="357"/>
      <c r="S225" s="357"/>
      <c r="T225" s="359" t="str">
        <f t="shared" si="2"/>
        <v>SOA0021-029 - Delete Harga LPG Pin Salah</v>
      </c>
      <c r="U225" s="359"/>
      <c r="V225" s="359"/>
      <c r="W225" s="359"/>
      <c r="X225" s="359"/>
      <c r="Y225" s="359"/>
      <c r="Z225" s="364">
        <v>44879</v>
      </c>
      <c r="AA225" s="359" t="s">
        <v>254</v>
      </c>
    </row>
    <row r="226" spans="1:27">
      <c r="A226" s="769"/>
      <c r="B226" s="769"/>
      <c r="C226" s="361" t="s">
        <v>9916</v>
      </c>
      <c r="D226" s="361" t="s">
        <v>9917</v>
      </c>
      <c r="E226" s="361" t="s">
        <v>1743</v>
      </c>
      <c r="F226" s="361" t="s">
        <v>9205</v>
      </c>
      <c r="G226" s="769"/>
      <c r="H226" s="361"/>
      <c r="I226" s="361"/>
      <c r="J226" s="361"/>
      <c r="K226" s="361"/>
      <c r="L226" s="361"/>
      <c r="M226" s="361"/>
      <c r="N226" s="361"/>
      <c r="O226" s="361"/>
      <c r="P226" s="361"/>
      <c r="Q226" s="358" t="s">
        <v>9207</v>
      </c>
      <c r="R226" s="361"/>
      <c r="S226" s="361"/>
      <c r="T226" s="359" t="str">
        <f t="shared" si="2"/>
        <v>SOA0021-030 - Delete Harga LPG Session Tidak Ditemukan</v>
      </c>
      <c r="U226" s="359"/>
      <c r="V226" s="359"/>
      <c r="W226" s="359"/>
      <c r="X226" s="359"/>
      <c r="Y226" s="359"/>
      <c r="Z226" s="364">
        <v>44879</v>
      </c>
      <c r="AA226" s="359" t="s">
        <v>254</v>
      </c>
    </row>
    <row r="227" spans="1:27">
      <c r="A227" s="769"/>
      <c r="B227" s="769"/>
      <c r="C227" s="357" t="s">
        <v>9918</v>
      </c>
      <c r="D227" s="357" t="s">
        <v>9919</v>
      </c>
      <c r="E227" s="357" t="s">
        <v>1743</v>
      </c>
      <c r="F227" s="357" t="s">
        <v>9205</v>
      </c>
      <c r="G227" s="769"/>
      <c r="H227" s="357"/>
      <c r="I227" s="357"/>
      <c r="J227" s="357"/>
      <c r="K227" s="357"/>
      <c r="L227" s="357"/>
      <c r="M227" s="357"/>
      <c r="N227" s="357"/>
      <c r="O227" s="357"/>
      <c r="P227" s="357"/>
      <c r="Q227" s="358" t="s">
        <v>9207</v>
      </c>
      <c r="R227" s="357"/>
      <c r="S227" s="357"/>
      <c r="T227" s="359" t="str">
        <f t="shared" si="2"/>
        <v>SOA0021-031 - Delete Harga LPG Session Invalid</v>
      </c>
      <c r="U227" s="359"/>
      <c r="V227" s="359"/>
      <c r="W227" s="359"/>
      <c r="X227" s="359"/>
      <c r="Y227" s="359"/>
      <c r="Z227" s="364">
        <v>44879</v>
      </c>
      <c r="AA227" s="359" t="s">
        <v>254</v>
      </c>
    </row>
    <row r="228" spans="1:27">
      <c r="A228" s="769"/>
      <c r="B228" s="769"/>
      <c r="C228" s="361" t="s">
        <v>9920</v>
      </c>
      <c r="D228" s="361" t="s">
        <v>9921</v>
      </c>
      <c r="E228" s="361" t="s">
        <v>1732</v>
      </c>
      <c r="F228" s="363" t="s">
        <v>9910</v>
      </c>
      <c r="G228" s="769"/>
      <c r="H228" s="361"/>
      <c r="I228" s="361"/>
      <c r="J228" s="361"/>
      <c r="K228" s="361"/>
      <c r="L228" s="361"/>
      <c r="M228" s="361"/>
      <c r="N228" s="361"/>
      <c r="O228" s="361"/>
      <c r="P228" s="361"/>
      <c r="Q228" s="358" t="s">
        <v>9207</v>
      </c>
      <c r="R228" s="361"/>
      <c r="S228" s="361"/>
      <c r="T228" s="359" t="str">
        <f t="shared" si="2"/>
        <v>SOA0021-032 - Delete Harga LPG id_api Bukan Web atau Mobile</v>
      </c>
      <c r="U228" s="359"/>
      <c r="V228" s="359"/>
      <c r="W228" s="359"/>
      <c r="X228" s="359"/>
      <c r="Y228" s="359"/>
      <c r="Z228" s="364">
        <v>44879</v>
      </c>
      <c r="AA228" s="359" t="s">
        <v>254</v>
      </c>
    </row>
    <row r="229" spans="1:27">
      <c r="A229" s="769"/>
      <c r="B229" s="769"/>
      <c r="C229" s="357" t="s">
        <v>9922</v>
      </c>
      <c r="D229" s="357" t="s">
        <v>9923</v>
      </c>
      <c r="E229" s="357" t="s">
        <v>1732</v>
      </c>
      <c r="F229" s="357" t="s">
        <v>9205</v>
      </c>
      <c r="G229" s="736" t="s">
        <v>9911</v>
      </c>
      <c r="H229" s="357"/>
      <c r="I229" s="357"/>
      <c r="J229" s="357"/>
      <c r="K229" s="357"/>
      <c r="L229" s="357"/>
      <c r="M229" s="357"/>
      <c r="N229" s="357"/>
      <c r="O229" s="357"/>
      <c r="P229" s="357"/>
      <c r="Q229" s="358" t="s">
        <v>9207</v>
      </c>
      <c r="R229" s="357"/>
      <c r="S229" s="357"/>
      <c r="T229" s="359" t="str">
        <f t="shared" si="2"/>
        <v>SOA0021-033 - Update Harga LPG Normal</v>
      </c>
      <c r="U229" s="359"/>
      <c r="V229" s="359"/>
      <c r="W229" s="359"/>
      <c r="X229" s="359"/>
      <c r="Y229" s="359"/>
      <c r="Z229" s="364">
        <v>44880</v>
      </c>
      <c r="AA229" s="359" t="s">
        <v>254</v>
      </c>
    </row>
    <row r="230" spans="1:27">
      <c r="A230" s="769"/>
      <c r="B230" s="769"/>
      <c r="C230" s="361" t="s">
        <v>9924</v>
      </c>
      <c r="D230" s="361" t="s">
        <v>9925</v>
      </c>
      <c r="E230" s="361" t="s">
        <v>1743</v>
      </c>
      <c r="F230" s="361" t="s">
        <v>9205</v>
      </c>
      <c r="G230" s="769"/>
      <c r="H230" s="361"/>
      <c r="I230" s="361"/>
      <c r="J230" s="361"/>
      <c r="K230" s="361"/>
      <c r="L230" s="361"/>
      <c r="M230" s="361"/>
      <c r="N230" s="361"/>
      <c r="O230" s="361"/>
      <c r="P230" s="361"/>
      <c r="Q230" s="358" t="s">
        <v>9207</v>
      </c>
      <c r="R230" s="361"/>
      <c r="S230" s="361"/>
      <c r="T230" s="359" t="str">
        <f t="shared" si="2"/>
        <v>SOA0021-034 - Update Harga LPG Error</v>
      </c>
      <c r="U230" s="359"/>
      <c r="V230" s="359"/>
      <c r="W230" s="359"/>
      <c r="X230" s="359"/>
      <c r="Y230" s="359"/>
      <c r="Z230" s="364">
        <v>44880</v>
      </c>
      <c r="AA230" s="359" t="s">
        <v>254</v>
      </c>
    </row>
    <row r="231" spans="1:27">
      <c r="A231" s="769"/>
      <c r="B231" s="769"/>
      <c r="C231" s="357" t="s">
        <v>9926</v>
      </c>
      <c r="D231" s="357" t="s">
        <v>9927</v>
      </c>
      <c r="E231" s="357" t="s">
        <v>1743</v>
      </c>
      <c r="F231" s="357" t="s">
        <v>9205</v>
      </c>
      <c r="G231" s="769"/>
      <c r="H231" s="357"/>
      <c r="I231" s="357"/>
      <c r="J231" s="357"/>
      <c r="K231" s="357"/>
      <c r="L231" s="357"/>
      <c r="M231" s="357"/>
      <c r="N231" s="357"/>
      <c r="O231" s="357"/>
      <c r="P231" s="357"/>
      <c r="Q231" s="358" t="s">
        <v>9207</v>
      </c>
      <c r="R231" s="357"/>
      <c r="S231" s="357"/>
      <c r="T231" s="359" t="str">
        <f t="shared" si="2"/>
        <v>SOA0021-035 - Update Harga LPG Pin Salah</v>
      </c>
      <c r="U231" s="359"/>
      <c r="V231" s="359"/>
      <c r="W231" s="359"/>
      <c r="X231" s="359"/>
      <c r="Y231" s="359"/>
      <c r="Z231" s="364">
        <v>44880</v>
      </c>
      <c r="AA231" s="359" t="s">
        <v>254</v>
      </c>
    </row>
    <row r="232" spans="1:27">
      <c r="A232" s="769"/>
      <c r="B232" s="769"/>
      <c r="C232" s="361" t="s">
        <v>9928</v>
      </c>
      <c r="D232" s="361" t="s">
        <v>9929</v>
      </c>
      <c r="E232" s="361" t="s">
        <v>1743</v>
      </c>
      <c r="F232" s="361" t="s">
        <v>9205</v>
      </c>
      <c r="G232" s="769"/>
      <c r="H232" s="361"/>
      <c r="I232" s="361"/>
      <c r="J232" s="361"/>
      <c r="K232" s="361"/>
      <c r="L232" s="361"/>
      <c r="M232" s="361"/>
      <c r="N232" s="361"/>
      <c r="O232" s="361"/>
      <c r="P232" s="361"/>
      <c r="Q232" s="358" t="s">
        <v>9207</v>
      </c>
      <c r="R232" s="361"/>
      <c r="S232" s="361"/>
      <c r="T232" s="359" t="str">
        <f t="shared" si="2"/>
        <v>SOA0021-036 - Update Harga LPG Session Tidak Ditemukan</v>
      </c>
      <c r="U232" s="359"/>
      <c r="V232" s="359"/>
      <c r="W232" s="359"/>
      <c r="X232" s="359"/>
      <c r="Y232" s="359"/>
      <c r="Z232" s="364">
        <v>44880</v>
      </c>
      <c r="AA232" s="359" t="s">
        <v>254</v>
      </c>
    </row>
    <row r="233" spans="1:27">
      <c r="A233" s="769"/>
      <c r="B233" s="769"/>
      <c r="C233" s="357" t="s">
        <v>9930</v>
      </c>
      <c r="D233" s="357" t="s">
        <v>9931</v>
      </c>
      <c r="E233" s="357" t="s">
        <v>1743</v>
      </c>
      <c r="F233" s="357" t="s">
        <v>9205</v>
      </c>
      <c r="G233" s="769"/>
      <c r="H233" s="357"/>
      <c r="I233" s="357"/>
      <c r="J233" s="357"/>
      <c r="K233" s="357"/>
      <c r="L233" s="357"/>
      <c r="M233" s="357"/>
      <c r="N233" s="357"/>
      <c r="O233" s="357"/>
      <c r="P233" s="357"/>
      <c r="Q233" s="358" t="s">
        <v>9207</v>
      </c>
      <c r="R233" s="357"/>
      <c r="S233" s="357"/>
      <c r="T233" s="359" t="str">
        <f t="shared" si="2"/>
        <v>SOA0021-037 - Update Harga LPG Session Invalid</v>
      </c>
      <c r="U233" s="359"/>
      <c r="V233" s="359"/>
      <c r="W233" s="359"/>
      <c r="X233" s="359"/>
      <c r="Y233" s="359"/>
      <c r="Z233" s="364">
        <v>44880</v>
      </c>
      <c r="AA233" s="359" t="s">
        <v>254</v>
      </c>
    </row>
    <row r="234" spans="1:27">
      <c r="A234" s="769"/>
      <c r="B234" s="769"/>
      <c r="C234" s="361" t="s">
        <v>9932</v>
      </c>
      <c r="D234" s="361" t="s">
        <v>9933</v>
      </c>
      <c r="E234" s="361" t="s">
        <v>1732</v>
      </c>
      <c r="F234" s="361" t="s">
        <v>9205</v>
      </c>
      <c r="G234" s="769"/>
      <c r="H234" s="361"/>
      <c r="I234" s="361"/>
      <c r="J234" s="361"/>
      <c r="K234" s="361"/>
      <c r="L234" s="361"/>
      <c r="M234" s="361"/>
      <c r="N234" s="361"/>
      <c r="O234" s="361"/>
      <c r="P234" s="361"/>
      <c r="Q234" s="358" t="s">
        <v>9207</v>
      </c>
      <c r="R234" s="361"/>
      <c r="S234" s="361"/>
      <c r="T234" s="359" t="str">
        <f t="shared" si="2"/>
        <v>SOA0021-038 - Update Harga LPG id_api Bukan Web atau Mobile</v>
      </c>
      <c r="U234" s="359"/>
      <c r="V234" s="359"/>
      <c r="W234" s="359"/>
      <c r="X234" s="359"/>
      <c r="Y234" s="359"/>
      <c r="Z234" s="364">
        <v>44880</v>
      </c>
      <c r="AA234" s="359" t="s">
        <v>254</v>
      </c>
    </row>
    <row r="235" spans="1:27">
      <c r="A235" s="769"/>
      <c r="B235" s="769"/>
      <c r="C235" s="357" t="s">
        <v>9934</v>
      </c>
      <c r="D235" s="357" t="s">
        <v>9935</v>
      </c>
      <c r="E235" s="357" t="s">
        <v>1732</v>
      </c>
      <c r="F235" s="357" t="s">
        <v>9205</v>
      </c>
      <c r="G235" s="723" t="s">
        <v>9936</v>
      </c>
      <c r="H235" s="357"/>
      <c r="I235" s="357"/>
      <c r="J235" s="357"/>
      <c r="K235" s="357"/>
      <c r="L235" s="357"/>
      <c r="M235" s="357"/>
      <c r="N235" s="357"/>
      <c r="O235" s="357"/>
      <c r="P235" s="357"/>
      <c r="Q235" s="358" t="s">
        <v>9207</v>
      </c>
      <c r="R235" s="357"/>
      <c r="S235" s="357"/>
      <c r="T235" s="359" t="str">
        <f t="shared" si="2"/>
        <v>SOA0021-039 - Inquiry Agent LPG Normal</v>
      </c>
      <c r="U235" s="359"/>
      <c r="V235" s="359"/>
      <c r="W235" s="359"/>
      <c r="X235" s="359"/>
      <c r="Y235" s="359"/>
      <c r="Z235" s="364">
        <v>44880</v>
      </c>
      <c r="AA235" s="359" t="s">
        <v>254</v>
      </c>
    </row>
    <row r="236" spans="1:27">
      <c r="A236" s="769"/>
      <c r="B236" s="769"/>
      <c r="C236" s="361" t="s">
        <v>9937</v>
      </c>
      <c r="D236" s="361" t="s">
        <v>9938</v>
      </c>
      <c r="E236" s="361" t="s">
        <v>1743</v>
      </c>
      <c r="F236" s="361" t="s">
        <v>9205</v>
      </c>
      <c r="G236" s="769"/>
      <c r="H236" s="361"/>
      <c r="I236" s="361"/>
      <c r="J236" s="361"/>
      <c r="K236" s="361"/>
      <c r="L236" s="361"/>
      <c r="M236" s="361"/>
      <c r="N236" s="361"/>
      <c r="O236" s="361"/>
      <c r="P236" s="361"/>
      <c r="Q236" s="358" t="s">
        <v>9207</v>
      </c>
      <c r="R236" s="361"/>
      <c r="S236" s="361"/>
      <c r="T236" s="359" t="str">
        <f t="shared" si="2"/>
        <v>SOA0021-040 - Inquiry Agent LPG Error</v>
      </c>
      <c r="U236" s="359"/>
      <c r="V236" s="359"/>
      <c r="W236" s="359"/>
      <c r="X236" s="359"/>
      <c r="Y236" s="359"/>
      <c r="Z236" s="364">
        <v>44880</v>
      </c>
      <c r="AA236" s="359" t="s">
        <v>254</v>
      </c>
    </row>
    <row r="237" spans="1:27">
      <c r="A237" s="769"/>
      <c r="B237" s="769"/>
      <c r="C237" s="357" t="s">
        <v>9939</v>
      </c>
      <c r="D237" s="357" t="s">
        <v>9940</v>
      </c>
      <c r="E237" s="357" t="s">
        <v>1743</v>
      </c>
      <c r="F237" s="357" t="s">
        <v>9205</v>
      </c>
      <c r="G237" s="769"/>
      <c r="H237" s="357"/>
      <c r="I237" s="357"/>
      <c r="J237" s="357"/>
      <c r="K237" s="357"/>
      <c r="L237" s="357"/>
      <c r="M237" s="357"/>
      <c r="N237" s="357"/>
      <c r="O237" s="357"/>
      <c r="P237" s="357"/>
      <c r="Q237" s="358" t="s">
        <v>9207</v>
      </c>
      <c r="R237" s="357"/>
      <c r="S237" s="357"/>
      <c r="T237" s="359" t="str">
        <f t="shared" si="2"/>
        <v>SOA0021-041 - Inquiry Agent LPG Session Tidak Ditemukan</v>
      </c>
      <c r="U237" s="359"/>
      <c r="V237" s="359"/>
      <c r="W237" s="359"/>
      <c r="X237" s="359"/>
      <c r="Y237" s="359"/>
      <c r="Z237" s="364">
        <v>44880</v>
      </c>
      <c r="AA237" s="359" t="s">
        <v>254</v>
      </c>
    </row>
    <row r="238" spans="1:27">
      <c r="A238" s="769"/>
      <c r="B238" s="769"/>
      <c r="C238" s="361" t="s">
        <v>9941</v>
      </c>
      <c r="D238" s="361" t="s">
        <v>9942</v>
      </c>
      <c r="E238" s="361" t="s">
        <v>1743</v>
      </c>
      <c r="F238" s="361" t="s">
        <v>9205</v>
      </c>
      <c r="G238" s="769"/>
      <c r="H238" s="361"/>
      <c r="I238" s="361"/>
      <c r="J238" s="361"/>
      <c r="K238" s="361"/>
      <c r="L238" s="361"/>
      <c r="M238" s="361"/>
      <c r="N238" s="361"/>
      <c r="O238" s="361"/>
      <c r="P238" s="361"/>
      <c r="Q238" s="358" t="s">
        <v>9207</v>
      </c>
      <c r="R238" s="361"/>
      <c r="S238" s="361"/>
      <c r="T238" s="359" t="str">
        <f t="shared" si="2"/>
        <v>SOA0021-042 - Inquiry Agent LPG Session Invalid</v>
      </c>
      <c r="U238" s="359"/>
      <c r="V238" s="359"/>
      <c r="W238" s="359"/>
      <c r="X238" s="359"/>
      <c r="Y238" s="359"/>
      <c r="Z238" s="364">
        <v>44880</v>
      </c>
      <c r="AA238" s="359" t="s">
        <v>254</v>
      </c>
    </row>
    <row r="239" spans="1:27">
      <c r="A239" s="769"/>
      <c r="B239" s="769"/>
      <c r="C239" s="357" t="s">
        <v>9943</v>
      </c>
      <c r="D239" s="357" t="s">
        <v>9944</v>
      </c>
      <c r="E239" s="357" t="s">
        <v>1732</v>
      </c>
      <c r="F239" s="357" t="s">
        <v>9205</v>
      </c>
      <c r="G239" s="769"/>
      <c r="H239" s="357"/>
      <c r="I239" s="357"/>
      <c r="J239" s="357"/>
      <c r="K239" s="357"/>
      <c r="L239" s="357"/>
      <c r="M239" s="357"/>
      <c r="N239" s="357"/>
      <c r="O239" s="357"/>
      <c r="P239" s="357"/>
      <c r="Q239" s="358" t="s">
        <v>9207</v>
      </c>
      <c r="R239" s="357"/>
      <c r="S239" s="357"/>
      <c r="T239" s="359" t="str">
        <f t="shared" si="2"/>
        <v>SOA0021-043 - Inquiry Agent LPG id_api Bukan Web atau Mobile</v>
      </c>
      <c r="U239" s="359"/>
      <c r="V239" s="359"/>
      <c r="W239" s="359"/>
      <c r="X239" s="359"/>
      <c r="Y239" s="359"/>
      <c r="Z239" s="364">
        <v>44880</v>
      </c>
      <c r="AA239" s="359" t="s">
        <v>254</v>
      </c>
    </row>
    <row r="240" spans="1:27">
      <c r="A240" s="740" t="s">
        <v>9945</v>
      </c>
      <c r="B240" s="730" t="s">
        <v>9946</v>
      </c>
      <c r="C240" s="361" t="s">
        <v>9947</v>
      </c>
      <c r="D240" s="361" t="s">
        <v>9948</v>
      </c>
      <c r="E240" s="361" t="s">
        <v>1732</v>
      </c>
      <c r="F240" s="361" t="s">
        <v>9205</v>
      </c>
      <c r="G240" s="735" t="s">
        <v>9949</v>
      </c>
      <c r="H240" s="361"/>
      <c r="I240" s="361"/>
      <c r="J240" s="361"/>
      <c r="K240" s="361"/>
      <c r="L240" s="361"/>
      <c r="M240" s="361"/>
      <c r="N240" s="361"/>
      <c r="O240" s="361"/>
      <c r="P240" s="361"/>
      <c r="Q240" s="358" t="s">
        <v>9207</v>
      </c>
      <c r="R240" s="361"/>
      <c r="S240" s="361"/>
      <c r="T240" s="359" t="str">
        <f t="shared" si="2"/>
        <v xml:space="preserve">SOA0022-001 - Account Tapenas Info </v>
      </c>
      <c r="U240" s="359"/>
      <c r="V240" s="359"/>
      <c r="W240" s="359"/>
      <c r="X240" s="359"/>
      <c r="Y240" s="359"/>
      <c r="Z240" s="364">
        <v>44881</v>
      </c>
      <c r="AA240" s="359" t="s">
        <v>254</v>
      </c>
    </row>
    <row r="241" spans="1:27">
      <c r="A241" s="769"/>
      <c r="B241" s="769"/>
      <c r="C241" s="357" t="s">
        <v>9950</v>
      </c>
      <c r="D241" s="357" t="s">
        <v>9951</v>
      </c>
      <c r="E241" s="357" t="s">
        <v>1732</v>
      </c>
      <c r="F241" s="357" t="s">
        <v>9205</v>
      </c>
      <c r="G241" s="769"/>
      <c r="H241" s="357"/>
      <c r="I241" s="357"/>
      <c r="J241" s="357"/>
      <c r="K241" s="357"/>
      <c r="L241" s="357"/>
      <c r="M241" s="357"/>
      <c r="N241" s="357"/>
      <c r="O241" s="357"/>
      <c r="P241" s="357"/>
      <c r="Q241" s="358" t="s">
        <v>9207</v>
      </c>
      <c r="R241" s="357"/>
      <c r="S241" s="357"/>
      <c r="T241" s="359" t="str">
        <f t="shared" si="2"/>
        <v>SOA0022-002 - Create Topup Account</v>
      </c>
      <c r="U241" s="359"/>
      <c r="V241" s="359"/>
      <c r="W241" s="359"/>
      <c r="X241" s="359"/>
      <c r="Y241" s="359"/>
      <c r="Z241" s="364">
        <v>44881</v>
      </c>
      <c r="AA241" s="359" t="s">
        <v>254</v>
      </c>
    </row>
    <row r="242" spans="1:27">
      <c r="A242" s="769"/>
      <c r="B242" s="769"/>
      <c r="C242" s="361" t="s">
        <v>9952</v>
      </c>
      <c r="D242" s="361" t="s">
        <v>9953</v>
      </c>
      <c r="E242" s="361" t="s">
        <v>1732</v>
      </c>
      <c r="F242" s="361" t="s">
        <v>9205</v>
      </c>
      <c r="G242" s="769"/>
      <c r="H242" s="361"/>
      <c r="I242" s="361"/>
      <c r="J242" s="361"/>
      <c r="K242" s="361"/>
      <c r="L242" s="361"/>
      <c r="M242" s="361"/>
      <c r="N242" s="361"/>
      <c r="O242" s="361"/>
      <c r="P242" s="361"/>
      <c r="Q242" s="241" t="s">
        <v>7371</v>
      </c>
      <c r="R242" s="361"/>
      <c r="S242" s="361"/>
      <c r="T242" s="359"/>
      <c r="U242" s="359"/>
      <c r="V242" s="359"/>
      <c r="W242" s="359"/>
      <c r="X242" s="359"/>
      <c r="Y242" s="359"/>
      <c r="Z242" s="364"/>
      <c r="AA242" s="359"/>
    </row>
    <row r="243" spans="1:27">
      <c r="A243" s="769"/>
      <c r="B243" s="769"/>
      <c r="C243" s="357" t="s">
        <v>9954</v>
      </c>
      <c r="D243" s="357" t="s">
        <v>9955</v>
      </c>
      <c r="E243" s="357" t="s">
        <v>1743</v>
      </c>
      <c r="F243" s="357" t="s">
        <v>9205</v>
      </c>
      <c r="G243" s="769"/>
      <c r="H243" s="357"/>
      <c r="I243" s="357"/>
      <c r="J243" s="357"/>
      <c r="K243" s="357"/>
      <c r="L243" s="357"/>
      <c r="M243" s="357"/>
      <c r="N243" s="357"/>
      <c r="O243" s="357"/>
      <c r="P243" s="357"/>
      <c r="Q243" s="358" t="s">
        <v>9207</v>
      </c>
      <c r="R243" s="357"/>
      <c r="S243" s="357"/>
      <c r="T243" s="359" t="str">
        <f>CONCATENATE(C243, " - ", D243)</f>
        <v>SOA0022-004 - Create Topup Account – premi 30% error</v>
      </c>
      <c r="U243" s="359"/>
      <c r="V243" s="359"/>
      <c r="W243" s="359"/>
      <c r="X243" s="359"/>
      <c r="Y243" s="359"/>
      <c r="Z243" s="364">
        <v>44881</v>
      </c>
      <c r="AA243" s="359" t="s">
        <v>254</v>
      </c>
    </row>
    <row r="244" spans="1:27">
      <c r="A244" s="769"/>
      <c r="B244" s="769"/>
      <c r="C244" s="361" t="s">
        <v>9956</v>
      </c>
      <c r="D244" s="361" t="s">
        <v>9957</v>
      </c>
      <c r="E244" s="361" t="s">
        <v>1743</v>
      </c>
      <c r="F244" s="361" t="s">
        <v>9205</v>
      </c>
      <c r="G244" s="769"/>
      <c r="H244" s="361"/>
      <c r="I244" s="361"/>
      <c r="J244" s="361"/>
      <c r="K244" s="361"/>
      <c r="L244" s="361"/>
      <c r="M244" s="361"/>
      <c r="N244" s="361"/>
      <c r="O244" s="361"/>
      <c r="P244" s="361"/>
      <c r="Q244" s="241" t="s">
        <v>7371</v>
      </c>
      <c r="R244" s="361"/>
      <c r="S244" s="361"/>
      <c r="T244" s="359"/>
      <c r="U244" s="359"/>
      <c r="V244" s="359"/>
      <c r="W244" s="359"/>
      <c r="X244" s="359"/>
      <c r="Y244" s="359"/>
      <c r="Z244" s="364"/>
      <c r="AA244" s="359"/>
    </row>
    <row r="245" spans="1:27">
      <c r="A245" s="731" t="s">
        <v>9958</v>
      </c>
      <c r="B245" s="731" t="s">
        <v>9959</v>
      </c>
      <c r="C245" s="357" t="s">
        <v>9960</v>
      </c>
      <c r="D245" s="357" t="s">
        <v>9961</v>
      </c>
      <c r="E245" s="357" t="s">
        <v>1732</v>
      </c>
      <c r="F245" s="357" t="s">
        <v>9205</v>
      </c>
      <c r="G245" s="723" t="s">
        <v>9962</v>
      </c>
      <c r="H245" s="357"/>
      <c r="I245" s="357"/>
      <c r="J245" s="357"/>
      <c r="K245" s="357"/>
      <c r="L245" s="357"/>
      <c r="M245" s="357"/>
      <c r="N245" s="357"/>
      <c r="O245" s="357"/>
      <c r="P245" s="357"/>
      <c r="Q245" s="358" t="s">
        <v>9207</v>
      </c>
      <c r="R245" s="357"/>
      <c r="S245" s="357"/>
      <c r="T245" s="359" t="str">
        <f t="shared" ref="T245:T246" si="3">CONCATENATE(C245, " - ", D245)</f>
        <v>SOA0023-001 - BPJS Inquiry</v>
      </c>
      <c r="U245" s="359"/>
      <c r="V245" s="359"/>
      <c r="W245" s="359"/>
      <c r="X245" s="359"/>
      <c r="Y245" s="359"/>
      <c r="Z245" s="364">
        <v>44881</v>
      </c>
      <c r="AA245" s="359" t="s">
        <v>254</v>
      </c>
    </row>
    <row r="246" spans="1:27">
      <c r="A246" s="769"/>
      <c r="B246" s="769"/>
      <c r="C246" s="361" t="s">
        <v>9963</v>
      </c>
      <c r="D246" s="361" t="s">
        <v>9964</v>
      </c>
      <c r="E246" s="361" t="s">
        <v>1732</v>
      </c>
      <c r="F246" s="361" t="s">
        <v>9205</v>
      </c>
      <c r="G246" s="769"/>
      <c r="H246" s="361"/>
      <c r="I246" s="361"/>
      <c r="J246" s="361"/>
      <c r="K246" s="361"/>
      <c r="L246" s="361"/>
      <c r="M246" s="361"/>
      <c r="N246" s="361"/>
      <c r="O246" s="361"/>
      <c r="P246" s="361"/>
      <c r="Q246" s="358" t="s">
        <v>9207</v>
      </c>
      <c r="R246" s="361"/>
      <c r="S246" s="361"/>
      <c r="T246" s="359" t="str">
        <f t="shared" si="3"/>
        <v>SOA0023-002 - BPJS Payment</v>
      </c>
      <c r="U246" s="359"/>
      <c r="V246" s="359"/>
      <c r="W246" s="359"/>
      <c r="X246" s="359"/>
      <c r="Y246" s="359"/>
      <c r="Z246" s="364">
        <v>44881</v>
      </c>
      <c r="AA246" s="359" t="s">
        <v>254</v>
      </c>
    </row>
    <row r="247" spans="1:27">
      <c r="A247" s="769"/>
      <c r="B247" s="769"/>
      <c r="C247" s="357" t="s">
        <v>9965</v>
      </c>
      <c r="D247" s="357" t="s">
        <v>9966</v>
      </c>
      <c r="E247" s="357" t="s">
        <v>1732</v>
      </c>
      <c r="F247" s="357" t="s">
        <v>9205</v>
      </c>
      <c r="G247" s="769"/>
      <c r="H247" s="357"/>
      <c r="I247" s="357"/>
      <c r="J247" s="357"/>
      <c r="K247" s="357"/>
      <c r="L247" s="357"/>
      <c r="M247" s="357"/>
      <c r="N247" s="357"/>
      <c r="O247" s="357"/>
      <c r="P247" s="357"/>
      <c r="Q247" s="241" t="s">
        <v>7371</v>
      </c>
      <c r="R247" s="357"/>
      <c r="S247" s="357"/>
      <c r="T247" s="359"/>
      <c r="U247" s="359"/>
      <c r="V247" s="359"/>
      <c r="W247" s="359"/>
      <c r="X247" s="359"/>
      <c r="Y247" s="359"/>
      <c r="Z247" s="364"/>
      <c r="AA247" s="359"/>
    </row>
    <row r="248" spans="1:27">
      <c r="A248" s="769"/>
      <c r="B248" s="769"/>
      <c r="C248" s="361" t="s">
        <v>9967</v>
      </c>
      <c r="D248" s="361" t="s">
        <v>9968</v>
      </c>
      <c r="E248" s="361" t="s">
        <v>1732</v>
      </c>
      <c r="F248" s="361" t="s">
        <v>9205</v>
      </c>
      <c r="G248" s="769"/>
      <c r="H248" s="361"/>
      <c r="I248" s="361"/>
      <c r="J248" s="361"/>
      <c r="K248" s="361"/>
      <c r="L248" s="361"/>
      <c r="M248" s="361"/>
      <c r="N248" s="361"/>
      <c r="O248" s="361"/>
      <c r="P248" s="361"/>
      <c r="Q248" s="358" t="s">
        <v>9207</v>
      </c>
      <c r="R248" s="361"/>
      <c r="S248" s="361"/>
      <c r="T248" s="359" t="str">
        <f t="shared" ref="T248:T249" si="4">CONCATENATE(C248, " - ", D248)</f>
        <v>SOA0023-004 - CC BNI Payment</v>
      </c>
      <c r="U248" s="359"/>
      <c r="V248" s="359"/>
      <c r="W248" s="359"/>
      <c r="X248" s="359"/>
      <c r="Y248" s="359"/>
      <c r="Z248" s="364">
        <v>44881</v>
      </c>
      <c r="AA248" s="359" t="s">
        <v>254</v>
      </c>
    </row>
    <row r="249" spans="1:27">
      <c r="A249" s="769"/>
      <c r="B249" s="769"/>
      <c r="C249" s="357" t="s">
        <v>9969</v>
      </c>
      <c r="D249" s="357" t="s">
        <v>9970</v>
      </c>
      <c r="E249" s="357" t="s">
        <v>1732</v>
      </c>
      <c r="F249" s="357" t="s">
        <v>9205</v>
      </c>
      <c r="G249" s="769"/>
      <c r="H249" s="357"/>
      <c r="I249" s="357"/>
      <c r="J249" s="357"/>
      <c r="K249" s="357"/>
      <c r="L249" s="357"/>
      <c r="M249" s="357"/>
      <c r="N249" s="357"/>
      <c r="O249" s="357"/>
      <c r="P249" s="357"/>
      <c r="Q249" s="358" t="s">
        <v>9207</v>
      </c>
      <c r="R249" s="357"/>
      <c r="S249" s="357"/>
      <c r="T249" s="359" t="str">
        <f t="shared" si="4"/>
        <v>SOA0023-005 - Halo Inquiry</v>
      </c>
      <c r="U249" s="359"/>
      <c r="V249" s="359"/>
      <c r="W249" s="359"/>
      <c r="X249" s="359"/>
      <c r="Y249" s="359"/>
      <c r="Z249" s="364">
        <v>44881</v>
      </c>
      <c r="AA249" s="359" t="s">
        <v>254</v>
      </c>
    </row>
    <row r="250" spans="1:27">
      <c r="A250" s="769"/>
      <c r="B250" s="769"/>
      <c r="C250" s="361" t="s">
        <v>9971</v>
      </c>
      <c r="D250" s="361" t="s">
        <v>9972</v>
      </c>
      <c r="E250" s="361" t="s">
        <v>1732</v>
      </c>
      <c r="F250" s="361" t="s">
        <v>9205</v>
      </c>
      <c r="G250" s="769"/>
      <c r="H250" s="361"/>
      <c r="I250" s="361"/>
      <c r="J250" s="361"/>
      <c r="K250" s="361"/>
      <c r="L250" s="361"/>
      <c r="M250" s="361"/>
      <c r="N250" s="361"/>
      <c r="O250" s="361"/>
      <c r="P250" s="361"/>
      <c r="Q250" s="241" t="s">
        <v>7371</v>
      </c>
      <c r="R250" s="361"/>
      <c r="S250" s="361"/>
      <c r="T250" s="359"/>
      <c r="U250" s="359"/>
      <c r="V250" s="359"/>
      <c r="W250" s="359"/>
      <c r="X250" s="359"/>
      <c r="Y250" s="359"/>
      <c r="Z250" s="364"/>
      <c r="AA250" s="359"/>
    </row>
    <row r="251" spans="1:27">
      <c r="A251" s="740" t="s">
        <v>9973</v>
      </c>
      <c r="B251" s="731" t="s">
        <v>9974</v>
      </c>
      <c r="C251" s="357" t="s">
        <v>9975</v>
      </c>
      <c r="D251" s="357" t="s">
        <v>9976</v>
      </c>
      <c r="E251" s="357" t="s">
        <v>1732</v>
      </c>
      <c r="F251" s="357" t="s">
        <v>9205</v>
      </c>
      <c r="G251" s="737" t="s">
        <v>9977</v>
      </c>
      <c r="H251" s="357"/>
      <c r="I251" s="357"/>
      <c r="J251" s="357"/>
      <c r="K251" s="357"/>
      <c r="L251" s="357"/>
      <c r="M251" s="357"/>
      <c r="N251" s="357"/>
      <c r="O251" s="357"/>
      <c r="P251" s="357"/>
      <c r="Q251" s="241" t="s">
        <v>7371</v>
      </c>
      <c r="R251" s="357"/>
      <c r="S251" s="357"/>
      <c r="T251" s="359"/>
      <c r="U251" s="359"/>
      <c r="V251" s="359"/>
      <c r="W251" s="359"/>
      <c r="X251" s="359"/>
      <c r="Y251" s="359"/>
      <c r="Z251" s="364"/>
      <c r="AA251" s="359"/>
    </row>
    <row r="252" spans="1:27">
      <c r="A252" s="769"/>
      <c r="B252" s="769"/>
      <c r="C252" s="361" t="s">
        <v>9978</v>
      </c>
      <c r="D252" s="361" t="s">
        <v>9979</v>
      </c>
      <c r="E252" s="361" t="s">
        <v>1743</v>
      </c>
      <c r="F252" s="361" t="s">
        <v>9205</v>
      </c>
      <c r="G252" s="769"/>
      <c r="H252" s="361"/>
      <c r="I252" s="361"/>
      <c r="J252" s="361"/>
      <c r="K252" s="361"/>
      <c r="L252" s="361"/>
      <c r="M252" s="361"/>
      <c r="N252" s="361"/>
      <c r="O252" s="361"/>
      <c r="P252" s="361"/>
      <c r="Q252" s="358" t="s">
        <v>9207</v>
      </c>
      <c r="R252" s="361" t="s">
        <v>9980</v>
      </c>
      <c r="S252" s="361"/>
      <c r="T252" s="359" t="str">
        <f t="shared" ref="T252:T259" si="5">CONCATENATE(C252, " - ", D252)</f>
        <v>SOA0024-002 - Hit with paid uuid</v>
      </c>
      <c r="U252" s="359"/>
      <c r="V252" s="359"/>
      <c r="W252" s="359"/>
      <c r="X252" s="359"/>
      <c r="Y252" s="359"/>
      <c r="Z252" s="364">
        <v>44882</v>
      </c>
      <c r="AA252" s="359" t="s">
        <v>254</v>
      </c>
    </row>
    <row r="253" spans="1:27">
      <c r="A253" s="769"/>
      <c r="B253" s="769"/>
      <c r="C253" s="357" t="s">
        <v>9981</v>
      </c>
      <c r="D253" s="357" t="s">
        <v>9982</v>
      </c>
      <c r="E253" s="357" t="s">
        <v>1743</v>
      </c>
      <c r="F253" s="357" t="s">
        <v>9205</v>
      </c>
      <c r="G253" s="769"/>
      <c r="H253" s="357"/>
      <c r="I253" s="357"/>
      <c r="J253" s="357"/>
      <c r="K253" s="357"/>
      <c r="L253" s="357"/>
      <c r="M253" s="357"/>
      <c r="N253" s="357"/>
      <c r="O253" s="357"/>
      <c r="P253" s="357"/>
      <c r="Q253" s="358" t="s">
        <v>9207</v>
      </c>
      <c r="R253" s="357" t="s">
        <v>9980</v>
      </c>
      <c r="S253" s="357"/>
      <c r="T253" s="359" t="str">
        <f t="shared" si="5"/>
        <v>SOA0024-003 - Hit with not registered account</v>
      </c>
      <c r="U253" s="359"/>
      <c r="V253" s="359"/>
      <c r="W253" s="359"/>
      <c r="X253" s="359"/>
      <c r="Y253" s="359"/>
      <c r="Z253" s="364">
        <v>44882</v>
      </c>
      <c r="AA253" s="359" t="s">
        <v>254</v>
      </c>
    </row>
    <row r="254" spans="1:27">
      <c r="A254" s="730" t="s">
        <v>9983</v>
      </c>
      <c r="B254" s="730" t="s">
        <v>9984</v>
      </c>
      <c r="C254" s="361" t="s">
        <v>9985</v>
      </c>
      <c r="D254" s="361" t="s">
        <v>9986</v>
      </c>
      <c r="E254" s="361" t="s">
        <v>1732</v>
      </c>
      <c r="F254" s="361" t="s">
        <v>9205</v>
      </c>
      <c r="G254" s="735" t="s">
        <v>9987</v>
      </c>
      <c r="H254" s="361"/>
      <c r="I254" s="361"/>
      <c r="J254" s="361"/>
      <c r="K254" s="361"/>
      <c r="L254" s="361"/>
      <c r="M254" s="361"/>
      <c r="N254" s="361"/>
      <c r="O254" s="361"/>
      <c r="P254" s="361"/>
      <c r="Q254" s="358" t="s">
        <v>9207</v>
      </c>
      <c r="R254" s="361"/>
      <c r="S254" s="361"/>
      <c r="T254" s="359" t="str">
        <f t="shared" si="5"/>
        <v>SOA0025-001 - Normal Transaksi Biaya Loket &amp; Fee Sesuai</v>
      </c>
      <c r="U254" s="359"/>
      <c r="V254" s="359"/>
      <c r="W254" s="359"/>
      <c r="X254" s="359"/>
      <c r="Y254" s="359"/>
      <c r="Z254" s="364">
        <v>44886</v>
      </c>
      <c r="AA254" s="359" t="s">
        <v>254</v>
      </c>
    </row>
    <row r="255" spans="1:27">
      <c r="A255" s="769"/>
      <c r="B255" s="769"/>
      <c r="C255" s="357" t="s">
        <v>9988</v>
      </c>
      <c r="D255" s="357" t="s">
        <v>9989</v>
      </c>
      <c r="E255" s="357" t="s">
        <v>1743</v>
      </c>
      <c r="F255" s="357" t="s">
        <v>9205</v>
      </c>
      <c r="G255" s="769"/>
      <c r="H255" s="357"/>
      <c r="I255" s="357"/>
      <c r="J255" s="357"/>
      <c r="K255" s="357"/>
      <c r="L255" s="357"/>
      <c r="M255" s="357"/>
      <c r="N255" s="357"/>
      <c r="O255" s="357"/>
      <c r="P255" s="357"/>
      <c r="Q255" s="358" t="s">
        <v>9207</v>
      </c>
      <c r="R255" s="357"/>
      <c r="S255" s="357"/>
      <c r="T255" s="359" t="str">
        <f t="shared" si="5"/>
        <v>SOA0025-002 - Abnormal - Pin Salah</v>
      </c>
      <c r="U255" s="359"/>
      <c r="V255" s="359"/>
      <c r="W255" s="359"/>
      <c r="X255" s="359"/>
      <c r="Y255" s="359"/>
      <c r="Z255" s="364">
        <v>44886</v>
      </c>
      <c r="AA255" s="359" t="s">
        <v>254</v>
      </c>
    </row>
    <row r="256" spans="1:27">
      <c r="A256" s="769"/>
      <c r="B256" s="769"/>
      <c r="C256" s="361" t="s">
        <v>9990</v>
      </c>
      <c r="D256" s="361" t="s">
        <v>9991</v>
      </c>
      <c r="E256" s="361" t="s">
        <v>1743</v>
      </c>
      <c r="F256" s="361" t="s">
        <v>9205</v>
      </c>
      <c r="G256" s="769"/>
      <c r="H256" s="361"/>
      <c r="I256" s="361"/>
      <c r="J256" s="361"/>
      <c r="K256" s="361"/>
      <c r="L256" s="361"/>
      <c r="M256" s="361"/>
      <c r="N256" s="361"/>
      <c r="O256" s="361"/>
      <c r="P256" s="361"/>
      <c r="Q256" s="358" t="s">
        <v>9207</v>
      </c>
      <c r="R256" s="361"/>
      <c r="S256" s="361"/>
      <c r="T256" s="359" t="str">
        <f t="shared" si="5"/>
        <v>SOA0025-003 - Abnormal - Saldo Kurang</v>
      </c>
      <c r="U256" s="359"/>
      <c r="V256" s="359"/>
      <c r="W256" s="359"/>
      <c r="X256" s="359"/>
      <c r="Y256" s="359"/>
      <c r="Z256" s="364">
        <v>44886</v>
      </c>
      <c r="AA256" s="359" t="s">
        <v>254</v>
      </c>
    </row>
    <row r="257" spans="1:27">
      <c r="A257" s="769"/>
      <c r="B257" s="769"/>
      <c r="C257" s="357" t="s">
        <v>9992</v>
      </c>
      <c r="D257" s="357" t="s">
        <v>9993</v>
      </c>
      <c r="E257" s="357" t="s">
        <v>1743</v>
      </c>
      <c r="F257" s="357" t="s">
        <v>9205</v>
      </c>
      <c r="G257" s="769"/>
      <c r="H257" s="357"/>
      <c r="I257" s="357"/>
      <c r="J257" s="357"/>
      <c r="K257" s="357"/>
      <c r="L257" s="357"/>
      <c r="M257" s="357"/>
      <c r="N257" s="357"/>
      <c r="O257" s="357"/>
      <c r="P257" s="357"/>
      <c r="Q257" s="358" t="s">
        <v>9207</v>
      </c>
      <c r="R257" s="357"/>
      <c r="S257" s="357"/>
      <c r="T257" s="359" t="str">
        <f t="shared" si="5"/>
        <v>SOA0025-004 - Abnormal - Biaya Loket Tidak Sesuai</v>
      </c>
      <c r="U257" s="359"/>
      <c r="V257" s="359"/>
      <c r="W257" s="359"/>
      <c r="X257" s="359"/>
      <c r="Y257" s="359"/>
      <c r="Z257" s="364">
        <v>44886</v>
      </c>
      <c r="AA257" s="359" t="s">
        <v>254</v>
      </c>
    </row>
    <row r="258" spans="1:27">
      <c r="A258" s="769"/>
      <c r="B258" s="769"/>
      <c r="C258" s="361" t="s">
        <v>9994</v>
      </c>
      <c r="D258" s="361" t="s">
        <v>9560</v>
      </c>
      <c r="E258" s="361" t="s">
        <v>1743</v>
      </c>
      <c r="F258" s="361" t="s">
        <v>9205</v>
      </c>
      <c r="G258" s="769"/>
      <c r="H258" s="361"/>
      <c r="I258" s="361"/>
      <c r="J258" s="361"/>
      <c r="K258" s="361"/>
      <c r="L258" s="361"/>
      <c r="M258" s="361"/>
      <c r="N258" s="361"/>
      <c r="O258" s="361"/>
      <c r="P258" s="361"/>
      <c r="Q258" s="358" t="s">
        <v>9207</v>
      </c>
      <c r="R258" s="361"/>
      <c r="S258" s="361"/>
      <c r="T258" s="359" t="str">
        <f t="shared" si="5"/>
        <v>SOA0025-005 - Abnormal - Session Invalid</v>
      </c>
      <c r="U258" s="359"/>
      <c r="V258" s="359"/>
      <c r="W258" s="359"/>
      <c r="X258" s="359"/>
      <c r="Y258" s="359"/>
      <c r="Z258" s="364">
        <v>44886</v>
      </c>
      <c r="AA258" s="359" t="s">
        <v>254</v>
      </c>
    </row>
    <row r="259" spans="1:27">
      <c r="A259" s="769"/>
      <c r="B259" s="769"/>
      <c r="C259" s="357" t="s">
        <v>9995</v>
      </c>
      <c r="D259" s="357" t="s">
        <v>9996</v>
      </c>
      <c r="E259" s="357" t="s">
        <v>1743</v>
      </c>
      <c r="F259" s="357" t="s">
        <v>9205</v>
      </c>
      <c r="G259" s="769"/>
      <c r="H259" s="357"/>
      <c r="I259" s="357"/>
      <c r="J259" s="357"/>
      <c r="K259" s="357"/>
      <c r="L259" s="357"/>
      <c r="M259" s="357"/>
      <c r="N259" s="357"/>
      <c r="O259" s="357"/>
      <c r="P259" s="357"/>
      <c r="Q259" s="358" t="s">
        <v>9207</v>
      </c>
      <c r="R259" s="357"/>
      <c r="S259" s="357"/>
      <c r="T259" s="359" t="str">
        <f t="shared" si="5"/>
        <v>SOA0025-006 - Abnormal - Session Not Found</v>
      </c>
      <c r="U259" s="359"/>
      <c r="V259" s="359"/>
      <c r="W259" s="359"/>
      <c r="X259" s="359"/>
      <c r="Y259" s="359"/>
      <c r="Z259" s="364">
        <v>44886</v>
      </c>
      <c r="AA259" s="359" t="s">
        <v>254</v>
      </c>
    </row>
    <row r="260" spans="1:27">
      <c r="A260" s="730" t="s">
        <v>9997</v>
      </c>
      <c r="B260" s="730" t="s">
        <v>9998</v>
      </c>
      <c r="C260" s="361" t="s">
        <v>9999</v>
      </c>
      <c r="D260" s="361" t="s">
        <v>10000</v>
      </c>
      <c r="E260" s="361" t="s">
        <v>1732</v>
      </c>
      <c r="F260" s="361" t="s">
        <v>9205</v>
      </c>
      <c r="G260" s="376"/>
      <c r="H260" s="361"/>
      <c r="I260" s="361"/>
      <c r="J260" s="361"/>
      <c r="K260" s="361"/>
      <c r="L260" s="361"/>
      <c r="M260" s="361"/>
      <c r="N260" s="361"/>
      <c r="O260" s="361"/>
      <c r="P260" s="361"/>
      <c r="Q260" s="241" t="s">
        <v>7371</v>
      </c>
      <c r="R260" s="361"/>
      <c r="S260" s="361"/>
      <c r="T260" s="359"/>
      <c r="U260" s="359"/>
      <c r="V260" s="359"/>
      <c r="W260" s="359"/>
      <c r="X260" s="359"/>
      <c r="Y260" s="359"/>
      <c r="Z260" s="364"/>
      <c r="AA260" s="359"/>
    </row>
    <row r="261" spans="1:27">
      <c r="A261" s="769"/>
      <c r="B261" s="769"/>
      <c r="C261" s="357" t="s">
        <v>10001</v>
      </c>
      <c r="D261" s="357" t="s">
        <v>10002</v>
      </c>
      <c r="E261" s="357" t="s">
        <v>1743</v>
      </c>
      <c r="F261" s="357" t="s">
        <v>9205</v>
      </c>
      <c r="G261" s="375"/>
      <c r="H261" s="357"/>
      <c r="I261" s="357"/>
      <c r="J261" s="357"/>
      <c r="K261" s="357"/>
      <c r="L261" s="357"/>
      <c r="M261" s="357"/>
      <c r="N261" s="357"/>
      <c r="O261" s="357"/>
      <c r="P261" s="357"/>
      <c r="Q261" s="358" t="s">
        <v>9207</v>
      </c>
      <c r="R261" s="357"/>
      <c r="S261" s="357"/>
      <c r="T261" s="359" t="str">
        <f t="shared" ref="T261:T277" si="6">CONCATENATE(C261, " - ", D261)</f>
        <v>SOA0026-002 - Inquiry Zakat Session Tidak Ditemukan</v>
      </c>
      <c r="U261" s="359"/>
      <c r="V261" s="359"/>
      <c r="W261" s="359"/>
      <c r="X261" s="359"/>
      <c r="Y261" s="359"/>
      <c r="Z261" s="364">
        <v>44887</v>
      </c>
      <c r="AA261" s="359" t="s">
        <v>254</v>
      </c>
    </row>
    <row r="262" spans="1:27">
      <c r="A262" s="769"/>
      <c r="B262" s="769"/>
      <c r="C262" s="361" t="s">
        <v>10003</v>
      </c>
      <c r="D262" s="361" t="s">
        <v>10004</v>
      </c>
      <c r="E262" s="361" t="s">
        <v>1743</v>
      </c>
      <c r="F262" s="361" t="s">
        <v>9205</v>
      </c>
      <c r="G262" s="376"/>
      <c r="H262" s="361"/>
      <c r="I262" s="361"/>
      <c r="J262" s="361"/>
      <c r="K262" s="361"/>
      <c r="L262" s="361"/>
      <c r="M262" s="361"/>
      <c r="N262" s="361"/>
      <c r="O262" s="361"/>
      <c r="P262" s="361"/>
      <c r="Q262" s="358" t="s">
        <v>9207</v>
      </c>
      <c r="R262" s="361"/>
      <c r="S262" s="361"/>
      <c r="T262" s="359" t="str">
        <f t="shared" si="6"/>
        <v>SOA0026-003 - Inquiry Zakat Session Invalid</v>
      </c>
      <c r="U262" s="359"/>
      <c r="V262" s="359"/>
      <c r="W262" s="359"/>
      <c r="X262" s="359"/>
      <c r="Y262" s="359"/>
      <c r="Z262" s="364">
        <v>44887</v>
      </c>
      <c r="AA262" s="359" t="s">
        <v>254</v>
      </c>
    </row>
    <row r="263" spans="1:27">
      <c r="A263" s="769"/>
      <c r="B263" s="769"/>
      <c r="C263" s="357" t="s">
        <v>10005</v>
      </c>
      <c r="D263" s="357" t="s">
        <v>10006</v>
      </c>
      <c r="E263" s="357" t="s">
        <v>1732</v>
      </c>
      <c r="F263" s="357" t="s">
        <v>9205</v>
      </c>
      <c r="G263" s="375"/>
      <c r="H263" s="357"/>
      <c r="I263" s="357"/>
      <c r="J263" s="357"/>
      <c r="K263" s="357"/>
      <c r="L263" s="357"/>
      <c r="M263" s="357"/>
      <c r="N263" s="357"/>
      <c r="O263" s="357"/>
      <c r="P263" s="357"/>
      <c r="Q263" s="358" t="s">
        <v>9207</v>
      </c>
      <c r="R263" s="357"/>
      <c r="S263" s="357"/>
      <c r="T263" s="359" t="str">
        <f t="shared" si="6"/>
        <v>SOA0026-004 - Payment Zakat Normal – Infaq/Sedekah</v>
      </c>
      <c r="U263" s="359"/>
      <c r="V263" s="359"/>
      <c r="W263" s="359"/>
      <c r="X263" s="359"/>
      <c r="Y263" s="359"/>
      <c r="Z263" s="364">
        <v>44936</v>
      </c>
      <c r="AA263" s="359" t="s">
        <v>254</v>
      </c>
    </row>
    <row r="264" spans="1:27">
      <c r="A264" s="769"/>
      <c r="B264" s="769"/>
      <c r="C264" s="361" t="s">
        <v>10007</v>
      </c>
      <c r="D264" s="361" t="s">
        <v>10008</v>
      </c>
      <c r="E264" s="361" t="s">
        <v>1732</v>
      </c>
      <c r="F264" s="361" t="s">
        <v>9205</v>
      </c>
      <c r="G264" s="376"/>
      <c r="H264" s="361"/>
      <c r="I264" s="361"/>
      <c r="J264" s="361"/>
      <c r="K264" s="361"/>
      <c r="L264" s="361"/>
      <c r="M264" s="361"/>
      <c r="N264" s="361"/>
      <c r="O264" s="361"/>
      <c r="P264" s="361"/>
      <c r="Q264" s="358" t="s">
        <v>9207</v>
      </c>
      <c r="R264" s="361"/>
      <c r="S264" s="361"/>
      <c r="T264" s="359" t="str">
        <f t="shared" si="6"/>
        <v>SOA0026-005 - Payment Zakat Normal – Qurban</v>
      </c>
      <c r="U264" s="359"/>
      <c r="V264" s="359"/>
      <c r="W264" s="359"/>
      <c r="X264" s="359"/>
      <c r="Y264" s="359"/>
      <c r="Z264" s="364">
        <v>44936</v>
      </c>
      <c r="AA264" s="359" t="s">
        <v>254</v>
      </c>
    </row>
    <row r="265" spans="1:27">
      <c r="A265" s="769"/>
      <c r="B265" s="769"/>
      <c r="C265" s="357" t="s">
        <v>10009</v>
      </c>
      <c r="D265" s="357" t="s">
        <v>10010</v>
      </c>
      <c r="E265" s="357" t="s">
        <v>1732</v>
      </c>
      <c r="F265" s="357" t="s">
        <v>9205</v>
      </c>
      <c r="G265" s="375"/>
      <c r="H265" s="357"/>
      <c r="I265" s="357"/>
      <c r="J265" s="357"/>
      <c r="K265" s="357"/>
      <c r="L265" s="357"/>
      <c r="M265" s="357"/>
      <c r="N265" s="357"/>
      <c r="O265" s="357"/>
      <c r="P265" s="357"/>
      <c r="Q265" s="358" t="s">
        <v>9207</v>
      </c>
      <c r="R265" s="357"/>
      <c r="S265" s="357"/>
      <c r="T265" s="359" t="str">
        <f t="shared" si="6"/>
        <v>SOA0026-006 - Payment Zakat Normal – Wakaf Dompet Dhuafa</v>
      </c>
      <c r="U265" s="359"/>
      <c r="V265" s="359"/>
      <c r="W265" s="359"/>
      <c r="X265" s="359"/>
      <c r="Y265" s="359"/>
      <c r="Z265" s="364">
        <v>44936</v>
      </c>
      <c r="AA265" s="359" t="s">
        <v>254</v>
      </c>
    </row>
    <row r="266" spans="1:27">
      <c r="A266" s="769"/>
      <c r="B266" s="769"/>
      <c r="C266" s="361" t="s">
        <v>10011</v>
      </c>
      <c r="D266" s="361" t="s">
        <v>10012</v>
      </c>
      <c r="E266" s="361" t="s">
        <v>1732</v>
      </c>
      <c r="F266" s="361" t="s">
        <v>9205</v>
      </c>
      <c r="G266" s="376"/>
      <c r="H266" s="361"/>
      <c r="I266" s="361"/>
      <c r="J266" s="361"/>
      <c r="K266" s="361"/>
      <c r="L266" s="361"/>
      <c r="M266" s="361"/>
      <c r="N266" s="361"/>
      <c r="O266" s="361"/>
      <c r="P266" s="361"/>
      <c r="Q266" s="358" t="s">
        <v>9207</v>
      </c>
      <c r="R266" s="361"/>
      <c r="S266" s="361"/>
      <c r="T266" s="359" t="str">
        <f t="shared" si="6"/>
        <v>SOA0026-007 - Payment Zakat Normal – Zakat Bamuis</v>
      </c>
      <c r="U266" s="359"/>
      <c r="V266" s="359"/>
      <c r="W266" s="359"/>
      <c r="X266" s="359"/>
      <c r="Y266" s="359"/>
      <c r="Z266" s="364">
        <v>44936</v>
      </c>
      <c r="AA266" s="359" t="s">
        <v>254</v>
      </c>
    </row>
    <row r="267" spans="1:27">
      <c r="A267" s="769"/>
      <c r="B267" s="769"/>
      <c r="C267" s="357" t="s">
        <v>10013</v>
      </c>
      <c r="D267" s="357" t="s">
        <v>10014</v>
      </c>
      <c r="E267" s="357" t="s">
        <v>1732</v>
      </c>
      <c r="F267" s="357" t="s">
        <v>9205</v>
      </c>
      <c r="G267" s="375"/>
      <c r="H267" s="357"/>
      <c r="I267" s="357"/>
      <c r="J267" s="357"/>
      <c r="K267" s="357"/>
      <c r="L267" s="357"/>
      <c r="M267" s="357"/>
      <c r="N267" s="357"/>
      <c r="O267" s="357"/>
      <c r="P267" s="357"/>
      <c r="Q267" s="358" t="s">
        <v>9207</v>
      </c>
      <c r="R267" s="357"/>
      <c r="S267" s="357"/>
      <c r="T267" s="359" t="str">
        <f t="shared" si="6"/>
        <v>SOA0026-008 - Payment Zakat Normal - Zakat</v>
      </c>
      <c r="U267" s="359"/>
      <c r="V267" s="359"/>
      <c r="W267" s="359"/>
      <c r="X267" s="359"/>
      <c r="Y267" s="359"/>
      <c r="Z267" s="364">
        <v>44936</v>
      </c>
      <c r="AA267" s="359" t="s">
        <v>254</v>
      </c>
    </row>
    <row r="268" spans="1:27">
      <c r="A268" s="769"/>
      <c r="B268" s="769"/>
      <c r="C268" s="361" t="s">
        <v>10015</v>
      </c>
      <c r="D268" s="361" t="s">
        <v>10016</v>
      </c>
      <c r="E268" s="361" t="s">
        <v>1743</v>
      </c>
      <c r="F268" s="361" t="s">
        <v>9205</v>
      </c>
      <c r="G268" s="376"/>
      <c r="H268" s="361"/>
      <c r="I268" s="361"/>
      <c r="J268" s="361"/>
      <c r="K268" s="361"/>
      <c r="L268" s="361"/>
      <c r="M268" s="361"/>
      <c r="N268" s="361"/>
      <c r="O268" s="361"/>
      <c r="P268" s="361"/>
      <c r="Q268" s="358" t="s">
        <v>9207</v>
      </c>
      <c r="R268" s="361"/>
      <c r="S268" s="361"/>
      <c r="T268" s="359" t="str">
        <f t="shared" si="6"/>
        <v>SOA0026-009 - Payment Zakat Transaksi Sudah Dilakukan</v>
      </c>
      <c r="U268" s="359"/>
      <c r="V268" s="359"/>
      <c r="W268" s="359"/>
      <c r="X268" s="359"/>
      <c r="Y268" s="359"/>
      <c r="Z268" s="364">
        <v>44887</v>
      </c>
      <c r="AA268" s="359" t="s">
        <v>254</v>
      </c>
    </row>
    <row r="269" spans="1:27">
      <c r="A269" s="769"/>
      <c r="B269" s="769"/>
      <c r="C269" s="357" t="s">
        <v>10017</v>
      </c>
      <c r="D269" s="357" t="s">
        <v>10018</v>
      </c>
      <c r="E269" s="357" t="s">
        <v>1743</v>
      </c>
      <c r="F269" s="357" t="s">
        <v>9205</v>
      </c>
      <c r="G269" s="375"/>
      <c r="H269" s="357"/>
      <c r="I269" s="357"/>
      <c r="J269" s="357"/>
      <c r="K269" s="357"/>
      <c r="L269" s="357"/>
      <c r="M269" s="357"/>
      <c r="N269" s="357"/>
      <c r="O269" s="357"/>
      <c r="P269" s="357"/>
      <c r="Q269" s="358" t="s">
        <v>9207</v>
      </c>
      <c r="R269" s="357"/>
      <c r="S269" s="357"/>
      <c r="T269" s="359" t="str">
        <f t="shared" si="6"/>
        <v>SOA0026-010 - Payment Zakat Pin Salah</v>
      </c>
      <c r="U269" s="359"/>
      <c r="V269" s="359"/>
      <c r="W269" s="359"/>
      <c r="X269" s="359"/>
      <c r="Y269" s="359"/>
      <c r="Z269" s="364">
        <v>44887</v>
      </c>
      <c r="AA269" s="359" t="s">
        <v>254</v>
      </c>
    </row>
    <row r="270" spans="1:27">
      <c r="A270" s="769"/>
      <c r="B270" s="769"/>
      <c r="C270" s="361" t="s">
        <v>10019</v>
      </c>
      <c r="D270" s="361" t="s">
        <v>10020</v>
      </c>
      <c r="E270" s="361" t="s">
        <v>1743</v>
      </c>
      <c r="F270" s="361" t="s">
        <v>9205</v>
      </c>
      <c r="G270" s="376"/>
      <c r="H270" s="361"/>
      <c r="I270" s="361"/>
      <c r="J270" s="361"/>
      <c r="K270" s="361"/>
      <c r="L270" s="361"/>
      <c r="M270" s="361"/>
      <c r="N270" s="361"/>
      <c r="O270" s="361"/>
      <c r="P270" s="361"/>
      <c r="Q270" s="358" t="s">
        <v>9207</v>
      </c>
      <c r="R270" s="361"/>
      <c r="S270" s="361"/>
      <c r="T270" s="359" t="str">
        <f t="shared" si="6"/>
        <v>SOA0026-011 - Payment Zakat Session Tidak Ditemukan</v>
      </c>
      <c r="U270" s="359"/>
      <c r="V270" s="359"/>
      <c r="W270" s="359"/>
      <c r="X270" s="359"/>
      <c r="Y270" s="359"/>
      <c r="Z270" s="364">
        <v>44887</v>
      </c>
      <c r="AA270" s="359" t="s">
        <v>254</v>
      </c>
    </row>
    <row r="271" spans="1:27">
      <c r="A271" s="769"/>
      <c r="B271" s="769"/>
      <c r="C271" s="357" t="s">
        <v>10021</v>
      </c>
      <c r="D271" s="357" t="s">
        <v>10022</v>
      </c>
      <c r="E271" s="357" t="s">
        <v>1743</v>
      </c>
      <c r="F271" s="357" t="s">
        <v>9205</v>
      </c>
      <c r="G271" s="375"/>
      <c r="H271" s="357"/>
      <c r="I271" s="357"/>
      <c r="J271" s="357"/>
      <c r="K271" s="357"/>
      <c r="L271" s="357"/>
      <c r="M271" s="357"/>
      <c r="N271" s="357"/>
      <c r="O271" s="357"/>
      <c r="P271" s="357"/>
      <c r="Q271" s="358" t="s">
        <v>9207</v>
      </c>
      <c r="R271" s="357"/>
      <c r="S271" s="357"/>
      <c r="T271" s="359" t="str">
        <f t="shared" si="6"/>
        <v>SOA0026-012 - Payment Zakat Session Invalid</v>
      </c>
      <c r="U271" s="359"/>
      <c r="V271" s="359"/>
      <c r="W271" s="359"/>
      <c r="X271" s="359"/>
      <c r="Y271" s="359"/>
      <c r="Z271" s="364">
        <v>44887</v>
      </c>
      <c r="AA271" s="359" t="s">
        <v>254</v>
      </c>
    </row>
    <row r="272" spans="1:27">
      <c r="A272" s="730" t="s">
        <v>10023</v>
      </c>
      <c r="B272" s="730" t="s">
        <v>10024</v>
      </c>
      <c r="C272" s="361" t="s">
        <v>10025</v>
      </c>
      <c r="D272" s="361" t="s">
        <v>10026</v>
      </c>
      <c r="E272" s="361" t="s">
        <v>1732</v>
      </c>
      <c r="F272" s="361" t="s">
        <v>9205</v>
      </c>
      <c r="G272" s="735" t="s">
        <v>9494</v>
      </c>
      <c r="H272" s="361"/>
      <c r="I272" s="361"/>
      <c r="J272" s="361"/>
      <c r="K272" s="361"/>
      <c r="L272" s="361"/>
      <c r="M272" s="361"/>
      <c r="N272" s="361"/>
      <c r="O272" s="361"/>
      <c r="P272" s="361"/>
      <c r="Q272" s="358" t="s">
        <v>9207</v>
      </c>
      <c r="R272" s="361"/>
      <c r="S272" s="361"/>
      <c r="T272" s="359" t="str">
        <f t="shared" si="6"/>
        <v>SOA0027-001 - Inquiry Normal Input Valid NIK</v>
      </c>
      <c r="U272" s="359"/>
      <c r="V272" s="359"/>
      <c r="W272" s="359"/>
      <c r="X272" s="359"/>
      <c r="Y272" s="359"/>
      <c r="Z272" s="364">
        <v>44888</v>
      </c>
      <c r="AA272" s="359" t="s">
        <v>254</v>
      </c>
    </row>
    <row r="273" spans="1:27">
      <c r="A273" s="769"/>
      <c r="B273" s="769"/>
      <c r="C273" s="357" t="s">
        <v>10027</v>
      </c>
      <c r="D273" s="357" t="s">
        <v>10028</v>
      </c>
      <c r="E273" s="357" t="s">
        <v>1743</v>
      </c>
      <c r="F273" s="357" t="s">
        <v>9205</v>
      </c>
      <c r="G273" s="769"/>
      <c r="H273" s="357"/>
      <c r="I273" s="357"/>
      <c r="J273" s="357"/>
      <c r="K273" s="357"/>
      <c r="L273" s="357"/>
      <c r="M273" s="357"/>
      <c r="N273" s="357"/>
      <c r="O273" s="357"/>
      <c r="P273" s="357"/>
      <c r="Q273" s="358" t="s">
        <v>9207</v>
      </c>
      <c r="R273" s="357"/>
      <c r="S273" s="357"/>
      <c r="T273" s="359" t="str">
        <f t="shared" si="6"/>
        <v>SOA0027-002 - Inquiry Abnormal NIK Kosong</v>
      </c>
      <c r="U273" s="359"/>
      <c r="V273" s="359"/>
      <c r="W273" s="359"/>
      <c r="X273" s="359"/>
      <c r="Y273" s="359"/>
      <c r="Z273" s="364">
        <v>44888</v>
      </c>
      <c r="AA273" s="359" t="s">
        <v>254</v>
      </c>
    </row>
    <row r="274" spans="1:27">
      <c r="A274" s="769"/>
      <c r="B274" s="769"/>
      <c r="C274" s="361" t="s">
        <v>10029</v>
      </c>
      <c r="D274" s="361" t="s">
        <v>10030</v>
      </c>
      <c r="E274" s="361" t="s">
        <v>1732</v>
      </c>
      <c r="F274" s="361" t="s">
        <v>9205</v>
      </c>
      <c r="G274" s="769"/>
      <c r="H274" s="361"/>
      <c r="I274" s="361"/>
      <c r="J274" s="361"/>
      <c r="K274" s="361"/>
      <c r="L274" s="361"/>
      <c r="M274" s="361"/>
      <c r="N274" s="361"/>
      <c r="O274" s="361"/>
      <c r="P274" s="361"/>
      <c r="Q274" s="358" t="s">
        <v>9207</v>
      </c>
      <c r="R274" s="361"/>
      <c r="S274" s="361"/>
      <c r="T274" s="359" t="str">
        <f t="shared" si="6"/>
        <v>SOA0027-003 - Payment Normal Input valid Nomor Rekening</v>
      </c>
      <c r="U274" s="359"/>
      <c r="V274" s="359"/>
      <c r="W274" s="359"/>
      <c r="X274" s="359"/>
      <c r="Y274" s="359"/>
      <c r="Z274" s="364">
        <v>44888</v>
      </c>
      <c r="AA274" s="359" t="s">
        <v>254</v>
      </c>
    </row>
    <row r="275" spans="1:27">
      <c r="A275" s="769"/>
      <c r="B275" s="769"/>
      <c r="C275" s="357" t="s">
        <v>10031</v>
      </c>
      <c r="D275" s="357" t="s">
        <v>10032</v>
      </c>
      <c r="E275" s="357" t="s">
        <v>1743</v>
      </c>
      <c r="F275" s="357" t="s">
        <v>9205</v>
      </c>
      <c r="G275" s="769"/>
      <c r="H275" s="357"/>
      <c r="I275" s="357"/>
      <c r="J275" s="357"/>
      <c r="K275" s="357"/>
      <c r="L275" s="357"/>
      <c r="M275" s="357"/>
      <c r="N275" s="357"/>
      <c r="O275" s="357"/>
      <c r="P275" s="357"/>
      <c r="Q275" s="358" t="s">
        <v>9207</v>
      </c>
      <c r="R275" s="357"/>
      <c r="S275" s="357"/>
      <c r="T275" s="359" t="str">
        <f t="shared" si="6"/>
        <v>SOA0027-004 - Payment Abnormal Input invalid Nomor Rekening</v>
      </c>
      <c r="U275" s="359"/>
      <c r="V275" s="359"/>
      <c r="W275" s="359"/>
      <c r="X275" s="359"/>
      <c r="Y275" s="359"/>
      <c r="Z275" s="364">
        <v>44888</v>
      </c>
      <c r="AA275" s="359" t="s">
        <v>254</v>
      </c>
    </row>
    <row r="276" spans="1:27">
      <c r="A276" s="730" t="s">
        <v>10033</v>
      </c>
      <c r="B276" s="730" t="s">
        <v>10034</v>
      </c>
      <c r="C276" s="361" t="s">
        <v>10035</v>
      </c>
      <c r="D276" s="361" t="s">
        <v>10036</v>
      </c>
      <c r="E276" s="361" t="s">
        <v>1732</v>
      </c>
      <c r="F276" s="361" t="s">
        <v>9205</v>
      </c>
      <c r="G276" s="735" t="s">
        <v>10037</v>
      </c>
      <c r="H276" s="361"/>
      <c r="I276" s="361"/>
      <c r="J276" s="361"/>
      <c r="K276" s="361"/>
      <c r="L276" s="361"/>
      <c r="M276" s="361"/>
      <c r="N276" s="361"/>
      <c r="O276" s="361"/>
      <c r="P276" s="361"/>
      <c r="Q276" s="358" t="s">
        <v>9207</v>
      </c>
      <c r="R276" s="361"/>
      <c r="S276" s="361"/>
      <c r="T276" s="359" t="str">
        <f t="shared" si="6"/>
        <v>SOA0028-001 - Normal Inquiry</v>
      </c>
      <c r="U276" s="359"/>
      <c r="V276" s="359"/>
      <c r="W276" s="359"/>
      <c r="X276" s="359"/>
      <c r="Y276" s="359"/>
      <c r="Z276" s="364">
        <v>44889</v>
      </c>
      <c r="AA276" s="359" t="s">
        <v>254</v>
      </c>
    </row>
    <row r="277" spans="1:27">
      <c r="A277" s="769"/>
      <c r="B277" s="769"/>
      <c r="C277" s="357" t="s">
        <v>10038</v>
      </c>
      <c r="D277" s="357" t="s">
        <v>10039</v>
      </c>
      <c r="E277" s="357" t="s">
        <v>1732</v>
      </c>
      <c r="F277" s="357" t="s">
        <v>9205</v>
      </c>
      <c r="G277" s="769"/>
      <c r="H277" s="357"/>
      <c r="I277" s="357"/>
      <c r="J277" s="357"/>
      <c r="K277" s="357"/>
      <c r="L277" s="357"/>
      <c r="M277" s="357"/>
      <c r="N277" s="357"/>
      <c r="O277" s="357"/>
      <c r="P277" s="357"/>
      <c r="Q277" s="358" t="s">
        <v>9207</v>
      </c>
      <c r="R277" s="357"/>
      <c r="S277" s="357"/>
      <c r="T277" s="359" t="str">
        <f t="shared" si="6"/>
        <v>SOA0028-002 - Normal Payment</v>
      </c>
      <c r="U277" s="359"/>
      <c r="V277" s="359"/>
      <c r="W277" s="359"/>
      <c r="X277" s="359"/>
      <c r="Y277" s="359"/>
      <c r="Z277" s="364">
        <v>44889</v>
      </c>
      <c r="AA277" s="359" t="s">
        <v>254</v>
      </c>
    </row>
    <row r="278" spans="1:27">
      <c r="A278" s="769"/>
      <c r="B278" s="769"/>
      <c r="C278" s="361" t="s">
        <v>10040</v>
      </c>
      <c r="D278" s="361" t="s">
        <v>10041</v>
      </c>
      <c r="E278" s="361" t="s">
        <v>1743</v>
      </c>
      <c r="F278" s="361" t="s">
        <v>9205</v>
      </c>
      <c r="G278" s="769"/>
      <c r="H278" s="361"/>
      <c r="I278" s="361"/>
      <c r="J278" s="361"/>
      <c r="K278" s="361"/>
      <c r="L278" s="361"/>
      <c r="M278" s="361"/>
      <c r="N278" s="361"/>
      <c r="O278" s="361"/>
      <c r="P278" s="361"/>
      <c r="Q278" s="361"/>
      <c r="R278" s="361"/>
      <c r="S278" s="361"/>
      <c r="T278" s="359"/>
      <c r="U278" s="359"/>
      <c r="V278" s="359"/>
      <c r="W278" s="359"/>
      <c r="X278" s="359"/>
      <c r="Y278" s="359"/>
      <c r="Z278" s="364"/>
      <c r="AA278" s="359"/>
    </row>
    <row r="279" spans="1:27">
      <c r="A279" s="769"/>
      <c r="B279" s="769"/>
      <c r="C279" s="357" t="s">
        <v>10042</v>
      </c>
      <c r="D279" s="357" t="s">
        <v>10043</v>
      </c>
      <c r="E279" s="357" t="s">
        <v>1743</v>
      </c>
      <c r="F279" s="357" t="s">
        <v>9205</v>
      </c>
      <c r="G279" s="769"/>
      <c r="H279" s="357"/>
      <c r="I279" s="357"/>
      <c r="J279" s="357"/>
      <c r="K279" s="357"/>
      <c r="L279" s="357"/>
      <c r="M279" s="357"/>
      <c r="N279" s="357"/>
      <c r="O279" s="357"/>
      <c r="P279" s="357"/>
      <c r="Q279" s="357"/>
      <c r="R279" s="357"/>
      <c r="S279" s="357"/>
      <c r="T279" s="359"/>
      <c r="U279" s="359"/>
      <c r="V279" s="359"/>
      <c r="W279" s="359"/>
      <c r="X279" s="359"/>
      <c r="Y279" s="359"/>
      <c r="Z279" s="364"/>
      <c r="AA279" s="359"/>
    </row>
    <row r="280" spans="1:27">
      <c r="A280" s="769"/>
      <c r="B280" s="769"/>
      <c r="C280" s="361" t="s">
        <v>10044</v>
      </c>
      <c r="D280" s="361" t="s">
        <v>10045</v>
      </c>
      <c r="E280" s="361" t="s">
        <v>1743</v>
      </c>
      <c r="F280" s="361" t="s">
        <v>9205</v>
      </c>
      <c r="G280" s="769"/>
      <c r="H280" s="361"/>
      <c r="I280" s="361"/>
      <c r="J280" s="361"/>
      <c r="K280" s="361"/>
      <c r="L280" s="361"/>
      <c r="M280" s="361"/>
      <c r="N280" s="361"/>
      <c r="O280" s="361"/>
      <c r="P280" s="361"/>
      <c r="Q280" s="361"/>
      <c r="R280" s="361"/>
      <c r="S280" s="361"/>
      <c r="T280" s="359"/>
      <c r="U280" s="359"/>
      <c r="V280" s="359"/>
      <c r="W280" s="359"/>
      <c r="X280" s="359"/>
      <c r="Y280" s="359"/>
      <c r="Z280" s="364"/>
      <c r="AA280" s="359"/>
    </row>
    <row r="281" spans="1:27">
      <c r="A281" s="769"/>
      <c r="B281" s="769"/>
      <c r="C281" s="357" t="s">
        <v>10046</v>
      </c>
      <c r="D281" s="357" t="s">
        <v>10047</v>
      </c>
      <c r="E281" s="357" t="s">
        <v>1743</v>
      </c>
      <c r="F281" s="357" t="s">
        <v>9205</v>
      </c>
      <c r="G281" s="769"/>
      <c r="H281" s="357"/>
      <c r="I281" s="357"/>
      <c r="J281" s="357"/>
      <c r="K281" s="357"/>
      <c r="L281" s="357"/>
      <c r="M281" s="357"/>
      <c r="N281" s="357"/>
      <c r="O281" s="357"/>
      <c r="P281" s="357"/>
      <c r="Q281" s="357"/>
      <c r="R281" s="357"/>
      <c r="S281" s="357"/>
      <c r="T281" s="359"/>
      <c r="U281" s="359"/>
      <c r="V281" s="359"/>
      <c r="W281" s="359"/>
      <c r="X281" s="359"/>
      <c r="Y281" s="359"/>
      <c r="Z281" s="364"/>
      <c r="AA281" s="359"/>
    </row>
    <row r="282" spans="1:27">
      <c r="A282" s="730" t="s">
        <v>10048</v>
      </c>
      <c r="B282" s="730" t="s">
        <v>10049</v>
      </c>
      <c r="C282" s="361" t="s">
        <v>10050</v>
      </c>
      <c r="D282" s="361" t="s">
        <v>10051</v>
      </c>
      <c r="E282" s="361" t="s">
        <v>1732</v>
      </c>
      <c r="F282" s="361" t="s">
        <v>9205</v>
      </c>
      <c r="G282" s="735" t="s">
        <v>10037</v>
      </c>
      <c r="H282" s="361"/>
      <c r="I282" s="361" t="s">
        <v>10052</v>
      </c>
      <c r="J282" s="361"/>
      <c r="K282" s="361"/>
      <c r="L282" s="361"/>
      <c r="M282" s="361"/>
      <c r="N282" s="361"/>
      <c r="O282" s="361"/>
      <c r="P282" s="361"/>
      <c r="Q282" s="358" t="s">
        <v>9207</v>
      </c>
      <c r="R282" s="361"/>
      <c r="S282" s="361"/>
      <c r="T282" s="359" t="str">
        <f t="shared" ref="T282:T310" si="7">CONCATENATE(C282, " - ", D282)</f>
        <v>SOA0029-001 - Normal Inquiry Product BNI Life : 1 Hari (90juta)</v>
      </c>
      <c r="U282" s="359"/>
      <c r="V282" s="359"/>
      <c r="W282" s="359"/>
      <c r="X282" s="359"/>
      <c r="Y282" s="359"/>
      <c r="Z282" s="364">
        <v>44890</v>
      </c>
      <c r="AA282" s="359" t="s">
        <v>254</v>
      </c>
    </row>
    <row r="283" spans="1:27">
      <c r="A283" s="769"/>
      <c r="B283" s="769"/>
      <c r="C283" s="357" t="s">
        <v>10053</v>
      </c>
      <c r="D283" s="357" t="s">
        <v>10054</v>
      </c>
      <c r="E283" s="357" t="s">
        <v>1732</v>
      </c>
      <c r="F283" s="357" t="s">
        <v>9205</v>
      </c>
      <c r="G283" s="769"/>
      <c r="H283" s="357"/>
      <c r="I283" s="357" t="s">
        <v>10052</v>
      </c>
      <c r="J283" s="357"/>
      <c r="K283" s="357"/>
      <c r="L283" s="357"/>
      <c r="M283" s="357"/>
      <c r="N283" s="357"/>
      <c r="O283" s="357"/>
      <c r="P283" s="357"/>
      <c r="Q283" s="358" t="s">
        <v>9207</v>
      </c>
      <c r="R283" s="357"/>
      <c r="S283" s="357"/>
      <c r="T283" s="359" t="str">
        <f t="shared" si="7"/>
        <v>SOA0029-002 - Normal Payment Product BNI Life : 1 Hari (90juta)</v>
      </c>
      <c r="U283" s="359"/>
      <c r="V283" s="359"/>
      <c r="W283" s="359"/>
      <c r="X283" s="359"/>
      <c r="Y283" s="359"/>
      <c r="Z283" s="364">
        <v>44890</v>
      </c>
      <c r="AA283" s="359" t="s">
        <v>254</v>
      </c>
    </row>
    <row r="284" spans="1:27">
      <c r="A284" s="769"/>
      <c r="B284" s="769"/>
      <c r="C284" s="361" t="s">
        <v>10055</v>
      </c>
      <c r="D284" s="361" t="s">
        <v>10056</v>
      </c>
      <c r="E284" s="361" t="s">
        <v>1732</v>
      </c>
      <c r="F284" s="361" t="s">
        <v>9205</v>
      </c>
      <c r="G284" s="769"/>
      <c r="H284" s="361"/>
      <c r="I284" s="361" t="s">
        <v>10052</v>
      </c>
      <c r="J284" s="361"/>
      <c r="K284" s="361"/>
      <c r="L284" s="361"/>
      <c r="M284" s="361"/>
      <c r="N284" s="361"/>
      <c r="O284" s="361"/>
      <c r="P284" s="361"/>
      <c r="Q284" s="358" t="s">
        <v>9207</v>
      </c>
      <c r="R284" s="361"/>
      <c r="S284" s="361"/>
      <c r="T284" s="359" t="str">
        <f t="shared" si="7"/>
        <v>SOA0029-003 - Normal Inquiry Product BNI Life 1 Minggu (80juta)</v>
      </c>
      <c r="U284" s="359"/>
      <c r="V284" s="359"/>
      <c r="W284" s="359"/>
      <c r="X284" s="359"/>
      <c r="Y284" s="359"/>
      <c r="Z284" s="364">
        <v>44890</v>
      </c>
      <c r="AA284" s="359" t="s">
        <v>254</v>
      </c>
    </row>
    <row r="285" spans="1:27">
      <c r="A285" s="769"/>
      <c r="B285" s="769"/>
      <c r="C285" s="357" t="s">
        <v>10057</v>
      </c>
      <c r="D285" s="357" t="s">
        <v>10058</v>
      </c>
      <c r="E285" s="357" t="s">
        <v>1732</v>
      </c>
      <c r="F285" s="357" t="s">
        <v>9205</v>
      </c>
      <c r="G285" s="769"/>
      <c r="H285" s="357"/>
      <c r="I285" s="357" t="s">
        <v>10052</v>
      </c>
      <c r="J285" s="357"/>
      <c r="K285" s="357"/>
      <c r="L285" s="357"/>
      <c r="M285" s="357"/>
      <c r="N285" s="357"/>
      <c r="O285" s="357"/>
      <c r="P285" s="357"/>
      <c r="Q285" s="358" t="s">
        <v>9207</v>
      </c>
      <c r="R285" s="357"/>
      <c r="S285" s="357"/>
      <c r="T285" s="359" t="str">
        <f t="shared" si="7"/>
        <v>SOA0029-004 - Normal Payment Product BNI Life 1 Minggu (80juta)</v>
      </c>
      <c r="U285" s="359"/>
      <c r="V285" s="359"/>
      <c r="W285" s="359"/>
      <c r="X285" s="359"/>
      <c r="Y285" s="359"/>
      <c r="Z285" s="364">
        <v>44890</v>
      </c>
      <c r="AA285" s="359" t="s">
        <v>254</v>
      </c>
    </row>
    <row r="286" spans="1:27">
      <c r="A286" s="769"/>
      <c r="B286" s="769"/>
      <c r="C286" s="361" t="s">
        <v>10059</v>
      </c>
      <c r="D286" s="361" t="s">
        <v>10060</v>
      </c>
      <c r="E286" s="361" t="s">
        <v>1732</v>
      </c>
      <c r="F286" s="361" t="s">
        <v>9205</v>
      </c>
      <c r="G286" s="769"/>
      <c r="H286" s="361"/>
      <c r="I286" s="361" t="s">
        <v>10052</v>
      </c>
      <c r="J286" s="361"/>
      <c r="K286" s="361"/>
      <c r="L286" s="361"/>
      <c r="M286" s="361"/>
      <c r="N286" s="361"/>
      <c r="O286" s="361"/>
      <c r="P286" s="361"/>
      <c r="Q286" s="358" t="s">
        <v>9207</v>
      </c>
      <c r="R286" s="361"/>
      <c r="S286" s="361"/>
      <c r="T286" s="359" t="str">
        <f t="shared" si="7"/>
        <v>SOA0029-005 - Normal Inquiry Product BNI Life 1 Bulan (70juta)</v>
      </c>
      <c r="U286" s="359"/>
      <c r="V286" s="359"/>
      <c r="W286" s="359"/>
      <c r="X286" s="359"/>
      <c r="Y286" s="359"/>
      <c r="Z286" s="364">
        <v>44890</v>
      </c>
      <c r="AA286" s="359" t="s">
        <v>254</v>
      </c>
    </row>
    <row r="287" spans="1:27">
      <c r="A287" s="769"/>
      <c r="B287" s="769"/>
      <c r="C287" s="357" t="s">
        <v>10061</v>
      </c>
      <c r="D287" s="357" t="s">
        <v>10062</v>
      </c>
      <c r="E287" s="357" t="s">
        <v>1732</v>
      </c>
      <c r="F287" s="357" t="s">
        <v>9205</v>
      </c>
      <c r="G287" s="769"/>
      <c r="H287" s="357"/>
      <c r="I287" s="357" t="s">
        <v>10052</v>
      </c>
      <c r="J287" s="357"/>
      <c r="K287" s="357"/>
      <c r="L287" s="357"/>
      <c r="M287" s="357"/>
      <c r="N287" s="357"/>
      <c r="O287" s="357"/>
      <c r="P287" s="357"/>
      <c r="Q287" s="358" t="s">
        <v>9207</v>
      </c>
      <c r="R287" s="357"/>
      <c r="S287" s="357"/>
      <c r="T287" s="359" t="str">
        <f t="shared" si="7"/>
        <v>SOA0029-006 - Normal Payment Product BNI Life 1 Bulan (70juta)</v>
      </c>
      <c r="U287" s="359"/>
      <c r="V287" s="359"/>
      <c r="W287" s="359"/>
      <c r="X287" s="359"/>
      <c r="Y287" s="359"/>
      <c r="Z287" s="364">
        <v>44890</v>
      </c>
      <c r="AA287" s="359" t="s">
        <v>254</v>
      </c>
    </row>
    <row r="288" spans="1:27">
      <c r="A288" s="769"/>
      <c r="B288" s="769"/>
      <c r="C288" s="361" t="s">
        <v>10063</v>
      </c>
      <c r="D288" s="361" t="s">
        <v>10064</v>
      </c>
      <c r="E288" s="361" t="s">
        <v>1732</v>
      </c>
      <c r="F288" s="361" t="s">
        <v>9205</v>
      </c>
      <c r="G288" s="769"/>
      <c r="H288" s="361"/>
      <c r="I288" s="361" t="s">
        <v>10052</v>
      </c>
      <c r="J288" s="361"/>
      <c r="K288" s="361"/>
      <c r="L288" s="361"/>
      <c r="M288" s="361"/>
      <c r="N288" s="361"/>
      <c r="O288" s="361"/>
      <c r="P288" s="361"/>
      <c r="Q288" s="358" t="s">
        <v>9207</v>
      </c>
      <c r="R288" s="361"/>
      <c r="S288" s="361"/>
      <c r="T288" s="359" t="str">
        <f t="shared" si="7"/>
        <v>SOA0029-007 - Normal Inquiry Product BNI Life 3 Bulan (60juta)</v>
      </c>
      <c r="U288" s="359"/>
      <c r="V288" s="359"/>
      <c r="W288" s="359"/>
      <c r="X288" s="359"/>
      <c r="Y288" s="359"/>
      <c r="Z288" s="364">
        <v>44893</v>
      </c>
      <c r="AA288" s="359" t="s">
        <v>254</v>
      </c>
    </row>
    <row r="289" spans="1:27">
      <c r="A289" s="769"/>
      <c r="B289" s="769"/>
      <c r="C289" s="357" t="s">
        <v>10065</v>
      </c>
      <c r="D289" s="357" t="s">
        <v>10066</v>
      </c>
      <c r="E289" s="357" t="s">
        <v>1732</v>
      </c>
      <c r="F289" s="357" t="s">
        <v>9205</v>
      </c>
      <c r="G289" s="769"/>
      <c r="H289" s="357"/>
      <c r="I289" s="357" t="s">
        <v>10052</v>
      </c>
      <c r="J289" s="357"/>
      <c r="K289" s="357"/>
      <c r="L289" s="357"/>
      <c r="M289" s="357"/>
      <c r="N289" s="357"/>
      <c r="O289" s="357"/>
      <c r="P289" s="357"/>
      <c r="Q289" s="358" t="s">
        <v>9207</v>
      </c>
      <c r="R289" s="357"/>
      <c r="S289" s="357"/>
      <c r="T289" s="359" t="str">
        <f t="shared" si="7"/>
        <v>SOA0029-008 - Normal Payment Product BNI Life 3 Bulan (60juta)</v>
      </c>
      <c r="U289" s="359"/>
      <c r="V289" s="359"/>
      <c r="W289" s="359"/>
      <c r="X289" s="359"/>
      <c r="Y289" s="359"/>
      <c r="Z289" s="364">
        <v>44893</v>
      </c>
      <c r="AA289" s="359" t="s">
        <v>254</v>
      </c>
    </row>
    <row r="290" spans="1:27">
      <c r="A290" s="769"/>
      <c r="B290" s="769"/>
      <c r="C290" s="361" t="s">
        <v>10067</v>
      </c>
      <c r="D290" s="361" t="s">
        <v>10068</v>
      </c>
      <c r="E290" s="361" t="s">
        <v>1743</v>
      </c>
      <c r="F290" s="361" t="s">
        <v>9205</v>
      </c>
      <c r="G290" s="769"/>
      <c r="H290" s="361"/>
      <c r="I290" s="361" t="s">
        <v>10052</v>
      </c>
      <c r="J290" s="361"/>
      <c r="K290" s="361"/>
      <c r="L290" s="361"/>
      <c r="M290" s="361"/>
      <c r="N290" s="361"/>
      <c r="O290" s="361"/>
      <c r="P290" s="361"/>
      <c r="Q290" s="358" t="s">
        <v>9207</v>
      </c>
      <c r="R290" s="361"/>
      <c r="S290" s="361"/>
      <c r="T290" s="359" t="str">
        <f t="shared" si="7"/>
        <v>SOA0029-009 - Abnormal Inquiry Email Pemegang dan email lain sama</v>
      </c>
      <c r="U290" s="359"/>
      <c r="V290" s="359"/>
      <c r="W290" s="359"/>
      <c r="X290" s="359"/>
      <c r="Y290" s="359"/>
      <c r="Z290" s="364">
        <v>44893</v>
      </c>
      <c r="AA290" s="359" t="s">
        <v>254</v>
      </c>
    </row>
    <row r="291" spans="1:27">
      <c r="A291" s="769"/>
      <c r="B291" s="769"/>
      <c r="C291" s="357" t="s">
        <v>10069</v>
      </c>
      <c r="D291" s="357" t="s">
        <v>10070</v>
      </c>
      <c r="E291" s="357" t="s">
        <v>1743</v>
      </c>
      <c r="F291" s="357" t="s">
        <v>9205</v>
      </c>
      <c r="G291" s="769"/>
      <c r="H291" s="357"/>
      <c r="I291" s="357" t="s">
        <v>10052</v>
      </c>
      <c r="J291" s="357"/>
      <c r="K291" s="357"/>
      <c r="L291" s="357"/>
      <c r="M291" s="357"/>
      <c r="N291" s="357"/>
      <c r="O291" s="357"/>
      <c r="P291" s="357"/>
      <c r="Q291" s="358" t="s">
        <v>9207</v>
      </c>
      <c r="R291" s="357"/>
      <c r="S291" s="357"/>
      <c r="T291" s="359" t="str">
        <f t="shared" si="7"/>
        <v>SOA0029-010 - Abnormal Payment Email Pemegang dan email lain sama</v>
      </c>
      <c r="U291" s="359"/>
      <c r="V291" s="359"/>
      <c r="W291" s="359"/>
      <c r="X291" s="359"/>
      <c r="Y291" s="359"/>
      <c r="Z291" s="364">
        <v>44893</v>
      </c>
      <c r="AA291" s="359" t="s">
        <v>254</v>
      </c>
    </row>
    <row r="292" spans="1:27">
      <c r="A292" s="769"/>
      <c r="B292" s="769"/>
      <c r="C292" s="361" t="s">
        <v>10071</v>
      </c>
      <c r="D292" s="361" t="s">
        <v>10072</v>
      </c>
      <c r="E292" s="361" t="s">
        <v>1743</v>
      </c>
      <c r="F292" s="361" t="s">
        <v>9205</v>
      </c>
      <c r="G292" s="769"/>
      <c r="H292" s="361"/>
      <c r="I292" s="361" t="s">
        <v>10073</v>
      </c>
      <c r="J292" s="361"/>
      <c r="K292" s="361"/>
      <c r="L292" s="361"/>
      <c r="M292" s="361"/>
      <c r="N292" s="361"/>
      <c r="O292" s="361"/>
      <c r="P292" s="361"/>
      <c r="Q292" s="358" t="s">
        <v>9207</v>
      </c>
      <c r="R292" s="361"/>
      <c r="S292" s="361"/>
      <c r="T292" s="359" t="str">
        <f t="shared" si="7"/>
        <v>SOA0029-011 - Abnormal Inquiry no HP kurang dari 13 digit</v>
      </c>
      <c r="U292" s="359"/>
      <c r="V292" s="359"/>
      <c r="W292" s="359"/>
      <c r="X292" s="359"/>
      <c r="Y292" s="359"/>
      <c r="Z292" s="364">
        <v>44893</v>
      </c>
      <c r="AA292" s="359" t="s">
        <v>254</v>
      </c>
    </row>
    <row r="293" spans="1:27">
      <c r="A293" s="769"/>
      <c r="B293" s="769"/>
      <c r="C293" s="357" t="s">
        <v>10074</v>
      </c>
      <c r="D293" s="357" t="s">
        <v>10075</v>
      </c>
      <c r="E293" s="357" t="s">
        <v>1743</v>
      </c>
      <c r="F293" s="357" t="s">
        <v>9205</v>
      </c>
      <c r="G293" s="769"/>
      <c r="H293" s="357"/>
      <c r="I293" s="357" t="s">
        <v>10073</v>
      </c>
      <c r="J293" s="357"/>
      <c r="K293" s="357"/>
      <c r="L293" s="357"/>
      <c r="M293" s="357"/>
      <c r="N293" s="357"/>
      <c r="O293" s="357"/>
      <c r="P293" s="357"/>
      <c r="Q293" s="358" t="s">
        <v>9207</v>
      </c>
      <c r="R293" s="357"/>
      <c r="S293" s="357"/>
      <c r="T293" s="359" t="str">
        <f t="shared" si="7"/>
        <v>SOA0029-012 - Abnormal Inquiry no HP lebih dari 13 digit</v>
      </c>
      <c r="U293" s="359"/>
      <c r="V293" s="359"/>
      <c r="W293" s="359"/>
      <c r="X293" s="359"/>
      <c r="Y293" s="359"/>
      <c r="Z293" s="364">
        <v>44893</v>
      </c>
      <c r="AA293" s="359" t="s">
        <v>254</v>
      </c>
    </row>
    <row r="294" spans="1:27">
      <c r="A294" s="769"/>
      <c r="B294" s="769"/>
      <c r="C294" s="361" t="s">
        <v>10076</v>
      </c>
      <c r="D294" s="361" t="s">
        <v>10077</v>
      </c>
      <c r="E294" s="361" t="s">
        <v>1743</v>
      </c>
      <c r="F294" s="361" t="s">
        <v>9205</v>
      </c>
      <c r="G294" s="769"/>
      <c r="H294" s="361"/>
      <c r="I294" s="361" t="s">
        <v>10073</v>
      </c>
      <c r="J294" s="361"/>
      <c r="K294" s="361"/>
      <c r="L294" s="361"/>
      <c r="M294" s="361"/>
      <c r="N294" s="361"/>
      <c r="O294" s="361"/>
      <c r="P294" s="361"/>
      <c r="Q294" s="358" t="s">
        <v>9207</v>
      </c>
      <c r="R294" s="361"/>
      <c r="S294" s="361"/>
      <c r="T294" s="359" t="str">
        <f t="shared" si="7"/>
        <v>SOA0029-013 - Abnormal Inquiry no HP bukan angka</v>
      </c>
      <c r="U294" s="359"/>
      <c r="V294" s="359"/>
      <c r="W294" s="359"/>
      <c r="X294" s="359"/>
      <c r="Y294" s="359"/>
      <c r="Z294" s="364">
        <v>44893</v>
      </c>
      <c r="AA294" s="359" t="s">
        <v>254</v>
      </c>
    </row>
    <row r="295" spans="1:27">
      <c r="A295" s="769"/>
      <c r="B295" s="769"/>
      <c r="C295" s="357" t="s">
        <v>10078</v>
      </c>
      <c r="D295" s="357" t="s">
        <v>10079</v>
      </c>
      <c r="E295" s="357" t="s">
        <v>1743</v>
      </c>
      <c r="F295" s="357" t="s">
        <v>9205</v>
      </c>
      <c r="G295" s="769"/>
      <c r="H295" s="357"/>
      <c r="I295" s="357" t="s">
        <v>10052</v>
      </c>
      <c r="J295" s="357"/>
      <c r="K295" s="357"/>
      <c r="L295" s="357"/>
      <c r="M295" s="357"/>
      <c r="N295" s="357"/>
      <c r="O295" s="357"/>
      <c r="P295" s="357"/>
      <c r="Q295" s="358" t="s">
        <v>9207</v>
      </c>
      <c r="R295" s="357"/>
      <c r="S295" s="357"/>
      <c r="T295" s="359" t="str">
        <f t="shared" si="7"/>
        <v>SOA0029-014 - Abnormal Inquiry no HP sama dengan yang terdaftar di core</v>
      </c>
      <c r="U295" s="359"/>
      <c r="V295" s="359"/>
      <c r="W295" s="359"/>
      <c r="X295" s="359"/>
      <c r="Y295" s="359"/>
      <c r="Z295" s="364">
        <v>44893</v>
      </c>
      <c r="AA295" s="359" t="s">
        <v>254</v>
      </c>
    </row>
    <row r="296" spans="1:27">
      <c r="A296" s="769"/>
      <c r="B296" s="769"/>
      <c r="C296" s="361" t="s">
        <v>10080</v>
      </c>
      <c r="D296" s="361" t="s">
        <v>10081</v>
      </c>
      <c r="E296" s="361" t="s">
        <v>1743</v>
      </c>
      <c r="F296" s="361" t="s">
        <v>9205</v>
      </c>
      <c r="G296" s="769"/>
      <c r="H296" s="361"/>
      <c r="I296" s="361" t="s">
        <v>10052</v>
      </c>
      <c r="J296" s="361"/>
      <c r="K296" s="361"/>
      <c r="L296" s="361"/>
      <c r="M296" s="361"/>
      <c r="N296" s="361"/>
      <c r="O296" s="361"/>
      <c r="P296" s="361"/>
      <c r="Q296" s="358" t="s">
        <v>9207</v>
      </c>
      <c r="R296" s="361"/>
      <c r="S296" s="361"/>
      <c r="T296" s="359" t="str">
        <f t="shared" si="7"/>
        <v>SOA0029-015 - Abnormal Payment no HP sama dengan yang terdaftar di core</v>
      </c>
      <c r="U296" s="359"/>
      <c r="V296" s="359"/>
      <c r="W296" s="359"/>
      <c r="X296" s="359"/>
      <c r="Y296" s="359"/>
      <c r="Z296" s="364">
        <v>44893</v>
      </c>
      <c r="AA296" s="359" t="s">
        <v>254</v>
      </c>
    </row>
    <row r="297" spans="1:27">
      <c r="A297" s="769"/>
      <c r="B297" s="769"/>
      <c r="C297" s="357" t="s">
        <v>10082</v>
      </c>
      <c r="D297" s="357" t="s">
        <v>10083</v>
      </c>
      <c r="E297" s="357" t="s">
        <v>1743</v>
      </c>
      <c r="F297" s="357" t="s">
        <v>9205</v>
      </c>
      <c r="G297" s="769"/>
      <c r="H297" s="357"/>
      <c r="I297" s="357" t="s">
        <v>10052</v>
      </c>
      <c r="J297" s="357"/>
      <c r="K297" s="357"/>
      <c r="L297" s="357"/>
      <c r="M297" s="357"/>
      <c r="N297" s="357"/>
      <c r="O297" s="357"/>
      <c r="P297" s="357"/>
      <c r="Q297" s="358" t="s">
        <v>9207</v>
      </c>
      <c r="R297" s="357"/>
      <c r="S297" s="357"/>
      <c r="T297" s="359" t="str">
        <f t="shared" si="7"/>
        <v>SOA0029-016 - Abnormal Inquiry no telepon lain / no hp di Table User DB Mobile Banking</v>
      </c>
      <c r="U297" s="359"/>
      <c r="V297" s="359"/>
      <c r="W297" s="359"/>
      <c r="X297" s="359"/>
      <c r="Y297" s="359"/>
      <c r="Z297" s="364">
        <v>44894</v>
      </c>
      <c r="AA297" s="359" t="s">
        <v>254</v>
      </c>
    </row>
    <row r="298" spans="1:27">
      <c r="A298" s="769"/>
      <c r="B298" s="769"/>
      <c r="C298" s="361" t="s">
        <v>10084</v>
      </c>
      <c r="D298" s="361" t="s">
        <v>10085</v>
      </c>
      <c r="E298" s="361" t="s">
        <v>1743</v>
      </c>
      <c r="F298" s="361" t="s">
        <v>9205</v>
      </c>
      <c r="G298" s="769"/>
      <c r="H298" s="361"/>
      <c r="I298" s="361" t="s">
        <v>10052</v>
      </c>
      <c r="J298" s="361"/>
      <c r="K298" s="361"/>
      <c r="L298" s="361"/>
      <c r="M298" s="361"/>
      <c r="N298" s="361"/>
      <c r="O298" s="361"/>
      <c r="P298" s="361"/>
      <c r="Q298" s="358" t="s">
        <v>9207</v>
      </c>
      <c r="R298" s="361"/>
      <c r="S298" s="361"/>
      <c r="T298" s="359" t="str">
        <f t="shared" si="7"/>
        <v>SOA0029-017 - Abnormal Payment no telepon lain / no hp di Table User DB Mobile Banking</v>
      </c>
      <c r="U298" s="359"/>
      <c r="V298" s="359"/>
      <c r="W298" s="359"/>
      <c r="X298" s="359"/>
      <c r="Y298" s="359"/>
      <c r="Z298" s="364">
        <v>44894</v>
      </c>
      <c r="AA298" s="359" t="s">
        <v>254</v>
      </c>
    </row>
    <row r="299" spans="1:27">
      <c r="A299" s="769"/>
      <c r="B299" s="769"/>
      <c r="C299" s="357" t="s">
        <v>10086</v>
      </c>
      <c r="D299" s="357" t="s">
        <v>10087</v>
      </c>
      <c r="E299" s="357" t="s">
        <v>1743</v>
      </c>
      <c r="F299" s="357" t="s">
        <v>9205</v>
      </c>
      <c r="G299" s="769"/>
      <c r="H299" s="357"/>
      <c r="I299" s="357" t="s">
        <v>10073</v>
      </c>
      <c r="J299" s="357"/>
      <c r="K299" s="357"/>
      <c r="L299" s="357"/>
      <c r="M299" s="357"/>
      <c r="N299" s="357"/>
      <c r="O299" s="357"/>
      <c r="P299" s="357"/>
      <c r="Q299" s="358" t="s">
        <v>9207</v>
      </c>
      <c r="R299" s="357"/>
      <c r="S299" s="357"/>
      <c r="T299" s="359" t="str">
        <f t="shared" si="7"/>
        <v>SOA0029-018 - Abnormal Inquiry Product BNI Life 3 Bulan (90juta) Saldo tidak cukup</v>
      </c>
      <c r="U299" s="359"/>
      <c r="V299" s="359"/>
      <c r="W299" s="359"/>
      <c r="X299" s="359"/>
      <c r="Y299" s="359"/>
      <c r="Z299" s="364">
        <v>44894</v>
      </c>
      <c r="AA299" s="359" t="s">
        <v>254</v>
      </c>
    </row>
    <row r="300" spans="1:27">
      <c r="A300" s="769"/>
      <c r="B300" s="769"/>
      <c r="C300" s="361" t="s">
        <v>10088</v>
      </c>
      <c r="D300" s="361" t="s">
        <v>10089</v>
      </c>
      <c r="E300" s="361" t="s">
        <v>1743</v>
      </c>
      <c r="F300" s="361" t="s">
        <v>9205</v>
      </c>
      <c r="G300" s="769"/>
      <c r="H300" s="361"/>
      <c r="I300" s="361" t="s">
        <v>10073</v>
      </c>
      <c r="J300" s="361"/>
      <c r="K300" s="361"/>
      <c r="L300" s="361"/>
      <c r="M300" s="361"/>
      <c r="N300" s="361"/>
      <c r="O300" s="361"/>
      <c r="P300" s="361"/>
      <c r="Q300" s="358" t="s">
        <v>9207</v>
      </c>
      <c r="R300" s="361"/>
      <c r="S300" s="361"/>
      <c r="T300" s="359" t="str">
        <f t="shared" si="7"/>
        <v>SOA0029-019 - Abnormal Payment Product BNI Life 3 Bulan (90juta) Saldo tidak cukup</v>
      </c>
      <c r="U300" s="359"/>
      <c r="V300" s="359"/>
      <c r="W300" s="359"/>
      <c r="X300" s="359"/>
      <c r="Y300" s="359"/>
      <c r="Z300" s="364">
        <v>44894</v>
      </c>
      <c r="AA300" s="359" t="s">
        <v>254</v>
      </c>
    </row>
    <row r="301" spans="1:27">
      <c r="A301" s="769"/>
      <c r="B301" s="769"/>
      <c r="C301" s="357" t="s">
        <v>10090</v>
      </c>
      <c r="D301" s="365" t="s">
        <v>10091</v>
      </c>
      <c r="E301" s="357" t="s">
        <v>1743</v>
      </c>
      <c r="F301" s="357" t="s">
        <v>9205</v>
      </c>
      <c r="G301" s="769"/>
      <c r="H301" s="357"/>
      <c r="I301" s="357" t="s">
        <v>10073</v>
      </c>
      <c r="J301" s="357"/>
      <c r="K301" s="357"/>
      <c r="L301" s="357"/>
      <c r="M301" s="357"/>
      <c r="N301" s="357"/>
      <c r="O301" s="357"/>
      <c r="P301" s="357"/>
      <c r="Q301" s="358" t="s">
        <v>9207</v>
      </c>
      <c r="R301" s="357"/>
      <c r="S301" s="357"/>
      <c r="T301" s="377" t="str">
        <f t="shared" si="7"/>
        <v>SOA0029-020 - Abnormal Payment Product BNI Life : 3 Bulan (70juta) nasabah yang memiliki umur lebih dari 69 tahun</v>
      </c>
      <c r="U301" s="359"/>
      <c r="V301" s="359"/>
      <c r="W301" s="359"/>
      <c r="X301" s="359"/>
      <c r="Y301" s="359"/>
      <c r="Z301" s="364">
        <v>44895</v>
      </c>
      <c r="AA301" s="359" t="s">
        <v>254</v>
      </c>
    </row>
    <row r="302" spans="1:27">
      <c r="A302" s="769"/>
      <c r="B302" s="769"/>
      <c r="C302" s="361" t="s">
        <v>10092</v>
      </c>
      <c r="D302" s="361" t="s">
        <v>10093</v>
      </c>
      <c r="E302" s="361" t="s">
        <v>1743</v>
      </c>
      <c r="F302" s="361" t="s">
        <v>9205</v>
      </c>
      <c r="G302" s="769"/>
      <c r="H302" s="361"/>
      <c r="I302" s="361" t="s">
        <v>10073</v>
      </c>
      <c r="J302" s="361"/>
      <c r="K302" s="361"/>
      <c r="L302" s="361"/>
      <c r="M302" s="361"/>
      <c r="N302" s="361"/>
      <c r="O302" s="361"/>
      <c r="P302" s="361"/>
      <c r="Q302" s="358" t="s">
        <v>9207</v>
      </c>
      <c r="R302" s="361"/>
      <c r="S302" s="361"/>
      <c r="T302" s="377" t="str">
        <f t="shared" si="7"/>
        <v>SOA0029-021 - Abnormal Payment Product BNI Life : 3 Bulan 90juta Timeout</v>
      </c>
      <c r="U302" s="359"/>
      <c r="V302" s="359"/>
      <c r="W302" s="359"/>
      <c r="X302" s="359"/>
      <c r="Y302" s="359"/>
      <c r="Z302" s="364">
        <v>44895</v>
      </c>
      <c r="AA302" s="359" t="s">
        <v>254</v>
      </c>
    </row>
    <row r="303" spans="1:27">
      <c r="A303" s="769"/>
      <c r="B303" s="769"/>
      <c r="C303" s="357" t="s">
        <v>10094</v>
      </c>
      <c r="D303" s="365" t="s">
        <v>10095</v>
      </c>
      <c r="E303" s="357" t="s">
        <v>1743</v>
      </c>
      <c r="F303" s="357" t="s">
        <v>9205</v>
      </c>
      <c r="G303" s="769"/>
      <c r="H303" s="357"/>
      <c r="I303" s="357" t="s">
        <v>10073</v>
      </c>
      <c r="J303" s="357"/>
      <c r="K303" s="357"/>
      <c r="L303" s="357"/>
      <c r="M303" s="357"/>
      <c r="N303" s="357"/>
      <c r="O303" s="357"/>
      <c r="P303" s="357"/>
      <c r="Q303" s="358" t="s">
        <v>9207</v>
      </c>
      <c r="R303" s="357"/>
      <c r="S303" s="357"/>
      <c r="T303" s="377" t="str">
        <f t="shared" si="7"/>
        <v>SOA0029-022 - Abnormal Inquiry Product BNI Life : 3 Bulan (90juta) Saldo dibawah saldo minimum</v>
      </c>
      <c r="U303" s="359"/>
      <c r="V303" s="359"/>
      <c r="W303" s="359"/>
      <c r="X303" s="359"/>
      <c r="Y303" s="359"/>
      <c r="Z303" s="364">
        <v>44895</v>
      </c>
      <c r="AA303" s="359" t="s">
        <v>254</v>
      </c>
    </row>
    <row r="304" spans="1:27">
      <c r="A304" s="769"/>
      <c r="B304" s="769"/>
      <c r="C304" s="361" t="s">
        <v>10096</v>
      </c>
      <c r="D304" s="363" t="s">
        <v>10097</v>
      </c>
      <c r="E304" s="361" t="s">
        <v>1743</v>
      </c>
      <c r="F304" s="361" t="s">
        <v>9205</v>
      </c>
      <c r="G304" s="769"/>
      <c r="H304" s="361"/>
      <c r="I304" s="361" t="s">
        <v>10073</v>
      </c>
      <c r="J304" s="361"/>
      <c r="K304" s="361"/>
      <c r="L304" s="361"/>
      <c r="M304" s="361"/>
      <c r="N304" s="361"/>
      <c r="O304" s="361"/>
      <c r="P304" s="361"/>
      <c r="Q304" s="358" t="s">
        <v>9207</v>
      </c>
      <c r="R304" s="361"/>
      <c r="S304" s="361"/>
      <c r="T304" s="377" t="str">
        <f t="shared" si="7"/>
        <v>SOA0029-023 - Abnormal Payment Product BNI Life : 3 Bulan (90juta) Saldo dibawah saldo minimum</v>
      </c>
      <c r="U304" s="359"/>
      <c r="V304" s="359"/>
      <c r="W304" s="359"/>
      <c r="X304" s="359"/>
      <c r="Y304" s="359"/>
      <c r="Z304" s="364">
        <v>44895</v>
      </c>
      <c r="AA304" s="359" t="s">
        <v>254</v>
      </c>
    </row>
    <row r="305" spans="1:27">
      <c r="A305" s="769"/>
      <c r="B305" s="769"/>
      <c r="C305" s="357" t="s">
        <v>10098</v>
      </c>
      <c r="D305" s="357" t="s">
        <v>10099</v>
      </c>
      <c r="E305" s="357" t="s">
        <v>1743</v>
      </c>
      <c r="F305" s="357" t="s">
        <v>9205</v>
      </c>
      <c r="G305" s="769"/>
      <c r="H305" s="357"/>
      <c r="I305" s="357" t="s">
        <v>10073</v>
      </c>
      <c r="J305" s="357"/>
      <c r="K305" s="357"/>
      <c r="L305" s="357"/>
      <c r="M305" s="357"/>
      <c r="N305" s="357"/>
      <c r="O305" s="357"/>
      <c r="P305" s="357"/>
      <c r="Q305" s="358" t="s">
        <v>9207</v>
      </c>
      <c r="R305" s="357"/>
      <c r="S305" s="357"/>
      <c r="T305" s="377" t="str">
        <f t="shared" si="7"/>
        <v>SOA0029-024 - Abnormal Payment policy number not found</v>
      </c>
      <c r="U305" s="359"/>
      <c r="V305" s="359"/>
      <c r="W305" s="359"/>
      <c r="X305" s="359"/>
      <c r="Y305" s="359"/>
      <c r="Z305" s="364">
        <v>44895</v>
      </c>
      <c r="AA305" s="359" t="s">
        <v>254</v>
      </c>
    </row>
    <row r="306" spans="1:27">
      <c r="A306" s="769"/>
      <c r="B306" s="769"/>
      <c r="C306" s="361" t="s">
        <v>10100</v>
      </c>
      <c r="D306" s="361" t="s">
        <v>10101</v>
      </c>
      <c r="E306" s="361" t="s">
        <v>1743</v>
      </c>
      <c r="F306" s="361" t="s">
        <v>9205</v>
      </c>
      <c r="G306" s="769"/>
      <c r="H306" s="361"/>
      <c r="I306" s="361" t="s">
        <v>10073</v>
      </c>
      <c r="J306" s="361"/>
      <c r="K306" s="361"/>
      <c r="L306" s="361"/>
      <c r="M306" s="361"/>
      <c r="N306" s="361"/>
      <c r="O306" s="361"/>
      <c r="P306" s="361"/>
      <c r="Q306" s="358" t="s">
        <v>9207</v>
      </c>
      <c r="R306" s="361"/>
      <c r="S306" s="361"/>
      <c r="T306" s="377" t="str">
        <f t="shared" si="7"/>
        <v>SOA0029-025 - Abnormal Payment duplikasi notifikasi</v>
      </c>
      <c r="U306" s="359"/>
      <c r="V306" s="359"/>
      <c r="W306" s="359"/>
      <c r="X306" s="359"/>
      <c r="Y306" s="359"/>
      <c r="Z306" s="364">
        <v>44895</v>
      </c>
      <c r="AA306" s="359" t="s">
        <v>254</v>
      </c>
    </row>
    <row r="307" spans="1:27">
      <c r="A307" s="731" t="s">
        <v>10102</v>
      </c>
      <c r="B307" s="731" t="s">
        <v>10103</v>
      </c>
      <c r="C307" s="357" t="s">
        <v>10104</v>
      </c>
      <c r="D307" s="357" t="s">
        <v>10105</v>
      </c>
      <c r="E307" s="357" t="s">
        <v>1732</v>
      </c>
      <c r="F307" s="357" t="s">
        <v>9205</v>
      </c>
      <c r="G307" s="723" t="s">
        <v>10106</v>
      </c>
      <c r="H307" s="357"/>
      <c r="I307" s="357" t="s">
        <v>10052</v>
      </c>
      <c r="J307" s="357"/>
      <c r="K307" s="357"/>
      <c r="L307" s="357"/>
      <c r="M307" s="357"/>
      <c r="N307" s="357"/>
      <c r="O307" s="357"/>
      <c r="P307" s="357"/>
      <c r="Q307" s="358" t="s">
        <v>9207</v>
      </c>
      <c r="R307" s="357"/>
      <c r="S307" s="357"/>
      <c r="T307" s="377" t="str">
        <f t="shared" si="7"/>
        <v>SOA0030-001 - Normal Inquiry  SPC UNHAS</v>
      </c>
      <c r="U307" s="359"/>
      <c r="V307" s="359"/>
      <c r="W307" s="359"/>
      <c r="X307" s="359"/>
      <c r="Y307" s="359"/>
      <c r="Z307" s="364">
        <v>44901</v>
      </c>
      <c r="AA307" s="359" t="s">
        <v>254</v>
      </c>
    </row>
    <row r="308" spans="1:27">
      <c r="A308" s="769"/>
      <c r="B308" s="769"/>
      <c r="C308" s="361" t="s">
        <v>10107</v>
      </c>
      <c r="D308" s="361" t="s">
        <v>10108</v>
      </c>
      <c r="E308" s="361" t="s">
        <v>1732</v>
      </c>
      <c r="F308" s="361" t="s">
        <v>9205</v>
      </c>
      <c r="G308" s="769"/>
      <c r="H308" s="361"/>
      <c r="I308" s="361" t="s">
        <v>10052</v>
      </c>
      <c r="J308" s="361"/>
      <c r="K308" s="361"/>
      <c r="L308" s="361"/>
      <c r="M308" s="361"/>
      <c r="N308" s="361"/>
      <c r="O308" s="361"/>
      <c r="P308" s="361"/>
      <c r="Q308" s="358" t="s">
        <v>9207</v>
      </c>
      <c r="R308" s="361"/>
      <c r="S308" s="361"/>
      <c r="T308" s="377" t="str">
        <f t="shared" si="7"/>
        <v>SOA0030-002 - Normal Payment SPC UNHAS</v>
      </c>
      <c r="U308" s="359"/>
      <c r="V308" s="359"/>
      <c r="W308" s="359"/>
      <c r="X308" s="359"/>
      <c r="Y308" s="359"/>
      <c r="Z308" s="364">
        <v>44901</v>
      </c>
      <c r="AA308" s="359" t="s">
        <v>254</v>
      </c>
    </row>
    <row r="309" spans="1:27">
      <c r="A309" s="769"/>
      <c r="B309" s="769"/>
      <c r="C309" s="357" t="s">
        <v>10109</v>
      </c>
      <c r="D309" s="357" t="s">
        <v>10110</v>
      </c>
      <c r="E309" s="357" t="s">
        <v>1732</v>
      </c>
      <c r="F309" s="357" t="s">
        <v>9205</v>
      </c>
      <c r="G309" s="769"/>
      <c r="H309" s="357"/>
      <c r="I309" s="357" t="s">
        <v>10052</v>
      </c>
      <c r="J309" s="357"/>
      <c r="K309" s="357"/>
      <c r="L309" s="357"/>
      <c r="M309" s="357"/>
      <c r="N309" s="357"/>
      <c r="O309" s="357"/>
      <c r="P309" s="357"/>
      <c r="Q309" s="358" t="s">
        <v>9207</v>
      </c>
      <c r="R309" s="357"/>
      <c r="S309" s="357"/>
      <c r="T309" s="377" t="str">
        <f t="shared" si="7"/>
        <v>SOA0030-003 - Normal Payment Transfer SPC UNHAS</v>
      </c>
      <c r="U309" s="359"/>
      <c r="V309" s="359"/>
      <c r="W309" s="359"/>
      <c r="X309" s="359"/>
      <c r="Y309" s="359"/>
      <c r="Z309" s="364">
        <v>44901</v>
      </c>
      <c r="AA309" s="359" t="s">
        <v>254</v>
      </c>
    </row>
    <row r="310" spans="1:27">
      <c r="A310" s="730" t="s">
        <v>10111</v>
      </c>
      <c r="B310" s="730" t="s">
        <v>10112</v>
      </c>
      <c r="C310" s="361" t="s">
        <v>10113</v>
      </c>
      <c r="D310" s="361" t="s">
        <v>10036</v>
      </c>
      <c r="E310" s="361" t="s">
        <v>1732</v>
      </c>
      <c r="F310" s="361" t="s">
        <v>9205</v>
      </c>
      <c r="G310" s="376"/>
      <c r="H310" s="361"/>
      <c r="I310" s="361" t="s">
        <v>10052</v>
      </c>
      <c r="J310" s="361"/>
      <c r="K310" s="361"/>
      <c r="L310" s="361"/>
      <c r="M310" s="361"/>
      <c r="N310" s="361"/>
      <c r="O310" s="361"/>
      <c r="P310" s="361"/>
      <c r="Q310" s="358" t="s">
        <v>9207</v>
      </c>
      <c r="R310" s="361"/>
      <c r="S310" s="361"/>
      <c r="T310" s="377" t="str">
        <f t="shared" si="7"/>
        <v>SOA0031-001 - Normal Inquiry</v>
      </c>
      <c r="U310" s="359"/>
      <c r="V310" s="359"/>
      <c r="W310" s="359"/>
      <c r="X310" s="359"/>
      <c r="Y310" s="359"/>
      <c r="Z310" s="364">
        <v>44907</v>
      </c>
      <c r="AA310" s="359" t="s">
        <v>254</v>
      </c>
    </row>
    <row r="311" spans="1:27">
      <c r="A311" s="769"/>
      <c r="B311" s="769"/>
      <c r="C311" s="357" t="s">
        <v>10114</v>
      </c>
      <c r="D311" s="357" t="s">
        <v>10039</v>
      </c>
      <c r="E311" s="357" t="s">
        <v>1732</v>
      </c>
      <c r="F311" s="357" t="s">
        <v>9205</v>
      </c>
      <c r="G311" s="375"/>
      <c r="H311" s="357"/>
      <c r="I311" s="357" t="s">
        <v>10052</v>
      </c>
      <c r="J311" s="357"/>
      <c r="K311" s="357"/>
      <c r="L311" s="357"/>
      <c r="M311" s="357"/>
      <c r="N311" s="357"/>
      <c r="O311" s="357"/>
      <c r="P311" s="357"/>
      <c r="Q311" s="241" t="s">
        <v>7371</v>
      </c>
      <c r="R311" s="357"/>
      <c r="S311" s="357"/>
      <c r="T311" s="359"/>
      <c r="U311" s="359"/>
      <c r="V311" s="359"/>
      <c r="W311" s="359"/>
      <c r="X311" s="359"/>
      <c r="Y311" s="359"/>
      <c r="Z311" s="364"/>
      <c r="AA311" s="359"/>
    </row>
    <row r="312" spans="1:27">
      <c r="A312" s="769"/>
      <c r="B312" s="769"/>
      <c r="C312" s="361" t="s">
        <v>10115</v>
      </c>
      <c r="D312" s="361" t="s">
        <v>10116</v>
      </c>
      <c r="E312" s="361" t="s">
        <v>1743</v>
      </c>
      <c r="F312" s="361" t="s">
        <v>9205</v>
      </c>
      <c r="G312" s="376"/>
      <c r="H312" s="361"/>
      <c r="I312" s="361"/>
      <c r="J312" s="361"/>
      <c r="K312" s="361"/>
      <c r="L312" s="361"/>
      <c r="M312" s="361"/>
      <c r="N312" s="361"/>
      <c r="O312" s="361"/>
      <c r="P312" s="361"/>
      <c r="Q312" s="358" t="s">
        <v>9207</v>
      </c>
      <c r="R312" s="361"/>
      <c r="S312" s="361"/>
      <c r="T312" s="377" t="str">
        <f t="shared" ref="T312:T349" si="8">CONCATENATE(C312, " - ", D312)</f>
        <v>SOA0031-003 - Abnormal Payment Biaya Loket Tidak Sesuai</v>
      </c>
      <c r="U312" s="359"/>
      <c r="V312" s="359"/>
      <c r="W312" s="359"/>
      <c r="X312" s="359"/>
      <c r="Y312" s="359"/>
      <c r="Z312" s="364">
        <v>44907</v>
      </c>
      <c r="AA312" s="359" t="s">
        <v>254</v>
      </c>
    </row>
    <row r="313" spans="1:27">
      <c r="A313" s="731" t="s">
        <v>10117</v>
      </c>
      <c r="B313" s="731" t="s">
        <v>10118</v>
      </c>
      <c r="C313" s="357" t="s">
        <v>10119</v>
      </c>
      <c r="D313" s="357" t="s">
        <v>10120</v>
      </c>
      <c r="E313" s="357" t="s">
        <v>1732</v>
      </c>
      <c r="F313" s="357" t="s">
        <v>9205</v>
      </c>
      <c r="G313" s="723" t="s">
        <v>9494</v>
      </c>
      <c r="H313" s="357"/>
      <c r="I313" s="357" t="s">
        <v>10052</v>
      </c>
      <c r="J313" s="357"/>
      <c r="K313" s="357"/>
      <c r="L313" s="357"/>
      <c r="M313" s="357"/>
      <c r="N313" s="357"/>
      <c r="O313" s="357"/>
      <c r="P313" s="357"/>
      <c r="Q313" s="358" t="s">
        <v>9207</v>
      </c>
      <c r="R313" s="357"/>
      <c r="S313" s="357"/>
      <c r="T313" s="377" t="str">
        <f t="shared" si="8"/>
        <v xml:space="preserve">SOA0032-001 - Normal Inquiry </v>
      </c>
      <c r="U313" s="359"/>
      <c r="V313" s="359"/>
      <c r="W313" s="359"/>
      <c r="X313" s="359"/>
      <c r="Y313" s="359"/>
      <c r="Z313" s="364">
        <v>44909</v>
      </c>
      <c r="AA313" s="359" t="s">
        <v>254</v>
      </c>
    </row>
    <row r="314" spans="1:27">
      <c r="A314" s="769"/>
      <c r="B314" s="769"/>
      <c r="C314" s="361" t="s">
        <v>10121</v>
      </c>
      <c r="D314" s="361" t="s">
        <v>10039</v>
      </c>
      <c r="E314" s="361" t="s">
        <v>1732</v>
      </c>
      <c r="F314" s="361" t="s">
        <v>9205</v>
      </c>
      <c r="G314" s="769"/>
      <c r="H314" s="361"/>
      <c r="I314" s="361" t="s">
        <v>10052</v>
      </c>
      <c r="J314" s="361"/>
      <c r="K314" s="361"/>
      <c r="L314" s="361"/>
      <c r="M314" s="361"/>
      <c r="N314" s="361"/>
      <c r="O314" s="361"/>
      <c r="P314" s="361"/>
      <c r="Q314" s="358" t="s">
        <v>9207</v>
      </c>
      <c r="R314" s="361"/>
      <c r="S314" s="361"/>
      <c r="T314" s="377" t="str">
        <f t="shared" si="8"/>
        <v>SOA0032-002 - Normal Payment</v>
      </c>
      <c r="U314" s="359"/>
      <c r="V314" s="359"/>
      <c r="W314" s="359"/>
      <c r="X314" s="359"/>
      <c r="Y314" s="359"/>
      <c r="Z314" s="364">
        <v>44909</v>
      </c>
      <c r="AA314" s="359" t="s">
        <v>254</v>
      </c>
    </row>
    <row r="315" spans="1:27">
      <c r="A315" s="769"/>
      <c r="B315" s="769"/>
      <c r="C315" s="357" t="s">
        <v>10122</v>
      </c>
      <c r="D315" s="357" t="s">
        <v>10123</v>
      </c>
      <c r="E315" s="357" t="s">
        <v>1743</v>
      </c>
      <c r="F315" s="357" t="s">
        <v>9205</v>
      </c>
      <c r="G315" s="769"/>
      <c r="H315" s="357"/>
      <c r="I315" s="357"/>
      <c r="J315" s="357"/>
      <c r="K315" s="357"/>
      <c r="L315" s="357"/>
      <c r="M315" s="357"/>
      <c r="N315" s="357"/>
      <c r="O315" s="357"/>
      <c r="P315" s="357"/>
      <c r="Q315" s="358" t="s">
        <v>9207</v>
      </c>
      <c r="R315" s="357"/>
      <c r="S315" s="357"/>
      <c r="T315" s="377" t="str">
        <f t="shared" si="8"/>
        <v>SOA0032-003 - Abnormal User Down</v>
      </c>
      <c r="U315" s="359"/>
      <c r="V315" s="359"/>
      <c r="W315" s="359"/>
      <c r="X315" s="359"/>
      <c r="Y315" s="359"/>
      <c r="Z315" s="364">
        <v>44909</v>
      </c>
      <c r="AA315" s="359" t="s">
        <v>254</v>
      </c>
    </row>
    <row r="316" spans="1:27">
      <c r="A316" s="769"/>
      <c r="B316" s="769"/>
      <c r="C316" s="361" t="s">
        <v>10124</v>
      </c>
      <c r="D316" s="361" t="s">
        <v>10125</v>
      </c>
      <c r="E316" s="361" t="s">
        <v>1743</v>
      </c>
      <c r="F316" s="361" t="s">
        <v>9205</v>
      </c>
      <c r="G316" s="769"/>
      <c r="H316" s="361"/>
      <c r="I316" s="361"/>
      <c r="J316" s="361"/>
      <c r="K316" s="361"/>
      <c r="L316" s="361"/>
      <c r="M316" s="361"/>
      <c r="N316" s="361"/>
      <c r="O316" s="361"/>
      <c r="P316" s="361"/>
      <c r="Q316" s="358" t="s">
        <v>9207</v>
      </c>
      <c r="R316" s="361"/>
      <c r="S316" s="361"/>
      <c r="T316" s="377" t="str">
        <f t="shared" si="8"/>
        <v>SOA0032-004 - Abnormal Accout Invalid</v>
      </c>
      <c r="U316" s="359"/>
      <c r="V316" s="359"/>
      <c r="W316" s="359"/>
      <c r="X316" s="359"/>
      <c r="Y316" s="359"/>
      <c r="Z316" s="364">
        <v>44909</v>
      </c>
      <c r="AA316" s="359" t="s">
        <v>254</v>
      </c>
    </row>
    <row r="317" spans="1:27">
      <c r="A317" s="769"/>
      <c r="B317" s="769"/>
      <c r="C317" s="357" t="s">
        <v>10126</v>
      </c>
      <c r="D317" s="357" t="s">
        <v>10127</v>
      </c>
      <c r="E317" s="357" t="s">
        <v>1743</v>
      </c>
      <c r="F317" s="357" t="s">
        <v>9205</v>
      </c>
      <c r="G317" s="769"/>
      <c r="H317" s="357"/>
      <c r="I317" s="357"/>
      <c r="J317" s="357"/>
      <c r="K317" s="357"/>
      <c r="L317" s="357"/>
      <c r="M317" s="357"/>
      <c r="N317" s="357"/>
      <c r="O317" s="357"/>
      <c r="P317" s="357"/>
      <c r="Q317" s="358" t="s">
        <v>9207</v>
      </c>
      <c r="R317" s="357"/>
      <c r="S317" s="357"/>
      <c r="T317" s="377" t="str">
        <f t="shared" si="8"/>
        <v>SOA0032-005 - Abnormal Rekening Tidak Cukup</v>
      </c>
      <c r="U317" s="359"/>
      <c r="V317" s="359"/>
      <c r="W317" s="359"/>
      <c r="X317" s="359"/>
      <c r="Y317" s="359"/>
      <c r="Z317" s="364">
        <v>44909</v>
      </c>
      <c r="AA317" s="359" t="s">
        <v>254</v>
      </c>
    </row>
    <row r="318" spans="1:27">
      <c r="A318" s="769"/>
      <c r="B318" s="769"/>
      <c r="C318" s="361" t="s">
        <v>10128</v>
      </c>
      <c r="D318" s="361" t="s">
        <v>10129</v>
      </c>
      <c r="E318" s="361" t="s">
        <v>1743</v>
      </c>
      <c r="F318" s="361" t="s">
        <v>9205</v>
      </c>
      <c r="G318" s="769"/>
      <c r="H318" s="361"/>
      <c r="I318" s="361"/>
      <c r="J318" s="361"/>
      <c r="K318" s="361"/>
      <c r="L318" s="361"/>
      <c r="M318" s="361"/>
      <c r="N318" s="361"/>
      <c r="O318" s="361"/>
      <c r="P318" s="361"/>
      <c r="Q318" s="358" t="s">
        <v>9207</v>
      </c>
      <c r="R318" s="361"/>
      <c r="S318" s="361"/>
      <c r="T318" s="377" t="str">
        <f t="shared" si="8"/>
        <v>SOA0032-006 - Abnormal Duplicate Refference Number</v>
      </c>
      <c r="U318" s="359"/>
      <c r="V318" s="359"/>
      <c r="W318" s="359"/>
      <c r="X318" s="359"/>
      <c r="Y318" s="359"/>
      <c r="Z318" s="364">
        <v>44909</v>
      </c>
      <c r="AA318" s="359" t="s">
        <v>254</v>
      </c>
    </row>
    <row r="319" spans="1:27">
      <c r="A319" s="731" t="s">
        <v>10130</v>
      </c>
      <c r="B319" s="731" t="s">
        <v>10131</v>
      </c>
      <c r="C319" s="357" t="s">
        <v>10132</v>
      </c>
      <c r="D319" s="357" t="s">
        <v>10036</v>
      </c>
      <c r="E319" s="357" t="s">
        <v>1732</v>
      </c>
      <c r="F319" s="357" t="s">
        <v>9205</v>
      </c>
      <c r="G319" s="723" t="s">
        <v>9949</v>
      </c>
      <c r="H319" s="357"/>
      <c r="I319" s="357"/>
      <c r="J319" s="357"/>
      <c r="K319" s="357"/>
      <c r="L319" s="357"/>
      <c r="M319" s="357"/>
      <c r="N319" s="357"/>
      <c r="O319" s="357"/>
      <c r="P319" s="357"/>
      <c r="Q319" s="358" t="s">
        <v>9207</v>
      </c>
      <c r="R319" s="357"/>
      <c r="S319" s="357"/>
      <c r="T319" s="377" t="str">
        <f t="shared" si="8"/>
        <v>SOA0033-001 - Normal Inquiry</v>
      </c>
      <c r="U319" s="359"/>
      <c r="V319" s="359"/>
      <c r="W319" s="359"/>
      <c r="X319" s="359"/>
      <c r="Y319" s="359"/>
      <c r="Z319" s="364">
        <v>44915</v>
      </c>
      <c r="AA319" s="359" t="s">
        <v>254</v>
      </c>
    </row>
    <row r="320" spans="1:27">
      <c r="A320" s="769"/>
      <c r="B320" s="769"/>
      <c r="C320" s="361" t="s">
        <v>10133</v>
      </c>
      <c r="D320" s="361" t="s">
        <v>10134</v>
      </c>
      <c r="E320" s="361" t="s">
        <v>1743</v>
      </c>
      <c r="F320" s="361" t="s">
        <v>9205</v>
      </c>
      <c r="G320" s="769"/>
      <c r="H320" s="361"/>
      <c r="I320" s="361"/>
      <c r="J320" s="361"/>
      <c r="K320" s="361"/>
      <c r="L320" s="361"/>
      <c r="M320" s="361"/>
      <c r="N320" s="361"/>
      <c r="O320" s="361"/>
      <c r="P320" s="361"/>
      <c r="Q320" s="358" t="s">
        <v>9207</v>
      </c>
      <c r="R320" s="361"/>
      <c r="S320" s="361"/>
      <c r="T320" s="377" t="str">
        <f t="shared" si="8"/>
        <v>SOA0033-002 - Abnormal Inquiry - Institusi Kosong</v>
      </c>
      <c r="U320" s="359"/>
      <c r="V320" s="359"/>
      <c r="W320" s="359"/>
      <c r="X320" s="359"/>
      <c r="Y320" s="359"/>
      <c r="Z320" s="364">
        <v>44915</v>
      </c>
      <c r="AA320" s="359" t="s">
        <v>254</v>
      </c>
    </row>
    <row r="321" spans="1:27">
      <c r="A321" s="769"/>
      <c r="B321" s="769"/>
      <c r="C321" s="357" t="s">
        <v>10135</v>
      </c>
      <c r="D321" s="357" t="s">
        <v>10136</v>
      </c>
      <c r="E321" s="357" t="s">
        <v>1743</v>
      </c>
      <c r="F321" s="357" t="s">
        <v>9205</v>
      </c>
      <c r="G321" s="769"/>
      <c r="H321" s="357"/>
      <c r="I321" s="357"/>
      <c r="J321" s="357"/>
      <c r="K321" s="357"/>
      <c r="L321" s="357"/>
      <c r="M321" s="357"/>
      <c r="N321" s="357"/>
      <c r="O321" s="357"/>
      <c r="P321" s="357"/>
      <c r="Q321" s="358" t="s">
        <v>9207</v>
      </c>
      <c r="R321" s="357"/>
      <c r="S321" s="357"/>
      <c r="T321" s="377" t="str">
        <f t="shared" si="8"/>
        <v>SOA0033-003 - Abnormal Inquiry - Billercode kosong</v>
      </c>
      <c r="U321" s="359"/>
      <c r="V321" s="359"/>
      <c r="W321" s="359"/>
      <c r="X321" s="359"/>
      <c r="Y321" s="359"/>
      <c r="Z321" s="364">
        <v>44915</v>
      </c>
      <c r="AA321" s="359" t="s">
        <v>254</v>
      </c>
    </row>
    <row r="322" spans="1:27">
      <c r="A322" s="769"/>
      <c r="B322" s="769"/>
      <c r="C322" s="361" t="s">
        <v>10137</v>
      </c>
      <c r="D322" s="361" t="s">
        <v>10138</v>
      </c>
      <c r="E322" s="361" t="s">
        <v>1743</v>
      </c>
      <c r="F322" s="361" t="s">
        <v>9205</v>
      </c>
      <c r="G322" s="769"/>
      <c r="H322" s="361"/>
      <c r="I322" s="361"/>
      <c r="J322" s="361"/>
      <c r="K322" s="361"/>
      <c r="L322" s="361"/>
      <c r="M322" s="361"/>
      <c r="N322" s="361"/>
      <c r="O322" s="361"/>
      <c r="P322" s="361"/>
      <c r="Q322" s="358" t="s">
        <v>9207</v>
      </c>
      <c r="R322" s="361"/>
      <c r="S322" s="361"/>
      <c r="T322" s="377" t="str">
        <f t="shared" si="8"/>
        <v>SOA0033-004 - Abnormal Inquiry - Region Kosong</v>
      </c>
      <c r="U322" s="359"/>
      <c r="V322" s="359"/>
      <c r="W322" s="359"/>
      <c r="X322" s="359"/>
      <c r="Y322" s="359"/>
      <c r="Z322" s="364">
        <v>44915</v>
      </c>
      <c r="AA322" s="359" t="s">
        <v>254</v>
      </c>
    </row>
    <row r="323" spans="1:27">
      <c r="A323" s="731" t="s">
        <v>10139</v>
      </c>
      <c r="B323" s="731" t="s">
        <v>10140</v>
      </c>
      <c r="C323" s="357" t="s">
        <v>10141</v>
      </c>
      <c r="D323" s="357" t="s">
        <v>10142</v>
      </c>
      <c r="E323" s="357" t="s">
        <v>1732</v>
      </c>
      <c r="F323" s="357" t="s">
        <v>9205</v>
      </c>
      <c r="G323" s="723" t="s">
        <v>10143</v>
      </c>
      <c r="H323" s="357"/>
      <c r="I323" s="357"/>
      <c r="J323" s="357"/>
      <c r="K323" s="357"/>
      <c r="L323" s="357"/>
      <c r="M323" s="357" t="s">
        <v>10144</v>
      </c>
      <c r="N323" s="378" t="s">
        <v>1736</v>
      </c>
      <c r="O323" s="357"/>
      <c r="P323" s="357"/>
      <c r="Q323" s="358" t="s">
        <v>9207</v>
      </c>
      <c r="R323" s="357"/>
      <c r="S323" s="357"/>
      <c r="T323" s="377" t="str">
        <f t="shared" si="8"/>
        <v>SOA0034-001 - Normal Melakukan Pembayaran e-PAD sesuai kode transaksi Denda = 0</v>
      </c>
      <c r="U323" s="359"/>
      <c r="V323" s="359"/>
      <c r="W323" s="359"/>
      <c r="X323" s="359"/>
      <c r="Y323" s="359"/>
      <c r="Z323" s="364">
        <v>44931</v>
      </c>
      <c r="AA323" s="359" t="s">
        <v>254</v>
      </c>
    </row>
    <row r="324" spans="1:27">
      <c r="A324" s="769"/>
      <c r="B324" s="769"/>
      <c r="C324" s="361" t="s">
        <v>10145</v>
      </c>
      <c r="D324" s="361" t="s">
        <v>10146</v>
      </c>
      <c r="E324" s="361" t="s">
        <v>1732</v>
      </c>
      <c r="F324" s="361" t="s">
        <v>9205</v>
      </c>
      <c r="G324" s="769"/>
      <c r="H324" s="361"/>
      <c r="I324" s="361"/>
      <c r="J324" s="361"/>
      <c r="K324" s="361"/>
      <c r="L324" s="361"/>
      <c r="M324" s="361" t="s">
        <v>10144</v>
      </c>
      <c r="N324" s="379" t="s">
        <v>1736</v>
      </c>
      <c r="O324" s="361"/>
      <c r="P324" s="361"/>
      <c r="Q324" s="358" t="s">
        <v>9207</v>
      </c>
      <c r="R324" s="361"/>
      <c r="S324" s="361"/>
      <c r="T324" s="377" t="str">
        <f t="shared" si="8"/>
        <v>SOA0034-002 - Pembayaran e-PAD sesuai kode transaksi Denda lebih dari 0</v>
      </c>
      <c r="U324" s="359"/>
      <c r="V324" s="359"/>
      <c r="W324" s="359"/>
      <c r="X324" s="359"/>
      <c r="Y324" s="359"/>
      <c r="Z324" s="364">
        <v>44931</v>
      </c>
      <c r="AA324" s="359" t="s">
        <v>254</v>
      </c>
    </row>
    <row r="325" spans="1:27">
      <c r="A325" s="769"/>
      <c r="B325" s="769"/>
      <c r="C325" s="357" t="s">
        <v>10147</v>
      </c>
      <c r="D325" s="357" t="s">
        <v>10148</v>
      </c>
      <c r="E325" s="357" t="s">
        <v>1732</v>
      </c>
      <c r="F325" s="357" t="s">
        <v>9205</v>
      </c>
      <c r="G325" s="769"/>
      <c r="H325" s="357"/>
      <c r="I325" s="357"/>
      <c r="J325" s="357"/>
      <c r="K325" s="357"/>
      <c r="L325" s="357"/>
      <c r="M325" s="357" t="s">
        <v>10144</v>
      </c>
      <c r="N325" s="378" t="s">
        <v>1736</v>
      </c>
      <c r="O325" s="357"/>
      <c r="P325" s="357"/>
      <c r="Q325" s="358" t="s">
        <v>9207</v>
      </c>
      <c r="R325" s="357"/>
      <c r="S325" s="357"/>
      <c r="T325" s="377" t="str">
        <f t="shared" si="8"/>
        <v>SOA0034-003 - Inquiry e-PAD kondisi Kode Billing atau Kode Bayar Kosong</v>
      </c>
      <c r="U325" s="359"/>
      <c r="V325" s="359"/>
      <c r="W325" s="359"/>
      <c r="X325" s="359"/>
      <c r="Y325" s="359"/>
      <c r="Z325" s="364">
        <v>44931</v>
      </c>
      <c r="AA325" s="359" t="s">
        <v>254</v>
      </c>
    </row>
    <row r="326" spans="1:27">
      <c r="A326" s="769"/>
      <c r="B326" s="769"/>
      <c r="C326" s="361" t="s">
        <v>10149</v>
      </c>
      <c r="D326" s="361" t="s">
        <v>10150</v>
      </c>
      <c r="E326" s="361" t="s">
        <v>1743</v>
      </c>
      <c r="F326" s="361" t="s">
        <v>9205</v>
      </c>
      <c r="G326" s="769"/>
      <c r="H326" s="361"/>
      <c r="I326" s="361"/>
      <c r="J326" s="361"/>
      <c r="K326" s="361"/>
      <c r="L326" s="361"/>
      <c r="M326" s="361" t="s">
        <v>10144</v>
      </c>
      <c r="N326" s="379" t="s">
        <v>1736</v>
      </c>
      <c r="O326" s="361"/>
      <c r="P326" s="361"/>
      <c r="Q326" s="358" t="s">
        <v>9207</v>
      </c>
      <c r="R326" s="361"/>
      <c r="S326" s="361"/>
      <c r="T326" s="377" t="str">
        <f t="shared" si="8"/>
        <v>SOA0034-004 - Abnormal Inquiry e-PAD kondisi Salah No Tagihan atau Tidak Ditemukan</v>
      </c>
      <c r="U326" s="359"/>
      <c r="V326" s="359"/>
      <c r="W326" s="359"/>
      <c r="X326" s="359"/>
      <c r="Y326" s="359"/>
      <c r="Z326" s="364">
        <v>44931</v>
      </c>
      <c r="AA326" s="359" t="s">
        <v>254</v>
      </c>
    </row>
    <row r="327" spans="1:27">
      <c r="A327" s="769"/>
      <c r="B327" s="769"/>
      <c r="C327" s="357" t="s">
        <v>10151</v>
      </c>
      <c r="D327" s="357" t="s">
        <v>10152</v>
      </c>
      <c r="E327" s="357" t="s">
        <v>1743</v>
      </c>
      <c r="F327" s="357" t="s">
        <v>9205</v>
      </c>
      <c r="G327" s="769"/>
      <c r="H327" s="357"/>
      <c r="I327" s="357"/>
      <c r="J327" s="357"/>
      <c r="K327" s="357"/>
      <c r="L327" s="357"/>
      <c r="M327" s="357" t="s">
        <v>10144</v>
      </c>
      <c r="N327" s="378" t="s">
        <v>1736</v>
      </c>
      <c r="O327" s="357"/>
      <c r="P327" s="357"/>
      <c r="Q327" s="358" t="s">
        <v>9207</v>
      </c>
      <c r="R327" s="357"/>
      <c r="S327" s="357"/>
      <c r="T327" s="377" t="str">
        <f t="shared" si="8"/>
        <v>SOA0034-005 - Abnormal Inquiry e-PAD kondisi tagihan sudah terbayar</v>
      </c>
      <c r="U327" s="359"/>
      <c r="V327" s="359"/>
      <c r="W327" s="359"/>
      <c r="X327" s="359"/>
      <c r="Y327" s="359"/>
      <c r="Z327" s="364">
        <v>44931</v>
      </c>
      <c r="AA327" s="359" t="s">
        <v>254</v>
      </c>
    </row>
    <row r="328" spans="1:27">
      <c r="A328" s="769"/>
      <c r="B328" s="769"/>
      <c r="C328" s="361" t="s">
        <v>10153</v>
      </c>
      <c r="D328" s="361" t="s">
        <v>10154</v>
      </c>
      <c r="E328" s="361" t="s">
        <v>1743</v>
      </c>
      <c r="F328" s="361" t="s">
        <v>9205</v>
      </c>
      <c r="G328" s="769"/>
      <c r="H328" s="361"/>
      <c r="I328" s="361"/>
      <c r="J328" s="361"/>
      <c r="K328" s="361"/>
      <c r="L328" s="361"/>
      <c r="M328" s="361" t="s">
        <v>10144</v>
      </c>
      <c r="N328" s="379" t="s">
        <v>1736</v>
      </c>
      <c r="O328" s="361"/>
      <c r="P328" s="361"/>
      <c r="Q328" s="358" t="s">
        <v>9207</v>
      </c>
      <c r="R328" s="361"/>
      <c r="S328" s="361"/>
      <c r="T328" s="377" t="str">
        <f t="shared" si="8"/>
        <v>SOA0034-006 - Abnormal Pembayaran e-PAD kondisi saldo rekening debit tidak cukup</v>
      </c>
      <c r="U328" s="359"/>
      <c r="V328" s="359"/>
      <c r="W328" s="359"/>
      <c r="X328" s="359"/>
      <c r="Y328" s="359"/>
      <c r="Z328" s="364">
        <v>44932</v>
      </c>
      <c r="AA328" s="359" t="s">
        <v>254</v>
      </c>
    </row>
    <row r="329" spans="1:27">
      <c r="A329" s="769"/>
      <c r="B329" s="769"/>
      <c r="C329" s="357" t="s">
        <v>10155</v>
      </c>
      <c r="D329" s="357" t="s">
        <v>10156</v>
      </c>
      <c r="E329" s="357" t="s">
        <v>1743</v>
      </c>
      <c r="F329" s="357" t="s">
        <v>9205</v>
      </c>
      <c r="G329" s="769"/>
      <c r="H329" s="357"/>
      <c r="I329" s="357"/>
      <c r="J329" s="357"/>
      <c r="K329" s="357"/>
      <c r="L329" s="357"/>
      <c r="M329" s="357" t="s">
        <v>10144</v>
      </c>
      <c r="N329" s="378" t="s">
        <v>1736</v>
      </c>
      <c r="O329" s="357"/>
      <c r="P329" s="357"/>
      <c r="Q329" s="358" t="s">
        <v>9207</v>
      </c>
      <c r="R329" s="357"/>
      <c r="S329" s="357"/>
      <c r="T329" s="377" t="str">
        <f t="shared" si="8"/>
        <v>SOA0034-007 - Abnormal inquiry e-PAD kondisi timeout switcher</v>
      </c>
      <c r="U329" s="359"/>
      <c r="V329" s="359"/>
      <c r="W329" s="359"/>
      <c r="X329" s="359"/>
      <c r="Y329" s="359"/>
      <c r="Z329" s="364">
        <v>44932</v>
      </c>
      <c r="AA329" s="359" t="s">
        <v>254</v>
      </c>
    </row>
    <row r="330" spans="1:27">
      <c r="A330" s="769"/>
      <c r="B330" s="769"/>
      <c r="C330" s="361" t="s">
        <v>10157</v>
      </c>
      <c r="D330" s="361" t="s">
        <v>10158</v>
      </c>
      <c r="E330" s="361" t="s">
        <v>1743</v>
      </c>
      <c r="F330" s="361" t="s">
        <v>9205</v>
      </c>
      <c r="G330" s="769"/>
      <c r="H330" s="361"/>
      <c r="I330" s="361"/>
      <c r="J330" s="361"/>
      <c r="K330" s="361"/>
      <c r="L330" s="361"/>
      <c r="M330" s="361" t="s">
        <v>10144</v>
      </c>
      <c r="N330" s="379" t="s">
        <v>1736</v>
      </c>
      <c r="O330" s="361"/>
      <c r="P330" s="361"/>
      <c r="Q330" s="358" t="s">
        <v>9207</v>
      </c>
      <c r="R330" s="361"/>
      <c r="S330" s="361"/>
      <c r="T330" s="377" t="str">
        <f t="shared" si="8"/>
        <v>SOA0034-008 - Abnormal Pembayaran e-PAD kondisi timeout switcher</v>
      </c>
      <c r="U330" s="359"/>
      <c r="V330" s="359"/>
      <c r="W330" s="359"/>
      <c r="X330" s="359"/>
      <c r="Y330" s="359"/>
      <c r="Z330" s="364">
        <v>44932</v>
      </c>
      <c r="AA330" s="359" t="s">
        <v>254</v>
      </c>
    </row>
    <row r="331" spans="1:27">
      <c r="A331" s="769"/>
      <c r="B331" s="769"/>
      <c r="C331" s="357" t="s">
        <v>10159</v>
      </c>
      <c r="D331" s="357" t="s">
        <v>10160</v>
      </c>
      <c r="E331" s="357" t="s">
        <v>1743</v>
      </c>
      <c r="F331" s="357" t="s">
        <v>9205</v>
      </c>
      <c r="G331" s="769"/>
      <c r="H331" s="357"/>
      <c r="I331" s="357"/>
      <c r="J331" s="357"/>
      <c r="K331" s="357"/>
      <c r="L331" s="357"/>
      <c r="M331" s="357" t="s">
        <v>10144</v>
      </c>
      <c r="N331" s="378" t="s">
        <v>1736</v>
      </c>
      <c r="O331" s="357"/>
      <c r="P331" s="357"/>
      <c r="Q331" s="358" t="s">
        <v>9207</v>
      </c>
      <c r="R331" s="357"/>
      <c r="S331" s="357"/>
      <c r="T331" s="377" t="str">
        <f t="shared" si="8"/>
        <v>SOA0034-009 - Abnormal Inquiry e-PAD kondisi RC selain 00 dari switcher</v>
      </c>
      <c r="U331" s="359"/>
      <c r="V331" s="359"/>
      <c r="W331" s="359"/>
      <c r="X331" s="359"/>
      <c r="Y331" s="359"/>
      <c r="Z331" s="364">
        <v>44932</v>
      </c>
      <c r="AA331" s="359" t="s">
        <v>254</v>
      </c>
    </row>
    <row r="332" spans="1:27">
      <c r="A332" s="769"/>
      <c r="B332" s="769"/>
      <c r="C332" s="361" t="s">
        <v>10161</v>
      </c>
      <c r="D332" s="361" t="s">
        <v>10162</v>
      </c>
      <c r="E332" s="361" t="s">
        <v>1743</v>
      </c>
      <c r="F332" s="361" t="s">
        <v>9205</v>
      </c>
      <c r="G332" s="769"/>
      <c r="H332" s="361"/>
      <c r="I332" s="361"/>
      <c r="J332" s="361"/>
      <c r="K332" s="361"/>
      <c r="L332" s="361"/>
      <c r="M332" s="361" t="s">
        <v>10144</v>
      </c>
      <c r="N332" s="379" t="s">
        <v>1736</v>
      </c>
      <c r="O332" s="361"/>
      <c r="P332" s="361"/>
      <c r="Q332" s="358" t="s">
        <v>9207</v>
      </c>
      <c r="R332" s="361"/>
      <c r="S332" s="361"/>
      <c r="T332" s="377" t="str">
        <f t="shared" si="8"/>
        <v>SOA0034-010 - Abnormal Pembayaran e-PAD kondisi RC selain 00 dari switcher pada saat payment</v>
      </c>
      <c r="U332" s="359"/>
      <c r="V332" s="359"/>
      <c r="W332" s="359"/>
      <c r="X332" s="359"/>
      <c r="Y332" s="359"/>
      <c r="Z332" s="364">
        <v>44932</v>
      </c>
      <c r="AA332" s="359" t="s">
        <v>254</v>
      </c>
    </row>
    <row r="333" spans="1:27">
      <c r="A333" s="769"/>
      <c r="B333" s="769"/>
      <c r="C333" s="357" t="s">
        <v>10163</v>
      </c>
      <c r="D333" s="357" t="s">
        <v>10164</v>
      </c>
      <c r="E333" s="357" t="s">
        <v>1743</v>
      </c>
      <c r="F333" s="357" t="s">
        <v>9205</v>
      </c>
      <c r="G333" s="769"/>
      <c r="H333" s="357"/>
      <c r="I333" s="357"/>
      <c r="J333" s="357"/>
      <c r="K333" s="357"/>
      <c r="L333" s="357"/>
      <c r="M333" s="357" t="s">
        <v>10144</v>
      </c>
      <c r="N333" s="378" t="s">
        <v>1736</v>
      </c>
      <c r="O333" s="357"/>
      <c r="P333" s="357"/>
      <c r="Q333" s="358" t="s">
        <v>9207</v>
      </c>
      <c r="R333" s="357"/>
      <c r="S333" s="357"/>
      <c r="T333" s="377" t="str">
        <f t="shared" si="8"/>
        <v>SOA0034-011 - Abnormal Pembayaran e-PAD kondisi pin/ password transaksi kosong</v>
      </c>
      <c r="U333" s="359"/>
      <c r="V333" s="359"/>
      <c r="W333" s="359"/>
      <c r="X333" s="359"/>
      <c r="Y333" s="359"/>
      <c r="Z333" s="364">
        <v>44932</v>
      </c>
      <c r="AA333" s="359" t="s">
        <v>254</v>
      </c>
    </row>
    <row r="334" spans="1:27">
      <c r="A334" s="769"/>
      <c r="B334" s="769"/>
      <c r="C334" s="361" t="s">
        <v>10165</v>
      </c>
      <c r="D334" s="361" t="s">
        <v>10166</v>
      </c>
      <c r="E334" s="361" t="s">
        <v>1743</v>
      </c>
      <c r="F334" s="361" t="s">
        <v>9205</v>
      </c>
      <c r="G334" s="769"/>
      <c r="H334" s="361"/>
      <c r="I334" s="361"/>
      <c r="J334" s="361"/>
      <c r="K334" s="361"/>
      <c r="L334" s="361"/>
      <c r="M334" s="361" t="s">
        <v>10144</v>
      </c>
      <c r="N334" s="379" t="s">
        <v>1736</v>
      </c>
      <c r="O334" s="361"/>
      <c r="P334" s="361"/>
      <c r="Q334" s="358" t="s">
        <v>9207</v>
      </c>
      <c r="R334" s="361"/>
      <c r="S334" s="361"/>
      <c r="T334" s="377" t="str">
        <f t="shared" si="8"/>
        <v>SOA0034-012 - Abnormal Pembayaran e-PAD kondisi pin/ password transaksi salah</v>
      </c>
      <c r="U334" s="359"/>
      <c r="V334" s="359"/>
      <c r="W334" s="359"/>
      <c r="X334" s="359"/>
      <c r="Y334" s="359"/>
      <c r="Z334" s="364">
        <v>44932</v>
      </c>
      <c r="AA334" s="359" t="s">
        <v>254</v>
      </c>
    </row>
    <row r="335" spans="1:27">
      <c r="A335" s="769"/>
      <c r="B335" s="769"/>
      <c r="C335" s="357" t="s">
        <v>10167</v>
      </c>
      <c r="D335" s="357" t="s">
        <v>10168</v>
      </c>
      <c r="E335" s="357" t="s">
        <v>1743</v>
      </c>
      <c r="F335" s="357" t="s">
        <v>9205</v>
      </c>
      <c r="G335" s="769"/>
      <c r="H335" s="357"/>
      <c r="I335" s="357"/>
      <c r="J335" s="357"/>
      <c r="K335" s="357"/>
      <c r="L335" s="357"/>
      <c r="M335" s="357" t="s">
        <v>10144</v>
      </c>
      <c r="N335" s="378" t="s">
        <v>1736</v>
      </c>
      <c r="O335" s="357"/>
      <c r="P335" s="357"/>
      <c r="Q335" s="358" t="s">
        <v>9207</v>
      </c>
      <c r="R335" s="357"/>
      <c r="S335" s="357"/>
      <c r="T335" s="377" t="str">
        <f t="shared" si="8"/>
        <v>SOA0034-013 - Abnormal Payment e-PAD Bojonegoro: Melewati Batas Waktu Transaksi</v>
      </c>
      <c r="U335" s="359"/>
      <c r="V335" s="359"/>
      <c r="W335" s="359"/>
      <c r="X335" s="359"/>
      <c r="Y335" s="359"/>
      <c r="Z335" s="364">
        <v>44932</v>
      </c>
      <c r="AA335" s="359" t="s">
        <v>254</v>
      </c>
    </row>
    <row r="336" spans="1:27" ht="18.75" customHeight="1">
      <c r="A336" s="730" t="s">
        <v>10169</v>
      </c>
      <c r="B336" s="730" t="s">
        <v>10170</v>
      </c>
      <c r="C336" s="361" t="s">
        <v>10171</v>
      </c>
      <c r="D336" s="361" t="s">
        <v>10172</v>
      </c>
      <c r="E336" s="361" t="s">
        <v>1732</v>
      </c>
      <c r="F336" s="361" t="s">
        <v>9205</v>
      </c>
      <c r="G336" s="734" t="s">
        <v>10173</v>
      </c>
      <c r="H336" s="361"/>
      <c r="I336" s="361"/>
      <c r="J336" s="361" t="s">
        <v>10174</v>
      </c>
      <c r="K336" s="361"/>
      <c r="L336" s="361"/>
      <c r="M336" s="361"/>
      <c r="N336" s="361"/>
      <c r="O336" s="361"/>
      <c r="P336" s="361"/>
      <c r="Q336" s="358" t="s">
        <v>9207</v>
      </c>
      <c r="R336" s="361"/>
      <c r="S336" s="361"/>
      <c r="T336" s="377" t="str">
        <f t="shared" si="8"/>
        <v>SOA0035-001 - Normal Inquiry Investor Account</v>
      </c>
      <c r="U336" s="359"/>
      <c r="V336" s="359"/>
      <c r="W336" s="359"/>
      <c r="X336" s="359"/>
      <c r="Y336" s="359"/>
      <c r="Z336" s="364">
        <v>44936</v>
      </c>
      <c r="AA336" s="359" t="s">
        <v>254</v>
      </c>
    </row>
    <row r="337" spans="1:27" ht="19.5" customHeight="1">
      <c r="A337" s="769"/>
      <c r="B337" s="769"/>
      <c r="C337" s="357" t="s">
        <v>10175</v>
      </c>
      <c r="D337" s="357" t="s">
        <v>10176</v>
      </c>
      <c r="E337" s="357" t="s">
        <v>1743</v>
      </c>
      <c r="F337" s="357" t="s">
        <v>9205</v>
      </c>
      <c r="G337" s="769"/>
      <c r="H337" s="357"/>
      <c r="I337" s="357"/>
      <c r="J337" s="357" t="s">
        <v>10177</v>
      </c>
      <c r="K337" s="357"/>
      <c r="L337" s="357"/>
      <c r="M337" s="357"/>
      <c r="N337" s="357"/>
      <c r="O337" s="357"/>
      <c r="P337" s="357"/>
      <c r="Q337" s="358" t="s">
        <v>9207</v>
      </c>
      <c r="R337" s="357"/>
      <c r="S337" s="357"/>
      <c r="T337" s="377" t="str">
        <f t="shared" si="8"/>
        <v>SOA0035-002 - Abnormal Inquiry Investor Account: AdminId selain “DOCO”</v>
      </c>
      <c r="U337" s="359"/>
      <c r="V337" s="359"/>
      <c r="W337" s="359"/>
      <c r="X337" s="359"/>
      <c r="Y337" s="359"/>
      <c r="Z337" s="364">
        <v>44936</v>
      </c>
      <c r="AA337" s="359" t="s">
        <v>254</v>
      </c>
    </row>
    <row r="338" spans="1:27" ht="27" customHeight="1">
      <c r="A338" s="769"/>
      <c r="B338" s="769"/>
      <c r="C338" s="361" t="s">
        <v>10178</v>
      </c>
      <c r="D338" s="363" t="s">
        <v>10179</v>
      </c>
      <c r="E338" s="361" t="s">
        <v>1743</v>
      </c>
      <c r="F338" s="361" t="s">
        <v>9205</v>
      </c>
      <c r="G338" s="769"/>
      <c r="H338" s="361"/>
      <c r="I338" s="361"/>
      <c r="J338" s="361" t="s">
        <v>10174</v>
      </c>
      <c r="K338" s="361"/>
      <c r="L338" s="361"/>
      <c r="M338" s="361"/>
      <c r="N338" s="361"/>
      <c r="O338" s="361"/>
      <c r="P338" s="361"/>
      <c r="Q338" s="358" t="s">
        <v>9207</v>
      </c>
      <c r="R338" s="361"/>
      <c r="S338" s="361"/>
      <c r="T338" s="377" t="str">
        <f t="shared" si="8"/>
        <v>SOA0035-003 - Abnormal Inquiry Investor Account: accountNumber tidak terdaftar di P2PL_ACCOUNT_PARAM</v>
      </c>
      <c r="U338" s="359"/>
      <c r="V338" s="359"/>
      <c r="W338" s="359"/>
      <c r="X338" s="359"/>
      <c r="Y338" s="359"/>
      <c r="Z338" s="364">
        <v>44936</v>
      </c>
      <c r="AA338" s="359" t="s">
        <v>254</v>
      </c>
    </row>
    <row r="339" spans="1:27">
      <c r="A339" s="731" t="s">
        <v>10180</v>
      </c>
      <c r="B339" s="731" t="s">
        <v>10181</v>
      </c>
      <c r="C339" s="357" t="s">
        <v>10182</v>
      </c>
      <c r="D339" s="357" t="s">
        <v>10183</v>
      </c>
      <c r="E339" s="357" t="s">
        <v>1732</v>
      </c>
      <c r="F339" s="357" t="s">
        <v>9205</v>
      </c>
      <c r="G339" s="562" t="s">
        <v>10184</v>
      </c>
      <c r="H339" s="357"/>
      <c r="I339" s="357"/>
      <c r="J339" s="357"/>
      <c r="K339" s="357"/>
      <c r="L339" s="357"/>
      <c r="M339" s="357"/>
      <c r="N339" s="357"/>
      <c r="O339" s="357"/>
      <c r="P339" s="357"/>
      <c r="Q339" s="358" t="s">
        <v>9207</v>
      </c>
      <c r="R339" s="357"/>
      <c r="S339" s="357"/>
      <c r="T339" s="377" t="str">
        <f t="shared" si="8"/>
        <v>SOA0036-001 - Normal Register Investor</v>
      </c>
      <c r="U339" s="359"/>
      <c r="V339" s="359"/>
      <c r="W339" s="359"/>
      <c r="X339" s="359"/>
      <c r="Y339" s="359"/>
      <c r="Z339" s="364">
        <v>44978</v>
      </c>
      <c r="AA339" s="359" t="s">
        <v>254</v>
      </c>
    </row>
    <row r="340" spans="1:27">
      <c r="A340" s="769"/>
      <c r="B340" s="769"/>
      <c r="C340" s="361" t="s">
        <v>10185</v>
      </c>
      <c r="D340" s="363" t="s">
        <v>10186</v>
      </c>
      <c r="E340" s="361" t="s">
        <v>1743</v>
      </c>
      <c r="F340" s="361" t="s">
        <v>9205</v>
      </c>
      <c r="G340" s="561" t="s">
        <v>10184</v>
      </c>
      <c r="H340" s="361"/>
      <c r="I340" s="361"/>
      <c r="J340" s="361"/>
      <c r="K340" s="361"/>
      <c r="L340" s="361"/>
      <c r="M340" s="361"/>
      <c r="N340" s="361"/>
      <c r="O340" s="361"/>
      <c r="P340" s="361"/>
      <c r="Q340" s="358" t="s">
        <v>9207</v>
      </c>
      <c r="R340" s="361"/>
      <c r="S340" s="361"/>
      <c r="T340" s="377" t="str">
        <f t="shared" si="8"/>
        <v>SOA0036-002 - Abnormal Register Investor: KTP sudah terdaftar</v>
      </c>
      <c r="U340" s="359"/>
      <c r="V340" s="359"/>
      <c r="W340" s="359"/>
      <c r="X340" s="359"/>
      <c r="Y340" s="359"/>
      <c r="Z340" s="364">
        <v>44978</v>
      </c>
      <c r="AA340" s="359" t="s">
        <v>254</v>
      </c>
    </row>
    <row r="341" spans="1:27">
      <c r="A341" s="769"/>
      <c r="B341" s="769"/>
      <c r="C341" s="357" t="s">
        <v>10187</v>
      </c>
      <c r="D341" s="365" t="s">
        <v>10188</v>
      </c>
      <c r="E341" s="357" t="s">
        <v>1732</v>
      </c>
      <c r="F341" s="357" t="s">
        <v>9205</v>
      </c>
      <c r="G341" s="562" t="s">
        <v>10189</v>
      </c>
      <c r="H341" s="357"/>
      <c r="I341" s="357"/>
      <c r="J341" s="357"/>
      <c r="K341" s="357"/>
      <c r="L341" s="357"/>
      <c r="M341" s="357"/>
      <c r="N341" s="357"/>
      <c r="O341" s="357"/>
      <c r="P341" s="357"/>
      <c r="Q341" s="358" t="s">
        <v>9207</v>
      </c>
      <c r="R341" s="357"/>
      <c r="S341" s="357"/>
      <c r="T341" s="377" t="str">
        <f t="shared" si="8"/>
        <v>SOA0036-003 - Normal Register Investor Account IDR</v>
      </c>
      <c r="U341" s="359"/>
      <c r="V341" s="359"/>
      <c r="W341" s="359"/>
      <c r="X341" s="359"/>
      <c r="Y341" s="359"/>
      <c r="Z341" s="364">
        <v>44978</v>
      </c>
      <c r="AA341" s="359" t="s">
        <v>254</v>
      </c>
    </row>
    <row r="342" spans="1:27">
      <c r="A342" s="769"/>
      <c r="B342" s="769"/>
      <c r="C342" s="361" t="s">
        <v>10190</v>
      </c>
      <c r="D342" s="363" t="s">
        <v>10191</v>
      </c>
      <c r="E342" s="361" t="s">
        <v>1732</v>
      </c>
      <c r="F342" s="361" t="s">
        <v>9205</v>
      </c>
      <c r="G342" s="561" t="s">
        <v>10189</v>
      </c>
      <c r="H342" s="361"/>
      <c r="I342" s="361"/>
      <c r="J342" s="361"/>
      <c r="K342" s="361"/>
      <c r="L342" s="361"/>
      <c r="M342" s="361"/>
      <c r="N342" s="361"/>
      <c r="O342" s="361"/>
      <c r="P342" s="361"/>
      <c r="Q342" s="358" t="s">
        <v>9207</v>
      </c>
      <c r="R342" s="361"/>
      <c r="S342" s="361"/>
      <c r="T342" s="377" t="str">
        <f t="shared" si="8"/>
        <v>SOA0036-004 - Normal Register Investor Account USD</v>
      </c>
      <c r="U342" s="359"/>
      <c r="V342" s="359"/>
      <c r="W342" s="359"/>
      <c r="X342" s="359"/>
      <c r="Y342" s="359"/>
      <c r="Z342" s="364">
        <v>44978</v>
      </c>
      <c r="AA342" s="359" t="s">
        <v>254</v>
      </c>
    </row>
    <row r="343" spans="1:27">
      <c r="A343" s="769"/>
      <c r="B343" s="769"/>
      <c r="C343" s="357" t="s">
        <v>10192</v>
      </c>
      <c r="D343" s="365" t="s">
        <v>10193</v>
      </c>
      <c r="E343" s="357" t="s">
        <v>1743</v>
      </c>
      <c r="F343" s="357" t="s">
        <v>9205</v>
      </c>
      <c r="G343" s="562" t="s">
        <v>10189</v>
      </c>
      <c r="H343" s="357"/>
      <c r="I343" s="357"/>
      <c r="J343" s="357"/>
      <c r="K343" s="357"/>
      <c r="L343" s="357"/>
      <c r="M343" s="357"/>
      <c r="N343" s="357"/>
      <c r="O343" s="357"/>
      <c r="P343" s="357"/>
      <c r="Q343" s="358" t="s">
        <v>9207</v>
      </c>
      <c r="R343" s="357"/>
      <c r="S343" s="357"/>
      <c r="T343" s="377" t="str">
        <f t="shared" si="8"/>
        <v>SOA0036-005 - Abnormal Register Investor Account: Invalid CIF</v>
      </c>
      <c r="U343" s="359"/>
      <c r="V343" s="359"/>
      <c r="W343" s="359"/>
      <c r="X343" s="359"/>
      <c r="Y343" s="359"/>
      <c r="Z343" s="364">
        <v>44978</v>
      </c>
      <c r="AA343" s="359" t="s">
        <v>254</v>
      </c>
    </row>
    <row r="344" spans="1:27">
      <c r="A344" s="769"/>
      <c r="B344" s="769"/>
      <c r="C344" s="361" t="s">
        <v>10194</v>
      </c>
      <c r="D344" s="363" t="s">
        <v>10195</v>
      </c>
      <c r="E344" s="361" t="s">
        <v>1732</v>
      </c>
      <c r="F344" s="361" t="s">
        <v>9205</v>
      </c>
      <c r="G344" s="561" t="s">
        <v>10196</v>
      </c>
      <c r="H344" s="361"/>
      <c r="I344" s="361"/>
      <c r="J344" s="361"/>
      <c r="K344" s="361"/>
      <c r="L344" s="361"/>
      <c r="M344" s="361"/>
      <c r="N344" s="361"/>
      <c r="O344" s="361"/>
      <c r="P344" s="361"/>
      <c r="Q344" s="358" t="s">
        <v>9207</v>
      </c>
      <c r="R344" s="361"/>
      <c r="S344" s="361"/>
      <c r="T344" s="377" t="str">
        <f t="shared" si="8"/>
        <v>SOA0036-006 - Normal Inquiry Account Info</v>
      </c>
      <c r="U344" s="359"/>
      <c r="V344" s="359"/>
      <c r="W344" s="359"/>
      <c r="X344" s="359"/>
      <c r="Y344" s="359"/>
      <c r="Z344" s="364">
        <v>44978</v>
      </c>
      <c r="AA344" s="359" t="s">
        <v>254</v>
      </c>
    </row>
    <row r="345" spans="1:27">
      <c r="A345" s="769"/>
      <c r="B345" s="769"/>
      <c r="C345" s="357" t="s">
        <v>10197</v>
      </c>
      <c r="D345" s="365" t="s">
        <v>10198</v>
      </c>
      <c r="E345" s="357" t="s">
        <v>1743</v>
      </c>
      <c r="F345" s="357" t="s">
        <v>9205</v>
      </c>
      <c r="G345" s="562" t="s">
        <v>10196</v>
      </c>
      <c r="H345" s="357"/>
      <c r="I345" s="357"/>
      <c r="J345" s="357"/>
      <c r="K345" s="357"/>
      <c r="L345" s="357"/>
      <c r="M345" s="357"/>
      <c r="N345" s="357"/>
      <c r="O345" s="357"/>
      <c r="P345" s="357"/>
      <c r="Q345" s="358" t="s">
        <v>9207</v>
      </c>
      <c r="R345" s="357"/>
      <c r="S345" s="357"/>
      <c r="T345" s="377" t="str">
        <f t="shared" si="8"/>
        <v>SOA0036-007 - Abnormal Inquiry Account Info: Invalid Account Number</v>
      </c>
      <c r="U345" s="359"/>
      <c r="V345" s="359"/>
      <c r="W345" s="359"/>
      <c r="X345" s="359"/>
      <c r="Y345" s="359"/>
      <c r="Z345" s="364">
        <v>44978</v>
      </c>
      <c r="AA345" s="359" t="s">
        <v>254</v>
      </c>
    </row>
    <row r="346" spans="1:27">
      <c r="A346" s="769"/>
      <c r="B346" s="769"/>
      <c r="C346" s="361" t="s">
        <v>10199</v>
      </c>
      <c r="D346" s="363" t="s">
        <v>10200</v>
      </c>
      <c r="E346" s="361" t="s">
        <v>1732</v>
      </c>
      <c r="F346" s="361" t="s">
        <v>9205</v>
      </c>
      <c r="G346" s="561" t="s">
        <v>10201</v>
      </c>
      <c r="H346" s="361"/>
      <c r="I346" s="361"/>
      <c r="J346" s="361"/>
      <c r="K346" s="361"/>
      <c r="L346" s="361"/>
      <c r="M346" s="361"/>
      <c r="N346" s="361"/>
      <c r="O346" s="361"/>
      <c r="P346" s="361"/>
      <c r="Q346" s="358" t="s">
        <v>9207</v>
      </c>
      <c r="R346" s="361"/>
      <c r="S346" s="361"/>
      <c r="T346" s="377" t="str">
        <f t="shared" si="8"/>
        <v>SOA0036-008 - Normal Inquiry Account Balance</v>
      </c>
      <c r="U346" s="359"/>
      <c r="V346" s="359"/>
      <c r="W346" s="359"/>
      <c r="X346" s="359"/>
      <c r="Y346" s="359"/>
      <c r="Z346" s="364">
        <v>44978</v>
      </c>
      <c r="AA346" s="359" t="s">
        <v>254</v>
      </c>
    </row>
    <row r="347" spans="1:27">
      <c r="A347" s="769"/>
      <c r="B347" s="769"/>
      <c r="C347" s="357" t="s">
        <v>10202</v>
      </c>
      <c r="D347" s="365" t="s">
        <v>10203</v>
      </c>
      <c r="E347" s="357" t="s">
        <v>1743</v>
      </c>
      <c r="F347" s="357" t="s">
        <v>9205</v>
      </c>
      <c r="G347" s="562" t="s">
        <v>10201</v>
      </c>
      <c r="H347" s="357"/>
      <c r="I347" s="357"/>
      <c r="J347" s="357"/>
      <c r="K347" s="357"/>
      <c r="L347" s="357"/>
      <c r="M347" s="357"/>
      <c r="N347" s="357"/>
      <c r="O347" s="357"/>
      <c r="P347" s="357"/>
      <c r="Q347" s="358" t="s">
        <v>9207</v>
      </c>
      <c r="R347" s="357"/>
      <c r="S347" s="357"/>
      <c r="T347" s="377" t="str">
        <f t="shared" si="8"/>
        <v>SOA0036-009 - Abormal Inquiry Account Balance: Invalid Account Number</v>
      </c>
      <c r="U347" s="359"/>
      <c r="V347" s="359"/>
      <c r="W347" s="359"/>
      <c r="X347" s="359"/>
      <c r="Y347" s="359"/>
      <c r="Z347" s="364">
        <v>44978</v>
      </c>
      <c r="AA347" s="359" t="s">
        <v>254</v>
      </c>
    </row>
    <row r="348" spans="1:27">
      <c r="A348" s="769"/>
      <c r="B348" s="769"/>
      <c r="C348" s="361" t="s">
        <v>10204</v>
      </c>
      <c r="D348" s="363" t="s">
        <v>10205</v>
      </c>
      <c r="E348" s="361" t="s">
        <v>1732</v>
      </c>
      <c r="F348" s="361" t="s">
        <v>9205</v>
      </c>
      <c r="G348" s="561" t="s">
        <v>10206</v>
      </c>
      <c r="H348" s="361"/>
      <c r="I348" s="361"/>
      <c r="J348" s="361"/>
      <c r="K348" s="361"/>
      <c r="L348" s="361"/>
      <c r="M348" s="361"/>
      <c r="N348" s="361"/>
      <c r="O348" s="361"/>
      <c r="P348" s="361"/>
      <c r="Q348" s="358" t="s">
        <v>9207</v>
      </c>
      <c r="R348" s="361"/>
      <c r="S348" s="361"/>
      <c r="T348" s="377" t="str">
        <f t="shared" si="8"/>
        <v>SOA0036-010 - Normal Inquiry Account History</v>
      </c>
      <c r="U348" s="359"/>
      <c r="V348" s="359"/>
      <c r="W348" s="359"/>
      <c r="X348" s="359"/>
      <c r="Y348" s="359"/>
      <c r="Z348" s="364">
        <v>44978</v>
      </c>
      <c r="AA348" s="359" t="s">
        <v>254</v>
      </c>
    </row>
    <row r="349" spans="1:27">
      <c r="A349" s="769"/>
      <c r="B349" s="769"/>
      <c r="C349" s="357" t="s">
        <v>10207</v>
      </c>
      <c r="D349" s="365" t="s">
        <v>10208</v>
      </c>
      <c r="E349" s="357" t="s">
        <v>1743</v>
      </c>
      <c r="F349" s="357" t="s">
        <v>9205</v>
      </c>
      <c r="G349" s="562" t="s">
        <v>10201</v>
      </c>
      <c r="H349" s="357"/>
      <c r="I349" s="357"/>
      <c r="J349" s="357"/>
      <c r="K349" s="357"/>
      <c r="L349" s="357"/>
      <c r="M349" s="357"/>
      <c r="N349" s="357"/>
      <c r="O349" s="357"/>
      <c r="P349" s="357"/>
      <c r="Q349" s="358" t="s">
        <v>9207</v>
      </c>
      <c r="R349" s="357"/>
      <c r="S349" s="357"/>
      <c r="T349" s="377" t="str">
        <f t="shared" si="8"/>
        <v>SOA0036-011 - Abormal Inquiry Account Balance: Account Number is Not Register</v>
      </c>
      <c r="U349" s="359"/>
      <c r="V349" s="359"/>
      <c r="W349" s="359"/>
      <c r="X349" s="359"/>
      <c r="Y349" s="359"/>
      <c r="Z349" s="364">
        <v>44978</v>
      </c>
      <c r="AA349" s="359" t="s">
        <v>254</v>
      </c>
    </row>
    <row r="350" spans="1:27">
      <c r="A350" s="769"/>
      <c r="B350" s="769"/>
      <c r="C350" s="361" t="s">
        <v>10209</v>
      </c>
      <c r="D350" s="363" t="s">
        <v>10210</v>
      </c>
      <c r="E350" s="361" t="s">
        <v>1732</v>
      </c>
      <c r="F350" s="361" t="s">
        <v>9205</v>
      </c>
      <c r="G350" s="561" t="s">
        <v>10211</v>
      </c>
      <c r="H350" s="361"/>
      <c r="I350" s="361"/>
      <c r="J350" s="361"/>
      <c r="K350" s="361"/>
      <c r="L350" s="361"/>
      <c r="M350" s="361"/>
      <c r="N350" s="361"/>
      <c r="O350" s="361"/>
      <c r="P350" s="361"/>
      <c r="Q350" s="241" t="s">
        <v>7371</v>
      </c>
      <c r="R350" s="361"/>
      <c r="S350" s="361"/>
      <c r="T350" s="377"/>
      <c r="U350" s="359"/>
      <c r="V350" s="359"/>
      <c r="W350" s="359"/>
      <c r="X350" s="359"/>
      <c r="Y350" s="359"/>
      <c r="Z350" s="364"/>
      <c r="AA350" s="359" t="s">
        <v>254</v>
      </c>
    </row>
    <row r="351" spans="1:27">
      <c r="A351" s="769"/>
      <c r="B351" s="769"/>
      <c r="C351" s="357" t="s">
        <v>10212</v>
      </c>
      <c r="D351" s="365" t="s">
        <v>10213</v>
      </c>
      <c r="E351" s="357" t="s">
        <v>1732</v>
      </c>
      <c r="F351" s="357" t="s">
        <v>9205</v>
      </c>
      <c r="G351" s="562" t="s">
        <v>10211</v>
      </c>
      <c r="H351" s="357"/>
      <c r="I351" s="357"/>
      <c r="J351" s="357"/>
      <c r="K351" s="357"/>
      <c r="L351" s="357"/>
      <c r="M351" s="357"/>
      <c r="N351" s="357"/>
      <c r="O351" s="357"/>
      <c r="P351" s="357"/>
      <c r="Q351" s="241" t="s">
        <v>7371</v>
      </c>
      <c r="R351" s="357"/>
      <c r="S351" s="357"/>
      <c r="T351" s="377"/>
      <c r="U351" s="359"/>
      <c r="V351" s="359"/>
      <c r="W351" s="359"/>
      <c r="X351" s="359"/>
      <c r="Y351" s="359"/>
      <c r="Z351" s="364"/>
      <c r="AA351" s="359" t="s">
        <v>254</v>
      </c>
    </row>
    <row r="352" spans="1:27">
      <c r="A352" s="769"/>
      <c r="B352" s="769"/>
      <c r="C352" s="361" t="s">
        <v>10214</v>
      </c>
      <c r="D352" s="363" t="s">
        <v>10215</v>
      </c>
      <c r="E352" s="361" t="s">
        <v>1743</v>
      </c>
      <c r="F352" s="361" t="s">
        <v>9205</v>
      </c>
      <c r="G352" s="561" t="s">
        <v>10211</v>
      </c>
      <c r="H352" s="361"/>
      <c r="I352" s="361"/>
      <c r="J352" s="361"/>
      <c r="K352" s="361"/>
      <c r="L352" s="361"/>
      <c r="M352" s="361"/>
      <c r="N352" s="361"/>
      <c r="O352" s="361"/>
      <c r="P352" s="361"/>
      <c r="Q352" s="358" t="s">
        <v>9207</v>
      </c>
      <c r="R352" s="361"/>
      <c r="S352" s="361"/>
      <c r="T352" s="377" t="str">
        <f t="shared" ref="T352:T354" si="9">CONCATENATE(C352, " - ", D352)</f>
        <v>SOA0036-014 - Abnormal Payment Using Transfer: : Insufficient fund</v>
      </c>
      <c r="U352" s="359"/>
      <c r="V352" s="359"/>
      <c r="W352" s="359"/>
      <c r="X352" s="359"/>
      <c r="Y352" s="359"/>
      <c r="Z352" s="364">
        <v>44978</v>
      </c>
      <c r="AA352" s="359" t="s">
        <v>254</v>
      </c>
    </row>
    <row r="353" spans="1:27">
      <c r="A353" s="769"/>
      <c r="B353" s="769"/>
      <c r="C353" s="357" t="s">
        <v>10216</v>
      </c>
      <c r="D353" s="365" t="s">
        <v>10217</v>
      </c>
      <c r="E353" s="357" t="s">
        <v>1732</v>
      </c>
      <c r="F353" s="357" t="s">
        <v>9205</v>
      </c>
      <c r="G353" s="562" t="s">
        <v>10218</v>
      </c>
      <c r="H353" s="357"/>
      <c r="I353" s="357"/>
      <c r="J353" s="357"/>
      <c r="K353" s="357"/>
      <c r="L353" s="357"/>
      <c r="M353" s="357"/>
      <c r="N353" s="357"/>
      <c r="O353" s="357"/>
      <c r="P353" s="357"/>
      <c r="Q353" s="358" t="s">
        <v>9207</v>
      </c>
      <c r="R353" s="357"/>
      <c r="S353" s="357"/>
      <c r="T353" s="377" t="str">
        <f t="shared" si="9"/>
        <v>SOA0036-015 - Normal Payment Status Transfer</v>
      </c>
      <c r="U353" s="359"/>
      <c r="V353" s="359"/>
      <c r="W353" s="359"/>
      <c r="X353" s="359"/>
      <c r="Y353" s="359"/>
      <c r="Z353" s="364">
        <v>44978</v>
      </c>
      <c r="AA353" s="359" t="s">
        <v>254</v>
      </c>
    </row>
    <row r="354" spans="1:27">
      <c r="A354" s="769"/>
      <c r="B354" s="769"/>
      <c r="C354" s="361" t="s">
        <v>10219</v>
      </c>
      <c r="D354" s="363" t="s">
        <v>10220</v>
      </c>
      <c r="E354" s="361"/>
      <c r="F354" s="361"/>
      <c r="G354" s="376"/>
      <c r="H354" s="361"/>
      <c r="I354" s="361"/>
      <c r="J354" s="361"/>
      <c r="K354" s="361"/>
      <c r="L354" s="361"/>
      <c r="M354" s="361"/>
      <c r="N354" s="361"/>
      <c r="O354" s="361"/>
      <c r="P354" s="361"/>
      <c r="Q354" s="358"/>
      <c r="R354" s="361"/>
      <c r="S354" s="361"/>
      <c r="T354" s="377" t="str">
        <f t="shared" si="9"/>
        <v>SOA0036-016 - Normal Payment Using Transfer Interbank - Prima</v>
      </c>
      <c r="U354" s="359"/>
      <c r="V354" s="359"/>
      <c r="W354" s="359"/>
      <c r="X354" s="359"/>
      <c r="Y354" s="359"/>
      <c r="Z354" s="364">
        <v>45013</v>
      </c>
      <c r="AA354" s="359" t="s">
        <v>254</v>
      </c>
    </row>
    <row r="355" spans="1:27">
      <c r="A355" s="769"/>
      <c r="B355" s="769"/>
      <c r="C355" s="357" t="s">
        <v>10221</v>
      </c>
      <c r="D355" s="365" t="s">
        <v>10222</v>
      </c>
      <c r="E355" s="357"/>
      <c r="F355" s="357"/>
      <c r="G355" s="375"/>
      <c r="H355" s="357"/>
      <c r="I355" s="357"/>
      <c r="J355" s="357"/>
      <c r="K355" s="357"/>
      <c r="L355" s="357"/>
      <c r="M355" s="357"/>
      <c r="N355" s="357"/>
      <c r="O355" s="357"/>
      <c r="P355" s="357"/>
      <c r="Q355" s="358"/>
      <c r="R355" s="357"/>
      <c r="S355" s="357"/>
      <c r="T355" s="377"/>
      <c r="U355" s="359"/>
      <c r="V355" s="359"/>
      <c r="W355" s="359"/>
      <c r="X355" s="359"/>
      <c r="Y355" s="359"/>
      <c r="Z355" s="364">
        <v>45013</v>
      </c>
      <c r="AA355" s="359" t="s">
        <v>254</v>
      </c>
    </row>
    <row r="356" spans="1:27">
      <c r="A356" s="769"/>
      <c r="B356" s="769"/>
      <c r="C356" s="380"/>
      <c r="D356" s="363"/>
      <c r="E356" s="361"/>
      <c r="F356" s="361"/>
      <c r="G356" s="376"/>
      <c r="H356" s="361"/>
      <c r="I356" s="361"/>
      <c r="J356" s="361"/>
      <c r="K356" s="361"/>
      <c r="L356" s="361"/>
      <c r="M356" s="361"/>
      <c r="N356" s="361"/>
      <c r="O356" s="361"/>
      <c r="P356" s="361"/>
      <c r="Q356" s="358"/>
      <c r="R356" s="361"/>
      <c r="S356" s="361"/>
      <c r="T356" s="377"/>
      <c r="U356" s="359"/>
      <c r="V356" s="359"/>
      <c r="W356" s="359"/>
      <c r="X356" s="359"/>
      <c r="Y356" s="359"/>
      <c r="Z356" s="364"/>
      <c r="AA356" s="359"/>
    </row>
    <row r="357" spans="1:27">
      <c r="A357" s="733" t="s">
        <v>10223</v>
      </c>
      <c r="B357" s="733" t="s">
        <v>10224</v>
      </c>
      <c r="C357" s="382" t="s">
        <v>10225</v>
      </c>
      <c r="D357" s="365" t="s">
        <v>10226</v>
      </c>
      <c r="E357" s="357" t="s">
        <v>1732</v>
      </c>
      <c r="F357" s="357" t="s">
        <v>9205</v>
      </c>
      <c r="G357" s="723" t="s">
        <v>9494</v>
      </c>
      <c r="H357" s="357"/>
      <c r="I357" s="357"/>
      <c r="J357" s="357"/>
      <c r="K357" s="357"/>
      <c r="L357" s="357"/>
      <c r="M357" s="357"/>
      <c r="N357" s="357"/>
      <c r="O357" s="357"/>
      <c r="P357" s="357"/>
      <c r="Q357" s="358" t="s">
        <v>9207</v>
      </c>
      <c r="R357" s="357"/>
      <c r="S357" s="357"/>
      <c r="T357" s="377" t="str">
        <f t="shared" ref="T357:T381" si="10">CONCATENATE(C357, " - ", D357)</f>
        <v>SOA0037-001 - BNIDirect: Normal Inquiry NPWP</v>
      </c>
      <c r="U357" s="359"/>
      <c r="V357" s="359"/>
      <c r="W357" s="359"/>
      <c r="X357" s="359"/>
      <c r="Y357" s="359"/>
      <c r="Z357" s="364">
        <v>44939</v>
      </c>
      <c r="AA357" s="359" t="s">
        <v>254</v>
      </c>
    </row>
    <row r="358" spans="1:27">
      <c r="A358" s="769"/>
      <c r="B358" s="769"/>
      <c r="C358" s="380" t="s">
        <v>10227</v>
      </c>
      <c r="D358" s="363" t="s">
        <v>10228</v>
      </c>
      <c r="E358" s="361" t="s">
        <v>1743</v>
      </c>
      <c r="F358" s="361" t="s">
        <v>9205</v>
      </c>
      <c r="G358" s="769"/>
      <c r="H358" s="361"/>
      <c r="I358" s="361"/>
      <c r="J358" s="361"/>
      <c r="K358" s="361"/>
      <c r="L358" s="361"/>
      <c r="M358" s="361"/>
      <c r="N358" s="361"/>
      <c r="O358" s="361"/>
      <c r="P358" s="361"/>
      <c r="Q358" s="358" t="s">
        <v>9207</v>
      </c>
      <c r="R358" s="361"/>
      <c r="S358" s="361"/>
      <c r="T358" s="377" t="str">
        <f t="shared" si="10"/>
        <v>SOA0037-002 - BNIDirect: Abnormal Inquiry NPWP - Invalid nomor NPWP</v>
      </c>
      <c r="U358" s="359"/>
      <c r="V358" s="359"/>
      <c r="W358" s="359"/>
      <c r="X358" s="359"/>
      <c r="Y358" s="359"/>
      <c r="Z358" s="364">
        <v>44939</v>
      </c>
      <c r="AA358" s="359" t="s">
        <v>254</v>
      </c>
    </row>
    <row r="359" spans="1:27">
      <c r="A359" s="769"/>
      <c r="B359" s="769"/>
      <c r="C359" s="382" t="s">
        <v>10229</v>
      </c>
      <c r="D359" s="365" t="s">
        <v>10230</v>
      </c>
      <c r="E359" s="357" t="s">
        <v>1732</v>
      </c>
      <c r="F359" s="357" t="s">
        <v>9205</v>
      </c>
      <c r="G359" s="769"/>
      <c r="H359" s="357"/>
      <c r="I359" s="357"/>
      <c r="J359" s="357"/>
      <c r="K359" s="357"/>
      <c r="L359" s="357"/>
      <c r="M359" s="357"/>
      <c r="N359" s="357"/>
      <c r="O359" s="357"/>
      <c r="P359" s="357"/>
      <c r="Q359" s="358" t="s">
        <v>9207</v>
      </c>
      <c r="R359" s="357"/>
      <c r="S359" s="357"/>
      <c r="T359" s="377" t="str">
        <f t="shared" si="10"/>
        <v>SOA0037-003 - BNIDirect: Normal Create Billing NPWP IDR</v>
      </c>
      <c r="U359" s="359"/>
      <c r="V359" s="359"/>
      <c r="W359" s="359"/>
      <c r="X359" s="359"/>
      <c r="Y359" s="359"/>
      <c r="Z359" s="364">
        <v>44939</v>
      </c>
      <c r="AA359" s="359" t="s">
        <v>254</v>
      </c>
    </row>
    <row r="360" spans="1:27">
      <c r="A360" s="769"/>
      <c r="B360" s="769"/>
      <c r="C360" s="380" t="s">
        <v>10231</v>
      </c>
      <c r="D360" s="363" t="s">
        <v>10232</v>
      </c>
      <c r="E360" s="361" t="s">
        <v>1743</v>
      </c>
      <c r="F360" s="361" t="s">
        <v>9205</v>
      </c>
      <c r="G360" s="769"/>
      <c r="H360" s="361"/>
      <c r="I360" s="361"/>
      <c r="J360" s="361"/>
      <c r="K360" s="361"/>
      <c r="L360" s="361"/>
      <c r="M360" s="361"/>
      <c r="N360" s="361"/>
      <c r="O360" s="361"/>
      <c r="P360" s="361"/>
      <c r="Q360" s="358" t="s">
        <v>9207</v>
      </c>
      <c r="R360" s="361"/>
      <c r="S360" s="361"/>
      <c r="T360" s="377" t="str">
        <f t="shared" si="10"/>
        <v>SOA0037-004 - BNIDirect: Abnormal Create Billing NPWP IDR (Tidak butuh NOP /NOP diinput selain 000000000000000000)</v>
      </c>
      <c r="U360" s="359"/>
      <c r="V360" s="359"/>
      <c r="W360" s="359"/>
      <c r="X360" s="359"/>
      <c r="Y360" s="359"/>
      <c r="Z360" s="364">
        <v>44939</v>
      </c>
      <c r="AA360" s="359" t="s">
        <v>254</v>
      </c>
    </row>
    <row r="361" spans="1:27">
      <c r="A361" s="769"/>
      <c r="B361" s="769"/>
      <c r="C361" s="382" t="s">
        <v>10233</v>
      </c>
      <c r="D361" s="365" t="s">
        <v>10234</v>
      </c>
      <c r="E361" s="357" t="s">
        <v>1743</v>
      </c>
      <c r="F361" s="357" t="s">
        <v>9205</v>
      </c>
      <c r="G361" s="769"/>
      <c r="H361" s="357"/>
      <c r="I361" s="357"/>
      <c r="J361" s="357"/>
      <c r="K361" s="357"/>
      <c r="L361" s="357"/>
      <c r="M361" s="357"/>
      <c r="N361" s="357"/>
      <c r="O361" s="357"/>
      <c r="P361" s="357"/>
      <c r="Q361" s="358" t="s">
        <v>9207</v>
      </c>
      <c r="R361" s="357"/>
      <c r="S361" s="357"/>
      <c r="T361" s="377" t="str">
        <f t="shared" si="10"/>
        <v>SOA0037-005 - BNIDirect: Abnormal Create Billing NPWP IDR (Masa Pajak tidak berada dalam range 1-12)</v>
      </c>
      <c r="U361" s="359"/>
      <c r="V361" s="359"/>
      <c r="W361" s="359"/>
      <c r="X361" s="359"/>
      <c r="Y361" s="359"/>
      <c r="Z361" s="364">
        <v>44939</v>
      </c>
      <c r="AA361" s="359" t="s">
        <v>254</v>
      </c>
    </row>
    <row r="362" spans="1:27">
      <c r="A362" s="769"/>
      <c r="B362" s="769"/>
      <c r="C362" s="380" t="s">
        <v>10235</v>
      </c>
      <c r="D362" s="363" t="s">
        <v>10236</v>
      </c>
      <c r="E362" s="361" t="s">
        <v>1743</v>
      </c>
      <c r="F362" s="361" t="s">
        <v>9205</v>
      </c>
      <c r="G362" s="769"/>
      <c r="H362" s="361"/>
      <c r="I362" s="361"/>
      <c r="J362" s="361"/>
      <c r="K362" s="361"/>
      <c r="L362" s="361"/>
      <c r="M362" s="361"/>
      <c r="N362" s="361"/>
      <c r="O362" s="361"/>
      <c r="P362" s="361"/>
      <c r="Q362" s="358" t="s">
        <v>9207</v>
      </c>
      <c r="R362" s="361"/>
      <c r="S362" s="361"/>
      <c r="T362" s="377" t="str">
        <f t="shared" si="10"/>
        <v>SOA0037-006 - BNIDirect: Abnormal Create Billing NPWP IDR (Nomor SK mengandung karakter)</v>
      </c>
      <c r="U362" s="359"/>
      <c r="V362" s="359"/>
      <c r="W362" s="359"/>
      <c r="X362" s="359"/>
      <c r="Y362" s="359"/>
      <c r="Z362" s="364">
        <v>44939</v>
      </c>
      <c r="AA362" s="359" t="s">
        <v>254</v>
      </c>
    </row>
    <row r="363" spans="1:27">
      <c r="A363" s="769"/>
      <c r="B363" s="769"/>
      <c r="C363" s="382" t="s">
        <v>10237</v>
      </c>
      <c r="D363" s="365" t="s">
        <v>10238</v>
      </c>
      <c r="E363" s="357" t="s">
        <v>1743</v>
      </c>
      <c r="F363" s="357" t="s">
        <v>9205</v>
      </c>
      <c r="G363" s="769"/>
      <c r="H363" s="357"/>
      <c r="I363" s="357"/>
      <c r="J363" s="357"/>
      <c r="K363" s="357"/>
      <c r="L363" s="357"/>
      <c r="M363" s="357"/>
      <c r="N363" s="357"/>
      <c r="O363" s="357"/>
      <c r="P363" s="357"/>
      <c r="Q363" s="358" t="s">
        <v>9207</v>
      </c>
      <c r="R363" s="357"/>
      <c r="S363" s="357"/>
      <c r="T363" s="377" t="str">
        <f t="shared" si="10"/>
        <v>SOA0037-007 - BNIDirect: Abnormal Create Billing NPWP IDR (Nominal 0)</v>
      </c>
      <c r="U363" s="359"/>
      <c r="V363" s="359"/>
      <c r="W363" s="359"/>
      <c r="X363" s="359"/>
      <c r="Y363" s="359"/>
      <c r="Z363" s="364">
        <v>44939</v>
      </c>
      <c r="AA363" s="359" t="s">
        <v>254</v>
      </c>
    </row>
    <row r="364" spans="1:27">
      <c r="A364" s="769"/>
      <c r="B364" s="769"/>
      <c r="C364" s="380" t="s">
        <v>10239</v>
      </c>
      <c r="D364" s="363" t="s">
        <v>10240</v>
      </c>
      <c r="E364" s="361" t="s">
        <v>1743</v>
      </c>
      <c r="F364" s="361" t="s">
        <v>9205</v>
      </c>
      <c r="G364" s="769"/>
      <c r="H364" s="361"/>
      <c r="I364" s="361"/>
      <c r="J364" s="361"/>
      <c r="K364" s="361"/>
      <c r="L364" s="361"/>
      <c r="M364" s="361"/>
      <c r="N364" s="361"/>
      <c r="O364" s="361"/>
      <c r="P364" s="361"/>
      <c r="Q364" s="358" t="s">
        <v>9207</v>
      </c>
      <c r="R364" s="361"/>
      <c r="S364" s="361"/>
      <c r="T364" s="377" t="str">
        <f t="shared" si="10"/>
        <v>SOA0037-008 - BNIDirect: Abnormal Create Billing NPWP IDR (Penyetor harus memiliki NPWP)</v>
      </c>
      <c r="U364" s="359"/>
      <c r="V364" s="359"/>
      <c r="W364" s="359"/>
      <c r="X364" s="359"/>
      <c r="Y364" s="359"/>
      <c r="Z364" s="364">
        <v>44939</v>
      </c>
      <c r="AA364" s="359" t="s">
        <v>254</v>
      </c>
    </row>
    <row r="365" spans="1:27">
      <c r="A365" s="769"/>
      <c r="B365" s="769"/>
      <c r="C365" s="382" t="s">
        <v>10241</v>
      </c>
      <c r="D365" s="365" t="s">
        <v>10242</v>
      </c>
      <c r="E365" s="357" t="s">
        <v>1732</v>
      </c>
      <c r="F365" s="357" t="s">
        <v>9205</v>
      </c>
      <c r="G365" s="769"/>
      <c r="H365" s="357"/>
      <c r="I365" s="357"/>
      <c r="J365" s="357"/>
      <c r="K365" s="357"/>
      <c r="L365" s="357"/>
      <c r="M365" s="357"/>
      <c r="N365" s="357"/>
      <c r="O365" s="357"/>
      <c r="P365" s="357"/>
      <c r="Q365" s="358" t="s">
        <v>9207</v>
      </c>
      <c r="R365" s="357"/>
      <c r="S365" s="357"/>
      <c r="T365" s="377" t="str">
        <f t="shared" si="10"/>
        <v>SOA0037-009 - BNIDirect: Normal Create Billing NPWP USD</v>
      </c>
      <c r="U365" s="359"/>
      <c r="V365" s="359"/>
      <c r="W365" s="359"/>
      <c r="X365" s="359"/>
      <c r="Y365" s="359"/>
      <c r="Z365" s="364">
        <v>44939</v>
      </c>
      <c r="AA365" s="359" t="s">
        <v>254</v>
      </c>
    </row>
    <row r="366" spans="1:27">
      <c r="A366" s="769"/>
      <c r="B366" s="769"/>
      <c r="C366" s="380" t="s">
        <v>10243</v>
      </c>
      <c r="D366" s="363" t="s">
        <v>10244</v>
      </c>
      <c r="E366" s="361" t="s">
        <v>1732</v>
      </c>
      <c r="F366" s="361" t="s">
        <v>9205</v>
      </c>
      <c r="G366" s="769"/>
      <c r="H366" s="361"/>
      <c r="I366" s="361"/>
      <c r="J366" s="361"/>
      <c r="K366" s="361"/>
      <c r="L366" s="361"/>
      <c r="M366" s="361"/>
      <c r="N366" s="361"/>
      <c r="O366" s="361"/>
      <c r="P366" s="361"/>
      <c r="Q366" s="358" t="s">
        <v>9207</v>
      </c>
      <c r="R366" s="361"/>
      <c r="S366" s="361"/>
      <c r="T366" s="377" t="str">
        <f t="shared" si="10"/>
        <v>SOA0037-010 - BNIDirect: Normal Create Billing Non NPWP</v>
      </c>
      <c r="U366" s="359"/>
      <c r="V366" s="359"/>
      <c r="W366" s="359"/>
      <c r="X366" s="359"/>
      <c r="Y366" s="359"/>
      <c r="Z366" s="364">
        <v>44939</v>
      </c>
      <c r="AA366" s="359" t="s">
        <v>254</v>
      </c>
    </row>
    <row r="367" spans="1:27">
      <c r="A367" s="769"/>
      <c r="B367" s="769"/>
      <c r="C367" s="382" t="s">
        <v>10245</v>
      </c>
      <c r="D367" s="365" t="s">
        <v>10246</v>
      </c>
      <c r="E367" s="357" t="s">
        <v>1743</v>
      </c>
      <c r="F367" s="357" t="s">
        <v>9205</v>
      </c>
      <c r="G367" s="769"/>
      <c r="H367" s="357"/>
      <c r="I367" s="357"/>
      <c r="J367" s="357"/>
      <c r="K367" s="357"/>
      <c r="L367" s="357"/>
      <c r="M367" s="357"/>
      <c r="N367" s="357"/>
      <c r="O367" s="357"/>
      <c r="P367" s="357"/>
      <c r="Q367" s="358" t="s">
        <v>9207</v>
      </c>
      <c r="R367" s="357"/>
      <c r="S367" s="357"/>
      <c r="T367" s="377" t="str">
        <f t="shared" si="10"/>
        <v>SOA0037-011 - BNIDirect: Abnormal Create Billing Non NPWP IDR (Tidak butuh NOP /NOP diinput selain 000000000000000000)</v>
      </c>
      <c r="U367" s="359"/>
      <c r="V367" s="359"/>
      <c r="W367" s="359"/>
      <c r="X367" s="359"/>
      <c r="Y367" s="359"/>
      <c r="Z367" s="364">
        <v>44939</v>
      </c>
      <c r="AA367" s="359" t="s">
        <v>254</v>
      </c>
    </row>
    <row r="368" spans="1:27">
      <c r="A368" s="769"/>
      <c r="B368" s="769"/>
      <c r="C368" s="380" t="s">
        <v>10247</v>
      </c>
      <c r="D368" s="363" t="s">
        <v>10248</v>
      </c>
      <c r="E368" s="361" t="s">
        <v>1743</v>
      </c>
      <c r="F368" s="361" t="s">
        <v>9205</v>
      </c>
      <c r="G368" s="769"/>
      <c r="H368" s="361"/>
      <c r="I368" s="361"/>
      <c r="J368" s="361"/>
      <c r="K368" s="361"/>
      <c r="L368" s="361"/>
      <c r="M368" s="361"/>
      <c r="N368" s="361"/>
      <c r="O368" s="361"/>
      <c r="P368" s="361"/>
      <c r="Q368" s="358" t="s">
        <v>9207</v>
      </c>
      <c r="R368" s="361"/>
      <c r="S368" s="361"/>
      <c r="T368" s="377" t="str">
        <f t="shared" si="10"/>
        <v>SOA0037-012 - BNIDirect: Abnormal Create Billing Non NPWP IDR (Masa Pajak tidak berada dalam range 1-12)</v>
      </c>
      <c r="U368" s="359"/>
      <c r="V368" s="359"/>
      <c r="W368" s="359"/>
      <c r="X368" s="359"/>
      <c r="Y368" s="359"/>
      <c r="Z368" s="364">
        <v>44939</v>
      </c>
      <c r="AA368" s="359" t="s">
        <v>254</v>
      </c>
    </row>
    <row r="369" spans="1:27" ht="28.5" customHeight="1">
      <c r="A369" s="769"/>
      <c r="B369" s="769"/>
      <c r="C369" s="382" t="s">
        <v>10249</v>
      </c>
      <c r="D369" s="365" t="s">
        <v>10250</v>
      </c>
      <c r="E369" s="357" t="s">
        <v>1743</v>
      </c>
      <c r="F369" s="357" t="s">
        <v>9205</v>
      </c>
      <c r="G369" s="769"/>
      <c r="H369" s="357"/>
      <c r="I369" s="357"/>
      <c r="J369" s="357"/>
      <c r="K369" s="357"/>
      <c r="L369" s="357"/>
      <c r="M369" s="357"/>
      <c r="N369" s="357"/>
      <c r="O369" s="357"/>
      <c r="P369" s="357"/>
      <c r="Q369" s="358" t="s">
        <v>9207</v>
      </c>
      <c r="R369" s="357"/>
      <c r="S369" s="357"/>
      <c r="T369" s="377" t="str">
        <f t="shared" si="10"/>
        <v>SOA0037-013 - BNIDirect: Abnormal Create Billing Non NPWP IDR (Nomor SK mengandung karakter)</v>
      </c>
      <c r="U369" s="359"/>
      <c r="V369" s="359"/>
      <c r="W369" s="359"/>
      <c r="X369" s="359"/>
      <c r="Y369" s="359"/>
      <c r="Z369" s="364">
        <v>44939</v>
      </c>
      <c r="AA369" s="359" t="s">
        <v>254</v>
      </c>
    </row>
    <row r="370" spans="1:27">
      <c r="A370" s="769"/>
      <c r="B370" s="769"/>
      <c r="C370" s="380" t="s">
        <v>10251</v>
      </c>
      <c r="D370" s="363" t="s">
        <v>10252</v>
      </c>
      <c r="E370" s="361" t="s">
        <v>1743</v>
      </c>
      <c r="F370" s="361" t="s">
        <v>9205</v>
      </c>
      <c r="G370" s="769"/>
      <c r="H370" s="361"/>
      <c r="I370" s="361"/>
      <c r="J370" s="361"/>
      <c r="K370" s="361"/>
      <c r="L370" s="361"/>
      <c r="M370" s="361"/>
      <c r="N370" s="361"/>
      <c r="O370" s="361"/>
      <c r="P370" s="361"/>
      <c r="Q370" s="358" t="s">
        <v>9207</v>
      </c>
      <c r="R370" s="361"/>
      <c r="S370" s="361"/>
      <c r="T370" s="377" t="str">
        <f t="shared" si="10"/>
        <v>SOA0037-014 - BNIDirect: Abnormal Create Billing Non NPWP IDR (Nominal 0)</v>
      </c>
      <c r="U370" s="359"/>
      <c r="V370" s="359"/>
      <c r="W370" s="359"/>
      <c r="X370" s="359"/>
      <c r="Y370" s="359"/>
      <c r="Z370" s="364">
        <v>44939</v>
      </c>
      <c r="AA370" s="359" t="s">
        <v>254</v>
      </c>
    </row>
    <row r="371" spans="1:27">
      <c r="A371" s="769"/>
      <c r="B371" s="769"/>
      <c r="C371" s="382" t="s">
        <v>10253</v>
      </c>
      <c r="D371" s="365" t="s">
        <v>10254</v>
      </c>
      <c r="E371" s="357" t="s">
        <v>1743</v>
      </c>
      <c r="F371" s="357" t="s">
        <v>9205</v>
      </c>
      <c r="G371" s="769"/>
      <c r="H371" s="357"/>
      <c r="I371" s="357"/>
      <c r="J371" s="357"/>
      <c r="K371" s="357"/>
      <c r="L371" s="357"/>
      <c r="M371" s="357"/>
      <c r="N371" s="357"/>
      <c r="O371" s="357"/>
      <c r="P371" s="357"/>
      <c r="Q371" s="358" t="s">
        <v>9207</v>
      </c>
      <c r="R371" s="357"/>
      <c r="S371" s="357"/>
      <c r="T371" s="377" t="str">
        <f t="shared" si="10"/>
        <v>SOA0037-015 - BNIDirect: Abnormal Create Billing Non NPWP IDR (Penyetor harus memiliki NPWP)</v>
      </c>
      <c r="U371" s="359"/>
      <c r="V371" s="359"/>
      <c r="W371" s="359"/>
      <c r="X371" s="359"/>
      <c r="Y371" s="359"/>
      <c r="Z371" s="364">
        <v>44939</v>
      </c>
      <c r="AA371" s="359" t="s">
        <v>254</v>
      </c>
    </row>
    <row r="372" spans="1:27">
      <c r="A372" s="730" t="s">
        <v>10255</v>
      </c>
      <c r="B372" s="730" t="s">
        <v>10256</v>
      </c>
      <c r="C372" s="361" t="s">
        <v>10257</v>
      </c>
      <c r="D372" s="361" t="s">
        <v>10258</v>
      </c>
      <c r="E372" s="361" t="s">
        <v>1732</v>
      </c>
      <c r="F372" s="361" t="s">
        <v>9205</v>
      </c>
      <c r="G372" s="735" t="s">
        <v>9303</v>
      </c>
      <c r="H372" s="361"/>
      <c r="I372" s="361"/>
      <c r="J372" s="361"/>
      <c r="K372" s="361"/>
      <c r="L372" s="361"/>
      <c r="M372" s="361"/>
      <c r="N372" s="361"/>
      <c r="O372" s="361"/>
      <c r="P372" s="361"/>
      <c r="Q372" s="358" t="s">
        <v>9207</v>
      </c>
      <c r="R372" s="361"/>
      <c r="S372" s="361"/>
      <c r="T372" s="377" t="str">
        <f t="shared" si="10"/>
        <v>SOA0038-001 - ActivationCard (linked card)</v>
      </c>
      <c r="U372" s="359"/>
      <c r="V372" s="359"/>
      <c r="W372" s="359"/>
      <c r="X372" s="359"/>
      <c r="Y372" s="359"/>
      <c r="Z372" s="364">
        <v>44942</v>
      </c>
      <c r="AA372" s="359" t="s">
        <v>254</v>
      </c>
    </row>
    <row r="373" spans="1:27">
      <c r="A373" s="769"/>
      <c r="B373" s="769"/>
      <c r="C373" s="357" t="s">
        <v>10259</v>
      </c>
      <c r="D373" s="357" t="s">
        <v>10260</v>
      </c>
      <c r="E373" s="357" t="s">
        <v>1732</v>
      </c>
      <c r="F373" s="357" t="s">
        <v>9205</v>
      </c>
      <c r="G373" s="769"/>
      <c r="H373" s="357"/>
      <c r="I373" s="357"/>
      <c r="J373" s="357"/>
      <c r="K373" s="357"/>
      <c r="L373" s="357"/>
      <c r="M373" s="357"/>
      <c r="N373" s="357"/>
      <c r="O373" s="357"/>
      <c r="P373" s="357"/>
      <c r="Q373" s="358" t="s">
        <v>9207</v>
      </c>
      <c r="R373" s="357"/>
      <c r="S373" s="357"/>
      <c r="T373" s="377" t="str">
        <f t="shared" si="10"/>
        <v>SOA0038-002 - InitActivationCard</v>
      </c>
      <c r="U373" s="359"/>
      <c r="V373" s="359"/>
      <c r="W373" s="359"/>
      <c r="X373" s="359"/>
      <c r="Y373" s="359"/>
      <c r="Z373" s="364">
        <v>44942</v>
      </c>
      <c r="AA373" s="359" t="s">
        <v>254</v>
      </c>
    </row>
    <row r="374" spans="1:27">
      <c r="A374" s="769"/>
      <c r="B374" s="769"/>
      <c r="C374" s="361" t="s">
        <v>10261</v>
      </c>
      <c r="D374" s="361" t="s">
        <v>10262</v>
      </c>
      <c r="E374" s="361" t="s">
        <v>1732</v>
      </c>
      <c r="F374" s="361" t="s">
        <v>9205</v>
      </c>
      <c r="G374" s="769"/>
      <c r="H374" s="361"/>
      <c r="I374" s="361"/>
      <c r="J374" s="361"/>
      <c r="K374" s="361"/>
      <c r="L374" s="361"/>
      <c r="M374" s="361"/>
      <c r="N374" s="361"/>
      <c r="O374" s="361"/>
      <c r="P374" s="361"/>
      <c r="Q374" s="358" t="s">
        <v>9207</v>
      </c>
      <c r="R374" s="361"/>
      <c r="S374" s="361"/>
      <c r="T374" s="377" t="str">
        <f t="shared" si="10"/>
        <v>SOA0038-003 - AtmBillPayment</v>
      </c>
      <c r="U374" s="359"/>
      <c r="V374" s="359"/>
      <c r="W374" s="359"/>
      <c r="X374" s="359"/>
      <c r="Y374" s="359"/>
      <c r="Z374" s="364">
        <v>44942</v>
      </c>
      <c r="AA374" s="359" t="s">
        <v>254</v>
      </c>
    </row>
    <row r="375" spans="1:27">
      <c r="A375" s="769"/>
      <c r="B375" s="769"/>
      <c r="C375" s="357" t="s">
        <v>10263</v>
      </c>
      <c r="D375" s="357" t="s">
        <v>10264</v>
      </c>
      <c r="E375" s="357" t="s">
        <v>1732</v>
      </c>
      <c r="F375" s="357" t="s">
        <v>9205</v>
      </c>
      <c r="G375" s="769"/>
      <c r="H375" s="357"/>
      <c r="I375" s="357"/>
      <c r="J375" s="357"/>
      <c r="K375" s="357"/>
      <c r="L375" s="357"/>
      <c r="M375" s="357"/>
      <c r="N375" s="357"/>
      <c r="O375" s="357"/>
      <c r="P375" s="357"/>
      <c r="Q375" s="358" t="s">
        <v>9207</v>
      </c>
      <c r="R375" s="357"/>
      <c r="S375" s="357"/>
      <c r="T375" s="377" t="str">
        <f t="shared" si="10"/>
        <v>SOA0038-004 - AtmBillPaymentReversal</v>
      </c>
      <c r="U375" s="359"/>
      <c r="V375" s="359"/>
      <c r="W375" s="359"/>
      <c r="X375" s="359"/>
      <c r="Y375" s="359"/>
      <c r="Z375" s="364">
        <v>44942</v>
      </c>
      <c r="AA375" s="359" t="s">
        <v>254</v>
      </c>
    </row>
    <row r="376" spans="1:27">
      <c r="A376" s="769"/>
      <c r="B376" s="769"/>
      <c r="C376" s="361" t="s">
        <v>10265</v>
      </c>
      <c r="D376" s="361" t="s">
        <v>10266</v>
      </c>
      <c r="E376" s="361" t="s">
        <v>1732</v>
      </c>
      <c r="F376" s="361" t="s">
        <v>9205</v>
      </c>
      <c r="G376" s="769"/>
      <c r="H376" s="361"/>
      <c r="I376" s="361"/>
      <c r="J376" s="361"/>
      <c r="K376" s="361"/>
      <c r="L376" s="361"/>
      <c r="M376" s="361"/>
      <c r="N376" s="361"/>
      <c r="O376" s="361"/>
      <c r="P376" s="361"/>
      <c r="Q376" s="358" t="s">
        <v>9207</v>
      </c>
      <c r="R376" s="361"/>
      <c r="S376" s="361"/>
      <c r="T376" s="377" t="str">
        <f t="shared" si="10"/>
        <v>SOA0038-005 - BillingPaymentBigAmount</v>
      </c>
      <c r="U376" s="359"/>
      <c r="V376" s="359"/>
      <c r="W376" s="359"/>
      <c r="X376" s="359"/>
      <c r="Y376" s="359"/>
      <c r="Z376" s="364">
        <v>44942</v>
      </c>
      <c r="AA376" s="359" t="s">
        <v>254</v>
      </c>
    </row>
    <row r="377" spans="1:27">
      <c r="A377" s="769"/>
      <c r="B377" s="769"/>
      <c r="C377" s="357" t="s">
        <v>10267</v>
      </c>
      <c r="D377" s="357" t="s">
        <v>10268</v>
      </c>
      <c r="E377" s="357" t="s">
        <v>1732</v>
      </c>
      <c r="F377" s="357" t="s">
        <v>9205</v>
      </c>
      <c r="G377" s="769"/>
      <c r="H377" s="357"/>
      <c r="I377" s="357"/>
      <c r="J377" s="357"/>
      <c r="K377" s="357"/>
      <c r="L377" s="357"/>
      <c r="M377" s="357"/>
      <c r="N377" s="357"/>
      <c r="O377" s="357"/>
      <c r="P377" s="357"/>
      <c r="Q377" s="358" t="s">
        <v>9207</v>
      </c>
      <c r="R377" s="357"/>
      <c r="S377" s="357"/>
      <c r="T377" s="377" t="str">
        <f t="shared" si="10"/>
        <v>SOA0038-006 - BillingPaymentBigAmount Reversal</v>
      </c>
      <c r="U377" s="359"/>
      <c r="V377" s="359"/>
      <c r="W377" s="359"/>
      <c r="X377" s="359"/>
      <c r="Y377" s="359"/>
      <c r="Z377" s="364">
        <v>44942</v>
      </c>
      <c r="AA377" s="359" t="s">
        <v>254</v>
      </c>
    </row>
    <row r="378" spans="1:27">
      <c r="A378" s="769"/>
      <c r="B378" s="769"/>
      <c r="C378" s="361" t="s">
        <v>10269</v>
      </c>
      <c r="D378" s="361" t="s">
        <v>10270</v>
      </c>
      <c r="E378" s="361" t="s">
        <v>1732</v>
      </c>
      <c r="F378" s="361" t="s">
        <v>9205</v>
      </c>
      <c r="G378" s="769"/>
      <c r="H378" s="361"/>
      <c r="I378" s="361"/>
      <c r="J378" s="361"/>
      <c r="K378" s="361"/>
      <c r="L378" s="361"/>
      <c r="M378" s="361"/>
      <c r="N378" s="361"/>
      <c r="O378" s="361"/>
      <c r="P378" s="361"/>
      <c r="Q378" s="358" t="s">
        <v>9207</v>
      </c>
      <c r="R378" s="361"/>
      <c r="S378" s="361"/>
      <c r="T378" s="377" t="str">
        <f t="shared" si="10"/>
        <v>SOA0038-007 - CreateUpdateSMSNotification</v>
      </c>
      <c r="U378" s="359"/>
      <c r="V378" s="359"/>
      <c r="W378" s="359"/>
      <c r="X378" s="359"/>
      <c r="Y378" s="359"/>
      <c r="Z378" s="364">
        <v>44942</v>
      </c>
      <c r="AA378" s="359" t="s">
        <v>254</v>
      </c>
    </row>
    <row r="379" spans="1:27">
      <c r="A379" s="769"/>
      <c r="B379" s="769"/>
      <c r="C379" s="357" t="s">
        <v>10271</v>
      </c>
      <c r="D379" s="357" t="s">
        <v>10272</v>
      </c>
      <c r="E379" s="357" t="s">
        <v>1732</v>
      </c>
      <c r="F379" s="357" t="s">
        <v>9205</v>
      </c>
      <c r="G379" s="769"/>
      <c r="H379" s="357"/>
      <c r="I379" s="357"/>
      <c r="J379" s="357"/>
      <c r="K379" s="357"/>
      <c r="L379" s="357"/>
      <c r="M379" s="357"/>
      <c r="N379" s="357"/>
      <c r="O379" s="357"/>
      <c r="P379" s="357"/>
      <c r="Q379" s="358" t="s">
        <v>9207</v>
      </c>
      <c r="R379" s="357"/>
      <c r="S379" s="357"/>
      <c r="T379" s="377" t="str">
        <f t="shared" si="10"/>
        <v>SOA0038-008 - DepTrxInquiry</v>
      </c>
      <c r="U379" s="359"/>
      <c r="V379" s="359"/>
      <c r="W379" s="359"/>
      <c r="X379" s="359"/>
      <c r="Y379" s="359"/>
      <c r="Z379" s="364">
        <v>44942</v>
      </c>
      <c r="AA379" s="359" t="s">
        <v>254</v>
      </c>
    </row>
    <row r="380" spans="1:27">
      <c r="A380" s="769"/>
      <c r="B380" s="769"/>
      <c r="C380" s="361" t="s">
        <v>10273</v>
      </c>
      <c r="D380" s="361" t="s">
        <v>10274</v>
      </c>
      <c r="E380" s="361" t="s">
        <v>1732</v>
      </c>
      <c r="F380" s="361" t="s">
        <v>9205</v>
      </c>
      <c r="G380" s="769"/>
      <c r="H380" s="361"/>
      <c r="I380" s="361"/>
      <c r="J380" s="361"/>
      <c r="K380" s="361"/>
      <c r="L380" s="361"/>
      <c r="M380" s="361"/>
      <c r="N380" s="361"/>
      <c r="O380" s="361"/>
      <c r="P380" s="361"/>
      <c r="Q380" s="358" t="s">
        <v>9207</v>
      </c>
      <c r="R380" s="361"/>
      <c r="S380" s="361"/>
      <c r="T380" s="377" t="str">
        <f t="shared" si="10"/>
        <v>SOA0038-009 - GetPersonalInfo</v>
      </c>
      <c r="U380" s="359"/>
      <c r="V380" s="359"/>
      <c r="W380" s="359"/>
      <c r="X380" s="359"/>
      <c r="Y380" s="359"/>
      <c r="Z380" s="364">
        <v>44942</v>
      </c>
      <c r="AA380" s="359" t="s">
        <v>254</v>
      </c>
    </row>
    <row r="381" spans="1:27">
      <c r="A381" s="769"/>
      <c r="B381" s="769"/>
      <c r="C381" s="357" t="s">
        <v>10275</v>
      </c>
      <c r="D381" s="357" t="s">
        <v>10276</v>
      </c>
      <c r="E381" s="357" t="s">
        <v>1732</v>
      </c>
      <c r="F381" s="357" t="s">
        <v>9205</v>
      </c>
      <c r="G381" s="769"/>
      <c r="H381" s="357"/>
      <c r="I381" s="357"/>
      <c r="J381" s="357"/>
      <c r="K381" s="357"/>
      <c r="L381" s="357"/>
      <c r="M381" s="357"/>
      <c r="N381" s="357"/>
      <c r="O381" s="357"/>
      <c r="P381" s="357"/>
      <c r="Q381" s="358" t="s">
        <v>9207</v>
      </c>
      <c r="R381" s="357"/>
      <c r="S381" s="357"/>
      <c r="T381" s="377" t="str">
        <f t="shared" si="10"/>
        <v>SOA0038-010 - GetVirtualAccountName</v>
      </c>
      <c r="U381" s="359"/>
      <c r="V381" s="359"/>
      <c r="W381" s="359"/>
      <c r="X381" s="359"/>
      <c r="Y381" s="359"/>
      <c r="Z381" s="364">
        <v>44942</v>
      </c>
      <c r="AA381" s="359" t="s">
        <v>254</v>
      </c>
    </row>
    <row r="382" spans="1:27">
      <c r="A382" s="769"/>
      <c r="B382" s="769"/>
      <c r="C382" s="361" t="s">
        <v>10277</v>
      </c>
      <c r="D382" s="361" t="s">
        <v>10278</v>
      </c>
      <c r="E382" s="361" t="s">
        <v>1732</v>
      </c>
      <c r="F382" s="361" t="s">
        <v>9205</v>
      </c>
      <c r="G382" s="769"/>
      <c r="H382" s="361"/>
      <c r="I382" s="361"/>
      <c r="J382" s="361"/>
      <c r="K382" s="361"/>
      <c r="L382" s="361"/>
      <c r="M382" s="361"/>
      <c r="N382" s="361"/>
      <c r="O382" s="361"/>
      <c r="P382" s="361"/>
      <c r="Q382" s="241" t="s">
        <v>7371</v>
      </c>
      <c r="R382" s="361"/>
      <c r="S382" s="361"/>
      <c r="T382" s="377"/>
      <c r="U382" s="359"/>
      <c r="V382" s="359"/>
      <c r="W382" s="359"/>
      <c r="X382" s="359"/>
      <c r="Y382" s="359"/>
      <c r="Z382" s="364"/>
      <c r="AA382" s="359"/>
    </row>
    <row r="383" spans="1:27">
      <c r="A383" s="769"/>
      <c r="B383" s="769"/>
      <c r="C383" s="357" t="s">
        <v>10279</v>
      </c>
      <c r="D383" s="357" t="s">
        <v>10280</v>
      </c>
      <c r="E383" s="357" t="s">
        <v>1732</v>
      </c>
      <c r="F383" s="357" t="s">
        <v>9205</v>
      </c>
      <c r="G383" s="769"/>
      <c r="H383" s="357"/>
      <c r="I383" s="357"/>
      <c r="J383" s="357"/>
      <c r="K383" s="357"/>
      <c r="L383" s="357"/>
      <c r="M383" s="357"/>
      <c r="N383" s="357"/>
      <c r="O383" s="357"/>
      <c r="P383" s="357"/>
      <c r="Q383" s="241" t="s">
        <v>7371</v>
      </c>
      <c r="R383" s="357"/>
      <c r="S383" s="357"/>
      <c r="T383" s="377"/>
      <c r="U383" s="359"/>
      <c r="V383" s="359"/>
      <c r="W383" s="359"/>
      <c r="X383" s="359"/>
      <c r="Y383" s="359"/>
      <c r="Z383" s="364"/>
      <c r="AA383" s="359"/>
    </row>
    <row r="384" spans="1:27">
      <c r="A384" s="769"/>
      <c r="B384" s="769"/>
      <c r="C384" s="361" t="s">
        <v>10281</v>
      </c>
      <c r="D384" s="361" t="s">
        <v>10282</v>
      </c>
      <c r="E384" s="361" t="s">
        <v>1732</v>
      </c>
      <c r="F384" s="361" t="s">
        <v>9205</v>
      </c>
      <c r="G384" s="769"/>
      <c r="H384" s="361"/>
      <c r="I384" s="361"/>
      <c r="J384" s="361"/>
      <c r="K384" s="361"/>
      <c r="L384" s="361"/>
      <c r="M384" s="361"/>
      <c r="N384" s="361"/>
      <c r="O384" s="361"/>
      <c r="P384" s="361"/>
      <c r="Q384" s="358" t="s">
        <v>9207</v>
      </c>
      <c r="R384" s="361"/>
      <c r="S384" s="361"/>
      <c r="T384" s="377" t="str">
        <f t="shared" ref="T384:T388" si="11">CONCATENATE(C384, " - ", D384)</f>
        <v>SOA0038-013 - InitCreateILAAccount</v>
      </c>
      <c r="U384" s="359"/>
      <c r="V384" s="359"/>
      <c r="W384" s="359"/>
      <c r="X384" s="359"/>
      <c r="Y384" s="359"/>
      <c r="Z384" s="364">
        <v>44942</v>
      </c>
      <c r="AA384" s="359" t="s">
        <v>254</v>
      </c>
    </row>
    <row r="385" spans="1:27">
      <c r="A385" s="769"/>
      <c r="B385" s="769"/>
      <c r="C385" s="357" t="s">
        <v>10283</v>
      </c>
      <c r="D385" s="357" t="s">
        <v>10284</v>
      </c>
      <c r="E385" s="357" t="s">
        <v>1732</v>
      </c>
      <c r="F385" s="357" t="s">
        <v>9205</v>
      </c>
      <c r="G385" s="769"/>
      <c r="H385" s="357"/>
      <c r="I385" s="357"/>
      <c r="J385" s="357"/>
      <c r="K385" s="357"/>
      <c r="L385" s="357"/>
      <c r="M385" s="357"/>
      <c r="N385" s="357"/>
      <c r="O385" s="357"/>
      <c r="P385" s="357"/>
      <c r="Q385" s="358" t="s">
        <v>9207</v>
      </c>
      <c r="R385" s="357"/>
      <c r="S385" s="357"/>
      <c r="T385" s="377" t="str">
        <f t="shared" si="11"/>
        <v>SOA0038-014 - Ping</v>
      </c>
      <c r="U385" s="359"/>
      <c r="V385" s="359"/>
      <c r="W385" s="359"/>
      <c r="X385" s="359"/>
      <c r="Y385" s="359"/>
      <c r="Z385" s="364">
        <v>44942</v>
      </c>
      <c r="AA385" s="359" t="s">
        <v>254</v>
      </c>
    </row>
    <row r="386" spans="1:27">
      <c r="A386" s="769"/>
      <c r="B386" s="769"/>
      <c r="C386" s="361" t="s">
        <v>10285</v>
      </c>
      <c r="D386" s="361" t="s">
        <v>10286</v>
      </c>
      <c r="E386" s="361" t="s">
        <v>1732</v>
      </c>
      <c r="F386" s="361" t="s">
        <v>9205</v>
      </c>
      <c r="G386" s="769"/>
      <c r="H386" s="361"/>
      <c r="I386" s="361"/>
      <c r="J386" s="361"/>
      <c r="K386" s="361"/>
      <c r="L386" s="361"/>
      <c r="M386" s="361"/>
      <c r="N386" s="361"/>
      <c r="O386" s="361"/>
      <c r="P386" s="361"/>
      <c r="Q386" s="358" t="s">
        <v>9207</v>
      </c>
      <c r="R386" s="361"/>
      <c r="S386" s="361"/>
      <c r="T386" s="377" t="str">
        <f t="shared" si="11"/>
        <v>SOA0038-015 - KliringOutwardv2</v>
      </c>
      <c r="U386" s="359"/>
      <c r="V386" s="359"/>
      <c r="W386" s="359"/>
      <c r="X386" s="359"/>
      <c r="Y386" s="359"/>
      <c r="Z386" s="364">
        <v>44942</v>
      </c>
      <c r="AA386" s="359" t="s">
        <v>254</v>
      </c>
    </row>
    <row r="387" spans="1:27">
      <c r="A387" s="769"/>
      <c r="B387" s="769"/>
      <c r="C387" s="357" t="s">
        <v>10287</v>
      </c>
      <c r="D387" s="357" t="s">
        <v>10288</v>
      </c>
      <c r="E387" s="357" t="s">
        <v>1732</v>
      </c>
      <c r="F387" s="357" t="s">
        <v>9205</v>
      </c>
      <c r="G387" s="769"/>
      <c r="H387" s="357"/>
      <c r="I387" s="357"/>
      <c r="J387" s="357"/>
      <c r="K387" s="357"/>
      <c r="L387" s="357"/>
      <c r="M387" s="357"/>
      <c r="N387" s="357"/>
      <c r="O387" s="357"/>
      <c r="P387" s="357"/>
      <c r="Q387" s="358" t="s">
        <v>9207</v>
      </c>
      <c r="R387" s="357"/>
      <c r="S387" s="357"/>
      <c r="T387" s="377" t="str">
        <f t="shared" si="11"/>
        <v>SOA0038-016 - OpenDepositAccListByBalance</v>
      </c>
      <c r="U387" s="359"/>
      <c r="V387" s="359"/>
      <c r="W387" s="359"/>
      <c r="X387" s="359"/>
      <c r="Y387" s="359"/>
      <c r="Z387" s="364">
        <v>44942</v>
      </c>
      <c r="AA387" s="359" t="s">
        <v>254</v>
      </c>
    </row>
    <row r="388" spans="1:27">
      <c r="A388" s="769"/>
      <c r="B388" s="769"/>
      <c r="C388" s="361" t="s">
        <v>10289</v>
      </c>
      <c r="D388" s="361" t="s">
        <v>10290</v>
      </c>
      <c r="E388" s="361" t="s">
        <v>1732</v>
      </c>
      <c r="F388" s="361" t="s">
        <v>9205</v>
      </c>
      <c r="G388" s="769"/>
      <c r="H388" s="361"/>
      <c r="I388" s="361"/>
      <c r="J388" s="361"/>
      <c r="K388" s="361"/>
      <c r="L388" s="361"/>
      <c r="M388" s="361"/>
      <c r="N388" s="361"/>
      <c r="O388" s="361"/>
      <c r="P388" s="361"/>
      <c r="Q388" s="358" t="s">
        <v>9207</v>
      </c>
      <c r="R388" s="361"/>
      <c r="S388" s="361"/>
      <c r="T388" s="377" t="str">
        <f t="shared" si="11"/>
        <v>SOA0038-017 - TermDepositRateInquiry</v>
      </c>
      <c r="U388" s="359"/>
      <c r="V388" s="359"/>
      <c r="W388" s="359"/>
      <c r="X388" s="359"/>
      <c r="Y388" s="359"/>
      <c r="Z388" s="364">
        <v>44942</v>
      </c>
      <c r="AA388" s="359" t="s">
        <v>254</v>
      </c>
    </row>
    <row r="389" spans="1:27">
      <c r="A389" s="769"/>
      <c r="B389" s="769"/>
      <c r="C389" s="357" t="s">
        <v>10291</v>
      </c>
      <c r="D389" s="357" t="s">
        <v>10292</v>
      </c>
      <c r="E389" s="357" t="s">
        <v>1732</v>
      </c>
      <c r="F389" s="357" t="s">
        <v>9205</v>
      </c>
      <c r="G389" s="769"/>
      <c r="H389" s="357"/>
      <c r="I389" s="357"/>
      <c r="J389" s="357"/>
      <c r="K389" s="357"/>
      <c r="L389" s="357"/>
      <c r="M389" s="357"/>
      <c r="N389" s="357"/>
      <c r="O389" s="357"/>
      <c r="P389" s="357"/>
      <c r="Q389" s="241" t="s">
        <v>7371</v>
      </c>
      <c r="R389" s="357"/>
      <c r="S389" s="357"/>
      <c r="T389" s="377"/>
      <c r="U389" s="359"/>
      <c r="V389" s="359"/>
      <c r="W389" s="359"/>
      <c r="X389" s="359"/>
      <c r="Y389" s="359"/>
      <c r="Z389" s="364"/>
      <c r="AA389" s="359"/>
    </row>
    <row r="390" spans="1:27">
      <c r="A390" s="769"/>
      <c r="B390" s="769"/>
      <c r="C390" s="361" t="s">
        <v>10293</v>
      </c>
      <c r="D390" s="361" t="s">
        <v>10294</v>
      </c>
      <c r="E390" s="361" t="s">
        <v>1732</v>
      </c>
      <c r="F390" s="361" t="s">
        <v>9205</v>
      </c>
      <c r="G390" s="769"/>
      <c r="H390" s="361"/>
      <c r="I390" s="361"/>
      <c r="J390" s="361"/>
      <c r="K390" s="361"/>
      <c r="L390" s="361"/>
      <c r="M390" s="361"/>
      <c r="N390" s="361"/>
      <c r="O390" s="361"/>
      <c r="P390" s="361"/>
      <c r="Q390" s="358" t="s">
        <v>9207</v>
      </c>
      <c r="R390" s="361"/>
      <c r="S390" s="361"/>
      <c r="T390" s="377" t="str">
        <f t="shared" ref="T390:T399" si="12">CONCATENATE(C390, " - ", D390)</f>
        <v>SOA0038-019 - XRateParamUpdate</v>
      </c>
      <c r="U390" s="359"/>
      <c r="V390" s="359"/>
      <c r="W390" s="359"/>
      <c r="X390" s="359"/>
      <c r="Y390" s="359"/>
      <c r="Z390" s="364">
        <v>44942</v>
      </c>
      <c r="AA390" s="359" t="s">
        <v>254</v>
      </c>
    </row>
    <row r="391" spans="1:27">
      <c r="A391" s="769"/>
      <c r="B391" s="769"/>
      <c r="C391" s="357" t="s">
        <v>10295</v>
      </c>
      <c r="D391" s="357" t="s">
        <v>10296</v>
      </c>
      <c r="E391" s="357" t="s">
        <v>1732</v>
      </c>
      <c r="F391" s="357" t="s">
        <v>9205</v>
      </c>
      <c r="G391" s="769"/>
      <c r="H391" s="357"/>
      <c r="I391" s="357"/>
      <c r="J391" s="357"/>
      <c r="K391" s="357"/>
      <c r="L391" s="357"/>
      <c r="M391" s="357"/>
      <c r="N391" s="357"/>
      <c r="O391" s="357"/>
      <c r="P391" s="357"/>
      <c r="Q391" s="358" t="s">
        <v>9207</v>
      </c>
      <c r="R391" s="357"/>
      <c r="S391" s="357"/>
      <c r="T391" s="377" t="str">
        <f t="shared" si="12"/>
        <v>SOA0038-020 - S06Inquiry</v>
      </c>
      <c r="U391" s="359"/>
      <c r="V391" s="359"/>
      <c r="W391" s="359"/>
      <c r="X391" s="359"/>
      <c r="Y391" s="359"/>
      <c r="Z391" s="364">
        <v>44944</v>
      </c>
      <c r="AA391" s="359" t="s">
        <v>254</v>
      </c>
    </row>
    <row r="392" spans="1:27">
      <c r="A392" s="769"/>
      <c r="B392" s="769"/>
      <c r="C392" s="361" t="s">
        <v>10297</v>
      </c>
      <c r="D392" s="361" t="s">
        <v>10298</v>
      </c>
      <c r="E392" s="361" t="s">
        <v>1732</v>
      </c>
      <c r="F392" s="361" t="s">
        <v>9205</v>
      </c>
      <c r="G392" s="769"/>
      <c r="H392" s="361"/>
      <c r="I392" s="361"/>
      <c r="J392" s="361"/>
      <c r="K392" s="361"/>
      <c r="L392" s="361"/>
      <c r="M392" s="361"/>
      <c r="N392" s="361"/>
      <c r="O392" s="361"/>
      <c r="P392" s="361"/>
      <c r="Q392" s="358" t="s">
        <v>9207</v>
      </c>
      <c r="R392" s="361"/>
      <c r="S392" s="361"/>
      <c r="T392" s="377" t="str">
        <f t="shared" si="12"/>
        <v>SOA0038-021 - S06Payment</v>
      </c>
      <c r="U392" s="359"/>
      <c r="V392" s="359"/>
      <c r="W392" s="359"/>
      <c r="X392" s="359"/>
      <c r="Y392" s="359"/>
      <c r="Z392" s="364">
        <v>45029</v>
      </c>
      <c r="AA392" s="359" t="s">
        <v>254</v>
      </c>
    </row>
    <row r="393" spans="1:27">
      <c r="A393" s="769"/>
      <c r="B393" s="769"/>
      <c r="C393" s="357" t="s">
        <v>10299</v>
      </c>
      <c r="D393" s="357" t="s">
        <v>10300</v>
      </c>
      <c r="E393" s="357" t="s">
        <v>1732</v>
      </c>
      <c r="F393" s="357" t="s">
        <v>9205</v>
      </c>
      <c r="G393" s="769"/>
      <c r="H393" s="357"/>
      <c r="I393" s="357"/>
      <c r="J393" s="357"/>
      <c r="K393" s="357"/>
      <c r="L393" s="357"/>
      <c r="M393" s="357"/>
      <c r="N393" s="357"/>
      <c r="O393" s="357"/>
      <c r="P393" s="357"/>
      <c r="Q393" s="358" t="s">
        <v>9207</v>
      </c>
      <c r="R393" s="357"/>
      <c r="S393" s="357"/>
      <c r="T393" s="377" t="str">
        <f t="shared" si="12"/>
        <v>SOA0038-022 - S06Search</v>
      </c>
      <c r="U393" s="359"/>
      <c r="V393" s="359"/>
      <c r="W393" s="359"/>
      <c r="X393" s="359"/>
      <c r="Y393" s="359"/>
      <c r="Z393" s="364">
        <v>44944</v>
      </c>
      <c r="AA393" s="359" t="s">
        <v>254</v>
      </c>
    </row>
    <row r="394" spans="1:27">
      <c r="A394" s="769"/>
      <c r="B394" s="769"/>
      <c r="C394" s="361" t="s">
        <v>10301</v>
      </c>
      <c r="D394" s="361" t="s">
        <v>10302</v>
      </c>
      <c r="E394" s="361" t="s">
        <v>1732</v>
      </c>
      <c r="F394" s="361" t="s">
        <v>9205</v>
      </c>
      <c r="G394" s="769"/>
      <c r="H394" s="361"/>
      <c r="I394" s="361"/>
      <c r="J394" s="361"/>
      <c r="K394" s="361"/>
      <c r="L394" s="361"/>
      <c r="M394" s="361"/>
      <c r="N394" s="361"/>
      <c r="O394" s="361"/>
      <c r="P394" s="361"/>
      <c r="Q394" s="358" t="s">
        <v>9207</v>
      </c>
      <c r="R394" s="361"/>
      <c r="S394" s="361"/>
      <c r="T394" s="377" t="str">
        <f t="shared" si="12"/>
        <v>SOA0038-023 - UpdatePersonalInfo</v>
      </c>
      <c r="U394" s="359"/>
      <c r="V394" s="359"/>
      <c r="W394" s="359"/>
      <c r="X394" s="359"/>
      <c r="Y394" s="359"/>
      <c r="Z394" s="364">
        <v>44944</v>
      </c>
      <c r="AA394" s="359" t="s">
        <v>254</v>
      </c>
    </row>
    <row r="395" spans="1:27">
      <c r="A395" s="769"/>
      <c r="B395" s="769"/>
      <c r="C395" s="357" t="s">
        <v>10303</v>
      </c>
      <c r="D395" s="357" t="s">
        <v>10304</v>
      </c>
      <c r="E395" s="357" t="s">
        <v>1732</v>
      </c>
      <c r="F395" s="357" t="s">
        <v>9205</v>
      </c>
      <c r="G395" s="769"/>
      <c r="H395" s="357"/>
      <c r="I395" s="357"/>
      <c r="J395" s="357"/>
      <c r="K395" s="357"/>
      <c r="L395" s="357"/>
      <c r="M395" s="357"/>
      <c r="N395" s="357"/>
      <c r="O395" s="357"/>
      <c r="P395" s="357"/>
      <c r="Q395" s="358" t="s">
        <v>9207</v>
      </c>
      <c r="R395" s="357"/>
      <c r="S395" s="357"/>
      <c r="T395" s="377" t="str">
        <f t="shared" si="12"/>
        <v>SOA0038-024 - InquiryUserDefinedCode</v>
      </c>
      <c r="U395" s="359"/>
      <c r="V395" s="359"/>
      <c r="W395" s="359"/>
      <c r="X395" s="359"/>
      <c r="Y395" s="359"/>
      <c r="Z395" s="364">
        <v>44944</v>
      </c>
      <c r="AA395" s="359" t="s">
        <v>254</v>
      </c>
    </row>
    <row r="396" spans="1:27">
      <c r="A396" s="769"/>
      <c r="B396" s="769"/>
      <c r="C396" s="361" t="s">
        <v>10305</v>
      </c>
      <c r="D396" s="361" t="s">
        <v>10306</v>
      </c>
      <c r="E396" s="361" t="s">
        <v>1732</v>
      </c>
      <c r="F396" s="361" t="s">
        <v>9205</v>
      </c>
      <c r="G396" s="769"/>
      <c r="H396" s="361"/>
      <c r="I396" s="361"/>
      <c r="J396" s="361"/>
      <c r="K396" s="361"/>
      <c r="L396" s="361"/>
      <c r="M396" s="361"/>
      <c r="N396" s="361"/>
      <c r="O396" s="361"/>
      <c r="P396" s="361"/>
      <c r="Q396" s="358" t="s">
        <v>9207</v>
      </c>
      <c r="R396" s="361"/>
      <c r="S396" s="361"/>
      <c r="T396" s="377" t="str">
        <f t="shared" si="12"/>
        <v>SOA0038-025 - UpdateUserDefinedCode</v>
      </c>
      <c r="U396" s="359"/>
      <c r="V396" s="359"/>
      <c r="W396" s="359"/>
      <c r="X396" s="359"/>
      <c r="Y396" s="359"/>
      <c r="Z396" s="364">
        <v>44944</v>
      </c>
      <c r="AA396" s="359" t="s">
        <v>254</v>
      </c>
    </row>
    <row r="397" spans="1:27">
      <c r="A397" s="769"/>
      <c r="B397" s="769"/>
      <c r="C397" s="357" t="s">
        <v>10307</v>
      </c>
      <c r="D397" s="357" t="s">
        <v>10308</v>
      </c>
      <c r="E397" s="357" t="s">
        <v>1732</v>
      </c>
      <c r="F397" s="357" t="s">
        <v>9205</v>
      </c>
      <c r="G397" s="769"/>
      <c r="H397" s="357"/>
      <c r="I397" s="357"/>
      <c r="J397" s="357"/>
      <c r="K397" s="357"/>
      <c r="L397" s="357"/>
      <c r="M397" s="357"/>
      <c r="N397" s="357"/>
      <c r="O397" s="357"/>
      <c r="P397" s="357"/>
      <c r="Q397" s="358" t="s">
        <v>9207</v>
      </c>
      <c r="R397" s="357"/>
      <c r="S397" s="357"/>
      <c r="T397" s="377" t="str">
        <f t="shared" si="12"/>
        <v>SOA0038-026 - InquiryVARetail</v>
      </c>
      <c r="U397" s="359"/>
      <c r="V397" s="359"/>
      <c r="W397" s="359"/>
      <c r="X397" s="359"/>
      <c r="Y397" s="359"/>
      <c r="Z397" s="364">
        <v>44944</v>
      </c>
      <c r="AA397" s="359" t="s">
        <v>254</v>
      </c>
    </row>
    <row r="398" spans="1:27">
      <c r="A398" s="769"/>
      <c r="B398" s="769"/>
      <c r="C398" s="361" t="s">
        <v>10309</v>
      </c>
      <c r="D398" s="361" t="s">
        <v>10310</v>
      </c>
      <c r="E398" s="361" t="s">
        <v>1732</v>
      </c>
      <c r="F398" s="361" t="s">
        <v>9205</v>
      </c>
      <c r="G398" s="769"/>
      <c r="H398" s="361"/>
      <c r="I398" s="361"/>
      <c r="J398" s="361"/>
      <c r="K398" s="361"/>
      <c r="L398" s="361"/>
      <c r="M398" s="361"/>
      <c r="N398" s="361"/>
      <c r="O398" s="361"/>
      <c r="P398" s="361"/>
      <c r="Q398" s="358" t="s">
        <v>9207</v>
      </c>
      <c r="R398" s="361"/>
      <c r="S398" s="361"/>
      <c r="T398" s="377" t="str">
        <f t="shared" si="12"/>
        <v>SOA0038-027 - UpdateVARetail</v>
      </c>
      <c r="U398" s="359"/>
      <c r="V398" s="359"/>
      <c r="W398" s="359"/>
      <c r="X398" s="359"/>
      <c r="Y398" s="359"/>
      <c r="Z398" s="364">
        <v>44944</v>
      </c>
      <c r="AA398" s="359" t="s">
        <v>254</v>
      </c>
    </row>
    <row r="399" spans="1:27">
      <c r="A399" s="769"/>
      <c r="B399" s="769"/>
      <c r="C399" s="357" t="s">
        <v>10311</v>
      </c>
      <c r="D399" s="357" t="s">
        <v>10312</v>
      </c>
      <c r="E399" s="357" t="s">
        <v>1732</v>
      </c>
      <c r="F399" s="357" t="s">
        <v>9205</v>
      </c>
      <c r="G399" s="769"/>
      <c r="H399" s="357"/>
      <c r="I399" s="357"/>
      <c r="J399" s="357"/>
      <c r="K399" s="357"/>
      <c r="L399" s="357"/>
      <c r="M399" s="357"/>
      <c r="N399" s="357"/>
      <c r="O399" s="357"/>
      <c r="P399" s="357"/>
      <c r="Q399" s="358" t="s">
        <v>9207</v>
      </c>
      <c r="R399" s="357"/>
      <c r="S399" s="357"/>
      <c r="T399" s="377" t="str">
        <f t="shared" si="12"/>
        <v>SOA0038-028 - CreateVARetail</v>
      </c>
      <c r="U399" s="359"/>
      <c r="V399" s="359"/>
      <c r="W399" s="359"/>
      <c r="X399" s="359"/>
      <c r="Y399" s="359"/>
      <c r="Z399" s="364">
        <v>44944</v>
      </c>
      <c r="AA399" s="359" t="s">
        <v>254</v>
      </c>
    </row>
    <row r="400" spans="1:27">
      <c r="A400" s="769"/>
      <c r="B400" s="769"/>
      <c r="C400" s="361" t="s">
        <v>10313</v>
      </c>
      <c r="D400" s="361" t="s">
        <v>10314</v>
      </c>
      <c r="E400" s="361" t="s">
        <v>1732</v>
      </c>
      <c r="F400" s="361" t="s">
        <v>9205</v>
      </c>
      <c r="G400" s="769"/>
      <c r="H400" s="361"/>
      <c r="I400" s="361"/>
      <c r="J400" s="361"/>
      <c r="K400" s="361"/>
      <c r="L400" s="361"/>
      <c r="M400" s="361"/>
      <c r="N400" s="361"/>
      <c r="O400" s="361"/>
      <c r="P400" s="361"/>
      <c r="Q400" s="241" t="s">
        <v>7371</v>
      </c>
      <c r="R400" s="361"/>
      <c r="S400" s="361"/>
      <c r="T400" s="377"/>
      <c r="U400" s="359"/>
      <c r="V400" s="359"/>
      <c r="W400" s="359"/>
      <c r="X400" s="359"/>
      <c r="Y400" s="359"/>
      <c r="Z400" s="364"/>
      <c r="AA400" s="359"/>
    </row>
    <row r="401" spans="1:27">
      <c r="A401" s="769"/>
      <c r="B401" s="769"/>
      <c r="C401" s="357" t="s">
        <v>10315</v>
      </c>
      <c r="D401" s="357" t="s">
        <v>10316</v>
      </c>
      <c r="E401" s="357" t="s">
        <v>1732</v>
      </c>
      <c r="F401" s="357" t="s">
        <v>9205</v>
      </c>
      <c r="G401" s="769"/>
      <c r="H401" s="357"/>
      <c r="I401" s="357"/>
      <c r="J401" s="357"/>
      <c r="K401" s="357"/>
      <c r="L401" s="357"/>
      <c r="M401" s="357"/>
      <c r="N401" s="357"/>
      <c r="O401" s="357"/>
      <c r="P401" s="357"/>
      <c r="Q401" s="241" t="s">
        <v>7371</v>
      </c>
      <c r="R401" s="357"/>
      <c r="S401" s="357"/>
      <c r="T401" s="377"/>
      <c r="U401" s="359"/>
      <c r="V401" s="359"/>
      <c r="W401" s="359"/>
      <c r="X401" s="359"/>
      <c r="Y401" s="359"/>
      <c r="Z401" s="364"/>
      <c r="AA401" s="359"/>
    </row>
    <row r="402" spans="1:27">
      <c r="A402" s="769"/>
      <c r="B402" s="769"/>
      <c r="C402" s="361" t="s">
        <v>10317</v>
      </c>
      <c r="D402" s="361" t="s">
        <v>10318</v>
      </c>
      <c r="E402" s="361" t="s">
        <v>1732</v>
      </c>
      <c r="F402" s="361" t="s">
        <v>9205</v>
      </c>
      <c r="G402" s="769"/>
      <c r="H402" s="361"/>
      <c r="I402" s="361"/>
      <c r="J402" s="361"/>
      <c r="K402" s="361"/>
      <c r="L402" s="361"/>
      <c r="M402" s="361"/>
      <c r="N402" s="361"/>
      <c r="O402" s="361"/>
      <c r="P402" s="361"/>
      <c r="Q402" s="358" t="s">
        <v>9207</v>
      </c>
      <c r="R402" s="361"/>
      <c r="S402" s="361"/>
      <c r="T402" s="377" t="str">
        <f t="shared" ref="T402:T404" si="13">CONCATENATE(C402, " - ", D402)</f>
        <v>SOA0038-031 - SweepAccount</v>
      </c>
      <c r="U402" s="359"/>
      <c r="V402" s="359"/>
      <c r="W402" s="359"/>
      <c r="X402" s="359"/>
      <c r="Y402" s="359"/>
      <c r="Z402" s="364">
        <v>44945</v>
      </c>
      <c r="AA402" s="359" t="s">
        <v>254</v>
      </c>
    </row>
    <row r="403" spans="1:27">
      <c r="A403" s="769"/>
      <c r="B403" s="769"/>
      <c r="C403" s="357" t="s">
        <v>10319</v>
      </c>
      <c r="D403" s="357" t="s">
        <v>10320</v>
      </c>
      <c r="E403" s="357" t="s">
        <v>1732</v>
      </c>
      <c r="F403" s="357" t="s">
        <v>9205</v>
      </c>
      <c r="G403" s="769"/>
      <c r="H403" s="357"/>
      <c r="I403" s="357"/>
      <c r="J403" s="357"/>
      <c r="K403" s="357"/>
      <c r="L403" s="357"/>
      <c r="M403" s="357"/>
      <c r="N403" s="357"/>
      <c r="O403" s="357"/>
      <c r="P403" s="357"/>
      <c r="Q403" s="358" t="s">
        <v>9207</v>
      </c>
      <c r="R403" s="357"/>
      <c r="S403" s="357"/>
      <c r="T403" s="377" t="str">
        <f t="shared" si="13"/>
        <v>SOA0038-032 - DraftOverLimit</v>
      </c>
      <c r="U403" s="359"/>
      <c r="V403" s="359"/>
      <c r="W403" s="359"/>
      <c r="X403" s="359"/>
      <c r="Y403" s="359"/>
      <c r="Z403" s="364">
        <v>44945</v>
      </c>
      <c r="AA403" s="359" t="s">
        <v>254</v>
      </c>
    </row>
    <row r="404" spans="1:27">
      <c r="A404" s="769"/>
      <c r="B404" s="769"/>
      <c r="C404" s="361" t="s">
        <v>10321</v>
      </c>
      <c r="D404" s="361" t="s">
        <v>10322</v>
      </c>
      <c r="E404" s="361" t="s">
        <v>1732</v>
      </c>
      <c r="F404" s="361" t="s">
        <v>9205</v>
      </c>
      <c r="G404" s="769"/>
      <c r="H404" s="361"/>
      <c r="I404" s="361"/>
      <c r="J404" s="361"/>
      <c r="K404" s="361"/>
      <c r="L404" s="361"/>
      <c r="M404" s="361"/>
      <c r="N404" s="361"/>
      <c r="O404" s="361"/>
      <c r="P404" s="361"/>
      <c r="Q404" s="358" t="s">
        <v>9207</v>
      </c>
      <c r="R404" s="361"/>
      <c r="S404" s="361"/>
      <c r="T404" s="377" t="str">
        <f t="shared" si="13"/>
        <v>SOA0038-033 - DraftOverLimitUpdate</v>
      </c>
      <c r="U404" s="359"/>
      <c r="V404" s="359"/>
      <c r="W404" s="359"/>
      <c r="X404" s="359"/>
      <c r="Y404" s="359"/>
      <c r="Z404" s="364">
        <v>44945</v>
      </c>
      <c r="AA404" s="359" t="s">
        <v>254</v>
      </c>
    </row>
    <row r="405" spans="1:27">
      <c r="A405" s="769"/>
      <c r="B405" s="769"/>
      <c r="C405" s="357" t="s">
        <v>10323</v>
      </c>
      <c r="D405" s="357" t="s">
        <v>10324</v>
      </c>
      <c r="E405" s="357" t="s">
        <v>1732</v>
      </c>
      <c r="F405" s="357" t="s">
        <v>9205</v>
      </c>
      <c r="G405" s="769"/>
      <c r="H405" s="357"/>
      <c r="I405" s="357"/>
      <c r="J405" s="357"/>
      <c r="K405" s="357"/>
      <c r="L405" s="357"/>
      <c r="M405" s="357"/>
      <c r="N405" s="357"/>
      <c r="O405" s="357"/>
      <c r="P405" s="357"/>
      <c r="Q405" s="241" t="s">
        <v>7371</v>
      </c>
      <c r="R405" s="357"/>
      <c r="S405" s="357"/>
      <c r="T405" s="359"/>
      <c r="U405" s="359"/>
      <c r="V405" s="359"/>
      <c r="W405" s="359"/>
      <c r="X405" s="359"/>
      <c r="Y405" s="359"/>
      <c r="Z405" s="364"/>
      <c r="AA405" s="359"/>
    </row>
    <row r="406" spans="1:27">
      <c r="A406" s="769"/>
      <c r="B406" s="769"/>
      <c r="C406" s="361" t="s">
        <v>10325</v>
      </c>
      <c r="D406" s="361" t="s">
        <v>10326</v>
      </c>
      <c r="E406" s="361" t="s">
        <v>1732</v>
      </c>
      <c r="F406" s="361" t="s">
        <v>9205</v>
      </c>
      <c r="G406" s="769"/>
      <c r="H406" s="361"/>
      <c r="I406" s="361"/>
      <c r="J406" s="361"/>
      <c r="K406" s="361"/>
      <c r="L406" s="361"/>
      <c r="M406" s="361"/>
      <c r="N406" s="361"/>
      <c r="O406" s="361"/>
      <c r="P406" s="361"/>
      <c r="Q406" s="241" t="s">
        <v>7371</v>
      </c>
      <c r="R406" s="361"/>
      <c r="S406" s="361"/>
      <c r="T406" s="377" t="str">
        <f t="shared" ref="T406:T412" si="14">CONCATENATE(C406, " - ", D406)</f>
        <v>SOA0038-035 - InquiryChequeDetail</v>
      </c>
      <c r="U406" s="359"/>
      <c r="V406" s="359"/>
      <c r="W406" s="359"/>
      <c r="X406" s="359"/>
      <c r="Y406" s="359"/>
      <c r="Z406" s="364">
        <v>44945</v>
      </c>
      <c r="AA406" s="359" t="s">
        <v>254</v>
      </c>
    </row>
    <row r="407" spans="1:27">
      <c r="A407" s="769"/>
      <c r="B407" s="769"/>
      <c r="C407" s="357" t="s">
        <v>10327</v>
      </c>
      <c r="D407" s="357" t="s">
        <v>10328</v>
      </c>
      <c r="E407" s="357" t="s">
        <v>1732</v>
      </c>
      <c r="F407" s="357" t="s">
        <v>9205</v>
      </c>
      <c r="G407" s="769"/>
      <c r="H407" s="357"/>
      <c r="I407" s="357"/>
      <c r="J407" s="357"/>
      <c r="K407" s="357"/>
      <c r="L407" s="357"/>
      <c r="M407" s="357"/>
      <c r="N407" s="357"/>
      <c r="O407" s="357"/>
      <c r="P407" s="357"/>
      <c r="Q407" s="358" t="s">
        <v>9207</v>
      </c>
      <c r="R407" s="357"/>
      <c r="S407" s="357"/>
      <c r="T407" s="377" t="str">
        <f t="shared" si="14"/>
        <v>SOA0038-036 - InquiryCheque</v>
      </c>
      <c r="U407" s="359"/>
      <c r="V407" s="359"/>
      <c r="W407" s="359"/>
      <c r="X407" s="359"/>
      <c r="Y407" s="359"/>
      <c r="Z407" s="364">
        <v>44945</v>
      </c>
      <c r="AA407" s="359" t="s">
        <v>254</v>
      </c>
    </row>
    <row r="408" spans="1:27">
      <c r="A408" s="769"/>
      <c r="B408" s="769"/>
      <c r="C408" s="361" t="s">
        <v>10329</v>
      </c>
      <c r="D408" s="361" t="s">
        <v>10288</v>
      </c>
      <c r="E408" s="361" t="s">
        <v>1732</v>
      </c>
      <c r="F408" s="361" t="s">
        <v>9205</v>
      </c>
      <c r="G408" s="769"/>
      <c r="H408" s="361"/>
      <c r="I408" s="361"/>
      <c r="J408" s="361"/>
      <c r="K408" s="361"/>
      <c r="L408" s="361"/>
      <c r="M408" s="361"/>
      <c r="N408" s="361"/>
      <c r="O408" s="361"/>
      <c r="P408" s="361"/>
      <c r="Q408" s="358" t="s">
        <v>9207</v>
      </c>
      <c r="R408" s="361"/>
      <c r="S408" s="361"/>
      <c r="T408" s="377" t="str">
        <f t="shared" si="14"/>
        <v>SOA0038-037 - OpenDepositAccListByBalance</v>
      </c>
      <c r="U408" s="359"/>
      <c r="V408" s="359"/>
      <c r="W408" s="359"/>
      <c r="X408" s="359"/>
      <c r="Y408" s="359"/>
      <c r="Z408" s="364">
        <v>44945</v>
      </c>
      <c r="AA408" s="359" t="s">
        <v>254</v>
      </c>
    </row>
    <row r="409" spans="1:27">
      <c r="A409" s="731" t="s">
        <v>10330</v>
      </c>
      <c r="B409" s="731" t="s">
        <v>10331</v>
      </c>
      <c r="C409" s="357" t="s">
        <v>10332</v>
      </c>
      <c r="D409" s="357" t="s">
        <v>10333</v>
      </c>
      <c r="E409" s="357" t="s">
        <v>1732</v>
      </c>
      <c r="F409" s="357" t="s">
        <v>9205</v>
      </c>
      <c r="G409" s="723" t="s">
        <v>10334</v>
      </c>
      <c r="H409" s="357"/>
      <c r="I409" s="357"/>
      <c r="J409" s="357"/>
      <c r="K409" s="357"/>
      <c r="L409" s="357"/>
      <c r="M409" s="357"/>
      <c r="N409" s="357"/>
      <c r="O409" s="357"/>
      <c r="P409" s="357"/>
      <c r="Q409" s="358" t="s">
        <v>9207</v>
      </c>
      <c r="R409" s="357"/>
      <c r="S409" s="357"/>
      <c r="T409" s="377" t="str">
        <f t="shared" si="14"/>
        <v>SOA0039-001 - Nomal Pembukaan dan Cek Izin Rekening</v>
      </c>
      <c r="U409" s="359"/>
      <c r="V409" s="359"/>
      <c r="W409" s="359"/>
      <c r="X409" s="359"/>
      <c r="Y409" s="359"/>
      <c r="Z409" s="364">
        <v>44946</v>
      </c>
      <c r="AA409" s="359" t="s">
        <v>254</v>
      </c>
    </row>
    <row r="410" spans="1:27">
      <c r="A410" s="769"/>
      <c r="B410" s="769"/>
      <c r="C410" s="361" t="s">
        <v>10335</v>
      </c>
      <c r="D410" s="361" t="s">
        <v>10336</v>
      </c>
      <c r="E410" s="361" t="s">
        <v>1743</v>
      </c>
      <c r="F410" s="361" t="s">
        <v>9205</v>
      </c>
      <c r="G410" s="769"/>
      <c r="H410" s="361"/>
      <c r="I410" s="361"/>
      <c r="J410" s="361"/>
      <c r="K410" s="361"/>
      <c r="L410" s="361"/>
      <c r="M410" s="361"/>
      <c r="N410" s="361"/>
      <c r="O410" s="361"/>
      <c r="P410" s="361"/>
      <c r="Q410" s="358" t="s">
        <v>9207</v>
      </c>
      <c r="R410" s="361"/>
      <c r="S410" s="361"/>
      <c r="T410" s="377" t="str">
        <f t="shared" si="14"/>
        <v>SOA0039-002 - Abnormal Pembukaan dan Cek Izin Rekening</v>
      </c>
      <c r="U410" s="359"/>
      <c r="V410" s="359"/>
      <c r="W410" s="359"/>
      <c r="X410" s="359"/>
      <c r="Y410" s="359"/>
      <c r="Z410" s="364">
        <v>44946</v>
      </c>
      <c r="AA410" s="359" t="s">
        <v>254</v>
      </c>
    </row>
    <row r="411" spans="1:27">
      <c r="A411" s="769"/>
      <c r="B411" s="769"/>
      <c r="C411" s="357" t="s">
        <v>10337</v>
      </c>
      <c r="D411" s="357" t="s">
        <v>10338</v>
      </c>
      <c r="E411" s="357" t="s">
        <v>1732</v>
      </c>
      <c r="F411" s="357" t="s">
        <v>9205</v>
      </c>
      <c r="G411" s="769"/>
      <c r="H411" s="357"/>
      <c r="I411" s="357"/>
      <c r="J411" s="357"/>
      <c r="K411" s="357"/>
      <c r="L411" s="357"/>
      <c r="M411" s="357"/>
      <c r="N411" s="357"/>
      <c r="O411" s="357"/>
      <c r="P411" s="357"/>
      <c r="Q411" s="358" t="s">
        <v>9207</v>
      </c>
      <c r="R411" s="357"/>
      <c r="S411" s="357"/>
      <c r="T411" s="377" t="str">
        <f t="shared" si="14"/>
        <v>SOA0039-003 - Normal Update Rekening</v>
      </c>
      <c r="U411" s="359"/>
      <c r="V411" s="359"/>
      <c r="W411" s="359"/>
      <c r="X411" s="359"/>
      <c r="Y411" s="359"/>
      <c r="Z411" s="364">
        <v>44946</v>
      </c>
      <c r="AA411" s="359" t="s">
        <v>254</v>
      </c>
    </row>
    <row r="412" spans="1:27">
      <c r="A412" s="769"/>
      <c r="B412" s="769"/>
      <c r="C412" s="361" t="s">
        <v>10339</v>
      </c>
      <c r="D412" s="361" t="s">
        <v>10340</v>
      </c>
      <c r="E412" s="361" t="s">
        <v>1743</v>
      </c>
      <c r="F412" s="361" t="s">
        <v>9205</v>
      </c>
      <c r="G412" s="769"/>
      <c r="H412" s="361"/>
      <c r="I412" s="361"/>
      <c r="J412" s="361"/>
      <c r="K412" s="361"/>
      <c r="L412" s="361"/>
      <c r="M412" s="361"/>
      <c r="N412" s="361"/>
      <c r="O412" s="361"/>
      <c r="P412" s="361"/>
      <c r="Q412" s="358" t="s">
        <v>9207</v>
      </c>
      <c r="R412" s="361"/>
      <c r="S412" s="361"/>
      <c r="T412" s="377" t="str">
        <f t="shared" si="14"/>
        <v>SOA0039-004 - Abnormal Update Rekening</v>
      </c>
      <c r="U412" s="359"/>
      <c r="V412" s="359"/>
      <c r="W412" s="359"/>
      <c r="X412" s="359"/>
      <c r="Y412" s="359"/>
      <c r="Z412" s="364">
        <v>44946</v>
      </c>
      <c r="AA412" s="359" t="s">
        <v>254</v>
      </c>
    </row>
    <row r="413" spans="1:27">
      <c r="A413" s="769"/>
      <c r="B413" s="769"/>
      <c r="C413" s="357" t="s">
        <v>10341</v>
      </c>
      <c r="D413" s="357" t="s">
        <v>10342</v>
      </c>
      <c r="E413" s="357" t="s">
        <v>1732</v>
      </c>
      <c r="F413" s="357" t="s">
        <v>9205</v>
      </c>
      <c r="G413" s="769"/>
      <c r="H413" s="357"/>
      <c r="I413" s="357"/>
      <c r="J413" s="357"/>
      <c r="K413" s="357"/>
      <c r="L413" s="357"/>
      <c r="M413" s="357"/>
      <c r="N413" s="357"/>
      <c r="O413" s="357"/>
      <c r="P413" s="357"/>
      <c r="Q413" s="241" t="s">
        <v>7371</v>
      </c>
      <c r="R413" s="357" t="s">
        <v>10343</v>
      </c>
      <c r="S413" s="357"/>
      <c r="T413" s="377"/>
      <c r="U413" s="359"/>
      <c r="V413" s="359"/>
      <c r="W413" s="359"/>
      <c r="X413" s="359"/>
      <c r="Y413" s="359"/>
      <c r="Z413" s="364"/>
      <c r="AA413" s="359"/>
    </row>
    <row r="414" spans="1:27" ht="18" customHeight="1">
      <c r="A414" s="769"/>
      <c r="B414" s="769"/>
      <c r="C414" s="361" t="s">
        <v>10344</v>
      </c>
      <c r="D414" s="361" t="s">
        <v>10345</v>
      </c>
      <c r="E414" s="361" t="s">
        <v>1743</v>
      </c>
      <c r="F414" s="361" t="s">
        <v>9205</v>
      </c>
      <c r="G414" s="769"/>
      <c r="H414" s="361"/>
      <c r="I414" s="361"/>
      <c r="J414" s="361" t="s">
        <v>10346</v>
      </c>
      <c r="K414" s="361"/>
      <c r="L414" s="361"/>
      <c r="M414" s="361"/>
      <c r="N414" s="361"/>
      <c r="O414" s="361"/>
      <c r="P414" s="361"/>
      <c r="Q414" s="241" t="s">
        <v>7371</v>
      </c>
      <c r="R414" s="361" t="s">
        <v>10343</v>
      </c>
      <c r="S414" s="361"/>
      <c r="T414" s="377"/>
      <c r="U414" s="359"/>
      <c r="V414" s="359"/>
      <c r="W414" s="359"/>
      <c r="X414" s="359"/>
      <c r="Y414" s="359"/>
      <c r="Z414" s="364"/>
      <c r="AA414" s="359"/>
    </row>
    <row r="415" spans="1:27" ht="18" customHeight="1">
      <c r="A415" s="769"/>
      <c r="B415" s="769"/>
      <c r="C415" s="357" t="s">
        <v>10347</v>
      </c>
      <c r="D415" s="357" t="s">
        <v>10348</v>
      </c>
      <c r="E415" s="357" t="s">
        <v>1732</v>
      </c>
      <c r="F415" s="357" t="s">
        <v>9205</v>
      </c>
      <c r="G415" s="769"/>
      <c r="H415" s="357"/>
      <c r="I415" s="357"/>
      <c r="J415" s="357" t="s">
        <v>10346</v>
      </c>
      <c r="K415" s="357"/>
      <c r="L415" s="357"/>
      <c r="M415" s="357"/>
      <c r="N415" s="357"/>
      <c r="O415" s="357"/>
      <c r="P415" s="357"/>
      <c r="Q415" s="241" t="s">
        <v>7371</v>
      </c>
      <c r="R415" s="357" t="s">
        <v>10349</v>
      </c>
      <c r="S415" s="357"/>
      <c r="T415" s="377"/>
      <c r="U415" s="359"/>
      <c r="V415" s="359"/>
      <c r="W415" s="359"/>
      <c r="X415" s="359"/>
      <c r="Y415" s="359"/>
      <c r="Z415" s="364"/>
      <c r="AA415" s="359"/>
    </row>
    <row r="416" spans="1:27">
      <c r="A416" s="769"/>
      <c r="B416" s="769"/>
      <c r="C416" s="361" t="s">
        <v>10350</v>
      </c>
      <c r="D416" s="361" t="s">
        <v>10351</v>
      </c>
      <c r="E416" s="361" t="s">
        <v>1743</v>
      </c>
      <c r="F416" s="361" t="s">
        <v>9205</v>
      </c>
      <c r="G416" s="769"/>
      <c r="H416" s="361"/>
      <c r="I416" s="361"/>
      <c r="J416" s="361"/>
      <c r="K416" s="361"/>
      <c r="L416" s="361"/>
      <c r="M416" s="361"/>
      <c r="N416" s="361"/>
      <c r="O416" s="361"/>
      <c r="P416" s="361"/>
      <c r="Q416" s="241" t="s">
        <v>7371</v>
      </c>
      <c r="R416" s="361" t="s">
        <v>10349</v>
      </c>
      <c r="S416" s="361"/>
      <c r="T416" s="377"/>
      <c r="U416" s="359"/>
      <c r="V416" s="359"/>
      <c r="W416" s="359"/>
      <c r="X416" s="359"/>
      <c r="Y416" s="359"/>
      <c r="Z416" s="364"/>
      <c r="AA416" s="359"/>
    </row>
    <row r="417" spans="1:27">
      <c r="A417" s="769"/>
      <c r="B417" s="769"/>
      <c r="C417" s="357" t="s">
        <v>10352</v>
      </c>
      <c r="D417" s="357" t="s">
        <v>10353</v>
      </c>
      <c r="E417" s="357" t="s">
        <v>1732</v>
      </c>
      <c r="F417" s="357" t="s">
        <v>9205</v>
      </c>
      <c r="G417" s="769"/>
      <c r="H417" s="357"/>
      <c r="I417" s="357"/>
      <c r="J417" s="357"/>
      <c r="K417" s="357"/>
      <c r="L417" s="357"/>
      <c r="M417" s="357"/>
      <c r="N417" s="357"/>
      <c r="O417" s="357"/>
      <c r="P417" s="357"/>
      <c r="Q417" s="358" t="s">
        <v>9207</v>
      </c>
      <c r="R417" s="357"/>
      <c r="S417" s="357"/>
      <c r="T417" s="377" t="str">
        <f t="shared" ref="T417:T430" si="15">CONCATENATE(C417, " - ", D417)</f>
        <v>SOA0039-009 - Normal Tutup Rekening</v>
      </c>
      <c r="U417" s="359"/>
      <c r="V417" s="359"/>
      <c r="W417" s="359"/>
      <c r="X417" s="359"/>
      <c r="Y417" s="359"/>
      <c r="Z417" s="364">
        <v>44946</v>
      </c>
      <c r="AA417" s="359" t="s">
        <v>254</v>
      </c>
    </row>
    <row r="418" spans="1:27">
      <c r="A418" s="769"/>
      <c r="B418" s="769"/>
      <c r="C418" s="361" t="s">
        <v>10354</v>
      </c>
      <c r="D418" s="361" t="s">
        <v>10355</v>
      </c>
      <c r="E418" s="361" t="s">
        <v>1743</v>
      </c>
      <c r="F418" s="361" t="s">
        <v>9205</v>
      </c>
      <c r="G418" s="769"/>
      <c r="H418" s="361"/>
      <c r="I418" s="361"/>
      <c r="J418" s="361"/>
      <c r="K418" s="361"/>
      <c r="L418" s="361"/>
      <c r="M418" s="361"/>
      <c r="N418" s="361"/>
      <c r="O418" s="361"/>
      <c r="P418" s="361"/>
      <c r="Q418" s="358" t="s">
        <v>9207</v>
      </c>
      <c r="R418" s="361"/>
      <c r="S418" s="361"/>
      <c r="T418" s="377" t="str">
        <f t="shared" si="15"/>
        <v>SOA0039-010 - Abnormal Tutup Rekening</v>
      </c>
      <c r="U418" s="359"/>
      <c r="V418" s="359"/>
      <c r="W418" s="359"/>
      <c r="X418" s="359"/>
      <c r="Y418" s="359"/>
      <c r="Z418" s="364">
        <v>44946</v>
      </c>
      <c r="AA418" s="359" t="s">
        <v>254</v>
      </c>
    </row>
    <row r="419" spans="1:27">
      <c r="A419" s="769"/>
      <c r="B419" s="769"/>
      <c r="C419" s="357" t="s">
        <v>10356</v>
      </c>
      <c r="D419" s="357" t="s">
        <v>10357</v>
      </c>
      <c r="E419" s="357" t="s">
        <v>1732</v>
      </c>
      <c r="F419" s="357" t="s">
        <v>9205</v>
      </c>
      <c r="G419" s="769"/>
      <c r="H419" s="357"/>
      <c r="I419" s="357"/>
      <c r="J419" s="357"/>
      <c r="K419" s="357"/>
      <c r="L419" s="357"/>
      <c r="M419" s="357"/>
      <c r="N419" s="357"/>
      <c r="O419" s="357"/>
      <c r="P419" s="357"/>
      <c r="Q419" s="358" t="s">
        <v>9207</v>
      </c>
      <c r="R419" s="357"/>
      <c r="S419" s="357"/>
      <c r="T419" s="377" t="str">
        <f t="shared" si="15"/>
        <v>SOA0039-011 - Duplicate msgId</v>
      </c>
      <c r="U419" s="359"/>
      <c r="V419" s="359"/>
      <c r="W419" s="359"/>
      <c r="X419" s="359"/>
      <c r="Y419" s="359"/>
      <c r="Z419" s="364">
        <v>44946</v>
      </c>
      <c r="AA419" s="359" t="s">
        <v>254</v>
      </c>
    </row>
    <row r="420" spans="1:27">
      <c r="A420" s="769"/>
      <c r="B420" s="769"/>
      <c r="C420" s="361" t="s">
        <v>10358</v>
      </c>
      <c r="D420" s="361" t="s">
        <v>10359</v>
      </c>
      <c r="E420" s="361" t="s">
        <v>1743</v>
      </c>
      <c r="F420" s="361" t="s">
        <v>9205</v>
      </c>
      <c r="G420" s="769"/>
      <c r="H420" s="361"/>
      <c r="I420" s="361"/>
      <c r="J420" s="361"/>
      <c r="K420" s="361"/>
      <c r="L420" s="361"/>
      <c r="M420" s="361"/>
      <c r="N420" s="361"/>
      <c r="O420" s="361"/>
      <c r="P420" s="361"/>
      <c r="Q420" s="358" t="s">
        <v>9207</v>
      </c>
      <c r="R420" s="361"/>
      <c r="S420" s="361"/>
      <c r="T420" s="377" t="str">
        <f t="shared" si="15"/>
        <v>SOA0039-012 - Duplicate msgId (Data already exist)</v>
      </c>
      <c r="U420" s="359"/>
      <c r="V420" s="359"/>
      <c r="W420" s="359"/>
      <c r="X420" s="359"/>
      <c r="Y420" s="359"/>
      <c r="Z420" s="364">
        <v>44946</v>
      </c>
      <c r="AA420" s="359" t="s">
        <v>254</v>
      </c>
    </row>
    <row r="421" spans="1:27" ht="16.5" customHeight="1">
      <c r="A421" s="731" t="s">
        <v>10360</v>
      </c>
      <c r="B421" s="731" t="s">
        <v>10361</v>
      </c>
      <c r="C421" s="357" t="s">
        <v>10362</v>
      </c>
      <c r="D421" s="357" t="s">
        <v>10363</v>
      </c>
      <c r="E421" s="357" t="s">
        <v>1732</v>
      </c>
      <c r="F421" s="357" t="s">
        <v>9205</v>
      </c>
      <c r="G421" s="723" t="s">
        <v>10364</v>
      </c>
      <c r="H421" s="357"/>
      <c r="I421" s="357"/>
      <c r="J421" s="357" t="s">
        <v>10365</v>
      </c>
      <c r="K421" s="357"/>
      <c r="L421" s="357"/>
      <c r="M421" s="357"/>
      <c r="N421" s="357"/>
      <c r="O421" s="357"/>
      <c r="P421" s="357"/>
      <c r="Q421" s="358" t="s">
        <v>9207</v>
      </c>
      <c r="R421" s="357"/>
      <c r="S421" s="357"/>
      <c r="T421" s="377" t="str">
        <f t="shared" si="15"/>
        <v xml:space="preserve">SOA0040-001 - Test Case – (SMS)Normal Registrasi KSEI </v>
      </c>
      <c r="U421" s="359"/>
      <c r="V421" s="359"/>
      <c r="W421" s="359"/>
      <c r="X421" s="359"/>
      <c r="Y421" s="359"/>
      <c r="Z421" s="364">
        <v>44951</v>
      </c>
      <c r="AA421" s="359" t="s">
        <v>254</v>
      </c>
    </row>
    <row r="422" spans="1:27" ht="15.75" customHeight="1">
      <c r="A422" s="769"/>
      <c r="B422" s="769"/>
      <c r="C422" s="361" t="s">
        <v>10366</v>
      </c>
      <c r="D422" s="361" t="s">
        <v>10367</v>
      </c>
      <c r="E422" s="361" t="s">
        <v>1743</v>
      </c>
      <c r="F422" s="361" t="s">
        <v>9205</v>
      </c>
      <c r="G422" s="769"/>
      <c r="H422" s="361"/>
      <c r="I422" s="361"/>
      <c r="J422" s="361" t="s">
        <v>10368</v>
      </c>
      <c r="K422" s="361"/>
      <c r="L422" s="361"/>
      <c r="M422" s="361"/>
      <c r="N422" s="361"/>
      <c r="O422" s="361"/>
      <c r="P422" s="361"/>
      <c r="Q422" s="358" t="s">
        <v>9207</v>
      </c>
      <c r="R422" s="361"/>
      <c r="S422" s="361"/>
      <c r="T422" s="377" t="str">
        <f t="shared" si="15"/>
        <v>SOA0040-002 - Test Case – (SMS)Abnormal Registrasi KSEI: rekening tidak terafialiasi kartu</v>
      </c>
      <c r="U422" s="359"/>
      <c r="V422" s="359"/>
      <c r="W422" s="359"/>
      <c r="X422" s="359"/>
      <c r="Y422" s="359"/>
      <c r="Z422" s="364">
        <v>44951</v>
      </c>
      <c r="AA422" s="359" t="s">
        <v>254</v>
      </c>
    </row>
    <row r="423" spans="1:27" ht="17.25" customHeight="1">
      <c r="A423" s="731" t="s">
        <v>10369</v>
      </c>
      <c r="B423" s="731" t="s">
        <v>10370</v>
      </c>
      <c r="C423" s="357" t="s">
        <v>10371</v>
      </c>
      <c r="D423" s="357" t="s">
        <v>10372</v>
      </c>
      <c r="E423" s="357" t="s">
        <v>1732</v>
      </c>
      <c r="F423" s="357" t="s">
        <v>9205</v>
      </c>
      <c r="G423" s="723" t="s">
        <v>10373</v>
      </c>
      <c r="H423" s="357"/>
      <c r="I423" s="357"/>
      <c r="J423" s="357" t="s">
        <v>10374</v>
      </c>
      <c r="K423" s="357"/>
      <c r="L423" s="357"/>
      <c r="M423" s="357"/>
      <c r="N423" s="357"/>
      <c r="O423" s="357"/>
      <c r="P423" s="357"/>
      <c r="Q423" s="358" t="s">
        <v>9207</v>
      </c>
      <c r="R423" s="357"/>
      <c r="S423" s="357"/>
      <c r="T423" s="377" t="str">
        <f t="shared" si="15"/>
        <v>SOA0041-001 - Test Case – Normal topup Tapcash dari BNIDIRECT</v>
      </c>
      <c r="U423" s="359"/>
      <c r="V423" s="359"/>
      <c r="W423" s="359"/>
      <c r="X423" s="359"/>
      <c r="Y423" s="359"/>
      <c r="Z423" s="364">
        <v>44951</v>
      </c>
      <c r="AA423" s="359" t="s">
        <v>254</v>
      </c>
    </row>
    <row r="424" spans="1:27" ht="16.5" customHeight="1">
      <c r="A424" s="769"/>
      <c r="B424" s="769"/>
      <c r="C424" s="361" t="s">
        <v>10375</v>
      </c>
      <c r="D424" s="361" t="s">
        <v>10376</v>
      </c>
      <c r="E424" s="361" t="s">
        <v>1743</v>
      </c>
      <c r="F424" s="361" t="s">
        <v>9205</v>
      </c>
      <c r="G424" s="769"/>
      <c r="H424" s="361"/>
      <c r="I424" s="361"/>
      <c r="J424" s="361" t="s">
        <v>10374</v>
      </c>
      <c r="K424" s="361"/>
      <c r="L424" s="361"/>
      <c r="M424" s="361"/>
      <c r="N424" s="361"/>
      <c r="O424" s="361"/>
      <c r="P424" s="361"/>
      <c r="Q424" s="358" t="s">
        <v>9207</v>
      </c>
      <c r="R424" s="361"/>
      <c r="S424" s="361"/>
      <c r="T424" s="377" t="str">
        <f t="shared" si="15"/>
        <v>SOA0041-002 - Test Case – Abormal topup Tapcash dari BNIDIRECT: Nomor rekening salah</v>
      </c>
      <c r="U424" s="359"/>
      <c r="V424" s="359"/>
      <c r="W424" s="359"/>
      <c r="X424" s="359"/>
      <c r="Y424" s="359"/>
      <c r="Z424" s="364">
        <v>44951</v>
      </c>
      <c r="AA424" s="359" t="s">
        <v>254</v>
      </c>
    </row>
    <row r="425" spans="1:27">
      <c r="A425" s="731" t="s">
        <v>10377</v>
      </c>
      <c r="B425" s="731" t="s">
        <v>10378</v>
      </c>
      <c r="C425" s="357" t="s">
        <v>10379</v>
      </c>
      <c r="D425" s="357" t="s">
        <v>10380</v>
      </c>
      <c r="E425" s="357" t="s">
        <v>1732</v>
      </c>
      <c r="F425" s="357" t="s">
        <v>9205</v>
      </c>
      <c r="G425" s="736"/>
      <c r="H425" s="357"/>
      <c r="I425" s="357"/>
      <c r="J425" s="357"/>
      <c r="K425" s="357"/>
      <c r="L425" s="357"/>
      <c r="M425" s="357"/>
      <c r="N425" s="357"/>
      <c r="O425" s="357"/>
      <c r="P425" s="357"/>
      <c r="Q425" s="358" t="s">
        <v>9207</v>
      </c>
      <c r="R425" s="357"/>
      <c r="S425" s="357"/>
      <c r="T425" s="377" t="str">
        <f t="shared" si="15"/>
        <v>SOA0042-001 - Normal inquiryHET menggunakan SOAP Message</v>
      </c>
      <c r="U425" s="359"/>
      <c r="V425" s="359"/>
      <c r="W425" s="359"/>
      <c r="X425" s="359"/>
      <c r="Y425" s="359"/>
      <c r="Z425" s="364">
        <v>44952</v>
      </c>
      <c r="AA425" s="359" t="s">
        <v>254</v>
      </c>
    </row>
    <row r="426" spans="1:27">
      <c r="A426" s="769"/>
      <c r="B426" s="769"/>
      <c r="C426" s="361" t="s">
        <v>10381</v>
      </c>
      <c r="D426" s="361" t="s">
        <v>10382</v>
      </c>
      <c r="E426" s="361" t="s">
        <v>1743</v>
      </c>
      <c r="F426" s="361" t="s">
        <v>9205</v>
      </c>
      <c r="G426" s="769"/>
      <c r="H426" s="361"/>
      <c r="I426" s="361"/>
      <c r="J426" s="361"/>
      <c r="K426" s="361"/>
      <c r="L426" s="361"/>
      <c r="M426" s="361"/>
      <c r="N426" s="361"/>
      <c r="O426" s="361"/>
      <c r="P426" s="361"/>
      <c r="Q426" s="358" t="s">
        <v>9207</v>
      </c>
      <c r="R426" s="361"/>
      <c r="S426" s="361"/>
      <c r="T426" s="377" t="str">
        <f t="shared" si="15"/>
        <v>SOA0042-002 - Abnormal inquiryHET menggunakan SOAP Message:  invalid agentId</v>
      </c>
      <c r="U426" s="359"/>
      <c r="V426" s="359"/>
      <c r="W426" s="359"/>
      <c r="X426" s="359"/>
      <c r="Y426" s="359"/>
      <c r="Z426" s="364">
        <v>44952</v>
      </c>
      <c r="AA426" s="359" t="s">
        <v>254</v>
      </c>
    </row>
    <row r="427" spans="1:27">
      <c r="A427" s="769"/>
      <c r="B427" s="769"/>
      <c r="C427" s="357" t="s">
        <v>10383</v>
      </c>
      <c r="D427" s="357" t="s">
        <v>10384</v>
      </c>
      <c r="E427" s="357" t="s">
        <v>1732</v>
      </c>
      <c r="F427" s="357" t="s">
        <v>9205</v>
      </c>
      <c r="G427" s="769"/>
      <c r="H427" s="357"/>
      <c r="I427" s="357"/>
      <c r="J427" s="357"/>
      <c r="K427" s="357"/>
      <c r="L427" s="357"/>
      <c r="M427" s="357"/>
      <c r="N427" s="357"/>
      <c r="O427" s="357"/>
      <c r="P427" s="357"/>
      <c r="Q427" s="358" t="s">
        <v>9207</v>
      </c>
      <c r="R427" s="357"/>
      <c r="S427" s="357"/>
      <c r="T427" s="377" t="str">
        <f t="shared" si="15"/>
        <v>SOA0042-003 - Normal inquiryAllHET menggunakan SOAP Message</v>
      </c>
      <c r="U427" s="359"/>
      <c r="V427" s="359"/>
      <c r="W427" s="359"/>
      <c r="X427" s="359"/>
      <c r="Y427" s="359"/>
      <c r="Z427" s="364">
        <v>44952</v>
      </c>
      <c r="AA427" s="359" t="s">
        <v>254</v>
      </c>
    </row>
    <row r="428" spans="1:27">
      <c r="A428" s="769"/>
      <c r="B428" s="769"/>
      <c r="C428" s="361" t="s">
        <v>10385</v>
      </c>
      <c r="D428" s="361" t="s">
        <v>10386</v>
      </c>
      <c r="E428" s="361" t="s">
        <v>1743</v>
      </c>
      <c r="F428" s="361" t="s">
        <v>9205</v>
      </c>
      <c r="G428" s="769"/>
      <c r="H428" s="361"/>
      <c r="I428" s="361"/>
      <c r="J428" s="361"/>
      <c r="K428" s="361"/>
      <c r="L428" s="361"/>
      <c r="M428" s="361"/>
      <c r="N428" s="361"/>
      <c r="O428" s="361"/>
      <c r="P428" s="361"/>
      <c r="Q428" s="358" t="s">
        <v>9207</v>
      </c>
      <c r="R428" s="361"/>
      <c r="S428" s="361"/>
      <c r="T428" s="377" t="str">
        <f t="shared" si="15"/>
        <v>SOA0042-004 - Abnormal inquiryAllHET menggunakan SOAP Message: Invalid province</v>
      </c>
      <c r="U428" s="359"/>
      <c r="V428" s="359"/>
      <c r="W428" s="359"/>
      <c r="X428" s="359"/>
      <c r="Y428" s="359"/>
      <c r="Z428" s="364">
        <v>44952</v>
      </c>
      <c r="AA428" s="359" t="s">
        <v>254</v>
      </c>
    </row>
    <row r="429" spans="1:27">
      <c r="A429" s="769"/>
      <c r="B429" s="769"/>
      <c r="C429" s="357" t="s">
        <v>10387</v>
      </c>
      <c r="D429" s="357" t="s">
        <v>10388</v>
      </c>
      <c r="E429" s="357" t="s">
        <v>1732</v>
      </c>
      <c r="F429" s="357" t="s">
        <v>9205</v>
      </c>
      <c r="G429" s="769"/>
      <c r="H429" s="357"/>
      <c r="I429" s="357"/>
      <c r="J429" s="357"/>
      <c r="K429" s="357"/>
      <c r="L429" s="357"/>
      <c r="M429" s="357"/>
      <c r="N429" s="357"/>
      <c r="O429" s="357"/>
      <c r="P429" s="357"/>
      <c r="Q429" s="358" t="s">
        <v>9207</v>
      </c>
      <c r="R429" s="357"/>
      <c r="S429" s="357"/>
      <c r="T429" s="377" t="str">
        <f t="shared" si="15"/>
        <v>SOA0042-005 - Normal createPrice menggunakan SOAP Message</v>
      </c>
      <c r="U429" s="359"/>
      <c r="V429" s="359"/>
      <c r="W429" s="359"/>
      <c r="X429" s="359"/>
      <c r="Y429" s="359"/>
      <c r="Z429" s="364">
        <v>44952</v>
      </c>
      <c r="AA429" s="359" t="s">
        <v>254</v>
      </c>
    </row>
    <row r="430" spans="1:27">
      <c r="A430" s="769"/>
      <c r="B430" s="769"/>
      <c r="C430" s="361" t="s">
        <v>10389</v>
      </c>
      <c r="D430" s="361" t="s">
        <v>10226</v>
      </c>
      <c r="E430" s="361" t="s">
        <v>1732</v>
      </c>
      <c r="F430" s="361" t="s">
        <v>9205</v>
      </c>
      <c r="G430" s="769"/>
      <c r="H430" s="361"/>
      <c r="I430" s="361"/>
      <c r="J430" s="361"/>
      <c r="K430" s="361"/>
      <c r="L430" s="361"/>
      <c r="M430" s="361"/>
      <c r="N430" s="361"/>
      <c r="O430" s="361"/>
      <c r="P430" s="361"/>
      <c r="Q430" s="358" t="s">
        <v>9207</v>
      </c>
      <c r="R430" s="361"/>
      <c r="S430" s="361"/>
      <c r="T430" s="377" t="str">
        <f t="shared" si="15"/>
        <v>SOA0042-006 - BNIDirect: Normal Inquiry NPWP</v>
      </c>
      <c r="U430" s="359"/>
      <c r="V430" s="359"/>
      <c r="W430" s="359"/>
      <c r="X430" s="359"/>
      <c r="Y430" s="359"/>
      <c r="Z430" s="364">
        <v>44952</v>
      </c>
      <c r="AA430" s="359" t="s">
        <v>254</v>
      </c>
    </row>
    <row r="431" spans="1:27">
      <c r="A431" s="769"/>
      <c r="B431" s="769"/>
      <c r="C431" s="357" t="s">
        <v>10390</v>
      </c>
      <c r="D431" s="357" t="s">
        <v>10391</v>
      </c>
      <c r="E431" s="357" t="s">
        <v>1732</v>
      </c>
      <c r="F431" s="357" t="s">
        <v>9205</v>
      </c>
      <c r="G431" s="769"/>
      <c r="H431" s="357"/>
      <c r="I431" s="357"/>
      <c r="J431" s="357"/>
      <c r="K431" s="357"/>
      <c r="L431" s="357"/>
      <c r="M431" s="357"/>
      <c r="N431" s="357"/>
      <c r="O431" s="357"/>
      <c r="P431" s="357"/>
      <c r="Q431" s="357"/>
      <c r="R431" s="357"/>
      <c r="S431" s="357"/>
      <c r="T431" s="377"/>
      <c r="U431" s="359"/>
      <c r="V431" s="359"/>
      <c r="W431" s="359"/>
      <c r="X431" s="359"/>
      <c r="Y431" s="359"/>
      <c r="Z431" s="364"/>
      <c r="AA431" s="359"/>
    </row>
    <row r="432" spans="1:27">
      <c r="A432" s="769"/>
      <c r="B432" s="769"/>
      <c r="C432" s="361" t="s">
        <v>10392</v>
      </c>
      <c r="D432" s="361" t="s">
        <v>10393</v>
      </c>
      <c r="E432" s="361" t="s">
        <v>1743</v>
      </c>
      <c r="F432" s="361" t="s">
        <v>9205</v>
      </c>
      <c r="G432" s="769"/>
      <c r="H432" s="361"/>
      <c r="I432" s="361"/>
      <c r="J432" s="361"/>
      <c r="K432" s="361"/>
      <c r="L432" s="361"/>
      <c r="M432" s="361"/>
      <c r="N432" s="361"/>
      <c r="O432" s="361"/>
      <c r="P432" s="361"/>
      <c r="Q432" s="358" t="s">
        <v>9207</v>
      </c>
      <c r="R432" s="361"/>
      <c r="S432" s="361"/>
      <c r="T432" s="377" t="str">
        <f>CONCATENATE(C432, " - ", D432)</f>
        <v>SOA0042-008 - Abnormal updatePrice menggunakan SOAP Message: Invalid price Id</v>
      </c>
      <c r="U432" s="359"/>
      <c r="V432" s="359"/>
      <c r="W432" s="359"/>
      <c r="X432" s="359"/>
      <c r="Y432" s="359"/>
      <c r="Z432" s="364">
        <v>44952</v>
      </c>
      <c r="AA432" s="359" t="s">
        <v>254</v>
      </c>
    </row>
    <row r="433" spans="1:27">
      <c r="A433" s="769"/>
      <c r="B433" s="769"/>
      <c r="C433" s="357" t="s">
        <v>10394</v>
      </c>
      <c r="D433" s="357" t="s">
        <v>10395</v>
      </c>
      <c r="E433" s="357" t="s">
        <v>1732</v>
      </c>
      <c r="F433" s="357" t="s">
        <v>9205</v>
      </c>
      <c r="G433" s="769"/>
      <c r="H433" s="357"/>
      <c r="I433" s="357"/>
      <c r="J433" s="357"/>
      <c r="K433" s="357"/>
      <c r="L433" s="357"/>
      <c r="M433" s="357"/>
      <c r="N433" s="357"/>
      <c r="O433" s="357"/>
      <c r="P433" s="357"/>
      <c r="Q433" s="357"/>
      <c r="R433" s="357"/>
      <c r="S433" s="357"/>
      <c r="T433" s="359"/>
      <c r="U433" s="359"/>
      <c r="V433" s="359"/>
      <c r="W433" s="359"/>
      <c r="X433" s="359"/>
      <c r="Y433" s="359"/>
      <c r="Z433" s="364"/>
      <c r="AA433" s="359"/>
    </row>
    <row r="434" spans="1:27">
      <c r="A434" s="769"/>
      <c r="B434" s="769"/>
      <c r="C434" s="361" t="s">
        <v>10396</v>
      </c>
      <c r="D434" s="361" t="s">
        <v>10397</v>
      </c>
      <c r="E434" s="361" t="s">
        <v>1743</v>
      </c>
      <c r="F434" s="361" t="s">
        <v>9205</v>
      </c>
      <c r="G434" s="769"/>
      <c r="H434" s="361"/>
      <c r="I434" s="361"/>
      <c r="J434" s="361"/>
      <c r="K434" s="361"/>
      <c r="L434" s="361"/>
      <c r="M434" s="361"/>
      <c r="N434" s="361"/>
      <c r="O434" s="361"/>
      <c r="P434" s="361"/>
      <c r="Q434" s="358" t="s">
        <v>9207</v>
      </c>
      <c r="R434" s="361"/>
      <c r="S434" s="361"/>
      <c r="T434" s="377" t="str">
        <f t="shared" ref="T434:T435" si="16">CONCATENATE(C434, " - ", D434)</f>
        <v>SOA0042-010 - Abnormal deletePrice menggunakan SOAP Message: invalid staffId</v>
      </c>
      <c r="U434" s="359"/>
      <c r="V434" s="359"/>
      <c r="W434" s="359"/>
      <c r="X434" s="359"/>
      <c r="Y434" s="359"/>
      <c r="Z434" s="364">
        <v>44952</v>
      </c>
      <c r="AA434" s="359" t="s">
        <v>254</v>
      </c>
    </row>
    <row r="435" spans="1:27">
      <c r="A435" s="769"/>
      <c r="B435" s="769"/>
      <c r="C435" s="357" t="s">
        <v>10398</v>
      </c>
      <c r="D435" s="357" t="s">
        <v>10399</v>
      </c>
      <c r="E435" s="357" t="s">
        <v>1732</v>
      </c>
      <c r="F435" s="357" t="s">
        <v>9205</v>
      </c>
      <c r="G435" s="769"/>
      <c r="H435" s="357"/>
      <c r="I435" s="357"/>
      <c r="J435" s="357"/>
      <c r="K435" s="357"/>
      <c r="L435" s="357"/>
      <c r="M435" s="357"/>
      <c r="N435" s="357"/>
      <c r="O435" s="357"/>
      <c r="P435" s="357"/>
      <c r="Q435" s="358" t="s">
        <v>9207</v>
      </c>
      <c r="R435" s="357"/>
      <c r="S435" s="357"/>
      <c r="T435" s="377" t="str">
        <f t="shared" si="16"/>
        <v>SOA0042-011 - Normal inquiryPrices menggunakan SOAP Message</v>
      </c>
      <c r="U435" s="359"/>
      <c r="V435" s="359"/>
      <c r="W435" s="359"/>
      <c r="X435" s="359"/>
      <c r="Y435" s="359"/>
      <c r="Z435" s="364">
        <v>44952</v>
      </c>
      <c r="AA435" s="359" t="s">
        <v>254</v>
      </c>
    </row>
    <row r="436" spans="1:27">
      <c r="A436" s="769"/>
      <c r="B436" s="769"/>
      <c r="C436" s="361" t="s">
        <v>10400</v>
      </c>
      <c r="D436" s="361" t="s">
        <v>10401</v>
      </c>
      <c r="E436" s="361" t="s">
        <v>1743</v>
      </c>
      <c r="F436" s="361" t="s">
        <v>9205</v>
      </c>
      <c r="G436" s="769"/>
      <c r="H436" s="361"/>
      <c r="I436" s="361"/>
      <c r="J436" s="361"/>
      <c r="K436" s="361"/>
      <c r="L436" s="361"/>
      <c r="M436" s="361"/>
      <c r="N436" s="361"/>
      <c r="O436" s="361"/>
      <c r="P436" s="361"/>
      <c r="Q436" s="361"/>
      <c r="R436" s="361"/>
      <c r="S436" s="361"/>
      <c r="T436" s="359"/>
      <c r="U436" s="359"/>
      <c r="V436" s="359"/>
      <c r="W436" s="359"/>
      <c r="X436" s="359"/>
      <c r="Y436" s="359"/>
      <c r="Z436" s="364"/>
      <c r="AA436" s="359"/>
    </row>
    <row r="437" spans="1:27">
      <c r="A437" s="769"/>
      <c r="B437" s="769"/>
      <c r="C437" s="357" t="s">
        <v>10402</v>
      </c>
      <c r="D437" s="357" t="s">
        <v>10403</v>
      </c>
      <c r="E437" s="357" t="s">
        <v>1732</v>
      </c>
      <c r="F437" s="357" t="s">
        <v>9205</v>
      </c>
      <c r="G437" s="769"/>
      <c r="H437" s="357"/>
      <c r="I437" s="357"/>
      <c r="J437" s="357"/>
      <c r="K437" s="357"/>
      <c r="L437" s="357"/>
      <c r="M437" s="357"/>
      <c r="N437" s="357"/>
      <c r="O437" s="357"/>
      <c r="P437" s="357"/>
      <c r="Q437" s="358" t="s">
        <v>9207</v>
      </c>
      <c r="R437" s="357"/>
      <c r="S437" s="357"/>
      <c r="T437" s="377" t="str">
        <f t="shared" ref="T437:T438" si="17">CONCATENATE(C437, " - ", D437)</f>
        <v>SOA0042-013 - Normal inquiryTransactions menggunakan SOAP Message</v>
      </c>
      <c r="U437" s="359"/>
      <c r="V437" s="359"/>
      <c r="W437" s="359"/>
      <c r="X437" s="359"/>
      <c r="Y437" s="359"/>
      <c r="Z437" s="364">
        <v>44952</v>
      </c>
      <c r="AA437" s="359" t="s">
        <v>254</v>
      </c>
    </row>
    <row r="438" spans="1:27">
      <c r="A438" s="769"/>
      <c r="B438" s="769"/>
      <c r="C438" s="361" t="s">
        <v>10404</v>
      </c>
      <c r="D438" s="361" t="s">
        <v>10405</v>
      </c>
      <c r="E438" s="361" t="s">
        <v>1732</v>
      </c>
      <c r="F438" s="361" t="s">
        <v>9205</v>
      </c>
      <c r="G438" s="769"/>
      <c r="H438" s="361"/>
      <c r="I438" s="361"/>
      <c r="J438" s="361"/>
      <c r="K438" s="361"/>
      <c r="L438" s="361"/>
      <c r="M438" s="361"/>
      <c r="N438" s="361"/>
      <c r="O438" s="361"/>
      <c r="P438" s="361"/>
      <c r="Q438" s="358" t="s">
        <v>9207</v>
      </c>
      <c r="R438" s="361"/>
      <c r="S438" s="361"/>
      <c r="T438" s="377" t="str">
        <f t="shared" si="17"/>
        <v>SOA0042-014 - Normal inquiryTransactions menggunakan SOAP Message: dateTo &lt; dateFrom</v>
      </c>
      <c r="U438" s="359"/>
      <c r="V438" s="359"/>
      <c r="W438" s="359"/>
      <c r="X438" s="359"/>
      <c r="Y438" s="359"/>
      <c r="Z438" s="364">
        <v>45013</v>
      </c>
      <c r="AA438" s="359" t="s">
        <v>254</v>
      </c>
    </row>
    <row r="439" spans="1:27">
      <c r="A439" s="769"/>
      <c r="B439" s="769"/>
      <c r="C439" s="357" t="s">
        <v>10406</v>
      </c>
      <c r="D439" s="357" t="s">
        <v>10407</v>
      </c>
      <c r="E439" s="357" t="s">
        <v>1732</v>
      </c>
      <c r="F439" s="357" t="s">
        <v>9205</v>
      </c>
      <c r="G439" s="769"/>
      <c r="H439" s="357"/>
      <c r="I439" s="357"/>
      <c r="J439" s="357"/>
      <c r="K439" s="357"/>
      <c r="L439" s="357"/>
      <c r="M439" s="357"/>
      <c r="N439" s="357"/>
      <c r="O439" s="357"/>
      <c r="P439" s="357"/>
      <c r="Q439" s="357"/>
      <c r="R439" s="357"/>
      <c r="S439" s="357"/>
      <c r="T439" s="359"/>
      <c r="U439" s="359"/>
      <c r="V439" s="359"/>
      <c r="W439" s="359"/>
      <c r="X439" s="359"/>
      <c r="Y439" s="359"/>
      <c r="Z439" s="364"/>
      <c r="AA439" s="359"/>
    </row>
    <row r="440" spans="1:27">
      <c r="A440" s="769"/>
      <c r="B440" s="769"/>
      <c r="C440" s="361" t="s">
        <v>10408</v>
      </c>
      <c r="D440" s="361" t="s">
        <v>10409</v>
      </c>
      <c r="E440" s="361" t="s">
        <v>1743</v>
      </c>
      <c r="F440" s="361" t="s">
        <v>9205</v>
      </c>
      <c r="G440" s="769"/>
      <c r="H440" s="361"/>
      <c r="I440" s="361"/>
      <c r="J440" s="361"/>
      <c r="K440" s="361"/>
      <c r="L440" s="361"/>
      <c r="M440" s="361"/>
      <c r="N440" s="361"/>
      <c r="O440" s="361"/>
      <c r="P440" s="361"/>
      <c r="Q440" s="361"/>
      <c r="R440" s="361"/>
      <c r="S440" s="361"/>
      <c r="T440" s="359"/>
      <c r="U440" s="359"/>
      <c r="V440" s="359"/>
      <c r="W440" s="359"/>
      <c r="X440" s="359"/>
      <c r="Y440" s="359"/>
      <c r="Z440" s="364"/>
      <c r="AA440" s="359"/>
    </row>
    <row r="441" spans="1:27">
      <c r="A441" s="769"/>
      <c r="B441" s="769"/>
      <c r="C441" s="357" t="s">
        <v>10410</v>
      </c>
      <c r="D441" s="357" t="s">
        <v>10411</v>
      </c>
      <c r="E441" s="357" t="s">
        <v>1732</v>
      </c>
      <c r="F441" s="357" t="s">
        <v>9205</v>
      </c>
      <c r="G441" s="769"/>
      <c r="H441" s="357"/>
      <c r="I441" s="357"/>
      <c r="J441" s="357"/>
      <c r="K441" s="357"/>
      <c r="L441" s="357"/>
      <c r="M441" s="357"/>
      <c r="N441" s="357"/>
      <c r="O441" s="357"/>
      <c r="P441" s="357"/>
      <c r="Q441" s="357"/>
      <c r="R441" s="357"/>
      <c r="S441" s="357"/>
      <c r="T441" s="359"/>
      <c r="U441" s="359"/>
      <c r="V441" s="359"/>
      <c r="W441" s="359"/>
      <c r="X441" s="359"/>
      <c r="Y441" s="359"/>
      <c r="Z441" s="364"/>
      <c r="AA441" s="359"/>
    </row>
    <row r="442" spans="1:27">
      <c r="A442" s="769"/>
      <c r="B442" s="769"/>
      <c r="C442" s="361" t="s">
        <v>10412</v>
      </c>
      <c r="D442" s="361" t="s">
        <v>10413</v>
      </c>
      <c r="E442" s="361" t="s">
        <v>1743</v>
      </c>
      <c r="F442" s="361" t="s">
        <v>9205</v>
      </c>
      <c r="G442" s="769"/>
      <c r="H442" s="361"/>
      <c r="I442" s="361"/>
      <c r="J442" s="361"/>
      <c r="K442" s="361"/>
      <c r="L442" s="361"/>
      <c r="M442" s="361"/>
      <c r="N442" s="361"/>
      <c r="O442" s="361"/>
      <c r="P442" s="361"/>
      <c r="Q442" s="361"/>
      <c r="R442" s="361"/>
      <c r="S442" s="361"/>
      <c r="T442" s="359"/>
      <c r="U442" s="359"/>
      <c r="V442" s="359"/>
      <c r="W442" s="359"/>
      <c r="X442" s="359"/>
      <c r="Y442" s="359"/>
      <c r="Z442" s="364"/>
      <c r="AA442" s="359"/>
    </row>
    <row r="443" spans="1:27">
      <c r="A443" s="769"/>
      <c r="B443" s="769"/>
      <c r="C443" s="357" t="s">
        <v>10414</v>
      </c>
      <c r="D443" s="357" t="s">
        <v>10415</v>
      </c>
      <c r="E443" s="357" t="s">
        <v>1732</v>
      </c>
      <c r="F443" s="357" t="s">
        <v>9205</v>
      </c>
      <c r="G443" s="769"/>
      <c r="H443" s="357"/>
      <c r="I443" s="357"/>
      <c r="J443" s="357"/>
      <c r="K443" s="357"/>
      <c r="L443" s="357"/>
      <c r="M443" s="357"/>
      <c r="N443" s="357"/>
      <c r="O443" s="357"/>
      <c r="P443" s="357"/>
      <c r="Q443" s="357"/>
      <c r="R443" s="357"/>
      <c r="S443" s="357"/>
      <c r="T443" s="359"/>
      <c r="U443" s="359"/>
      <c r="V443" s="359"/>
      <c r="W443" s="359"/>
      <c r="X443" s="359"/>
      <c r="Y443" s="359"/>
      <c r="Z443" s="364"/>
      <c r="AA443" s="359"/>
    </row>
    <row r="444" spans="1:27">
      <c r="A444" s="769"/>
      <c r="B444" s="769"/>
      <c r="C444" s="361" t="s">
        <v>10416</v>
      </c>
      <c r="D444" s="361" t="s">
        <v>10417</v>
      </c>
      <c r="E444" s="361" t="s">
        <v>1743</v>
      </c>
      <c r="F444" s="361" t="s">
        <v>9205</v>
      </c>
      <c r="G444" s="769"/>
      <c r="H444" s="361"/>
      <c r="I444" s="361"/>
      <c r="J444" s="361"/>
      <c r="K444" s="361"/>
      <c r="L444" s="361"/>
      <c r="M444" s="361"/>
      <c r="N444" s="361"/>
      <c r="O444" s="361"/>
      <c r="P444" s="361"/>
      <c r="Q444" s="358" t="s">
        <v>9207</v>
      </c>
      <c r="R444" s="361"/>
      <c r="S444" s="361"/>
      <c r="T444" s="377" t="str">
        <f t="shared" ref="T444:T551" si="18">CONCATENATE(C444, " - ", D444, ".pdf")</f>
        <v>SOA0042-020 - Abnormal payLPG menggunakan SOAP Message: invalid delivery Date.pdf</v>
      </c>
      <c r="U444" s="359"/>
      <c r="V444" s="359"/>
      <c r="W444" s="359"/>
      <c r="X444" s="359"/>
      <c r="Y444" s="359"/>
      <c r="Z444" s="364">
        <v>45014</v>
      </c>
      <c r="AA444" s="359" t="s">
        <v>254</v>
      </c>
    </row>
    <row r="445" spans="1:27">
      <c r="A445" s="731" t="s">
        <v>10418</v>
      </c>
      <c r="B445" s="731" t="s">
        <v>10419</v>
      </c>
      <c r="C445" s="357" t="s">
        <v>10420</v>
      </c>
      <c r="D445" s="357" t="s">
        <v>10421</v>
      </c>
      <c r="E445" s="357" t="s">
        <v>1732</v>
      </c>
      <c r="F445" s="357" t="s">
        <v>9205</v>
      </c>
      <c r="G445" s="723" t="s">
        <v>10422</v>
      </c>
      <c r="H445" s="357" t="str">
        <f t="shared" ref="H445:H582" si="19">CONCATENATE(T445,".txt")</f>
        <v>SOA0043-001 - T001_Account Details - Valid A/C Number.pdf.txt</v>
      </c>
      <c r="I445" s="357"/>
      <c r="J445" s="357"/>
      <c r="K445" s="357"/>
      <c r="L445" s="357"/>
      <c r="M445" s="357"/>
      <c r="N445" s="357"/>
      <c r="O445" s="357"/>
      <c r="P445" s="357"/>
      <c r="Q445" s="358" t="s">
        <v>9207</v>
      </c>
      <c r="R445" s="357"/>
      <c r="S445" s="357"/>
      <c r="T445" s="377" t="str">
        <f t="shared" si="18"/>
        <v>SOA0043-001 - T001_Account Details - Valid A/C Number.pdf</v>
      </c>
      <c r="U445" s="359"/>
      <c r="V445" s="359"/>
      <c r="W445" s="359"/>
      <c r="X445" s="359"/>
      <c r="Y445" s="359"/>
      <c r="Z445" s="364">
        <v>44985</v>
      </c>
      <c r="AA445" s="359" t="s">
        <v>254</v>
      </c>
    </row>
    <row r="446" spans="1:27">
      <c r="A446" s="769"/>
      <c r="B446" s="769"/>
      <c r="C446" s="361" t="s">
        <v>10423</v>
      </c>
      <c r="D446" s="361" t="s">
        <v>10424</v>
      </c>
      <c r="E446" s="361" t="s">
        <v>1732</v>
      </c>
      <c r="F446" s="361" t="s">
        <v>9205</v>
      </c>
      <c r="G446" s="769"/>
      <c r="H446" s="361" t="str">
        <f t="shared" si="19"/>
        <v>SOA0043-002 - T002_Account Details - Invalid A/C Number.pdf.txt</v>
      </c>
      <c r="I446" s="361"/>
      <c r="J446" s="361"/>
      <c r="K446" s="361"/>
      <c r="L446" s="361"/>
      <c r="M446" s="361"/>
      <c r="N446" s="361"/>
      <c r="O446" s="361"/>
      <c r="P446" s="361"/>
      <c r="Q446" s="358" t="s">
        <v>9207</v>
      </c>
      <c r="R446" s="361"/>
      <c r="S446" s="361"/>
      <c r="T446" s="377" t="str">
        <f t="shared" si="18"/>
        <v>SOA0043-002 - T002_Account Details - Invalid A/C Number.pdf</v>
      </c>
      <c r="U446" s="359"/>
      <c r="V446" s="359"/>
      <c r="W446" s="359"/>
      <c r="X446" s="359"/>
      <c r="Y446" s="359"/>
      <c r="Z446" s="364">
        <v>44985</v>
      </c>
      <c r="AA446" s="359" t="s">
        <v>254</v>
      </c>
    </row>
    <row r="447" spans="1:27">
      <c r="A447" s="769"/>
      <c r="B447" s="769"/>
      <c r="C447" s="357" t="s">
        <v>10425</v>
      </c>
      <c r="D447" s="357" t="s">
        <v>10426</v>
      </c>
      <c r="E447" s="357" t="s">
        <v>1732</v>
      </c>
      <c r="F447" s="357" t="s">
        <v>9205</v>
      </c>
      <c r="G447" s="769"/>
      <c r="H447" s="357" t="str">
        <f t="shared" si="19"/>
        <v>SOA0043-003 - T003_Account Short Details - Valid A/C With Option.pdf.txt</v>
      </c>
      <c r="I447" s="357"/>
      <c r="J447" s="357"/>
      <c r="K447" s="357"/>
      <c r="L447" s="357"/>
      <c r="M447" s="357"/>
      <c r="N447" s="357"/>
      <c r="O447" s="357"/>
      <c r="P447" s="357"/>
      <c r="Q447" s="358" t="s">
        <v>9207</v>
      </c>
      <c r="R447" s="357"/>
      <c r="S447" s="357"/>
      <c r="T447" s="377" t="str">
        <f t="shared" si="18"/>
        <v>SOA0043-003 - T003_Account Short Details - Valid A/C With Option.pdf</v>
      </c>
      <c r="U447" s="359"/>
      <c r="V447" s="359"/>
      <c r="W447" s="359"/>
      <c r="X447" s="359"/>
      <c r="Y447" s="359"/>
      <c r="Z447" s="364">
        <v>44985</v>
      </c>
      <c r="AA447" s="359" t="s">
        <v>254</v>
      </c>
    </row>
    <row r="448" spans="1:27">
      <c r="A448" s="769"/>
      <c r="B448" s="769"/>
      <c r="C448" s="361" t="s">
        <v>10427</v>
      </c>
      <c r="D448" s="361" t="s">
        <v>10428</v>
      </c>
      <c r="E448" s="361" t="s">
        <v>1732</v>
      </c>
      <c r="F448" s="361" t="s">
        <v>9205</v>
      </c>
      <c r="G448" s="769"/>
      <c r="H448" s="361" t="str">
        <f t="shared" si="19"/>
        <v>SOA0043-004 - T004_Account Short Details - Valid A/C Without Option.pdf.txt</v>
      </c>
      <c r="I448" s="361"/>
      <c r="J448" s="361"/>
      <c r="K448" s="361"/>
      <c r="L448" s="361"/>
      <c r="M448" s="361"/>
      <c r="N448" s="361"/>
      <c r="O448" s="361"/>
      <c r="P448" s="361"/>
      <c r="Q448" s="358" t="s">
        <v>9207</v>
      </c>
      <c r="R448" s="361"/>
      <c r="S448" s="361"/>
      <c r="T448" s="377" t="str">
        <f t="shared" si="18"/>
        <v>SOA0043-004 - T004_Account Short Details - Valid A/C Without Option.pdf</v>
      </c>
      <c r="U448" s="359"/>
      <c r="V448" s="359"/>
      <c r="W448" s="359"/>
      <c r="X448" s="359"/>
      <c r="Y448" s="359"/>
      <c r="Z448" s="364">
        <v>44985</v>
      </c>
      <c r="AA448" s="359" t="s">
        <v>254</v>
      </c>
    </row>
    <row r="449" spans="1:27">
      <c r="A449" s="769"/>
      <c r="B449" s="769"/>
      <c r="C449" s="357" t="s">
        <v>10429</v>
      </c>
      <c r="D449" s="357" t="s">
        <v>10430</v>
      </c>
      <c r="E449" s="357" t="s">
        <v>1732</v>
      </c>
      <c r="F449" s="357" t="s">
        <v>9205</v>
      </c>
      <c r="G449" s="769"/>
      <c r="H449" s="357" t="str">
        <f t="shared" si="19"/>
        <v>SOA0043-005 - T005_Account Short Details - Valid A/C With Wrong Option.pdf.txt</v>
      </c>
      <c r="I449" s="357"/>
      <c r="J449" s="357"/>
      <c r="K449" s="357"/>
      <c r="L449" s="357"/>
      <c r="M449" s="357"/>
      <c r="N449" s="357"/>
      <c r="O449" s="357"/>
      <c r="P449" s="357"/>
      <c r="Q449" s="358" t="s">
        <v>9207</v>
      </c>
      <c r="R449" s="357"/>
      <c r="S449" s="357"/>
      <c r="T449" s="377" t="str">
        <f t="shared" si="18"/>
        <v>SOA0043-005 - T005_Account Short Details - Valid A/C With Wrong Option.pdf</v>
      </c>
      <c r="U449" s="359"/>
      <c r="V449" s="359"/>
      <c r="W449" s="359"/>
      <c r="X449" s="359"/>
      <c r="Y449" s="359"/>
      <c r="Z449" s="364">
        <v>44985</v>
      </c>
      <c r="AA449" s="359" t="s">
        <v>254</v>
      </c>
    </row>
    <row r="450" spans="1:27">
      <c r="A450" s="769"/>
      <c r="B450" s="769"/>
      <c r="C450" s="361" t="s">
        <v>10431</v>
      </c>
      <c r="D450" s="361" t="s">
        <v>10432</v>
      </c>
      <c r="E450" s="361" t="s">
        <v>1732</v>
      </c>
      <c r="F450" s="361" t="s">
        <v>9205</v>
      </c>
      <c r="G450" s="769"/>
      <c r="H450" s="361" t="str">
        <f t="shared" si="19"/>
        <v>SOA0043-006 - T007_Account Short Details - Invalid A/C Number Without Option.pdf.txt</v>
      </c>
      <c r="I450" s="361"/>
      <c r="J450" s="361"/>
      <c r="K450" s="361"/>
      <c r="L450" s="361"/>
      <c r="M450" s="361"/>
      <c r="N450" s="361"/>
      <c r="O450" s="361"/>
      <c r="P450" s="361"/>
      <c r="Q450" s="358" t="s">
        <v>9207</v>
      </c>
      <c r="R450" s="361"/>
      <c r="S450" s="361"/>
      <c r="T450" s="377" t="str">
        <f t="shared" si="18"/>
        <v>SOA0043-006 - T007_Account Short Details - Invalid A/C Number Without Option.pdf</v>
      </c>
      <c r="U450" s="359"/>
      <c r="V450" s="359"/>
      <c r="W450" s="359"/>
      <c r="X450" s="359"/>
      <c r="Y450" s="359"/>
      <c r="Z450" s="364">
        <v>44985</v>
      </c>
      <c r="AA450" s="359" t="s">
        <v>254</v>
      </c>
    </row>
    <row r="451" spans="1:27">
      <c r="A451" s="769"/>
      <c r="B451" s="769"/>
      <c r="C451" s="357" t="s">
        <v>10433</v>
      </c>
      <c r="D451" s="357" t="s">
        <v>10434</v>
      </c>
      <c r="E451" s="357" t="s">
        <v>1732</v>
      </c>
      <c r="F451" s="357" t="s">
        <v>9205</v>
      </c>
      <c r="G451" s="769"/>
      <c r="H451" s="357" t="str">
        <f t="shared" si="19"/>
        <v>SOA0043-007 - BNIDIRECT.pdf.txt</v>
      </c>
      <c r="I451" s="357"/>
      <c r="J451" s="357"/>
      <c r="K451" s="357"/>
      <c r="L451" s="357"/>
      <c r="M451" s="357"/>
      <c r="N451" s="357"/>
      <c r="O451" s="357"/>
      <c r="P451" s="357"/>
      <c r="Q451" s="358" t="s">
        <v>9207</v>
      </c>
      <c r="R451" s="357"/>
      <c r="S451" s="357"/>
      <c r="T451" s="377" t="str">
        <f t="shared" si="18"/>
        <v>SOA0043-007 - BNIDIRECT.pdf</v>
      </c>
      <c r="U451" s="359"/>
      <c r="V451" s="359"/>
      <c r="W451" s="359"/>
      <c r="X451" s="359"/>
      <c r="Y451" s="359"/>
      <c r="Z451" s="364">
        <v>44985</v>
      </c>
      <c r="AA451" s="359" t="s">
        <v>254</v>
      </c>
    </row>
    <row r="452" spans="1:27">
      <c r="A452" s="769"/>
      <c r="B452" s="769"/>
      <c r="C452" s="361" t="s">
        <v>10435</v>
      </c>
      <c r="D452" s="361" t="s">
        <v>10436</v>
      </c>
      <c r="E452" s="361" t="s">
        <v>1732</v>
      </c>
      <c r="F452" s="361" t="s">
        <v>9205</v>
      </c>
      <c r="G452" s="769"/>
      <c r="H452" s="361" t="str">
        <f t="shared" si="19"/>
        <v>SOA0043-008 - T014_Balance_Info_-_Valid_Ac.pdf.txt</v>
      </c>
      <c r="I452" s="361"/>
      <c r="J452" s="361"/>
      <c r="K452" s="361"/>
      <c r="L452" s="361"/>
      <c r="M452" s="361"/>
      <c r="N452" s="361"/>
      <c r="O452" s="361"/>
      <c r="P452" s="361"/>
      <c r="Q452" s="358" t="s">
        <v>9207</v>
      </c>
      <c r="R452" s="361"/>
      <c r="S452" s="361"/>
      <c r="T452" s="377" t="str">
        <f t="shared" si="18"/>
        <v>SOA0043-008 - T014_Balance_Info_-_Valid_Ac.pdf</v>
      </c>
      <c r="U452" s="359"/>
      <c r="V452" s="359"/>
      <c r="W452" s="359"/>
      <c r="X452" s="359"/>
      <c r="Y452" s="359"/>
      <c r="Z452" s="364">
        <v>44985</v>
      </c>
      <c r="AA452" s="359" t="s">
        <v>254</v>
      </c>
    </row>
    <row r="453" spans="1:27">
      <c r="A453" s="769"/>
      <c r="B453" s="769"/>
      <c r="C453" s="357" t="s">
        <v>10437</v>
      </c>
      <c r="D453" s="357" t="s">
        <v>10438</v>
      </c>
      <c r="E453" s="357" t="s">
        <v>1732</v>
      </c>
      <c r="F453" s="357" t="s">
        <v>9205</v>
      </c>
      <c r="G453" s="769"/>
      <c r="H453" s="357" t="str">
        <f t="shared" si="19"/>
        <v>SOA0043-009 - T014_Balance_Info_-_GL_Acc.pdf.txt</v>
      </c>
      <c r="I453" s="357"/>
      <c r="J453" s="357"/>
      <c r="K453" s="357"/>
      <c r="L453" s="357"/>
      <c r="M453" s="357"/>
      <c r="N453" s="357"/>
      <c r="O453" s="357"/>
      <c r="P453" s="357"/>
      <c r="Q453" s="358" t="s">
        <v>9207</v>
      </c>
      <c r="R453" s="357"/>
      <c r="S453" s="357"/>
      <c r="T453" s="377" t="str">
        <f t="shared" si="18"/>
        <v>SOA0043-009 - T014_Balance_Info_-_GL_Acc.pdf</v>
      </c>
      <c r="U453" s="359"/>
      <c r="V453" s="359"/>
      <c r="W453" s="359"/>
      <c r="X453" s="359"/>
      <c r="Y453" s="359"/>
      <c r="Z453" s="364">
        <v>44985</v>
      </c>
      <c r="AA453" s="359" t="s">
        <v>254</v>
      </c>
    </row>
    <row r="454" spans="1:27">
      <c r="A454" s="769"/>
      <c r="B454" s="769"/>
      <c r="C454" s="361" t="s">
        <v>10439</v>
      </c>
      <c r="D454" s="361" t="s">
        <v>10440</v>
      </c>
      <c r="E454" s="361" t="s">
        <v>1732</v>
      </c>
      <c r="F454" s="361" t="s">
        <v>9205</v>
      </c>
      <c r="G454" s="769"/>
      <c r="H454" s="361" t="str">
        <f t="shared" si="19"/>
        <v>SOA0043-010 - T016_Bill_Payment_-_Valid_Cash_Payment.pdf.txt</v>
      </c>
      <c r="I454" s="361"/>
      <c r="J454" s="361"/>
      <c r="K454" s="361"/>
      <c r="L454" s="361"/>
      <c r="M454" s="361"/>
      <c r="N454" s="361"/>
      <c r="O454" s="361"/>
      <c r="P454" s="361"/>
      <c r="Q454" s="358" t="s">
        <v>9207</v>
      </c>
      <c r="R454" s="361"/>
      <c r="S454" s="361"/>
      <c r="T454" s="377" t="str">
        <f t="shared" si="18"/>
        <v>SOA0043-010 - T016_Bill_Payment_-_Valid_Cash_Payment.pdf</v>
      </c>
      <c r="U454" s="359"/>
      <c r="V454" s="359"/>
      <c r="W454" s="359"/>
      <c r="X454" s="359"/>
      <c r="Y454" s="359"/>
      <c r="Z454" s="364">
        <v>44985</v>
      </c>
      <c r="AA454" s="359" t="s">
        <v>254</v>
      </c>
    </row>
    <row r="455" spans="1:27">
      <c r="A455" s="769"/>
      <c r="B455" s="769"/>
      <c r="C455" s="357" t="s">
        <v>10441</v>
      </c>
      <c r="D455" s="357" t="s">
        <v>10442</v>
      </c>
      <c r="E455" s="357" t="s">
        <v>1732</v>
      </c>
      <c r="F455" s="357" t="s">
        <v>9205</v>
      </c>
      <c r="G455" s="769"/>
      <c r="H455" s="357" t="str">
        <f t="shared" si="19"/>
        <v>SOA0043-011 - T017_Bill_Payment_-_Valid_Transfer_Payment.pdf.txt</v>
      </c>
      <c r="I455" s="357"/>
      <c r="J455" s="357"/>
      <c r="K455" s="357"/>
      <c r="L455" s="357"/>
      <c r="M455" s="357"/>
      <c r="N455" s="357"/>
      <c r="O455" s="357"/>
      <c r="P455" s="357"/>
      <c r="Q455" s="358" t="s">
        <v>9207</v>
      </c>
      <c r="R455" s="357"/>
      <c r="S455" s="357"/>
      <c r="T455" s="377" t="str">
        <f t="shared" si="18"/>
        <v>SOA0043-011 - T017_Bill_Payment_-_Valid_Transfer_Payment.pdf</v>
      </c>
      <c r="U455" s="359"/>
      <c r="V455" s="359"/>
      <c r="W455" s="359"/>
      <c r="X455" s="359"/>
      <c r="Y455" s="359"/>
      <c r="Z455" s="364">
        <v>44985</v>
      </c>
      <c r="AA455" s="359" t="s">
        <v>254</v>
      </c>
    </row>
    <row r="456" spans="1:27">
      <c r="A456" s="769"/>
      <c r="B456" s="769"/>
      <c r="C456" s="361" t="s">
        <v>10443</v>
      </c>
      <c r="D456" s="361" t="s">
        <v>10444</v>
      </c>
      <c r="E456" s="361" t="s">
        <v>1732</v>
      </c>
      <c r="F456" s="361" t="s">
        <v>9205</v>
      </c>
      <c r="G456" s="769"/>
      <c r="H456" s="361" t="str">
        <f t="shared" si="19"/>
        <v>SOA0043-012 - T018_Bill_Payment_-_Invalid_Payment_Method.pdf.txt</v>
      </c>
      <c r="I456" s="361"/>
      <c r="J456" s="361"/>
      <c r="K456" s="361"/>
      <c r="L456" s="361"/>
      <c r="M456" s="361"/>
      <c r="N456" s="361"/>
      <c r="O456" s="361"/>
      <c r="P456" s="361"/>
      <c r="Q456" s="358" t="s">
        <v>9207</v>
      </c>
      <c r="R456" s="361"/>
      <c r="S456" s="361"/>
      <c r="T456" s="377" t="str">
        <f t="shared" si="18"/>
        <v>SOA0043-012 - T018_Bill_Payment_-_Invalid_Payment_Method.pdf</v>
      </c>
      <c r="U456" s="359"/>
      <c r="V456" s="359"/>
      <c r="W456" s="359"/>
      <c r="X456" s="359"/>
      <c r="Y456" s="359"/>
      <c r="Z456" s="364">
        <v>44985</v>
      </c>
      <c r="AA456" s="359" t="s">
        <v>254</v>
      </c>
    </row>
    <row r="457" spans="1:27">
      <c r="A457" s="769"/>
      <c r="B457" s="769"/>
      <c r="C457" s="357" t="s">
        <v>10445</v>
      </c>
      <c r="D457" s="357" t="s">
        <v>10446</v>
      </c>
      <c r="E457" s="357" t="s">
        <v>1732</v>
      </c>
      <c r="F457" s="357" t="s">
        <v>9205</v>
      </c>
      <c r="G457" s="769"/>
      <c r="H457" s="357" t="str">
        <f t="shared" si="19"/>
        <v>SOA0043-013 - T017_Bill_Payment_-_Valid_Transfer_Payment_System.pdf.txt</v>
      </c>
      <c r="I457" s="357"/>
      <c r="J457" s="357"/>
      <c r="K457" s="357"/>
      <c r="L457" s="357"/>
      <c r="M457" s="357"/>
      <c r="N457" s="357"/>
      <c r="O457" s="357"/>
      <c r="P457" s="357"/>
      <c r="Q457" s="358" t="s">
        <v>9207</v>
      </c>
      <c r="R457" s="357"/>
      <c r="S457" s="357"/>
      <c r="T457" s="377" t="str">
        <f t="shared" si="18"/>
        <v>SOA0043-013 - T017_Bill_Payment_-_Valid_Transfer_Payment_System.pdf</v>
      </c>
      <c r="U457" s="359"/>
      <c r="V457" s="359"/>
      <c r="W457" s="359"/>
      <c r="X457" s="359"/>
      <c r="Y457" s="359"/>
      <c r="Z457" s="364">
        <v>44985</v>
      </c>
      <c r="AA457" s="359" t="s">
        <v>254</v>
      </c>
    </row>
    <row r="458" spans="1:27">
      <c r="A458" s="769"/>
      <c r="B458" s="769"/>
      <c r="C458" s="361" t="s">
        <v>10447</v>
      </c>
      <c r="D458" s="361" t="s">
        <v>10448</v>
      </c>
      <c r="E458" s="361" t="s">
        <v>1732</v>
      </c>
      <c r="F458" s="361" t="s">
        <v>9205</v>
      </c>
      <c r="G458" s="769"/>
      <c r="H458" s="361" t="str">
        <f t="shared" si="19"/>
        <v>SOA0043-014 - T019_Bill_Payment_-_Transfer_Payment_Method_With_Invalid_Account_Number.pdf.txt</v>
      </c>
      <c r="I458" s="361"/>
      <c r="J458" s="361"/>
      <c r="K458" s="361"/>
      <c r="L458" s="361"/>
      <c r="M458" s="361"/>
      <c r="N458" s="361"/>
      <c r="O458" s="361"/>
      <c r="P458" s="361"/>
      <c r="Q458" s="358" t="s">
        <v>9207</v>
      </c>
      <c r="R458" s="361"/>
      <c r="S458" s="361"/>
      <c r="T458" s="377" t="str">
        <f t="shared" si="18"/>
        <v>SOA0043-014 - T019_Bill_Payment_-_Transfer_Payment_Method_With_Invalid_Account_Number.pdf</v>
      </c>
      <c r="U458" s="359"/>
      <c r="V458" s="359"/>
      <c r="W458" s="359"/>
      <c r="X458" s="359"/>
      <c r="Y458" s="359"/>
      <c r="Z458" s="364">
        <v>44985</v>
      </c>
      <c r="AA458" s="359" t="s">
        <v>254</v>
      </c>
    </row>
    <row r="459" spans="1:27">
      <c r="A459" s="769"/>
      <c r="B459" s="769"/>
      <c r="C459" s="357" t="s">
        <v>10449</v>
      </c>
      <c r="D459" s="357" t="s">
        <v>10450</v>
      </c>
      <c r="E459" s="357" t="s">
        <v>1732</v>
      </c>
      <c r="F459" s="357" t="s">
        <v>9205</v>
      </c>
      <c r="G459" s="769"/>
      <c r="H459" s="357" t="str">
        <f t="shared" si="19"/>
        <v>SOA0043-015 - T023_Bill_Payment_Reversal_-_Valid_Existing_Transfer_Paid_Bill.pdf.txt</v>
      </c>
      <c r="I459" s="357"/>
      <c r="J459" s="357"/>
      <c r="K459" s="357"/>
      <c r="L459" s="357"/>
      <c r="M459" s="357"/>
      <c r="N459" s="357"/>
      <c r="O459" s="357"/>
      <c r="P459" s="357"/>
      <c r="Q459" s="358" t="s">
        <v>9207</v>
      </c>
      <c r="R459" s="357"/>
      <c r="S459" s="357"/>
      <c r="T459" s="377" t="str">
        <f t="shared" si="18"/>
        <v>SOA0043-015 - T023_Bill_Payment_Reversal_-_Valid_Existing_Transfer_Paid_Bill.pdf</v>
      </c>
      <c r="U459" s="359"/>
      <c r="V459" s="359"/>
      <c r="W459" s="359"/>
      <c r="X459" s="359"/>
      <c r="Y459" s="359"/>
      <c r="Z459" s="364">
        <v>44985</v>
      </c>
      <c r="AA459" s="359" t="s">
        <v>254</v>
      </c>
    </row>
    <row r="460" spans="1:27">
      <c r="A460" s="769"/>
      <c r="B460" s="769"/>
      <c r="C460" s="361" t="s">
        <v>10451</v>
      </c>
      <c r="D460" s="361" t="s">
        <v>10452</v>
      </c>
      <c r="E460" s="361" t="s">
        <v>1732</v>
      </c>
      <c r="F460" s="361" t="s">
        <v>9205</v>
      </c>
      <c r="G460" s="769"/>
      <c r="H460" s="361" t="str">
        <f t="shared" si="19"/>
        <v>SOA0043-016 - T023_Bill_Payment_Reversal_-_Valid_Existing_Transfer_Paid_Bill¬_System.pdf.txt</v>
      </c>
      <c r="I460" s="361"/>
      <c r="J460" s="361"/>
      <c r="K460" s="361"/>
      <c r="L460" s="361"/>
      <c r="M460" s="361"/>
      <c r="N460" s="361"/>
      <c r="O460" s="361"/>
      <c r="P460" s="361"/>
      <c r="Q460" s="358" t="s">
        <v>9207</v>
      </c>
      <c r="R460" s="361"/>
      <c r="S460" s="361"/>
      <c r="T460" s="377" t="str">
        <f t="shared" si="18"/>
        <v>SOA0043-016 - T023_Bill_Payment_Reversal_-_Valid_Existing_Transfer_Paid_Bill¬_System.pdf</v>
      </c>
      <c r="U460" s="359"/>
      <c r="V460" s="359"/>
      <c r="W460" s="359"/>
      <c r="X460" s="359"/>
      <c r="Y460" s="359"/>
      <c r="Z460" s="364">
        <v>44985</v>
      </c>
      <c r="AA460" s="359" t="s">
        <v>254</v>
      </c>
    </row>
    <row r="461" spans="1:27">
      <c r="A461" s="769"/>
      <c r="B461" s="769"/>
      <c r="C461" s="357" t="s">
        <v>10453</v>
      </c>
      <c r="D461" s="357" t="s">
        <v>10454</v>
      </c>
      <c r="E461" s="357" t="s">
        <v>1732</v>
      </c>
      <c r="F461" s="357" t="s">
        <v>9205</v>
      </c>
      <c r="G461" s="769"/>
      <c r="H461" s="357" t="str">
        <f t="shared" si="19"/>
        <v>SOA0043-017 - T027_Check_Digit_-_Valid_Number.pdf.txt</v>
      </c>
      <c r="I461" s="357"/>
      <c r="J461" s="357"/>
      <c r="K461" s="357"/>
      <c r="L461" s="357"/>
      <c r="M461" s="357"/>
      <c r="N461" s="357"/>
      <c r="O461" s="357"/>
      <c r="P461" s="357"/>
      <c r="Q461" s="358" t="s">
        <v>9207</v>
      </c>
      <c r="R461" s="357"/>
      <c r="S461" s="357"/>
      <c r="T461" s="377" t="str">
        <f t="shared" si="18"/>
        <v>SOA0043-017 - T027_Check_Digit_-_Valid_Number.pdf</v>
      </c>
      <c r="U461" s="359"/>
      <c r="V461" s="359"/>
      <c r="W461" s="359"/>
      <c r="X461" s="359"/>
      <c r="Y461" s="359"/>
      <c r="Z461" s="364">
        <v>44985</v>
      </c>
      <c r="AA461" s="359" t="s">
        <v>254</v>
      </c>
    </row>
    <row r="462" spans="1:27">
      <c r="A462" s="769"/>
      <c r="B462" s="769"/>
      <c r="C462" s="361" t="s">
        <v>10455</v>
      </c>
      <c r="D462" s="361" t="s">
        <v>10456</v>
      </c>
      <c r="E462" s="361" t="s">
        <v>1732</v>
      </c>
      <c r="F462" s="361" t="s">
        <v>9205</v>
      </c>
      <c r="G462" s="769"/>
      <c r="H462" s="361" t="str">
        <f t="shared" si="19"/>
        <v>SOA0043-018 - T028_Check_Digit_-_Invalid_Number.pdf.txt</v>
      </c>
      <c r="I462" s="361"/>
      <c r="J462" s="361"/>
      <c r="K462" s="361"/>
      <c r="L462" s="361"/>
      <c r="M462" s="361"/>
      <c r="N462" s="361"/>
      <c r="O462" s="361"/>
      <c r="P462" s="361"/>
      <c r="Q462" s="358" t="s">
        <v>9207</v>
      </c>
      <c r="R462" s="361"/>
      <c r="S462" s="361"/>
      <c r="T462" s="377" t="str">
        <f t="shared" si="18"/>
        <v>SOA0043-018 - T028_Check_Digit_-_Invalid_Number.pdf</v>
      </c>
      <c r="U462" s="359"/>
      <c r="V462" s="359"/>
      <c r="W462" s="359"/>
      <c r="X462" s="359"/>
      <c r="Y462" s="359"/>
      <c r="Z462" s="364">
        <v>44985</v>
      </c>
      <c r="AA462" s="359" t="s">
        <v>254</v>
      </c>
    </row>
    <row r="463" spans="1:27">
      <c r="A463" s="769"/>
      <c r="B463" s="769"/>
      <c r="C463" s="357" t="s">
        <v>10457</v>
      </c>
      <c r="D463" s="357" t="s">
        <v>10458</v>
      </c>
      <c r="E463" s="357" t="s">
        <v>1732</v>
      </c>
      <c r="F463" s="357" t="s">
        <v>9205</v>
      </c>
      <c r="G463" s="769"/>
      <c r="H463" s="357" t="str">
        <f t="shared" si="19"/>
        <v>SOA0043-019 - T029_Cif_Details_-_Valid_Customer_Number.pdf.txt</v>
      </c>
      <c r="I463" s="357"/>
      <c r="J463" s="357"/>
      <c r="K463" s="357"/>
      <c r="L463" s="357"/>
      <c r="M463" s="357"/>
      <c r="N463" s="357"/>
      <c r="O463" s="357"/>
      <c r="P463" s="357"/>
      <c r="Q463" s="358" t="s">
        <v>9207</v>
      </c>
      <c r="R463" s="357"/>
      <c r="S463" s="357"/>
      <c r="T463" s="377" t="str">
        <f t="shared" si="18"/>
        <v>SOA0043-019 - T029_Cif_Details_-_Valid_Customer_Number.pdf</v>
      </c>
      <c r="U463" s="359"/>
      <c r="V463" s="359"/>
      <c r="W463" s="359"/>
      <c r="X463" s="359"/>
      <c r="Y463" s="359"/>
      <c r="Z463" s="364">
        <v>44985</v>
      </c>
      <c r="AA463" s="359" t="s">
        <v>254</v>
      </c>
    </row>
    <row r="464" spans="1:27">
      <c r="A464" s="769"/>
      <c r="B464" s="769"/>
      <c r="C464" s="361" t="s">
        <v>10459</v>
      </c>
      <c r="D464" s="361" t="s">
        <v>10460</v>
      </c>
      <c r="E464" s="361" t="s">
        <v>1732</v>
      </c>
      <c r="F464" s="361" t="s">
        <v>9205</v>
      </c>
      <c r="G464" s="769"/>
      <c r="H464" s="361" t="str">
        <f t="shared" si="19"/>
        <v>SOA0043-020 - T030_Cif_Details_-_Invalid_Customer_Number.pdf.txt</v>
      </c>
      <c r="I464" s="361"/>
      <c r="J464" s="361"/>
      <c r="K464" s="361"/>
      <c r="L464" s="361"/>
      <c r="M464" s="361"/>
      <c r="N464" s="361"/>
      <c r="O464" s="361"/>
      <c r="P464" s="361"/>
      <c r="Q464" s="358" t="s">
        <v>9207</v>
      </c>
      <c r="R464" s="361"/>
      <c r="S464" s="361"/>
      <c r="T464" s="377" t="str">
        <f t="shared" si="18"/>
        <v>SOA0043-020 - T030_Cif_Details_-_Invalid_Customer_Number.pdf</v>
      </c>
      <c r="U464" s="359"/>
      <c r="V464" s="359"/>
      <c r="W464" s="359"/>
      <c r="X464" s="359"/>
      <c r="Y464" s="359"/>
      <c r="Z464" s="364">
        <v>44985</v>
      </c>
      <c r="AA464" s="359" t="s">
        <v>254</v>
      </c>
    </row>
    <row r="465" spans="1:27">
      <c r="A465" s="769"/>
      <c r="B465" s="769"/>
      <c r="C465" s="357" t="s">
        <v>10461</v>
      </c>
      <c r="D465" s="357" t="s">
        <v>10462</v>
      </c>
      <c r="E465" s="357" t="s">
        <v>1732</v>
      </c>
      <c r="F465" s="357" t="s">
        <v>9205</v>
      </c>
      <c r="G465" s="769"/>
      <c r="H465" s="357" t="str">
        <f t="shared" si="19"/>
        <v>SOA0043-021 - T029_Cif_Details_-_Valid_Norek.pdf.txt</v>
      </c>
      <c r="I465" s="357"/>
      <c r="J465" s="357"/>
      <c r="K465" s="357"/>
      <c r="L465" s="357"/>
      <c r="M465" s="357"/>
      <c r="N465" s="357"/>
      <c r="O465" s="357"/>
      <c r="P465" s="357"/>
      <c r="Q465" s="358" t="s">
        <v>9207</v>
      </c>
      <c r="R465" s="357"/>
      <c r="S465" s="357"/>
      <c r="T465" s="377" t="str">
        <f t="shared" si="18"/>
        <v>SOA0043-021 - T029_Cif_Details_-_Valid_Norek.pdf</v>
      </c>
      <c r="U465" s="359"/>
      <c r="V465" s="359"/>
      <c r="W465" s="359"/>
      <c r="X465" s="359"/>
      <c r="Y465" s="359"/>
      <c r="Z465" s="364">
        <v>44986</v>
      </c>
      <c r="AA465" s="359" t="s">
        <v>254</v>
      </c>
    </row>
    <row r="466" spans="1:27">
      <c r="A466" s="769"/>
      <c r="B466" s="769"/>
      <c r="C466" s="361" t="s">
        <v>10463</v>
      </c>
      <c r="D466" s="361" t="s">
        <v>10464</v>
      </c>
      <c r="E466" s="361" t="s">
        <v>1732</v>
      </c>
      <c r="F466" s="361" t="s">
        <v>9205</v>
      </c>
      <c r="G466" s="769"/>
      <c r="H466" s="361" t="str">
        <f t="shared" si="19"/>
        <v>SOA0043-022 - T047_Deposit_Transfer_-_Valid_Acc.pdf.txt</v>
      </c>
      <c r="I466" s="361"/>
      <c r="J466" s="361"/>
      <c r="K466" s="361"/>
      <c r="L466" s="361"/>
      <c r="M466" s="361"/>
      <c r="N466" s="361"/>
      <c r="O466" s="361"/>
      <c r="P466" s="361"/>
      <c r="Q466" s="358" t="s">
        <v>9207</v>
      </c>
      <c r="R466" s="361"/>
      <c r="S466" s="361"/>
      <c r="T466" s="377" t="str">
        <f t="shared" si="18"/>
        <v>SOA0043-022 - T047_Deposit_Transfer_-_Valid_Acc.pdf</v>
      </c>
      <c r="U466" s="359"/>
      <c r="V466" s="359"/>
      <c r="W466" s="359"/>
      <c r="X466" s="359"/>
      <c r="Y466" s="359"/>
      <c r="Z466" s="364">
        <v>44986</v>
      </c>
      <c r="AA466" s="359" t="s">
        <v>254</v>
      </c>
    </row>
    <row r="467" spans="1:27">
      <c r="A467" s="769"/>
      <c r="B467" s="769"/>
      <c r="C467" s="357" t="s">
        <v>10465</v>
      </c>
      <c r="D467" s="357" t="s">
        <v>10466</v>
      </c>
      <c r="E467" s="357" t="s">
        <v>1732</v>
      </c>
      <c r="F467" s="357" t="s">
        <v>9205</v>
      </c>
      <c r="G467" s="769"/>
      <c r="H467" s="357" t="str">
        <f t="shared" si="19"/>
        <v>SOA0043-023 - T048_Deposit_Transfer_-_Invalid_From_Acc.pdf.txt</v>
      </c>
      <c r="I467" s="357"/>
      <c r="J467" s="357"/>
      <c r="K467" s="357"/>
      <c r="L467" s="357"/>
      <c r="M467" s="357"/>
      <c r="N467" s="357"/>
      <c r="O467" s="357"/>
      <c r="P467" s="357"/>
      <c r="Q467" s="358" t="s">
        <v>9207</v>
      </c>
      <c r="R467" s="357"/>
      <c r="S467" s="357"/>
      <c r="T467" s="377" t="str">
        <f t="shared" si="18"/>
        <v>SOA0043-023 - T048_Deposit_Transfer_-_Invalid_From_Acc.pdf</v>
      </c>
      <c r="U467" s="359"/>
      <c r="V467" s="359"/>
      <c r="W467" s="359"/>
      <c r="X467" s="359"/>
      <c r="Y467" s="359"/>
      <c r="Z467" s="364">
        <v>44986</v>
      </c>
      <c r="AA467" s="359" t="s">
        <v>254</v>
      </c>
    </row>
    <row r="468" spans="1:27">
      <c r="A468" s="769"/>
      <c r="B468" s="769"/>
      <c r="C468" s="361" t="s">
        <v>10467</v>
      </c>
      <c r="D468" s="361" t="s">
        <v>10468</v>
      </c>
      <c r="E468" s="361" t="s">
        <v>1732</v>
      </c>
      <c r="F468" s="361" t="s">
        <v>9205</v>
      </c>
      <c r="G468" s="769"/>
      <c r="H468" s="361" t="str">
        <f t="shared" si="19"/>
        <v>SOA0043-024 - T050_Deposit_Transfer_-_Amount_More_Then_Valid_Format.pdf.txt</v>
      </c>
      <c r="I468" s="361"/>
      <c r="J468" s="361"/>
      <c r="K468" s="361"/>
      <c r="L468" s="361"/>
      <c r="M468" s="361"/>
      <c r="N468" s="361"/>
      <c r="O468" s="361"/>
      <c r="P468" s="361"/>
      <c r="Q468" s="358" t="s">
        <v>9207</v>
      </c>
      <c r="R468" s="361"/>
      <c r="S468" s="361"/>
      <c r="T468" s="377" t="str">
        <f t="shared" si="18"/>
        <v>SOA0043-024 - T050_Deposit_Transfer_-_Amount_More_Then_Valid_Format.pdf</v>
      </c>
      <c r="U468" s="359"/>
      <c r="V468" s="359"/>
      <c r="W468" s="359"/>
      <c r="X468" s="359"/>
      <c r="Y468" s="359"/>
      <c r="Z468" s="364">
        <v>44986</v>
      </c>
      <c r="AA468" s="359" t="s">
        <v>254</v>
      </c>
    </row>
    <row r="469" spans="1:27">
      <c r="A469" s="769"/>
      <c r="B469" s="769"/>
      <c r="C469" s="357" t="s">
        <v>10469</v>
      </c>
      <c r="D469" s="357" t="s">
        <v>10470</v>
      </c>
      <c r="E469" s="357" t="s">
        <v>1732</v>
      </c>
      <c r="F469" s="357" t="s">
        <v>9205</v>
      </c>
      <c r="G469" s="769"/>
      <c r="H469" s="357" t="str">
        <f t="shared" si="19"/>
        <v>SOA0043-025 - T047_Deposit_Transfer_-_Valid_Acc_customJournal.pdf.txt</v>
      </c>
      <c r="I469" s="357"/>
      <c r="J469" s="357"/>
      <c r="K469" s="357"/>
      <c r="L469" s="357"/>
      <c r="M469" s="357"/>
      <c r="N469" s="357"/>
      <c r="O469" s="357"/>
      <c r="P469" s="357"/>
      <c r="Q469" s="358" t="s">
        <v>9207</v>
      </c>
      <c r="R469" s="357"/>
      <c r="S469" s="357"/>
      <c r="T469" s="377" t="str">
        <f t="shared" si="18"/>
        <v>SOA0043-025 - T047_Deposit_Transfer_-_Valid_Acc_customJournal.pdf</v>
      </c>
      <c r="U469" s="359"/>
      <c r="V469" s="359"/>
      <c r="W469" s="359"/>
      <c r="X469" s="359"/>
      <c r="Y469" s="359"/>
      <c r="Z469" s="364">
        <v>44986</v>
      </c>
      <c r="AA469" s="359" t="s">
        <v>254</v>
      </c>
    </row>
    <row r="470" spans="1:27">
      <c r="A470" s="769"/>
      <c r="B470" s="769"/>
      <c r="C470" s="361" t="s">
        <v>10471</v>
      </c>
      <c r="D470" s="361" t="s">
        <v>10472</v>
      </c>
      <c r="E470" s="361" t="s">
        <v>1732</v>
      </c>
      <c r="F470" s="361" t="s">
        <v>9205</v>
      </c>
      <c r="G470" s="769"/>
      <c r="H470" s="361" t="str">
        <f t="shared" si="19"/>
        <v>SOA0043-026 - T047_Deposit_Transfer_-_VA.pdf.txt</v>
      </c>
      <c r="I470" s="361"/>
      <c r="J470" s="361"/>
      <c r="K470" s="361"/>
      <c r="L470" s="361"/>
      <c r="M470" s="361"/>
      <c r="N470" s="361"/>
      <c r="O470" s="361"/>
      <c r="P470" s="361"/>
      <c r="Q470" s="358" t="s">
        <v>9207</v>
      </c>
      <c r="R470" s="361"/>
      <c r="S470" s="361"/>
      <c r="T470" s="377" t="str">
        <f t="shared" si="18"/>
        <v>SOA0043-026 - T047_Deposit_Transfer_-_VA.pdf</v>
      </c>
      <c r="U470" s="359"/>
      <c r="V470" s="359"/>
      <c r="W470" s="359"/>
      <c r="X470" s="359"/>
      <c r="Y470" s="359"/>
      <c r="Z470" s="364">
        <v>44986</v>
      </c>
      <c r="AA470" s="359" t="s">
        <v>254</v>
      </c>
    </row>
    <row r="471" spans="1:27">
      <c r="A471" s="769"/>
      <c r="B471" s="769"/>
      <c r="C471" s="357" t="s">
        <v>10473</v>
      </c>
      <c r="D471" s="357" t="s">
        <v>10474</v>
      </c>
      <c r="E471" s="357" t="s">
        <v>1732</v>
      </c>
      <c r="F471" s="357" t="s">
        <v>9205</v>
      </c>
      <c r="G471" s="769"/>
      <c r="H471" s="357" t="str">
        <f t="shared" si="19"/>
        <v>SOA0043-027 - T047_Deposit_Transfer_-_Valid_Acc_serverlama.pdf.txt</v>
      </c>
      <c r="I471" s="357"/>
      <c r="J471" s="357"/>
      <c r="K471" s="357"/>
      <c r="L471" s="357"/>
      <c r="M471" s="357"/>
      <c r="N471" s="357"/>
      <c r="O471" s="357"/>
      <c r="P471" s="357"/>
      <c r="Q471" s="358" t="s">
        <v>9207</v>
      </c>
      <c r="R471" s="357"/>
      <c r="S471" s="357"/>
      <c r="T471" s="377" t="str">
        <f t="shared" si="18"/>
        <v>SOA0043-027 - T047_Deposit_Transfer_-_Valid_Acc_serverlama.pdf</v>
      </c>
      <c r="U471" s="359"/>
      <c r="V471" s="359"/>
      <c r="W471" s="359"/>
      <c r="X471" s="359"/>
      <c r="Y471" s="359"/>
      <c r="Z471" s="364">
        <v>44986</v>
      </c>
      <c r="AA471" s="359" t="s">
        <v>254</v>
      </c>
    </row>
    <row r="472" spans="1:27">
      <c r="A472" s="769"/>
      <c r="B472" s="769"/>
      <c r="C472" s="361" t="s">
        <v>10475</v>
      </c>
      <c r="D472" s="361" t="s">
        <v>10476</v>
      </c>
      <c r="E472" s="361" t="s">
        <v>1732</v>
      </c>
      <c r="F472" s="361" t="s">
        <v>9205</v>
      </c>
      <c r="G472" s="769"/>
      <c r="H472" s="361" t="str">
        <f t="shared" si="19"/>
        <v>SOA0043-028 - T057_GL_Inquiry_-_Valid_Inquiry.pdf.txt</v>
      </c>
      <c r="I472" s="361"/>
      <c r="J472" s="361"/>
      <c r="K472" s="361"/>
      <c r="L472" s="361"/>
      <c r="M472" s="361"/>
      <c r="N472" s="361"/>
      <c r="O472" s="361"/>
      <c r="P472" s="361"/>
      <c r="Q472" s="358" t="s">
        <v>9207</v>
      </c>
      <c r="R472" s="361"/>
      <c r="S472" s="361"/>
      <c r="T472" s="377" t="str">
        <f t="shared" si="18"/>
        <v>SOA0043-028 - T057_GL_Inquiry_-_Valid_Inquiry.pdf</v>
      </c>
      <c r="U472" s="359"/>
      <c r="V472" s="359"/>
      <c r="W472" s="359"/>
      <c r="X472" s="359"/>
      <c r="Y472" s="359"/>
      <c r="Z472" s="364">
        <v>44986</v>
      </c>
      <c r="AA472" s="359" t="s">
        <v>254</v>
      </c>
    </row>
    <row r="473" spans="1:27">
      <c r="A473" s="769"/>
      <c r="B473" s="769"/>
      <c r="C473" s="357" t="s">
        <v>10477</v>
      </c>
      <c r="D473" s="357" t="s">
        <v>10478</v>
      </c>
      <c r="E473" s="357" t="s">
        <v>1732</v>
      </c>
      <c r="F473" s="357" t="s">
        <v>9205</v>
      </c>
      <c r="G473" s="769"/>
      <c r="H473" s="357" t="str">
        <f t="shared" si="19"/>
        <v>SOA0043-029 - T058_GL_Inquiry_-_Invalid_Account_Number.pdf.txt</v>
      </c>
      <c r="I473" s="357"/>
      <c r="J473" s="357"/>
      <c r="K473" s="357"/>
      <c r="L473" s="357"/>
      <c r="M473" s="357"/>
      <c r="N473" s="357"/>
      <c r="O473" s="357"/>
      <c r="P473" s="357"/>
      <c r="Q473" s="358" t="s">
        <v>9207</v>
      </c>
      <c r="R473" s="357"/>
      <c r="S473" s="357"/>
      <c r="T473" s="377" t="str">
        <f t="shared" si="18"/>
        <v>SOA0043-029 - T058_GL_Inquiry_-_Invalid_Account_Number.pdf</v>
      </c>
      <c r="U473" s="359"/>
      <c r="V473" s="359"/>
      <c r="W473" s="359"/>
      <c r="X473" s="359"/>
      <c r="Y473" s="359"/>
      <c r="Z473" s="364">
        <v>44986</v>
      </c>
      <c r="AA473" s="359" t="s">
        <v>254</v>
      </c>
    </row>
    <row r="474" spans="1:27">
      <c r="A474" s="769"/>
      <c r="B474" s="769"/>
      <c r="C474" s="361" t="s">
        <v>10479</v>
      </c>
      <c r="D474" s="361" t="s">
        <v>10480</v>
      </c>
      <c r="E474" s="361" t="s">
        <v>1732</v>
      </c>
      <c r="F474" s="361" t="s">
        <v>9205</v>
      </c>
      <c r="G474" s="769"/>
      <c r="H474" s="361" t="str">
        <f t="shared" si="19"/>
        <v>SOA0043-030 - T064_Kliring_Outward_-_Valid_Transaction.pdf.txt</v>
      </c>
      <c r="I474" s="361"/>
      <c r="J474" s="361"/>
      <c r="K474" s="361"/>
      <c r="L474" s="361"/>
      <c r="M474" s="361"/>
      <c r="N474" s="361"/>
      <c r="O474" s="361"/>
      <c r="P474" s="361"/>
      <c r="Q474" s="358" t="s">
        <v>9207</v>
      </c>
      <c r="R474" s="361"/>
      <c r="S474" s="361"/>
      <c r="T474" s="377" t="str">
        <f t="shared" si="18"/>
        <v>SOA0043-030 - T064_Kliring_Outward_-_Valid_Transaction.pdf</v>
      </c>
      <c r="U474" s="359"/>
      <c r="V474" s="359"/>
      <c r="W474" s="359"/>
      <c r="X474" s="359"/>
      <c r="Y474" s="359"/>
      <c r="Z474" s="364">
        <v>44986</v>
      </c>
      <c r="AA474" s="359" t="s">
        <v>254</v>
      </c>
    </row>
    <row r="475" spans="1:27">
      <c r="A475" s="769"/>
      <c r="B475" s="769"/>
      <c r="C475" s="357" t="s">
        <v>10481</v>
      </c>
      <c r="D475" s="357" t="s">
        <v>10482</v>
      </c>
      <c r="E475" s="357" t="s">
        <v>1732</v>
      </c>
      <c r="F475" s="357" t="s">
        <v>9205</v>
      </c>
      <c r="G475" s="769"/>
      <c r="H475" s="357" t="str">
        <f t="shared" si="19"/>
        <v>SOA0043-031 - T071_Loan_Interest_-_Valid_Acc_Number.pdf.txt</v>
      </c>
      <c r="I475" s="357"/>
      <c r="J475" s="357"/>
      <c r="K475" s="357"/>
      <c r="L475" s="357"/>
      <c r="M475" s="357"/>
      <c r="N475" s="357"/>
      <c r="O475" s="357"/>
      <c r="P475" s="357"/>
      <c r="Q475" s="358" t="s">
        <v>9207</v>
      </c>
      <c r="R475" s="357"/>
      <c r="S475" s="357"/>
      <c r="T475" s="377" t="str">
        <f t="shared" si="18"/>
        <v>SOA0043-031 - T071_Loan_Interest_-_Valid_Acc_Number.pdf</v>
      </c>
      <c r="U475" s="359"/>
      <c r="V475" s="359"/>
      <c r="W475" s="359"/>
      <c r="X475" s="359"/>
      <c r="Y475" s="359"/>
      <c r="Z475" s="364">
        <v>44986</v>
      </c>
      <c r="AA475" s="359" t="s">
        <v>254</v>
      </c>
    </row>
    <row r="476" spans="1:27">
      <c r="A476" s="769"/>
      <c r="B476" s="769"/>
      <c r="C476" s="361" t="s">
        <v>10483</v>
      </c>
      <c r="D476" s="361" t="s">
        <v>10484</v>
      </c>
      <c r="E476" s="361" t="s">
        <v>1732</v>
      </c>
      <c r="F476" s="361" t="s">
        <v>9205</v>
      </c>
      <c r="G476" s="769"/>
      <c r="H476" s="361" t="str">
        <f t="shared" si="19"/>
        <v>SOA0043-032 - T076_Multi_Transfer_-_Valid_Transfer.pdf.txt</v>
      </c>
      <c r="I476" s="361"/>
      <c r="J476" s="361"/>
      <c r="K476" s="361"/>
      <c r="L476" s="361"/>
      <c r="M476" s="361"/>
      <c r="N476" s="361"/>
      <c r="O476" s="361"/>
      <c r="P476" s="361"/>
      <c r="Q476" s="358" t="s">
        <v>9207</v>
      </c>
      <c r="R476" s="361"/>
      <c r="S476" s="361"/>
      <c r="T476" s="377" t="str">
        <f t="shared" si="18"/>
        <v>SOA0043-032 - T076_Multi_Transfer_-_Valid_Transfer.pdf</v>
      </c>
      <c r="U476" s="359"/>
      <c r="V476" s="359"/>
      <c r="W476" s="359"/>
      <c r="X476" s="359"/>
      <c r="Y476" s="359"/>
      <c r="Z476" s="364">
        <v>44986</v>
      </c>
      <c r="AA476" s="359" t="s">
        <v>254</v>
      </c>
    </row>
    <row r="477" spans="1:27">
      <c r="A477" s="769"/>
      <c r="B477" s="769"/>
      <c r="C477" s="357" t="s">
        <v>10485</v>
      </c>
      <c r="D477" s="357" t="s">
        <v>10486</v>
      </c>
      <c r="E477" s="357" t="s">
        <v>1732</v>
      </c>
      <c r="F477" s="357" t="s">
        <v>9205</v>
      </c>
      <c r="G477" s="769"/>
      <c r="H477" s="357" t="str">
        <f t="shared" si="19"/>
        <v>SOA0043-033 - T081_Remittance_Master_In_-_Valid_PMT_Remittance.pdf.txt</v>
      </c>
      <c r="I477" s="357"/>
      <c r="J477" s="357"/>
      <c r="K477" s="357"/>
      <c r="L477" s="357"/>
      <c r="M477" s="357"/>
      <c r="N477" s="357"/>
      <c r="O477" s="357"/>
      <c r="P477" s="357"/>
      <c r="Q477" s="358" t="s">
        <v>9207</v>
      </c>
      <c r="R477" s="357"/>
      <c r="S477" s="357"/>
      <c r="T477" s="377" t="str">
        <f t="shared" si="18"/>
        <v>SOA0043-033 - T081_Remittance_Master_In_-_Valid_PMT_Remittance.pdf</v>
      </c>
      <c r="U477" s="359"/>
      <c r="V477" s="359"/>
      <c r="W477" s="359"/>
      <c r="X477" s="359"/>
      <c r="Y477" s="359"/>
      <c r="Z477" s="364">
        <v>44986</v>
      </c>
      <c r="AA477" s="359" t="s">
        <v>254</v>
      </c>
    </row>
    <row r="478" spans="1:27">
      <c r="A478" s="769"/>
      <c r="B478" s="769"/>
      <c r="C478" s="361" t="s">
        <v>10487</v>
      </c>
      <c r="D478" s="361" t="s">
        <v>10488</v>
      </c>
      <c r="E478" s="361" t="s">
        <v>1732</v>
      </c>
      <c r="F478" s="361" t="s">
        <v>9205</v>
      </c>
      <c r="G478" s="769"/>
      <c r="H478" s="361" t="str">
        <f t="shared" si="19"/>
        <v>SOA0043-034 - T069_Loan_Balance_Breakdown_-_Valid_Acc_Number.pdf.txt</v>
      </c>
      <c r="I478" s="361"/>
      <c r="J478" s="361"/>
      <c r="K478" s="361"/>
      <c r="L478" s="361"/>
      <c r="M478" s="361"/>
      <c r="N478" s="361"/>
      <c r="O478" s="361"/>
      <c r="P478" s="361"/>
      <c r="Q478" s="358" t="s">
        <v>9207</v>
      </c>
      <c r="R478" s="361"/>
      <c r="S478" s="361"/>
      <c r="T478" s="377" t="str">
        <f t="shared" si="18"/>
        <v>SOA0043-034 - T069_Loan_Balance_Breakdown_-_Valid_Acc_Number.pdf</v>
      </c>
      <c r="U478" s="359"/>
      <c r="V478" s="359"/>
      <c r="W478" s="359"/>
      <c r="X478" s="359"/>
      <c r="Y478" s="359"/>
      <c r="Z478" s="364">
        <v>44986</v>
      </c>
      <c r="AA478" s="359" t="s">
        <v>254</v>
      </c>
    </row>
    <row r="479" spans="1:27">
      <c r="A479" s="769"/>
      <c r="B479" s="769"/>
      <c r="C479" s="357" t="s">
        <v>10489</v>
      </c>
      <c r="D479" s="357" t="s">
        <v>10490</v>
      </c>
      <c r="E479" s="357" t="s">
        <v>1732</v>
      </c>
      <c r="F479" s="357" t="s">
        <v>9205</v>
      </c>
      <c r="G479" s="769"/>
      <c r="H479" s="357" t="str">
        <f t="shared" si="19"/>
        <v>SOA0043-035 - T038_Deposit_Details_-_Valid_Acc_Number.pdf.txt</v>
      </c>
      <c r="I479" s="357"/>
      <c r="J479" s="357"/>
      <c r="K479" s="357"/>
      <c r="L479" s="357"/>
      <c r="M479" s="357"/>
      <c r="N479" s="357"/>
      <c r="O479" s="357"/>
      <c r="P479" s="357"/>
      <c r="Q479" s="358" t="s">
        <v>9207</v>
      </c>
      <c r="R479" s="357"/>
      <c r="S479" s="357"/>
      <c r="T479" s="377" t="str">
        <f t="shared" si="18"/>
        <v>SOA0043-035 - T038_Deposit_Details_-_Valid_Acc_Number.pdf</v>
      </c>
      <c r="U479" s="359"/>
      <c r="V479" s="359"/>
      <c r="W479" s="359"/>
      <c r="X479" s="359"/>
      <c r="Y479" s="359"/>
      <c r="Z479" s="364">
        <v>44986</v>
      </c>
      <c r="AA479" s="359" t="s">
        <v>254</v>
      </c>
    </row>
    <row r="480" spans="1:27">
      <c r="A480" s="769"/>
      <c r="B480" s="769"/>
      <c r="C480" s="361" t="s">
        <v>10491</v>
      </c>
      <c r="D480" s="361" t="s">
        <v>10492</v>
      </c>
      <c r="E480" s="361" t="s">
        <v>1732</v>
      </c>
      <c r="F480" s="361" t="s">
        <v>9205</v>
      </c>
      <c r="G480" s="769"/>
      <c r="H480" s="361" t="str">
        <f t="shared" si="19"/>
        <v>SOA0043-036 - T039_Deposit_Details_-_Invalid_Acc_Number.pdf.txt</v>
      </c>
      <c r="I480" s="361"/>
      <c r="J480" s="361"/>
      <c r="K480" s="361"/>
      <c r="L480" s="361"/>
      <c r="M480" s="361"/>
      <c r="N480" s="361"/>
      <c r="O480" s="361"/>
      <c r="P480" s="361"/>
      <c r="Q480" s="358" t="s">
        <v>9207</v>
      </c>
      <c r="R480" s="361"/>
      <c r="S480" s="361"/>
      <c r="T480" s="377" t="str">
        <f t="shared" si="18"/>
        <v>SOA0043-036 - T039_Deposit_Details_-_Invalid_Acc_Number.pdf</v>
      </c>
      <c r="U480" s="359"/>
      <c r="V480" s="359"/>
      <c r="W480" s="359"/>
      <c r="X480" s="359"/>
      <c r="Y480" s="359"/>
      <c r="Z480" s="364">
        <v>44986</v>
      </c>
      <c r="AA480" s="359" t="s">
        <v>254</v>
      </c>
    </row>
    <row r="481" spans="1:27">
      <c r="A481" s="769"/>
      <c r="B481" s="769"/>
      <c r="C481" s="357" t="s">
        <v>10493</v>
      </c>
      <c r="D481" s="357" t="s">
        <v>10494</v>
      </c>
      <c r="E481" s="357" t="s">
        <v>1732</v>
      </c>
      <c r="F481" s="357" t="s">
        <v>9205</v>
      </c>
      <c r="G481" s="769"/>
      <c r="H481" s="357" t="str">
        <f t="shared" si="19"/>
        <v>SOA0043-037 - T051_Deposit_Transfer_Reversal_-_Valid_Acc.pdf.txt</v>
      </c>
      <c r="I481" s="357"/>
      <c r="J481" s="357"/>
      <c r="K481" s="357"/>
      <c r="L481" s="357"/>
      <c r="M481" s="357"/>
      <c r="N481" s="357"/>
      <c r="O481" s="357"/>
      <c r="P481" s="357"/>
      <c r="Q481" s="358" t="s">
        <v>9207</v>
      </c>
      <c r="R481" s="357"/>
      <c r="S481" s="357"/>
      <c r="T481" s="377" t="str">
        <f t="shared" si="18"/>
        <v>SOA0043-037 - T051_Deposit_Transfer_Reversal_-_Valid_Acc.pdf</v>
      </c>
      <c r="U481" s="359"/>
      <c r="V481" s="359"/>
      <c r="W481" s="359"/>
      <c r="X481" s="359"/>
      <c r="Y481" s="359"/>
      <c r="Z481" s="364">
        <v>44986</v>
      </c>
      <c r="AA481" s="359" t="s">
        <v>254</v>
      </c>
    </row>
    <row r="482" spans="1:27">
      <c r="A482" s="769"/>
      <c r="B482" s="769"/>
      <c r="C482" s="361" t="s">
        <v>10495</v>
      </c>
      <c r="D482" s="361" t="s">
        <v>10496</v>
      </c>
      <c r="E482" s="361" t="s">
        <v>1732</v>
      </c>
      <c r="F482" s="361" t="s">
        <v>9205</v>
      </c>
      <c r="G482" s="769"/>
      <c r="H482" s="361" t="str">
        <f t="shared" si="19"/>
        <v>SOA0043-038 - T107_Rtgs_Outward_-_Valid_Transaction.pdf.txt</v>
      </c>
      <c r="I482" s="361"/>
      <c r="J482" s="361"/>
      <c r="K482" s="361"/>
      <c r="L482" s="361"/>
      <c r="M482" s="361"/>
      <c r="N482" s="361"/>
      <c r="O482" s="361"/>
      <c r="P482" s="361"/>
      <c r="Q482" s="358" t="s">
        <v>9207</v>
      </c>
      <c r="R482" s="361"/>
      <c r="S482" s="361"/>
      <c r="T482" s="377" t="str">
        <f t="shared" si="18"/>
        <v>SOA0043-038 - T107_Rtgs_Outward_-_Valid_Transaction.pdf</v>
      </c>
      <c r="U482" s="359"/>
      <c r="V482" s="359"/>
      <c r="W482" s="359"/>
      <c r="X482" s="359"/>
      <c r="Y482" s="359"/>
      <c r="Z482" s="364">
        <v>44986</v>
      </c>
      <c r="AA482" s="359" t="s">
        <v>254</v>
      </c>
    </row>
    <row r="483" spans="1:27">
      <c r="A483" s="769"/>
      <c r="B483" s="769"/>
      <c r="C483" s="357" t="s">
        <v>10497</v>
      </c>
      <c r="D483" s="357" t="s">
        <v>10498</v>
      </c>
      <c r="E483" s="357" t="s">
        <v>1732</v>
      </c>
      <c r="F483" s="357" t="s">
        <v>9205</v>
      </c>
      <c r="G483" s="769"/>
      <c r="H483" s="357" t="str">
        <f t="shared" si="19"/>
        <v>SOA0043-039 - T112_Rtgs_Outward_-_Valid_Transaction_Baru.pdf.txt</v>
      </c>
      <c r="I483" s="357"/>
      <c r="J483" s="357"/>
      <c r="K483" s="357"/>
      <c r="L483" s="357"/>
      <c r="M483" s="357"/>
      <c r="N483" s="357"/>
      <c r="O483" s="357"/>
      <c r="P483" s="357"/>
      <c r="Q483" s="358" t="s">
        <v>9207</v>
      </c>
      <c r="R483" s="357"/>
      <c r="S483" s="357"/>
      <c r="T483" s="377" t="str">
        <f t="shared" si="18"/>
        <v>SOA0043-039 - T112_Rtgs_Outward_-_Valid_Transaction_Baru.pdf</v>
      </c>
      <c r="U483" s="359"/>
      <c r="V483" s="359"/>
      <c r="W483" s="359"/>
      <c r="X483" s="359"/>
      <c r="Y483" s="359"/>
      <c r="Z483" s="364">
        <v>44986</v>
      </c>
      <c r="AA483" s="359" t="s">
        <v>254</v>
      </c>
    </row>
    <row r="484" spans="1:27">
      <c r="A484" s="769"/>
      <c r="B484" s="769"/>
      <c r="C484" s="361" t="s">
        <v>10499</v>
      </c>
      <c r="D484" s="361" t="s">
        <v>10500</v>
      </c>
      <c r="E484" s="361" t="s">
        <v>1732</v>
      </c>
      <c r="F484" s="361" t="s">
        <v>9205</v>
      </c>
      <c r="G484" s="769"/>
      <c r="H484" s="361" t="str">
        <f t="shared" si="19"/>
        <v>SOA0043-040 - T107_Rtgs_Outward_-_Valid_Transaction_bary.pdf.txt</v>
      </c>
      <c r="I484" s="361"/>
      <c r="J484" s="361"/>
      <c r="K484" s="361"/>
      <c r="L484" s="361"/>
      <c r="M484" s="361"/>
      <c r="N484" s="361"/>
      <c r="O484" s="361"/>
      <c r="P484" s="361"/>
      <c r="Q484" s="358" t="s">
        <v>9207</v>
      </c>
      <c r="R484" s="361"/>
      <c r="S484" s="361"/>
      <c r="T484" s="377" t="str">
        <f t="shared" si="18"/>
        <v>SOA0043-040 - T107_Rtgs_Outward_-_Valid_Transaction_bary.pdf</v>
      </c>
      <c r="U484" s="359"/>
      <c r="V484" s="359"/>
      <c r="W484" s="359"/>
      <c r="X484" s="359"/>
      <c r="Y484" s="359"/>
      <c r="Z484" s="364">
        <v>44986</v>
      </c>
      <c r="AA484" s="359" t="s">
        <v>254</v>
      </c>
    </row>
    <row r="485" spans="1:27">
      <c r="A485" s="769"/>
      <c r="B485" s="769"/>
      <c r="C485" s="357" t="s">
        <v>10501</v>
      </c>
      <c r="D485" s="357" t="s">
        <v>10502</v>
      </c>
      <c r="E485" s="357" t="s">
        <v>1732</v>
      </c>
      <c r="F485" s="357" t="s">
        <v>9205</v>
      </c>
      <c r="G485" s="769"/>
      <c r="H485" s="357" t="str">
        <f t="shared" si="19"/>
        <v>SOA0043-041 - T073_Loan_Transfer_-_Valid_Acc.pdf.txt</v>
      </c>
      <c r="I485" s="357"/>
      <c r="J485" s="357"/>
      <c r="K485" s="357"/>
      <c r="L485" s="357"/>
      <c r="M485" s="357"/>
      <c r="N485" s="357"/>
      <c r="O485" s="357"/>
      <c r="P485" s="357"/>
      <c r="Q485" s="358" t="s">
        <v>9207</v>
      </c>
      <c r="R485" s="357"/>
      <c r="S485" s="357"/>
      <c r="T485" s="377" t="str">
        <f t="shared" si="18"/>
        <v>SOA0043-041 - T073_Loan_Transfer_-_Valid_Acc.pdf</v>
      </c>
      <c r="U485" s="359"/>
      <c r="V485" s="359"/>
      <c r="W485" s="359"/>
      <c r="X485" s="359"/>
      <c r="Y485" s="359"/>
      <c r="Z485" s="364">
        <v>44987</v>
      </c>
      <c r="AA485" s="359" t="s">
        <v>254</v>
      </c>
    </row>
    <row r="486" spans="1:27">
      <c r="A486" s="769"/>
      <c r="B486" s="769"/>
      <c r="C486" s="361" t="s">
        <v>10503</v>
      </c>
      <c r="D486" s="361" t="s">
        <v>10504</v>
      </c>
      <c r="E486" s="361" t="s">
        <v>1732</v>
      </c>
      <c r="F486" s="361" t="s">
        <v>9205</v>
      </c>
      <c r="G486" s="769"/>
      <c r="H486" s="361" t="str">
        <f t="shared" si="19"/>
        <v>SOA0043-042 - TAX_file_number_valid_customer_number.pdf.txt</v>
      </c>
      <c r="I486" s="361"/>
      <c r="J486" s="361"/>
      <c r="K486" s="361"/>
      <c r="L486" s="361"/>
      <c r="M486" s="361"/>
      <c r="N486" s="361"/>
      <c r="O486" s="361"/>
      <c r="P486" s="361"/>
      <c r="Q486" s="358" t="s">
        <v>9207</v>
      </c>
      <c r="R486" s="361"/>
      <c r="S486" s="361"/>
      <c r="T486" s="377" t="str">
        <f t="shared" si="18"/>
        <v>SOA0043-042 - TAX_file_number_valid_customer_number.pdf</v>
      </c>
      <c r="U486" s="359"/>
      <c r="V486" s="359"/>
      <c r="W486" s="359"/>
      <c r="X486" s="359"/>
      <c r="Y486" s="359"/>
      <c r="Z486" s="364">
        <v>44987</v>
      </c>
      <c r="AA486" s="359" t="s">
        <v>254</v>
      </c>
    </row>
    <row r="487" spans="1:27">
      <c r="A487" s="769"/>
      <c r="B487" s="769"/>
      <c r="C487" s="357" t="s">
        <v>10505</v>
      </c>
      <c r="D487" s="357" t="s">
        <v>10506</v>
      </c>
      <c r="E487" s="357" t="s">
        <v>1732</v>
      </c>
      <c r="F487" s="357" t="s">
        <v>9205</v>
      </c>
      <c r="G487" s="769"/>
      <c r="H487" s="357" t="str">
        <f t="shared" si="19"/>
        <v>SOA0043-043 - T040_Deposit_Transaction_Inquiry_-_Valid_Acc_Financial_Transaction.pdf.txt</v>
      </c>
      <c r="I487" s="357"/>
      <c r="J487" s="357"/>
      <c r="K487" s="357"/>
      <c r="L487" s="357"/>
      <c r="M487" s="357"/>
      <c r="N487" s="357"/>
      <c r="O487" s="357"/>
      <c r="P487" s="357"/>
      <c r="Q487" s="358" t="s">
        <v>9207</v>
      </c>
      <c r="R487" s="357"/>
      <c r="S487" s="357"/>
      <c r="T487" s="377" t="str">
        <f t="shared" si="18"/>
        <v>SOA0043-043 - T040_Deposit_Transaction_Inquiry_-_Valid_Acc_Financial_Transaction.pdf</v>
      </c>
      <c r="U487" s="359"/>
      <c r="V487" s="359"/>
      <c r="W487" s="359"/>
      <c r="X487" s="359"/>
      <c r="Y487" s="359"/>
      <c r="Z487" s="364">
        <v>44987</v>
      </c>
      <c r="AA487" s="359" t="s">
        <v>254</v>
      </c>
    </row>
    <row r="488" spans="1:27">
      <c r="A488" s="769"/>
      <c r="B488" s="769"/>
      <c r="C488" s="361" t="s">
        <v>10507</v>
      </c>
      <c r="D488" s="361" t="s">
        <v>10508</v>
      </c>
      <c r="E488" s="361" t="s">
        <v>1732</v>
      </c>
      <c r="F488" s="361" t="s">
        <v>9205</v>
      </c>
      <c r="G488" s="769"/>
      <c r="H488" s="361" t="str">
        <f t="shared" si="19"/>
        <v>SOA0043-044 - T041_Deposit_Transaction_Inquiry_-_Valid_Acc_Rollover_Transaction.pdf.txt</v>
      </c>
      <c r="I488" s="361"/>
      <c r="J488" s="361"/>
      <c r="K488" s="361"/>
      <c r="L488" s="361"/>
      <c r="M488" s="361"/>
      <c r="N488" s="361"/>
      <c r="O488" s="361"/>
      <c r="P488" s="361"/>
      <c r="Q488" s="358" t="s">
        <v>9207</v>
      </c>
      <c r="R488" s="361"/>
      <c r="S488" s="361"/>
      <c r="T488" s="377" t="str">
        <f t="shared" si="18"/>
        <v>SOA0043-044 - T041_Deposit_Transaction_Inquiry_-_Valid_Acc_Rollover_Transaction.pdf</v>
      </c>
      <c r="U488" s="359"/>
      <c r="V488" s="359"/>
      <c r="W488" s="359"/>
      <c r="X488" s="359"/>
      <c r="Y488" s="359"/>
      <c r="Z488" s="364">
        <v>44987</v>
      </c>
      <c r="AA488" s="359" t="s">
        <v>254</v>
      </c>
    </row>
    <row r="489" spans="1:27">
      <c r="A489" s="769"/>
      <c r="B489" s="769"/>
      <c r="C489" s="357" t="s">
        <v>10509</v>
      </c>
      <c r="D489" s="357" t="s">
        <v>10510</v>
      </c>
      <c r="E489" s="357" t="s">
        <v>1732</v>
      </c>
      <c r="F489" s="357" t="s">
        <v>9205</v>
      </c>
      <c r="G489" s="769"/>
      <c r="H489" s="357" t="str">
        <f t="shared" si="19"/>
        <v>SOA0043-045 - T060_Historical_Transactions_-_Valid_Acc.pdf.txt</v>
      </c>
      <c r="I489" s="357"/>
      <c r="J489" s="357"/>
      <c r="K489" s="357"/>
      <c r="L489" s="357"/>
      <c r="M489" s="357"/>
      <c r="N489" s="357"/>
      <c r="O489" s="357"/>
      <c r="P489" s="357"/>
      <c r="Q489" s="358" t="s">
        <v>9207</v>
      </c>
      <c r="R489" s="357"/>
      <c r="S489" s="357"/>
      <c r="T489" s="377" t="str">
        <f t="shared" si="18"/>
        <v>SOA0043-045 - T060_Historical_Transactions_-_Valid_Acc.pdf</v>
      </c>
      <c r="U489" s="359"/>
      <c r="V489" s="359"/>
      <c r="W489" s="359"/>
      <c r="X489" s="359"/>
      <c r="Y489" s="359"/>
      <c r="Z489" s="364">
        <v>44987</v>
      </c>
      <c r="AA489" s="359" t="s">
        <v>254</v>
      </c>
    </row>
    <row r="490" spans="1:27">
      <c r="A490" s="769"/>
      <c r="B490" s="769"/>
      <c r="C490" s="361" t="s">
        <v>10511</v>
      </c>
      <c r="D490" s="361" t="s">
        <v>10512</v>
      </c>
      <c r="E490" s="361" t="s">
        <v>1732</v>
      </c>
      <c r="F490" s="361" t="s">
        <v>9205</v>
      </c>
      <c r="G490" s="769"/>
      <c r="H490" s="361" t="str">
        <f t="shared" si="19"/>
        <v>SOA0043-046 - SOAP Request.pdf.txt</v>
      </c>
      <c r="I490" s="361"/>
      <c r="J490" s="361"/>
      <c r="K490" s="361"/>
      <c r="L490" s="361"/>
      <c r="M490" s="361"/>
      <c r="N490" s="361"/>
      <c r="O490" s="361"/>
      <c r="P490" s="361"/>
      <c r="Q490" s="358" t="s">
        <v>9207</v>
      </c>
      <c r="R490" s="361"/>
      <c r="S490" s="361"/>
      <c r="T490" s="377" t="str">
        <f t="shared" si="18"/>
        <v>SOA0043-046 - SOAP Request.pdf</v>
      </c>
      <c r="U490" s="359"/>
      <c r="V490" s="359"/>
      <c r="W490" s="359"/>
      <c r="X490" s="359"/>
      <c r="Y490" s="359"/>
      <c r="Z490" s="364">
        <v>44987</v>
      </c>
      <c r="AA490" s="359" t="s">
        <v>254</v>
      </c>
    </row>
    <row r="491" spans="1:27">
      <c r="A491" s="769"/>
      <c r="B491" s="769"/>
      <c r="C491" s="357" t="s">
        <v>10513</v>
      </c>
      <c r="D491" s="357" t="s">
        <v>10514</v>
      </c>
      <c r="E491" s="357" t="s">
        <v>1732</v>
      </c>
      <c r="F491" s="357" t="s">
        <v>9205</v>
      </c>
      <c r="G491" s="769"/>
      <c r="H491" s="357" t="str">
        <f t="shared" si="19"/>
        <v>SOA0043-047 - Test Request.pdf.txt</v>
      </c>
      <c r="I491" s="357"/>
      <c r="J491" s="357"/>
      <c r="K491" s="357"/>
      <c r="L491" s="357"/>
      <c r="M491" s="357"/>
      <c r="N491" s="357"/>
      <c r="O491" s="357"/>
      <c r="P491" s="357"/>
      <c r="Q491" s="358" t="s">
        <v>9207</v>
      </c>
      <c r="R491" s="357"/>
      <c r="S491" s="357"/>
      <c r="T491" s="377" t="str">
        <f t="shared" si="18"/>
        <v>SOA0043-047 - Test Request.pdf</v>
      </c>
      <c r="U491" s="359"/>
      <c r="V491" s="359"/>
      <c r="W491" s="359"/>
      <c r="X491" s="359"/>
      <c r="Y491" s="359"/>
      <c r="Z491" s="364">
        <v>44987</v>
      </c>
      <c r="AA491" s="359" t="s">
        <v>254</v>
      </c>
    </row>
    <row r="492" spans="1:27">
      <c r="A492" s="769"/>
      <c r="B492" s="769"/>
      <c r="C492" s="361" t="s">
        <v>10515</v>
      </c>
      <c r="D492" s="361" t="s">
        <v>10516</v>
      </c>
      <c r="E492" s="361" t="s">
        <v>1732</v>
      </c>
      <c r="F492" s="361" t="s">
        <v>9205</v>
      </c>
      <c r="G492" s="769"/>
      <c r="H492" s="361" t="str">
        <f t="shared" si="19"/>
        <v>SOA0043-048 - T092_owned_account_list_valid_customer_number.pdf.txt</v>
      </c>
      <c r="I492" s="361"/>
      <c r="J492" s="361"/>
      <c r="K492" s="361"/>
      <c r="L492" s="361"/>
      <c r="M492" s="361"/>
      <c r="N492" s="361"/>
      <c r="O492" s="361"/>
      <c r="P492" s="361"/>
      <c r="Q492" s="358" t="s">
        <v>9207</v>
      </c>
      <c r="R492" s="361"/>
      <c r="S492" s="361"/>
      <c r="T492" s="377" t="str">
        <f t="shared" si="18"/>
        <v>SOA0043-048 - T092_owned_account_list_valid_customer_number.pdf</v>
      </c>
      <c r="U492" s="359"/>
      <c r="V492" s="359"/>
      <c r="W492" s="359"/>
      <c r="X492" s="359"/>
      <c r="Y492" s="359"/>
      <c r="Z492" s="364">
        <v>44987</v>
      </c>
      <c r="AA492" s="359" t="s">
        <v>254</v>
      </c>
    </row>
    <row r="493" spans="1:27">
      <c r="A493" s="769"/>
      <c r="B493" s="769"/>
      <c r="C493" s="357" t="s">
        <v>10517</v>
      </c>
      <c r="D493" s="357" t="s">
        <v>10518</v>
      </c>
      <c r="E493" s="357" t="s">
        <v>1732</v>
      </c>
      <c r="F493" s="357" t="s">
        <v>9205</v>
      </c>
      <c r="G493" s="769"/>
      <c r="H493" s="357" t="str">
        <f t="shared" si="19"/>
        <v>SOA0043-049 - T096_Open_Account_List_-_Valid_Customer_Number.pdf.txt</v>
      </c>
      <c r="I493" s="357"/>
      <c r="J493" s="357"/>
      <c r="K493" s="357"/>
      <c r="L493" s="357"/>
      <c r="M493" s="357"/>
      <c r="N493" s="357"/>
      <c r="O493" s="357"/>
      <c r="P493" s="357"/>
      <c r="Q493" s="358" t="s">
        <v>9207</v>
      </c>
      <c r="R493" s="357"/>
      <c r="S493" s="357"/>
      <c r="T493" s="377" t="str">
        <f t="shared" si="18"/>
        <v>SOA0043-049 - T096_Open_Account_List_-_Valid_Customer_Number.pdf</v>
      </c>
      <c r="U493" s="359"/>
      <c r="V493" s="359"/>
      <c r="W493" s="359"/>
      <c r="X493" s="359"/>
      <c r="Y493" s="359"/>
      <c r="Z493" s="364">
        <v>44987</v>
      </c>
      <c r="AA493" s="359" t="s">
        <v>254</v>
      </c>
    </row>
    <row r="494" spans="1:27">
      <c r="A494" s="769"/>
      <c r="B494" s="769"/>
      <c r="C494" s="361" t="s">
        <v>10519</v>
      </c>
      <c r="D494" s="361" t="s">
        <v>10520</v>
      </c>
      <c r="E494" s="361" t="s">
        <v>1732</v>
      </c>
      <c r="F494" s="361" t="s">
        <v>9205</v>
      </c>
      <c r="G494" s="769"/>
      <c r="H494" s="361" t="str">
        <f t="shared" si="19"/>
        <v>SOA0043-050 - OpenAccountList.pdf.txt</v>
      </c>
      <c r="I494" s="361"/>
      <c r="J494" s="361"/>
      <c r="K494" s="361"/>
      <c r="L494" s="361"/>
      <c r="M494" s="361"/>
      <c r="N494" s="361"/>
      <c r="O494" s="361"/>
      <c r="P494" s="361"/>
      <c r="Q494" s="358" t="s">
        <v>9207</v>
      </c>
      <c r="R494" s="361"/>
      <c r="S494" s="361"/>
      <c r="T494" s="377" t="str">
        <f t="shared" si="18"/>
        <v>SOA0043-050 - OpenAccountList.pdf</v>
      </c>
      <c r="U494" s="359"/>
      <c r="V494" s="359"/>
      <c r="W494" s="359"/>
      <c r="X494" s="359"/>
      <c r="Y494" s="359"/>
      <c r="Z494" s="364">
        <v>44987</v>
      </c>
      <c r="AA494" s="359" t="s">
        <v>254</v>
      </c>
    </row>
    <row r="495" spans="1:27">
      <c r="A495" s="769"/>
      <c r="B495" s="769"/>
      <c r="C495" s="357" t="s">
        <v>10521</v>
      </c>
      <c r="D495" s="357" t="s">
        <v>10434</v>
      </c>
      <c r="E495" s="357" t="s">
        <v>1732</v>
      </c>
      <c r="F495" s="357" t="s">
        <v>9205</v>
      </c>
      <c r="G495" s="769"/>
      <c r="H495" s="357" t="str">
        <f t="shared" si="19"/>
        <v>SOA0043-051 - BNIDIRECT.pdf.txt</v>
      </c>
      <c r="I495" s="357"/>
      <c r="J495" s="357"/>
      <c r="K495" s="357"/>
      <c r="L495" s="357"/>
      <c r="M495" s="357"/>
      <c r="N495" s="357"/>
      <c r="O495" s="357"/>
      <c r="P495" s="357"/>
      <c r="Q495" s="358" t="s">
        <v>9207</v>
      </c>
      <c r="R495" s="357"/>
      <c r="S495" s="357"/>
      <c r="T495" s="377" t="str">
        <f t="shared" si="18"/>
        <v>SOA0043-051 - BNIDIRECT.pdf</v>
      </c>
      <c r="U495" s="359"/>
      <c r="V495" s="359"/>
      <c r="W495" s="359"/>
      <c r="X495" s="359"/>
      <c r="Y495" s="359"/>
      <c r="Z495" s="364">
        <v>44987</v>
      </c>
      <c r="AA495" s="359" t="s">
        <v>254</v>
      </c>
    </row>
    <row r="496" spans="1:27">
      <c r="A496" s="769"/>
      <c r="B496" s="769"/>
      <c r="C496" s="361" t="s">
        <v>10522</v>
      </c>
      <c r="D496" s="361" t="s">
        <v>10523</v>
      </c>
      <c r="E496" s="361" t="s">
        <v>1732</v>
      </c>
      <c r="F496" s="361" t="s">
        <v>9205</v>
      </c>
      <c r="G496" s="769"/>
      <c r="H496" s="361" t="str">
        <f t="shared" si="19"/>
        <v>SOA0043-052 - T096_Open_Account_List_-_Valid_Customer_Number_teller 1.pdf.txt</v>
      </c>
      <c r="I496" s="361"/>
      <c r="J496" s="361"/>
      <c r="K496" s="361"/>
      <c r="L496" s="361"/>
      <c r="M496" s="361"/>
      <c r="N496" s="361"/>
      <c r="O496" s="361"/>
      <c r="P496" s="361"/>
      <c r="Q496" s="358" t="s">
        <v>9207</v>
      </c>
      <c r="R496" s="361"/>
      <c r="S496" s="361"/>
      <c r="T496" s="377" t="str">
        <f t="shared" si="18"/>
        <v>SOA0043-052 - T096_Open_Account_List_-_Valid_Customer_Number_teller 1.pdf</v>
      </c>
      <c r="U496" s="359"/>
      <c r="V496" s="359"/>
      <c r="W496" s="359"/>
      <c r="X496" s="359"/>
      <c r="Y496" s="359"/>
      <c r="Z496" s="364">
        <v>44987</v>
      </c>
      <c r="AA496" s="359" t="s">
        <v>254</v>
      </c>
    </row>
    <row r="497" spans="1:27">
      <c r="A497" s="769"/>
      <c r="B497" s="769"/>
      <c r="C497" s="357" t="s">
        <v>10524</v>
      </c>
      <c r="D497" s="357" t="s">
        <v>10525</v>
      </c>
      <c r="E497" s="357" t="s">
        <v>1732</v>
      </c>
      <c r="F497" s="357" t="s">
        <v>9205</v>
      </c>
      <c r="G497" s="769"/>
      <c r="H497" s="357" t="str">
        <f t="shared" si="19"/>
        <v>SOA0043-053 - T130_XRateInquiry_-_Search.pdf.txt</v>
      </c>
      <c r="I497" s="357"/>
      <c r="J497" s="357"/>
      <c r="K497" s="357"/>
      <c r="L497" s="357"/>
      <c r="M497" s="357"/>
      <c r="N497" s="357"/>
      <c r="O497" s="357"/>
      <c r="P497" s="357"/>
      <c r="Q497" s="358" t="s">
        <v>9207</v>
      </c>
      <c r="R497" s="357"/>
      <c r="S497" s="357"/>
      <c r="T497" s="377" t="str">
        <f t="shared" si="18"/>
        <v>SOA0043-053 - T130_XRateInquiry_-_Search.pdf</v>
      </c>
      <c r="U497" s="359"/>
      <c r="V497" s="359"/>
      <c r="W497" s="359"/>
      <c r="X497" s="359"/>
      <c r="Y497" s="359"/>
      <c r="Z497" s="364">
        <v>44987</v>
      </c>
      <c r="AA497" s="359" t="s">
        <v>254</v>
      </c>
    </row>
    <row r="498" spans="1:27">
      <c r="A498" s="769"/>
      <c r="B498" s="769"/>
      <c r="C498" s="361" t="s">
        <v>10526</v>
      </c>
      <c r="D498" s="361" t="s">
        <v>10527</v>
      </c>
      <c r="E498" s="361" t="s">
        <v>1732</v>
      </c>
      <c r="F498" s="361" t="s">
        <v>9205</v>
      </c>
      <c r="G498" s="769"/>
      <c r="H498" s="361" t="str">
        <f t="shared" si="19"/>
        <v>SOA0043-054 - T130_XRateInquiry_-_Search_single.pdf.txt</v>
      </c>
      <c r="I498" s="361"/>
      <c r="J498" s="361"/>
      <c r="K498" s="361"/>
      <c r="L498" s="361"/>
      <c r="M498" s="361"/>
      <c r="N498" s="361"/>
      <c r="O498" s="361"/>
      <c r="P498" s="361"/>
      <c r="Q498" s="358" t="s">
        <v>9207</v>
      </c>
      <c r="R498" s="361"/>
      <c r="S498" s="361"/>
      <c r="T498" s="377" t="str">
        <f t="shared" si="18"/>
        <v>SOA0043-054 - T130_XRateInquiry_-_Search_single.pdf</v>
      </c>
      <c r="U498" s="359"/>
      <c r="V498" s="359"/>
      <c r="W498" s="359"/>
      <c r="X498" s="359"/>
      <c r="Y498" s="359"/>
      <c r="Z498" s="364">
        <v>44987</v>
      </c>
      <c r="AA498" s="359" t="s">
        <v>254</v>
      </c>
    </row>
    <row r="499" spans="1:27">
      <c r="A499" s="769"/>
      <c r="B499" s="769"/>
      <c r="C499" s="357" t="s">
        <v>10528</v>
      </c>
      <c r="D499" s="357" t="s">
        <v>10529</v>
      </c>
      <c r="E499" s="357" t="s">
        <v>1732</v>
      </c>
      <c r="F499" s="357" t="s">
        <v>9205</v>
      </c>
      <c r="G499" s="769"/>
      <c r="H499" s="357" t="str">
        <f t="shared" si="19"/>
        <v>SOA0043-055 - CustomerDetail_-_Valid AC Num.pdf.txt</v>
      </c>
      <c r="I499" s="357"/>
      <c r="J499" s="357"/>
      <c r="K499" s="357"/>
      <c r="L499" s="357"/>
      <c r="M499" s="357"/>
      <c r="N499" s="357"/>
      <c r="O499" s="357"/>
      <c r="P499" s="357"/>
      <c r="Q499" s="358" t="s">
        <v>9207</v>
      </c>
      <c r="R499" s="357"/>
      <c r="S499" s="357"/>
      <c r="T499" s="377" t="str">
        <f t="shared" si="18"/>
        <v>SOA0043-055 - CustomerDetail_-_Valid AC Num.pdf</v>
      </c>
      <c r="U499" s="359"/>
      <c r="V499" s="359"/>
      <c r="W499" s="359"/>
      <c r="X499" s="359"/>
      <c r="Y499" s="359"/>
      <c r="Z499" s="364">
        <v>44987</v>
      </c>
      <c r="AA499" s="359" t="s">
        <v>254</v>
      </c>
    </row>
    <row r="500" spans="1:27">
      <c r="A500" s="769"/>
      <c r="B500" s="769"/>
      <c r="C500" s="361" t="s">
        <v>10530</v>
      </c>
      <c r="D500" s="361" t="s">
        <v>10531</v>
      </c>
      <c r="E500" s="361" t="s">
        <v>1732</v>
      </c>
      <c r="F500" s="361" t="s">
        <v>9205</v>
      </c>
      <c r="G500" s="769"/>
      <c r="H500" s="361" t="str">
        <f t="shared" si="19"/>
        <v>SOA0043-056 - CustomerDetailv2_-_Valid AC Num.pdf.txt</v>
      </c>
      <c r="I500" s="361"/>
      <c r="J500" s="361"/>
      <c r="K500" s="361"/>
      <c r="L500" s="361"/>
      <c r="M500" s="361"/>
      <c r="N500" s="361"/>
      <c r="O500" s="361"/>
      <c r="P500" s="361"/>
      <c r="Q500" s="358" t="s">
        <v>9207</v>
      </c>
      <c r="R500" s="361"/>
      <c r="S500" s="361"/>
      <c r="T500" s="377" t="str">
        <f t="shared" si="18"/>
        <v>SOA0043-056 - CustomerDetailv2_-_Valid AC Num.pdf</v>
      </c>
      <c r="U500" s="359"/>
      <c r="V500" s="359"/>
      <c r="W500" s="359"/>
      <c r="X500" s="359"/>
      <c r="Y500" s="359"/>
      <c r="Z500" s="364">
        <v>44987</v>
      </c>
      <c r="AA500" s="359" t="s">
        <v>254</v>
      </c>
    </row>
    <row r="501" spans="1:27">
      <c r="A501" s="769"/>
      <c r="B501" s="769"/>
      <c r="C501" s="357" t="s">
        <v>10532</v>
      </c>
      <c r="D501" s="357" t="s">
        <v>10533</v>
      </c>
      <c r="E501" s="357" t="s">
        <v>1732</v>
      </c>
      <c r="F501" s="357" t="s">
        <v>9205</v>
      </c>
      <c r="G501" s="769"/>
      <c r="H501" s="357" t="str">
        <f t="shared" si="19"/>
        <v>SOA0043-057 - Deposit_Transfer_Cross-_Valid_Acc.pdf.txt</v>
      </c>
      <c r="I501" s="357"/>
      <c r="J501" s="357"/>
      <c r="K501" s="357"/>
      <c r="L501" s="357"/>
      <c r="M501" s="357"/>
      <c r="N501" s="357"/>
      <c r="O501" s="357"/>
      <c r="P501" s="357"/>
      <c r="Q501" s="358" t="s">
        <v>9207</v>
      </c>
      <c r="R501" s="357"/>
      <c r="S501" s="357"/>
      <c r="T501" s="377" t="str">
        <f t="shared" si="18"/>
        <v>SOA0043-057 - Deposit_Transfer_Cross-_Valid_Acc.pdf</v>
      </c>
      <c r="U501" s="359"/>
      <c r="V501" s="359"/>
      <c r="W501" s="359"/>
      <c r="X501" s="359"/>
      <c r="Y501" s="359"/>
      <c r="Z501" s="364">
        <v>44987</v>
      </c>
      <c r="AA501" s="359" t="s">
        <v>254</v>
      </c>
    </row>
    <row r="502" spans="1:27">
      <c r="A502" s="769"/>
      <c r="B502" s="769"/>
      <c r="C502" s="361" t="s">
        <v>10534</v>
      </c>
      <c r="D502" s="361" t="s">
        <v>10535</v>
      </c>
      <c r="E502" s="361" t="s">
        <v>1732</v>
      </c>
      <c r="F502" s="361" t="s">
        <v>9205</v>
      </c>
      <c r="G502" s="769"/>
      <c r="H502" s="361" t="str">
        <f t="shared" si="19"/>
        <v>SOA0043-058 - CreateVirtualAccount.pdf.txt</v>
      </c>
      <c r="I502" s="361"/>
      <c r="J502" s="361"/>
      <c r="K502" s="361"/>
      <c r="L502" s="361"/>
      <c r="M502" s="361"/>
      <c r="N502" s="361"/>
      <c r="O502" s="361"/>
      <c r="P502" s="361"/>
      <c r="Q502" s="358" t="s">
        <v>9207</v>
      </c>
      <c r="R502" s="361"/>
      <c r="S502" s="361"/>
      <c r="T502" s="377" t="str">
        <f t="shared" si="18"/>
        <v>SOA0043-058 - CreateVirtualAccount.pdf</v>
      </c>
      <c r="U502" s="359"/>
      <c r="V502" s="359"/>
      <c r="W502" s="359"/>
      <c r="X502" s="359"/>
      <c r="Y502" s="359"/>
      <c r="Z502" s="364">
        <v>44987</v>
      </c>
      <c r="AA502" s="359" t="s">
        <v>254</v>
      </c>
    </row>
    <row r="503" spans="1:27">
      <c r="A503" s="769"/>
      <c r="B503" s="769"/>
      <c r="C503" s="357" t="s">
        <v>10536</v>
      </c>
      <c r="D503" s="357" t="s">
        <v>10537</v>
      </c>
      <c r="E503" s="357" t="s">
        <v>1732</v>
      </c>
      <c r="F503" s="357" t="s">
        <v>9205</v>
      </c>
      <c r="G503" s="769"/>
      <c r="H503" s="357" t="str">
        <f t="shared" si="19"/>
        <v>SOA0043-059 - InquiryVirtualAccount.pdf.txt</v>
      </c>
      <c r="I503" s="357"/>
      <c r="J503" s="357"/>
      <c r="K503" s="357"/>
      <c r="L503" s="357"/>
      <c r="M503" s="357"/>
      <c r="N503" s="357"/>
      <c r="O503" s="357"/>
      <c r="P503" s="357"/>
      <c r="Q503" s="358" t="s">
        <v>9207</v>
      </c>
      <c r="R503" s="357"/>
      <c r="S503" s="357"/>
      <c r="T503" s="377" t="str">
        <f t="shared" si="18"/>
        <v>SOA0043-059 - InquiryVirtualAccount.pdf</v>
      </c>
      <c r="U503" s="359"/>
      <c r="V503" s="359"/>
      <c r="W503" s="359"/>
      <c r="X503" s="359"/>
      <c r="Y503" s="359"/>
      <c r="Z503" s="364">
        <v>44987</v>
      </c>
      <c r="AA503" s="359" t="s">
        <v>254</v>
      </c>
    </row>
    <row r="504" spans="1:27">
      <c r="A504" s="769"/>
      <c r="B504" s="769"/>
      <c r="C504" s="361" t="s">
        <v>10538</v>
      </c>
      <c r="D504" s="361" t="s">
        <v>10539</v>
      </c>
      <c r="E504" s="361" t="s">
        <v>1732</v>
      </c>
      <c r="F504" s="361" t="s">
        <v>9205</v>
      </c>
      <c r="G504" s="769"/>
      <c r="H504" s="361" t="str">
        <f t="shared" si="19"/>
        <v>SOA0043-060 - UpdateVirtualAccount.pdf.txt</v>
      </c>
      <c r="I504" s="361"/>
      <c r="J504" s="361"/>
      <c r="K504" s="361"/>
      <c r="L504" s="361"/>
      <c r="M504" s="361"/>
      <c r="N504" s="361"/>
      <c r="O504" s="361"/>
      <c r="P504" s="361"/>
      <c r="Q504" s="358" t="s">
        <v>9207</v>
      </c>
      <c r="R504" s="361"/>
      <c r="S504" s="361"/>
      <c r="T504" s="377" t="str">
        <f t="shared" si="18"/>
        <v>SOA0043-060 - UpdateVirtualAccount.pdf</v>
      </c>
      <c r="U504" s="359"/>
      <c r="V504" s="359"/>
      <c r="W504" s="359"/>
      <c r="X504" s="359"/>
      <c r="Y504" s="359"/>
      <c r="Z504" s="364">
        <v>44987</v>
      </c>
      <c r="AA504" s="359" t="s">
        <v>254</v>
      </c>
    </row>
    <row r="505" spans="1:27">
      <c r="A505" s="769"/>
      <c r="B505" s="769"/>
      <c r="C505" s="357" t="s">
        <v>10540</v>
      </c>
      <c r="D505" s="357" t="s">
        <v>10541</v>
      </c>
      <c r="E505" s="357" t="s">
        <v>1732</v>
      </c>
      <c r="F505" s="357" t="s">
        <v>9205</v>
      </c>
      <c r="G505" s="769"/>
      <c r="H505" s="357" t="str">
        <f t="shared" si="19"/>
        <v>SOA0043-061 - Open_Loan_Account_List_-_Valid_CIF.pdf.txt</v>
      </c>
      <c r="I505" s="357"/>
      <c r="J505" s="357"/>
      <c r="K505" s="357"/>
      <c r="L505" s="357"/>
      <c r="M505" s="357"/>
      <c r="N505" s="357"/>
      <c r="O505" s="357"/>
      <c r="P505" s="357"/>
      <c r="Q505" s="358" t="s">
        <v>9207</v>
      </c>
      <c r="R505" s="357"/>
      <c r="S505" s="357"/>
      <c r="T505" s="377" t="str">
        <f t="shared" si="18"/>
        <v>SOA0043-061 - Open_Loan_Account_List_-_Valid_CIF.pdf</v>
      </c>
      <c r="U505" s="359"/>
      <c r="V505" s="359"/>
      <c r="W505" s="359"/>
      <c r="X505" s="359"/>
      <c r="Y505" s="359"/>
      <c r="Z505" s="364">
        <v>44988</v>
      </c>
      <c r="AA505" s="359" t="s">
        <v>254</v>
      </c>
    </row>
    <row r="506" spans="1:27">
      <c r="A506" s="769"/>
      <c r="B506" s="769"/>
      <c r="C506" s="361" t="s">
        <v>10542</v>
      </c>
      <c r="D506" s="361" t="s">
        <v>10543</v>
      </c>
      <c r="E506" s="361" t="s">
        <v>1732</v>
      </c>
      <c r="F506" s="361" t="s">
        <v>9205</v>
      </c>
      <c r="G506" s="769"/>
      <c r="H506" s="361" t="str">
        <f t="shared" si="19"/>
        <v>SOA0043-062 - DepositChangeDetails.pdf.txt</v>
      </c>
      <c r="I506" s="361"/>
      <c r="J506" s="361"/>
      <c r="K506" s="361"/>
      <c r="L506" s="361"/>
      <c r="M506" s="361"/>
      <c r="N506" s="361"/>
      <c r="O506" s="361"/>
      <c r="P506" s="361"/>
      <c r="Q506" s="358" t="s">
        <v>9207</v>
      </c>
      <c r="R506" s="361"/>
      <c r="S506" s="361"/>
      <c r="T506" s="377" t="str">
        <f t="shared" si="18"/>
        <v>SOA0043-062 - DepositChangeDetails.pdf</v>
      </c>
      <c r="U506" s="359"/>
      <c r="V506" s="359"/>
      <c r="W506" s="359"/>
      <c r="X506" s="359"/>
      <c r="Y506" s="359"/>
      <c r="Z506" s="364">
        <v>44988</v>
      </c>
      <c r="AA506" s="359" t="s">
        <v>254</v>
      </c>
    </row>
    <row r="507" spans="1:27">
      <c r="A507" s="769"/>
      <c r="B507" s="769"/>
      <c r="C507" s="357" t="s">
        <v>10544</v>
      </c>
      <c r="D507" s="357" t="s">
        <v>10545</v>
      </c>
      <c r="E507" s="357" t="s">
        <v>1732</v>
      </c>
      <c r="F507" s="357" t="s">
        <v>9205</v>
      </c>
      <c r="G507" s="769"/>
      <c r="H507" s="357" t="str">
        <f t="shared" si="19"/>
        <v>SOA0043-063 - OpenDepositAccount.pdf.txt</v>
      </c>
      <c r="I507" s="357"/>
      <c r="J507" s="357"/>
      <c r="K507" s="357"/>
      <c r="L507" s="357"/>
      <c r="M507" s="357"/>
      <c r="N507" s="357"/>
      <c r="O507" s="357"/>
      <c r="P507" s="357"/>
      <c r="Q507" s="358" t="s">
        <v>9207</v>
      </c>
      <c r="R507" s="357"/>
      <c r="S507" s="357"/>
      <c r="T507" s="377" t="str">
        <f t="shared" si="18"/>
        <v>SOA0043-063 - OpenDepositAccount.pdf</v>
      </c>
      <c r="U507" s="359"/>
      <c r="V507" s="359"/>
      <c r="W507" s="359"/>
      <c r="X507" s="359"/>
      <c r="Y507" s="359"/>
      <c r="Z507" s="364">
        <v>44988</v>
      </c>
      <c r="AA507" s="359" t="s">
        <v>254</v>
      </c>
    </row>
    <row r="508" spans="1:27">
      <c r="A508" s="769"/>
      <c r="B508" s="769"/>
      <c r="C508" s="361" t="s">
        <v>10546</v>
      </c>
      <c r="D508" s="361" t="s">
        <v>9275</v>
      </c>
      <c r="E508" s="361" t="s">
        <v>1732</v>
      </c>
      <c r="F508" s="361" t="s">
        <v>9205</v>
      </c>
      <c r="G508" s="769"/>
      <c r="H508" s="361" t="str">
        <f t="shared" si="19"/>
        <v>SOA0043-064 - GetCardByAccount.pdf.txt</v>
      </c>
      <c r="I508" s="361"/>
      <c r="J508" s="361"/>
      <c r="K508" s="361"/>
      <c r="L508" s="361"/>
      <c r="M508" s="361"/>
      <c r="N508" s="361"/>
      <c r="O508" s="361"/>
      <c r="P508" s="361"/>
      <c r="Q508" s="358" t="s">
        <v>9207</v>
      </c>
      <c r="R508" s="361"/>
      <c r="S508" s="361"/>
      <c r="T508" s="377" t="str">
        <f t="shared" si="18"/>
        <v>SOA0043-064 - GetCardByAccount.pdf</v>
      </c>
      <c r="U508" s="359"/>
      <c r="V508" s="359"/>
      <c r="W508" s="359"/>
      <c r="X508" s="359"/>
      <c r="Y508" s="359"/>
      <c r="Z508" s="364">
        <v>44988</v>
      </c>
      <c r="AA508" s="359" t="s">
        <v>254</v>
      </c>
    </row>
    <row r="509" spans="1:27">
      <c r="A509" s="769"/>
      <c r="B509" s="769"/>
      <c r="C509" s="357" t="s">
        <v>10547</v>
      </c>
      <c r="D509" s="357" t="s">
        <v>10548</v>
      </c>
      <c r="E509" s="357" t="s">
        <v>1732</v>
      </c>
      <c r="F509" s="357" t="s">
        <v>9205</v>
      </c>
      <c r="G509" s="769"/>
      <c r="H509" s="357" t="str">
        <f t="shared" si="19"/>
        <v>SOA0043-065 - Create_Deposit_Account - Pemindahan.pdf.txt</v>
      </c>
      <c r="I509" s="357"/>
      <c r="J509" s="357"/>
      <c r="K509" s="357"/>
      <c r="L509" s="357"/>
      <c r="M509" s="357"/>
      <c r="N509" s="357"/>
      <c r="O509" s="357"/>
      <c r="P509" s="357"/>
      <c r="Q509" s="358" t="s">
        <v>9207</v>
      </c>
      <c r="R509" s="357"/>
      <c r="S509" s="357"/>
      <c r="T509" s="377" t="str">
        <f t="shared" si="18"/>
        <v>SOA0043-065 - Create_Deposit_Account - Pemindahan.pdf</v>
      </c>
      <c r="U509" s="359"/>
      <c r="V509" s="359"/>
      <c r="W509" s="359"/>
      <c r="X509" s="359"/>
      <c r="Y509" s="359"/>
      <c r="Z509" s="364">
        <v>44988</v>
      </c>
      <c r="AA509" s="359" t="s">
        <v>254</v>
      </c>
    </row>
    <row r="510" spans="1:27">
      <c r="A510" s="769"/>
      <c r="B510" s="769"/>
      <c r="C510" s="361" t="s">
        <v>10549</v>
      </c>
      <c r="D510" s="361" t="s">
        <v>10550</v>
      </c>
      <c r="E510" s="361" t="s">
        <v>1732</v>
      </c>
      <c r="F510" s="361" t="s">
        <v>9205</v>
      </c>
      <c r="G510" s="769"/>
      <c r="H510" s="361" t="str">
        <f t="shared" si="19"/>
        <v>SOA0043-066 - Create_Deposit_Account - Reinvest.pdf.txt</v>
      </c>
      <c r="I510" s="361"/>
      <c r="J510" s="361"/>
      <c r="K510" s="361"/>
      <c r="L510" s="361"/>
      <c r="M510" s="361"/>
      <c r="N510" s="361"/>
      <c r="O510" s="361"/>
      <c r="P510" s="361"/>
      <c r="Q510" s="358" t="s">
        <v>9207</v>
      </c>
      <c r="R510" s="361"/>
      <c r="S510" s="361"/>
      <c r="T510" s="377" t="str">
        <f t="shared" si="18"/>
        <v>SOA0043-066 - Create_Deposit_Account - Reinvest.pdf</v>
      </c>
      <c r="U510" s="359"/>
      <c r="V510" s="359"/>
      <c r="W510" s="359"/>
      <c r="X510" s="359"/>
      <c r="Y510" s="359"/>
      <c r="Z510" s="364">
        <v>44988</v>
      </c>
      <c r="AA510" s="359" t="s">
        <v>254</v>
      </c>
    </row>
    <row r="511" spans="1:27">
      <c r="A511" s="769"/>
      <c r="B511" s="769"/>
      <c r="C511" s="357" t="s">
        <v>10551</v>
      </c>
      <c r="D511" s="357" t="s">
        <v>10552</v>
      </c>
      <c r="E511" s="357" t="s">
        <v>1732</v>
      </c>
      <c r="F511" s="357" t="s">
        <v>9205</v>
      </c>
      <c r="G511" s="769"/>
      <c r="H511" s="357" t="str">
        <f t="shared" si="19"/>
        <v>SOA0043-067 - Create_Deposit_Account - Test RequestNewiban.pdf.txt</v>
      </c>
      <c r="I511" s="357"/>
      <c r="J511" s="357"/>
      <c r="K511" s="357"/>
      <c r="L511" s="357"/>
      <c r="M511" s="357"/>
      <c r="N511" s="357"/>
      <c r="O511" s="357"/>
      <c r="P511" s="357"/>
      <c r="Q511" s="358" t="s">
        <v>9207</v>
      </c>
      <c r="R511" s="357"/>
      <c r="S511" s="357"/>
      <c r="T511" s="377" t="str">
        <f t="shared" si="18"/>
        <v>SOA0043-067 - Create_Deposit_Account - Test RequestNewiban.pdf</v>
      </c>
      <c r="U511" s="359"/>
      <c r="V511" s="359"/>
      <c r="W511" s="359"/>
      <c r="X511" s="359"/>
      <c r="Y511" s="359"/>
      <c r="Z511" s="364">
        <v>44988</v>
      </c>
      <c r="AA511" s="359" t="s">
        <v>254</v>
      </c>
    </row>
    <row r="512" spans="1:27">
      <c r="A512" s="769"/>
      <c r="B512" s="769"/>
      <c r="C512" s="361" t="s">
        <v>10553</v>
      </c>
      <c r="D512" s="361" t="s">
        <v>10554</v>
      </c>
      <c r="E512" s="361" t="s">
        <v>1732</v>
      </c>
      <c r="F512" s="361" t="s">
        <v>9205</v>
      </c>
      <c r="G512" s="769"/>
      <c r="H512" s="361" t="str">
        <f t="shared" si="19"/>
        <v>SOA0043-068 - Create_Deposit_Account - SOAP Request.pdf.txt</v>
      </c>
      <c r="I512" s="361"/>
      <c r="J512" s="361"/>
      <c r="K512" s="361"/>
      <c r="L512" s="361"/>
      <c r="M512" s="361"/>
      <c r="N512" s="361"/>
      <c r="O512" s="361"/>
      <c r="P512" s="361"/>
      <c r="Q512" s="358" t="s">
        <v>9207</v>
      </c>
      <c r="R512" s="361"/>
      <c r="S512" s="361"/>
      <c r="T512" s="377" t="str">
        <f t="shared" si="18"/>
        <v>SOA0043-068 - Create_Deposit_Account - SOAP Request.pdf</v>
      </c>
      <c r="U512" s="359"/>
      <c r="V512" s="359"/>
      <c r="W512" s="359"/>
      <c r="X512" s="359"/>
      <c r="Y512" s="359"/>
      <c r="Z512" s="364">
        <v>44988</v>
      </c>
      <c r="AA512" s="359" t="s">
        <v>254</v>
      </c>
    </row>
    <row r="513" spans="1:27">
      <c r="A513" s="769"/>
      <c r="B513" s="769"/>
      <c r="C513" s="357" t="s">
        <v>10555</v>
      </c>
      <c r="D513" s="357" t="s">
        <v>10556</v>
      </c>
      <c r="E513" s="357" t="s">
        <v>1732</v>
      </c>
      <c r="F513" s="357" t="s">
        <v>9205</v>
      </c>
      <c r="G513" s="769"/>
      <c r="H513" s="357" t="str">
        <f t="shared" si="19"/>
        <v>SOA0043-069 - Create_Deposit_Account - Taplus Muda.pdf.txt</v>
      </c>
      <c r="I513" s="357"/>
      <c r="J513" s="357"/>
      <c r="K513" s="357"/>
      <c r="L513" s="357"/>
      <c r="M513" s="357"/>
      <c r="N513" s="357"/>
      <c r="O513" s="357"/>
      <c r="P513" s="357"/>
      <c r="Q513" s="358" t="s">
        <v>9207</v>
      </c>
      <c r="R513" s="357"/>
      <c r="S513" s="357"/>
      <c r="T513" s="377" t="str">
        <f t="shared" si="18"/>
        <v>SOA0043-069 - Create_Deposit_Account - Taplus Muda.pdf</v>
      </c>
      <c r="U513" s="359"/>
      <c r="V513" s="359"/>
      <c r="W513" s="359"/>
      <c r="X513" s="359"/>
      <c r="Y513" s="359"/>
      <c r="Z513" s="364">
        <v>44988</v>
      </c>
      <c r="AA513" s="359" t="s">
        <v>254</v>
      </c>
    </row>
    <row r="514" spans="1:27">
      <c r="A514" s="769"/>
      <c r="B514" s="769"/>
      <c r="C514" s="361" t="s">
        <v>10557</v>
      </c>
      <c r="D514" s="361" t="s">
        <v>10558</v>
      </c>
      <c r="E514" s="361" t="s">
        <v>1732</v>
      </c>
      <c r="F514" s="361" t="s">
        <v>9205</v>
      </c>
      <c r="G514" s="769"/>
      <c r="H514" s="361" t="str">
        <f t="shared" si="19"/>
        <v>SOA0043-070 - AccountShortInquiry - Test Request.pdf.txt</v>
      </c>
      <c r="I514" s="361"/>
      <c r="J514" s="361"/>
      <c r="K514" s="361"/>
      <c r="L514" s="361"/>
      <c r="M514" s="361"/>
      <c r="N514" s="361"/>
      <c r="O514" s="361"/>
      <c r="P514" s="361"/>
      <c r="Q514" s="358" t="s">
        <v>9207</v>
      </c>
      <c r="R514" s="361"/>
      <c r="S514" s="361"/>
      <c r="T514" s="377" t="str">
        <f t="shared" si="18"/>
        <v>SOA0043-070 - AccountShortInquiry - Test Request.pdf</v>
      </c>
      <c r="U514" s="359"/>
      <c r="V514" s="359"/>
      <c r="W514" s="359"/>
      <c r="X514" s="359"/>
      <c r="Y514" s="359"/>
      <c r="Z514" s="364">
        <v>44988</v>
      </c>
      <c r="AA514" s="359" t="s">
        <v>254</v>
      </c>
    </row>
    <row r="515" spans="1:27">
      <c r="A515" s="769"/>
      <c r="B515" s="769"/>
      <c r="C515" s="357" t="s">
        <v>10559</v>
      </c>
      <c r="D515" s="357" t="s">
        <v>10560</v>
      </c>
      <c r="E515" s="357" t="s">
        <v>1732</v>
      </c>
      <c r="F515" s="357" t="s">
        <v>9205</v>
      </c>
      <c r="G515" s="769"/>
      <c r="H515" s="357" t="str">
        <f t="shared" si="19"/>
        <v>SOA0043-071 - AccountShortInquiry - BNI Direct.pdf.txt</v>
      </c>
      <c r="I515" s="357"/>
      <c r="J515" s="357"/>
      <c r="K515" s="357"/>
      <c r="L515" s="357"/>
      <c r="M515" s="357"/>
      <c r="N515" s="357"/>
      <c r="O515" s="357"/>
      <c r="P515" s="357"/>
      <c r="Q515" s="358" t="s">
        <v>9207</v>
      </c>
      <c r="R515" s="357"/>
      <c r="S515" s="357"/>
      <c r="T515" s="377" t="str">
        <f t="shared" si="18"/>
        <v>SOA0043-071 - AccountShortInquiry - BNI Direct.pdf</v>
      </c>
      <c r="U515" s="359"/>
      <c r="V515" s="359"/>
      <c r="W515" s="359"/>
      <c r="X515" s="359"/>
      <c r="Y515" s="359"/>
      <c r="Z515" s="364">
        <v>44988</v>
      </c>
      <c r="AA515" s="359" t="s">
        <v>254</v>
      </c>
    </row>
    <row r="516" spans="1:27">
      <c r="A516" s="769"/>
      <c r="B516" s="769"/>
      <c r="C516" s="361" t="s">
        <v>10561</v>
      </c>
      <c r="D516" s="361" t="s">
        <v>10562</v>
      </c>
      <c r="E516" s="361" t="s">
        <v>1732</v>
      </c>
      <c r="F516" s="361" t="s">
        <v>9205</v>
      </c>
      <c r="G516" s="769"/>
      <c r="H516" s="361" t="str">
        <f t="shared" si="19"/>
        <v>SOA0043-072 - AccountShortInquiry - Request Super.pdf.txt</v>
      </c>
      <c r="I516" s="361"/>
      <c r="J516" s="361"/>
      <c r="K516" s="361"/>
      <c r="L516" s="361"/>
      <c r="M516" s="361"/>
      <c r="N516" s="361"/>
      <c r="O516" s="361"/>
      <c r="P516" s="361"/>
      <c r="Q516" s="358" t="s">
        <v>9207</v>
      </c>
      <c r="R516" s="361"/>
      <c r="S516" s="361"/>
      <c r="T516" s="377" t="str">
        <f t="shared" si="18"/>
        <v>SOA0043-072 - AccountShortInquiry - Request Super.pdf</v>
      </c>
      <c r="U516" s="359"/>
      <c r="V516" s="359"/>
      <c r="W516" s="359"/>
      <c r="X516" s="359"/>
      <c r="Y516" s="359"/>
      <c r="Z516" s="364">
        <v>44988</v>
      </c>
      <c r="AA516" s="359" t="s">
        <v>254</v>
      </c>
    </row>
    <row r="517" spans="1:27">
      <c r="A517" s="769"/>
      <c r="B517" s="769"/>
      <c r="C517" s="357" t="s">
        <v>10563</v>
      </c>
      <c r="D517" s="357" t="s">
        <v>10564</v>
      </c>
      <c r="E517" s="357" t="s">
        <v>1732</v>
      </c>
      <c r="F517" s="357" t="s">
        <v>9205</v>
      </c>
      <c r="G517" s="769"/>
      <c r="H517" s="357" t="str">
        <f t="shared" si="19"/>
        <v>SOA0043-073 - AccountShortInquiry - TQC.pdf.txt</v>
      </c>
      <c r="I517" s="357"/>
      <c r="J517" s="357"/>
      <c r="K517" s="357"/>
      <c r="L517" s="357"/>
      <c r="M517" s="357"/>
      <c r="N517" s="357"/>
      <c r="O517" s="357"/>
      <c r="P517" s="357"/>
      <c r="Q517" s="358" t="s">
        <v>9207</v>
      </c>
      <c r="R517" s="357"/>
      <c r="S517" s="357"/>
      <c r="T517" s="377" t="str">
        <f t="shared" si="18"/>
        <v>SOA0043-073 - AccountShortInquiry - TQC.pdf</v>
      </c>
      <c r="U517" s="359"/>
      <c r="V517" s="359"/>
      <c r="W517" s="359"/>
      <c r="X517" s="359"/>
      <c r="Y517" s="359"/>
      <c r="Z517" s="364">
        <v>44988</v>
      </c>
      <c r="AA517" s="359" t="s">
        <v>254</v>
      </c>
    </row>
    <row r="518" spans="1:27">
      <c r="A518" s="769"/>
      <c r="B518" s="769"/>
      <c r="C518" s="361" t="s">
        <v>10565</v>
      </c>
      <c r="D518" s="361" t="s">
        <v>10566</v>
      </c>
      <c r="E518" s="361" t="s">
        <v>1732</v>
      </c>
      <c r="F518" s="361" t="s">
        <v>9205</v>
      </c>
      <c r="G518" s="769"/>
      <c r="H518" s="361" t="str">
        <f t="shared" si="19"/>
        <v>SOA0043-074 - AccountShortInquiry - System.pdf.txt</v>
      </c>
      <c r="I518" s="361"/>
      <c r="J518" s="361"/>
      <c r="K518" s="361"/>
      <c r="L518" s="361"/>
      <c r="M518" s="361"/>
      <c r="N518" s="361"/>
      <c r="O518" s="361"/>
      <c r="P518" s="361"/>
      <c r="Q518" s="358" t="s">
        <v>9207</v>
      </c>
      <c r="R518" s="361"/>
      <c r="S518" s="361"/>
      <c r="T518" s="377" t="str">
        <f t="shared" si="18"/>
        <v>SOA0043-074 - AccountShortInquiry - System.pdf</v>
      </c>
      <c r="U518" s="359"/>
      <c r="V518" s="359"/>
      <c r="W518" s="359"/>
      <c r="X518" s="359"/>
      <c r="Y518" s="359"/>
      <c r="Z518" s="364">
        <v>44988</v>
      </c>
      <c r="AA518" s="359" t="s">
        <v>254</v>
      </c>
    </row>
    <row r="519" spans="1:27">
      <c r="A519" s="769"/>
      <c r="B519" s="769"/>
      <c r="C519" s="357" t="s">
        <v>10567</v>
      </c>
      <c r="D519" s="357" t="s">
        <v>10568</v>
      </c>
      <c r="E519" s="357" t="s">
        <v>1732</v>
      </c>
      <c r="F519" s="357" t="s">
        <v>9205</v>
      </c>
      <c r="G519" s="769"/>
      <c r="H519" s="357" t="str">
        <f t="shared" si="19"/>
        <v>SOA0043-075 - HoldAmountRelease - Request Normal.pdf.txt</v>
      </c>
      <c r="I519" s="357"/>
      <c r="J519" s="357"/>
      <c r="K519" s="357"/>
      <c r="L519" s="357"/>
      <c r="M519" s="357"/>
      <c r="N519" s="357"/>
      <c r="O519" s="357"/>
      <c r="P519" s="357"/>
      <c r="Q519" s="358" t="s">
        <v>9207</v>
      </c>
      <c r="R519" s="357"/>
      <c r="S519" s="357"/>
      <c r="T519" s="377" t="str">
        <f t="shared" si="18"/>
        <v>SOA0043-075 - HoldAmountRelease - Request Normal.pdf</v>
      </c>
      <c r="U519" s="359"/>
      <c r="V519" s="359"/>
      <c r="W519" s="359"/>
      <c r="X519" s="359"/>
      <c r="Y519" s="359"/>
      <c r="Z519" s="364">
        <v>44988</v>
      </c>
      <c r="AA519" s="359" t="s">
        <v>254</v>
      </c>
    </row>
    <row r="520" spans="1:27">
      <c r="A520" s="769"/>
      <c r="B520" s="769"/>
      <c r="C520" s="361" t="s">
        <v>10569</v>
      </c>
      <c r="D520" s="361" t="s">
        <v>10570</v>
      </c>
      <c r="E520" s="361" t="s">
        <v>1732</v>
      </c>
      <c r="F520" s="361" t="s">
        <v>9205</v>
      </c>
      <c r="G520" s="769"/>
      <c r="H520" s="361" t="str">
        <f t="shared" si="19"/>
        <v>SOA0043-076 - Hold Amount Normal.pdf.txt</v>
      </c>
      <c r="I520" s="361"/>
      <c r="J520" s="361"/>
      <c r="K520" s="361"/>
      <c r="L520" s="361"/>
      <c r="M520" s="361"/>
      <c r="N520" s="361"/>
      <c r="O520" s="361"/>
      <c r="P520" s="361"/>
      <c r="Q520" s="358" t="s">
        <v>9207</v>
      </c>
      <c r="R520" s="361"/>
      <c r="S520" s="361"/>
      <c r="T520" s="377" t="str">
        <f t="shared" si="18"/>
        <v>SOA0043-076 - Hold Amount Normal.pdf</v>
      </c>
      <c r="U520" s="359"/>
      <c r="V520" s="359"/>
      <c r="W520" s="359"/>
      <c r="X520" s="359"/>
      <c r="Y520" s="359"/>
      <c r="Z520" s="364">
        <v>44988</v>
      </c>
      <c r="AA520" s="359" t="s">
        <v>254</v>
      </c>
    </row>
    <row r="521" spans="1:27">
      <c r="A521" s="769"/>
      <c r="B521" s="769"/>
      <c r="C521" s="357" t="s">
        <v>10571</v>
      </c>
      <c r="D521" s="357" t="s">
        <v>10572</v>
      </c>
      <c r="E521" s="357" t="s">
        <v>1732</v>
      </c>
      <c r="F521" s="357" t="s">
        <v>9205</v>
      </c>
      <c r="G521" s="769"/>
      <c r="H521" s="357" t="str">
        <f t="shared" si="19"/>
        <v>SOA0043-077 - Hold Amount Taspen Reff 7.pdf.txt</v>
      </c>
      <c r="I521" s="357"/>
      <c r="J521" s="357"/>
      <c r="K521" s="357"/>
      <c r="L521" s="357"/>
      <c r="M521" s="357"/>
      <c r="N521" s="357"/>
      <c r="O521" s="357"/>
      <c r="P521" s="357"/>
      <c r="Q521" s="358" t="s">
        <v>9207</v>
      </c>
      <c r="R521" s="357"/>
      <c r="S521" s="357"/>
      <c r="T521" s="377" t="str">
        <f t="shared" si="18"/>
        <v>SOA0043-077 - Hold Amount Taspen Reff 7.pdf</v>
      </c>
      <c r="U521" s="359"/>
      <c r="V521" s="359"/>
      <c r="W521" s="359"/>
      <c r="X521" s="359"/>
      <c r="Y521" s="359"/>
      <c r="Z521" s="364">
        <v>44988</v>
      </c>
      <c r="AA521" s="359" t="s">
        <v>254</v>
      </c>
    </row>
    <row r="522" spans="1:27">
      <c r="A522" s="769"/>
      <c r="B522" s="769"/>
      <c r="C522" s="361" t="s">
        <v>10573</v>
      </c>
      <c r="D522" s="361" t="s">
        <v>10574</v>
      </c>
      <c r="E522" s="361" t="s">
        <v>1732</v>
      </c>
      <c r="F522" s="361" t="s">
        <v>9205</v>
      </c>
      <c r="G522" s="769"/>
      <c r="H522" s="361" t="str">
        <f t="shared" si="19"/>
        <v>SOA0043-078 - ExchangeRateByType.pdf.txt</v>
      </c>
      <c r="I522" s="361"/>
      <c r="J522" s="361"/>
      <c r="K522" s="361"/>
      <c r="L522" s="361"/>
      <c r="M522" s="361"/>
      <c r="N522" s="361"/>
      <c r="O522" s="361"/>
      <c r="P522" s="361"/>
      <c r="Q522" s="358" t="s">
        <v>9207</v>
      </c>
      <c r="R522" s="361"/>
      <c r="S522" s="361"/>
      <c r="T522" s="377" t="str">
        <f t="shared" si="18"/>
        <v>SOA0043-078 - ExchangeRateByType.pdf</v>
      </c>
      <c r="U522" s="359"/>
      <c r="V522" s="359"/>
      <c r="W522" s="359"/>
      <c r="X522" s="359"/>
      <c r="Y522" s="359"/>
      <c r="Z522" s="364">
        <v>44988</v>
      </c>
      <c r="AA522" s="359" t="s">
        <v>254</v>
      </c>
    </row>
    <row r="523" spans="1:27">
      <c r="A523" s="769"/>
      <c r="B523" s="769"/>
      <c r="C523" s="357" t="s">
        <v>10575</v>
      </c>
      <c r="D523" s="357" t="s">
        <v>10576</v>
      </c>
      <c r="E523" s="357" t="s">
        <v>1732</v>
      </c>
      <c r="F523" s="357" t="s">
        <v>9205</v>
      </c>
      <c r="G523" s="769"/>
      <c r="H523" s="357" t="str">
        <f t="shared" si="19"/>
        <v>SOA0043-079 - CreateTopupAcc.pdf.txt</v>
      </c>
      <c r="I523" s="357"/>
      <c r="J523" s="357"/>
      <c r="K523" s="357"/>
      <c r="L523" s="357"/>
      <c r="M523" s="357"/>
      <c r="N523" s="357"/>
      <c r="O523" s="357"/>
      <c r="P523" s="357"/>
      <c r="Q523" s="358" t="s">
        <v>9207</v>
      </c>
      <c r="R523" s="357"/>
      <c r="S523" s="357"/>
      <c r="T523" s="377" t="str">
        <f t="shared" si="18"/>
        <v>SOA0043-079 - CreateTopupAcc.pdf</v>
      </c>
      <c r="U523" s="359"/>
      <c r="V523" s="359"/>
      <c r="W523" s="359"/>
      <c r="X523" s="359"/>
      <c r="Y523" s="359"/>
      <c r="Z523" s="364">
        <v>44988</v>
      </c>
      <c r="AA523" s="359" t="s">
        <v>254</v>
      </c>
    </row>
    <row r="524" spans="1:27">
      <c r="A524" s="769"/>
      <c r="B524" s="769"/>
      <c r="C524" s="361" t="s">
        <v>10577</v>
      </c>
      <c r="D524" s="361" t="s">
        <v>10578</v>
      </c>
      <c r="E524" s="361" t="s">
        <v>1732</v>
      </c>
      <c r="F524" s="361" t="s">
        <v>9205</v>
      </c>
      <c r="G524" s="769"/>
      <c r="H524" s="361" t="str">
        <f t="shared" si="19"/>
        <v>SOA0043-080 - CreateTopupAcc2.pdf.txt</v>
      </c>
      <c r="I524" s="361"/>
      <c r="J524" s="361"/>
      <c r="K524" s="361"/>
      <c r="L524" s="361"/>
      <c r="M524" s="361"/>
      <c r="N524" s="361"/>
      <c r="O524" s="361"/>
      <c r="P524" s="361"/>
      <c r="Q524" s="358" t="s">
        <v>9207</v>
      </c>
      <c r="R524" s="361"/>
      <c r="S524" s="361"/>
      <c r="T524" s="377" t="str">
        <f t="shared" si="18"/>
        <v>SOA0043-080 - CreateTopupAcc2.pdf</v>
      </c>
      <c r="U524" s="359"/>
      <c r="V524" s="359"/>
      <c r="W524" s="359"/>
      <c r="X524" s="359"/>
      <c r="Y524" s="359"/>
      <c r="Z524" s="364">
        <v>44988</v>
      </c>
      <c r="AA524" s="359" t="s">
        <v>254</v>
      </c>
    </row>
    <row r="525" spans="1:27">
      <c r="A525" s="769"/>
      <c r="B525" s="769"/>
      <c r="C525" s="357" t="s">
        <v>10579</v>
      </c>
      <c r="D525" s="357" t="s">
        <v>10580</v>
      </c>
      <c r="E525" s="357" t="s">
        <v>1732</v>
      </c>
      <c r="F525" s="357" t="s">
        <v>9205</v>
      </c>
      <c r="G525" s="769"/>
      <c r="H525" s="357" t="str">
        <f t="shared" si="19"/>
        <v>SOA0043-081 - CreateTopupAcc - SOAP Request.pdf.txt</v>
      </c>
      <c r="I525" s="357"/>
      <c r="J525" s="357"/>
      <c r="K525" s="357"/>
      <c r="L525" s="357"/>
      <c r="M525" s="357"/>
      <c r="N525" s="357"/>
      <c r="O525" s="357"/>
      <c r="P525" s="357"/>
      <c r="Q525" s="358" t="s">
        <v>9207</v>
      </c>
      <c r="R525" s="357"/>
      <c r="S525" s="357"/>
      <c r="T525" s="377" t="str">
        <f t="shared" si="18"/>
        <v>SOA0043-081 - CreateTopupAcc - SOAP Request.pdf</v>
      </c>
      <c r="U525" s="359"/>
      <c r="V525" s="359"/>
      <c r="W525" s="359"/>
      <c r="X525" s="359"/>
      <c r="Y525" s="359"/>
      <c r="Z525" s="364">
        <v>44991</v>
      </c>
      <c r="AA525" s="359" t="s">
        <v>254</v>
      </c>
    </row>
    <row r="526" spans="1:27">
      <c r="A526" s="769"/>
      <c r="B526" s="769"/>
      <c r="C526" s="361" t="s">
        <v>10581</v>
      </c>
      <c r="D526" s="361" t="s">
        <v>10582</v>
      </c>
      <c r="E526" s="361" t="s">
        <v>1732</v>
      </c>
      <c r="F526" s="361" t="s">
        <v>9205</v>
      </c>
      <c r="G526" s="769"/>
      <c r="H526" s="361" t="str">
        <f t="shared" si="19"/>
        <v>SOA0043-082 - BreakDepositAccount.pdf.txt</v>
      </c>
      <c r="I526" s="361"/>
      <c r="J526" s="361"/>
      <c r="K526" s="361"/>
      <c r="L526" s="361"/>
      <c r="M526" s="361"/>
      <c r="N526" s="361"/>
      <c r="O526" s="361"/>
      <c r="P526" s="361"/>
      <c r="Q526" s="358" t="s">
        <v>9207</v>
      </c>
      <c r="R526" s="361"/>
      <c r="S526" s="361"/>
      <c r="T526" s="377" t="str">
        <f t="shared" si="18"/>
        <v>SOA0043-082 - BreakDepositAccount.pdf</v>
      </c>
      <c r="U526" s="359"/>
      <c r="V526" s="359"/>
      <c r="W526" s="359"/>
      <c r="X526" s="359"/>
      <c r="Y526" s="359"/>
      <c r="Z526" s="364">
        <v>44991</v>
      </c>
      <c r="AA526" s="359" t="s">
        <v>254</v>
      </c>
    </row>
    <row r="527" spans="1:27">
      <c r="A527" s="769"/>
      <c r="B527" s="769"/>
      <c r="C527" s="357" t="s">
        <v>10583</v>
      </c>
      <c r="D527" s="357" t="s">
        <v>10584</v>
      </c>
      <c r="E527" s="357" t="s">
        <v>1732</v>
      </c>
      <c r="F527" s="357" t="s">
        <v>9205</v>
      </c>
      <c r="G527" s="769"/>
      <c r="H527" s="357" t="str">
        <f t="shared" si="19"/>
        <v>SOA0043-083 - BillingPayment-Normal.pdf.txt</v>
      </c>
      <c r="I527" s="357"/>
      <c r="J527" s="357"/>
      <c r="K527" s="357"/>
      <c r="L527" s="357"/>
      <c r="M527" s="357"/>
      <c r="N527" s="357"/>
      <c r="O527" s="357"/>
      <c r="P527" s="357"/>
      <c r="Q527" s="358" t="s">
        <v>9207</v>
      </c>
      <c r="R527" s="357"/>
      <c r="S527" s="357"/>
      <c r="T527" s="377" t="str">
        <f t="shared" si="18"/>
        <v>SOA0043-083 - BillingPayment-Normal.pdf</v>
      </c>
      <c r="U527" s="359"/>
      <c r="V527" s="359"/>
      <c r="W527" s="359"/>
      <c r="X527" s="359"/>
      <c r="Y527" s="359"/>
      <c r="Z527" s="364">
        <v>44991</v>
      </c>
      <c r="AA527" s="359" t="s">
        <v>254</v>
      </c>
    </row>
    <row r="528" spans="1:27">
      <c r="A528" s="769"/>
      <c r="B528" s="769"/>
      <c r="C528" s="361" t="s">
        <v>10585</v>
      </c>
      <c r="D528" s="361" t="s">
        <v>10586</v>
      </c>
      <c r="E528" s="361" t="s">
        <v>1732</v>
      </c>
      <c r="F528" s="361" t="s">
        <v>9205</v>
      </c>
      <c r="G528" s="769"/>
      <c r="H528" s="361" t="str">
        <f t="shared" si="19"/>
        <v>SOA0043-084 - BillingPayment – BPJSTK.pdf.txt</v>
      </c>
      <c r="I528" s="361"/>
      <c r="J528" s="361"/>
      <c r="K528" s="361"/>
      <c r="L528" s="361"/>
      <c r="M528" s="361"/>
      <c r="N528" s="361"/>
      <c r="O528" s="361"/>
      <c r="P528" s="361"/>
      <c r="Q528" s="358" t="s">
        <v>9207</v>
      </c>
      <c r="R528" s="361"/>
      <c r="S528" s="361"/>
      <c r="T528" s="377" t="str">
        <f t="shared" si="18"/>
        <v>SOA0043-084 - BillingPayment – BPJSTK.pdf</v>
      </c>
      <c r="U528" s="359"/>
      <c r="V528" s="359"/>
      <c r="W528" s="359"/>
      <c r="X528" s="359"/>
      <c r="Y528" s="359"/>
      <c r="Z528" s="364">
        <v>44991</v>
      </c>
      <c r="AA528" s="359" t="s">
        <v>254</v>
      </c>
    </row>
    <row r="529" spans="1:27">
      <c r="A529" s="769"/>
      <c r="B529" s="769"/>
      <c r="C529" s="357" t="s">
        <v>10587</v>
      </c>
      <c r="D529" s="357" t="s">
        <v>10588</v>
      </c>
      <c r="E529" s="357" t="s">
        <v>1732</v>
      </c>
      <c r="F529" s="357" t="s">
        <v>9205</v>
      </c>
      <c r="G529" s="769"/>
      <c r="H529" s="357" t="str">
        <f t="shared" si="19"/>
        <v>SOA0043-085 - BillingPayment PLNTeller.pdf.txt</v>
      </c>
      <c r="I529" s="357"/>
      <c r="J529" s="357"/>
      <c r="K529" s="357"/>
      <c r="L529" s="357"/>
      <c r="M529" s="357"/>
      <c r="N529" s="357"/>
      <c r="O529" s="357"/>
      <c r="P529" s="357"/>
      <c r="Q529" s="358" t="s">
        <v>9207</v>
      </c>
      <c r="R529" s="357"/>
      <c r="S529" s="357"/>
      <c r="T529" s="377" t="str">
        <f t="shared" si="18"/>
        <v>SOA0043-085 - BillingPayment PLNTeller.pdf</v>
      </c>
      <c r="U529" s="359"/>
      <c r="V529" s="359"/>
      <c r="W529" s="359"/>
      <c r="X529" s="359"/>
      <c r="Y529" s="359"/>
      <c r="Z529" s="364">
        <v>44991</v>
      </c>
      <c r="AA529" s="359" t="s">
        <v>254</v>
      </c>
    </row>
    <row r="530" spans="1:27">
      <c r="A530" s="769"/>
      <c r="B530" s="769"/>
      <c r="C530" s="361" t="s">
        <v>10589</v>
      </c>
      <c r="D530" s="361" t="s">
        <v>10590</v>
      </c>
      <c r="E530" s="361" t="s">
        <v>1732</v>
      </c>
      <c r="F530" s="361" t="s">
        <v>9205</v>
      </c>
      <c r="G530" s="769"/>
      <c r="H530" s="361" t="str">
        <f t="shared" si="19"/>
        <v>SOA0043-086 - BillingPaymentReversal - Normal.pdf.txt</v>
      </c>
      <c r="I530" s="361"/>
      <c r="J530" s="361"/>
      <c r="K530" s="361"/>
      <c r="L530" s="361"/>
      <c r="M530" s="361"/>
      <c r="N530" s="361"/>
      <c r="O530" s="361"/>
      <c r="P530" s="361"/>
      <c r="Q530" s="358" t="s">
        <v>9207</v>
      </c>
      <c r="R530" s="361"/>
      <c r="S530" s="361"/>
      <c r="T530" s="377" t="str">
        <f t="shared" si="18"/>
        <v>SOA0043-086 - BillingPaymentReversal - Normal.pdf</v>
      </c>
      <c r="U530" s="359"/>
      <c r="V530" s="359"/>
      <c r="W530" s="359"/>
      <c r="X530" s="359"/>
      <c r="Y530" s="359"/>
      <c r="Z530" s="364">
        <v>44991</v>
      </c>
      <c r="AA530" s="359" t="s">
        <v>254</v>
      </c>
    </row>
    <row r="531" spans="1:27">
      <c r="A531" s="769"/>
      <c r="B531" s="769"/>
      <c r="C531" s="357" t="s">
        <v>10591</v>
      </c>
      <c r="D531" s="357" t="s">
        <v>10592</v>
      </c>
      <c r="E531" s="357" t="s">
        <v>1732</v>
      </c>
      <c r="F531" s="357" t="s">
        <v>9205</v>
      </c>
      <c r="G531" s="769"/>
      <c r="H531" s="357" t="str">
        <f t="shared" si="19"/>
        <v>SOA0043-087 - BillingPaymentReversal – BPJSTK.pdf.txt</v>
      </c>
      <c r="I531" s="357"/>
      <c r="J531" s="357"/>
      <c r="K531" s="357"/>
      <c r="L531" s="357"/>
      <c r="M531" s="357"/>
      <c r="N531" s="357"/>
      <c r="O531" s="357"/>
      <c r="P531" s="357"/>
      <c r="Q531" s="358" t="s">
        <v>9207</v>
      </c>
      <c r="R531" s="357"/>
      <c r="S531" s="357"/>
      <c r="T531" s="377" t="str">
        <f t="shared" si="18"/>
        <v>SOA0043-087 - BillingPaymentReversal – BPJSTK.pdf</v>
      </c>
      <c r="U531" s="359"/>
      <c r="V531" s="359"/>
      <c r="W531" s="359"/>
      <c r="X531" s="359"/>
      <c r="Y531" s="359"/>
      <c r="Z531" s="364">
        <v>44991</v>
      </c>
      <c r="AA531" s="359" t="s">
        <v>254</v>
      </c>
    </row>
    <row r="532" spans="1:27">
      <c r="A532" s="769"/>
      <c r="B532" s="769"/>
      <c r="C532" s="361" t="s">
        <v>10593</v>
      </c>
      <c r="D532" s="361" t="s">
        <v>10594</v>
      </c>
      <c r="E532" s="361" t="s">
        <v>1732</v>
      </c>
      <c r="F532" s="361" t="s">
        <v>9205</v>
      </c>
      <c r="G532" s="769"/>
      <c r="H532" s="361" t="str">
        <f t="shared" si="19"/>
        <v>SOA0043-088 - BillingPaymentReversal – New.pdf.txt</v>
      </c>
      <c r="I532" s="361"/>
      <c r="J532" s="361"/>
      <c r="K532" s="361"/>
      <c r="L532" s="361"/>
      <c r="M532" s="361"/>
      <c r="N532" s="361"/>
      <c r="O532" s="361"/>
      <c r="P532" s="361"/>
      <c r="Q532" s="358" t="s">
        <v>9207</v>
      </c>
      <c r="R532" s="361"/>
      <c r="S532" s="361"/>
      <c r="T532" s="377" t="str">
        <f t="shared" si="18"/>
        <v>SOA0043-088 - BillingPaymentReversal – New.pdf</v>
      </c>
      <c r="U532" s="359"/>
      <c r="V532" s="359"/>
      <c r="W532" s="359"/>
      <c r="X532" s="359"/>
      <c r="Y532" s="359"/>
      <c r="Z532" s="364">
        <v>44991</v>
      </c>
      <c r="AA532" s="359" t="s">
        <v>254</v>
      </c>
    </row>
    <row r="533" spans="1:27">
      <c r="A533" s="769"/>
      <c r="B533" s="769"/>
      <c r="C533" s="357" t="s">
        <v>10595</v>
      </c>
      <c r="D533" s="357" t="s">
        <v>10596</v>
      </c>
      <c r="E533" s="357" t="s">
        <v>1732</v>
      </c>
      <c r="F533" s="357" t="s">
        <v>9205</v>
      </c>
      <c r="G533" s="769"/>
      <c r="H533" s="357" t="str">
        <f t="shared" si="19"/>
        <v>SOA0043-089 - CreateVirtualAccount - InquiryVa.pdf.txt</v>
      </c>
      <c r="I533" s="357"/>
      <c r="J533" s="357"/>
      <c r="K533" s="357"/>
      <c r="L533" s="357"/>
      <c r="M533" s="357"/>
      <c r="N533" s="357"/>
      <c r="O533" s="357"/>
      <c r="P533" s="357"/>
      <c r="Q533" s="358" t="s">
        <v>9207</v>
      </c>
      <c r="R533" s="357"/>
      <c r="S533" s="357"/>
      <c r="T533" s="377" t="str">
        <f t="shared" si="18"/>
        <v>SOA0043-089 - CreateVirtualAccount - InquiryVa.pdf</v>
      </c>
      <c r="U533" s="359"/>
      <c r="V533" s="359"/>
      <c r="W533" s="359"/>
      <c r="X533" s="359"/>
      <c r="Y533" s="359"/>
      <c r="Z533" s="364">
        <v>44991</v>
      </c>
      <c r="AA533" s="359" t="s">
        <v>254</v>
      </c>
    </row>
    <row r="534" spans="1:27">
      <c r="A534" s="769"/>
      <c r="B534" s="769"/>
      <c r="C534" s="361" t="s">
        <v>10597</v>
      </c>
      <c r="D534" s="361" t="s">
        <v>10598</v>
      </c>
      <c r="E534" s="361" t="s">
        <v>1732</v>
      </c>
      <c r="F534" s="361" t="s">
        <v>9205</v>
      </c>
      <c r="G534" s="769"/>
      <c r="H534" s="361" t="str">
        <f t="shared" si="19"/>
        <v>SOA0043-090 - CreateVirtualAccount - CreateVa.pdf.txt</v>
      </c>
      <c r="I534" s="361"/>
      <c r="J534" s="361"/>
      <c r="K534" s="361"/>
      <c r="L534" s="361"/>
      <c r="M534" s="361"/>
      <c r="N534" s="361"/>
      <c r="O534" s="361"/>
      <c r="P534" s="361"/>
      <c r="Q534" s="358" t="s">
        <v>9207</v>
      </c>
      <c r="R534" s="361"/>
      <c r="S534" s="361"/>
      <c r="T534" s="377" t="str">
        <f t="shared" si="18"/>
        <v>SOA0043-090 - CreateVirtualAccount - CreateVa.pdf</v>
      </c>
      <c r="U534" s="359"/>
      <c r="V534" s="359"/>
      <c r="W534" s="359"/>
      <c r="X534" s="359"/>
      <c r="Y534" s="359"/>
      <c r="Z534" s="364">
        <v>44991</v>
      </c>
      <c r="AA534" s="359" t="s">
        <v>254</v>
      </c>
    </row>
    <row r="535" spans="1:27">
      <c r="A535" s="769"/>
      <c r="B535" s="769"/>
      <c r="C535" s="357" t="s">
        <v>10599</v>
      </c>
      <c r="D535" s="357" t="s">
        <v>10600</v>
      </c>
      <c r="E535" s="357" t="s">
        <v>1732</v>
      </c>
      <c r="F535" s="357" t="s">
        <v>9205</v>
      </c>
      <c r="G535" s="769"/>
      <c r="H535" s="357" t="str">
        <f t="shared" si="19"/>
        <v>SOA0043-091 - CreateVirtualAccount - UpdateVA.pdf.txt</v>
      </c>
      <c r="I535" s="357"/>
      <c r="J535" s="357"/>
      <c r="K535" s="357"/>
      <c r="L535" s="357"/>
      <c r="M535" s="357"/>
      <c r="N535" s="357"/>
      <c r="O535" s="357"/>
      <c r="P535" s="357"/>
      <c r="Q535" s="358" t="s">
        <v>9207</v>
      </c>
      <c r="R535" s="357"/>
      <c r="S535" s="357"/>
      <c r="T535" s="377" t="str">
        <f t="shared" si="18"/>
        <v>SOA0043-091 - CreateVirtualAccount - UpdateVA.pdf</v>
      </c>
      <c r="U535" s="359"/>
      <c r="V535" s="359"/>
      <c r="W535" s="359"/>
      <c r="X535" s="359"/>
      <c r="Y535" s="359"/>
      <c r="Z535" s="364">
        <v>44991</v>
      </c>
      <c r="AA535" s="359" t="s">
        <v>254</v>
      </c>
    </row>
    <row r="536" spans="1:27">
      <c r="A536" s="769"/>
      <c r="B536" s="769"/>
      <c r="C536" s="361" t="s">
        <v>10601</v>
      </c>
      <c r="D536" s="361" t="s">
        <v>10602</v>
      </c>
      <c r="E536" s="361" t="s">
        <v>1732</v>
      </c>
      <c r="F536" s="361" t="s">
        <v>9205</v>
      </c>
      <c r="G536" s="769"/>
      <c r="H536" s="361" t="str">
        <f t="shared" si="19"/>
        <v>SOA0043-092 - CreateVirtualAccount - GetVaName.pdf.txt</v>
      </c>
      <c r="I536" s="361"/>
      <c r="J536" s="361"/>
      <c r="K536" s="361"/>
      <c r="L536" s="361"/>
      <c r="M536" s="361"/>
      <c r="N536" s="361"/>
      <c r="O536" s="361"/>
      <c r="P536" s="361"/>
      <c r="Q536" s="358" t="s">
        <v>9207</v>
      </c>
      <c r="R536" s="361"/>
      <c r="S536" s="361"/>
      <c r="T536" s="377" t="str">
        <f t="shared" si="18"/>
        <v>SOA0043-092 - CreateVirtualAccount - GetVaName.pdf</v>
      </c>
      <c r="U536" s="359"/>
      <c r="V536" s="359"/>
      <c r="W536" s="359"/>
      <c r="X536" s="359"/>
      <c r="Y536" s="359"/>
      <c r="Z536" s="364">
        <v>44991</v>
      </c>
      <c r="AA536" s="359" t="s">
        <v>254</v>
      </c>
    </row>
    <row r="537" spans="1:27">
      <c r="A537" s="769"/>
      <c r="B537" s="769"/>
      <c r="C537" s="357" t="s">
        <v>10603</v>
      </c>
      <c r="D537" s="357" t="s">
        <v>10598</v>
      </c>
      <c r="E537" s="357" t="s">
        <v>1732</v>
      </c>
      <c r="F537" s="357" t="s">
        <v>9205</v>
      </c>
      <c r="G537" s="769"/>
      <c r="H537" s="357" t="str">
        <f t="shared" si="19"/>
        <v>SOA0043-093 - CreateVirtualAccount - CreateVa.pdf.txt</v>
      </c>
      <c r="I537" s="357"/>
      <c r="J537" s="357"/>
      <c r="K537" s="357"/>
      <c r="L537" s="357"/>
      <c r="M537" s="357"/>
      <c r="N537" s="357"/>
      <c r="O537" s="357"/>
      <c r="P537" s="357"/>
      <c r="Q537" s="358" t="s">
        <v>9207</v>
      </c>
      <c r="R537" s="357"/>
      <c r="S537" s="357"/>
      <c r="T537" s="377" t="str">
        <f t="shared" si="18"/>
        <v>SOA0043-093 - CreateVirtualAccount - CreateVa.pdf</v>
      </c>
      <c r="U537" s="359"/>
      <c r="V537" s="359"/>
      <c r="W537" s="359"/>
      <c r="X537" s="359"/>
      <c r="Y537" s="359"/>
      <c r="Z537" s="364">
        <v>44991</v>
      </c>
      <c r="AA537" s="359" t="s">
        <v>254</v>
      </c>
    </row>
    <row r="538" spans="1:27">
      <c r="A538" s="769"/>
      <c r="B538" s="769"/>
      <c r="C538" s="361" t="s">
        <v>10604</v>
      </c>
      <c r="D538" s="361" t="s">
        <v>10605</v>
      </c>
      <c r="E538" s="361" t="s">
        <v>1732</v>
      </c>
      <c r="F538" s="361" t="s">
        <v>9205</v>
      </c>
      <c r="G538" s="769"/>
      <c r="H538" s="361" t="str">
        <f t="shared" si="19"/>
        <v>SOA0043-094 - GLTransaction - GLTarikTunai.pdf.txt</v>
      </c>
      <c r="I538" s="361"/>
      <c r="J538" s="361"/>
      <c r="K538" s="361"/>
      <c r="L538" s="361"/>
      <c r="M538" s="361"/>
      <c r="N538" s="361"/>
      <c r="O538" s="361"/>
      <c r="P538" s="361"/>
      <c r="Q538" s="358" t="s">
        <v>9207</v>
      </c>
      <c r="R538" s="361"/>
      <c r="S538" s="361"/>
      <c r="T538" s="377" t="str">
        <f t="shared" si="18"/>
        <v>SOA0043-094 - GLTransaction - GLTarikTunai.pdf</v>
      </c>
      <c r="U538" s="359"/>
      <c r="V538" s="359"/>
      <c r="W538" s="359"/>
      <c r="X538" s="359"/>
      <c r="Y538" s="359"/>
      <c r="Z538" s="364">
        <v>44991</v>
      </c>
      <c r="AA538" s="359" t="s">
        <v>254</v>
      </c>
    </row>
    <row r="539" spans="1:27">
      <c r="A539" s="769"/>
      <c r="B539" s="769"/>
      <c r="C539" s="357" t="s">
        <v>10606</v>
      </c>
      <c r="D539" s="357" t="s">
        <v>10607</v>
      </c>
      <c r="E539" s="357" t="s">
        <v>1732</v>
      </c>
      <c r="F539" s="357" t="s">
        <v>9205</v>
      </c>
      <c r="G539" s="769"/>
      <c r="H539" s="357" t="str">
        <f t="shared" si="19"/>
        <v>SOA0043-095 - GLTransaction - GLTransferGL.pdf.txt</v>
      </c>
      <c r="I539" s="357"/>
      <c r="J539" s="357"/>
      <c r="K539" s="357"/>
      <c r="L539" s="357"/>
      <c r="M539" s="357"/>
      <c r="N539" s="357"/>
      <c r="O539" s="357"/>
      <c r="P539" s="357"/>
      <c r="Q539" s="358" t="s">
        <v>9207</v>
      </c>
      <c r="R539" s="357"/>
      <c r="S539" s="357"/>
      <c r="T539" s="377" t="str">
        <f t="shared" si="18"/>
        <v>SOA0043-095 - GLTransaction - GLTransferGL.pdf</v>
      </c>
      <c r="U539" s="359"/>
      <c r="V539" s="359"/>
      <c r="W539" s="359"/>
      <c r="X539" s="359"/>
      <c r="Y539" s="359"/>
      <c r="Z539" s="364">
        <v>44991</v>
      </c>
      <c r="AA539" s="359" t="s">
        <v>254</v>
      </c>
    </row>
    <row r="540" spans="1:27">
      <c r="A540" s="769"/>
      <c r="B540" s="769"/>
      <c r="C540" s="361" t="s">
        <v>10608</v>
      </c>
      <c r="D540" s="361" t="s">
        <v>10609</v>
      </c>
      <c r="E540" s="361" t="s">
        <v>1732</v>
      </c>
      <c r="F540" s="361" t="s">
        <v>9205</v>
      </c>
      <c r="G540" s="769"/>
      <c r="H540" s="361" t="str">
        <f t="shared" si="19"/>
        <v>SOA0043-096 - GLTransaction - GLTransferGL2.pdf.txt</v>
      </c>
      <c r="I540" s="361"/>
      <c r="J540" s="361"/>
      <c r="K540" s="361"/>
      <c r="L540" s="361"/>
      <c r="M540" s="361"/>
      <c r="N540" s="361"/>
      <c r="O540" s="361"/>
      <c r="P540" s="361"/>
      <c r="Q540" s="358" t="s">
        <v>9207</v>
      </c>
      <c r="R540" s="361"/>
      <c r="S540" s="361"/>
      <c r="T540" s="377" t="str">
        <f t="shared" si="18"/>
        <v>SOA0043-096 - GLTransaction - GLTransferGL2.pdf</v>
      </c>
      <c r="U540" s="359"/>
      <c r="V540" s="359"/>
      <c r="W540" s="359"/>
      <c r="X540" s="359"/>
      <c r="Y540" s="359"/>
      <c r="Z540" s="364">
        <v>44991</v>
      </c>
      <c r="AA540" s="359" t="s">
        <v>254</v>
      </c>
    </row>
    <row r="541" spans="1:27">
      <c r="A541" s="769"/>
      <c r="B541" s="769"/>
      <c r="C541" s="357" t="s">
        <v>10610</v>
      </c>
      <c r="D541" s="357" t="s">
        <v>10611</v>
      </c>
      <c r="E541" s="357" t="s">
        <v>1732</v>
      </c>
      <c r="F541" s="357" t="s">
        <v>9205</v>
      </c>
      <c r="G541" s="769"/>
      <c r="H541" s="357" t="str">
        <f t="shared" si="19"/>
        <v>SOA0043-097 - GLTransaction - GLTransferDeposit.pdf.txt</v>
      </c>
      <c r="I541" s="357"/>
      <c r="J541" s="357"/>
      <c r="K541" s="357"/>
      <c r="L541" s="357"/>
      <c r="M541" s="357"/>
      <c r="N541" s="357"/>
      <c r="O541" s="357"/>
      <c r="P541" s="357"/>
      <c r="Q541" s="358" t="s">
        <v>9207</v>
      </c>
      <c r="R541" s="357"/>
      <c r="S541" s="357"/>
      <c r="T541" s="377" t="str">
        <f t="shared" si="18"/>
        <v>SOA0043-097 - GLTransaction - GLTransferDeposit.pdf</v>
      </c>
      <c r="U541" s="359"/>
      <c r="V541" s="359"/>
      <c r="W541" s="359"/>
      <c r="X541" s="359"/>
      <c r="Y541" s="359"/>
      <c r="Z541" s="364">
        <v>44991</v>
      </c>
      <c r="AA541" s="359" t="s">
        <v>254</v>
      </c>
    </row>
    <row r="542" spans="1:27">
      <c r="A542" s="769"/>
      <c r="B542" s="769"/>
      <c r="C542" s="361" t="s">
        <v>10612</v>
      </c>
      <c r="D542" s="361" t="s">
        <v>10613</v>
      </c>
      <c r="E542" s="361" t="s">
        <v>1732</v>
      </c>
      <c r="F542" s="361" t="s">
        <v>9205</v>
      </c>
      <c r="G542" s="769"/>
      <c r="H542" s="361" t="str">
        <f t="shared" si="19"/>
        <v>SOA0043-098 - GLTransaction - GLTransferGL3.pdf.txt</v>
      </c>
      <c r="I542" s="361"/>
      <c r="J542" s="361"/>
      <c r="K542" s="361"/>
      <c r="L542" s="361"/>
      <c r="M542" s="361"/>
      <c r="N542" s="361"/>
      <c r="O542" s="361"/>
      <c r="P542" s="361"/>
      <c r="Q542" s="358" t="s">
        <v>9207</v>
      </c>
      <c r="R542" s="361"/>
      <c r="S542" s="361"/>
      <c r="T542" s="377" t="str">
        <f t="shared" si="18"/>
        <v>SOA0043-098 - GLTransaction - GLTransferGL3.pdf</v>
      </c>
      <c r="U542" s="359"/>
      <c r="V542" s="359"/>
      <c r="W542" s="359"/>
      <c r="X542" s="359"/>
      <c r="Y542" s="359"/>
      <c r="Z542" s="364">
        <v>44991</v>
      </c>
      <c r="AA542" s="359" t="s">
        <v>254</v>
      </c>
    </row>
    <row r="543" spans="1:27">
      <c r="A543" s="769"/>
      <c r="B543" s="769"/>
      <c r="C543" s="357" t="s">
        <v>10614</v>
      </c>
      <c r="D543" s="357" t="s">
        <v>10615</v>
      </c>
      <c r="E543" s="357" t="s">
        <v>1732</v>
      </c>
      <c r="F543" s="357" t="s">
        <v>9205</v>
      </c>
      <c r="G543" s="769"/>
      <c r="H543" s="357" t="str">
        <f t="shared" si="19"/>
        <v>SOA0043-099 - GLTransaction - GLTransferGL_PSAK73.pdf.txt</v>
      </c>
      <c r="I543" s="357"/>
      <c r="J543" s="357"/>
      <c r="K543" s="357"/>
      <c r="L543" s="357"/>
      <c r="M543" s="357"/>
      <c r="N543" s="357"/>
      <c r="O543" s="357"/>
      <c r="P543" s="357"/>
      <c r="Q543" s="358" t="s">
        <v>9207</v>
      </c>
      <c r="R543" s="357"/>
      <c r="S543" s="357"/>
      <c r="T543" s="377" t="str">
        <f t="shared" si="18"/>
        <v>SOA0043-099 - GLTransaction - GLTransferGL_PSAK73.pdf</v>
      </c>
      <c r="U543" s="359"/>
      <c r="V543" s="359"/>
      <c r="W543" s="359"/>
      <c r="X543" s="359"/>
      <c r="Y543" s="359"/>
      <c r="Z543" s="364">
        <v>44991</v>
      </c>
      <c r="AA543" s="359" t="s">
        <v>254</v>
      </c>
    </row>
    <row r="544" spans="1:27">
      <c r="A544" s="769"/>
      <c r="B544" s="769"/>
      <c r="C544" s="361" t="s">
        <v>10616</v>
      </c>
      <c r="D544" s="361" t="s">
        <v>10617</v>
      </c>
      <c r="E544" s="361" t="s">
        <v>1732</v>
      </c>
      <c r="F544" s="361" t="s">
        <v>9205</v>
      </c>
      <c r="G544" s="769"/>
      <c r="H544" s="361" t="str">
        <f t="shared" si="19"/>
        <v>SOA0043-100 - UpdateCifDetails – ELO.pdf.txt</v>
      </c>
      <c r="I544" s="361"/>
      <c r="J544" s="361"/>
      <c r="K544" s="361"/>
      <c r="L544" s="361"/>
      <c r="M544" s="361"/>
      <c r="N544" s="361"/>
      <c r="O544" s="361"/>
      <c r="P544" s="361"/>
      <c r="Q544" s="358" t="s">
        <v>9207</v>
      </c>
      <c r="R544" s="361"/>
      <c r="S544" s="361"/>
      <c r="T544" s="377" t="str">
        <f t="shared" si="18"/>
        <v>SOA0043-100 - UpdateCifDetails – ELO.pdf</v>
      </c>
      <c r="U544" s="359"/>
      <c r="V544" s="359"/>
      <c r="W544" s="359"/>
      <c r="X544" s="359"/>
      <c r="Y544" s="359"/>
      <c r="Z544" s="364">
        <v>44991</v>
      </c>
      <c r="AA544" s="359" t="s">
        <v>254</v>
      </c>
    </row>
    <row r="545" spans="1:27">
      <c r="A545" s="769"/>
      <c r="B545" s="769"/>
      <c r="C545" s="357" t="s">
        <v>10618</v>
      </c>
      <c r="D545" s="357" t="s">
        <v>10619</v>
      </c>
      <c r="E545" s="357" t="s">
        <v>1732</v>
      </c>
      <c r="F545" s="357" t="s">
        <v>9205</v>
      </c>
      <c r="G545" s="769"/>
      <c r="H545" s="357" t="str">
        <f t="shared" si="19"/>
        <v>SOA0043-101 - HoldDebitCard.pdf.txt</v>
      </c>
      <c r="I545" s="357"/>
      <c r="J545" s="357"/>
      <c r="K545" s="357"/>
      <c r="L545" s="357"/>
      <c r="M545" s="357"/>
      <c r="N545" s="357"/>
      <c r="O545" s="357"/>
      <c r="P545" s="357"/>
      <c r="Q545" s="358" t="s">
        <v>9207</v>
      </c>
      <c r="R545" s="357"/>
      <c r="S545" s="357"/>
      <c r="T545" s="377" t="str">
        <f t="shared" si="18"/>
        <v>SOA0043-101 - HoldDebitCard.pdf</v>
      </c>
      <c r="U545" s="359"/>
      <c r="V545" s="359"/>
      <c r="W545" s="359"/>
      <c r="X545" s="359"/>
      <c r="Y545" s="359"/>
      <c r="Z545" s="364">
        <v>44992</v>
      </c>
      <c r="AA545" s="359" t="s">
        <v>254</v>
      </c>
    </row>
    <row r="546" spans="1:27">
      <c r="A546" s="769"/>
      <c r="B546" s="769"/>
      <c r="C546" s="361" t="s">
        <v>10620</v>
      </c>
      <c r="D546" s="361" t="s">
        <v>10621</v>
      </c>
      <c r="E546" s="361" t="s">
        <v>1732</v>
      </c>
      <c r="F546" s="361" t="s">
        <v>9205</v>
      </c>
      <c r="G546" s="769"/>
      <c r="H546" s="361" t="str">
        <f t="shared" si="19"/>
        <v>SOA0043-102 - CashDepositIDR.pdf.txt</v>
      </c>
      <c r="I546" s="361"/>
      <c r="J546" s="361"/>
      <c r="K546" s="361"/>
      <c r="L546" s="361"/>
      <c r="M546" s="361"/>
      <c r="N546" s="361"/>
      <c r="O546" s="361"/>
      <c r="P546" s="361"/>
      <c r="Q546" s="358" t="s">
        <v>9207</v>
      </c>
      <c r="R546" s="361"/>
      <c r="S546" s="361"/>
      <c r="T546" s="377" t="str">
        <f t="shared" si="18"/>
        <v>SOA0043-102 - CashDepositIDR.pdf</v>
      </c>
      <c r="U546" s="359"/>
      <c r="V546" s="359"/>
      <c r="W546" s="359"/>
      <c r="X546" s="359"/>
      <c r="Y546" s="359"/>
      <c r="Z546" s="364">
        <v>44992</v>
      </c>
      <c r="AA546" s="359" t="s">
        <v>254</v>
      </c>
    </row>
    <row r="547" spans="1:27">
      <c r="A547" s="769"/>
      <c r="B547" s="769"/>
      <c r="C547" s="357" t="s">
        <v>10622</v>
      </c>
      <c r="D547" s="357" t="s">
        <v>10623</v>
      </c>
      <c r="E547" s="357" t="s">
        <v>1732</v>
      </c>
      <c r="F547" s="357" t="s">
        <v>9205</v>
      </c>
      <c r="G547" s="769"/>
      <c r="H547" s="357" t="str">
        <f t="shared" si="19"/>
        <v>SOA0043-103 - GetLinkedDebitCard.pdf.txt</v>
      </c>
      <c r="I547" s="357"/>
      <c r="J547" s="357"/>
      <c r="K547" s="357"/>
      <c r="L547" s="357"/>
      <c r="M547" s="357"/>
      <c r="N547" s="357"/>
      <c r="O547" s="357"/>
      <c r="P547" s="357"/>
      <c r="Q547" s="358" t="s">
        <v>9207</v>
      </c>
      <c r="R547" s="357"/>
      <c r="S547" s="357"/>
      <c r="T547" s="377" t="str">
        <f t="shared" si="18"/>
        <v>SOA0043-103 - GetLinkedDebitCard.pdf</v>
      </c>
      <c r="U547" s="359"/>
      <c r="V547" s="359"/>
      <c r="W547" s="359"/>
      <c r="X547" s="359"/>
      <c r="Y547" s="359"/>
      <c r="Z547" s="364">
        <v>44992</v>
      </c>
      <c r="AA547" s="359" t="s">
        <v>254</v>
      </c>
    </row>
    <row r="548" spans="1:27">
      <c r="A548" s="769"/>
      <c r="B548" s="769"/>
      <c r="C548" s="361" t="s">
        <v>10624</v>
      </c>
      <c r="D548" s="361" t="s">
        <v>10625</v>
      </c>
      <c r="E548" s="361" t="s">
        <v>1732</v>
      </c>
      <c r="F548" s="361" t="s">
        <v>9205</v>
      </c>
      <c r="G548" s="769"/>
      <c r="H548" s="361" t="str">
        <f t="shared" si="19"/>
        <v>SOA0043-104 - GetLinkedDebitCard_TQC.pdf.txt</v>
      </c>
      <c r="I548" s="361"/>
      <c r="J548" s="361"/>
      <c r="K548" s="361"/>
      <c r="L548" s="361"/>
      <c r="M548" s="361"/>
      <c r="N548" s="361"/>
      <c r="O548" s="361"/>
      <c r="P548" s="361"/>
      <c r="Q548" s="358" t="s">
        <v>9207</v>
      </c>
      <c r="R548" s="361"/>
      <c r="S548" s="361"/>
      <c r="T548" s="377" t="str">
        <f t="shared" si="18"/>
        <v>SOA0043-104 - GetLinkedDebitCard_TQC.pdf</v>
      </c>
      <c r="U548" s="359"/>
      <c r="V548" s="359"/>
      <c r="W548" s="359"/>
      <c r="X548" s="359"/>
      <c r="Y548" s="359"/>
      <c r="Z548" s="364">
        <v>44992</v>
      </c>
      <c r="AA548" s="359" t="s">
        <v>254</v>
      </c>
    </row>
    <row r="549" spans="1:27">
      <c r="A549" s="769"/>
      <c r="B549" s="769"/>
      <c r="C549" s="357" t="s">
        <v>10626</v>
      </c>
      <c r="D549" s="357" t="s">
        <v>10627</v>
      </c>
      <c r="E549" s="357" t="s">
        <v>1732</v>
      </c>
      <c r="F549" s="357" t="s">
        <v>9205</v>
      </c>
      <c r="G549" s="769"/>
      <c r="H549" s="357" t="str">
        <f t="shared" si="19"/>
        <v>SOA0043-105 - XRateParamInquiry.pdf.txt</v>
      </c>
      <c r="I549" s="357"/>
      <c r="J549" s="357"/>
      <c r="K549" s="357"/>
      <c r="L549" s="357"/>
      <c r="M549" s="357"/>
      <c r="N549" s="357"/>
      <c r="O549" s="357"/>
      <c r="P549" s="357"/>
      <c r="Q549" s="358" t="s">
        <v>9207</v>
      </c>
      <c r="R549" s="357"/>
      <c r="S549" s="357"/>
      <c r="T549" s="377" t="str">
        <f t="shared" si="18"/>
        <v>SOA0043-105 - XRateParamInquiry.pdf</v>
      </c>
      <c r="U549" s="359"/>
      <c r="V549" s="359"/>
      <c r="W549" s="359"/>
      <c r="X549" s="359"/>
      <c r="Y549" s="359"/>
      <c r="Z549" s="364">
        <v>44992</v>
      </c>
      <c r="AA549" s="359" t="s">
        <v>254</v>
      </c>
    </row>
    <row r="550" spans="1:27">
      <c r="A550" s="769"/>
      <c r="B550" s="769"/>
      <c r="C550" s="361" t="s">
        <v>10628</v>
      </c>
      <c r="D550" s="361" t="s">
        <v>10629</v>
      </c>
      <c r="E550" s="361" t="s">
        <v>1732</v>
      </c>
      <c r="F550" s="361" t="s">
        <v>9205</v>
      </c>
      <c r="G550" s="769"/>
      <c r="H550" s="361" t="str">
        <f t="shared" si="19"/>
        <v>SOA0043-106 - InquiryTrxVirtualAccount.pdf.txt</v>
      </c>
      <c r="I550" s="361"/>
      <c r="J550" s="361"/>
      <c r="K550" s="361"/>
      <c r="L550" s="361"/>
      <c r="M550" s="361"/>
      <c r="N550" s="361"/>
      <c r="O550" s="361"/>
      <c r="P550" s="361"/>
      <c r="Q550" s="358" t="s">
        <v>9207</v>
      </c>
      <c r="R550" s="361"/>
      <c r="S550" s="361"/>
      <c r="T550" s="377" t="str">
        <f t="shared" si="18"/>
        <v>SOA0043-106 - InquiryTrxVirtualAccount.pdf</v>
      </c>
      <c r="U550" s="359"/>
      <c r="V550" s="359"/>
      <c r="W550" s="359"/>
      <c r="X550" s="359"/>
      <c r="Y550" s="359"/>
      <c r="Z550" s="364">
        <v>44992</v>
      </c>
      <c r="AA550" s="359" t="s">
        <v>254</v>
      </c>
    </row>
    <row r="551" spans="1:27">
      <c r="A551" s="769"/>
      <c r="B551" s="769"/>
      <c r="C551" s="357" t="s">
        <v>10630</v>
      </c>
      <c r="D551" s="357" t="s">
        <v>10631</v>
      </c>
      <c r="E551" s="357" t="s">
        <v>1732</v>
      </c>
      <c r="F551" s="357" t="s">
        <v>9205</v>
      </c>
      <c r="G551" s="769"/>
      <c r="H551" s="357" t="str">
        <f t="shared" si="19"/>
        <v>SOA0043-107 - CashWithdrawal.pdf.txt</v>
      </c>
      <c r="I551" s="357"/>
      <c r="J551" s="357"/>
      <c r="K551" s="357"/>
      <c r="L551" s="357"/>
      <c r="M551" s="357"/>
      <c r="N551" s="357"/>
      <c r="O551" s="357"/>
      <c r="P551" s="357"/>
      <c r="Q551" s="358" t="s">
        <v>9207</v>
      </c>
      <c r="R551" s="357"/>
      <c r="S551" s="357"/>
      <c r="T551" s="377" t="str">
        <f t="shared" si="18"/>
        <v>SOA0043-107 - CashWithdrawal.pdf</v>
      </c>
      <c r="U551" s="359"/>
      <c r="V551" s="359"/>
      <c r="W551" s="359"/>
      <c r="X551" s="359"/>
      <c r="Y551" s="359"/>
      <c r="Z551" s="364">
        <v>44992</v>
      </c>
      <c r="AA551" s="359" t="s">
        <v>254</v>
      </c>
    </row>
    <row r="552" spans="1:27">
      <c r="A552" s="769"/>
      <c r="B552" s="769"/>
      <c r="C552" s="361" t="s">
        <v>10632</v>
      </c>
      <c r="D552" s="361" t="s">
        <v>10633</v>
      </c>
      <c r="E552" s="361" t="s">
        <v>1732</v>
      </c>
      <c r="F552" s="361" t="s">
        <v>9205</v>
      </c>
      <c r="G552" s="769"/>
      <c r="H552" s="361" t="str">
        <f t="shared" si="19"/>
        <v>.txt</v>
      </c>
      <c r="I552" s="361"/>
      <c r="J552" s="361"/>
      <c r="K552" s="361"/>
      <c r="L552" s="361"/>
      <c r="M552" s="361"/>
      <c r="N552" s="361"/>
      <c r="O552" s="361"/>
      <c r="P552" s="361"/>
      <c r="Q552" s="383" t="s">
        <v>10634</v>
      </c>
      <c r="R552" s="361" t="s">
        <v>10635</v>
      </c>
      <c r="S552" s="361"/>
      <c r="T552" s="377"/>
      <c r="U552" s="359"/>
      <c r="V552" s="359"/>
      <c r="W552" s="359"/>
      <c r="X552" s="359"/>
      <c r="Y552" s="359"/>
      <c r="Z552" s="364"/>
      <c r="AA552" s="359"/>
    </row>
    <row r="553" spans="1:27">
      <c r="A553" s="769"/>
      <c r="B553" s="769"/>
      <c r="C553" s="357" t="s">
        <v>10636</v>
      </c>
      <c r="D553" s="357" t="s">
        <v>10637</v>
      </c>
      <c r="E553" s="357" t="s">
        <v>1732</v>
      </c>
      <c r="F553" s="357" t="s">
        <v>9205</v>
      </c>
      <c r="G553" s="769"/>
      <c r="H553" s="357" t="str">
        <f t="shared" si="19"/>
        <v>SOA0043-109 - InquiryUserDefinedCodeV2.pdf.txt</v>
      </c>
      <c r="I553" s="357"/>
      <c r="J553" s="357"/>
      <c r="K553" s="357"/>
      <c r="L553" s="357"/>
      <c r="M553" s="357"/>
      <c r="N553" s="357"/>
      <c r="O553" s="357"/>
      <c r="P553" s="357"/>
      <c r="Q553" s="358" t="s">
        <v>9207</v>
      </c>
      <c r="R553" s="357"/>
      <c r="S553" s="357"/>
      <c r="T553" s="377" t="str">
        <f t="shared" ref="T553:T583" si="20">CONCATENATE(C553, " - ", D553, ".pdf")</f>
        <v>SOA0043-109 - InquiryUserDefinedCodeV2.pdf</v>
      </c>
      <c r="U553" s="359"/>
      <c r="V553" s="359"/>
      <c r="W553" s="359"/>
      <c r="X553" s="359"/>
      <c r="Y553" s="359"/>
      <c r="Z553" s="364">
        <v>44992</v>
      </c>
      <c r="AA553" s="359" t="s">
        <v>254</v>
      </c>
    </row>
    <row r="554" spans="1:27">
      <c r="A554" s="769"/>
      <c r="B554" s="769"/>
      <c r="C554" s="361" t="s">
        <v>10638</v>
      </c>
      <c r="D554" s="361" t="s">
        <v>10639</v>
      </c>
      <c r="E554" s="361" t="s">
        <v>1732</v>
      </c>
      <c r="F554" s="361" t="s">
        <v>9205</v>
      </c>
      <c r="G554" s="769"/>
      <c r="H554" s="361" t="str">
        <f t="shared" si="19"/>
        <v>SOA0043-110 - CustomerSearchById.pdf.txt</v>
      </c>
      <c r="I554" s="361"/>
      <c r="J554" s="361"/>
      <c r="K554" s="361"/>
      <c r="L554" s="361"/>
      <c r="M554" s="361"/>
      <c r="N554" s="361"/>
      <c r="O554" s="361"/>
      <c r="P554" s="361"/>
      <c r="Q554" s="358" t="s">
        <v>9207</v>
      </c>
      <c r="R554" s="361"/>
      <c r="S554" s="361"/>
      <c r="T554" s="377" t="str">
        <f t="shared" si="20"/>
        <v>SOA0043-110 - CustomerSearchById.pdf</v>
      </c>
      <c r="U554" s="359"/>
      <c r="V554" s="359"/>
      <c r="W554" s="359"/>
      <c r="X554" s="359"/>
      <c r="Y554" s="359"/>
      <c r="Z554" s="364">
        <v>44992</v>
      </c>
      <c r="AA554" s="359" t="s">
        <v>254</v>
      </c>
    </row>
    <row r="555" spans="1:27">
      <c r="A555" s="769"/>
      <c r="B555" s="769"/>
      <c r="C555" s="357" t="s">
        <v>10640</v>
      </c>
      <c r="D555" s="357" t="s">
        <v>10641</v>
      </c>
      <c r="E555" s="357" t="s">
        <v>1732</v>
      </c>
      <c r="F555" s="357" t="s">
        <v>9205</v>
      </c>
      <c r="G555" s="769"/>
      <c r="H555" s="357" t="str">
        <f t="shared" si="19"/>
        <v>SOA0043-111 - InitLinkCardAccountReq.pdf.txt</v>
      </c>
      <c r="I555" s="357"/>
      <c r="J555" s="357"/>
      <c r="K555" s="357"/>
      <c r="L555" s="357"/>
      <c r="M555" s="357"/>
      <c r="N555" s="357"/>
      <c r="O555" s="357"/>
      <c r="P555" s="357"/>
      <c r="Q555" s="358" t="s">
        <v>9207</v>
      </c>
      <c r="R555" s="357"/>
      <c r="S555" s="357"/>
      <c r="T555" s="377" t="str">
        <f t="shared" si="20"/>
        <v>SOA0043-111 - InitLinkCardAccountReq.pdf</v>
      </c>
      <c r="U555" s="359"/>
      <c r="V555" s="359"/>
      <c r="W555" s="359"/>
      <c r="X555" s="359"/>
      <c r="Y555" s="359"/>
      <c r="Z555" s="364">
        <v>44992</v>
      </c>
      <c r="AA555" s="359" t="s">
        <v>254</v>
      </c>
    </row>
    <row r="556" spans="1:27">
      <c r="A556" s="769"/>
      <c r="B556" s="769"/>
      <c r="C556" s="361" t="s">
        <v>10642</v>
      </c>
      <c r="D556" s="361" t="s">
        <v>10643</v>
      </c>
      <c r="E556" s="361" t="s">
        <v>1732</v>
      </c>
      <c r="F556" s="361" t="s">
        <v>9205</v>
      </c>
      <c r="G556" s="769"/>
      <c r="H556" s="361" t="str">
        <f t="shared" si="19"/>
        <v>SOA0043-112 - InitCreateDEPAccount.pdf.txt</v>
      </c>
      <c r="I556" s="361"/>
      <c r="J556" s="361"/>
      <c r="K556" s="361"/>
      <c r="L556" s="361"/>
      <c r="M556" s="361"/>
      <c r="N556" s="361"/>
      <c r="O556" s="361"/>
      <c r="P556" s="361"/>
      <c r="Q556" s="358" t="s">
        <v>9207</v>
      </c>
      <c r="R556" s="361"/>
      <c r="S556" s="361"/>
      <c r="T556" s="377" t="str">
        <f t="shared" si="20"/>
        <v>SOA0043-112 - InitCreateDEPAccount.pdf</v>
      </c>
      <c r="U556" s="359"/>
      <c r="V556" s="359"/>
      <c r="W556" s="359"/>
      <c r="X556" s="359"/>
      <c r="Y556" s="359"/>
      <c r="Z556" s="364">
        <v>44992</v>
      </c>
      <c r="AA556" s="359" t="s">
        <v>254</v>
      </c>
    </row>
    <row r="557" spans="1:27">
      <c r="A557" s="769"/>
      <c r="B557" s="769"/>
      <c r="C557" s="357" t="s">
        <v>10644</v>
      </c>
      <c r="D557" s="357" t="s">
        <v>10645</v>
      </c>
      <c r="E557" s="357" t="s">
        <v>1732</v>
      </c>
      <c r="F557" s="357" t="s">
        <v>9205</v>
      </c>
      <c r="G557" s="769"/>
      <c r="H557" s="357" t="str">
        <f t="shared" si="19"/>
        <v>SOA0043-113 - CreateDepositAccount.pdf.txt</v>
      </c>
      <c r="I557" s="357"/>
      <c r="J557" s="357"/>
      <c r="K557" s="357"/>
      <c r="L557" s="357"/>
      <c r="M557" s="357"/>
      <c r="N557" s="357"/>
      <c r="O557" s="357"/>
      <c r="P557" s="357"/>
      <c r="Q557" s="358" t="s">
        <v>9207</v>
      </c>
      <c r="R557" s="357"/>
      <c r="S557" s="357"/>
      <c r="T557" s="377" t="str">
        <f t="shared" si="20"/>
        <v>SOA0043-113 - CreateDepositAccount.pdf</v>
      </c>
      <c r="U557" s="359"/>
      <c r="V557" s="359"/>
      <c r="W557" s="359"/>
      <c r="X557" s="359"/>
      <c r="Y557" s="359"/>
      <c r="Z557" s="364">
        <v>44992</v>
      </c>
      <c r="AA557" s="359" t="s">
        <v>254</v>
      </c>
    </row>
    <row r="558" spans="1:27">
      <c r="A558" s="769"/>
      <c r="B558" s="769"/>
      <c r="C558" s="361" t="s">
        <v>10646</v>
      </c>
      <c r="D558" s="361" t="s">
        <v>10647</v>
      </c>
      <c r="E558" s="361" t="s">
        <v>1732</v>
      </c>
      <c r="F558" s="361" t="s">
        <v>9205</v>
      </c>
      <c r="G558" s="769"/>
      <c r="H558" s="361" t="str">
        <f t="shared" si="19"/>
        <v>SOA0043-114 - VirtualAccount_v2 - InquiryVA.pdf.txt</v>
      </c>
      <c r="I558" s="361"/>
      <c r="J558" s="361"/>
      <c r="K558" s="361"/>
      <c r="L558" s="361"/>
      <c r="M558" s="361"/>
      <c r="N558" s="361"/>
      <c r="O558" s="361"/>
      <c r="P558" s="361"/>
      <c r="Q558" s="358" t="s">
        <v>9207</v>
      </c>
      <c r="R558" s="361"/>
      <c r="S558" s="361"/>
      <c r="T558" s="377" t="str">
        <f t="shared" si="20"/>
        <v>SOA0043-114 - VirtualAccount_v2 - InquiryVA.pdf</v>
      </c>
      <c r="U558" s="359"/>
      <c r="V558" s="359"/>
      <c r="W558" s="359"/>
      <c r="X558" s="359"/>
      <c r="Y558" s="359"/>
      <c r="Z558" s="364">
        <v>44992</v>
      </c>
      <c r="AA558" s="359" t="s">
        <v>254</v>
      </c>
    </row>
    <row r="559" spans="1:27">
      <c r="A559" s="769"/>
      <c r="B559" s="769"/>
      <c r="C559" s="357" t="s">
        <v>10648</v>
      </c>
      <c r="D559" s="357" t="s">
        <v>10649</v>
      </c>
      <c r="E559" s="357" t="s">
        <v>1732</v>
      </c>
      <c r="F559" s="357" t="s">
        <v>9205</v>
      </c>
      <c r="G559" s="769"/>
      <c r="H559" s="357" t="str">
        <f t="shared" si="19"/>
        <v>SOA0043-115 - VirtualAccount_v2 - CreateVA.pdf.txt</v>
      </c>
      <c r="I559" s="357"/>
      <c r="J559" s="357"/>
      <c r="K559" s="357"/>
      <c r="L559" s="357"/>
      <c r="M559" s="357"/>
      <c r="N559" s="357"/>
      <c r="O559" s="357"/>
      <c r="P559" s="357"/>
      <c r="Q559" s="358" t="s">
        <v>9207</v>
      </c>
      <c r="R559" s="357"/>
      <c r="S559" s="357"/>
      <c r="T559" s="377" t="str">
        <f t="shared" si="20"/>
        <v>SOA0043-115 - VirtualAccount_v2 - CreateVA.pdf</v>
      </c>
      <c r="U559" s="359"/>
      <c r="V559" s="359"/>
      <c r="W559" s="359"/>
      <c r="X559" s="359"/>
      <c r="Y559" s="359"/>
      <c r="Z559" s="364">
        <v>44992</v>
      </c>
      <c r="AA559" s="359" t="s">
        <v>254</v>
      </c>
    </row>
    <row r="560" spans="1:27">
      <c r="A560" s="769"/>
      <c r="B560" s="769"/>
      <c r="C560" s="361" t="s">
        <v>10650</v>
      </c>
      <c r="D560" s="361" t="s">
        <v>10651</v>
      </c>
      <c r="E560" s="361" t="s">
        <v>1732</v>
      </c>
      <c r="F560" s="361" t="s">
        <v>9205</v>
      </c>
      <c r="G560" s="769"/>
      <c r="H560" s="361" t="str">
        <f t="shared" si="19"/>
        <v>SOA0043-116 - VirtualAccount_v2 - UpdateVA.pdf.txt</v>
      </c>
      <c r="I560" s="361"/>
      <c r="J560" s="361"/>
      <c r="K560" s="361"/>
      <c r="L560" s="361"/>
      <c r="M560" s="361"/>
      <c r="N560" s="361"/>
      <c r="O560" s="361"/>
      <c r="P560" s="361"/>
      <c r="Q560" s="358" t="s">
        <v>9207</v>
      </c>
      <c r="R560" s="361"/>
      <c r="S560" s="361"/>
      <c r="T560" s="377" t="str">
        <f t="shared" si="20"/>
        <v>SOA0043-116 - VirtualAccount_v2 - UpdateVA.pdf</v>
      </c>
      <c r="U560" s="359"/>
      <c r="V560" s="359"/>
      <c r="W560" s="359"/>
      <c r="X560" s="359"/>
      <c r="Y560" s="359"/>
      <c r="Z560" s="364">
        <v>44992</v>
      </c>
      <c r="AA560" s="359" t="s">
        <v>254</v>
      </c>
    </row>
    <row r="561" spans="1:27">
      <c r="A561" s="769"/>
      <c r="B561" s="769"/>
      <c r="C561" s="357" t="s">
        <v>10652</v>
      </c>
      <c r="D561" s="357" t="s">
        <v>10653</v>
      </c>
      <c r="E561" s="357" t="s">
        <v>1732</v>
      </c>
      <c r="F561" s="357" t="s">
        <v>9205</v>
      </c>
      <c r="G561" s="769"/>
      <c r="H561" s="357" t="str">
        <f t="shared" si="19"/>
        <v>SOA0043-117 - VirtualAccount_v2 - GetVaName.pdf.txt</v>
      </c>
      <c r="I561" s="357"/>
      <c r="J561" s="357"/>
      <c r="K561" s="357"/>
      <c r="L561" s="357"/>
      <c r="M561" s="357"/>
      <c r="N561" s="357"/>
      <c r="O561" s="357"/>
      <c r="P561" s="357"/>
      <c r="Q561" s="358" t="s">
        <v>9207</v>
      </c>
      <c r="R561" s="357"/>
      <c r="S561" s="357"/>
      <c r="T561" s="377" t="str">
        <f t="shared" si="20"/>
        <v>SOA0043-117 - VirtualAccount_v2 - GetVaName.pdf</v>
      </c>
      <c r="U561" s="359"/>
      <c r="V561" s="359"/>
      <c r="W561" s="359"/>
      <c r="X561" s="359"/>
      <c r="Y561" s="359"/>
      <c r="Z561" s="364">
        <v>44992</v>
      </c>
      <c r="AA561" s="359" t="s">
        <v>254</v>
      </c>
    </row>
    <row r="562" spans="1:27">
      <c r="A562" s="769"/>
      <c r="B562" s="769"/>
      <c r="C562" s="361" t="s">
        <v>10654</v>
      </c>
      <c r="D562" s="361" t="s">
        <v>10649</v>
      </c>
      <c r="E562" s="361" t="s">
        <v>1732</v>
      </c>
      <c r="F562" s="361" t="s">
        <v>9205</v>
      </c>
      <c r="G562" s="769"/>
      <c r="H562" s="361" t="str">
        <f t="shared" si="19"/>
        <v>SOA0043-118 - VirtualAccount_v2 - CreateVA.pdf.txt</v>
      </c>
      <c r="I562" s="361"/>
      <c r="J562" s="361"/>
      <c r="K562" s="361"/>
      <c r="L562" s="361"/>
      <c r="M562" s="361"/>
      <c r="N562" s="361"/>
      <c r="O562" s="361"/>
      <c r="P562" s="361"/>
      <c r="Q562" s="358" t="s">
        <v>9207</v>
      </c>
      <c r="R562" s="361"/>
      <c r="S562" s="361"/>
      <c r="T562" s="377" t="str">
        <f t="shared" si="20"/>
        <v>SOA0043-118 - VirtualAccount_v2 - CreateVA.pdf</v>
      </c>
      <c r="U562" s="359"/>
      <c r="V562" s="359"/>
      <c r="W562" s="359"/>
      <c r="X562" s="359"/>
      <c r="Y562" s="359"/>
      <c r="Z562" s="364">
        <v>44992</v>
      </c>
      <c r="AA562" s="359" t="s">
        <v>254</v>
      </c>
    </row>
    <row r="563" spans="1:27">
      <c r="A563" s="769"/>
      <c r="B563" s="769"/>
      <c r="C563" s="357" t="s">
        <v>10655</v>
      </c>
      <c r="D563" s="357" t="s">
        <v>10656</v>
      </c>
      <c r="E563" s="357" t="s">
        <v>1732</v>
      </c>
      <c r="F563" s="357" t="s">
        <v>9205</v>
      </c>
      <c r="G563" s="769"/>
      <c r="H563" s="357" t="str">
        <f t="shared" si="19"/>
        <v>SOA0043-119 - VirtualAccount_v2 - CreateCIDVA.pdf.txt</v>
      </c>
      <c r="I563" s="357"/>
      <c r="J563" s="357"/>
      <c r="K563" s="357"/>
      <c r="L563" s="357"/>
      <c r="M563" s="357"/>
      <c r="N563" s="357"/>
      <c r="O563" s="357"/>
      <c r="P563" s="357"/>
      <c r="Q563" s="358" t="s">
        <v>9207</v>
      </c>
      <c r="R563" s="357"/>
      <c r="S563" s="357"/>
      <c r="T563" s="377" t="str">
        <f t="shared" si="20"/>
        <v>SOA0043-119 - VirtualAccount_v2 - CreateCIDVA.pdf</v>
      </c>
      <c r="U563" s="359"/>
      <c r="V563" s="359"/>
      <c r="W563" s="359"/>
      <c r="X563" s="359"/>
      <c r="Y563" s="359"/>
      <c r="Z563" s="364">
        <v>44992</v>
      </c>
      <c r="AA563" s="359" t="s">
        <v>254</v>
      </c>
    </row>
    <row r="564" spans="1:27">
      <c r="A564" s="769"/>
      <c r="B564" s="769"/>
      <c r="C564" s="361" t="s">
        <v>10657</v>
      </c>
      <c r="D564" s="361" t="s">
        <v>10658</v>
      </c>
      <c r="E564" s="361" t="s">
        <v>1732</v>
      </c>
      <c r="F564" s="361" t="s">
        <v>9205</v>
      </c>
      <c r="G564" s="769"/>
      <c r="H564" s="361" t="str">
        <f t="shared" si="19"/>
        <v>SOA0043-120 - VirtualAccount_v2 - CreateVirtualAccount_v2.pdf.txt</v>
      </c>
      <c r="I564" s="361"/>
      <c r="J564" s="361"/>
      <c r="K564" s="361"/>
      <c r="L564" s="361"/>
      <c r="M564" s="361"/>
      <c r="N564" s="361"/>
      <c r="O564" s="361"/>
      <c r="P564" s="361"/>
      <c r="Q564" s="358" t="s">
        <v>9207</v>
      </c>
      <c r="R564" s="361"/>
      <c r="S564" s="361"/>
      <c r="T564" s="377" t="str">
        <f t="shared" si="20"/>
        <v>SOA0043-120 - VirtualAccount_v2 - CreateVirtualAccount_v2.pdf</v>
      </c>
      <c r="U564" s="359"/>
      <c r="V564" s="359"/>
      <c r="W564" s="359"/>
      <c r="X564" s="359"/>
      <c r="Y564" s="359"/>
      <c r="Z564" s="364">
        <v>44992</v>
      </c>
      <c r="AA564" s="359" t="s">
        <v>254</v>
      </c>
    </row>
    <row r="565" spans="1:27">
      <c r="A565" s="769"/>
      <c r="B565" s="769"/>
      <c r="C565" s="357" t="s">
        <v>10659</v>
      </c>
      <c r="D565" s="357" t="s">
        <v>10660</v>
      </c>
      <c r="E565" s="357" t="s">
        <v>1732</v>
      </c>
      <c r="F565" s="357" t="s">
        <v>9205</v>
      </c>
      <c r="G565" s="769"/>
      <c r="H565" s="357" t="str">
        <f t="shared" si="19"/>
        <v>SOA0043-121 - DepositTransferReversal.pdf.txt</v>
      </c>
      <c r="I565" s="357"/>
      <c r="J565" s="357"/>
      <c r="K565" s="357"/>
      <c r="L565" s="357"/>
      <c r="M565" s="357"/>
      <c r="N565" s="357"/>
      <c r="O565" s="357"/>
      <c r="P565" s="357"/>
      <c r="Q565" s="358" t="s">
        <v>9207</v>
      </c>
      <c r="R565" s="357"/>
      <c r="S565" s="357"/>
      <c r="T565" s="377" t="str">
        <f t="shared" si="20"/>
        <v>SOA0043-121 - DepositTransferReversal.pdf</v>
      </c>
      <c r="U565" s="359"/>
      <c r="V565" s="359"/>
      <c r="W565" s="359"/>
      <c r="X565" s="359"/>
      <c r="Y565" s="359"/>
      <c r="Z565" s="364">
        <v>44993</v>
      </c>
      <c r="AA565" s="359" t="s">
        <v>254</v>
      </c>
    </row>
    <row r="566" spans="1:27">
      <c r="A566" s="769"/>
      <c r="B566" s="769"/>
      <c r="C566" s="361" t="s">
        <v>10661</v>
      </c>
      <c r="D566" s="361" t="s">
        <v>10466</v>
      </c>
      <c r="E566" s="361" t="s">
        <v>1732</v>
      </c>
      <c r="F566" s="361" t="s">
        <v>9205</v>
      </c>
      <c r="G566" s="769"/>
      <c r="H566" s="361" t="str">
        <f t="shared" si="19"/>
        <v>SOA0043-122 - T048_Deposit_Transfer_-_Invalid_From_Acc.pdf.txt</v>
      </c>
      <c r="I566" s="361"/>
      <c r="J566" s="361"/>
      <c r="K566" s="361"/>
      <c r="L566" s="361"/>
      <c r="M566" s="361"/>
      <c r="N566" s="361"/>
      <c r="O566" s="361"/>
      <c r="P566" s="361"/>
      <c r="Q566" s="358" t="s">
        <v>9207</v>
      </c>
      <c r="R566" s="361"/>
      <c r="S566" s="361"/>
      <c r="T566" s="377" t="str">
        <f t="shared" si="20"/>
        <v>SOA0043-122 - T048_Deposit_Transfer_-_Invalid_From_Acc.pdf</v>
      </c>
      <c r="U566" s="359"/>
      <c r="V566" s="359"/>
      <c r="W566" s="359"/>
      <c r="X566" s="359"/>
      <c r="Y566" s="359"/>
      <c r="Z566" s="364">
        <v>44993</v>
      </c>
      <c r="AA566" s="359" t="s">
        <v>254</v>
      </c>
    </row>
    <row r="567" spans="1:27">
      <c r="A567" s="769"/>
      <c r="B567" s="769"/>
      <c r="C567" s="357" t="s">
        <v>10662</v>
      </c>
      <c r="D567" s="357" t="s">
        <v>10468</v>
      </c>
      <c r="E567" s="357" t="s">
        <v>1732</v>
      </c>
      <c r="F567" s="357" t="s">
        <v>9205</v>
      </c>
      <c r="G567" s="769"/>
      <c r="H567" s="357" t="str">
        <f t="shared" si="19"/>
        <v>SOA0043-123 - T050_Deposit_Transfer_-_Amount_More_Then_Valid_Format.pdf.txt</v>
      </c>
      <c r="I567" s="357"/>
      <c r="J567" s="357"/>
      <c r="K567" s="357"/>
      <c r="L567" s="357"/>
      <c r="M567" s="357"/>
      <c r="N567" s="357"/>
      <c r="O567" s="357"/>
      <c r="P567" s="357"/>
      <c r="Q567" s="358" t="s">
        <v>9207</v>
      </c>
      <c r="R567" s="357"/>
      <c r="S567" s="357"/>
      <c r="T567" s="377" t="str">
        <f t="shared" si="20"/>
        <v>SOA0043-123 - T050_Deposit_Transfer_-_Amount_More_Then_Valid_Format.pdf</v>
      </c>
      <c r="U567" s="359"/>
      <c r="V567" s="359"/>
      <c r="W567" s="359"/>
      <c r="X567" s="359"/>
      <c r="Y567" s="359"/>
      <c r="Z567" s="364">
        <v>44993</v>
      </c>
      <c r="AA567" s="359" t="s">
        <v>254</v>
      </c>
    </row>
    <row r="568" spans="1:27">
      <c r="A568" s="769"/>
      <c r="B568" s="769"/>
      <c r="C568" s="361" t="s">
        <v>10663</v>
      </c>
      <c r="D568" s="361" t="s">
        <v>10470</v>
      </c>
      <c r="E568" s="361" t="s">
        <v>1732</v>
      </c>
      <c r="F568" s="361" t="s">
        <v>9205</v>
      </c>
      <c r="G568" s="769"/>
      <c r="H568" s="361" t="str">
        <f t="shared" si="19"/>
        <v>SOA0043-124 - T047_Deposit_Transfer_-_Valid_Acc_customJournal.pdf.txt</v>
      </c>
      <c r="I568" s="361"/>
      <c r="J568" s="361"/>
      <c r="K568" s="361"/>
      <c r="L568" s="361"/>
      <c r="M568" s="361"/>
      <c r="N568" s="361"/>
      <c r="O568" s="361"/>
      <c r="P568" s="361"/>
      <c r="Q568" s="358" t="s">
        <v>9207</v>
      </c>
      <c r="R568" s="361"/>
      <c r="S568" s="361"/>
      <c r="T568" s="377" t="str">
        <f t="shared" si="20"/>
        <v>SOA0043-124 - T047_Deposit_Transfer_-_Valid_Acc_customJournal.pdf</v>
      </c>
      <c r="U568" s="359"/>
      <c r="V568" s="359"/>
      <c r="W568" s="359"/>
      <c r="X568" s="359"/>
      <c r="Y568" s="359"/>
      <c r="Z568" s="364">
        <v>44993</v>
      </c>
      <c r="AA568" s="359" t="s">
        <v>254</v>
      </c>
    </row>
    <row r="569" spans="1:27">
      <c r="A569" s="769"/>
      <c r="B569" s="769"/>
      <c r="C569" s="357" t="s">
        <v>10664</v>
      </c>
      <c r="D569" s="357" t="s">
        <v>10472</v>
      </c>
      <c r="E569" s="357" t="s">
        <v>1732</v>
      </c>
      <c r="F569" s="357" t="s">
        <v>9205</v>
      </c>
      <c r="G569" s="769"/>
      <c r="H569" s="357" t="str">
        <f t="shared" si="19"/>
        <v>SOA0043-125 - T047_Deposit_Transfer_-_VA.pdf.txt</v>
      </c>
      <c r="I569" s="357"/>
      <c r="J569" s="357"/>
      <c r="K569" s="357"/>
      <c r="L569" s="357"/>
      <c r="M569" s="357"/>
      <c r="N569" s="357"/>
      <c r="O569" s="357"/>
      <c r="P569" s="357"/>
      <c r="Q569" s="358" t="s">
        <v>9207</v>
      </c>
      <c r="R569" s="357"/>
      <c r="S569" s="357"/>
      <c r="T569" s="377" t="str">
        <f t="shared" si="20"/>
        <v>SOA0043-125 - T047_Deposit_Transfer_-_VA.pdf</v>
      </c>
      <c r="U569" s="359"/>
      <c r="V569" s="359"/>
      <c r="W569" s="359"/>
      <c r="X569" s="359"/>
      <c r="Y569" s="359"/>
      <c r="Z569" s="364">
        <v>44993</v>
      </c>
      <c r="AA569" s="359" t="s">
        <v>254</v>
      </c>
    </row>
    <row r="570" spans="1:27">
      <c r="A570" s="769"/>
      <c r="B570" s="769"/>
      <c r="C570" s="361" t="s">
        <v>10665</v>
      </c>
      <c r="D570" s="361" t="s">
        <v>10666</v>
      </c>
      <c r="E570" s="361" t="s">
        <v>1732</v>
      </c>
      <c r="F570" s="361" t="s">
        <v>9205</v>
      </c>
      <c r="G570" s="769"/>
      <c r="H570" s="361" t="str">
        <f t="shared" si="19"/>
        <v>SOA0043-126 - InitCreateDepositAccount.pdf.txt</v>
      </c>
      <c r="I570" s="361"/>
      <c r="J570" s="361"/>
      <c r="K570" s="361"/>
      <c r="L570" s="361"/>
      <c r="M570" s="361"/>
      <c r="N570" s="361"/>
      <c r="O570" s="361"/>
      <c r="P570" s="361"/>
      <c r="Q570" s="358" t="s">
        <v>9207</v>
      </c>
      <c r="R570" s="361"/>
      <c r="S570" s="361"/>
      <c r="T570" s="377" t="str">
        <f t="shared" si="20"/>
        <v>SOA0043-126 - InitCreateDepositAccount.pdf</v>
      </c>
      <c r="U570" s="359"/>
      <c r="V570" s="359"/>
      <c r="W570" s="359"/>
      <c r="X570" s="359"/>
      <c r="Y570" s="359"/>
      <c r="Z570" s="364">
        <v>44993</v>
      </c>
      <c r="AA570" s="359" t="s">
        <v>254</v>
      </c>
    </row>
    <row r="571" spans="1:27">
      <c r="A571" s="769"/>
      <c r="B571" s="769"/>
      <c r="C571" s="357" t="s">
        <v>10667</v>
      </c>
      <c r="D571" s="357" t="s">
        <v>10668</v>
      </c>
      <c r="E571" s="357" t="s">
        <v>1732</v>
      </c>
      <c r="F571" s="357" t="s">
        <v>9205</v>
      </c>
      <c r="G571" s="769"/>
      <c r="H571" s="357" t="str">
        <f t="shared" si="19"/>
        <v>SOA0043-127 - InitCreateDepositAccount - SOAP Request.pdf.txt</v>
      </c>
      <c r="I571" s="357"/>
      <c r="J571" s="357"/>
      <c r="K571" s="357"/>
      <c r="L571" s="357"/>
      <c r="M571" s="357"/>
      <c r="N571" s="357"/>
      <c r="O571" s="357"/>
      <c r="P571" s="357"/>
      <c r="Q571" s="358" t="s">
        <v>9207</v>
      </c>
      <c r="R571" s="357"/>
      <c r="S571" s="357"/>
      <c r="T571" s="377" t="str">
        <f t="shared" si="20"/>
        <v>SOA0043-127 - InitCreateDepositAccount - SOAP Request.pdf</v>
      </c>
      <c r="U571" s="359"/>
      <c r="V571" s="359"/>
      <c r="W571" s="359"/>
      <c r="X571" s="359"/>
      <c r="Y571" s="359"/>
      <c r="Z571" s="364">
        <v>44993</v>
      </c>
      <c r="AA571" s="359" t="s">
        <v>254</v>
      </c>
    </row>
    <row r="572" spans="1:27">
      <c r="A572" s="769"/>
      <c r="B572" s="769"/>
      <c r="C572" s="361" t="s">
        <v>10669</v>
      </c>
      <c r="D572" s="361" t="s">
        <v>10670</v>
      </c>
      <c r="E572" s="361" t="s">
        <v>1732</v>
      </c>
      <c r="F572" s="361" t="s">
        <v>9205</v>
      </c>
      <c r="G572" s="769"/>
      <c r="H572" s="361" t="str">
        <f t="shared" si="19"/>
        <v>SOA0043-128 - InitCreateDepositAccount - Taplus Muda.pdf.txt</v>
      </c>
      <c r="I572" s="361"/>
      <c r="J572" s="361"/>
      <c r="K572" s="361"/>
      <c r="L572" s="361"/>
      <c r="M572" s="361"/>
      <c r="N572" s="361"/>
      <c r="O572" s="361"/>
      <c r="P572" s="361"/>
      <c r="Q572" s="358" t="s">
        <v>9207</v>
      </c>
      <c r="R572" s="361"/>
      <c r="S572" s="361"/>
      <c r="T572" s="377" t="str">
        <f t="shared" si="20"/>
        <v>SOA0043-128 - InitCreateDepositAccount - Taplus Muda.pdf</v>
      </c>
      <c r="U572" s="359"/>
      <c r="V572" s="359"/>
      <c r="W572" s="359"/>
      <c r="X572" s="359"/>
      <c r="Y572" s="359"/>
      <c r="Z572" s="364">
        <v>44993</v>
      </c>
      <c r="AA572" s="359" t="s">
        <v>254</v>
      </c>
    </row>
    <row r="573" spans="1:27">
      <c r="A573" s="769"/>
      <c r="B573" s="769"/>
      <c r="C573" s="357" t="s">
        <v>10671</v>
      </c>
      <c r="D573" s="357" t="s">
        <v>10672</v>
      </c>
      <c r="E573" s="357" t="s">
        <v>1732</v>
      </c>
      <c r="F573" s="357" t="s">
        <v>9205</v>
      </c>
      <c r="G573" s="769"/>
      <c r="H573" s="357" t="str">
        <f t="shared" si="19"/>
        <v>SOA0043-129 - InitLinkCardAccount.pdf.txt</v>
      </c>
      <c r="I573" s="357"/>
      <c r="J573" s="357"/>
      <c r="K573" s="357"/>
      <c r="L573" s="357"/>
      <c r="M573" s="357"/>
      <c r="N573" s="357"/>
      <c r="O573" s="357"/>
      <c r="P573" s="357"/>
      <c r="Q573" s="358" t="s">
        <v>9207</v>
      </c>
      <c r="R573" s="357"/>
      <c r="S573" s="357"/>
      <c r="T573" s="377" t="str">
        <f t="shared" si="20"/>
        <v>SOA0043-129 - InitLinkCardAccount.pdf</v>
      </c>
      <c r="U573" s="359"/>
      <c r="V573" s="359"/>
      <c r="W573" s="359"/>
      <c r="X573" s="359"/>
      <c r="Y573" s="359"/>
      <c r="Z573" s="364">
        <v>44993</v>
      </c>
      <c r="AA573" s="359" t="s">
        <v>254</v>
      </c>
    </row>
    <row r="574" spans="1:27">
      <c r="A574" s="769"/>
      <c r="B574" s="769"/>
      <c r="C574" s="361" t="s">
        <v>10673</v>
      </c>
      <c r="D574" s="361" t="s">
        <v>10674</v>
      </c>
      <c r="E574" s="361" t="s">
        <v>1732</v>
      </c>
      <c r="F574" s="361" t="s">
        <v>9205</v>
      </c>
      <c r="G574" s="769"/>
      <c r="H574" s="361" t="str">
        <f t="shared" si="19"/>
        <v>SOA0043-130 - AtmCardlessDepositTransfer.pdf.txt</v>
      </c>
      <c r="I574" s="361"/>
      <c r="J574" s="361"/>
      <c r="K574" s="361"/>
      <c r="L574" s="361"/>
      <c r="M574" s="361"/>
      <c r="N574" s="361"/>
      <c r="O574" s="361"/>
      <c r="P574" s="361"/>
      <c r="Q574" s="358" t="s">
        <v>9207</v>
      </c>
      <c r="R574" s="361"/>
      <c r="S574" s="361"/>
      <c r="T574" s="377" t="str">
        <f t="shared" si="20"/>
        <v>SOA0043-130 - AtmCardlessDepositTransfer.pdf</v>
      </c>
      <c r="U574" s="359"/>
      <c r="V574" s="359"/>
      <c r="W574" s="359"/>
      <c r="X574" s="359"/>
      <c r="Y574" s="359"/>
      <c r="Z574" s="364">
        <v>44993</v>
      </c>
      <c r="AA574" s="359" t="s">
        <v>254</v>
      </c>
    </row>
    <row r="575" spans="1:27">
      <c r="A575" s="769"/>
      <c r="B575" s="769"/>
      <c r="C575" s="357" t="s">
        <v>10675</v>
      </c>
      <c r="D575" s="357" t="s">
        <v>10676</v>
      </c>
      <c r="E575" s="357" t="s">
        <v>1732</v>
      </c>
      <c r="F575" s="357" t="s">
        <v>9205</v>
      </c>
      <c r="G575" s="769"/>
      <c r="H575" s="357" t="str">
        <f t="shared" si="19"/>
        <v>SOA0043-131 - PassbookPrint.pdf.txt</v>
      </c>
      <c r="I575" s="357"/>
      <c r="J575" s="357"/>
      <c r="K575" s="357"/>
      <c r="L575" s="357"/>
      <c r="M575" s="357"/>
      <c r="N575" s="357"/>
      <c r="O575" s="357"/>
      <c r="P575" s="357"/>
      <c r="Q575" s="358" t="s">
        <v>9207</v>
      </c>
      <c r="R575" s="357"/>
      <c r="S575" s="357"/>
      <c r="T575" s="377" t="str">
        <f t="shared" si="20"/>
        <v>SOA0043-131 - PassbookPrint.pdf</v>
      </c>
      <c r="U575" s="359"/>
      <c r="V575" s="359"/>
      <c r="W575" s="359"/>
      <c r="X575" s="359"/>
      <c r="Y575" s="359"/>
      <c r="Z575" s="364">
        <v>44993</v>
      </c>
      <c r="AA575" s="359" t="s">
        <v>254</v>
      </c>
    </row>
    <row r="576" spans="1:27">
      <c r="A576" s="769"/>
      <c r="B576" s="769"/>
      <c r="C576" s="361" t="s">
        <v>10677</v>
      </c>
      <c r="D576" s="361" t="s">
        <v>10678</v>
      </c>
      <c r="E576" s="361" t="s">
        <v>1732</v>
      </c>
      <c r="F576" s="361" t="s">
        <v>9205</v>
      </c>
      <c r="G576" s="769"/>
      <c r="H576" s="361" t="str">
        <f t="shared" si="19"/>
        <v>SOA0043-132 - InquirySMSNotification.pdf.txt</v>
      </c>
      <c r="I576" s="361"/>
      <c r="J576" s="361"/>
      <c r="K576" s="361"/>
      <c r="L576" s="361"/>
      <c r="M576" s="361"/>
      <c r="N576" s="361"/>
      <c r="O576" s="361"/>
      <c r="P576" s="361"/>
      <c r="Q576" s="358" t="s">
        <v>9207</v>
      </c>
      <c r="R576" s="361"/>
      <c r="S576" s="361"/>
      <c r="T576" s="377" t="str">
        <f t="shared" si="20"/>
        <v>SOA0043-132 - InquirySMSNotification.pdf</v>
      </c>
      <c r="U576" s="359"/>
      <c r="V576" s="359"/>
      <c r="W576" s="359"/>
      <c r="X576" s="359"/>
      <c r="Y576" s="359"/>
      <c r="Z576" s="364">
        <v>44993</v>
      </c>
      <c r="AA576" s="359" t="s">
        <v>254</v>
      </c>
    </row>
    <row r="577" spans="1:27">
      <c r="A577" s="769"/>
      <c r="B577" s="769"/>
      <c r="C577" s="357" t="s">
        <v>10679</v>
      </c>
      <c r="D577" s="357" t="s">
        <v>10680</v>
      </c>
      <c r="E577" s="357" t="s">
        <v>1732</v>
      </c>
      <c r="F577" s="357" t="s">
        <v>9205</v>
      </c>
      <c r="G577" s="769"/>
      <c r="H577" s="357" t="str">
        <f t="shared" si="19"/>
        <v>SOA0043-133 - InitChangeOwnershipCard.pdf.txt</v>
      </c>
      <c r="I577" s="357"/>
      <c r="J577" s="357"/>
      <c r="K577" s="357"/>
      <c r="L577" s="357"/>
      <c r="M577" s="357"/>
      <c r="N577" s="357"/>
      <c r="O577" s="357"/>
      <c r="P577" s="357"/>
      <c r="Q577" s="358" t="s">
        <v>9207</v>
      </c>
      <c r="R577" s="357"/>
      <c r="S577" s="357"/>
      <c r="T577" s="377" t="str">
        <f t="shared" si="20"/>
        <v>SOA0043-133 - InitChangeOwnershipCard.pdf</v>
      </c>
      <c r="U577" s="359"/>
      <c r="V577" s="359"/>
      <c r="W577" s="359"/>
      <c r="X577" s="359"/>
      <c r="Y577" s="359"/>
      <c r="Z577" s="364">
        <v>44993</v>
      </c>
      <c r="AA577" s="359" t="s">
        <v>254</v>
      </c>
    </row>
    <row r="578" spans="1:27">
      <c r="A578" s="769"/>
      <c r="B578" s="769"/>
      <c r="C578" s="361" t="s">
        <v>10681</v>
      </c>
      <c r="D578" s="361" t="s">
        <v>10682</v>
      </c>
      <c r="E578" s="361" t="s">
        <v>1732</v>
      </c>
      <c r="F578" s="361" t="s">
        <v>9205</v>
      </c>
      <c r="G578" s="769"/>
      <c r="H578" s="361" t="str">
        <f t="shared" si="19"/>
        <v>SOA0043-134 - ChangeOwnershipCard.pdf.txt</v>
      </c>
      <c r="I578" s="361"/>
      <c r="J578" s="361"/>
      <c r="K578" s="361"/>
      <c r="L578" s="361"/>
      <c r="M578" s="361"/>
      <c r="N578" s="361"/>
      <c r="O578" s="361"/>
      <c r="P578" s="361"/>
      <c r="Q578" s="358" t="s">
        <v>9207</v>
      </c>
      <c r="R578" s="361"/>
      <c r="S578" s="361"/>
      <c r="T578" s="377" t="str">
        <f t="shared" si="20"/>
        <v>SOA0043-134 - ChangeOwnershipCard.pdf</v>
      </c>
      <c r="U578" s="359"/>
      <c r="V578" s="359"/>
      <c r="W578" s="359"/>
      <c r="X578" s="359"/>
      <c r="Y578" s="359"/>
      <c r="Z578" s="364">
        <v>44993</v>
      </c>
      <c r="AA578" s="359" t="s">
        <v>254</v>
      </c>
    </row>
    <row r="579" spans="1:27">
      <c r="A579" s="769"/>
      <c r="B579" s="769"/>
      <c r="C579" s="357" t="s">
        <v>10683</v>
      </c>
      <c r="D579" s="357" t="s">
        <v>10684</v>
      </c>
      <c r="E579" s="357" t="s">
        <v>1732</v>
      </c>
      <c r="F579" s="357" t="s">
        <v>9205</v>
      </c>
      <c r="G579" s="769"/>
      <c r="H579" s="357" t="str">
        <f t="shared" si="19"/>
        <v>SOA0043-135 - InquiryCustJobDetails.pdf.txt</v>
      </c>
      <c r="I579" s="357"/>
      <c r="J579" s="357"/>
      <c r="K579" s="357"/>
      <c r="L579" s="357"/>
      <c r="M579" s="357"/>
      <c r="N579" s="357"/>
      <c r="O579" s="357"/>
      <c r="P579" s="357"/>
      <c r="Q579" s="358" t="s">
        <v>9207</v>
      </c>
      <c r="R579" s="357"/>
      <c r="S579" s="357"/>
      <c r="T579" s="377" t="str">
        <f t="shared" si="20"/>
        <v>SOA0043-135 - InquiryCustJobDetails.pdf</v>
      </c>
      <c r="U579" s="359"/>
      <c r="V579" s="359"/>
      <c r="W579" s="359"/>
      <c r="X579" s="359"/>
      <c r="Y579" s="359"/>
      <c r="Z579" s="364">
        <v>44993</v>
      </c>
      <c r="AA579" s="359" t="s">
        <v>254</v>
      </c>
    </row>
    <row r="580" spans="1:27">
      <c r="A580" s="769"/>
      <c r="B580" s="769"/>
      <c r="C580" s="361" t="s">
        <v>10685</v>
      </c>
      <c r="D580" s="361" t="s">
        <v>10686</v>
      </c>
      <c r="E580" s="361" t="s">
        <v>1732</v>
      </c>
      <c r="F580" s="361" t="s">
        <v>9205</v>
      </c>
      <c r="G580" s="769"/>
      <c r="H580" s="361" t="str">
        <f t="shared" si="19"/>
        <v>SOA0043-136 - UpdateBeneficiaryOwner/ UpdateCustJobDetail.pdf.txt</v>
      </c>
      <c r="I580" s="361"/>
      <c r="J580" s="361"/>
      <c r="K580" s="361"/>
      <c r="L580" s="361"/>
      <c r="M580" s="361"/>
      <c r="N580" s="361"/>
      <c r="O580" s="361"/>
      <c r="P580" s="361"/>
      <c r="Q580" s="358" t="s">
        <v>9207</v>
      </c>
      <c r="R580" s="361"/>
      <c r="S580" s="361"/>
      <c r="T580" s="377" t="str">
        <f t="shared" si="20"/>
        <v>SOA0043-136 - UpdateBeneficiaryOwner/ UpdateCustJobDetail.pdf</v>
      </c>
      <c r="U580" s="359"/>
      <c r="V580" s="359"/>
      <c r="W580" s="359"/>
      <c r="X580" s="359"/>
      <c r="Y580" s="359"/>
      <c r="Z580" s="364">
        <v>44993</v>
      </c>
      <c r="AA580" s="359" t="s">
        <v>254</v>
      </c>
    </row>
    <row r="581" spans="1:27">
      <c r="A581" s="731" t="s">
        <v>10687</v>
      </c>
      <c r="B581" s="731" t="s">
        <v>10688</v>
      </c>
      <c r="C581" s="357" t="s">
        <v>10689</v>
      </c>
      <c r="D581" s="357" t="s">
        <v>10690</v>
      </c>
      <c r="E581" s="357" t="s">
        <v>1732</v>
      </c>
      <c r="F581" s="357" t="s">
        <v>9205</v>
      </c>
      <c r="G581" s="723" t="s">
        <v>10691</v>
      </c>
      <c r="H581" s="357" t="str">
        <f t="shared" si="19"/>
        <v>SOA0044-001 - Test Case – Normal Validate VA Retail.pdf.txt</v>
      </c>
      <c r="I581" s="357"/>
      <c r="J581" s="357"/>
      <c r="K581" s="357"/>
      <c r="L581" s="357"/>
      <c r="M581" s="357"/>
      <c r="N581" s="357"/>
      <c r="O581" s="357"/>
      <c r="P581" s="357"/>
      <c r="Q581" s="358" t="s">
        <v>9207</v>
      </c>
      <c r="R581" s="357"/>
      <c r="S581" s="357"/>
      <c r="T581" s="377" t="str">
        <f t="shared" si="20"/>
        <v>SOA0044-001 - Test Case – Normal Validate VA Retail.pdf</v>
      </c>
      <c r="U581" s="359"/>
      <c r="V581" s="359"/>
      <c r="W581" s="359"/>
      <c r="X581" s="359"/>
      <c r="Y581" s="359"/>
      <c r="Z581" s="364">
        <v>44994</v>
      </c>
      <c r="AA581" s="359" t="s">
        <v>254</v>
      </c>
    </row>
    <row r="582" spans="1:27">
      <c r="A582" s="769"/>
      <c r="B582" s="769"/>
      <c r="C582" s="361" t="s">
        <v>10692</v>
      </c>
      <c r="D582" s="361" t="s">
        <v>10693</v>
      </c>
      <c r="E582" s="361" t="s">
        <v>1743</v>
      </c>
      <c r="F582" s="361" t="s">
        <v>9205</v>
      </c>
      <c r="G582" s="769"/>
      <c r="H582" s="361" t="str">
        <f t="shared" si="19"/>
        <v>SOA0044-002 - Test Case – Abormal Validate VA Retail: UUID kosong.pdf.txt</v>
      </c>
      <c r="I582" s="361"/>
      <c r="J582" s="361"/>
      <c r="K582" s="361"/>
      <c r="L582" s="361"/>
      <c r="M582" s="361"/>
      <c r="N582" s="361"/>
      <c r="O582" s="361"/>
      <c r="P582" s="361"/>
      <c r="Q582" s="358" t="s">
        <v>9207</v>
      </c>
      <c r="R582" s="361"/>
      <c r="S582" s="361"/>
      <c r="T582" s="377" t="str">
        <f t="shared" si="20"/>
        <v>SOA0044-002 - Test Case – Abormal Validate VA Retail: UUID kosong.pdf</v>
      </c>
      <c r="U582" s="359"/>
      <c r="V582" s="359"/>
      <c r="W582" s="359"/>
      <c r="X582" s="359"/>
      <c r="Y582" s="359"/>
      <c r="Z582" s="364">
        <v>44994</v>
      </c>
      <c r="AA582" s="359" t="s">
        <v>254</v>
      </c>
    </row>
    <row r="583" spans="1:27">
      <c r="A583" s="769"/>
      <c r="B583" s="769"/>
      <c r="C583" s="357" t="s">
        <v>10694</v>
      </c>
      <c r="D583" s="357" t="s">
        <v>10695</v>
      </c>
      <c r="E583" s="357" t="s">
        <v>1743</v>
      </c>
      <c r="F583" s="357" t="s">
        <v>9205</v>
      </c>
      <c r="G583" s="769"/>
      <c r="H583" s="357"/>
      <c r="I583" s="357"/>
      <c r="J583" s="357"/>
      <c r="K583" s="357"/>
      <c r="L583" s="357"/>
      <c r="M583" s="357"/>
      <c r="N583" s="357"/>
      <c r="O583" s="357"/>
      <c r="P583" s="357"/>
      <c r="Q583" s="241" t="s">
        <v>7371</v>
      </c>
      <c r="R583" s="357" t="s">
        <v>10696</v>
      </c>
      <c r="S583" s="357"/>
      <c r="T583" s="377" t="str">
        <f t="shared" si="20"/>
        <v>SOA0044-003 - Test Case - Abnormal Validate VA Retail: cardNum tidak sesuai dengan 4 digit pertama kartu dari rekening yang diinput.pdf</v>
      </c>
      <c r="U583" s="359"/>
      <c r="V583" s="359"/>
      <c r="W583" s="359"/>
      <c r="X583" s="359"/>
      <c r="Y583" s="359"/>
      <c r="Z583" s="364"/>
      <c r="AA583" s="359"/>
    </row>
    <row r="584" spans="1:27">
      <c r="A584" s="769"/>
      <c r="B584" s="769"/>
      <c r="C584" s="361" t="s">
        <v>10697</v>
      </c>
      <c r="D584" s="361" t="s">
        <v>10698</v>
      </c>
      <c r="E584" s="361" t="s">
        <v>1743</v>
      </c>
      <c r="F584" s="361" t="s">
        <v>9205</v>
      </c>
      <c r="G584" s="769"/>
      <c r="H584" s="361"/>
      <c r="I584" s="361"/>
      <c r="J584" s="361"/>
      <c r="K584" s="361"/>
      <c r="L584" s="361"/>
      <c r="M584" s="361"/>
      <c r="N584" s="361"/>
      <c r="O584" s="361"/>
      <c r="P584" s="361"/>
      <c r="Q584" s="241" t="s">
        <v>7371</v>
      </c>
      <c r="R584" s="361"/>
      <c r="S584" s="361"/>
      <c r="T584" s="377"/>
      <c r="U584" s="359"/>
      <c r="V584" s="359"/>
      <c r="W584" s="359"/>
      <c r="X584" s="359"/>
      <c r="Y584" s="359"/>
      <c r="Z584" s="364"/>
      <c r="AA584" s="359"/>
    </row>
    <row r="585" spans="1:27">
      <c r="A585" s="769"/>
      <c r="B585" s="769"/>
      <c r="C585" s="357" t="s">
        <v>10699</v>
      </c>
      <c r="D585" s="357" t="s">
        <v>10700</v>
      </c>
      <c r="E585" s="357" t="s">
        <v>1732</v>
      </c>
      <c r="F585" s="357" t="s">
        <v>9205</v>
      </c>
      <c r="G585" s="769"/>
      <c r="H585" s="357"/>
      <c r="I585" s="357"/>
      <c r="J585" s="357"/>
      <c r="K585" s="357"/>
      <c r="L585" s="357"/>
      <c r="M585" s="357"/>
      <c r="N585" s="357"/>
      <c r="O585" s="357"/>
      <c r="P585" s="357"/>
      <c r="Q585" s="241" t="s">
        <v>7371</v>
      </c>
      <c r="R585" s="357"/>
      <c r="S585" s="357"/>
      <c r="T585" s="377"/>
      <c r="U585" s="359"/>
      <c r="V585" s="359"/>
      <c r="W585" s="359"/>
      <c r="X585" s="359"/>
      <c r="Y585" s="359"/>
      <c r="Z585" s="364"/>
      <c r="AA585" s="359"/>
    </row>
    <row r="586" spans="1:27">
      <c r="A586" s="769"/>
      <c r="B586" s="769"/>
      <c r="C586" s="361" t="s">
        <v>10701</v>
      </c>
      <c r="D586" s="361" t="s">
        <v>10702</v>
      </c>
      <c r="E586" s="361" t="s">
        <v>1743</v>
      </c>
      <c r="F586" s="361" t="s">
        <v>9205</v>
      </c>
      <c r="G586" s="769"/>
      <c r="H586" s="361" t="str">
        <f t="shared" ref="H586:H593" si="21">CONCATENATE(T586,".txt")</f>
        <v>SOA0044-006 - Test Case – Abnormal Registration VA Retail : UUID Kosong.pdf.txt</v>
      </c>
      <c r="I586" s="361"/>
      <c r="J586" s="361"/>
      <c r="K586" s="361"/>
      <c r="L586" s="361"/>
      <c r="M586" s="361"/>
      <c r="N586" s="361"/>
      <c r="O586" s="361"/>
      <c r="P586" s="361"/>
      <c r="Q586" s="358" t="s">
        <v>9207</v>
      </c>
      <c r="R586" s="361"/>
      <c r="S586" s="361"/>
      <c r="T586" s="377" t="str">
        <f t="shared" ref="T586:T595" si="22">CONCATENATE(C586, " - ", D586, ".pdf")</f>
        <v>SOA0044-006 - Test Case – Abnormal Registration VA Retail : UUID Kosong.pdf</v>
      </c>
      <c r="U586" s="359"/>
      <c r="V586" s="359"/>
      <c r="W586" s="359"/>
      <c r="X586" s="359"/>
      <c r="Y586" s="359"/>
      <c r="Z586" s="364">
        <v>44994</v>
      </c>
      <c r="AA586" s="359" t="s">
        <v>254</v>
      </c>
    </row>
    <row r="587" spans="1:27">
      <c r="A587" s="769"/>
      <c r="B587" s="769"/>
      <c r="C587" s="357" t="s">
        <v>10703</v>
      </c>
      <c r="D587" s="357" t="s">
        <v>10704</v>
      </c>
      <c r="E587" s="357" t="s">
        <v>1732</v>
      </c>
      <c r="F587" s="357" t="s">
        <v>9205</v>
      </c>
      <c r="G587" s="769"/>
      <c r="H587" s="357" t="str">
        <f t="shared" si="21"/>
        <v>SOA0044-007 - Test Case – Normal VA Transaction.pdf.txt</v>
      </c>
      <c r="I587" s="357"/>
      <c r="J587" s="357"/>
      <c r="K587" s="357"/>
      <c r="L587" s="357"/>
      <c r="M587" s="357"/>
      <c r="N587" s="357"/>
      <c r="O587" s="357"/>
      <c r="P587" s="357"/>
      <c r="Q587" s="358" t="s">
        <v>9207</v>
      </c>
      <c r="R587" s="357"/>
      <c r="S587" s="357"/>
      <c r="T587" s="377" t="str">
        <f t="shared" si="22"/>
        <v>SOA0044-007 - Test Case – Normal VA Transaction.pdf</v>
      </c>
      <c r="U587" s="359"/>
      <c r="V587" s="359"/>
      <c r="W587" s="359"/>
      <c r="X587" s="359"/>
      <c r="Y587" s="359"/>
      <c r="Z587" s="364">
        <v>44994</v>
      </c>
      <c r="AA587" s="359" t="s">
        <v>254</v>
      </c>
    </row>
    <row r="588" spans="1:27">
      <c r="A588" s="769"/>
      <c r="B588" s="769"/>
      <c r="C588" s="361" t="s">
        <v>10705</v>
      </c>
      <c r="D588" s="361" t="s">
        <v>10706</v>
      </c>
      <c r="E588" s="361" t="s">
        <v>1743</v>
      </c>
      <c r="F588" s="361" t="s">
        <v>9205</v>
      </c>
      <c r="G588" s="769"/>
      <c r="H588" s="361" t="str">
        <f t="shared" si="21"/>
        <v>SOA0044-008 - Test Case – Abnormal VA Transaction: Virtual account tidak terdaftar di varetail_account.pdf.txt</v>
      </c>
      <c r="I588" s="361"/>
      <c r="J588" s="361"/>
      <c r="K588" s="361"/>
      <c r="L588" s="361"/>
      <c r="M588" s="361"/>
      <c r="N588" s="361"/>
      <c r="O588" s="361"/>
      <c r="P588" s="361"/>
      <c r="Q588" s="358" t="s">
        <v>9207</v>
      </c>
      <c r="R588" s="361"/>
      <c r="S588" s="361"/>
      <c r="T588" s="377" t="str">
        <f t="shared" si="22"/>
        <v>SOA0044-008 - Test Case – Abnormal VA Transaction: Virtual account tidak terdaftar di varetail_account.pdf</v>
      </c>
      <c r="U588" s="359"/>
      <c r="V588" s="359"/>
      <c r="W588" s="359"/>
      <c r="X588" s="359"/>
      <c r="Y588" s="359"/>
      <c r="Z588" s="364">
        <v>44994</v>
      </c>
      <c r="AA588" s="359" t="s">
        <v>254</v>
      </c>
    </row>
    <row r="589" spans="1:27">
      <c r="A589" s="769"/>
      <c r="B589" s="769"/>
      <c r="C589" s="357" t="s">
        <v>10707</v>
      </c>
      <c r="D589" s="357" t="s">
        <v>10708</v>
      </c>
      <c r="E589" s="357" t="s">
        <v>1743</v>
      </c>
      <c r="F589" s="357" t="s">
        <v>9205</v>
      </c>
      <c r="G589" s="769"/>
      <c r="H589" s="357" t="str">
        <f t="shared" si="21"/>
        <v>SOA0044-009 - Test Case – Abnormal VA Transaction: beneficiary account salah.pdf.txt</v>
      </c>
      <c r="I589" s="357"/>
      <c r="J589" s="357"/>
      <c r="K589" s="357"/>
      <c r="L589" s="357"/>
      <c r="M589" s="357"/>
      <c r="N589" s="357"/>
      <c r="O589" s="357"/>
      <c r="P589" s="357"/>
      <c r="Q589" s="358" t="s">
        <v>9207</v>
      </c>
      <c r="R589" s="357"/>
      <c r="S589" s="357"/>
      <c r="T589" s="377" t="str">
        <f t="shared" si="22"/>
        <v>SOA0044-009 - Test Case – Abnormal VA Transaction: beneficiary account salah.pdf</v>
      </c>
      <c r="U589" s="359"/>
      <c r="V589" s="359"/>
      <c r="W589" s="359"/>
      <c r="X589" s="359"/>
      <c r="Y589" s="359"/>
      <c r="Z589" s="364">
        <v>44994</v>
      </c>
      <c r="AA589" s="359" t="s">
        <v>254</v>
      </c>
    </row>
    <row r="590" spans="1:27">
      <c r="A590" s="769"/>
      <c r="B590" s="769"/>
      <c r="C590" s="361" t="s">
        <v>10709</v>
      </c>
      <c r="D590" s="361" t="s">
        <v>10710</v>
      </c>
      <c r="E590" s="361" t="s">
        <v>1743</v>
      </c>
      <c r="F590" s="361" t="s">
        <v>9205</v>
      </c>
      <c r="G590" s="769"/>
      <c r="H590" s="361" t="str">
        <f t="shared" si="21"/>
        <v>SOA0044-010 - Test Case – Abnormal VA Transaction: saldo rekening VA tidak cukup.pdf.txt</v>
      </c>
      <c r="I590" s="361"/>
      <c r="J590" s="361"/>
      <c r="K590" s="361"/>
      <c r="L590" s="361"/>
      <c r="M590" s="361"/>
      <c r="N590" s="361"/>
      <c r="O590" s="361"/>
      <c r="P590" s="361"/>
      <c r="Q590" s="358" t="s">
        <v>9207</v>
      </c>
      <c r="R590" s="361"/>
      <c r="S590" s="361"/>
      <c r="T590" s="377" t="str">
        <f t="shared" si="22"/>
        <v>SOA0044-010 - Test Case – Abnormal VA Transaction: saldo rekening VA tidak cukup.pdf</v>
      </c>
      <c r="U590" s="359"/>
      <c r="V590" s="359"/>
      <c r="W590" s="359"/>
      <c r="X590" s="359"/>
      <c r="Y590" s="359"/>
      <c r="Z590" s="364">
        <v>44994</v>
      </c>
      <c r="AA590" s="359" t="s">
        <v>254</v>
      </c>
    </row>
    <row r="591" spans="1:27">
      <c r="A591" s="356" t="s">
        <v>10711</v>
      </c>
      <c r="B591" s="356" t="s">
        <v>10712</v>
      </c>
      <c r="C591" s="357" t="s">
        <v>10713</v>
      </c>
      <c r="D591" s="357" t="s">
        <v>10714</v>
      </c>
      <c r="E591" s="357" t="s">
        <v>1732</v>
      </c>
      <c r="F591" s="357" t="s">
        <v>9205</v>
      </c>
      <c r="G591" s="562" t="s">
        <v>10715</v>
      </c>
      <c r="H591" s="357" t="str">
        <f t="shared" si="21"/>
        <v>SOA0045-001 - Test Case – BP_BancslinkPing-Normal bancslink ping.pdf.txt</v>
      </c>
      <c r="I591" s="357"/>
      <c r="J591" s="357"/>
      <c r="K591" s="357"/>
      <c r="L591" s="357"/>
      <c r="M591" s="357"/>
      <c r="N591" s="357"/>
      <c r="O591" s="357"/>
      <c r="P591" s="357"/>
      <c r="Q591" s="358" t="s">
        <v>9207</v>
      </c>
      <c r="R591" s="357"/>
      <c r="S591" s="357"/>
      <c r="T591" s="377" t="str">
        <f t="shared" si="22"/>
        <v>SOA0045-001 - Test Case – BP_BancslinkPing-Normal bancslink ping.pdf</v>
      </c>
      <c r="U591" s="359"/>
      <c r="V591" s="359"/>
      <c r="W591" s="359"/>
      <c r="X591" s="359"/>
      <c r="Y591" s="359"/>
      <c r="Z591" s="364">
        <v>44994</v>
      </c>
      <c r="AA591" s="359" t="s">
        <v>254</v>
      </c>
    </row>
    <row r="592" spans="1:27">
      <c r="A592" s="362" t="s">
        <v>10716</v>
      </c>
      <c r="B592" s="730" t="s">
        <v>10717</v>
      </c>
      <c r="C592" s="361" t="s">
        <v>10718</v>
      </c>
      <c r="D592" s="361" t="s">
        <v>10719</v>
      </c>
      <c r="E592" s="361" t="s">
        <v>1732</v>
      </c>
      <c r="F592" s="361" t="s">
        <v>9205</v>
      </c>
      <c r="G592" s="561" t="s">
        <v>10143</v>
      </c>
      <c r="H592" s="361" t="str">
        <f t="shared" si="21"/>
        <v>SOA0046-001 - Test Case - BP_AntiAttrition: Normal Rekening Simpanan.pdf.txt</v>
      </c>
      <c r="I592" s="361"/>
      <c r="J592" s="361"/>
      <c r="K592" s="361"/>
      <c r="L592" s="361"/>
      <c r="M592" s="361"/>
      <c r="N592" s="361"/>
      <c r="O592" s="361"/>
      <c r="P592" s="361"/>
      <c r="Q592" s="358" t="s">
        <v>9207</v>
      </c>
      <c r="R592" s="361"/>
      <c r="S592" s="361"/>
      <c r="T592" s="377" t="str">
        <f t="shared" si="22"/>
        <v>SOA0046-001 - Test Case - BP_AntiAttrition: Normal Rekening Simpanan.pdf</v>
      </c>
      <c r="U592" s="359"/>
      <c r="V592" s="359"/>
      <c r="W592" s="359"/>
      <c r="X592" s="359"/>
      <c r="Y592" s="359"/>
      <c r="Z592" s="364">
        <v>44994</v>
      </c>
      <c r="AA592" s="359" t="s">
        <v>254</v>
      </c>
    </row>
    <row r="593" spans="1:27">
      <c r="A593" s="356"/>
      <c r="B593" s="769"/>
      <c r="C593" s="357" t="s">
        <v>10720</v>
      </c>
      <c r="D593" s="357" t="s">
        <v>10721</v>
      </c>
      <c r="E593" s="357" t="s">
        <v>1732</v>
      </c>
      <c r="F593" s="357" t="s">
        <v>9205</v>
      </c>
      <c r="G593" s="375"/>
      <c r="H593" s="357" t="str">
        <f t="shared" si="21"/>
        <v>SOA0046-002 - Test Case – BP_AntiAttrition: Normal Rekening Pinjaman.pdf.txt</v>
      </c>
      <c r="I593" s="357"/>
      <c r="J593" s="357"/>
      <c r="K593" s="357"/>
      <c r="L593" s="357"/>
      <c r="M593" s="357"/>
      <c r="N593" s="357"/>
      <c r="O593" s="357"/>
      <c r="P593" s="357"/>
      <c r="Q593" s="358" t="s">
        <v>9207</v>
      </c>
      <c r="R593" s="357"/>
      <c r="S593" s="357"/>
      <c r="T593" s="377" t="str">
        <f t="shared" si="22"/>
        <v>SOA0046-002 - Test Case – BP_AntiAttrition: Normal Rekening Pinjaman.pdf</v>
      </c>
      <c r="U593" s="359"/>
      <c r="V593" s="359"/>
      <c r="W593" s="359"/>
      <c r="X593" s="359"/>
      <c r="Y593" s="359"/>
      <c r="Z593" s="364"/>
      <c r="AA593" s="359"/>
    </row>
    <row r="594" spans="1:27">
      <c r="A594" s="362"/>
      <c r="B594" s="769"/>
      <c r="C594" s="361" t="s">
        <v>10722</v>
      </c>
      <c r="D594" s="361" t="s">
        <v>10723</v>
      </c>
      <c r="E594" s="361"/>
      <c r="F594" s="361"/>
      <c r="G594" s="376"/>
      <c r="H594" s="361"/>
      <c r="I594" s="361"/>
      <c r="J594" s="361"/>
      <c r="K594" s="361"/>
      <c r="L594" s="361"/>
      <c r="M594" s="361"/>
      <c r="N594" s="361"/>
      <c r="O594" s="361"/>
      <c r="P594" s="361"/>
      <c r="Q594" s="358"/>
      <c r="R594" s="361"/>
      <c r="S594" s="361"/>
      <c r="T594" s="377" t="str">
        <f t="shared" si="22"/>
        <v>SOA0046-003 - Test Case – BP_AntiAttrition: Abnormal Rekening Simpanan.pdf</v>
      </c>
      <c r="U594" s="359"/>
      <c r="V594" s="359"/>
      <c r="W594" s="359"/>
      <c r="X594" s="359"/>
      <c r="Y594" s="359"/>
      <c r="Z594" s="364"/>
      <c r="AA594" s="359"/>
    </row>
    <row r="595" spans="1:27">
      <c r="A595" s="356" t="s">
        <v>10724</v>
      </c>
      <c r="B595" s="356" t="s">
        <v>10725</v>
      </c>
      <c r="C595" s="357" t="s">
        <v>10726</v>
      </c>
      <c r="D595" s="357" t="s">
        <v>10727</v>
      </c>
      <c r="E595" s="357" t="s">
        <v>1732</v>
      </c>
      <c r="F595" s="357" t="s">
        <v>9205</v>
      </c>
      <c r="G595" s="562" t="s">
        <v>10728</v>
      </c>
      <c r="H595" s="357" t="str">
        <f>CONCATENATE(T595,".txt")</f>
        <v>SOA0047-001 - Normal Autosettlement pembayaran VA H2H BPJS TK melalui Bank Lain.pdf.txt</v>
      </c>
      <c r="I595" s="357"/>
      <c r="J595" s="357"/>
      <c r="K595" s="357"/>
      <c r="L595" s="357"/>
      <c r="M595" s="357"/>
      <c r="N595" s="357"/>
      <c r="O595" s="357"/>
      <c r="P595" s="357"/>
      <c r="Q595" s="358" t="s">
        <v>9207</v>
      </c>
      <c r="R595" s="357"/>
      <c r="S595" s="357"/>
      <c r="T595" s="377" t="str">
        <f t="shared" si="22"/>
        <v>SOA0047-001 - Normal Autosettlement pembayaran VA H2H BPJS TK melalui Bank Lain.pdf</v>
      </c>
      <c r="U595" s="359"/>
      <c r="V595" s="359"/>
      <c r="W595" s="359"/>
      <c r="X595" s="359"/>
      <c r="Y595" s="359"/>
      <c r="Z595" s="364">
        <v>44994</v>
      </c>
      <c r="AA595" s="359" t="s">
        <v>254</v>
      </c>
    </row>
    <row r="596" spans="1:27">
      <c r="A596" s="362" t="s">
        <v>10729</v>
      </c>
      <c r="B596" s="362" t="s">
        <v>10730</v>
      </c>
      <c r="C596" s="361"/>
      <c r="D596" s="361"/>
      <c r="E596" s="361"/>
      <c r="F596" s="361"/>
      <c r="G596" s="376"/>
      <c r="H596" s="361"/>
      <c r="I596" s="361"/>
      <c r="J596" s="361"/>
      <c r="K596" s="361"/>
      <c r="L596" s="361"/>
      <c r="M596" s="361"/>
      <c r="N596" s="361"/>
      <c r="O596" s="361"/>
      <c r="P596" s="361"/>
      <c r="Q596" s="361"/>
      <c r="R596" s="361"/>
      <c r="S596" s="361"/>
      <c r="T596" s="359"/>
      <c r="U596" s="359"/>
      <c r="V596" s="359"/>
      <c r="W596" s="359"/>
      <c r="X596" s="359"/>
      <c r="Y596" s="359"/>
      <c r="Z596" s="364"/>
      <c r="AA596" s="359"/>
    </row>
    <row r="597" spans="1:27">
      <c r="A597" s="731" t="s">
        <v>10731</v>
      </c>
      <c r="B597" s="731" t="s">
        <v>10732</v>
      </c>
      <c r="C597" s="357" t="s">
        <v>10733</v>
      </c>
      <c r="D597" s="357" t="s">
        <v>10734</v>
      </c>
      <c r="E597" s="357" t="s">
        <v>1732</v>
      </c>
      <c r="F597" s="357" t="s">
        <v>9205</v>
      </c>
      <c r="G597" s="723" t="s">
        <v>10691</v>
      </c>
      <c r="H597" s="357"/>
      <c r="I597" s="357"/>
      <c r="J597" s="357"/>
      <c r="K597" s="357"/>
      <c r="L597" s="357"/>
      <c r="M597" s="357"/>
      <c r="N597" s="357"/>
      <c r="O597" s="357"/>
      <c r="P597" s="357"/>
      <c r="Q597" s="357"/>
      <c r="R597" s="357"/>
      <c r="S597" s="357"/>
      <c r="T597" s="359"/>
      <c r="U597" s="359"/>
      <c r="V597" s="359"/>
      <c r="W597" s="359"/>
      <c r="X597" s="359"/>
      <c r="Y597" s="359"/>
      <c r="Z597" s="364"/>
      <c r="AA597" s="359"/>
    </row>
    <row r="598" spans="1:27">
      <c r="A598" s="769"/>
      <c r="B598" s="769"/>
      <c r="C598" s="361" t="s">
        <v>10735</v>
      </c>
      <c r="D598" s="361" t="s">
        <v>10736</v>
      </c>
      <c r="E598" s="361" t="s">
        <v>1743</v>
      </c>
      <c r="F598" s="361" t="s">
        <v>9205</v>
      </c>
      <c r="G598" s="769"/>
      <c r="H598" s="361"/>
      <c r="I598" s="361"/>
      <c r="J598" s="361"/>
      <c r="K598" s="361"/>
      <c r="L598" s="361"/>
      <c r="M598" s="361"/>
      <c r="N598" s="361"/>
      <c r="O598" s="361"/>
      <c r="P598" s="361"/>
      <c r="Q598" s="361"/>
      <c r="R598" s="361"/>
      <c r="S598" s="361"/>
      <c r="T598" s="359"/>
      <c r="U598" s="359"/>
      <c r="V598" s="359"/>
      <c r="W598" s="359"/>
      <c r="X598" s="359"/>
      <c r="Y598" s="359"/>
      <c r="Z598" s="364"/>
      <c r="AA598" s="359"/>
    </row>
    <row r="599" spans="1:27">
      <c r="A599" s="769"/>
      <c r="B599" s="769"/>
      <c r="C599" s="357" t="s">
        <v>10737</v>
      </c>
      <c r="D599" s="357" t="s">
        <v>10738</v>
      </c>
      <c r="E599" s="357" t="s">
        <v>1732</v>
      </c>
      <c r="F599" s="357" t="s">
        <v>9205</v>
      </c>
      <c r="G599" s="769"/>
      <c r="H599" s="357"/>
      <c r="I599" s="357"/>
      <c r="J599" s="357"/>
      <c r="K599" s="357"/>
      <c r="L599" s="357"/>
      <c r="M599" s="357"/>
      <c r="N599" s="357"/>
      <c r="O599" s="357"/>
      <c r="P599" s="357"/>
      <c r="Q599" s="357"/>
      <c r="R599" s="357"/>
      <c r="S599" s="357"/>
      <c r="T599" s="359"/>
      <c r="U599" s="359"/>
      <c r="V599" s="359"/>
      <c r="W599" s="359"/>
      <c r="X599" s="359"/>
      <c r="Y599" s="359"/>
      <c r="Z599" s="364"/>
      <c r="AA599" s="359"/>
    </row>
    <row r="600" spans="1:27">
      <c r="A600" s="769"/>
      <c r="B600" s="769"/>
      <c r="C600" s="361" t="s">
        <v>10739</v>
      </c>
      <c r="D600" s="361" t="s">
        <v>10740</v>
      </c>
      <c r="E600" s="361" t="s">
        <v>1732</v>
      </c>
      <c r="F600" s="361" t="s">
        <v>9205</v>
      </c>
      <c r="G600" s="769"/>
      <c r="H600" s="361"/>
      <c r="I600" s="361"/>
      <c r="J600" s="361"/>
      <c r="K600" s="361"/>
      <c r="L600" s="361"/>
      <c r="M600" s="361"/>
      <c r="N600" s="361"/>
      <c r="O600" s="361"/>
      <c r="P600" s="361"/>
      <c r="Q600" s="361"/>
      <c r="R600" s="361"/>
      <c r="S600" s="361"/>
      <c r="T600" s="359"/>
      <c r="U600" s="359"/>
      <c r="V600" s="359"/>
      <c r="W600" s="359"/>
      <c r="X600" s="359"/>
      <c r="Y600" s="359"/>
      <c r="Z600" s="364"/>
      <c r="AA600" s="359"/>
    </row>
    <row r="601" spans="1:27">
      <c r="A601" s="769"/>
      <c r="B601" s="769"/>
      <c r="C601" s="357" t="s">
        <v>10741</v>
      </c>
      <c r="D601" s="357" t="s">
        <v>10742</v>
      </c>
      <c r="E601" s="357" t="s">
        <v>1743</v>
      </c>
      <c r="F601" s="357" t="s">
        <v>9205</v>
      </c>
      <c r="G601" s="769"/>
      <c r="H601" s="357"/>
      <c r="I601" s="357"/>
      <c r="J601" s="357"/>
      <c r="K601" s="357"/>
      <c r="L601" s="357"/>
      <c r="M601" s="357"/>
      <c r="N601" s="357"/>
      <c r="O601" s="357"/>
      <c r="P601" s="357"/>
      <c r="Q601" s="357"/>
      <c r="R601" s="357"/>
      <c r="S601" s="357"/>
      <c r="T601" s="359"/>
      <c r="U601" s="359"/>
      <c r="V601" s="359"/>
      <c r="W601" s="359"/>
      <c r="X601" s="359"/>
      <c r="Y601" s="359"/>
      <c r="Z601" s="364"/>
      <c r="AA601" s="359"/>
    </row>
    <row r="602" spans="1:27">
      <c r="A602" s="769"/>
      <c r="B602" s="769"/>
      <c r="C602" s="361" t="s">
        <v>10743</v>
      </c>
      <c r="D602" s="361" t="s">
        <v>10744</v>
      </c>
      <c r="E602" s="361" t="s">
        <v>1732</v>
      </c>
      <c r="F602" s="361" t="s">
        <v>9205</v>
      </c>
      <c r="G602" s="769"/>
      <c r="H602" s="361"/>
      <c r="I602" s="361"/>
      <c r="J602" s="361"/>
      <c r="K602" s="361"/>
      <c r="L602" s="361"/>
      <c r="M602" s="361"/>
      <c r="N602" s="361"/>
      <c r="O602" s="361"/>
      <c r="P602" s="361"/>
      <c r="Q602" s="361"/>
      <c r="R602" s="361"/>
      <c r="S602" s="361"/>
      <c r="T602" s="359"/>
      <c r="U602" s="359"/>
      <c r="V602" s="359"/>
      <c r="W602" s="359"/>
      <c r="X602" s="359"/>
      <c r="Y602" s="359"/>
      <c r="Z602" s="364"/>
      <c r="AA602" s="359"/>
    </row>
    <row r="603" spans="1:27">
      <c r="A603" s="769"/>
      <c r="B603" s="769"/>
      <c r="C603" s="357" t="s">
        <v>10745</v>
      </c>
      <c r="D603" s="357" t="s">
        <v>10746</v>
      </c>
      <c r="E603" s="357" t="s">
        <v>1743</v>
      </c>
      <c r="F603" s="357" t="s">
        <v>9205</v>
      </c>
      <c r="G603" s="769"/>
      <c r="H603" s="357"/>
      <c r="I603" s="357"/>
      <c r="J603" s="357"/>
      <c r="K603" s="357"/>
      <c r="L603" s="357"/>
      <c r="M603" s="357"/>
      <c r="N603" s="357"/>
      <c r="O603" s="357"/>
      <c r="P603" s="357"/>
      <c r="Q603" s="357"/>
      <c r="R603" s="357"/>
      <c r="S603" s="357"/>
      <c r="T603" s="359"/>
      <c r="U603" s="359"/>
      <c r="V603" s="359"/>
      <c r="W603" s="359"/>
      <c r="X603" s="359"/>
      <c r="Y603" s="359"/>
      <c r="Z603" s="364"/>
      <c r="AA603" s="359"/>
    </row>
    <row r="604" spans="1:27">
      <c r="A604" s="769"/>
      <c r="B604" s="769"/>
      <c r="C604" s="361" t="s">
        <v>10747</v>
      </c>
      <c r="D604" s="361" t="s">
        <v>10748</v>
      </c>
      <c r="E604" s="361" t="s">
        <v>1732</v>
      </c>
      <c r="F604" s="361" t="s">
        <v>9205</v>
      </c>
      <c r="G604" s="769"/>
      <c r="H604" s="361"/>
      <c r="I604" s="361"/>
      <c r="J604" s="361"/>
      <c r="K604" s="361"/>
      <c r="L604" s="361"/>
      <c r="M604" s="361"/>
      <c r="N604" s="361"/>
      <c r="O604" s="361"/>
      <c r="P604" s="361"/>
      <c r="Q604" s="361"/>
      <c r="R604" s="361"/>
      <c r="S604" s="361"/>
      <c r="T604" s="359"/>
      <c r="U604" s="359"/>
      <c r="V604" s="359"/>
      <c r="W604" s="359"/>
      <c r="X604" s="359"/>
      <c r="Y604" s="359"/>
      <c r="Z604" s="364"/>
      <c r="AA604" s="359"/>
    </row>
    <row r="605" spans="1:27">
      <c r="A605" s="769"/>
      <c r="B605" s="769"/>
      <c r="C605" s="357" t="s">
        <v>10749</v>
      </c>
      <c r="D605" s="357" t="s">
        <v>10750</v>
      </c>
      <c r="E605" s="357" t="s">
        <v>1743</v>
      </c>
      <c r="F605" s="357" t="s">
        <v>9205</v>
      </c>
      <c r="G605" s="769"/>
      <c r="H605" s="357"/>
      <c r="I605" s="357"/>
      <c r="J605" s="357"/>
      <c r="K605" s="357"/>
      <c r="L605" s="357"/>
      <c r="M605" s="357"/>
      <c r="N605" s="357"/>
      <c r="O605" s="357"/>
      <c r="P605" s="357"/>
      <c r="Q605" s="357"/>
      <c r="R605" s="357"/>
      <c r="S605" s="357"/>
      <c r="T605" s="359"/>
      <c r="U605" s="359"/>
      <c r="V605" s="359"/>
      <c r="W605" s="359"/>
      <c r="X605" s="359"/>
      <c r="Y605" s="359"/>
      <c r="Z605" s="364"/>
      <c r="AA605" s="359"/>
    </row>
    <row r="606" spans="1:27">
      <c r="A606" s="769"/>
      <c r="B606" s="769"/>
      <c r="C606" s="361" t="s">
        <v>10751</v>
      </c>
      <c r="D606" s="361" t="s">
        <v>10752</v>
      </c>
      <c r="E606" s="361" t="s">
        <v>1732</v>
      </c>
      <c r="F606" s="361" t="s">
        <v>9205</v>
      </c>
      <c r="G606" s="769"/>
      <c r="H606" s="361"/>
      <c r="I606" s="361"/>
      <c r="J606" s="361"/>
      <c r="K606" s="361"/>
      <c r="L606" s="361"/>
      <c r="M606" s="361"/>
      <c r="N606" s="361"/>
      <c r="O606" s="361"/>
      <c r="P606" s="361"/>
      <c r="Q606" s="361"/>
      <c r="R606" s="361"/>
      <c r="S606" s="361"/>
      <c r="T606" s="359"/>
      <c r="U606" s="359"/>
      <c r="V606" s="359"/>
      <c r="W606" s="359"/>
      <c r="X606" s="359"/>
      <c r="Y606" s="359"/>
      <c r="Z606" s="364"/>
      <c r="AA606" s="359"/>
    </row>
    <row r="607" spans="1:27">
      <c r="A607" s="769"/>
      <c r="B607" s="769"/>
      <c r="C607" s="357" t="s">
        <v>10753</v>
      </c>
      <c r="D607" s="357" t="s">
        <v>10754</v>
      </c>
      <c r="E607" s="357" t="s">
        <v>1732</v>
      </c>
      <c r="F607" s="357" t="s">
        <v>9205</v>
      </c>
      <c r="G607" s="769"/>
      <c r="H607" s="357"/>
      <c r="I607" s="357"/>
      <c r="J607" s="357"/>
      <c r="K607" s="357"/>
      <c r="L607" s="357"/>
      <c r="M607" s="357"/>
      <c r="N607" s="357"/>
      <c r="O607" s="357"/>
      <c r="P607" s="357"/>
      <c r="Q607" s="357"/>
      <c r="R607" s="357"/>
      <c r="S607" s="357"/>
      <c r="T607" s="359"/>
      <c r="U607" s="359"/>
      <c r="V607" s="359"/>
      <c r="W607" s="359"/>
      <c r="X607" s="359"/>
      <c r="Y607" s="359"/>
      <c r="Z607" s="364"/>
      <c r="AA607" s="359"/>
    </row>
    <row r="608" spans="1:27">
      <c r="A608" s="769"/>
      <c r="B608" s="769"/>
      <c r="C608" s="361" t="s">
        <v>10755</v>
      </c>
      <c r="D608" s="361" t="s">
        <v>10756</v>
      </c>
      <c r="E608" s="361" t="s">
        <v>1743</v>
      </c>
      <c r="F608" s="361" t="s">
        <v>9205</v>
      </c>
      <c r="G608" s="769"/>
      <c r="H608" s="361"/>
      <c r="I608" s="361"/>
      <c r="J608" s="361"/>
      <c r="K608" s="361"/>
      <c r="L608" s="361"/>
      <c r="M608" s="361"/>
      <c r="N608" s="361"/>
      <c r="O608" s="361"/>
      <c r="P608" s="361"/>
      <c r="Q608" s="361"/>
      <c r="R608" s="361"/>
      <c r="S608" s="361"/>
      <c r="T608" s="359"/>
      <c r="U608" s="359"/>
      <c r="V608" s="359"/>
      <c r="W608" s="359"/>
      <c r="X608" s="359"/>
      <c r="Y608" s="359"/>
      <c r="Z608" s="364"/>
      <c r="AA608" s="359"/>
    </row>
    <row r="609" spans="1:27">
      <c r="A609" s="731" t="s">
        <v>10757</v>
      </c>
      <c r="B609" s="731" t="s">
        <v>10758</v>
      </c>
      <c r="C609" s="357" t="s">
        <v>10759</v>
      </c>
      <c r="D609" s="357" t="s">
        <v>10760</v>
      </c>
      <c r="E609" s="357" t="s">
        <v>1732</v>
      </c>
      <c r="F609" s="357" t="s">
        <v>9205</v>
      </c>
      <c r="G609" s="737" t="s">
        <v>10761</v>
      </c>
      <c r="H609" s="357" t="str">
        <f>CONCATENATE(T609,".txt")</f>
        <v>SOA0050-001 - Normal Inquiry CashPickup.pdf.txt</v>
      </c>
      <c r="I609" s="357"/>
      <c r="J609" s="357"/>
      <c r="K609" s="357"/>
      <c r="L609" s="357"/>
      <c r="M609" s="357"/>
      <c r="N609" s="357"/>
      <c r="O609" s="357"/>
      <c r="P609" s="357"/>
      <c r="Q609" s="358" t="s">
        <v>9207</v>
      </c>
      <c r="R609" s="357"/>
      <c r="S609" s="357"/>
      <c r="T609" s="377" t="str">
        <f>CONCATENATE(C609, " - ", D609, ".pdf")</f>
        <v>SOA0050-001 - Normal Inquiry CashPickup.pdf</v>
      </c>
      <c r="U609" s="359"/>
      <c r="V609" s="359"/>
      <c r="W609" s="359"/>
      <c r="X609" s="359"/>
      <c r="Y609" s="359"/>
      <c r="Z609" s="364">
        <v>45027</v>
      </c>
      <c r="AA609" s="359" t="s">
        <v>254</v>
      </c>
    </row>
    <row r="610" spans="1:27">
      <c r="A610" s="769"/>
      <c r="B610" s="769"/>
      <c r="C610" s="361" t="s">
        <v>10762</v>
      </c>
      <c r="D610" s="361" t="s">
        <v>10763</v>
      </c>
      <c r="E610" s="361" t="s">
        <v>1743</v>
      </c>
      <c r="F610" s="361" t="s">
        <v>9205</v>
      </c>
      <c r="G610" s="769"/>
      <c r="H610" s="361"/>
      <c r="I610" s="361"/>
      <c r="J610" s="361"/>
      <c r="K610" s="361"/>
      <c r="L610" s="361"/>
      <c r="M610" s="361"/>
      <c r="N610" s="361"/>
      <c r="O610" s="361"/>
      <c r="P610" s="361"/>
      <c r="Q610" s="241" t="s">
        <v>7371</v>
      </c>
      <c r="R610" s="361"/>
      <c r="S610" s="361"/>
      <c r="T610" s="359"/>
      <c r="U610" s="359"/>
      <c r="V610" s="359"/>
      <c r="W610" s="359"/>
      <c r="X610" s="359"/>
      <c r="Y610" s="359"/>
      <c r="Z610" s="364"/>
      <c r="AA610" s="359"/>
    </row>
    <row r="611" spans="1:27">
      <c r="A611" s="769"/>
      <c r="B611" s="769"/>
      <c r="C611" s="357" t="s">
        <v>10764</v>
      </c>
      <c r="D611" s="357" t="s">
        <v>10765</v>
      </c>
      <c r="E611" s="357" t="s">
        <v>1743</v>
      </c>
      <c r="F611" s="357" t="s">
        <v>9205</v>
      </c>
      <c r="G611" s="769"/>
      <c r="H611" s="357" t="str">
        <f t="shared" ref="H611:H613" si="23">CONCATENATE(T611,".txt")</f>
        <v>SOA0050-003 - Abnormal Inquiry CashPickup : invalid clientId.pdf.txt</v>
      </c>
      <c r="I611" s="357"/>
      <c r="J611" s="357"/>
      <c r="K611" s="357"/>
      <c r="L611" s="357"/>
      <c r="M611" s="357"/>
      <c r="N611" s="357"/>
      <c r="O611" s="357"/>
      <c r="P611" s="357"/>
      <c r="Q611" s="358" t="s">
        <v>9207</v>
      </c>
      <c r="R611" s="357"/>
      <c r="S611" s="357"/>
      <c r="T611" s="377" t="str">
        <f t="shared" ref="T611:T613" si="24">CONCATENATE(C611, " - ", D611, ".pdf")</f>
        <v>SOA0050-003 - Abnormal Inquiry CashPickup : invalid clientId.pdf</v>
      </c>
      <c r="U611" s="359"/>
      <c r="V611" s="359"/>
      <c r="W611" s="359"/>
      <c r="X611" s="359"/>
      <c r="Y611" s="359"/>
      <c r="Z611" s="364">
        <v>45027</v>
      </c>
      <c r="AA611" s="359" t="s">
        <v>254</v>
      </c>
    </row>
    <row r="612" spans="1:27">
      <c r="A612" s="769"/>
      <c r="B612" s="769"/>
      <c r="C612" s="361" t="s">
        <v>10766</v>
      </c>
      <c r="D612" s="361" t="s">
        <v>10767</v>
      </c>
      <c r="E612" s="361" t="s">
        <v>1743</v>
      </c>
      <c r="F612" s="361" t="s">
        <v>9205</v>
      </c>
      <c r="G612" s="769"/>
      <c r="H612" s="361" t="str">
        <f t="shared" si="23"/>
        <v>SOA0050-004 - Abnormal Payment CashPickup : refferenceNum dan counterAdvis sudah dibayarkan / lunas.pdf.txt</v>
      </c>
      <c r="I612" s="361"/>
      <c r="J612" s="361"/>
      <c r="K612" s="361"/>
      <c r="L612" s="361"/>
      <c r="M612" s="361"/>
      <c r="N612" s="361"/>
      <c r="O612" s="361"/>
      <c r="P612" s="361"/>
      <c r="Q612" s="358" t="s">
        <v>9207</v>
      </c>
      <c r="R612" s="361"/>
      <c r="S612" s="361"/>
      <c r="T612" s="377" t="str">
        <f t="shared" si="24"/>
        <v>SOA0050-004 - Abnormal Payment CashPickup : refferenceNum dan counterAdvis sudah dibayarkan / lunas.pdf</v>
      </c>
      <c r="U612" s="359"/>
      <c r="V612" s="359"/>
      <c r="W612" s="359"/>
      <c r="X612" s="359"/>
      <c r="Y612" s="359"/>
      <c r="Z612" s="364">
        <v>45027</v>
      </c>
      <c r="AA612" s="359" t="s">
        <v>254</v>
      </c>
    </row>
    <row r="613" spans="1:27">
      <c r="A613" s="769"/>
      <c r="B613" s="769"/>
      <c r="C613" s="357" t="s">
        <v>10768</v>
      </c>
      <c r="D613" s="357" t="s">
        <v>10769</v>
      </c>
      <c r="E613" s="357" t="s">
        <v>1743</v>
      </c>
      <c r="F613" s="357" t="s">
        <v>9205</v>
      </c>
      <c r="G613" s="769"/>
      <c r="H613" s="357" t="str">
        <f t="shared" si="23"/>
        <v>SOA0050-005 - Abnormal Payment CashPickup: invalid reffNum.pdf.txt</v>
      </c>
      <c r="I613" s="357"/>
      <c r="J613" s="357"/>
      <c r="K613" s="357"/>
      <c r="L613" s="357"/>
      <c r="M613" s="357"/>
      <c r="N613" s="357"/>
      <c r="O613" s="357"/>
      <c r="P613" s="357"/>
      <c r="Q613" s="358" t="s">
        <v>9207</v>
      </c>
      <c r="R613" s="357"/>
      <c r="S613" s="357"/>
      <c r="T613" s="377" t="str">
        <f t="shared" si="24"/>
        <v>SOA0050-005 - Abnormal Payment CashPickup: invalid reffNum.pdf</v>
      </c>
      <c r="U613" s="359"/>
      <c r="V613" s="359"/>
      <c r="W613" s="359"/>
      <c r="X613" s="359"/>
      <c r="Y613" s="359"/>
      <c r="Z613" s="364">
        <v>45027</v>
      </c>
      <c r="AA613" s="359" t="s">
        <v>254</v>
      </c>
    </row>
    <row r="614" spans="1:27">
      <c r="A614" s="384"/>
      <c r="B614" s="384" t="s">
        <v>10770</v>
      </c>
      <c r="C614" s="385"/>
      <c r="D614" s="385"/>
      <c r="E614" s="385"/>
      <c r="F614" s="385"/>
      <c r="G614" s="386"/>
      <c r="H614" s="385"/>
      <c r="I614" s="385"/>
      <c r="J614" s="385"/>
      <c r="K614" s="385"/>
      <c r="L614" s="385"/>
      <c r="M614" s="385"/>
      <c r="N614" s="385"/>
      <c r="O614" s="385"/>
      <c r="P614" s="385"/>
      <c r="Q614" s="385"/>
      <c r="R614" s="385"/>
      <c r="S614" s="385"/>
      <c r="T614" s="385"/>
      <c r="U614" s="385"/>
      <c r="V614" s="385"/>
      <c r="W614" s="385"/>
      <c r="X614" s="385"/>
      <c r="Y614" s="385"/>
      <c r="Z614" s="387"/>
      <c r="AA614" s="385"/>
    </row>
    <row r="615" spans="1:27">
      <c r="A615" s="356" t="s">
        <v>10711</v>
      </c>
      <c r="B615" s="356" t="s">
        <v>10771</v>
      </c>
      <c r="C615" s="357" t="s">
        <v>10713</v>
      </c>
      <c r="D615" s="357" t="s">
        <v>10714</v>
      </c>
      <c r="E615" s="357" t="s">
        <v>1732</v>
      </c>
      <c r="F615" s="357" t="s">
        <v>9205</v>
      </c>
      <c r="G615" s="562" t="s">
        <v>10715</v>
      </c>
      <c r="H615" s="357" t="str">
        <f t="shared" ref="H615:H632" si="25">CONCATENATE(T615,".txt")</f>
        <v>SOA0045-001 - Test Case – BP_BancslinkPing-Normal bancslink ping.pdf.txt</v>
      </c>
      <c r="I615" s="357"/>
      <c r="J615" s="357"/>
      <c r="K615" s="357"/>
      <c r="L615" s="357"/>
      <c r="M615" s="357"/>
      <c r="N615" s="357"/>
      <c r="O615" s="357"/>
      <c r="P615" s="357"/>
      <c r="Q615" s="358" t="s">
        <v>9207</v>
      </c>
      <c r="R615" s="357"/>
      <c r="S615" s="357"/>
      <c r="T615" s="377" t="str">
        <f t="shared" ref="T615:T633" si="26">CONCATENATE(C615, " - ", D615, ".pdf")</f>
        <v>SOA0045-001 - Test Case – BP_BancslinkPing-Normal bancslink ping.pdf</v>
      </c>
      <c r="U615" s="359"/>
      <c r="V615" s="359"/>
      <c r="W615" s="359"/>
      <c r="X615" s="359"/>
      <c r="Y615" s="359"/>
      <c r="Z615" s="364">
        <v>45028</v>
      </c>
      <c r="AA615" s="359" t="s">
        <v>254</v>
      </c>
    </row>
    <row r="616" spans="1:27">
      <c r="A616" s="730" t="s">
        <v>10223</v>
      </c>
      <c r="B616" s="732" t="s">
        <v>10772</v>
      </c>
      <c r="C616" s="380" t="s">
        <v>10225</v>
      </c>
      <c r="D616" s="389" t="s">
        <v>10773</v>
      </c>
      <c r="E616" s="361" t="s">
        <v>1732</v>
      </c>
      <c r="F616" s="361" t="s">
        <v>9205</v>
      </c>
      <c r="G616" s="738" t="s">
        <v>9494</v>
      </c>
      <c r="H616" s="361" t="str">
        <f t="shared" si="25"/>
        <v>SOA0037-001 - Test Case – BNIDirect: Normal Inquiry NPWP.pdf.txt</v>
      </c>
      <c r="I616" s="361"/>
      <c r="J616" s="361"/>
      <c r="K616" s="361"/>
      <c r="L616" s="361"/>
      <c r="M616" s="361"/>
      <c r="N616" s="361"/>
      <c r="O616" s="361"/>
      <c r="P616" s="361"/>
      <c r="Q616" s="358" t="s">
        <v>9207</v>
      </c>
      <c r="R616" s="361"/>
      <c r="S616" s="361"/>
      <c r="T616" s="377" t="str">
        <f t="shared" si="26"/>
        <v>SOA0037-001 - Test Case – BNIDirect: Normal Inquiry NPWP.pdf</v>
      </c>
      <c r="U616" s="359"/>
      <c r="V616" s="359"/>
      <c r="W616" s="359"/>
      <c r="X616" s="359"/>
      <c r="Y616" s="359"/>
      <c r="Z616" s="364">
        <v>45028</v>
      </c>
      <c r="AA616" s="359" t="s">
        <v>254</v>
      </c>
    </row>
    <row r="617" spans="1:27">
      <c r="A617" s="769"/>
      <c r="B617" s="769"/>
      <c r="C617" s="382" t="s">
        <v>10227</v>
      </c>
      <c r="D617" s="382" t="s">
        <v>10774</v>
      </c>
      <c r="E617" s="357" t="s">
        <v>1743</v>
      </c>
      <c r="F617" s="357" t="s">
        <v>9205</v>
      </c>
      <c r="G617" s="769"/>
      <c r="H617" s="357" t="str">
        <f t="shared" si="25"/>
        <v>SOA0037-002 - Test Case – BNIDirect: Abnormal Inquiry NPWP - Invalid nomor NPWP.pdf.txt</v>
      </c>
      <c r="I617" s="357"/>
      <c r="J617" s="357"/>
      <c r="K617" s="357"/>
      <c r="L617" s="357"/>
      <c r="M617" s="357"/>
      <c r="N617" s="357"/>
      <c r="O617" s="357"/>
      <c r="P617" s="357"/>
      <c r="Q617" s="358" t="s">
        <v>9207</v>
      </c>
      <c r="R617" s="357"/>
      <c r="S617" s="357"/>
      <c r="T617" s="377" t="str">
        <f t="shared" si="26"/>
        <v>SOA0037-002 - Test Case – BNIDirect: Abnormal Inquiry NPWP - Invalid nomor NPWP.pdf</v>
      </c>
      <c r="U617" s="359"/>
      <c r="V617" s="359"/>
      <c r="W617" s="359"/>
      <c r="X617" s="359"/>
      <c r="Y617" s="359"/>
      <c r="Z617" s="364">
        <v>45028</v>
      </c>
      <c r="AA617" s="359" t="s">
        <v>254</v>
      </c>
    </row>
    <row r="618" spans="1:27">
      <c r="A618" s="769"/>
      <c r="B618" s="769"/>
      <c r="C618" s="380" t="s">
        <v>10229</v>
      </c>
      <c r="D618" s="380" t="s">
        <v>10775</v>
      </c>
      <c r="E618" s="361" t="s">
        <v>1732</v>
      </c>
      <c r="F618" s="361" t="s">
        <v>9205</v>
      </c>
      <c r="G618" s="769"/>
      <c r="H618" s="361" t="str">
        <f t="shared" si="25"/>
        <v>SOA0037-003 - Test Case – BNIDirect: Normal Create Billing NPWP IDR.pdf.txt</v>
      </c>
      <c r="I618" s="361"/>
      <c r="J618" s="361"/>
      <c r="K618" s="361"/>
      <c r="L618" s="361"/>
      <c r="M618" s="361"/>
      <c r="N618" s="361"/>
      <c r="O618" s="361"/>
      <c r="P618" s="361"/>
      <c r="Q618" s="358" t="s">
        <v>9207</v>
      </c>
      <c r="R618" s="361"/>
      <c r="S618" s="361"/>
      <c r="T618" s="377" t="str">
        <f t="shared" si="26"/>
        <v>SOA0037-003 - Test Case – BNIDirect: Normal Create Billing NPWP IDR.pdf</v>
      </c>
      <c r="U618" s="359"/>
      <c r="V618" s="359"/>
      <c r="W618" s="359"/>
      <c r="X618" s="359"/>
      <c r="Y618" s="359"/>
      <c r="Z618" s="364">
        <v>45028</v>
      </c>
      <c r="AA618" s="359" t="s">
        <v>254</v>
      </c>
    </row>
    <row r="619" spans="1:27">
      <c r="A619" s="769"/>
      <c r="B619" s="769"/>
      <c r="C619" s="382" t="s">
        <v>10231</v>
      </c>
      <c r="D619" s="382" t="s">
        <v>10776</v>
      </c>
      <c r="E619" s="357" t="s">
        <v>1743</v>
      </c>
      <c r="F619" s="357" t="s">
        <v>9205</v>
      </c>
      <c r="G619" s="769"/>
      <c r="H619" s="357" t="str">
        <f t="shared" si="25"/>
        <v>SOA0037-004 - Test Case – BNIDirect: Abnormal Create Billing NPWP IDR (Tidak butuh NOP /NOP diinput selain 000000000000000000).pdf.txt</v>
      </c>
      <c r="I619" s="357"/>
      <c r="J619" s="357"/>
      <c r="K619" s="357"/>
      <c r="L619" s="357"/>
      <c r="M619" s="357"/>
      <c r="N619" s="357"/>
      <c r="O619" s="357"/>
      <c r="P619" s="357"/>
      <c r="Q619" s="358" t="s">
        <v>9207</v>
      </c>
      <c r="R619" s="357"/>
      <c r="S619" s="357"/>
      <c r="T619" s="377" t="str">
        <f t="shared" si="26"/>
        <v>SOA0037-004 - Test Case – BNIDirect: Abnormal Create Billing NPWP IDR (Tidak butuh NOP /NOP diinput selain 000000000000000000).pdf</v>
      </c>
      <c r="U619" s="359"/>
      <c r="V619" s="359"/>
      <c r="W619" s="359"/>
      <c r="X619" s="359"/>
      <c r="Y619" s="359"/>
      <c r="Z619" s="364">
        <v>45028</v>
      </c>
      <c r="AA619" s="359" t="s">
        <v>254</v>
      </c>
    </row>
    <row r="620" spans="1:27">
      <c r="A620" s="769"/>
      <c r="B620" s="769"/>
      <c r="C620" s="380" t="s">
        <v>10233</v>
      </c>
      <c r="D620" s="380" t="s">
        <v>10777</v>
      </c>
      <c r="E620" s="361" t="s">
        <v>1743</v>
      </c>
      <c r="F620" s="361" t="s">
        <v>9205</v>
      </c>
      <c r="G620" s="769"/>
      <c r="H620" s="361" t="str">
        <f t="shared" si="25"/>
        <v>SOA0037-005 - Test Case – BNIDirect: Abnormal Create Billing NPWP IDR (Masa Pajak tidak berada dalam range 1-12).pdf.txt</v>
      </c>
      <c r="I620" s="361"/>
      <c r="J620" s="361"/>
      <c r="K620" s="361"/>
      <c r="L620" s="361"/>
      <c r="M620" s="361"/>
      <c r="N620" s="361"/>
      <c r="O620" s="361"/>
      <c r="P620" s="361"/>
      <c r="Q620" s="358" t="s">
        <v>9207</v>
      </c>
      <c r="R620" s="361"/>
      <c r="S620" s="361"/>
      <c r="T620" s="377" t="str">
        <f t="shared" si="26"/>
        <v>SOA0037-005 - Test Case – BNIDirect: Abnormal Create Billing NPWP IDR (Masa Pajak tidak berada dalam range 1-12).pdf</v>
      </c>
      <c r="U620" s="359"/>
      <c r="V620" s="359"/>
      <c r="W620" s="359"/>
      <c r="X620" s="359"/>
      <c r="Y620" s="359"/>
      <c r="Z620" s="364">
        <v>45028</v>
      </c>
      <c r="AA620" s="359" t="s">
        <v>254</v>
      </c>
    </row>
    <row r="621" spans="1:27">
      <c r="A621" s="769"/>
      <c r="B621" s="769"/>
      <c r="C621" s="382" t="s">
        <v>10235</v>
      </c>
      <c r="D621" s="382" t="s">
        <v>10778</v>
      </c>
      <c r="E621" s="357" t="s">
        <v>1743</v>
      </c>
      <c r="F621" s="357" t="s">
        <v>9205</v>
      </c>
      <c r="G621" s="769"/>
      <c r="H621" s="357" t="str">
        <f t="shared" si="25"/>
        <v>SOA0037-006 - Test Case – BNIDirect: Abnormal Create Billing NPWP IDR (Nomor SK mengandung karakter).pdf.txt</v>
      </c>
      <c r="I621" s="357"/>
      <c r="J621" s="357"/>
      <c r="K621" s="357"/>
      <c r="L621" s="357"/>
      <c r="M621" s="357"/>
      <c r="N621" s="357"/>
      <c r="O621" s="357"/>
      <c r="P621" s="357"/>
      <c r="Q621" s="358" t="s">
        <v>9207</v>
      </c>
      <c r="R621" s="357"/>
      <c r="S621" s="357"/>
      <c r="T621" s="377" t="str">
        <f t="shared" si="26"/>
        <v>SOA0037-006 - Test Case – BNIDirect: Abnormal Create Billing NPWP IDR (Nomor SK mengandung karakter).pdf</v>
      </c>
      <c r="U621" s="359"/>
      <c r="V621" s="359"/>
      <c r="W621" s="359"/>
      <c r="X621" s="359"/>
      <c r="Y621" s="359"/>
      <c r="Z621" s="364">
        <v>45028</v>
      </c>
      <c r="AA621" s="359" t="s">
        <v>254</v>
      </c>
    </row>
    <row r="622" spans="1:27">
      <c r="A622" s="769"/>
      <c r="B622" s="769"/>
      <c r="C622" s="380" t="s">
        <v>10237</v>
      </c>
      <c r="D622" s="380" t="s">
        <v>10779</v>
      </c>
      <c r="E622" s="361" t="s">
        <v>1743</v>
      </c>
      <c r="F622" s="361" t="s">
        <v>9205</v>
      </c>
      <c r="G622" s="769"/>
      <c r="H622" s="361" t="str">
        <f t="shared" si="25"/>
        <v>SOA0037-007 - Test Case – BNIDirect: Abnormal Create Billing NPWP IDR (Nominal 0).pdf.txt</v>
      </c>
      <c r="I622" s="361"/>
      <c r="J622" s="361"/>
      <c r="K622" s="361"/>
      <c r="L622" s="361"/>
      <c r="M622" s="361"/>
      <c r="N622" s="361"/>
      <c r="O622" s="361"/>
      <c r="P622" s="361"/>
      <c r="Q622" s="358" t="s">
        <v>9207</v>
      </c>
      <c r="R622" s="361"/>
      <c r="S622" s="361"/>
      <c r="T622" s="377" t="str">
        <f t="shared" si="26"/>
        <v>SOA0037-007 - Test Case – BNIDirect: Abnormal Create Billing NPWP IDR (Nominal 0).pdf</v>
      </c>
      <c r="U622" s="359"/>
      <c r="V622" s="359"/>
      <c r="W622" s="359"/>
      <c r="X622" s="359"/>
      <c r="Y622" s="359"/>
      <c r="Z622" s="364">
        <v>45028</v>
      </c>
      <c r="AA622" s="359" t="s">
        <v>254</v>
      </c>
    </row>
    <row r="623" spans="1:27">
      <c r="A623" s="769"/>
      <c r="B623" s="769"/>
      <c r="C623" s="382" t="s">
        <v>10239</v>
      </c>
      <c r="D623" s="382" t="s">
        <v>10780</v>
      </c>
      <c r="E623" s="357" t="s">
        <v>1743</v>
      </c>
      <c r="F623" s="357" t="s">
        <v>9205</v>
      </c>
      <c r="G623" s="769"/>
      <c r="H623" s="357" t="str">
        <f t="shared" si="25"/>
        <v>SOA0037-008 - Test Case – BNIDirect: Abnormal Create Billing NPWP IDR (Penyetor harus memiliki NPWP).pdf.txt</v>
      </c>
      <c r="I623" s="357"/>
      <c r="J623" s="357"/>
      <c r="K623" s="357"/>
      <c r="L623" s="357"/>
      <c r="M623" s="357"/>
      <c r="N623" s="357"/>
      <c r="O623" s="357"/>
      <c r="P623" s="357"/>
      <c r="Q623" s="358" t="s">
        <v>9207</v>
      </c>
      <c r="R623" s="357"/>
      <c r="S623" s="357"/>
      <c r="T623" s="377" t="str">
        <f t="shared" si="26"/>
        <v>SOA0037-008 - Test Case – BNIDirect: Abnormal Create Billing NPWP IDR (Penyetor harus memiliki NPWP).pdf</v>
      </c>
      <c r="U623" s="359"/>
      <c r="V623" s="359"/>
      <c r="W623" s="359"/>
      <c r="X623" s="359"/>
      <c r="Y623" s="359"/>
      <c r="Z623" s="364">
        <v>45028</v>
      </c>
      <c r="AA623" s="359" t="s">
        <v>254</v>
      </c>
    </row>
    <row r="624" spans="1:27">
      <c r="A624" s="769"/>
      <c r="B624" s="769"/>
      <c r="C624" s="380" t="s">
        <v>10241</v>
      </c>
      <c r="D624" s="380" t="s">
        <v>10781</v>
      </c>
      <c r="E624" s="361" t="s">
        <v>1732</v>
      </c>
      <c r="F624" s="361" t="s">
        <v>9205</v>
      </c>
      <c r="G624" s="769"/>
      <c r="H624" s="361" t="str">
        <f t="shared" si="25"/>
        <v>SOA0037-009 - Test Case – BNIDirect: Normal Create Billing NPWP USD.pdf.txt</v>
      </c>
      <c r="I624" s="361"/>
      <c r="J624" s="361"/>
      <c r="K624" s="361"/>
      <c r="L624" s="361"/>
      <c r="M624" s="361"/>
      <c r="N624" s="361"/>
      <c r="O624" s="361"/>
      <c r="P624" s="361"/>
      <c r="Q624" s="358" t="s">
        <v>9207</v>
      </c>
      <c r="R624" s="361"/>
      <c r="S624" s="361"/>
      <c r="T624" s="377" t="str">
        <f t="shared" si="26"/>
        <v>SOA0037-009 - Test Case – BNIDirect: Normal Create Billing NPWP USD.pdf</v>
      </c>
      <c r="U624" s="359"/>
      <c r="V624" s="359"/>
      <c r="W624" s="359"/>
      <c r="X624" s="359"/>
      <c r="Y624" s="359"/>
      <c r="Z624" s="364">
        <v>45028</v>
      </c>
      <c r="AA624" s="359" t="s">
        <v>254</v>
      </c>
    </row>
    <row r="625" spans="1:27">
      <c r="A625" s="769"/>
      <c r="B625" s="769"/>
      <c r="C625" s="382" t="s">
        <v>10243</v>
      </c>
      <c r="D625" s="382" t="s">
        <v>10782</v>
      </c>
      <c r="E625" s="357" t="s">
        <v>1732</v>
      </c>
      <c r="F625" s="357" t="s">
        <v>9205</v>
      </c>
      <c r="G625" s="769"/>
      <c r="H625" s="357" t="str">
        <f t="shared" si="25"/>
        <v>SOA0037-010 - Test Case – BNIDirect: Normal Create Billing Non NPWP.pdf.txt</v>
      </c>
      <c r="I625" s="357"/>
      <c r="J625" s="357"/>
      <c r="K625" s="357"/>
      <c r="L625" s="357"/>
      <c r="M625" s="357"/>
      <c r="N625" s="357"/>
      <c r="O625" s="357"/>
      <c r="P625" s="357"/>
      <c r="Q625" s="358" t="s">
        <v>9207</v>
      </c>
      <c r="R625" s="357"/>
      <c r="S625" s="357"/>
      <c r="T625" s="377" t="str">
        <f t="shared" si="26"/>
        <v>SOA0037-010 - Test Case – BNIDirect: Normal Create Billing Non NPWP.pdf</v>
      </c>
      <c r="U625" s="359"/>
      <c r="V625" s="359"/>
      <c r="W625" s="359"/>
      <c r="X625" s="359"/>
      <c r="Y625" s="359"/>
      <c r="Z625" s="364">
        <v>45028</v>
      </c>
      <c r="AA625" s="359" t="s">
        <v>254</v>
      </c>
    </row>
    <row r="626" spans="1:27">
      <c r="A626" s="769"/>
      <c r="B626" s="769"/>
      <c r="C626" s="380" t="s">
        <v>10245</v>
      </c>
      <c r="D626" s="380" t="s">
        <v>10783</v>
      </c>
      <c r="E626" s="361" t="s">
        <v>1743</v>
      </c>
      <c r="F626" s="361" t="s">
        <v>9205</v>
      </c>
      <c r="G626" s="769"/>
      <c r="H626" s="361" t="str">
        <f t="shared" si="25"/>
        <v>SOA0037-011 - Test Case – BNIDirect: Abnormal Create Billing Non NPWP IDR (Tidak butuh NOP /NOP diinput selain 000000000000000000).pdf.txt</v>
      </c>
      <c r="I626" s="361"/>
      <c r="J626" s="361"/>
      <c r="K626" s="361"/>
      <c r="L626" s="361"/>
      <c r="M626" s="361"/>
      <c r="N626" s="361"/>
      <c r="O626" s="361"/>
      <c r="P626" s="361"/>
      <c r="Q626" s="358" t="s">
        <v>9207</v>
      </c>
      <c r="R626" s="361"/>
      <c r="S626" s="361"/>
      <c r="T626" s="377" t="str">
        <f t="shared" si="26"/>
        <v>SOA0037-011 - Test Case – BNIDirect: Abnormal Create Billing Non NPWP IDR (Tidak butuh NOP /NOP diinput selain 000000000000000000).pdf</v>
      </c>
      <c r="U626" s="359"/>
      <c r="V626" s="359"/>
      <c r="W626" s="359"/>
      <c r="X626" s="359"/>
      <c r="Y626" s="359"/>
      <c r="Z626" s="364">
        <v>45028</v>
      </c>
      <c r="AA626" s="359" t="s">
        <v>254</v>
      </c>
    </row>
    <row r="627" spans="1:27">
      <c r="A627" s="769"/>
      <c r="B627" s="769"/>
      <c r="C627" s="382" t="s">
        <v>10247</v>
      </c>
      <c r="D627" s="382" t="s">
        <v>10784</v>
      </c>
      <c r="E627" s="357" t="s">
        <v>1743</v>
      </c>
      <c r="F627" s="357" t="s">
        <v>9205</v>
      </c>
      <c r="G627" s="769"/>
      <c r="H627" s="357" t="str">
        <f t="shared" si="25"/>
        <v>SOA0037-012 - Test Case – BNIDirect: Abnormal Create Billing Non NPWP IDR (Masa Pajak tidak berada dalam range 1-12).pdf.txt</v>
      </c>
      <c r="I627" s="357"/>
      <c r="J627" s="357"/>
      <c r="K627" s="357"/>
      <c r="L627" s="357"/>
      <c r="M627" s="357"/>
      <c r="N627" s="357"/>
      <c r="O627" s="357"/>
      <c r="P627" s="357"/>
      <c r="Q627" s="358" t="s">
        <v>9207</v>
      </c>
      <c r="R627" s="357"/>
      <c r="S627" s="357"/>
      <c r="T627" s="377" t="str">
        <f t="shared" si="26"/>
        <v>SOA0037-012 - Test Case – BNIDirect: Abnormal Create Billing Non NPWP IDR (Masa Pajak tidak berada dalam range 1-12).pdf</v>
      </c>
      <c r="U627" s="359"/>
      <c r="V627" s="359"/>
      <c r="W627" s="359"/>
      <c r="X627" s="359"/>
      <c r="Y627" s="359"/>
      <c r="Z627" s="364">
        <v>45028</v>
      </c>
      <c r="AA627" s="359" t="s">
        <v>254</v>
      </c>
    </row>
    <row r="628" spans="1:27">
      <c r="A628" s="769"/>
      <c r="B628" s="769"/>
      <c r="C628" s="380" t="s">
        <v>10249</v>
      </c>
      <c r="D628" s="380" t="s">
        <v>10785</v>
      </c>
      <c r="E628" s="361" t="s">
        <v>1743</v>
      </c>
      <c r="F628" s="361" t="s">
        <v>9205</v>
      </c>
      <c r="G628" s="769"/>
      <c r="H628" s="361" t="str">
        <f t="shared" si="25"/>
        <v>SOA0037-013 - Test Case – BNIDirect: Abnormal Create Billing Non NPWP IDR (Nomor SK mengandung karakter).pdf.txt</v>
      </c>
      <c r="I628" s="361"/>
      <c r="J628" s="361"/>
      <c r="K628" s="361"/>
      <c r="L628" s="361"/>
      <c r="M628" s="361"/>
      <c r="N628" s="361"/>
      <c r="O628" s="361"/>
      <c r="P628" s="361"/>
      <c r="Q628" s="358" t="s">
        <v>9207</v>
      </c>
      <c r="R628" s="361"/>
      <c r="S628" s="361"/>
      <c r="T628" s="377" t="str">
        <f t="shared" si="26"/>
        <v>SOA0037-013 - Test Case – BNIDirect: Abnormal Create Billing Non NPWP IDR (Nomor SK mengandung karakter).pdf</v>
      </c>
      <c r="U628" s="359"/>
      <c r="V628" s="359"/>
      <c r="W628" s="359"/>
      <c r="X628" s="359"/>
      <c r="Y628" s="359"/>
      <c r="Z628" s="364">
        <v>45028</v>
      </c>
      <c r="AA628" s="359" t="s">
        <v>254</v>
      </c>
    </row>
    <row r="629" spans="1:27">
      <c r="A629" s="769"/>
      <c r="B629" s="769"/>
      <c r="C629" s="382" t="s">
        <v>10251</v>
      </c>
      <c r="D629" s="382" t="s">
        <v>10786</v>
      </c>
      <c r="E629" s="357" t="s">
        <v>1743</v>
      </c>
      <c r="F629" s="357" t="s">
        <v>9205</v>
      </c>
      <c r="G629" s="769"/>
      <c r="H629" s="357" t="str">
        <f t="shared" si="25"/>
        <v>SOA0037-014 - Test Case – BNIDirect: Abnormal Create Billing Non NPWP IDR (Nominal 0).pdf.txt</v>
      </c>
      <c r="I629" s="357"/>
      <c r="J629" s="357"/>
      <c r="K629" s="357"/>
      <c r="L629" s="357"/>
      <c r="M629" s="357"/>
      <c r="N629" s="357"/>
      <c r="O629" s="357"/>
      <c r="P629" s="357"/>
      <c r="Q629" s="358" t="s">
        <v>9207</v>
      </c>
      <c r="R629" s="357"/>
      <c r="S629" s="357"/>
      <c r="T629" s="377" t="str">
        <f t="shared" si="26"/>
        <v>SOA0037-014 - Test Case – BNIDirect: Abnormal Create Billing Non NPWP IDR (Nominal 0).pdf</v>
      </c>
      <c r="U629" s="359"/>
      <c r="V629" s="359"/>
      <c r="W629" s="359"/>
      <c r="X629" s="359"/>
      <c r="Y629" s="359"/>
      <c r="Z629" s="364">
        <v>45028</v>
      </c>
      <c r="AA629" s="359" t="s">
        <v>254</v>
      </c>
    </row>
    <row r="630" spans="1:27">
      <c r="A630" s="769"/>
      <c r="B630" s="769"/>
      <c r="C630" s="380" t="s">
        <v>10253</v>
      </c>
      <c r="D630" s="380" t="s">
        <v>10787</v>
      </c>
      <c r="E630" s="361" t="s">
        <v>1743</v>
      </c>
      <c r="F630" s="361" t="s">
        <v>9205</v>
      </c>
      <c r="G630" s="769"/>
      <c r="H630" s="361" t="str">
        <f t="shared" si="25"/>
        <v>SOA0037-015 - Test Case – BNIDirect: Abnormal Create Billing Non NPWP IDR (Penyetor harus memiliki NPWP).pdf.txt</v>
      </c>
      <c r="I630" s="361"/>
      <c r="J630" s="361"/>
      <c r="K630" s="361"/>
      <c r="L630" s="361"/>
      <c r="M630" s="361"/>
      <c r="N630" s="361"/>
      <c r="O630" s="361"/>
      <c r="P630" s="361"/>
      <c r="Q630" s="358" t="s">
        <v>9207</v>
      </c>
      <c r="R630" s="361"/>
      <c r="S630" s="361"/>
      <c r="T630" s="377" t="str">
        <f t="shared" si="26"/>
        <v>SOA0037-015 - Test Case – BNIDirect: Abnormal Create Billing Non NPWP IDR (Penyetor harus memiliki NPWP).pdf</v>
      </c>
      <c r="U630" s="359"/>
      <c r="V630" s="359"/>
      <c r="W630" s="359"/>
      <c r="X630" s="359"/>
      <c r="Y630" s="359"/>
      <c r="Z630" s="364">
        <v>45028</v>
      </c>
      <c r="AA630" s="359" t="s">
        <v>254</v>
      </c>
    </row>
    <row r="631" spans="1:27">
      <c r="A631" s="731" t="s">
        <v>10687</v>
      </c>
      <c r="B631" s="731" t="s">
        <v>10788</v>
      </c>
      <c r="C631" s="357" t="s">
        <v>10689</v>
      </c>
      <c r="D631" s="357" t="s">
        <v>10690</v>
      </c>
      <c r="E631" s="357" t="s">
        <v>1732</v>
      </c>
      <c r="F631" s="357" t="s">
        <v>9205</v>
      </c>
      <c r="G631" s="723" t="s">
        <v>10691</v>
      </c>
      <c r="H631" s="357" t="str">
        <f t="shared" si="25"/>
        <v>SOA0044-001 - Test Case – Normal Validate VA Retail.pdf.txt</v>
      </c>
      <c r="I631" s="357"/>
      <c r="J631" s="357"/>
      <c r="K631" s="357"/>
      <c r="L631" s="357"/>
      <c r="M631" s="357"/>
      <c r="N631" s="357"/>
      <c r="O631" s="357"/>
      <c r="P631" s="357"/>
      <c r="Q631" s="358" t="s">
        <v>9207</v>
      </c>
      <c r="R631" s="357"/>
      <c r="S631" s="357"/>
      <c r="T631" s="377" t="str">
        <f t="shared" si="26"/>
        <v>SOA0044-001 - Test Case – Normal Validate VA Retail.pdf</v>
      </c>
      <c r="U631" s="359"/>
      <c r="V631" s="359"/>
      <c r="W631" s="359"/>
      <c r="X631" s="359"/>
      <c r="Y631" s="359"/>
      <c r="Z631" s="364">
        <v>45022</v>
      </c>
      <c r="AA631" s="359" t="s">
        <v>254</v>
      </c>
    </row>
    <row r="632" spans="1:27">
      <c r="A632" s="769"/>
      <c r="B632" s="769"/>
      <c r="C632" s="361" t="s">
        <v>10692</v>
      </c>
      <c r="D632" s="361" t="s">
        <v>10693</v>
      </c>
      <c r="E632" s="361" t="s">
        <v>1743</v>
      </c>
      <c r="F632" s="361" t="s">
        <v>9205</v>
      </c>
      <c r="G632" s="769"/>
      <c r="H632" s="361" t="str">
        <f t="shared" si="25"/>
        <v>SOA0044-002 - Test Case – Abormal Validate VA Retail: UUID kosong.pdf.txt</v>
      </c>
      <c r="I632" s="361"/>
      <c r="J632" s="361"/>
      <c r="K632" s="361"/>
      <c r="L632" s="361"/>
      <c r="M632" s="361"/>
      <c r="N632" s="361"/>
      <c r="O632" s="361"/>
      <c r="P632" s="361"/>
      <c r="Q632" s="358" t="s">
        <v>9207</v>
      </c>
      <c r="R632" s="361"/>
      <c r="S632" s="361"/>
      <c r="T632" s="377" t="str">
        <f t="shared" si="26"/>
        <v>SOA0044-002 - Test Case – Abormal Validate VA Retail: UUID kosong.pdf</v>
      </c>
      <c r="U632" s="359"/>
      <c r="V632" s="359"/>
      <c r="W632" s="359"/>
      <c r="X632" s="359"/>
      <c r="Y632" s="359"/>
      <c r="Z632" s="364">
        <v>45022</v>
      </c>
      <c r="AA632" s="359" t="s">
        <v>254</v>
      </c>
    </row>
    <row r="633" spans="1:27">
      <c r="A633" s="769"/>
      <c r="B633" s="769"/>
      <c r="C633" s="357" t="s">
        <v>10694</v>
      </c>
      <c r="D633" s="357" t="s">
        <v>10695</v>
      </c>
      <c r="E633" s="357" t="s">
        <v>1743</v>
      </c>
      <c r="F633" s="357" t="s">
        <v>9205</v>
      </c>
      <c r="G633" s="769"/>
      <c r="H633" s="357"/>
      <c r="I633" s="357"/>
      <c r="J633" s="357"/>
      <c r="K633" s="357"/>
      <c r="L633" s="357"/>
      <c r="M633" s="357"/>
      <c r="N633" s="357"/>
      <c r="O633" s="357"/>
      <c r="P633" s="357"/>
      <c r="Q633" s="241" t="s">
        <v>7371</v>
      </c>
      <c r="R633" s="357" t="s">
        <v>10696</v>
      </c>
      <c r="S633" s="357"/>
      <c r="T633" s="377" t="str">
        <f t="shared" si="26"/>
        <v>SOA0044-003 - Test Case - Abnormal Validate VA Retail: cardNum tidak sesuai dengan 4 digit pertama kartu dari rekening yang diinput.pdf</v>
      </c>
      <c r="U633" s="359"/>
      <c r="V633" s="359"/>
      <c r="W633" s="359"/>
      <c r="X633" s="359"/>
      <c r="Y633" s="359"/>
      <c r="Z633" s="364">
        <v>45022</v>
      </c>
      <c r="AA633" s="359" t="s">
        <v>254</v>
      </c>
    </row>
    <row r="634" spans="1:27">
      <c r="A634" s="769"/>
      <c r="B634" s="769"/>
      <c r="C634" s="361" t="s">
        <v>10697</v>
      </c>
      <c r="D634" s="361" t="s">
        <v>10698</v>
      </c>
      <c r="E634" s="361" t="s">
        <v>1743</v>
      </c>
      <c r="F634" s="361" t="s">
        <v>9205</v>
      </c>
      <c r="G634" s="769"/>
      <c r="H634" s="361"/>
      <c r="I634" s="361"/>
      <c r="J634" s="361"/>
      <c r="K634" s="361"/>
      <c r="L634" s="361"/>
      <c r="M634" s="361"/>
      <c r="N634" s="361"/>
      <c r="O634" s="361"/>
      <c r="P634" s="361"/>
      <c r="Q634" s="241" t="s">
        <v>7371</v>
      </c>
      <c r="R634" s="361"/>
      <c r="S634" s="361"/>
      <c r="T634" s="377"/>
      <c r="U634" s="359"/>
      <c r="V634" s="359"/>
      <c r="W634" s="359"/>
      <c r="X634" s="359"/>
      <c r="Y634" s="359"/>
      <c r="Z634" s="364">
        <v>45022</v>
      </c>
      <c r="AA634" s="359" t="s">
        <v>254</v>
      </c>
    </row>
    <row r="635" spans="1:27">
      <c r="A635" s="769"/>
      <c r="B635" s="769"/>
      <c r="C635" s="357" t="s">
        <v>10699</v>
      </c>
      <c r="D635" s="357" t="s">
        <v>10700</v>
      </c>
      <c r="E635" s="357" t="s">
        <v>1732</v>
      </c>
      <c r="F635" s="357" t="s">
        <v>9205</v>
      </c>
      <c r="G635" s="769"/>
      <c r="H635" s="357"/>
      <c r="I635" s="357"/>
      <c r="J635" s="357"/>
      <c r="K635" s="357"/>
      <c r="L635" s="357"/>
      <c r="M635" s="357"/>
      <c r="N635" s="357"/>
      <c r="O635" s="357"/>
      <c r="P635" s="357"/>
      <c r="Q635" s="241" t="s">
        <v>7371</v>
      </c>
      <c r="R635" s="357"/>
      <c r="S635" s="357"/>
      <c r="T635" s="377"/>
      <c r="U635" s="359"/>
      <c r="V635" s="359"/>
      <c r="W635" s="359"/>
      <c r="X635" s="359"/>
      <c r="Y635" s="359"/>
      <c r="Z635" s="364">
        <v>45022</v>
      </c>
      <c r="AA635" s="359" t="s">
        <v>254</v>
      </c>
    </row>
    <row r="636" spans="1:27">
      <c r="A636" s="769"/>
      <c r="B636" s="769"/>
      <c r="C636" s="361" t="s">
        <v>10701</v>
      </c>
      <c r="D636" s="361" t="s">
        <v>10702</v>
      </c>
      <c r="E636" s="361" t="s">
        <v>1743</v>
      </c>
      <c r="F636" s="361" t="s">
        <v>9205</v>
      </c>
      <c r="G636" s="769"/>
      <c r="H636" s="361" t="str">
        <f t="shared" ref="H636:H776" si="27">CONCATENATE(T636,".txt")</f>
        <v>SOA0044-006 - Test Case – Abnormal Registration VA Retail : UUID Kosong.pdf.txt</v>
      </c>
      <c r="I636" s="361"/>
      <c r="J636" s="361"/>
      <c r="K636" s="361"/>
      <c r="L636" s="361"/>
      <c r="M636" s="361"/>
      <c r="N636" s="361"/>
      <c r="O636" s="361"/>
      <c r="P636" s="361"/>
      <c r="Q636" s="358" t="s">
        <v>9207</v>
      </c>
      <c r="R636" s="361"/>
      <c r="S636" s="361"/>
      <c r="T636" s="377" t="str">
        <f t="shared" ref="T636:T747" si="28">CONCATENATE(C636, " - ", D636, ".pdf")</f>
        <v>SOA0044-006 - Test Case – Abnormal Registration VA Retail : UUID Kosong.pdf</v>
      </c>
      <c r="U636" s="359"/>
      <c r="V636" s="359"/>
      <c r="W636" s="359"/>
      <c r="X636" s="359"/>
      <c r="Y636" s="359"/>
      <c r="Z636" s="364">
        <v>45022</v>
      </c>
      <c r="AA636" s="359" t="s">
        <v>254</v>
      </c>
    </row>
    <row r="637" spans="1:27">
      <c r="A637" s="769"/>
      <c r="B637" s="769"/>
      <c r="C637" s="357" t="s">
        <v>10703</v>
      </c>
      <c r="D637" s="357" t="s">
        <v>10704</v>
      </c>
      <c r="E637" s="357" t="s">
        <v>1732</v>
      </c>
      <c r="F637" s="357" t="s">
        <v>9205</v>
      </c>
      <c r="G637" s="769"/>
      <c r="H637" s="357" t="str">
        <f t="shared" si="27"/>
        <v>SOA0044-007 - Test Case – Normal VA Transaction.pdf.txt</v>
      </c>
      <c r="I637" s="357"/>
      <c r="J637" s="357"/>
      <c r="K637" s="357"/>
      <c r="L637" s="357"/>
      <c r="M637" s="357"/>
      <c r="N637" s="357"/>
      <c r="O637" s="357"/>
      <c r="P637" s="357"/>
      <c r="Q637" s="358" t="s">
        <v>9207</v>
      </c>
      <c r="R637" s="357"/>
      <c r="S637" s="357"/>
      <c r="T637" s="377" t="str">
        <f t="shared" si="28"/>
        <v>SOA0044-007 - Test Case – Normal VA Transaction.pdf</v>
      </c>
      <c r="U637" s="359"/>
      <c r="V637" s="359"/>
      <c r="W637" s="359"/>
      <c r="X637" s="359"/>
      <c r="Y637" s="359"/>
      <c r="Z637" s="364">
        <v>45022</v>
      </c>
      <c r="AA637" s="359" t="s">
        <v>254</v>
      </c>
    </row>
    <row r="638" spans="1:27">
      <c r="A638" s="769"/>
      <c r="B638" s="769"/>
      <c r="C638" s="361" t="s">
        <v>10705</v>
      </c>
      <c r="D638" s="361" t="s">
        <v>10706</v>
      </c>
      <c r="E638" s="361" t="s">
        <v>1743</v>
      </c>
      <c r="F638" s="361" t="s">
        <v>9205</v>
      </c>
      <c r="G638" s="769"/>
      <c r="H638" s="361" t="str">
        <f t="shared" si="27"/>
        <v>SOA0044-008 - Test Case – Abnormal VA Transaction: Virtual account tidak terdaftar di varetail_account.pdf.txt</v>
      </c>
      <c r="I638" s="361"/>
      <c r="J638" s="361"/>
      <c r="K638" s="361"/>
      <c r="L638" s="361"/>
      <c r="M638" s="361"/>
      <c r="N638" s="361"/>
      <c r="O638" s="361"/>
      <c r="P638" s="361"/>
      <c r="Q638" s="358" t="s">
        <v>9207</v>
      </c>
      <c r="R638" s="361"/>
      <c r="S638" s="361"/>
      <c r="T638" s="377" t="str">
        <f t="shared" si="28"/>
        <v>SOA0044-008 - Test Case – Abnormal VA Transaction: Virtual account tidak terdaftar di varetail_account.pdf</v>
      </c>
      <c r="U638" s="359"/>
      <c r="V638" s="359"/>
      <c r="W638" s="359"/>
      <c r="X638" s="359"/>
      <c r="Y638" s="359"/>
      <c r="Z638" s="364">
        <v>45022</v>
      </c>
      <c r="AA638" s="359" t="s">
        <v>254</v>
      </c>
    </row>
    <row r="639" spans="1:27">
      <c r="A639" s="769"/>
      <c r="B639" s="769"/>
      <c r="C639" s="357" t="s">
        <v>10707</v>
      </c>
      <c r="D639" s="357" t="s">
        <v>10708</v>
      </c>
      <c r="E639" s="357" t="s">
        <v>1743</v>
      </c>
      <c r="F639" s="357" t="s">
        <v>9205</v>
      </c>
      <c r="G639" s="769"/>
      <c r="H639" s="357" t="str">
        <f t="shared" si="27"/>
        <v>SOA0044-009 - Test Case – Abnormal VA Transaction: beneficiary account salah.pdf.txt</v>
      </c>
      <c r="I639" s="357"/>
      <c r="J639" s="357"/>
      <c r="K639" s="357"/>
      <c r="L639" s="357"/>
      <c r="M639" s="357"/>
      <c r="N639" s="357"/>
      <c r="O639" s="357"/>
      <c r="P639" s="357"/>
      <c r="Q639" s="358" t="s">
        <v>9207</v>
      </c>
      <c r="R639" s="357"/>
      <c r="S639" s="357"/>
      <c r="T639" s="377" t="str">
        <f t="shared" si="28"/>
        <v>SOA0044-009 - Test Case – Abnormal VA Transaction: beneficiary account salah.pdf</v>
      </c>
      <c r="U639" s="359"/>
      <c r="V639" s="359"/>
      <c r="W639" s="359"/>
      <c r="X639" s="359"/>
      <c r="Y639" s="359"/>
      <c r="Z639" s="364">
        <v>45022</v>
      </c>
      <c r="AA639" s="359" t="s">
        <v>254</v>
      </c>
    </row>
    <row r="640" spans="1:27">
      <c r="A640" s="769"/>
      <c r="B640" s="769"/>
      <c r="C640" s="361" t="s">
        <v>10709</v>
      </c>
      <c r="D640" s="361" t="s">
        <v>10710</v>
      </c>
      <c r="E640" s="361" t="s">
        <v>1743</v>
      </c>
      <c r="F640" s="361" t="s">
        <v>9205</v>
      </c>
      <c r="G640" s="769"/>
      <c r="H640" s="361" t="str">
        <f t="shared" si="27"/>
        <v>SOA0044-010 - Test Case – Abnormal VA Transaction: saldo rekening VA tidak cukup.pdf.txt</v>
      </c>
      <c r="I640" s="361"/>
      <c r="J640" s="361"/>
      <c r="K640" s="361"/>
      <c r="L640" s="361"/>
      <c r="M640" s="361"/>
      <c r="N640" s="361"/>
      <c r="O640" s="361"/>
      <c r="P640" s="361"/>
      <c r="Q640" s="358" t="s">
        <v>9207</v>
      </c>
      <c r="R640" s="361"/>
      <c r="S640" s="361"/>
      <c r="T640" s="377" t="str">
        <f t="shared" si="28"/>
        <v>SOA0044-010 - Test Case – Abnormal VA Transaction: saldo rekening VA tidak cukup.pdf</v>
      </c>
      <c r="U640" s="359"/>
      <c r="V640" s="359"/>
      <c r="W640" s="359"/>
      <c r="X640" s="359"/>
      <c r="Y640" s="359"/>
      <c r="Z640" s="364">
        <v>45022</v>
      </c>
      <c r="AA640" s="359" t="s">
        <v>254</v>
      </c>
    </row>
    <row r="641" spans="1:27">
      <c r="A641" s="733" t="s">
        <v>10418</v>
      </c>
      <c r="B641" s="733" t="s">
        <v>10419</v>
      </c>
      <c r="C641" s="382" t="s">
        <v>10420</v>
      </c>
      <c r="D641" s="382" t="s">
        <v>10421</v>
      </c>
      <c r="E641" s="382" t="s">
        <v>1732</v>
      </c>
      <c r="F641" s="382" t="s">
        <v>9205</v>
      </c>
      <c r="G641" s="739" t="s">
        <v>10422</v>
      </c>
      <c r="H641" s="382" t="str">
        <f t="shared" si="27"/>
        <v>SOA0043-001 - T001_Account Details - Valid A/C Number.pdf.txt</v>
      </c>
      <c r="I641" s="382"/>
      <c r="J641" s="382"/>
      <c r="K641" s="382"/>
      <c r="L641" s="382"/>
      <c r="M641" s="382"/>
      <c r="N641" s="382"/>
      <c r="O641" s="382"/>
      <c r="P641" s="382"/>
      <c r="Q641" s="358" t="s">
        <v>9207</v>
      </c>
      <c r="R641" s="382"/>
      <c r="S641" s="382"/>
      <c r="T641" s="390" t="str">
        <f t="shared" si="28"/>
        <v>SOA0043-001 - T001_Account Details - Valid A/C Number.pdf</v>
      </c>
      <c r="U641" s="391"/>
      <c r="V641" s="391"/>
      <c r="W641" s="391"/>
      <c r="X641" s="391"/>
      <c r="Y641" s="391"/>
      <c r="Z641" s="364">
        <v>45030</v>
      </c>
      <c r="AA641" s="359" t="s">
        <v>254</v>
      </c>
    </row>
    <row r="642" spans="1:27">
      <c r="A642" s="769"/>
      <c r="B642" s="769"/>
      <c r="C642" s="380" t="s">
        <v>10423</v>
      </c>
      <c r="D642" s="380" t="s">
        <v>10424</v>
      </c>
      <c r="E642" s="380" t="s">
        <v>1732</v>
      </c>
      <c r="F642" s="380" t="s">
        <v>9205</v>
      </c>
      <c r="G642" s="769"/>
      <c r="H642" s="380" t="str">
        <f t="shared" si="27"/>
        <v>SOA0043-002 - T002_Account Details - Invalid A/C Number.pdf.txt</v>
      </c>
      <c r="I642" s="380"/>
      <c r="J642" s="380"/>
      <c r="K642" s="380"/>
      <c r="L642" s="380"/>
      <c r="M642" s="380"/>
      <c r="N642" s="380"/>
      <c r="O642" s="380"/>
      <c r="P642" s="380"/>
      <c r="Q642" s="358" t="s">
        <v>9207</v>
      </c>
      <c r="R642" s="380"/>
      <c r="S642" s="380"/>
      <c r="T642" s="390" t="str">
        <f t="shared" si="28"/>
        <v>SOA0043-002 - T002_Account Details - Invalid A/C Number.pdf</v>
      </c>
      <c r="U642" s="391"/>
      <c r="V642" s="391"/>
      <c r="W642" s="391"/>
      <c r="X642" s="391"/>
      <c r="Y642" s="391"/>
      <c r="Z642" s="364">
        <v>45030</v>
      </c>
      <c r="AA642" s="359" t="s">
        <v>254</v>
      </c>
    </row>
    <row r="643" spans="1:27">
      <c r="A643" s="769"/>
      <c r="B643" s="769"/>
      <c r="C643" s="382" t="s">
        <v>10425</v>
      </c>
      <c r="D643" s="382" t="s">
        <v>10426</v>
      </c>
      <c r="E643" s="382" t="s">
        <v>1732</v>
      </c>
      <c r="F643" s="382" t="s">
        <v>9205</v>
      </c>
      <c r="G643" s="769"/>
      <c r="H643" s="382" t="str">
        <f t="shared" si="27"/>
        <v>SOA0043-003 - T003_Account Short Details - Valid A/C With Option.pdf.txt</v>
      </c>
      <c r="I643" s="382"/>
      <c r="J643" s="382"/>
      <c r="K643" s="382"/>
      <c r="L643" s="382"/>
      <c r="M643" s="382"/>
      <c r="N643" s="382"/>
      <c r="O643" s="382"/>
      <c r="P643" s="382"/>
      <c r="Q643" s="358" t="s">
        <v>9207</v>
      </c>
      <c r="R643" s="382"/>
      <c r="S643" s="382"/>
      <c r="T643" s="390" t="str">
        <f t="shared" si="28"/>
        <v>SOA0043-003 - T003_Account Short Details - Valid A/C With Option.pdf</v>
      </c>
      <c r="U643" s="391"/>
      <c r="V643" s="391"/>
      <c r="W643" s="391"/>
      <c r="X643" s="391"/>
      <c r="Y643" s="391"/>
      <c r="Z643" s="364">
        <v>45030</v>
      </c>
      <c r="AA643" s="359" t="s">
        <v>254</v>
      </c>
    </row>
    <row r="644" spans="1:27">
      <c r="A644" s="769"/>
      <c r="B644" s="769"/>
      <c r="C644" s="380" t="s">
        <v>10427</v>
      </c>
      <c r="D644" s="380" t="s">
        <v>10428</v>
      </c>
      <c r="E644" s="380" t="s">
        <v>1732</v>
      </c>
      <c r="F644" s="380" t="s">
        <v>9205</v>
      </c>
      <c r="G644" s="769"/>
      <c r="H644" s="380" t="str">
        <f t="shared" si="27"/>
        <v>SOA0043-004 - T004_Account Short Details - Valid A/C Without Option.pdf.txt</v>
      </c>
      <c r="I644" s="380"/>
      <c r="J644" s="380"/>
      <c r="K644" s="380"/>
      <c r="L644" s="380"/>
      <c r="M644" s="380"/>
      <c r="N644" s="380"/>
      <c r="O644" s="380"/>
      <c r="P644" s="380"/>
      <c r="Q644" s="358" t="s">
        <v>9207</v>
      </c>
      <c r="R644" s="380"/>
      <c r="S644" s="380"/>
      <c r="T644" s="390" t="str">
        <f t="shared" si="28"/>
        <v>SOA0043-004 - T004_Account Short Details - Valid A/C Without Option.pdf</v>
      </c>
      <c r="U644" s="391"/>
      <c r="V644" s="391"/>
      <c r="W644" s="391"/>
      <c r="X644" s="391"/>
      <c r="Y644" s="391"/>
      <c r="Z644" s="364">
        <v>45030</v>
      </c>
      <c r="AA644" s="359" t="s">
        <v>254</v>
      </c>
    </row>
    <row r="645" spans="1:27">
      <c r="A645" s="769"/>
      <c r="B645" s="769"/>
      <c r="C645" s="382" t="s">
        <v>10429</v>
      </c>
      <c r="D645" s="382" t="s">
        <v>10430</v>
      </c>
      <c r="E645" s="382" t="s">
        <v>1732</v>
      </c>
      <c r="F645" s="382" t="s">
        <v>9205</v>
      </c>
      <c r="G645" s="769"/>
      <c r="H645" s="382" t="str">
        <f t="shared" si="27"/>
        <v>SOA0043-005 - T005_Account Short Details - Valid A/C With Wrong Option.pdf.txt</v>
      </c>
      <c r="I645" s="382"/>
      <c r="J645" s="382"/>
      <c r="K645" s="382"/>
      <c r="L645" s="382"/>
      <c r="M645" s="382"/>
      <c r="N645" s="382"/>
      <c r="O645" s="382"/>
      <c r="P645" s="382"/>
      <c r="Q645" s="358" t="s">
        <v>9207</v>
      </c>
      <c r="R645" s="382"/>
      <c r="S645" s="382"/>
      <c r="T645" s="390" t="str">
        <f t="shared" si="28"/>
        <v>SOA0043-005 - T005_Account Short Details - Valid A/C With Wrong Option.pdf</v>
      </c>
      <c r="U645" s="391"/>
      <c r="V645" s="391"/>
      <c r="W645" s="391"/>
      <c r="X645" s="391"/>
      <c r="Y645" s="391"/>
      <c r="Z645" s="364">
        <v>45030</v>
      </c>
      <c r="AA645" s="359" t="s">
        <v>254</v>
      </c>
    </row>
    <row r="646" spans="1:27">
      <c r="A646" s="769"/>
      <c r="B646" s="769"/>
      <c r="C646" s="380" t="s">
        <v>10431</v>
      </c>
      <c r="D646" s="380" t="s">
        <v>10432</v>
      </c>
      <c r="E646" s="380" t="s">
        <v>1732</v>
      </c>
      <c r="F646" s="380" t="s">
        <v>9205</v>
      </c>
      <c r="G646" s="769"/>
      <c r="H646" s="380" t="str">
        <f t="shared" si="27"/>
        <v>SOA0043-006 - T007_Account Short Details - Invalid A/C Number Without Option.pdf.txt</v>
      </c>
      <c r="I646" s="380"/>
      <c r="J646" s="380"/>
      <c r="K646" s="380"/>
      <c r="L646" s="380"/>
      <c r="M646" s="380"/>
      <c r="N646" s="380"/>
      <c r="O646" s="380"/>
      <c r="P646" s="380"/>
      <c r="Q646" s="358" t="s">
        <v>9207</v>
      </c>
      <c r="R646" s="380"/>
      <c r="S646" s="380"/>
      <c r="T646" s="390" t="str">
        <f t="shared" si="28"/>
        <v>SOA0043-006 - T007_Account Short Details - Invalid A/C Number Without Option.pdf</v>
      </c>
      <c r="U646" s="391"/>
      <c r="V646" s="391"/>
      <c r="W646" s="391"/>
      <c r="X646" s="391"/>
      <c r="Y646" s="391"/>
      <c r="Z646" s="364">
        <v>45030</v>
      </c>
      <c r="AA646" s="359" t="s">
        <v>254</v>
      </c>
    </row>
    <row r="647" spans="1:27">
      <c r="A647" s="769"/>
      <c r="B647" s="769"/>
      <c r="C647" s="382" t="s">
        <v>10433</v>
      </c>
      <c r="D647" s="382" t="s">
        <v>10434</v>
      </c>
      <c r="E647" s="382" t="s">
        <v>1732</v>
      </c>
      <c r="F647" s="382" t="s">
        <v>9205</v>
      </c>
      <c r="G647" s="769"/>
      <c r="H647" s="382" t="str">
        <f t="shared" si="27"/>
        <v>SOA0043-007 - BNIDIRECT.pdf.txt</v>
      </c>
      <c r="I647" s="382"/>
      <c r="J647" s="382"/>
      <c r="K647" s="382"/>
      <c r="L647" s="382"/>
      <c r="M647" s="382"/>
      <c r="N647" s="382"/>
      <c r="O647" s="382"/>
      <c r="P647" s="382"/>
      <c r="Q647" s="358" t="s">
        <v>9207</v>
      </c>
      <c r="R647" s="382"/>
      <c r="S647" s="382"/>
      <c r="T647" s="390" t="str">
        <f t="shared" si="28"/>
        <v>SOA0043-007 - BNIDIRECT.pdf</v>
      </c>
      <c r="U647" s="391"/>
      <c r="V647" s="391"/>
      <c r="W647" s="391"/>
      <c r="X647" s="391"/>
      <c r="Y647" s="391"/>
      <c r="Z647" s="364">
        <v>45030</v>
      </c>
      <c r="AA647" s="359" t="s">
        <v>254</v>
      </c>
    </row>
    <row r="648" spans="1:27">
      <c r="A648" s="769"/>
      <c r="B648" s="769"/>
      <c r="C648" s="380" t="s">
        <v>10435</v>
      </c>
      <c r="D648" s="380" t="s">
        <v>10436</v>
      </c>
      <c r="E648" s="380" t="s">
        <v>1732</v>
      </c>
      <c r="F648" s="380" t="s">
        <v>9205</v>
      </c>
      <c r="G648" s="769"/>
      <c r="H648" s="380" t="str">
        <f t="shared" si="27"/>
        <v>SOA0043-008 - T014_Balance_Info_-_Valid_Ac.pdf.txt</v>
      </c>
      <c r="I648" s="380"/>
      <c r="J648" s="380"/>
      <c r="K648" s="380"/>
      <c r="L648" s="380"/>
      <c r="M648" s="380"/>
      <c r="N648" s="380"/>
      <c r="O648" s="380"/>
      <c r="P648" s="380"/>
      <c r="Q648" s="358" t="s">
        <v>9207</v>
      </c>
      <c r="R648" s="380"/>
      <c r="S648" s="380"/>
      <c r="T648" s="390" t="str">
        <f t="shared" si="28"/>
        <v>SOA0043-008 - T014_Balance_Info_-_Valid_Ac.pdf</v>
      </c>
      <c r="U648" s="391"/>
      <c r="V648" s="391"/>
      <c r="W648" s="391"/>
      <c r="X648" s="391"/>
      <c r="Y648" s="391"/>
      <c r="Z648" s="364">
        <v>45030</v>
      </c>
      <c r="AA648" s="359" t="s">
        <v>254</v>
      </c>
    </row>
    <row r="649" spans="1:27">
      <c r="A649" s="769"/>
      <c r="B649" s="769"/>
      <c r="C649" s="382" t="s">
        <v>10437</v>
      </c>
      <c r="D649" s="382" t="s">
        <v>10438</v>
      </c>
      <c r="E649" s="382" t="s">
        <v>1732</v>
      </c>
      <c r="F649" s="382" t="s">
        <v>9205</v>
      </c>
      <c r="G649" s="769"/>
      <c r="H649" s="382" t="str">
        <f t="shared" si="27"/>
        <v>SOA0043-009 - T014_Balance_Info_-_GL_Acc.pdf.txt</v>
      </c>
      <c r="I649" s="382"/>
      <c r="J649" s="382"/>
      <c r="K649" s="382"/>
      <c r="L649" s="382"/>
      <c r="M649" s="382"/>
      <c r="N649" s="382"/>
      <c r="O649" s="382"/>
      <c r="P649" s="382"/>
      <c r="Q649" s="358" t="s">
        <v>9207</v>
      </c>
      <c r="R649" s="382"/>
      <c r="S649" s="382"/>
      <c r="T649" s="390" t="str">
        <f t="shared" si="28"/>
        <v>SOA0043-009 - T014_Balance_Info_-_GL_Acc.pdf</v>
      </c>
      <c r="U649" s="391"/>
      <c r="V649" s="391"/>
      <c r="W649" s="391"/>
      <c r="X649" s="391"/>
      <c r="Y649" s="391"/>
      <c r="Z649" s="364">
        <v>45030</v>
      </c>
      <c r="AA649" s="359" t="s">
        <v>254</v>
      </c>
    </row>
    <row r="650" spans="1:27">
      <c r="A650" s="769"/>
      <c r="B650" s="769"/>
      <c r="C650" s="380" t="s">
        <v>10439</v>
      </c>
      <c r="D650" s="380" t="s">
        <v>10440</v>
      </c>
      <c r="E650" s="380" t="s">
        <v>1732</v>
      </c>
      <c r="F650" s="380" t="s">
        <v>9205</v>
      </c>
      <c r="G650" s="769"/>
      <c r="H650" s="380" t="str">
        <f t="shared" si="27"/>
        <v>SOA0043-010 - T016_Bill_Payment_-_Valid_Cash_Payment.pdf.txt</v>
      </c>
      <c r="I650" s="380"/>
      <c r="J650" s="380"/>
      <c r="K650" s="380"/>
      <c r="L650" s="380"/>
      <c r="M650" s="380"/>
      <c r="N650" s="380"/>
      <c r="O650" s="380"/>
      <c r="P650" s="380"/>
      <c r="Q650" s="358" t="s">
        <v>9207</v>
      </c>
      <c r="R650" s="380"/>
      <c r="S650" s="380"/>
      <c r="T650" s="390" t="str">
        <f t="shared" si="28"/>
        <v>SOA0043-010 - T016_Bill_Payment_-_Valid_Cash_Payment.pdf</v>
      </c>
      <c r="U650" s="391"/>
      <c r="V650" s="391"/>
      <c r="W650" s="391"/>
      <c r="X650" s="391"/>
      <c r="Y650" s="391"/>
      <c r="Z650" s="364">
        <v>45030</v>
      </c>
      <c r="AA650" s="359" t="s">
        <v>254</v>
      </c>
    </row>
    <row r="651" spans="1:27">
      <c r="A651" s="769"/>
      <c r="B651" s="769"/>
      <c r="C651" s="382" t="s">
        <v>10441</v>
      </c>
      <c r="D651" s="382" t="s">
        <v>10442</v>
      </c>
      <c r="E651" s="382" t="s">
        <v>1732</v>
      </c>
      <c r="F651" s="382" t="s">
        <v>9205</v>
      </c>
      <c r="G651" s="769"/>
      <c r="H651" s="382" t="str">
        <f t="shared" si="27"/>
        <v>SOA0043-011 - T017_Bill_Payment_-_Valid_Transfer_Payment.pdf.txt</v>
      </c>
      <c r="I651" s="382"/>
      <c r="J651" s="382"/>
      <c r="K651" s="382"/>
      <c r="L651" s="382"/>
      <c r="M651" s="382"/>
      <c r="N651" s="382"/>
      <c r="O651" s="382"/>
      <c r="P651" s="382"/>
      <c r="Q651" s="358" t="s">
        <v>9207</v>
      </c>
      <c r="R651" s="382"/>
      <c r="S651" s="382"/>
      <c r="T651" s="390" t="str">
        <f t="shared" si="28"/>
        <v>SOA0043-011 - T017_Bill_Payment_-_Valid_Transfer_Payment.pdf</v>
      </c>
      <c r="U651" s="391"/>
      <c r="V651" s="391"/>
      <c r="W651" s="391"/>
      <c r="X651" s="391"/>
      <c r="Y651" s="391"/>
      <c r="Z651" s="364">
        <v>45030</v>
      </c>
      <c r="AA651" s="359" t="s">
        <v>254</v>
      </c>
    </row>
    <row r="652" spans="1:27">
      <c r="A652" s="769"/>
      <c r="B652" s="769"/>
      <c r="C652" s="380" t="s">
        <v>10443</v>
      </c>
      <c r="D652" s="380" t="s">
        <v>10444</v>
      </c>
      <c r="E652" s="380" t="s">
        <v>1732</v>
      </c>
      <c r="F652" s="380" t="s">
        <v>9205</v>
      </c>
      <c r="G652" s="769"/>
      <c r="H652" s="380" t="str">
        <f t="shared" si="27"/>
        <v>SOA0043-012 - T018_Bill_Payment_-_Invalid_Payment_Method.pdf.txt</v>
      </c>
      <c r="I652" s="380"/>
      <c r="J652" s="380"/>
      <c r="K652" s="380"/>
      <c r="L652" s="380"/>
      <c r="M652" s="380"/>
      <c r="N652" s="380"/>
      <c r="O652" s="380"/>
      <c r="P652" s="380"/>
      <c r="Q652" s="358" t="s">
        <v>9207</v>
      </c>
      <c r="R652" s="380"/>
      <c r="S652" s="380"/>
      <c r="T652" s="390" t="str">
        <f t="shared" si="28"/>
        <v>SOA0043-012 - T018_Bill_Payment_-_Invalid_Payment_Method.pdf</v>
      </c>
      <c r="U652" s="391"/>
      <c r="V652" s="391"/>
      <c r="W652" s="391"/>
      <c r="X652" s="391"/>
      <c r="Y652" s="391"/>
      <c r="Z652" s="364">
        <v>45030</v>
      </c>
      <c r="AA652" s="359" t="s">
        <v>254</v>
      </c>
    </row>
    <row r="653" spans="1:27">
      <c r="A653" s="769"/>
      <c r="B653" s="769"/>
      <c r="C653" s="382" t="s">
        <v>10445</v>
      </c>
      <c r="D653" s="382" t="s">
        <v>10446</v>
      </c>
      <c r="E653" s="382" t="s">
        <v>1732</v>
      </c>
      <c r="F653" s="382" t="s">
        <v>9205</v>
      </c>
      <c r="G653" s="769"/>
      <c r="H653" s="382" t="str">
        <f t="shared" si="27"/>
        <v>SOA0043-013 - T017_Bill_Payment_-_Valid_Transfer_Payment_System.pdf.txt</v>
      </c>
      <c r="I653" s="382"/>
      <c r="J653" s="382"/>
      <c r="K653" s="382"/>
      <c r="L653" s="382"/>
      <c r="M653" s="382"/>
      <c r="N653" s="382"/>
      <c r="O653" s="382"/>
      <c r="P653" s="382"/>
      <c r="Q653" s="358" t="s">
        <v>9207</v>
      </c>
      <c r="R653" s="382"/>
      <c r="S653" s="382"/>
      <c r="T653" s="390" t="str">
        <f t="shared" si="28"/>
        <v>SOA0043-013 - T017_Bill_Payment_-_Valid_Transfer_Payment_System.pdf</v>
      </c>
      <c r="U653" s="391"/>
      <c r="V653" s="391"/>
      <c r="W653" s="391"/>
      <c r="X653" s="391"/>
      <c r="Y653" s="391"/>
      <c r="Z653" s="364">
        <v>45030</v>
      </c>
      <c r="AA653" s="359" t="s">
        <v>254</v>
      </c>
    </row>
    <row r="654" spans="1:27">
      <c r="A654" s="769"/>
      <c r="B654" s="769"/>
      <c r="C654" s="380" t="s">
        <v>10447</v>
      </c>
      <c r="D654" s="380" t="s">
        <v>10448</v>
      </c>
      <c r="E654" s="380" t="s">
        <v>1732</v>
      </c>
      <c r="F654" s="380" t="s">
        <v>9205</v>
      </c>
      <c r="G654" s="769"/>
      <c r="H654" s="380" t="str">
        <f t="shared" si="27"/>
        <v>SOA0043-014 - T019_Bill_Payment_-_Transfer_Payment_Method_With_Invalid_Account_Number.pdf.txt</v>
      </c>
      <c r="I654" s="380"/>
      <c r="J654" s="380"/>
      <c r="K654" s="380"/>
      <c r="L654" s="380"/>
      <c r="M654" s="380"/>
      <c r="N654" s="380"/>
      <c r="O654" s="380"/>
      <c r="P654" s="380"/>
      <c r="Q654" s="358" t="s">
        <v>9207</v>
      </c>
      <c r="R654" s="380"/>
      <c r="S654" s="380"/>
      <c r="T654" s="390" t="str">
        <f t="shared" si="28"/>
        <v>SOA0043-014 - T019_Bill_Payment_-_Transfer_Payment_Method_With_Invalid_Account_Number.pdf</v>
      </c>
      <c r="U654" s="391"/>
      <c r="V654" s="391"/>
      <c r="W654" s="391"/>
      <c r="X654" s="391"/>
      <c r="Y654" s="391"/>
      <c r="Z654" s="364">
        <v>45030</v>
      </c>
      <c r="AA654" s="359" t="s">
        <v>254</v>
      </c>
    </row>
    <row r="655" spans="1:27">
      <c r="A655" s="769"/>
      <c r="B655" s="769"/>
      <c r="C655" s="382" t="s">
        <v>10449</v>
      </c>
      <c r="D655" s="382" t="s">
        <v>10450</v>
      </c>
      <c r="E655" s="382" t="s">
        <v>1732</v>
      </c>
      <c r="F655" s="382" t="s">
        <v>9205</v>
      </c>
      <c r="G655" s="769"/>
      <c r="H655" s="382" t="str">
        <f t="shared" si="27"/>
        <v>SOA0043-015 - T023_Bill_Payment_Reversal_-_Valid_Existing_Transfer_Paid_Bill.pdf.txt</v>
      </c>
      <c r="I655" s="382"/>
      <c r="J655" s="382"/>
      <c r="K655" s="382"/>
      <c r="L655" s="382"/>
      <c r="M655" s="382"/>
      <c r="N655" s="382"/>
      <c r="O655" s="382"/>
      <c r="P655" s="382"/>
      <c r="Q655" s="358" t="s">
        <v>9207</v>
      </c>
      <c r="R655" s="382"/>
      <c r="S655" s="382"/>
      <c r="T655" s="390" t="str">
        <f t="shared" si="28"/>
        <v>SOA0043-015 - T023_Bill_Payment_Reversal_-_Valid_Existing_Transfer_Paid_Bill.pdf</v>
      </c>
      <c r="U655" s="391"/>
      <c r="V655" s="391"/>
      <c r="W655" s="391"/>
      <c r="X655" s="391"/>
      <c r="Y655" s="391"/>
      <c r="Z655" s="364">
        <v>45030</v>
      </c>
      <c r="AA655" s="359" t="s">
        <v>254</v>
      </c>
    </row>
    <row r="656" spans="1:27">
      <c r="A656" s="769"/>
      <c r="B656" s="769"/>
      <c r="C656" s="380" t="s">
        <v>10451</v>
      </c>
      <c r="D656" s="380" t="s">
        <v>10452</v>
      </c>
      <c r="E656" s="380" t="s">
        <v>1732</v>
      </c>
      <c r="F656" s="380" t="s">
        <v>9205</v>
      </c>
      <c r="G656" s="769"/>
      <c r="H656" s="380" t="str">
        <f t="shared" si="27"/>
        <v>SOA0043-016 - T023_Bill_Payment_Reversal_-_Valid_Existing_Transfer_Paid_Bill¬_System.pdf.txt</v>
      </c>
      <c r="I656" s="380"/>
      <c r="J656" s="380"/>
      <c r="K656" s="380"/>
      <c r="L656" s="380"/>
      <c r="M656" s="380"/>
      <c r="N656" s="380"/>
      <c r="O656" s="380"/>
      <c r="P656" s="380"/>
      <c r="Q656" s="358" t="s">
        <v>9207</v>
      </c>
      <c r="R656" s="380"/>
      <c r="S656" s="380"/>
      <c r="T656" s="390" t="str">
        <f t="shared" si="28"/>
        <v>SOA0043-016 - T023_Bill_Payment_Reversal_-_Valid_Existing_Transfer_Paid_Bill¬_System.pdf</v>
      </c>
      <c r="U656" s="391"/>
      <c r="V656" s="391"/>
      <c r="W656" s="391"/>
      <c r="X656" s="391"/>
      <c r="Y656" s="391"/>
      <c r="Z656" s="364">
        <v>45030</v>
      </c>
      <c r="AA656" s="359" t="s">
        <v>254</v>
      </c>
    </row>
    <row r="657" spans="1:27">
      <c r="A657" s="769"/>
      <c r="B657" s="769"/>
      <c r="C657" s="382" t="s">
        <v>10453</v>
      </c>
      <c r="D657" s="382" t="s">
        <v>10454</v>
      </c>
      <c r="E657" s="382" t="s">
        <v>1732</v>
      </c>
      <c r="F657" s="382" t="s">
        <v>9205</v>
      </c>
      <c r="G657" s="769"/>
      <c r="H657" s="382" t="str">
        <f t="shared" si="27"/>
        <v>SOA0043-017 - T027_Check_Digit_-_Valid_Number.pdf.txt</v>
      </c>
      <c r="I657" s="382"/>
      <c r="J657" s="382"/>
      <c r="K657" s="382"/>
      <c r="L657" s="382"/>
      <c r="M657" s="382"/>
      <c r="N657" s="382"/>
      <c r="O657" s="382"/>
      <c r="P657" s="382"/>
      <c r="Q657" s="358" t="s">
        <v>9207</v>
      </c>
      <c r="R657" s="382"/>
      <c r="S657" s="382"/>
      <c r="T657" s="390" t="str">
        <f t="shared" si="28"/>
        <v>SOA0043-017 - T027_Check_Digit_-_Valid_Number.pdf</v>
      </c>
      <c r="U657" s="391"/>
      <c r="V657" s="391"/>
      <c r="W657" s="391"/>
      <c r="X657" s="391"/>
      <c r="Y657" s="391"/>
      <c r="Z657" s="364">
        <v>45030</v>
      </c>
      <c r="AA657" s="359" t="s">
        <v>254</v>
      </c>
    </row>
    <row r="658" spans="1:27">
      <c r="A658" s="769"/>
      <c r="B658" s="769"/>
      <c r="C658" s="380" t="s">
        <v>10455</v>
      </c>
      <c r="D658" s="380" t="s">
        <v>10456</v>
      </c>
      <c r="E658" s="380" t="s">
        <v>1732</v>
      </c>
      <c r="F658" s="380" t="s">
        <v>9205</v>
      </c>
      <c r="G658" s="769"/>
      <c r="H658" s="380" t="str">
        <f t="shared" si="27"/>
        <v>SOA0043-018 - T028_Check_Digit_-_Invalid_Number.pdf.txt</v>
      </c>
      <c r="I658" s="380"/>
      <c r="J658" s="380"/>
      <c r="K658" s="380"/>
      <c r="L658" s="380"/>
      <c r="M658" s="380"/>
      <c r="N658" s="380"/>
      <c r="O658" s="380"/>
      <c r="P658" s="380"/>
      <c r="Q658" s="358" t="s">
        <v>9207</v>
      </c>
      <c r="R658" s="380"/>
      <c r="S658" s="380"/>
      <c r="T658" s="390" t="str">
        <f t="shared" si="28"/>
        <v>SOA0043-018 - T028_Check_Digit_-_Invalid_Number.pdf</v>
      </c>
      <c r="U658" s="391"/>
      <c r="V658" s="391"/>
      <c r="W658" s="391"/>
      <c r="X658" s="391"/>
      <c r="Y658" s="391"/>
      <c r="Z658" s="364">
        <v>45030</v>
      </c>
      <c r="AA658" s="359" t="s">
        <v>254</v>
      </c>
    </row>
    <row r="659" spans="1:27">
      <c r="A659" s="769"/>
      <c r="B659" s="769"/>
      <c r="C659" s="382" t="s">
        <v>10457</v>
      </c>
      <c r="D659" s="382" t="s">
        <v>10458</v>
      </c>
      <c r="E659" s="382" t="s">
        <v>1732</v>
      </c>
      <c r="F659" s="382" t="s">
        <v>9205</v>
      </c>
      <c r="G659" s="769"/>
      <c r="H659" s="382" t="str">
        <f t="shared" si="27"/>
        <v>SOA0043-019 - T029_Cif_Details_-_Valid_Customer_Number.pdf.txt</v>
      </c>
      <c r="I659" s="382"/>
      <c r="J659" s="382"/>
      <c r="K659" s="382"/>
      <c r="L659" s="382"/>
      <c r="M659" s="382"/>
      <c r="N659" s="382"/>
      <c r="O659" s="382"/>
      <c r="P659" s="382"/>
      <c r="Q659" s="358" t="s">
        <v>9207</v>
      </c>
      <c r="R659" s="382"/>
      <c r="S659" s="382"/>
      <c r="T659" s="390" t="str">
        <f t="shared" si="28"/>
        <v>SOA0043-019 - T029_Cif_Details_-_Valid_Customer_Number.pdf</v>
      </c>
      <c r="U659" s="391"/>
      <c r="V659" s="391"/>
      <c r="W659" s="391"/>
      <c r="X659" s="391"/>
      <c r="Y659" s="391"/>
      <c r="Z659" s="364">
        <v>45030</v>
      </c>
      <c r="AA659" s="359" t="s">
        <v>254</v>
      </c>
    </row>
    <row r="660" spans="1:27">
      <c r="A660" s="769"/>
      <c r="B660" s="769"/>
      <c r="C660" s="380" t="s">
        <v>10459</v>
      </c>
      <c r="D660" s="380" t="s">
        <v>10460</v>
      </c>
      <c r="E660" s="380" t="s">
        <v>1732</v>
      </c>
      <c r="F660" s="380" t="s">
        <v>9205</v>
      </c>
      <c r="G660" s="769"/>
      <c r="H660" s="380" t="str">
        <f t="shared" si="27"/>
        <v>SOA0043-020 - T030_Cif_Details_-_Invalid_Customer_Number.pdf.txt</v>
      </c>
      <c r="I660" s="380"/>
      <c r="J660" s="380"/>
      <c r="K660" s="380"/>
      <c r="L660" s="380"/>
      <c r="M660" s="380"/>
      <c r="N660" s="380"/>
      <c r="O660" s="380"/>
      <c r="P660" s="380"/>
      <c r="Q660" s="358" t="s">
        <v>9207</v>
      </c>
      <c r="R660" s="380"/>
      <c r="S660" s="380"/>
      <c r="T660" s="390" t="str">
        <f t="shared" si="28"/>
        <v>SOA0043-020 - T030_Cif_Details_-_Invalid_Customer_Number.pdf</v>
      </c>
      <c r="U660" s="391"/>
      <c r="V660" s="391"/>
      <c r="W660" s="391"/>
      <c r="X660" s="391"/>
      <c r="Y660" s="391"/>
      <c r="Z660" s="364">
        <v>45030</v>
      </c>
      <c r="AA660" s="359" t="s">
        <v>254</v>
      </c>
    </row>
    <row r="661" spans="1:27">
      <c r="A661" s="769"/>
      <c r="B661" s="769"/>
      <c r="C661" s="382" t="s">
        <v>10461</v>
      </c>
      <c r="D661" s="382" t="s">
        <v>10462</v>
      </c>
      <c r="E661" s="382" t="s">
        <v>1732</v>
      </c>
      <c r="F661" s="382" t="s">
        <v>9205</v>
      </c>
      <c r="G661" s="769"/>
      <c r="H661" s="382" t="str">
        <f t="shared" si="27"/>
        <v>SOA0043-021 - T029_Cif_Details_-_Valid_Norek.pdf.txt</v>
      </c>
      <c r="I661" s="382"/>
      <c r="J661" s="382"/>
      <c r="K661" s="382"/>
      <c r="L661" s="382"/>
      <c r="M661" s="382"/>
      <c r="N661" s="382"/>
      <c r="O661" s="382"/>
      <c r="P661" s="382"/>
      <c r="Q661" s="358" t="s">
        <v>9207</v>
      </c>
      <c r="R661" s="382"/>
      <c r="S661" s="382"/>
      <c r="T661" s="390" t="str">
        <f t="shared" si="28"/>
        <v>SOA0043-021 - T029_Cif_Details_-_Valid_Norek.pdf</v>
      </c>
      <c r="U661" s="391"/>
      <c r="V661" s="391"/>
      <c r="W661" s="391"/>
      <c r="X661" s="391"/>
      <c r="Y661" s="391"/>
      <c r="Z661" s="364">
        <v>45030</v>
      </c>
      <c r="AA661" s="359" t="s">
        <v>254</v>
      </c>
    </row>
    <row r="662" spans="1:27">
      <c r="A662" s="769"/>
      <c r="B662" s="769"/>
      <c r="C662" s="380" t="s">
        <v>10463</v>
      </c>
      <c r="D662" s="380" t="s">
        <v>10464</v>
      </c>
      <c r="E662" s="380" t="s">
        <v>1732</v>
      </c>
      <c r="F662" s="380" t="s">
        <v>9205</v>
      </c>
      <c r="G662" s="769"/>
      <c r="H662" s="380" t="str">
        <f t="shared" si="27"/>
        <v>SOA0043-022 - T047_Deposit_Transfer_-_Valid_Acc.pdf.txt</v>
      </c>
      <c r="I662" s="380"/>
      <c r="J662" s="380"/>
      <c r="K662" s="380"/>
      <c r="L662" s="380"/>
      <c r="M662" s="380"/>
      <c r="N662" s="380"/>
      <c r="O662" s="380"/>
      <c r="P662" s="380"/>
      <c r="Q662" s="358" t="s">
        <v>9207</v>
      </c>
      <c r="R662" s="380"/>
      <c r="S662" s="380"/>
      <c r="T662" s="390" t="str">
        <f t="shared" si="28"/>
        <v>SOA0043-022 - T047_Deposit_Transfer_-_Valid_Acc.pdf</v>
      </c>
      <c r="U662" s="391"/>
      <c r="V662" s="391"/>
      <c r="W662" s="391"/>
      <c r="X662" s="391"/>
      <c r="Y662" s="391"/>
      <c r="Z662" s="364">
        <v>45030</v>
      </c>
      <c r="AA662" s="359" t="s">
        <v>254</v>
      </c>
    </row>
    <row r="663" spans="1:27">
      <c r="A663" s="769"/>
      <c r="B663" s="769"/>
      <c r="C663" s="382" t="s">
        <v>10465</v>
      </c>
      <c r="D663" s="382" t="s">
        <v>10466</v>
      </c>
      <c r="E663" s="382" t="s">
        <v>1732</v>
      </c>
      <c r="F663" s="382" t="s">
        <v>9205</v>
      </c>
      <c r="G663" s="769"/>
      <c r="H663" s="382" t="str">
        <f t="shared" si="27"/>
        <v>SOA0043-023 - T048_Deposit_Transfer_-_Invalid_From_Acc.pdf.txt</v>
      </c>
      <c r="I663" s="382"/>
      <c r="J663" s="382"/>
      <c r="K663" s="382"/>
      <c r="L663" s="382"/>
      <c r="M663" s="382"/>
      <c r="N663" s="382"/>
      <c r="O663" s="382"/>
      <c r="P663" s="382"/>
      <c r="Q663" s="358" t="s">
        <v>9207</v>
      </c>
      <c r="R663" s="382"/>
      <c r="S663" s="382"/>
      <c r="T663" s="390" t="str">
        <f t="shared" si="28"/>
        <v>SOA0043-023 - T048_Deposit_Transfer_-_Invalid_From_Acc.pdf</v>
      </c>
      <c r="U663" s="391"/>
      <c r="V663" s="391"/>
      <c r="W663" s="391"/>
      <c r="X663" s="391"/>
      <c r="Y663" s="391"/>
      <c r="Z663" s="364">
        <v>45030</v>
      </c>
      <c r="AA663" s="359" t="s">
        <v>254</v>
      </c>
    </row>
    <row r="664" spans="1:27">
      <c r="A664" s="769"/>
      <c r="B664" s="769"/>
      <c r="C664" s="380" t="s">
        <v>10467</v>
      </c>
      <c r="D664" s="380" t="s">
        <v>10468</v>
      </c>
      <c r="E664" s="380" t="s">
        <v>1732</v>
      </c>
      <c r="F664" s="380" t="s">
        <v>9205</v>
      </c>
      <c r="G664" s="769"/>
      <c r="H664" s="380" t="str">
        <f t="shared" si="27"/>
        <v>SOA0043-024 - T050_Deposit_Transfer_-_Amount_More_Then_Valid_Format.pdf.txt</v>
      </c>
      <c r="I664" s="380"/>
      <c r="J664" s="380"/>
      <c r="K664" s="380"/>
      <c r="L664" s="380"/>
      <c r="M664" s="380"/>
      <c r="N664" s="380"/>
      <c r="O664" s="380"/>
      <c r="P664" s="380"/>
      <c r="Q664" s="358" t="s">
        <v>9207</v>
      </c>
      <c r="R664" s="380"/>
      <c r="S664" s="380"/>
      <c r="T664" s="390" t="str">
        <f t="shared" si="28"/>
        <v>SOA0043-024 - T050_Deposit_Transfer_-_Amount_More_Then_Valid_Format.pdf</v>
      </c>
      <c r="U664" s="391"/>
      <c r="V664" s="391"/>
      <c r="W664" s="391"/>
      <c r="X664" s="391"/>
      <c r="Y664" s="391"/>
      <c r="Z664" s="364">
        <v>45030</v>
      </c>
      <c r="AA664" s="359" t="s">
        <v>254</v>
      </c>
    </row>
    <row r="665" spans="1:27">
      <c r="A665" s="769"/>
      <c r="B665" s="769"/>
      <c r="C665" s="382" t="s">
        <v>10469</v>
      </c>
      <c r="D665" s="382" t="s">
        <v>10470</v>
      </c>
      <c r="E665" s="382" t="s">
        <v>1732</v>
      </c>
      <c r="F665" s="382" t="s">
        <v>9205</v>
      </c>
      <c r="G665" s="769"/>
      <c r="H665" s="382" t="str">
        <f t="shared" si="27"/>
        <v>SOA0043-025 - T047_Deposit_Transfer_-_Valid_Acc_customJournal.pdf.txt</v>
      </c>
      <c r="I665" s="382"/>
      <c r="J665" s="382"/>
      <c r="K665" s="382"/>
      <c r="L665" s="382"/>
      <c r="M665" s="382"/>
      <c r="N665" s="382"/>
      <c r="O665" s="382"/>
      <c r="P665" s="382"/>
      <c r="Q665" s="358" t="s">
        <v>9207</v>
      </c>
      <c r="R665" s="382"/>
      <c r="S665" s="382"/>
      <c r="T665" s="390" t="str">
        <f t="shared" si="28"/>
        <v>SOA0043-025 - T047_Deposit_Transfer_-_Valid_Acc_customJournal.pdf</v>
      </c>
      <c r="U665" s="391"/>
      <c r="V665" s="391"/>
      <c r="W665" s="391"/>
      <c r="X665" s="391"/>
      <c r="Y665" s="391"/>
      <c r="Z665" s="364">
        <v>45030</v>
      </c>
      <c r="AA665" s="359" t="s">
        <v>254</v>
      </c>
    </row>
    <row r="666" spans="1:27">
      <c r="A666" s="769"/>
      <c r="B666" s="769"/>
      <c r="C666" s="380" t="s">
        <v>10471</v>
      </c>
      <c r="D666" s="380" t="s">
        <v>10472</v>
      </c>
      <c r="E666" s="380" t="s">
        <v>1732</v>
      </c>
      <c r="F666" s="380" t="s">
        <v>9205</v>
      </c>
      <c r="G666" s="769"/>
      <c r="H666" s="380" t="str">
        <f t="shared" si="27"/>
        <v>SOA0043-026 - T047_Deposit_Transfer_-_VA.pdf.txt</v>
      </c>
      <c r="I666" s="380"/>
      <c r="J666" s="380"/>
      <c r="K666" s="380"/>
      <c r="L666" s="380"/>
      <c r="M666" s="380"/>
      <c r="N666" s="380"/>
      <c r="O666" s="380"/>
      <c r="P666" s="380"/>
      <c r="Q666" s="358" t="s">
        <v>9207</v>
      </c>
      <c r="R666" s="380"/>
      <c r="S666" s="380"/>
      <c r="T666" s="390" t="str">
        <f t="shared" si="28"/>
        <v>SOA0043-026 - T047_Deposit_Transfer_-_VA.pdf</v>
      </c>
      <c r="U666" s="391"/>
      <c r="V666" s="391"/>
      <c r="W666" s="391"/>
      <c r="X666" s="391"/>
      <c r="Y666" s="391"/>
      <c r="Z666" s="364">
        <v>45030</v>
      </c>
      <c r="AA666" s="359" t="s">
        <v>254</v>
      </c>
    </row>
    <row r="667" spans="1:27">
      <c r="A667" s="769"/>
      <c r="B667" s="769"/>
      <c r="C667" s="382" t="s">
        <v>10473</v>
      </c>
      <c r="D667" s="382" t="s">
        <v>10474</v>
      </c>
      <c r="E667" s="382" t="s">
        <v>1732</v>
      </c>
      <c r="F667" s="382" t="s">
        <v>9205</v>
      </c>
      <c r="G667" s="769"/>
      <c r="H667" s="382" t="str">
        <f t="shared" si="27"/>
        <v>SOA0043-027 - T047_Deposit_Transfer_-_Valid_Acc_serverlama.pdf.txt</v>
      </c>
      <c r="I667" s="382"/>
      <c r="J667" s="382"/>
      <c r="K667" s="382"/>
      <c r="L667" s="382"/>
      <c r="M667" s="382"/>
      <c r="N667" s="382"/>
      <c r="O667" s="382"/>
      <c r="P667" s="382"/>
      <c r="Q667" s="358" t="s">
        <v>9207</v>
      </c>
      <c r="R667" s="382"/>
      <c r="S667" s="382"/>
      <c r="T667" s="390" t="str">
        <f t="shared" si="28"/>
        <v>SOA0043-027 - T047_Deposit_Transfer_-_Valid_Acc_serverlama.pdf</v>
      </c>
      <c r="U667" s="391"/>
      <c r="V667" s="391"/>
      <c r="W667" s="391"/>
      <c r="X667" s="391"/>
      <c r="Y667" s="391"/>
      <c r="Z667" s="364">
        <v>45030</v>
      </c>
      <c r="AA667" s="359" t="s">
        <v>254</v>
      </c>
    </row>
    <row r="668" spans="1:27">
      <c r="A668" s="769"/>
      <c r="B668" s="769"/>
      <c r="C668" s="380" t="s">
        <v>10475</v>
      </c>
      <c r="D668" s="380" t="s">
        <v>10476</v>
      </c>
      <c r="E668" s="380" t="s">
        <v>1732</v>
      </c>
      <c r="F668" s="380" t="s">
        <v>9205</v>
      </c>
      <c r="G668" s="769"/>
      <c r="H668" s="380" t="str">
        <f t="shared" si="27"/>
        <v>SOA0043-028 - T057_GL_Inquiry_-_Valid_Inquiry.pdf.txt</v>
      </c>
      <c r="I668" s="380"/>
      <c r="J668" s="380"/>
      <c r="K668" s="380"/>
      <c r="L668" s="380"/>
      <c r="M668" s="380"/>
      <c r="N668" s="380"/>
      <c r="O668" s="380"/>
      <c r="P668" s="380"/>
      <c r="Q668" s="358" t="s">
        <v>9207</v>
      </c>
      <c r="R668" s="380"/>
      <c r="S668" s="380"/>
      <c r="T668" s="390" t="str">
        <f t="shared" si="28"/>
        <v>SOA0043-028 - T057_GL_Inquiry_-_Valid_Inquiry.pdf</v>
      </c>
      <c r="U668" s="391"/>
      <c r="V668" s="391"/>
      <c r="W668" s="391"/>
      <c r="X668" s="391"/>
      <c r="Y668" s="391"/>
      <c r="Z668" s="364">
        <v>45030</v>
      </c>
      <c r="AA668" s="359" t="s">
        <v>254</v>
      </c>
    </row>
    <row r="669" spans="1:27">
      <c r="A669" s="769"/>
      <c r="B669" s="769"/>
      <c r="C669" s="382" t="s">
        <v>10477</v>
      </c>
      <c r="D669" s="382" t="s">
        <v>10478</v>
      </c>
      <c r="E669" s="382" t="s">
        <v>1732</v>
      </c>
      <c r="F669" s="382" t="s">
        <v>9205</v>
      </c>
      <c r="G669" s="769"/>
      <c r="H669" s="382" t="str">
        <f t="shared" si="27"/>
        <v>SOA0043-029 - T058_GL_Inquiry_-_Invalid_Account_Number.pdf.txt</v>
      </c>
      <c r="I669" s="382"/>
      <c r="J669" s="382"/>
      <c r="K669" s="382"/>
      <c r="L669" s="382"/>
      <c r="M669" s="382"/>
      <c r="N669" s="382"/>
      <c r="O669" s="382"/>
      <c r="P669" s="382"/>
      <c r="Q669" s="358" t="s">
        <v>9207</v>
      </c>
      <c r="R669" s="382"/>
      <c r="S669" s="382"/>
      <c r="T669" s="390" t="str">
        <f t="shared" si="28"/>
        <v>SOA0043-029 - T058_GL_Inquiry_-_Invalid_Account_Number.pdf</v>
      </c>
      <c r="U669" s="391"/>
      <c r="V669" s="391"/>
      <c r="W669" s="391"/>
      <c r="X669" s="391"/>
      <c r="Y669" s="391"/>
      <c r="Z669" s="364">
        <v>45030</v>
      </c>
      <c r="AA669" s="359" t="s">
        <v>254</v>
      </c>
    </row>
    <row r="670" spans="1:27">
      <c r="A670" s="769"/>
      <c r="B670" s="769"/>
      <c r="C670" s="380" t="s">
        <v>10479</v>
      </c>
      <c r="D670" s="380" t="s">
        <v>10480</v>
      </c>
      <c r="E670" s="380" t="s">
        <v>1732</v>
      </c>
      <c r="F670" s="380" t="s">
        <v>9205</v>
      </c>
      <c r="G670" s="769"/>
      <c r="H670" s="380" t="str">
        <f t="shared" si="27"/>
        <v>SOA0043-030 - T064_Kliring_Outward_-_Valid_Transaction.pdf.txt</v>
      </c>
      <c r="I670" s="380"/>
      <c r="J670" s="380"/>
      <c r="K670" s="380"/>
      <c r="L670" s="380"/>
      <c r="M670" s="380"/>
      <c r="N670" s="380"/>
      <c r="O670" s="380"/>
      <c r="P670" s="380"/>
      <c r="Q670" s="358" t="s">
        <v>9207</v>
      </c>
      <c r="R670" s="380"/>
      <c r="S670" s="380"/>
      <c r="T670" s="390" t="str">
        <f t="shared" si="28"/>
        <v>SOA0043-030 - T064_Kliring_Outward_-_Valid_Transaction.pdf</v>
      </c>
      <c r="U670" s="391"/>
      <c r="V670" s="391"/>
      <c r="W670" s="391"/>
      <c r="X670" s="391"/>
      <c r="Y670" s="391"/>
      <c r="Z670" s="364">
        <v>45030</v>
      </c>
      <c r="AA670" s="359" t="s">
        <v>254</v>
      </c>
    </row>
    <row r="671" spans="1:27">
      <c r="A671" s="769"/>
      <c r="B671" s="769"/>
      <c r="C671" s="382" t="s">
        <v>10481</v>
      </c>
      <c r="D671" s="382" t="s">
        <v>10482</v>
      </c>
      <c r="E671" s="382" t="s">
        <v>1732</v>
      </c>
      <c r="F671" s="382" t="s">
        <v>9205</v>
      </c>
      <c r="G671" s="769"/>
      <c r="H671" s="382" t="str">
        <f t="shared" si="27"/>
        <v>SOA0043-031 - T071_Loan_Interest_-_Valid_Acc_Number.pdf.txt</v>
      </c>
      <c r="I671" s="382"/>
      <c r="J671" s="382"/>
      <c r="K671" s="382"/>
      <c r="L671" s="382"/>
      <c r="M671" s="382"/>
      <c r="N671" s="382"/>
      <c r="O671" s="382"/>
      <c r="P671" s="382"/>
      <c r="Q671" s="358" t="s">
        <v>9207</v>
      </c>
      <c r="R671" s="382"/>
      <c r="S671" s="382"/>
      <c r="T671" s="390" t="str">
        <f t="shared" si="28"/>
        <v>SOA0043-031 - T071_Loan_Interest_-_Valid_Acc_Number.pdf</v>
      </c>
      <c r="U671" s="391"/>
      <c r="V671" s="391"/>
      <c r="W671" s="391"/>
      <c r="X671" s="391"/>
      <c r="Y671" s="391"/>
      <c r="Z671" s="364">
        <v>45030</v>
      </c>
      <c r="AA671" s="359" t="s">
        <v>254</v>
      </c>
    </row>
    <row r="672" spans="1:27">
      <c r="A672" s="769"/>
      <c r="B672" s="769"/>
      <c r="C672" s="380" t="s">
        <v>10483</v>
      </c>
      <c r="D672" s="380" t="s">
        <v>10484</v>
      </c>
      <c r="E672" s="380" t="s">
        <v>1732</v>
      </c>
      <c r="F672" s="380" t="s">
        <v>9205</v>
      </c>
      <c r="G672" s="769"/>
      <c r="H672" s="380" t="str">
        <f t="shared" si="27"/>
        <v>SOA0043-032 - T076_Multi_Transfer_-_Valid_Transfer.pdf.txt</v>
      </c>
      <c r="I672" s="380"/>
      <c r="J672" s="380"/>
      <c r="K672" s="380"/>
      <c r="L672" s="380"/>
      <c r="M672" s="380"/>
      <c r="N672" s="380"/>
      <c r="O672" s="380"/>
      <c r="P672" s="380"/>
      <c r="Q672" s="358" t="s">
        <v>9207</v>
      </c>
      <c r="R672" s="380"/>
      <c r="S672" s="380"/>
      <c r="T672" s="390" t="str">
        <f t="shared" si="28"/>
        <v>SOA0043-032 - T076_Multi_Transfer_-_Valid_Transfer.pdf</v>
      </c>
      <c r="U672" s="391"/>
      <c r="V672" s="391"/>
      <c r="W672" s="391"/>
      <c r="X672" s="391"/>
      <c r="Y672" s="391"/>
      <c r="Z672" s="364">
        <v>45030</v>
      </c>
      <c r="AA672" s="359" t="s">
        <v>254</v>
      </c>
    </row>
    <row r="673" spans="1:27">
      <c r="A673" s="769"/>
      <c r="B673" s="769"/>
      <c r="C673" s="382" t="s">
        <v>10485</v>
      </c>
      <c r="D673" s="382" t="s">
        <v>10486</v>
      </c>
      <c r="E673" s="382" t="s">
        <v>1732</v>
      </c>
      <c r="F673" s="382" t="s">
        <v>9205</v>
      </c>
      <c r="G673" s="769"/>
      <c r="H673" s="382" t="str">
        <f t="shared" si="27"/>
        <v>SOA0043-033 - T081_Remittance_Master_In_-_Valid_PMT_Remittance.pdf.txt</v>
      </c>
      <c r="I673" s="382"/>
      <c r="J673" s="382"/>
      <c r="K673" s="382"/>
      <c r="L673" s="382"/>
      <c r="M673" s="382"/>
      <c r="N673" s="382"/>
      <c r="O673" s="382"/>
      <c r="P673" s="382"/>
      <c r="Q673" s="358" t="s">
        <v>9207</v>
      </c>
      <c r="R673" s="382"/>
      <c r="S673" s="382"/>
      <c r="T673" s="390" t="str">
        <f t="shared" si="28"/>
        <v>SOA0043-033 - T081_Remittance_Master_In_-_Valid_PMT_Remittance.pdf</v>
      </c>
      <c r="U673" s="391"/>
      <c r="V673" s="391"/>
      <c r="W673" s="391"/>
      <c r="X673" s="391"/>
      <c r="Y673" s="391"/>
      <c r="Z673" s="364">
        <v>45030</v>
      </c>
      <c r="AA673" s="359" t="s">
        <v>254</v>
      </c>
    </row>
    <row r="674" spans="1:27">
      <c r="A674" s="769"/>
      <c r="B674" s="769"/>
      <c r="C674" s="380" t="s">
        <v>10487</v>
      </c>
      <c r="D674" s="380" t="s">
        <v>10488</v>
      </c>
      <c r="E674" s="380" t="s">
        <v>1732</v>
      </c>
      <c r="F674" s="380" t="s">
        <v>9205</v>
      </c>
      <c r="G674" s="769"/>
      <c r="H674" s="380" t="str">
        <f t="shared" si="27"/>
        <v>SOA0043-034 - T069_Loan_Balance_Breakdown_-_Valid_Acc_Number.pdf.txt</v>
      </c>
      <c r="I674" s="380"/>
      <c r="J674" s="380"/>
      <c r="K674" s="380"/>
      <c r="L674" s="380"/>
      <c r="M674" s="380"/>
      <c r="N674" s="380"/>
      <c r="O674" s="380"/>
      <c r="P674" s="380"/>
      <c r="Q674" s="358" t="s">
        <v>9207</v>
      </c>
      <c r="R674" s="380"/>
      <c r="S674" s="380"/>
      <c r="T674" s="390" t="str">
        <f t="shared" si="28"/>
        <v>SOA0043-034 - T069_Loan_Balance_Breakdown_-_Valid_Acc_Number.pdf</v>
      </c>
      <c r="U674" s="391"/>
      <c r="V674" s="391"/>
      <c r="W674" s="391"/>
      <c r="X674" s="391"/>
      <c r="Y674" s="391"/>
      <c r="Z674" s="364">
        <v>45030</v>
      </c>
      <c r="AA674" s="359" t="s">
        <v>254</v>
      </c>
    </row>
    <row r="675" spans="1:27">
      <c r="A675" s="769"/>
      <c r="B675" s="769"/>
      <c r="C675" s="382" t="s">
        <v>10489</v>
      </c>
      <c r="D675" s="382" t="s">
        <v>10490</v>
      </c>
      <c r="E675" s="382" t="s">
        <v>1732</v>
      </c>
      <c r="F675" s="382" t="s">
        <v>9205</v>
      </c>
      <c r="G675" s="769"/>
      <c r="H675" s="382" t="str">
        <f t="shared" si="27"/>
        <v>SOA0043-035 - T038_Deposit_Details_-_Valid_Acc_Number.pdf.txt</v>
      </c>
      <c r="I675" s="382"/>
      <c r="J675" s="382"/>
      <c r="K675" s="382"/>
      <c r="L675" s="382"/>
      <c r="M675" s="382"/>
      <c r="N675" s="382"/>
      <c r="O675" s="382"/>
      <c r="P675" s="382"/>
      <c r="Q675" s="358" t="s">
        <v>9207</v>
      </c>
      <c r="R675" s="382"/>
      <c r="S675" s="382"/>
      <c r="T675" s="390" t="str">
        <f t="shared" si="28"/>
        <v>SOA0043-035 - T038_Deposit_Details_-_Valid_Acc_Number.pdf</v>
      </c>
      <c r="U675" s="391"/>
      <c r="V675" s="391"/>
      <c r="W675" s="391"/>
      <c r="X675" s="391"/>
      <c r="Y675" s="391"/>
      <c r="Z675" s="364">
        <v>45030</v>
      </c>
      <c r="AA675" s="359" t="s">
        <v>254</v>
      </c>
    </row>
    <row r="676" spans="1:27">
      <c r="A676" s="769"/>
      <c r="B676" s="769"/>
      <c r="C676" s="380" t="s">
        <v>10491</v>
      </c>
      <c r="D676" s="380" t="s">
        <v>10492</v>
      </c>
      <c r="E676" s="380" t="s">
        <v>1732</v>
      </c>
      <c r="F676" s="380" t="s">
        <v>9205</v>
      </c>
      <c r="G676" s="769"/>
      <c r="H676" s="380" t="str">
        <f t="shared" si="27"/>
        <v>SOA0043-036 - T039_Deposit_Details_-_Invalid_Acc_Number.pdf.txt</v>
      </c>
      <c r="I676" s="380"/>
      <c r="J676" s="380"/>
      <c r="K676" s="380"/>
      <c r="L676" s="380"/>
      <c r="M676" s="380"/>
      <c r="N676" s="380"/>
      <c r="O676" s="380"/>
      <c r="P676" s="380"/>
      <c r="Q676" s="358" t="s">
        <v>9207</v>
      </c>
      <c r="R676" s="380"/>
      <c r="S676" s="380"/>
      <c r="T676" s="390" t="str">
        <f t="shared" si="28"/>
        <v>SOA0043-036 - T039_Deposit_Details_-_Invalid_Acc_Number.pdf</v>
      </c>
      <c r="U676" s="391"/>
      <c r="V676" s="391"/>
      <c r="W676" s="391"/>
      <c r="X676" s="391"/>
      <c r="Y676" s="391"/>
      <c r="Z676" s="364">
        <v>45030</v>
      </c>
      <c r="AA676" s="359" t="s">
        <v>254</v>
      </c>
    </row>
    <row r="677" spans="1:27">
      <c r="A677" s="769"/>
      <c r="B677" s="769"/>
      <c r="C677" s="382" t="s">
        <v>10493</v>
      </c>
      <c r="D677" s="382" t="s">
        <v>10494</v>
      </c>
      <c r="E677" s="382" t="s">
        <v>1732</v>
      </c>
      <c r="F677" s="382" t="s">
        <v>9205</v>
      </c>
      <c r="G677" s="769"/>
      <c r="H677" s="382" t="str">
        <f t="shared" si="27"/>
        <v>SOA0043-037 - T051_Deposit_Transfer_Reversal_-_Valid_Acc.pdf.txt</v>
      </c>
      <c r="I677" s="382"/>
      <c r="J677" s="382"/>
      <c r="K677" s="382"/>
      <c r="L677" s="382"/>
      <c r="M677" s="382"/>
      <c r="N677" s="382"/>
      <c r="O677" s="382"/>
      <c r="P677" s="382"/>
      <c r="Q677" s="358" t="s">
        <v>9207</v>
      </c>
      <c r="R677" s="382"/>
      <c r="S677" s="382"/>
      <c r="T677" s="390" t="str">
        <f t="shared" si="28"/>
        <v>SOA0043-037 - T051_Deposit_Transfer_Reversal_-_Valid_Acc.pdf</v>
      </c>
      <c r="U677" s="391"/>
      <c r="V677" s="391"/>
      <c r="W677" s="391"/>
      <c r="X677" s="391"/>
      <c r="Y677" s="391"/>
      <c r="Z677" s="364">
        <v>45030</v>
      </c>
      <c r="AA677" s="359" t="s">
        <v>254</v>
      </c>
    </row>
    <row r="678" spans="1:27">
      <c r="A678" s="769"/>
      <c r="B678" s="769"/>
      <c r="C678" s="380" t="s">
        <v>10495</v>
      </c>
      <c r="D678" s="380" t="s">
        <v>10496</v>
      </c>
      <c r="E678" s="380" t="s">
        <v>1732</v>
      </c>
      <c r="F678" s="380" t="s">
        <v>9205</v>
      </c>
      <c r="G678" s="769"/>
      <c r="H678" s="380" t="str">
        <f t="shared" si="27"/>
        <v>SOA0043-038 - T107_Rtgs_Outward_-_Valid_Transaction.pdf.txt</v>
      </c>
      <c r="I678" s="380"/>
      <c r="J678" s="380"/>
      <c r="K678" s="380"/>
      <c r="L678" s="380"/>
      <c r="M678" s="380"/>
      <c r="N678" s="380"/>
      <c r="O678" s="380"/>
      <c r="P678" s="380"/>
      <c r="Q678" s="358" t="s">
        <v>9207</v>
      </c>
      <c r="R678" s="380"/>
      <c r="S678" s="380"/>
      <c r="T678" s="390" t="str">
        <f t="shared" si="28"/>
        <v>SOA0043-038 - T107_Rtgs_Outward_-_Valid_Transaction.pdf</v>
      </c>
      <c r="U678" s="391"/>
      <c r="V678" s="391"/>
      <c r="W678" s="391"/>
      <c r="X678" s="391"/>
      <c r="Y678" s="391"/>
      <c r="Z678" s="364">
        <v>45030</v>
      </c>
      <c r="AA678" s="359" t="s">
        <v>254</v>
      </c>
    </row>
    <row r="679" spans="1:27">
      <c r="A679" s="769"/>
      <c r="B679" s="769"/>
      <c r="C679" s="382" t="s">
        <v>10497</v>
      </c>
      <c r="D679" s="382" t="s">
        <v>10498</v>
      </c>
      <c r="E679" s="382" t="s">
        <v>1732</v>
      </c>
      <c r="F679" s="382" t="s">
        <v>9205</v>
      </c>
      <c r="G679" s="769"/>
      <c r="H679" s="382" t="str">
        <f t="shared" si="27"/>
        <v>SOA0043-039 - T112_Rtgs_Outward_-_Valid_Transaction_Baru.pdf.txt</v>
      </c>
      <c r="I679" s="382"/>
      <c r="J679" s="382"/>
      <c r="K679" s="382"/>
      <c r="L679" s="382"/>
      <c r="M679" s="382"/>
      <c r="N679" s="382"/>
      <c r="O679" s="382"/>
      <c r="P679" s="382"/>
      <c r="Q679" s="358" t="s">
        <v>9207</v>
      </c>
      <c r="R679" s="382"/>
      <c r="S679" s="382"/>
      <c r="T679" s="390" t="str">
        <f t="shared" si="28"/>
        <v>SOA0043-039 - T112_Rtgs_Outward_-_Valid_Transaction_Baru.pdf</v>
      </c>
      <c r="U679" s="391"/>
      <c r="V679" s="391"/>
      <c r="W679" s="391"/>
      <c r="X679" s="391"/>
      <c r="Y679" s="391"/>
      <c r="Z679" s="364">
        <v>45030</v>
      </c>
      <c r="AA679" s="359" t="s">
        <v>254</v>
      </c>
    </row>
    <row r="680" spans="1:27">
      <c r="A680" s="769"/>
      <c r="B680" s="769"/>
      <c r="C680" s="380" t="s">
        <v>10499</v>
      </c>
      <c r="D680" s="380" t="s">
        <v>10500</v>
      </c>
      <c r="E680" s="380" t="s">
        <v>1732</v>
      </c>
      <c r="F680" s="380" t="s">
        <v>9205</v>
      </c>
      <c r="G680" s="769"/>
      <c r="H680" s="380" t="str">
        <f t="shared" si="27"/>
        <v>SOA0043-040 - T107_Rtgs_Outward_-_Valid_Transaction_bary.pdf.txt</v>
      </c>
      <c r="I680" s="380"/>
      <c r="J680" s="380"/>
      <c r="K680" s="380"/>
      <c r="L680" s="380"/>
      <c r="M680" s="380"/>
      <c r="N680" s="380"/>
      <c r="O680" s="380"/>
      <c r="P680" s="380"/>
      <c r="Q680" s="358" t="s">
        <v>9207</v>
      </c>
      <c r="R680" s="380"/>
      <c r="S680" s="380"/>
      <c r="T680" s="390" t="str">
        <f t="shared" si="28"/>
        <v>SOA0043-040 - T107_Rtgs_Outward_-_Valid_Transaction_bary.pdf</v>
      </c>
      <c r="U680" s="391"/>
      <c r="V680" s="391"/>
      <c r="W680" s="391"/>
      <c r="X680" s="391"/>
      <c r="Y680" s="391"/>
      <c r="Z680" s="364">
        <v>45030</v>
      </c>
      <c r="AA680" s="359" t="s">
        <v>254</v>
      </c>
    </row>
    <row r="681" spans="1:27">
      <c r="A681" s="769"/>
      <c r="B681" s="769"/>
      <c r="C681" s="382" t="s">
        <v>10501</v>
      </c>
      <c r="D681" s="382" t="s">
        <v>10502</v>
      </c>
      <c r="E681" s="382" t="s">
        <v>1732</v>
      </c>
      <c r="F681" s="382" t="s">
        <v>9205</v>
      </c>
      <c r="G681" s="769"/>
      <c r="H681" s="382" t="str">
        <f t="shared" si="27"/>
        <v>SOA0043-041 - T073_Loan_Transfer_-_Valid_Acc.pdf.txt</v>
      </c>
      <c r="I681" s="382"/>
      <c r="J681" s="382"/>
      <c r="K681" s="382"/>
      <c r="L681" s="382"/>
      <c r="M681" s="382"/>
      <c r="N681" s="382"/>
      <c r="O681" s="382"/>
      <c r="P681" s="382"/>
      <c r="Q681" s="358" t="s">
        <v>9207</v>
      </c>
      <c r="R681" s="382"/>
      <c r="S681" s="382"/>
      <c r="T681" s="390" t="str">
        <f t="shared" si="28"/>
        <v>SOA0043-041 - T073_Loan_Transfer_-_Valid_Acc.pdf</v>
      </c>
      <c r="U681" s="391"/>
      <c r="V681" s="391"/>
      <c r="W681" s="391"/>
      <c r="X681" s="391"/>
      <c r="Y681" s="391"/>
      <c r="Z681" s="364">
        <v>45034</v>
      </c>
      <c r="AA681" s="359" t="s">
        <v>254</v>
      </c>
    </row>
    <row r="682" spans="1:27">
      <c r="A682" s="769"/>
      <c r="B682" s="769"/>
      <c r="C682" s="380" t="s">
        <v>10503</v>
      </c>
      <c r="D682" s="380" t="s">
        <v>10504</v>
      </c>
      <c r="E682" s="380" t="s">
        <v>1732</v>
      </c>
      <c r="F682" s="380" t="s">
        <v>9205</v>
      </c>
      <c r="G682" s="769"/>
      <c r="H682" s="380" t="str">
        <f t="shared" si="27"/>
        <v>SOA0043-042 - TAX_file_number_valid_customer_number.pdf.txt</v>
      </c>
      <c r="I682" s="380"/>
      <c r="J682" s="380"/>
      <c r="K682" s="380"/>
      <c r="L682" s="380"/>
      <c r="M682" s="380"/>
      <c r="N682" s="380"/>
      <c r="O682" s="380"/>
      <c r="P682" s="380"/>
      <c r="Q682" s="358" t="s">
        <v>9207</v>
      </c>
      <c r="R682" s="380"/>
      <c r="S682" s="380"/>
      <c r="T682" s="390" t="str">
        <f t="shared" si="28"/>
        <v>SOA0043-042 - TAX_file_number_valid_customer_number.pdf</v>
      </c>
      <c r="U682" s="391"/>
      <c r="V682" s="391"/>
      <c r="W682" s="391"/>
      <c r="X682" s="391"/>
      <c r="Y682" s="391"/>
      <c r="Z682" s="364">
        <v>45034</v>
      </c>
      <c r="AA682" s="359" t="s">
        <v>254</v>
      </c>
    </row>
    <row r="683" spans="1:27">
      <c r="A683" s="769"/>
      <c r="B683" s="769"/>
      <c r="C683" s="382" t="s">
        <v>10505</v>
      </c>
      <c r="D683" s="382" t="s">
        <v>10506</v>
      </c>
      <c r="E683" s="382" t="s">
        <v>1732</v>
      </c>
      <c r="F683" s="382" t="s">
        <v>9205</v>
      </c>
      <c r="G683" s="769"/>
      <c r="H683" s="382" t="str">
        <f t="shared" si="27"/>
        <v>SOA0043-043 - T040_Deposit_Transaction_Inquiry_-_Valid_Acc_Financial_Transaction.pdf.txt</v>
      </c>
      <c r="I683" s="382"/>
      <c r="J683" s="382"/>
      <c r="K683" s="382"/>
      <c r="L683" s="382"/>
      <c r="M683" s="382"/>
      <c r="N683" s="382"/>
      <c r="O683" s="382"/>
      <c r="P683" s="382"/>
      <c r="Q683" s="358" t="s">
        <v>9207</v>
      </c>
      <c r="R683" s="382"/>
      <c r="S683" s="382"/>
      <c r="T683" s="390" t="str">
        <f t="shared" si="28"/>
        <v>SOA0043-043 - T040_Deposit_Transaction_Inquiry_-_Valid_Acc_Financial_Transaction.pdf</v>
      </c>
      <c r="U683" s="391"/>
      <c r="V683" s="391"/>
      <c r="W683" s="391"/>
      <c r="X683" s="391"/>
      <c r="Y683" s="391"/>
      <c r="Z683" s="364">
        <v>45034</v>
      </c>
      <c r="AA683" s="359" t="s">
        <v>254</v>
      </c>
    </row>
    <row r="684" spans="1:27">
      <c r="A684" s="769"/>
      <c r="B684" s="769"/>
      <c r="C684" s="380" t="s">
        <v>10507</v>
      </c>
      <c r="D684" s="380" t="s">
        <v>10508</v>
      </c>
      <c r="E684" s="380" t="s">
        <v>1732</v>
      </c>
      <c r="F684" s="380" t="s">
        <v>9205</v>
      </c>
      <c r="G684" s="769"/>
      <c r="H684" s="380" t="str">
        <f t="shared" si="27"/>
        <v>SOA0043-044 - T041_Deposit_Transaction_Inquiry_-_Valid_Acc_Rollover_Transaction.pdf.txt</v>
      </c>
      <c r="I684" s="380"/>
      <c r="J684" s="380"/>
      <c r="K684" s="380"/>
      <c r="L684" s="380"/>
      <c r="M684" s="380"/>
      <c r="N684" s="380"/>
      <c r="O684" s="380"/>
      <c r="P684" s="380"/>
      <c r="Q684" s="358" t="s">
        <v>9207</v>
      </c>
      <c r="R684" s="380"/>
      <c r="S684" s="380"/>
      <c r="T684" s="390" t="str">
        <f t="shared" si="28"/>
        <v>SOA0043-044 - T041_Deposit_Transaction_Inquiry_-_Valid_Acc_Rollover_Transaction.pdf</v>
      </c>
      <c r="U684" s="391"/>
      <c r="V684" s="391"/>
      <c r="W684" s="391"/>
      <c r="X684" s="391"/>
      <c r="Y684" s="391"/>
      <c r="Z684" s="364">
        <v>45034</v>
      </c>
      <c r="AA684" s="359" t="s">
        <v>254</v>
      </c>
    </row>
    <row r="685" spans="1:27">
      <c r="A685" s="769"/>
      <c r="B685" s="769"/>
      <c r="C685" s="382" t="s">
        <v>10509</v>
      </c>
      <c r="D685" s="382" t="s">
        <v>10510</v>
      </c>
      <c r="E685" s="382" t="s">
        <v>1732</v>
      </c>
      <c r="F685" s="382" t="s">
        <v>9205</v>
      </c>
      <c r="G685" s="769"/>
      <c r="H685" s="382" t="str">
        <f t="shared" si="27"/>
        <v>SOA0043-045 - T060_Historical_Transactions_-_Valid_Acc.pdf.txt</v>
      </c>
      <c r="I685" s="382"/>
      <c r="J685" s="382"/>
      <c r="K685" s="382"/>
      <c r="L685" s="382"/>
      <c r="M685" s="382"/>
      <c r="N685" s="382"/>
      <c r="O685" s="382"/>
      <c r="P685" s="382"/>
      <c r="Q685" s="358" t="s">
        <v>9207</v>
      </c>
      <c r="R685" s="382"/>
      <c r="S685" s="382"/>
      <c r="T685" s="390" t="str">
        <f t="shared" si="28"/>
        <v>SOA0043-045 - T060_Historical_Transactions_-_Valid_Acc.pdf</v>
      </c>
      <c r="U685" s="391"/>
      <c r="V685" s="391"/>
      <c r="W685" s="391"/>
      <c r="X685" s="391"/>
      <c r="Y685" s="391"/>
      <c r="Z685" s="364">
        <v>45034</v>
      </c>
      <c r="AA685" s="359" t="s">
        <v>254</v>
      </c>
    </row>
    <row r="686" spans="1:27">
      <c r="A686" s="769"/>
      <c r="B686" s="769"/>
      <c r="C686" s="380" t="s">
        <v>10511</v>
      </c>
      <c r="D686" s="380" t="s">
        <v>10512</v>
      </c>
      <c r="E686" s="380" t="s">
        <v>1732</v>
      </c>
      <c r="F686" s="380" t="s">
        <v>9205</v>
      </c>
      <c r="G686" s="769"/>
      <c r="H686" s="380" t="str">
        <f t="shared" si="27"/>
        <v>SOA0043-046 - SOAP Request.pdf.txt</v>
      </c>
      <c r="I686" s="380"/>
      <c r="J686" s="380"/>
      <c r="K686" s="380"/>
      <c r="L686" s="380"/>
      <c r="M686" s="380"/>
      <c r="N686" s="380"/>
      <c r="O686" s="380"/>
      <c r="P686" s="380"/>
      <c r="Q686" s="358" t="s">
        <v>9207</v>
      </c>
      <c r="R686" s="380"/>
      <c r="S686" s="380"/>
      <c r="T686" s="390" t="str">
        <f t="shared" si="28"/>
        <v>SOA0043-046 - SOAP Request.pdf</v>
      </c>
      <c r="U686" s="391"/>
      <c r="V686" s="391"/>
      <c r="W686" s="391"/>
      <c r="X686" s="391"/>
      <c r="Y686" s="391"/>
      <c r="Z686" s="364">
        <v>45034</v>
      </c>
      <c r="AA686" s="359" t="s">
        <v>254</v>
      </c>
    </row>
    <row r="687" spans="1:27">
      <c r="A687" s="769"/>
      <c r="B687" s="769"/>
      <c r="C687" s="382" t="s">
        <v>10513</v>
      </c>
      <c r="D687" s="382" t="s">
        <v>10514</v>
      </c>
      <c r="E687" s="382" t="s">
        <v>1732</v>
      </c>
      <c r="F687" s="382" t="s">
        <v>9205</v>
      </c>
      <c r="G687" s="769"/>
      <c r="H687" s="382" t="str">
        <f t="shared" si="27"/>
        <v>SOA0043-047 - Test Request.pdf.txt</v>
      </c>
      <c r="I687" s="382"/>
      <c r="J687" s="382"/>
      <c r="K687" s="382"/>
      <c r="L687" s="382"/>
      <c r="M687" s="382"/>
      <c r="N687" s="382"/>
      <c r="O687" s="382"/>
      <c r="P687" s="382"/>
      <c r="Q687" s="358" t="s">
        <v>9207</v>
      </c>
      <c r="R687" s="382"/>
      <c r="S687" s="382"/>
      <c r="T687" s="390" t="str">
        <f t="shared" si="28"/>
        <v>SOA0043-047 - Test Request.pdf</v>
      </c>
      <c r="U687" s="391"/>
      <c r="V687" s="391"/>
      <c r="W687" s="391"/>
      <c r="X687" s="391"/>
      <c r="Y687" s="391"/>
      <c r="Z687" s="364">
        <v>45034</v>
      </c>
      <c r="AA687" s="359" t="s">
        <v>254</v>
      </c>
    </row>
    <row r="688" spans="1:27">
      <c r="A688" s="769"/>
      <c r="B688" s="769"/>
      <c r="C688" s="380" t="s">
        <v>10515</v>
      </c>
      <c r="D688" s="380" t="s">
        <v>10516</v>
      </c>
      <c r="E688" s="380" t="s">
        <v>1732</v>
      </c>
      <c r="F688" s="380" t="s">
        <v>9205</v>
      </c>
      <c r="G688" s="769"/>
      <c r="H688" s="380" t="str">
        <f t="shared" si="27"/>
        <v>SOA0043-048 - T092_owned_account_list_valid_customer_number.pdf.txt</v>
      </c>
      <c r="I688" s="380"/>
      <c r="J688" s="380"/>
      <c r="K688" s="380"/>
      <c r="L688" s="380"/>
      <c r="M688" s="380"/>
      <c r="N688" s="380"/>
      <c r="O688" s="380"/>
      <c r="P688" s="380"/>
      <c r="Q688" s="358" t="s">
        <v>9207</v>
      </c>
      <c r="R688" s="380"/>
      <c r="S688" s="380"/>
      <c r="T688" s="390" t="str">
        <f t="shared" si="28"/>
        <v>SOA0043-048 - T092_owned_account_list_valid_customer_number.pdf</v>
      </c>
      <c r="U688" s="391"/>
      <c r="V688" s="391"/>
      <c r="W688" s="391"/>
      <c r="X688" s="391"/>
      <c r="Y688" s="391"/>
      <c r="Z688" s="364">
        <v>45034</v>
      </c>
      <c r="AA688" s="359" t="s">
        <v>254</v>
      </c>
    </row>
    <row r="689" spans="1:27">
      <c r="A689" s="769"/>
      <c r="B689" s="769"/>
      <c r="C689" s="382" t="s">
        <v>10517</v>
      </c>
      <c r="D689" s="382" t="s">
        <v>10518</v>
      </c>
      <c r="E689" s="382" t="s">
        <v>1732</v>
      </c>
      <c r="F689" s="382" t="s">
        <v>9205</v>
      </c>
      <c r="G689" s="769"/>
      <c r="H689" s="382" t="str">
        <f t="shared" si="27"/>
        <v>SOA0043-049 - T096_Open_Account_List_-_Valid_Customer_Number.pdf.txt</v>
      </c>
      <c r="I689" s="382"/>
      <c r="J689" s="382"/>
      <c r="K689" s="382"/>
      <c r="L689" s="382"/>
      <c r="M689" s="382"/>
      <c r="N689" s="382"/>
      <c r="O689" s="382"/>
      <c r="P689" s="382"/>
      <c r="Q689" s="358" t="s">
        <v>9207</v>
      </c>
      <c r="R689" s="382"/>
      <c r="S689" s="382"/>
      <c r="T689" s="390" t="str">
        <f t="shared" si="28"/>
        <v>SOA0043-049 - T096_Open_Account_List_-_Valid_Customer_Number.pdf</v>
      </c>
      <c r="U689" s="391"/>
      <c r="V689" s="391"/>
      <c r="W689" s="391"/>
      <c r="X689" s="391"/>
      <c r="Y689" s="391"/>
      <c r="Z689" s="364">
        <v>45034</v>
      </c>
      <c r="AA689" s="359" t="s">
        <v>254</v>
      </c>
    </row>
    <row r="690" spans="1:27">
      <c r="A690" s="769"/>
      <c r="B690" s="769"/>
      <c r="C690" s="380" t="s">
        <v>10519</v>
      </c>
      <c r="D690" s="380" t="s">
        <v>10520</v>
      </c>
      <c r="E690" s="380" t="s">
        <v>1732</v>
      </c>
      <c r="F690" s="380" t="s">
        <v>9205</v>
      </c>
      <c r="G690" s="769"/>
      <c r="H690" s="380" t="str">
        <f t="shared" si="27"/>
        <v>SOA0043-050 - OpenAccountList.pdf.txt</v>
      </c>
      <c r="I690" s="380"/>
      <c r="J690" s="380"/>
      <c r="K690" s="380"/>
      <c r="L690" s="380"/>
      <c r="M690" s="380"/>
      <c r="N690" s="380"/>
      <c r="O690" s="380"/>
      <c r="P690" s="380"/>
      <c r="Q690" s="358" t="s">
        <v>9207</v>
      </c>
      <c r="R690" s="380"/>
      <c r="S690" s="380"/>
      <c r="T690" s="390" t="str">
        <f t="shared" si="28"/>
        <v>SOA0043-050 - OpenAccountList.pdf</v>
      </c>
      <c r="U690" s="391"/>
      <c r="V690" s="391"/>
      <c r="W690" s="391"/>
      <c r="X690" s="391"/>
      <c r="Y690" s="391"/>
      <c r="Z690" s="364">
        <v>45034</v>
      </c>
      <c r="AA690" s="359" t="s">
        <v>254</v>
      </c>
    </row>
    <row r="691" spans="1:27">
      <c r="A691" s="769"/>
      <c r="B691" s="769"/>
      <c r="C691" s="382" t="s">
        <v>10521</v>
      </c>
      <c r="D691" s="382" t="s">
        <v>10434</v>
      </c>
      <c r="E691" s="382" t="s">
        <v>1732</v>
      </c>
      <c r="F691" s="382" t="s">
        <v>9205</v>
      </c>
      <c r="G691" s="769"/>
      <c r="H691" s="382" t="str">
        <f t="shared" si="27"/>
        <v>SOA0043-051 - BNIDIRECT.pdf.txt</v>
      </c>
      <c r="I691" s="382"/>
      <c r="J691" s="382"/>
      <c r="K691" s="382"/>
      <c r="L691" s="382"/>
      <c r="M691" s="382"/>
      <c r="N691" s="382"/>
      <c r="O691" s="382"/>
      <c r="P691" s="382"/>
      <c r="Q691" s="358" t="s">
        <v>9207</v>
      </c>
      <c r="R691" s="382"/>
      <c r="S691" s="382"/>
      <c r="T691" s="390" t="str">
        <f t="shared" si="28"/>
        <v>SOA0043-051 - BNIDIRECT.pdf</v>
      </c>
      <c r="U691" s="391"/>
      <c r="V691" s="391"/>
      <c r="W691" s="391"/>
      <c r="X691" s="391"/>
      <c r="Y691" s="391"/>
      <c r="Z691" s="364">
        <v>45034</v>
      </c>
      <c r="AA691" s="359" t="s">
        <v>254</v>
      </c>
    </row>
    <row r="692" spans="1:27">
      <c r="A692" s="769"/>
      <c r="B692" s="769"/>
      <c r="C692" s="380" t="s">
        <v>10522</v>
      </c>
      <c r="D692" s="380" t="s">
        <v>10523</v>
      </c>
      <c r="E692" s="380" t="s">
        <v>1732</v>
      </c>
      <c r="F692" s="380" t="s">
        <v>9205</v>
      </c>
      <c r="G692" s="769"/>
      <c r="H692" s="380" t="str">
        <f t="shared" si="27"/>
        <v>SOA0043-052 - T096_Open_Account_List_-_Valid_Customer_Number_teller 1.pdf.txt</v>
      </c>
      <c r="I692" s="380"/>
      <c r="J692" s="380"/>
      <c r="K692" s="380"/>
      <c r="L692" s="380"/>
      <c r="M692" s="380"/>
      <c r="N692" s="380"/>
      <c r="O692" s="380"/>
      <c r="P692" s="380"/>
      <c r="Q692" s="358" t="s">
        <v>9207</v>
      </c>
      <c r="R692" s="380"/>
      <c r="S692" s="380"/>
      <c r="T692" s="390" t="str">
        <f t="shared" si="28"/>
        <v>SOA0043-052 - T096_Open_Account_List_-_Valid_Customer_Number_teller 1.pdf</v>
      </c>
      <c r="U692" s="391"/>
      <c r="V692" s="391"/>
      <c r="W692" s="391"/>
      <c r="X692" s="391"/>
      <c r="Y692" s="391"/>
      <c r="Z692" s="364">
        <v>45034</v>
      </c>
      <c r="AA692" s="359" t="s">
        <v>254</v>
      </c>
    </row>
    <row r="693" spans="1:27">
      <c r="A693" s="769"/>
      <c r="B693" s="769"/>
      <c r="C693" s="382" t="s">
        <v>10524</v>
      </c>
      <c r="D693" s="382" t="s">
        <v>10525</v>
      </c>
      <c r="E693" s="382" t="s">
        <v>1732</v>
      </c>
      <c r="F693" s="382" t="s">
        <v>9205</v>
      </c>
      <c r="G693" s="769"/>
      <c r="H693" s="382" t="str">
        <f t="shared" si="27"/>
        <v>SOA0043-053 - T130_XRateInquiry_-_Search.pdf.txt</v>
      </c>
      <c r="I693" s="382"/>
      <c r="J693" s="382"/>
      <c r="K693" s="382"/>
      <c r="L693" s="382"/>
      <c r="M693" s="382"/>
      <c r="N693" s="382"/>
      <c r="O693" s="382"/>
      <c r="P693" s="382"/>
      <c r="Q693" s="358" t="s">
        <v>9207</v>
      </c>
      <c r="R693" s="382"/>
      <c r="S693" s="382"/>
      <c r="T693" s="390" t="str">
        <f t="shared" si="28"/>
        <v>SOA0043-053 - T130_XRateInquiry_-_Search.pdf</v>
      </c>
      <c r="U693" s="391"/>
      <c r="V693" s="391"/>
      <c r="W693" s="391"/>
      <c r="X693" s="391"/>
      <c r="Y693" s="391"/>
      <c r="Z693" s="364">
        <v>45034</v>
      </c>
      <c r="AA693" s="359" t="s">
        <v>254</v>
      </c>
    </row>
    <row r="694" spans="1:27">
      <c r="A694" s="769"/>
      <c r="B694" s="769"/>
      <c r="C694" s="380" t="s">
        <v>10526</v>
      </c>
      <c r="D694" s="380" t="s">
        <v>10527</v>
      </c>
      <c r="E694" s="380" t="s">
        <v>1732</v>
      </c>
      <c r="F694" s="380" t="s">
        <v>9205</v>
      </c>
      <c r="G694" s="769"/>
      <c r="H694" s="380" t="str">
        <f t="shared" si="27"/>
        <v>SOA0043-054 - T130_XRateInquiry_-_Search_single.pdf.txt</v>
      </c>
      <c r="I694" s="380"/>
      <c r="J694" s="380"/>
      <c r="K694" s="380"/>
      <c r="L694" s="380"/>
      <c r="M694" s="380"/>
      <c r="N694" s="380"/>
      <c r="O694" s="380"/>
      <c r="P694" s="380"/>
      <c r="Q694" s="358" t="s">
        <v>9207</v>
      </c>
      <c r="R694" s="380"/>
      <c r="S694" s="380"/>
      <c r="T694" s="390" t="str">
        <f t="shared" si="28"/>
        <v>SOA0043-054 - T130_XRateInquiry_-_Search_single.pdf</v>
      </c>
      <c r="U694" s="391"/>
      <c r="V694" s="391"/>
      <c r="W694" s="391"/>
      <c r="X694" s="391"/>
      <c r="Y694" s="391"/>
      <c r="Z694" s="364">
        <v>45034</v>
      </c>
      <c r="AA694" s="359" t="s">
        <v>254</v>
      </c>
    </row>
    <row r="695" spans="1:27">
      <c r="A695" s="769"/>
      <c r="B695" s="769"/>
      <c r="C695" s="382" t="s">
        <v>10528</v>
      </c>
      <c r="D695" s="382" t="s">
        <v>10529</v>
      </c>
      <c r="E695" s="382" t="s">
        <v>1732</v>
      </c>
      <c r="F695" s="382" t="s">
        <v>9205</v>
      </c>
      <c r="G695" s="769"/>
      <c r="H695" s="382" t="str">
        <f t="shared" si="27"/>
        <v>SOA0043-055 - CustomerDetail_-_Valid AC Num.pdf.txt</v>
      </c>
      <c r="I695" s="382"/>
      <c r="J695" s="382"/>
      <c r="K695" s="382"/>
      <c r="L695" s="382"/>
      <c r="M695" s="382"/>
      <c r="N695" s="382"/>
      <c r="O695" s="382"/>
      <c r="P695" s="382"/>
      <c r="Q695" s="358" t="s">
        <v>9207</v>
      </c>
      <c r="R695" s="382"/>
      <c r="S695" s="382"/>
      <c r="T695" s="390" t="str">
        <f t="shared" si="28"/>
        <v>SOA0043-055 - CustomerDetail_-_Valid AC Num.pdf</v>
      </c>
      <c r="U695" s="391"/>
      <c r="V695" s="391"/>
      <c r="W695" s="391"/>
      <c r="X695" s="391"/>
      <c r="Y695" s="391"/>
      <c r="Z695" s="364">
        <v>45034</v>
      </c>
      <c r="AA695" s="359" t="s">
        <v>254</v>
      </c>
    </row>
    <row r="696" spans="1:27">
      <c r="A696" s="769"/>
      <c r="B696" s="769"/>
      <c r="C696" s="380" t="s">
        <v>10530</v>
      </c>
      <c r="D696" s="380" t="s">
        <v>10531</v>
      </c>
      <c r="E696" s="380" t="s">
        <v>1732</v>
      </c>
      <c r="F696" s="380" t="s">
        <v>9205</v>
      </c>
      <c r="G696" s="769"/>
      <c r="H696" s="380" t="str">
        <f t="shared" si="27"/>
        <v>SOA0043-056 - CustomerDetailv2_-_Valid AC Num.pdf.txt</v>
      </c>
      <c r="I696" s="380"/>
      <c r="J696" s="380"/>
      <c r="K696" s="380"/>
      <c r="L696" s="380"/>
      <c r="M696" s="380"/>
      <c r="N696" s="380"/>
      <c r="O696" s="380"/>
      <c r="P696" s="380"/>
      <c r="Q696" s="358" t="s">
        <v>9207</v>
      </c>
      <c r="R696" s="380"/>
      <c r="S696" s="380"/>
      <c r="T696" s="390" t="str">
        <f t="shared" si="28"/>
        <v>SOA0043-056 - CustomerDetailv2_-_Valid AC Num.pdf</v>
      </c>
      <c r="U696" s="391"/>
      <c r="V696" s="391"/>
      <c r="W696" s="391"/>
      <c r="X696" s="391"/>
      <c r="Y696" s="391"/>
      <c r="Z696" s="364">
        <v>45034</v>
      </c>
      <c r="AA696" s="359" t="s">
        <v>254</v>
      </c>
    </row>
    <row r="697" spans="1:27">
      <c r="A697" s="769"/>
      <c r="B697" s="769"/>
      <c r="C697" s="382" t="s">
        <v>10532</v>
      </c>
      <c r="D697" s="382" t="s">
        <v>10533</v>
      </c>
      <c r="E697" s="382" t="s">
        <v>1732</v>
      </c>
      <c r="F697" s="382" t="s">
        <v>9205</v>
      </c>
      <c r="G697" s="769"/>
      <c r="H697" s="382" t="str">
        <f t="shared" si="27"/>
        <v>SOA0043-057 - Deposit_Transfer_Cross-_Valid_Acc.pdf.txt</v>
      </c>
      <c r="I697" s="382"/>
      <c r="J697" s="382"/>
      <c r="K697" s="382"/>
      <c r="L697" s="382"/>
      <c r="M697" s="382"/>
      <c r="N697" s="382"/>
      <c r="O697" s="382"/>
      <c r="P697" s="382"/>
      <c r="Q697" s="358" t="s">
        <v>9207</v>
      </c>
      <c r="R697" s="382"/>
      <c r="S697" s="382"/>
      <c r="T697" s="390" t="str">
        <f t="shared" si="28"/>
        <v>SOA0043-057 - Deposit_Transfer_Cross-_Valid_Acc.pdf</v>
      </c>
      <c r="U697" s="391"/>
      <c r="V697" s="391"/>
      <c r="W697" s="391"/>
      <c r="X697" s="391"/>
      <c r="Y697" s="391"/>
      <c r="Z697" s="364">
        <v>45034</v>
      </c>
      <c r="AA697" s="359" t="s">
        <v>254</v>
      </c>
    </row>
    <row r="698" spans="1:27">
      <c r="A698" s="769"/>
      <c r="B698" s="769"/>
      <c r="C698" s="380" t="s">
        <v>10534</v>
      </c>
      <c r="D698" s="380" t="s">
        <v>10535</v>
      </c>
      <c r="E698" s="380" t="s">
        <v>1732</v>
      </c>
      <c r="F698" s="380" t="s">
        <v>9205</v>
      </c>
      <c r="G698" s="769"/>
      <c r="H698" s="380" t="str">
        <f t="shared" si="27"/>
        <v>SOA0043-058 - CreateVirtualAccount.pdf.txt</v>
      </c>
      <c r="I698" s="380"/>
      <c r="J698" s="380"/>
      <c r="K698" s="380"/>
      <c r="L698" s="380"/>
      <c r="M698" s="380"/>
      <c r="N698" s="380"/>
      <c r="O698" s="380"/>
      <c r="P698" s="380"/>
      <c r="Q698" s="358" t="s">
        <v>9207</v>
      </c>
      <c r="R698" s="380"/>
      <c r="S698" s="380"/>
      <c r="T698" s="390" t="str">
        <f t="shared" si="28"/>
        <v>SOA0043-058 - CreateVirtualAccount.pdf</v>
      </c>
      <c r="U698" s="391"/>
      <c r="V698" s="391"/>
      <c r="W698" s="391"/>
      <c r="X698" s="391"/>
      <c r="Y698" s="391"/>
      <c r="Z698" s="364">
        <v>45034</v>
      </c>
      <c r="AA698" s="359" t="s">
        <v>254</v>
      </c>
    </row>
    <row r="699" spans="1:27">
      <c r="A699" s="769"/>
      <c r="B699" s="769"/>
      <c r="C699" s="382" t="s">
        <v>10536</v>
      </c>
      <c r="D699" s="382" t="s">
        <v>10537</v>
      </c>
      <c r="E699" s="382" t="s">
        <v>1732</v>
      </c>
      <c r="F699" s="382" t="s">
        <v>9205</v>
      </c>
      <c r="G699" s="769"/>
      <c r="H699" s="382" t="str">
        <f t="shared" si="27"/>
        <v>SOA0043-059 - InquiryVirtualAccount.pdf.txt</v>
      </c>
      <c r="I699" s="382"/>
      <c r="J699" s="382"/>
      <c r="K699" s="382"/>
      <c r="L699" s="382"/>
      <c r="M699" s="382"/>
      <c r="N699" s="382"/>
      <c r="O699" s="382"/>
      <c r="P699" s="382"/>
      <c r="Q699" s="358" t="s">
        <v>9207</v>
      </c>
      <c r="R699" s="382"/>
      <c r="S699" s="382"/>
      <c r="T699" s="390" t="str">
        <f t="shared" si="28"/>
        <v>SOA0043-059 - InquiryVirtualAccount.pdf</v>
      </c>
      <c r="U699" s="391"/>
      <c r="V699" s="391"/>
      <c r="W699" s="391"/>
      <c r="X699" s="391"/>
      <c r="Y699" s="391"/>
      <c r="Z699" s="364">
        <v>45034</v>
      </c>
      <c r="AA699" s="359" t="s">
        <v>254</v>
      </c>
    </row>
    <row r="700" spans="1:27">
      <c r="A700" s="769"/>
      <c r="B700" s="769"/>
      <c r="C700" s="380" t="s">
        <v>10538</v>
      </c>
      <c r="D700" s="380" t="s">
        <v>10539</v>
      </c>
      <c r="E700" s="380" t="s">
        <v>1732</v>
      </c>
      <c r="F700" s="380" t="s">
        <v>9205</v>
      </c>
      <c r="G700" s="769"/>
      <c r="H700" s="380" t="str">
        <f t="shared" si="27"/>
        <v>SOA0043-060 - UpdateVirtualAccount.pdf.txt</v>
      </c>
      <c r="I700" s="380"/>
      <c r="J700" s="380"/>
      <c r="K700" s="380"/>
      <c r="L700" s="380"/>
      <c r="M700" s="380"/>
      <c r="N700" s="380"/>
      <c r="O700" s="380"/>
      <c r="P700" s="380"/>
      <c r="Q700" s="358" t="s">
        <v>9207</v>
      </c>
      <c r="R700" s="380"/>
      <c r="S700" s="380"/>
      <c r="T700" s="390" t="str">
        <f t="shared" si="28"/>
        <v>SOA0043-060 - UpdateVirtualAccount.pdf</v>
      </c>
      <c r="U700" s="391"/>
      <c r="V700" s="391"/>
      <c r="W700" s="391"/>
      <c r="X700" s="391"/>
      <c r="Y700" s="391"/>
      <c r="Z700" s="364">
        <v>45034</v>
      </c>
      <c r="AA700" s="359" t="s">
        <v>254</v>
      </c>
    </row>
    <row r="701" spans="1:27">
      <c r="A701" s="769"/>
      <c r="B701" s="769"/>
      <c r="C701" s="382" t="s">
        <v>10540</v>
      </c>
      <c r="D701" s="382" t="s">
        <v>10541</v>
      </c>
      <c r="E701" s="382" t="s">
        <v>1732</v>
      </c>
      <c r="F701" s="382" t="s">
        <v>9205</v>
      </c>
      <c r="G701" s="769"/>
      <c r="H701" s="382" t="str">
        <f t="shared" si="27"/>
        <v>SOA0043-061 - Open_Loan_Account_List_-_Valid_CIF.pdf.txt</v>
      </c>
      <c r="I701" s="382"/>
      <c r="J701" s="382"/>
      <c r="K701" s="382"/>
      <c r="L701" s="382"/>
      <c r="M701" s="382"/>
      <c r="N701" s="382"/>
      <c r="O701" s="382"/>
      <c r="P701" s="382"/>
      <c r="Q701" s="358" t="s">
        <v>9207</v>
      </c>
      <c r="R701" s="382"/>
      <c r="S701" s="382"/>
      <c r="T701" s="390" t="str">
        <f t="shared" si="28"/>
        <v>SOA0043-061 - Open_Loan_Account_List_-_Valid_CIF.pdf</v>
      </c>
      <c r="U701" s="391"/>
      <c r="V701" s="391"/>
      <c r="W701" s="391"/>
      <c r="X701" s="391"/>
      <c r="Y701" s="391"/>
      <c r="Z701" s="364">
        <v>45034</v>
      </c>
      <c r="AA701" s="359" t="s">
        <v>254</v>
      </c>
    </row>
    <row r="702" spans="1:27">
      <c r="A702" s="769"/>
      <c r="B702" s="769"/>
      <c r="C702" s="380" t="s">
        <v>10542</v>
      </c>
      <c r="D702" s="380" t="s">
        <v>10543</v>
      </c>
      <c r="E702" s="380" t="s">
        <v>1732</v>
      </c>
      <c r="F702" s="380" t="s">
        <v>9205</v>
      </c>
      <c r="G702" s="769"/>
      <c r="H702" s="380" t="str">
        <f t="shared" si="27"/>
        <v>SOA0043-062 - DepositChangeDetails.pdf.txt</v>
      </c>
      <c r="I702" s="380"/>
      <c r="J702" s="380"/>
      <c r="K702" s="380"/>
      <c r="L702" s="380"/>
      <c r="M702" s="380"/>
      <c r="N702" s="380"/>
      <c r="O702" s="380"/>
      <c r="P702" s="380"/>
      <c r="Q702" s="358" t="s">
        <v>9207</v>
      </c>
      <c r="R702" s="380"/>
      <c r="S702" s="380"/>
      <c r="T702" s="390" t="str">
        <f t="shared" si="28"/>
        <v>SOA0043-062 - DepositChangeDetails.pdf</v>
      </c>
      <c r="U702" s="391"/>
      <c r="V702" s="391"/>
      <c r="W702" s="391"/>
      <c r="X702" s="391"/>
      <c r="Y702" s="391"/>
      <c r="Z702" s="364">
        <v>45034</v>
      </c>
      <c r="AA702" s="359" t="s">
        <v>254</v>
      </c>
    </row>
    <row r="703" spans="1:27">
      <c r="A703" s="769"/>
      <c r="B703" s="769"/>
      <c r="C703" s="382" t="s">
        <v>10544</v>
      </c>
      <c r="D703" s="382" t="s">
        <v>10545</v>
      </c>
      <c r="E703" s="382" t="s">
        <v>1732</v>
      </c>
      <c r="F703" s="382" t="s">
        <v>9205</v>
      </c>
      <c r="G703" s="769"/>
      <c r="H703" s="382" t="str">
        <f t="shared" si="27"/>
        <v>SOA0043-063 - OpenDepositAccount.pdf.txt</v>
      </c>
      <c r="I703" s="382"/>
      <c r="J703" s="382"/>
      <c r="K703" s="382"/>
      <c r="L703" s="382"/>
      <c r="M703" s="382"/>
      <c r="N703" s="382"/>
      <c r="O703" s="382"/>
      <c r="P703" s="382"/>
      <c r="Q703" s="358" t="s">
        <v>9207</v>
      </c>
      <c r="R703" s="382"/>
      <c r="S703" s="382"/>
      <c r="T703" s="390" t="str">
        <f t="shared" si="28"/>
        <v>SOA0043-063 - OpenDepositAccount.pdf</v>
      </c>
      <c r="U703" s="391"/>
      <c r="V703" s="391"/>
      <c r="W703" s="391"/>
      <c r="X703" s="391"/>
      <c r="Y703" s="391"/>
      <c r="Z703" s="364">
        <v>45034</v>
      </c>
      <c r="AA703" s="359" t="s">
        <v>254</v>
      </c>
    </row>
    <row r="704" spans="1:27">
      <c r="A704" s="769"/>
      <c r="B704" s="769"/>
      <c r="C704" s="380" t="s">
        <v>10546</v>
      </c>
      <c r="D704" s="380" t="s">
        <v>9275</v>
      </c>
      <c r="E704" s="380" t="s">
        <v>1732</v>
      </c>
      <c r="F704" s="380" t="s">
        <v>9205</v>
      </c>
      <c r="G704" s="769"/>
      <c r="H704" s="380" t="str">
        <f t="shared" si="27"/>
        <v>SOA0043-064 - GetCardByAccount.pdf.txt</v>
      </c>
      <c r="I704" s="380"/>
      <c r="J704" s="380"/>
      <c r="K704" s="380"/>
      <c r="L704" s="380"/>
      <c r="M704" s="380"/>
      <c r="N704" s="380"/>
      <c r="O704" s="380"/>
      <c r="P704" s="380"/>
      <c r="Q704" s="358" t="s">
        <v>9207</v>
      </c>
      <c r="R704" s="380"/>
      <c r="S704" s="380"/>
      <c r="T704" s="390" t="str">
        <f t="shared" si="28"/>
        <v>SOA0043-064 - GetCardByAccount.pdf</v>
      </c>
      <c r="U704" s="391"/>
      <c r="V704" s="391"/>
      <c r="W704" s="391"/>
      <c r="X704" s="391"/>
      <c r="Y704" s="391"/>
      <c r="Z704" s="364">
        <v>45034</v>
      </c>
      <c r="AA704" s="359" t="s">
        <v>254</v>
      </c>
    </row>
    <row r="705" spans="1:27">
      <c r="A705" s="769"/>
      <c r="B705" s="769"/>
      <c r="C705" s="382" t="s">
        <v>10547</v>
      </c>
      <c r="D705" s="382" t="s">
        <v>10548</v>
      </c>
      <c r="E705" s="382" t="s">
        <v>1732</v>
      </c>
      <c r="F705" s="382" t="s">
        <v>9205</v>
      </c>
      <c r="G705" s="769"/>
      <c r="H705" s="382" t="str">
        <f t="shared" si="27"/>
        <v>SOA0043-065 - Create_Deposit_Account - Pemindahan.pdf.txt</v>
      </c>
      <c r="I705" s="382"/>
      <c r="J705" s="382"/>
      <c r="K705" s="382"/>
      <c r="L705" s="382"/>
      <c r="M705" s="382"/>
      <c r="N705" s="382"/>
      <c r="O705" s="382"/>
      <c r="P705" s="382"/>
      <c r="Q705" s="358" t="s">
        <v>9207</v>
      </c>
      <c r="R705" s="382"/>
      <c r="S705" s="382"/>
      <c r="T705" s="390" t="str">
        <f t="shared" si="28"/>
        <v>SOA0043-065 - Create_Deposit_Account - Pemindahan.pdf</v>
      </c>
      <c r="U705" s="391"/>
      <c r="V705" s="391"/>
      <c r="W705" s="391"/>
      <c r="X705" s="391"/>
      <c r="Y705" s="391"/>
      <c r="Z705" s="364">
        <v>45034</v>
      </c>
      <c r="AA705" s="359" t="s">
        <v>254</v>
      </c>
    </row>
    <row r="706" spans="1:27">
      <c r="A706" s="769"/>
      <c r="B706" s="769"/>
      <c r="C706" s="380" t="s">
        <v>10549</v>
      </c>
      <c r="D706" s="380" t="s">
        <v>10550</v>
      </c>
      <c r="E706" s="380" t="s">
        <v>1732</v>
      </c>
      <c r="F706" s="380" t="s">
        <v>9205</v>
      </c>
      <c r="G706" s="769"/>
      <c r="H706" s="380" t="str">
        <f t="shared" si="27"/>
        <v>SOA0043-066 - Create_Deposit_Account - Reinvest.pdf.txt</v>
      </c>
      <c r="I706" s="380"/>
      <c r="J706" s="380"/>
      <c r="K706" s="380"/>
      <c r="L706" s="380"/>
      <c r="M706" s="380"/>
      <c r="N706" s="380"/>
      <c r="O706" s="380"/>
      <c r="P706" s="380"/>
      <c r="Q706" s="358" t="s">
        <v>9207</v>
      </c>
      <c r="R706" s="380"/>
      <c r="S706" s="380"/>
      <c r="T706" s="390" t="str">
        <f t="shared" si="28"/>
        <v>SOA0043-066 - Create_Deposit_Account - Reinvest.pdf</v>
      </c>
      <c r="U706" s="391"/>
      <c r="V706" s="391"/>
      <c r="W706" s="391"/>
      <c r="X706" s="391"/>
      <c r="Y706" s="391"/>
      <c r="Z706" s="364">
        <v>45034</v>
      </c>
      <c r="AA706" s="359" t="s">
        <v>254</v>
      </c>
    </row>
    <row r="707" spans="1:27">
      <c r="A707" s="769"/>
      <c r="B707" s="769"/>
      <c r="C707" s="382" t="s">
        <v>10551</v>
      </c>
      <c r="D707" s="382" t="s">
        <v>10552</v>
      </c>
      <c r="E707" s="382" t="s">
        <v>1732</v>
      </c>
      <c r="F707" s="382" t="s">
        <v>9205</v>
      </c>
      <c r="G707" s="769"/>
      <c r="H707" s="382" t="str">
        <f t="shared" si="27"/>
        <v>SOA0043-067 - Create_Deposit_Account - Test RequestNewiban.pdf.txt</v>
      </c>
      <c r="I707" s="382"/>
      <c r="J707" s="382"/>
      <c r="K707" s="382"/>
      <c r="L707" s="382"/>
      <c r="M707" s="382"/>
      <c r="N707" s="382"/>
      <c r="O707" s="382"/>
      <c r="P707" s="382"/>
      <c r="Q707" s="358" t="s">
        <v>9207</v>
      </c>
      <c r="R707" s="382"/>
      <c r="S707" s="382"/>
      <c r="T707" s="390" t="str">
        <f t="shared" si="28"/>
        <v>SOA0043-067 - Create_Deposit_Account - Test RequestNewiban.pdf</v>
      </c>
      <c r="U707" s="391"/>
      <c r="V707" s="391"/>
      <c r="W707" s="391"/>
      <c r="X707" s="391"/>
      <c r="Y707" s="391"/>
      <c r="Z707" s="364">
        <v>45034</v>
      </c>
      <c r="AA707" s="359" t="s">
        <v>254</v>
      </c>
    </row>
    <row r="708" spans="1:27">
      <c r="A708" s="769"/>
      <c r="B708" s="769"/>
      <c r="C708" s="380" t="s">
        <v>10553</v>
      </c>
      <c r="D708" s="380" t="s">
        <v>10554</v>
      </c>
      <c r="E708" s="380" t="s">
        <v>1732</v>
      </c>
      <c r="F708" s="380" t="s">
        <v>9205</v>
      </c>
      <c r="G708" s="769"/>
      <c r="H708" s="380" t="str">
        <f t="shared" si="27"/>
        <v>SOA0043-068 - Create_Deposit_Account - SOAP Request.pdf.txt</v>
      </c>
      <c r="I708" s="380"/>
      <c r="J708" s="380"/>
      <c r="K708" s="380"/>
      <c r="L708" s="380"/>
      <c r="M708" s="380"/>
      <c r="N708" s="380"/>
      <c r="O708" s="380"/>
      <c r="P708" s="380"/>
      <c r="Q708" s="358" t="s">
        <v>9207</v>
      </c>
      <c r="R708" s="380"/>
      <c r="S708" s="380"/>
      <c r="T708" s="390" t="str">
        <f t="shared" si="28"/>
        <v>SOA0043-068 - Create_Deposit_Account - SOAP Request.pdf</v>
      </c>
      <c r="U708" s="391"/>
      <c r="V708" s="391"/>
      <c r="W708" s="391"/>
      <c r="X708" s="391"/>
      <c r="Y708" s="391"/>
      <c r="Z708" s="364">
        <v>45034</v>
      </c>
      <c r="AA708" s="359" t="s">
        <v>254</v>
      </c>
    </row>
    <row r="709" spans="1:27">
      <c r="A709" s="769"/>
      <c r="B709" s="769"/>
      <c r="C709" s="382" t="s">
        <v>10555</v>
      </c>
      <c r="D709" s="382" t="s">
        <v>10556</v>
      </c>
      <c r="E709" s="382" t="s">
        <v>1732</v>
      </c>
      <c r="F709" s="382" t="s">
        <v>9205</v>
      </c>
      <c r="G709" s="769"/>
      <c r="H709" s="382" t="str">
        <f t="shared" si="27"/>
        <v>SOA0043-069 - Create_Deposit_Account - Taplus Muda.pdf.txt</v>
      </c>
      <c r="I709" s="382"/>
      <c r="J709" s="382"/>
      <c r="K709" s="382"/>
      <c r="L709" s="382"/>
      <c r="M709" s="382"/>
      <c r="N709" s="382"/>
      <c r="O709" s="382"/>
      <c r="P709" s="382"/>
      <c r="Q709" s="358" t="s">
        <v>9207</v>
      </c>
      <c r="R709" s="382"/>
      <c r="S709" s="382"/>
      <c r="T709" s="390" t="str">
        <f t="shared" si="28"/>
        <v>SOA0043-069 - Create_Deposit_Account - Taplus Muda.pdf</v>
      </c>
      <c r="U709" s="391"/>
      <c r="V709" s="391"/>
      <c r="W709" s="391"/>
      <c r="X709" s="391"/>
      <c r="Y709" s="391"/>
      <c r="Z709" s="364">
        <v>45034</v>
      </c>
      <c r="AA709" s="359" t="s">
        <v>254</v>
      </c>
    </row>
    <row r="710" spans="1:27">
      <c r="A710" s="769"/>
      <c r="B710" s="769"/>
      <c r="C710" s="380" t="s">
        <v>10557</v>
      </c>
      <c r="D710" s="380" t="s">
        <v>10558</v>
      </c>
      <c r="E710" s="380" t="s">
        <v>1732</v>
      </c>
      <c r="F710" s="380" t="s">
        <v>9205</v>
      </c>
      <c r="G710" s="769"/>
      <c r="H710" s="380" t="str">
        <f t="shared" si="27"/>
        <v>SOA0043-070 - AccountShortInquiry - Test Request.pdf.txt</v>
      </c>
      <c r="I710" s="380"/>
      <c r="J710" s="380"/>
      <c r="K710" s="380"/>
      <c r="L710" s="380"/>
      <c r="M710" s="380"/>
      <c r="N710" s="380"/>
      <c r="O710" s="380"/>
      <c r="P710" s="380"/>
      <c r="Q710" s="358" t="s">
        <v>9207</v>
      </c>
      <c r="R710" s="380"/>
      <c r="S710" s="380"/>
      <c r="T710" s="390" t="str">
        <f t="shared" si="28"/>
        <v>SOA0043-070 - AccountShortInquiry - Test Request.pdf</v>
      </c>
      <c r="U710" s="391"/>
      <c r="V710" s="391"/>
      <c r="W710" s="391"/>
      <c r="X710" s="391"/>
      <c r="Y710" s="391"/>
      <c r="Z710" s="364">
        <v>45034</v>
      </c>
      <c r="AA710" s="359" t="s">
        <v>254</v>
      </c>
    </row>
    <row r="711" spans="1:27">
      <c r="A711" s="769"/>
      <c r="B711" s="769"/>
      <c r="C711" s="382" t="s">
        <v>10559</v>
      </c>
      <c r="D711" s="382" t="s">
        <v>10560</v>
      </c>
      <c r="E711" s="382" t="s">
        <v>1732</v>
      </c>
      <c r="F711" s="382" t="s">
        <v>9205</v>
      </c>
      <c r="G711" s="769"/>
      <c r="H711" s="382" t="str">
        <f t="shared" si="27"/>
        <v>SOA0043-071 - AccountShortInquiry - BNI Direct.pdf.txt</v>
      </c>
      <c r="I711" s="382"/>
      <c r="J711" s="382"/>
      <c r="K711" s="382"/>
      <c r="L711" s="382"/>
      <c r="M711" s="382"/>
      <c r="N711" s="382"/>
      <c r="O711" s="382"/>
      <c r="P711" s="382"/>
      <c r="Q711" s="358" t="s">
        <v>9207</v>
      </c>
      <c r="R711" s="382"/>
      <c r="S711" s="382"/>
      <c r="T711" s="390" t="str">
        <f t="shared" si="28"/>
        <v>SOA0043-071 - AccountShortInquiry - BNI Direct.pdf</v>
      </c>
      <c r="U711" s="391"/>
      <c r="V711" s="391"/>
      <c r="W711" s="391"/>
      <c r="X711" s="391"/>
      <c r="Y711" s="391"/>
      <c r="Z711" s="364">
        <v>45034</v>
      </c>
      <c r="AA711" s="359" t="s">
        <v>254</v>
      </c>
    </row>
    <row r="712" spans="1:27">
      <c r="A712" s="769"/>
      <c r="B712" s="769"/>
      <c r="C712" s="380" t="s">
        <v>10561</v>
      </c>
      <c r="D712" s="380" t="s">
        <v>10562</v>
      </c>
      <c r="E712" s="380" t="s">
        <v>1732</v>
      </c>
      <c r="F712" s="380" t="s">
        <v>9205</v>
      </c>
      <c r="G712" s="769"/>
      <c r="H712" s="380" t="str">
        <f t="shared" si="27"/>
        <v>SOA0043-072 - AccountShortInquiry - Request Super.pdf.txt</v>
      </c>
      <c r="I712" s="380"/>
      <c r="J712" s="380"/>
      <c r="K712" s="380"/>
      <c r="L712" s="380"/>
      <c r="M712" s="380"/>
      <c r="N712" s="380"/>
      <c r="O712" s="380"/>
      <c r="P712" s="380"/>
      <c r="Q712" s="358" t="s">
        <v>9207</v>
      </c>
      <c r="R712" s="380"/>
      <c r="S712" s="380"/>
      <c r="T712" s="390" t="str">
        <f t="shared" si="28"/>
        <v>SOA0043-072 - AccountShortInquiry - Request Super.pdf</v>
      </c>
      <c r="U712" s="391"/>
      <c r="V712" s="391"/>
      <c r="W712" s="391"/>
      <c r="X712" s="391"/>
      <c r="Y712" s="391"/>
      <c r="Z712" s="364">
        <v>45034</v>
      </c>
      <c r="AA712" s="359" t="s">
        <v>254</v>
      </c>
    </row>
    <row r="713" spans="1:27">
      <c r="A713" s="769"/>
      <c r="B713" s="769"/>
      <c r="C713" s="382" t="s">
        <v>10563</v>
      </c>
      <c r="D713" s="382" t="s">
        <v>10564</v>
      </c>
      <c r="E713" s="382" t="s">
        <v>1732</v>
      </c>
      <c r="F713" s="382" t="s">
        <v>9205</v>
      </c>
      <c r="G713" s="769"/>
      <c r="H713" s="382" t="str">
        <f t="shared" si="27"/>
        <v>SOA0043-073 - AccountShortInquiry - TQC.pdf.txt</v>
      </c>
      <c r="I713" s="382"/>
      <c r="J713" s="382"/>
      <c r="K713" s="382"/>
      <c r="L713" s="382"/>
      <c r="M713" s="382"/>
      <c r="N713" s="382"/>
      <c r="O713" s="382"/>
      <c r="P713" s="382"/>
      <c r="Q713" s="358" t="s">
        <v>9207</v>
      </c>
      <c r="R713" s="382"/>
      <c r="S713" s="382"/>
      <c r="T713" s="390" t="str">
        <f t="shared" si="28"/>
        <v>SOA0043-073 - AccountShortInquiry - TQC.pdf</v>
      </c>
      <c r="U713" s="391"/>
      <c r="V713" s="391"/>
      <c r="W713" s="391"/>
      <c r="X713" s="391"/>
      <c r="Y713" s="391"/>
      <c r="Z713" s="364">
        <v>45034</v>
      </c>
      <c r="AA713" s="359" t="s">
        <v>254</v>
      </c>
    </row>
    <row r="714" spans="1:27">
      <c r="A714" s="769"/>
      <c r="B714" s="769"/>
      <c r="C714" s="380" t="s">
        <v>10565</v>
      </c>
      <c r="D714" s="380" t="s">
        <v>10566</v>
      </c>
      <c r="E714" s="380" t="s">
        <v>1732</v>
      </c>
      <c r="F714" s="380" t="s">
        <v>9205</v>
      </c>
      <c r="G714" s="769"/>
      <c r="H714" s="380" t="str">
        <f t="shared" si="27"/>
        <v>SOA0043-074 - AccountShortInquiry - System.pdf.txt</v>
      </c>
      <c r="I714" s="380"/>
      <c r="J714" s="380"/>
      <c r="K714" s="380"/>
      <c r="L714" s="380"/>
      <c r="M714" s="380"/>
      <c r="N714" s="380"/>
      <c r="O714" s="380"/>
      <c r="P714" s="380"/>
      <c r="Q714" s="358" t="s">
        <v>9207</v>
      </c>
      <c r="R714" s="380"/>
      <c r="S714" s="380"/>
      <c r="T714" s="390" t="str">
        <f t="shared" si="28"/>
        <v>SOA0043-074 - AccountShortInquiry - System.pdf</v>
      </c>
      <c r="U714" s="391"/>
      <c r="V714" s="391"/>
      <c r="W714" s="391"/>
      <c r="X714" s="391"/>
      <c r="Y714" s="391"/>
      <c r="Z714" s="364">
        <v>45034</v>
      </c>
      <c r="AA714" s="359" t="s">
        <v>254</v>
      </c>
    </row>
    <row r="715" spans="1:27">
      <c r="A715" s="769"/>
      <c r="B715" s="769"/>
      <c r="C715" s="382" t="s">
        <v>10567</v>
      </c>
      <c r="D715" s="382" t="s">
        <v>10568</v>
      </c>
      <c r="E715" s="382" t="s">
        <v>1732</v>
      </c>
      <c r="F715" s="382" t="s">
        <v>9205</v>
      </c>
      <c r="G715" s="769"/>
      <c r="H715" s="382" t="str">
        <f t="shared" si="27"/>
        <v>SOA0043-075 - HoldAmountRelease - Request Normal.pdf.txt</v>
      </c>
      <c r="I715" s="382"/>
      <c r="J715" s="382"/>
      <c r="K715" s="382"/>
      <c r="L715" s="382"/>
      <c r="M715" s="382"/>
      <c r="N715" s="382"/>
      <c r="O715" s="382"/>
      <c r="P715" s="382"/>
      <c r="Q715" s="358" t="s">
        <v>9207</v>
      </c>
      <c r="R715" s="382"/>
      <c r="S715" s="382"/>
      <c r="T715" s="390" t="str">
        <f t="shared" si="28"/>
        <v>SOA0043-075 - HoldAmountRelease - Request Normal.pdf</v>
      </c>
      <c r="U715" s="391"/>
      <c r="V715" s="391"/>
      <c r="W715" s="391"/>
      <c r="X715" s="391"/>
      <c r="Y715" s="391"/>
      <c r="Z715" s="364">
        <v>45034</v>
      </c>
      <c r="AA715" s="359" t="s">
        <v>254</v>
      </c>
    </row>
    <row r="716" spans="1:27">
      <c r="A716" s="769"/>
      <c r="B716" s="769"/>
      <c r="C716" s="380" t="s">
        <v>10569</v>
      </c>
      <c r="D716" s="380" t="s">
        <v>10570</v>
      </c>
      <c r="E716" s="380" t="s">
        <v>1732</v>
      </c>
      <c r="F716" s="380" t="s">
        <v>9205</v>
      </c>
      <c r="G716" s="769"/>
      <c r="H716" s="380" t="str">
        <f t="shared" si="27"/>
        <v>SOA0043-076 - Hold Amount Normal.pdf.txt</v>
      </c>
      <c r="I716" s="380"/>
      <c r="J716" s="380"/>
      <c r="K716" s="380"/>
      <c r="L716" s="380"/>
      <c r="M716" s="380"/>
      <c r="N716" s="380"/>
      <c r="O716" s="380"/>
      <c r="P716" s="380"/>
      <c r="Q716" s="358" t="s">
        <v>9207</v>
      </c>
      <c r="R716" s="380"/>
      <c r="S716" s="380"/>
      <c r="T716" s="390" t="str">
        <f t="shared" si="28"/>
        <v>SOA0043-076 - Hold Amount Normal.pdf</v>
      </c>
      <c r="U716" s="391"/>
      <c r="V716" s="391"/>
      <c r="W716" s="391"/>
      <c r="X716" s="391"/>
      <c r="Y716" s="391"/>
      <c r="Z716" s="364">
        <v>45034</v>
      </c>
      <c r="AA716" s="359" t="s">
        <v>254</v>
      </c>
    </row>
    <row r="717" spans="1:27">
      <c r="A717" s="769"/>
      <c r="B717" s="769"/>
      <c r="C717" s="382" t="s">
        <v>10571</v>
      </c>
      <c r="D717" s="382" t="s">
        <v>10572</v>
      </c>
      <c r="E717" s="382" t="s">
        <v>1732</v>
      </c>
      <c r="F717" s="382" t="s">
        <v>9205</v>
      </c>
      <c r="G717" s="769"/>
      <c r="H717" s="382" t="str">
        <f t="shared" si="27"/>
        <v>SOA0043-077 - Hold Amount Taspen Reff 7.pdf.txt</v>
      </c>
      <c r="I717" s="382"/>
      <c r="J717" s="382"/>
      <c r="K717" s="382"/>
      <c r="L717" s="382"/>
      <c r="M717" s="382"/>
      <c r="N717" s="382"/>
      <c r="O717" s="382"/>
      <c r="P717" s="382"/>
      <c r="Q717" s="358" t="s">
        <v>9207</v>
      </c>
      <c r="R717" s="382"/>
      <c r="S717" s="382"/>
      <c r="T717" s="390" t="str">
        <f t="shared" si="28"/>
        <v>SOA0043-077 - Hold Amount Taspen Reff 7.pdf</v>
      </c>
      <c r="U717" s="391"/>
      <c r="V717" s="391"/>
      <c r="W717" s="391"/>
      <c r="X717" s="391"/>
      <c r="Y717" s="391"/>
      <c r="Z717" s="364">
        <v>45034</v>
      </c>
      <c r="AA717" s="359" t="s">
        <v>254</v>
      </c>
    </row>
    <row r="718" spans="1:27">
      <c r="A718" s="769"/>
      <c r="B718" s="769"/>
      <c r="C718" s="380" t="s">
        <v>10573</v>
      </c>
      <c r="D718" s="380" t="s">
        <v>10574</v>
      </c>
      <c r="E718" s="380" t="s">
        <v>1732</v>
      </c>
      <c r="F718" s="380" t="s">
        <v>9205</v>
      </c>
      <c r="G718" s="769"/>
      <c r="H718" s="380" t="str">
        <f t="shared" si="27"/>
        <v>SOA0043-078 - ExchangeRateByType.pdf.txt</v>
      </c>
      <c r="I718" s="380"/>
      <c r="J718" s="380"/>
      <c r="K718" s="380"/>
      <c r="L718" s="380"/>
      <c r="M718" s="380"/>
      <c r="N718" s="380"/>
      <c r="O718" s="380"/>
      <c r="P718" s="380"/>
      <c r="Q718" s="358" t="s">
        <v>9207</v>
      </c>
      <c r="R718" s="380"/>
      <c r="S718" s="380"/>
      <c r="T718" s="390" t="str">
        <f t="shared" si="28"/>
        <v>SOA0043-078 - ExchangeRateByType.pdf</v>
      </c>
      <c r="U718" s="391"/>
      <c r="V718" s="391"/>
      <c r="W718" s="391"/>
      <c r="X718" s="391"/>
      <c r="Y718" s="391"/>
      <c r="Z718" s="364">
        <v>45034</v>
      </c>
      <c r="AA718" s="359" t="s">
        <v>254</v>
      </c>
    </row>
    <row r="719" spans="1:27">
      <c r="A719" s="769"/>
      <c r="B719" s="769"/>
      <c r="C719" s="382" t="s">
        <v>10575</v>
      </c>
      <c r="D719" s="382" t="s">
        <v>10576</v>
      </c>
      <c r="E719" s="382" t="s">
        <v>1732</v>
      </c>
      <c r="F719" s="382" t="s">
        <v>9205</v>
      </c>
      <c r="G719" s="769"/>
      <c r="H719" s="382" t="str">
        <f t="shared" si="27"/>
        <v>SOA0043-079 - CreateTopupAcc.pdf.txt</v>
      </c>
      <c r="I719" s="382"/>
      <c r="J719" s="382"/>
      <c r="K719" s="382"/>
      <c r="L719" s="382"/>
      <c r="M719" s="382"/>
      <c r="N719" s="382"/>
      <c r="O719" s="382"/>
      <c r="P719" s="382"/>
      <c r="Q719" s="358" t="s">
        <v>9207</v>
      </c>
      <c r="R719" s="382"/>
      <c r="S719" s="382"/>
      <c r="T719" s="390" t="str">
        <f t="shared" si="28"/>
        <v>SOA0043-079 - CreateTopupAcc.pdf</v>
      </c>
      <c r="U719" s="391"/>
      <c r="V719" s="391"/>
      <c r="W719" s="391"/>
      <c r="X719" s="391"/>
      <c r="Y719" s="391"/>
      <c r="Z719" s="364">
        <v>45034</v>
      </c>
      <c r="AA719" s="359" t="s">
        <v>254</v>
      </c>
    </row>
    <row r="720" spans="1:27">
      <c r="A720" s="769"/>
      <c r="B720" s="769"/>
      <c r="C720" s="380" t="s">
        <v>10577</v>
      </c>
      <c r="D720" s="380" t="s">
        <v>10578</v>
      </c>
      <c r="E720" s="380" t="s">
        <v>1732</v>
      </c>
      <c r="F720" s="380" t="s">
        <v>9205</v>
      </c>
      <c r="G720" s="769"/>
      <c r="H720" s="380" t="str">
        <f t="shared" si="27"/>
        <v>SOA0043-080 - CreateTopupAcc2.pdf.txt</v>
      </c>
      <c r="I720" s="380"/>
      <c r="J720" s="380"/>
      <c r="K720" s="380"/>
      <c r="L720" s="380"/>
      <c r="M720" s="380"/>
      <c r="N720" s="380"/>
      <c r="O720" s="380"/>
      <c r="P720" s="380"/>
      <c r="Q720" s="358" t="s">
        <v>9207</v>
      </c>
      <c r="R720" s="380"/>
      <c r="S720" s="380"/>
      <c r="T720" s="390" t="str">
        <f t="shared" si="28"/>
        <v>SOA0043-080 - CreateTopupAcc2.pdf</v>
      </c>
      <c r="U720" s="391"/>
      <c r="V720" s="391"/>
      <c r="W720" s="391"/>
      <c r="X720" s="391"/>
      <c r="Y720" s="391"/>
      <c r="Z720" s="364">
        <v>45034</v>
      </c>
      <c r="AA720" s="359" t="s">
        <v>254</v>
      </c>
    </row>
    <row r="721" spans="1:27">
      <c r="A721" s="769"/>
      <c r="B721" s="769"/>
      <c r="C721" s="382" t="s">
        <v>10579</v>
      </c>
      <c r="D721" s="382" t="s">
        <v>10580</v>
      </c>
      <c r="E721" s="382" t="s">
        <v>1732</v>
      </c>
      <c r="F721" s="382" t="s">
        <v>9205</v>
      </c>
      <c r="G721" s="769"/>
      <c r="H721" s="382" t="str">
        <f t="shared" si="27"/>
        <v>SOA0043-081 - CreateTopupAcc - SOAP Request.pdf.txt</v>
      </c>
      <c r="I721" s="382"/>
      <c r="J721" s="382"/>
      <c r="K721" s="382"/>
      <c r="L721" s="382"/>
      <c r="M721" s="382"/>
      <c r="N721" s="382"/>
      <c r="O721" s="382"/>
      <c r="P721" s="382"/>
      <c r="Q721" s="358" t="s">
        <v>9207</v>
      </c>
      <c r="R721" s="382"/>
      <c r="S721" s="382"/>
      <c r="T721" s="390" t="str">
        <f t="shared" si="28"/>
        <v>SOA0043-081 - CreateTopupAcc - SOAP Request.pdf</v>
      </c>
      <c r="U721" s="391"/>
      <c r="V721" s="391"/>
      <c r="W721" s="391"/>
      <c r="X721" s="391"/>
      <c r="Y721" s="391"/>
      <c r="Z721" s="364">
        <v>45034</v>
      </c>
      <c r="AA721" s="359" t="s">
        <v>254</v>
      </c>
    </row>
    <row r="722" spans="1:27">
      <c r="A722" s="769"/>
      <c r="B722" s="769"/>
      <c r="C722" s="380" t="s">
        <v>10581</v>
      </c>
      <c r="D722" s="380" t="s">
        <v>10582</v>
      </c>
      <c r="E722" s="380" t="s">
        <v>1732</v>
      </c>
      <c r="F722" s="380" t="s">
        <v>9205</v>
      </c>
      <c r="G722" s="769"/>
      <c r="H722" s="380" t="str">
        <f t="shared" si="27"/>
        <v>SOA0043-082 - BreakDepositAccount.pdf.txt</v>
      </c>
      <c r="I722" s="380"/>
      <c r="J722" s="380"/>
      <c r="K722" s="380"/>
      <c r="L722" s="380"/>
      <c r="M722" s="380"/>
      <c r="N722" s="380"/>
      <c r="O722" s="380"/>
      <c r="P722" s="380"/>
      <c r="Q722" s="358" t="s">
        <v>9207</v>
      </c>
      <c r="R722" s="380"/>
      <c r="S722" s="380"/>
      <c r="T722" s="390" t="str">
        <f t="shared" si="28"/>
        <v>SOA0043-082 - BreakDepositAccount.pdf</v>
      </c>
      <c r="U722" s="391"/>
      <c r="V722" s="391"/>
      <c r="W722" s="391"/>
      <c r="X722" s="391"/>
      <c r="Y722" s="391"/>
      <c r="Z722" s="364">
        <v>45034</v>
      </c>
      <c r="AA722" s="359" t="s">
        <v>254</v>
      </c>
    </row>
    <row r="723" spans="1:27">
      <c r="A723" s="769"/>
      <c r="B723" s="769"/>
      <c r="C723" s="382" t="s">
        <v>10583</v>
      </c>
      <c r="D723" s="382" t="s">
        <v>10584</v>
      </c>
      <c r="E723" s="382" t="s">
        <v>1732</v>
      </c>
      <c r="F723" s="382" t="s">
        <v>9205</v>
      </c>
      <c r="G723" s="769"/>
      <c r="H723" s="382" t="str">
        <f t="shared" si="27"/>
        <v>SOA0043-083 - BillingPayment-Normal.pdf.txt</v>
      </c>
      <c r="I723" s="382"/>
      <c r="J723" s="382"/>
      <c r="K723" s="382"/>
      <c r="L723" s="382"/>
      <c r="M723" s="382"/>
      <c r="N723" s="382"/>
      <c r="O723" s="382"/>
      <c r="P723" s="382"/>
      <c r="Q723" s="358" t="s">
        <v>9207</v>
      </c>
      <c r="R723" s="382"/>
      <c r="S723" s="382"/>
      <c r="T723" s="390" t="str">
        <f t="shared" si="28"/>
        <v>SOA0043-083 - BillingPayment-Normal.pdf</v>
      </c>
      <c r="U723" s="391"/>
      <c r="V723" s="391"/>
      <c r="W723" s="391"/>
      <c r="X723" s="391"/>
      <c r="Y723" s="391"/>
      <c r="Z723" s="364">
        <v>45034</v>
      </c>
      <c r="AA723" s="359" t="s">
        <v>254</v>
      </c>
    </row>
    <row r="724" spans="1:27">
      <c r="A724" s="769"/>
      <c r="B724" s="769"/>
      <c r="C724" s="380" t="s">
        <v>10585</v>
      </c>
      <c r="D724" s="380" t="s">
        <v>10586</v>
      </c>
      <c r="E724" s="380" t="s">
        <v>1732</v>
      </c>
      <c r="F724" s="380" t="s">
        <v>9205</v>
      </c>
      <c r="G724" s="769"/>
      <c r="H724" s="380" t="str">
        <f t="shared" si="27"/>
        <v>SOA0043-084 - BillingPayment – BPJSTK.pdf.txt</v>
      </c>
      <c r="I724" s="380"/>
      <c r="J724" s="380"/>
      <c r="K724" s="380"/>
      <c r="L724" s="380"/>
      <c r="M724" s="380"/>
      <c r="N724" s="380"/>
      <c r="O724" s="380"/>
      <c r="P724" s="380"/>
      <c r="Q724" s="358" t="s">
        <v>9207</v>
      </c>
      <c r="R724" s="380"/>
      <c r="S724" s="380"/>
      <c r="T724" s="390" t="str">
        <f t="shared" si="28"/>
        <v>SOA0043-084 - BillingPayment – BPJSTK.pdf</v>
      </c>
      <c r="U724" s="391"/>
      <c r="V724" s="391"/>
      <c r="W724" s="391"/>
      <c r="X724" s="391"/>
      <c r="Y724" s="391"/>
      <c r="Z724" s="364">
        <v>45034</v>
      </c>
      <c r="AA724" s="359" t="s">
        <v>254</v>
      </c>
    </row>
    <row r="725" spans="1:27">
      <c r="A725" s="769"/>
      <c r="B725" s="769"/>
      <c r="C725" s="382" t="s">
        <v>10587</v>
      </c>
      <c r="D725" s="382" t="s">
        <v>10588</v>
      </c>
      <c r="E725" s="382" t="s">
        <v>1732</v>
      </c>
      <c r="F725" s="382" t="s">
        <v>9205</v>
      </c>
      <c r="G725" s="769"/>
      <c r="H725" s="382" t="str">
        <f t="shared" si="27"/>
        <v>SOA0043-085 - BillingPayment PLNTeller.pdf.txt</v>
      </c>
      <c r="I725" s="382"/>
      <c r="J725" s="382"/>
      <c r="K725" s="382"/>
      <c r="L725" s="382"/>
      <c r="M725" s="382"/>
      <c r="N725" s="382"/>
      <c r="O725" s="382"/>
      <c r="P725" s="382"/>
      <c r="Q725" s="358" t="s">
        <v>9207</v>
      </c>
      <c r="R725" s="382"/>
      <c r="S725" s="382"/>
      <c r="T725" s="390" t="str">
        <f t="shared" si="28"/>
        <v>SOA0043-085 - BillingPayment PLNTeller.pdf</v>
      </c>
      <c r="U725" s="391"/>
      <c r="V725" s="391"/>
      <c r="W725" s="391"/>
      <c r="X725" s="391"/>
      <c r="Y725" s="391"/>
      <c r="Z725" s="364">
        <v>45034</v>
      </c>
      <c r="AA725" s="359" t="s">
        <v>254</v>
      </c>
    </row>
    <row r="726" spans="1:27">
      <c r="A726" s="769"/>
      <c r="B726" s="769"/>
      <c r="C726" s="380" t="s">
        <v>10589</v>
      </c>
      <c r="D726" s="380" t="s">
        <v>10590</v>
      </c>
      <c r="E726" s="380" t="s">
        <v>1732</v>
      </c>
      <c r="F726" s="380" t="s">
        <v>9205</v>
      </c>
      <c r="G726" s="769"/>
      <c r="H726" s="380" t="str">
        <f t="shared" si="27"/>
        <v>SOA0043-086 - BillingPaymentReversal - Normal.pdf.txt</v>
      </c>
      <c r="I726" s="380"/>
      <c r="J726" s="380"/>
      <c r="K726" s="380"/>
      <c r="L726" s="380"/>
      <c r="M726" s="380"/>
      <c r="N726" s="380"/>
      <c r="O726" s="380"/>
      <c r="P726" s="380"/>
      <c r="Q726" s="358" t="s">
        <v>9207</v>
      </c>
      <c r="R726" s="380"/>
      <c r="S726" s="380"/>
      <c r="T726" s="390" t="str">
        <f t="shared" si="28"/>
        <v>SOA0043-086 - BillingPaymentReversal - Normal.pdf</v>
      </c>
      <c r="U726" s="391"/>
      <c r="V726" s="391"/>
      <c r="W726" s="391"/>
      <c r="X726" s="391"/>
      <c r="Y726" s="391"/>
      <c r="Z726" s="364">
        <v>45034</v>
      </c>
      <c r="AA726" s="359" t="s">
        <v>254</v>
      </c>
    </row>
    <row r="727" spans="1:27">
      <c r="A727" s="769"/>
      <c r="B727" s="769"/>
      <c r="C727" s="382" t="s">
        <v>10591</v>
      </c>
      <c r="D727" s="382" t="s">
        <v>10592</v>
      </c>
      <c r="E727" s="382" t="s">
        <v>1732</v>
      </c>
      <c r="F727" s="382" t="s">
        <v>9205</v>
      </c>
      <c r="G727" s="769"/>
      <c r="H727" s="382" t="str">
        <f t="shared" si="27"/>
        <v>SOA0043-087 - BillingPaymentReversal – BPJSTK.pdf.txt</v>
      </c>
      <c r="I727" s="382"/>
      <c r="J727" s="382"/>
      <c r="K727" s="382"/>
      <c r="L727" s="382"/>
      <c r="M727" s="382"/>
      <c r="N727" s="382"/>
      <c r="O727" s="382"/>
      <c r="P727" s="382"/>
      <c r="Q727" s="358" t="s">
        <v>9207</v>
      </c>
      <c r="R727" s="382"/>
      <c r="S727" s="382"/>
      <c r="T727" s="390" t="str">
        <f t="shared" si="28"/>
        <v>SOA0043-087 - BillingPaymentReversal – BPJSTK.pdf</v>
      </c>
      <c r="U727" s="391"/>
      <c r="V727" s="391"/>
      <c r="W727" s="391"/>
      <c r="X727" s="391"/>
      <c r="Y727" s="391"/>
      <c r="Z727" s="364">
        <v>45034</v>
      </c>
      <c r="AA727" s="359" t="s">
        <v>254</v>
      </c>
    </row>
    <row r="728" spans="1:27">
      <c r="A728" s="769"/>
      <c r="B728" s="769"/>
      <c r="C728" s="380" t="s">
        <v>10593</v>
      </c>
      <c r="D728" s="380" t="s">
        <v>10594</v>
      </c>
      <c r="E728" s="380" t="s">
        <v>1732</v>
      </c>
      <c r="F728" s="380" t="s">
        <v>9205</v>
      </c>
      <c r="G728" s="769"/>
      <c r="H728" s="380" t="str">
        <f t="shared" si="27"/>
        <v>SOA0043-088 - BillingPaymentReversal – New.pdf.txt</v>
      </c>
      <c r="I728" s="380"/>
      <c r="J728" s="380"/>
      <c r="K728" s="380"/>
      <c r="L728" s="380"/>
      <c r="M728" s="380"/>
      <c r="N728" s="380"/>
      <c r="O728" s="380"/>
      <c r="P728" s="380"/>
      <c r="Q728" s="358" t="s">
        <v>9207</v>
      </c>
      <c r="R728" s="380"/>
      <c r="S728" s="380"/>
      <c r="T728" s="390" t="str">
        <f t="shared" si="28"/>
        <v>SOA0043-088 - BillingPaymentReversal – New.pdf</v>
      </c>
      <c r="U728" s="391"/>
      <c r="V728" s="391"/>
      <c r="W728" s="391"/>
      <c r="X728" s="391"/>
      <c r="Y728" s="391"/>
      <c r="Z728" s="364">
        <v>45034</v>
      </c>
      <c r="AA728" s="359" t="s">
        <v>254</v>
      </c>
    </row>
    <row r="729" spans="1:27">
      <c r="A729" s="769"/>
      <c r="B729" s="769"/>
      <c r="C729" s="382" t="s">
        <v>10595</v>
      </c>
      <c r="D729" s="382" t="s">
        <v>10596</v>
      </c>
      <c r="E729" s="382" t="s">
        <v>1732</v>
      </c>
      <c r="F729" s="382" t="s">
        <v>9205</v>
      </c>
      <c r="G729" s="769"/>
      <c r="H729" s="382" t="str">
        <f t="shared" si="27"/>
        <v>SOA0043-089 - CreateVirtualAccount - InquiryVa.pdf.txt</v>
      </c>
      <c r="I729" s="382"/>
      <c r="J729" s="382"/>
      <c r="K729" s="382"/>
      <c r="L729" s="382"/>
      <c r="M729" s="382"/>
      <c r="N729" s="382"/>
      <c r="O729" s="382"/>
      <c r="P729" s="382"/>
      <c r="Q729" s="358" t="s">
        <v>9207</v>
      </c>
      <c r="R729" s="382"/>
      <c r="S729" s="382"/>
      <c r="T729" s="390" t="str">
        <f t="shared" si="28"/>
        <v>SOA0043-089 - CreateVirtualAccount - InquiryVa.pdf</v>
      </c>
      <c r="U729" s="391"/>
      <c r="V729" s="391"/>
      <c r="W729" s="391"/>
      <c r="X729" s="391"/>
      <c r="Y729" s="391"/>
      <c r="Z729" s="364">
        <v>45034</v>
      </c>
      <c r="AA729" s="359" t="s">
        <v>254</v>
      </c>
    </row>
    <row r="730" spans="1:27">
      <c r="A730" s="769"/>
      <c r="B730" s="769"/>
      <c r="C730" s="380" t="s">
        <v>10597</v>
      </c>
      <c r="D730" s="380" t="s">
        <v>10598</v>
      </c>
      <c r="E730" s="380" t="s">
        <v>1732</v>
      </c>
      <c r="F730" s="380" t="s">
        <v>9205</v>
      </c>
      <c r="G730" s="769"/>
      <c r="H730" s="380" t="str">
        <f t="shared" si="27"/>
        <v>SOA0043-090 - CreateVirtualAccount - CreateVa.pdf.txt</v>
      </c>
      <c r="I730" s="380"/>
      <c r="J730" s="380"/>
      <c r="K730" s="380"/>
      <c r="L730" s="380"/>
      <c r="M730" s="380"/>
      <c r="N730" s="380"/>
      <c r="O730" s="380"/>
      <c r="P730" s="380"/>
      <c r="Q730" s="358" t="s">
        <v>9207</v>
      </c>
      <c r="R730" s="380"/>
      <c r="S730" s="380"/>
      <c r="T730" s="390" t="str">
        <f t="shared" si="28"/>
        <v>SOA0043-090 - CreateVirtualAccount - CreateVa.pdf</v>
      </c>
      <c r="U730" s="391"/>
      <c r="V730" s="391"/>
      <c r="W730" s="391"/>
      <c r="X730" s="391"/>
      <c r="Y730" s="391"/>
      <c r="Z730" s="364">
        <v>45034</v>
      </c>
      <c r="AA730" s="359" t="s">
        <v>254</v>
      </c>
    </row>
    <row r="731" spans="1:27">
      <c r="A731" s="769"/>
      <c r="B731" s="769"/>
      <c r="C731" s="382" t="s">
        <v>10599</v>
      </c>
      <c r="D731" s="382" t="s">
        <v>10600</v>
      </c>
      <c r="E731" s="382" t="s">
        <v>1732</v>
      </c>
      <c r="F731" s="382" t="s">
        <v>9205</v>
      </c>
      <c r="G731" s="769"/>
      <c r="H731" s="382" t="str">
        <f t="shared" si="27"/>
        <v>SOA0043-091 - CreateVirtualAccount - UpdateVA.pdf.txt</v>
      </c>
      <c r="I731" s="382"/>
      <c r="J731" s="382"/>
      <c r="K731" s="382"/>
      <c r="L731" s="382"/>
      <c r="M731" s="382"/>
      <c r="N731" s="382"/>
      <c r="O731" s="382"/>
      <c r="P731" s="382"/>
      <c r="Q731" s="358" t="s">
        <v>9207</v>
      </c>
      <c r="R731" s="382"/>
      <c r="S731" s="382"/>
      <c r="T731" s="390" t="str">
        <f t="shared" si="28"/>
        <v>SOA0043-091 - CreateVirtualAccount - UpdateVA.pdf</v>
      </c>
      <c r="U731" s="391"/>
      <c r="V731" s="391"/>
      <c r="W731" s="391"/>
      <c r="X731" s="391"/>
      <c r="Y731" s="391"/>
      <c r="Z731" s="364">
        <v>45034</v>
      </c>
      <c r="AA731" s="359" t="s">
        <v>254</v>
      </c>
    </row>
    <row r="732" spans="1:27">
      <c r="A732" s="769"/>
      <c r="B732" s="769"/>
      <c r="C732" s="380" t="s">
        <v>10601</v>
      </c>
      <c r="D732" s="380" t="s">
        <v>10602</v>
      </c>
      <c r="E732" s="380" t="s">
        <v>1732</v>
      </c>
      <c r="F732" s="380" t="s">
        <v>9205</v>
      </c>
      <c r="G732" s="769"/>
      <c r="H732" s="380" t="str">
        <f t="shared" si="27"/>
        <v>SOA0043-092 - CreateVirtualAccount - GetVaName.pdf.txt</v>
      </c>
      <c r="I732" s="380"/>
      <c r="J732" s="380"/>
      <c r="K732" s="380"/>
      <c r="L732" s="380"/>
      <c r="M732" s="380"/>
      <c r="N732" s="380"/>
      <c r="O732" s="380"/>
      <c r="P732" s="380"/>
      <c r="Q732" s="358" t="s">
        <v>9207</v>
      </c>
      <c r="R732" s="380"/>
      <c r="S732" s="380"/>
      <c r="T732" s="390" t="str">
        <f t="shared" si="28"/>
        <v>SOA0043-092 - CreateVirtualAccount - GetVaName.pdf</v>
      </c>
      <c r="U732" s="391"/>
      <c r="V732" s="391"/>
      <c r="W732" s="391"/>
      <c r="X732" s="391"/>
      <c r="Y732" s="391"/>
      <c r="Z732" s="364">
        <v>45034</v>
      </c>
      <c r="AA732" s="359" t="s">
        <v>254</v>
      </c>
    </row>
    <row r="733" spans="1:27">
      <c r="A733" s="769"/>
      <c r="B733" s="769"/>
      <c r="C733" s="382" t="s">
        <v>10603</v>
      </c>
      <c r="D733" s="382" t="s">
        <v>10598</v>
      </c>
      <c r="E733" s="382" t="s">
        <v>1732</v>
      </c>
      <c r="F733" s="382" t="s">
        <v>9205</v>
      </c>
      <c r="G733" s="769"/>
      <c r="H733" s="382" t="str">
        <f t="shared" si="27"/>
        <v>SOA0043-093 - CreateVirtualAccount - CreateVa.pdf.txt</v>
      </c>
      <c r="I733" s="382"/>
      <c r="J733" s="382"/>
      <c r="K733" s="382"/>
      <c r="L733" s="382"/>
      <c r="M733" s="382"/>
      <c r="N733" s="382"/>
      <c r="O733" s="382"/>
      <c r="P733" s="382"/>
      <c r="Q733" s="358" t="s">
        <v>9207</v>
      </c>
      <c r="R733" s="382"/>
      <c r="S733" s="382"/>
      <c r="T733" s="390" t="str">
        <f t="shared" si="28"/>
        <v>SOA0043-093 - CreateVirtualAccount - CreateVa.pdf</v>
      </c>
      <c r="U733" s="391"/>
      <c r="V733" s="391"/>
      <c r="W733" s="391"/>
      <c r="X733" s="391"/>
      <c r="Y733" s="391"/>
      <c r="Z733" s="364">
        <v>45034</v>
      </c>
      <c r="AA733" s="359" t="s">
        <v>254</v>
      </c>
    </row>
    <row r="734" spans="1:27">
      <c r="A734" s="769"/>
      <c r="B734" s="769"/>
      <c r="C734" s="380" t="s">
        <v>10604</v>
      </c>
      <c r="D734" s="380" t="s">
        <v>10605</v>
      </c>
      <c r="E734" s="380" t="s">
        <v>1732</v>
      </c>
      <c r="F734" s="380" t="s">
        <v>9205</v>
      </c>
      <c r="G734" s="769"/>
      <c r="H734" s="380" t="str">
        <f t="shared" si="27"/>
        <v>SOA0043-094 - GLTransaction - GLTarikTunai.pdf.txt</v>
      </c>
      <c r="I734" s="380"/>
      <c r="J734" s="380"/>
      <c r="K734" s="380"/>
      <c r="L734" s="380"/>
      <c r="M734" s="380"/>
      <c r="N734" s="380"/>
      <c r="O734" s="380"/>
      <c r="P734" s="380"/>
      <c r="Q734" s="358" t="s">
        <v>9207</v>
      </c>
      <c r="R734" s="380"/>
      <c r="S734" s="380"/>
      <c r="T734" s="390" t="str">
        <f t="shared" si="28"/>
        <v>SOA0043-094 - GLTransaction - GLTarikTunai.pdf</v>
      </c>
      <c r="U734" s="391"/>
      <c r="V734" s="391"/>
      <c r="W734" s="391"/>
      <c r="X734" s="391"/>
      <c r="Y734" s="391"/>
      <c r="Z734" s="364">
        <v>45034</v>
      </c>
      <c r="AA734" s="359" t="s">
        <v>254</v>
      </c>
    </row>
    <row r="735" spans="1:27">
      <c r="A735" s="769"/>
      <c r="B735" s="769"/>
      <c r="C735" s="382" t="s">
        <v>10606</v>
      </c>
      <c r="D735" s="382" t="s">
        <v>10607</v>
      </c>
      <c r="E735" s="382" t="s">
        <v>1732</v>
      </c>
      <c r="F735" s="382" t="s">
        <v>9205</v>
      </c>
      <c r="G735" s="769"/>
      <c r="H735" s="382" t="str">
        <f t="shared" si="27"/>
        <v>SOA0043-095 - GLTransaction - GLTransferGL.pdf.txt</v>
      </c>
      <c r="I735" s="382"/>
      <c r="J735" s="382"/>
      <c r="K735" s="382"/>
      <c r="L735" s="382"/>
      <c r="M735" s="382"/>
      <c r="N735" s="382"/>
      <c r="O735" s="382"/>
      <c r="P735" s="382"/>
      <c r="Q735" s="358" t="s">
        <v>9207</v>
      </c>
      <c r="R735" s="382"/>
      <c r="S735" s="382"/>
      <c r="T735" s="390" t="str">
        <f t="shared" si="28"/>
        <v>SOA0043-095 - GLTransaction - GLTransferGL.pdf</v>
      </c>
      <c r="U735" s="391"/>
      <c r="V735" s="391"/>
      <c r="W735" s="391"/>
      <c r="X735" s="391"/>
      <c r="Y735" s="391"/>
      <c r="Z735" s="364">
        <v>45034</v>
      </c>
      <c r="AA735" s="359" t="s">
        <v>254</v>
      </c>
    </row>
    <row r="736" spans="1:27">
      <c r="A736" s="769"/>
      <c r="B736" s="769"/>
      <c r="C736" s="380" t="s">
        <v>10608</v>
      </c>
      <c r="D736" s="380" t="s">
        <v>10609</v>
      </c>
      <c r="E736" s="380" t="s">
        <v>1732</v>
      </c>
      <c r="F736" s="380" t="s">
        <v>9205</v>
      </c>
      <c r="G736" s="769"/>
      <c r="H736" s="380" t="str">
        <f t="shared" si="27"/>
        <v>SOA0043-096 - GLTransaction - GLTransferGL2.pdf.txt</v>
      </c>
      <c r="I736" s="380"/>
      <c r="J736" s="380"/>
      <c r="K736" s="380"/>
      <c r="L736" s="380"/>
      <c r="M736" s="380"/>
      <c r="N736" s="380"/>
      <c r="O736" s="380"/>
      <c r="P736" s="380"/>
      <c r="Q736" s="358" t="s">
        <v>9207</v>
      </c>
      <c r="R736" s="380"/>
      <c r="S736" s="380"/>
      <c r="T736" s="390" t="str">
        <f t="shared" si="28"/>
        <v>SOA0043-096 - GLTransaction - GLTransferGL2.pdf</v>
      </c>
      <c r="U736" s="391"/>
      <c r="V736" s="391"/>
      <c r="W736" s="391"/>
      <c r="X736" s="391"/>
      <c r="Y736" s="391"/>
      <c r="Z736" s="364">
        <v>45034</v>
      </c>
      <c r="AA736" s="359" t="s">
        <v>254</v>
      </c>
    </row>
    <row r="737" spans="1:27">
      <c r="A737" s="769"/>
      <c r="B737" s="769"/>
      <c r="C737" s="382" t="s">
        <v>10610</v>
      </c>
      <c r="D737" s="382" t="s">
        <v>10611</v>
      </c>
      <c r="E737" s="382" t="s">
        <v>1732</v>
      </c>
      <c r="F737" s="382" t="s">
        <v>9205</v>
      </c>
      <c r="G737" s="769"/>
      <c r="H737" s="382" t="str">
        <f t="shared" si="27"/>
        <v>SOA0043-097 - GLTransaction - GLTransferDeposit.pdf.txt</v>
      </c>
      <c r="I737" s="382"/>
      <c r="J737" s="382"/>
      <c r="K737" s="382"/>
      <c r="L737" s="382"/>
      <c r="M737" s="382"/>
      <c r="N737" s="382"/>
      <c r="O737" s="382"/>
      <c r="P737" s="382"/>
      <c r="Q737" s="358" t="s">
        <v>9207</v>
      </c>
      <c r="R737" s="382"/>
      <c r="S737" s="382"/>
      <c r="T737" s="390" t="str">
        <f t="shared" si="28"/>
        <v>SOA0043-097 - GLTransaction - GLTransferDeposit.pdf</v>
      </c>
      <c r="U737" s="391"/>
      <c r="V737" s="391"/>
      <c r="W737" s="391"/>
      <c r="X737" s="391"/>
      <c r="Y737" s="391"/>
      <c r="Z737" s="364">
        <v>45034</v>
      </c>
      <c r="AA737" s="359" t="s">
        <v>254</v>
      </c>
    </row>
    <row r="738" spans="1:27">
      <c r="A738" s="769"/>
      <c r="B738" s="769"/>
      <c r="C738" s="380" t="s">
        <v>10612</v>
      </c>
      <c r="D738" s="380" t="s">
        <v>10613</v>
      </c>
      <c r="E738" s="380" t="s">
        <v>1732</v>
      </c>
      <c r="F738" s="380" t="s">
        <v>9205</v>
      </c>
      <c r="G738" s="769"/>
      <c r="H738" s="380" t="str">
        <f t="shared" si="27"/>
        <v>SOA0043-098 - GLTransaction - GLTransferGL3.pdf.txt</v>
      </c>
      <c r="I738" s="380"/>
      <c r="J738" s="380"/>
      <c r="K738" s="380"/>
      <c r="L738" s="380"/>
      <c r="M738" s="380"/>
      <c r="N738" s="380"/>
      <c r="O738" s="380"/>
      <c r="P738" s="380"/>
      <c r="Q738" s="358" t="s">
        <v>9207</v>
      </c>
      <c r="R738" s="380"/>
      <c r="S738" s="380"/>
      <c r="T738" s="390" t="str">
        <f t="shared" si="28"/>
        <v>SOA0043-098 - GLTransaction - GLTransferGL3.pdf</v>
      </c>
      <c r="U738" s="391"/>
      <c r="V738" s="391"/>
      <c r="W738" s="391"/>
      <c r="X738" s="391"/>
      <c r="Y738" s="391"/>
      <c r="Z738" s="364">
        <v>45034</v>
      </c>
      <c r="AA738" s="359" t="s">
        <v>254</v>
      </c>
    </row>
    <row r="739" spans="1:27">
      <c r="A739" s="769"/>
      <c r="B739" s="769"/>
      <c r="C739" s="382" t="s">
        <v>10614</v>
      </c>
      <c r="D739" s="382" t="s">
        <v>10615</v>
      </c>
      <c r="E739" s="382" t="s">
        <v>1732</v>
      </c>
      <c r="F739" s="382" t="s">
        <v>9205</v>
      </c>
      <c r="G739" s="769"/>
      <c r="H739" s="382" t="str">
        <f t="shared" si="27"/>
        <v>SOA0043-099 - GLTransaction - GLTransferGL_PSAK73.pdf.txt</v>
      </c>
      <c r="I739" s="382"/>
      <c r="J739" s="382"/>
      <c r="K739" s="382"/>
      <c r="L739" s="382"/>
      <c r="M739" s="382"/>
      <c r="N739" s="382"/>
      <c r="O739" s="382"/>
      <c r="P739" s="382"/>
      <c r="Q739" s="358" t="s">
        <v>9207</v>
      </c>
      <c r="R739" s="382"/>
      <c r="S739" s="382"/>
      <c r="T739" s="390" t="str">
        <f t="shared" si="28"/>
        <v>SOA0043-099 - GLTransaction - GLTransferGL_PSAK73.pdf</v>
      </c>
      <c r="U739" s="391"/>
      <c r="V739" s="391"/>
      <c r="W739" s="391"/>
      <c r="X739" s="391"/>
      <c r="Y739" s="391"/>
      <c r="Z739" s="364">
        <v>45034</v>
      </c>
      <c r="AA739" s="359" t="s">
        <v>254</v>
      </c>
    </row>
    <row r="740" spans="1:27">
      <c r="A740" s="769"/>
      <c r="B740" s="769"/>
      <c r="C740" s="380" t="s">
        <v>10616</v>
      </c>
      <c r="D740" s="380" t="s">
        <v>10617</v>
      </c>
      <c r="E740" s="380" t="s">
        <v>1732</v>
      </c>
      <c r="F740" s="380" t="s">
        <v>9205</v>
      </c>
      <c r="G740" s="769"/>
      <c r="H740" s="380" t="str">
        <f t="shared" si="27"/>
        <v>SOA0043-100 - UpdateCifDetails – ELO.pdf.txt</v>
      </c>
      <c r="I740" s="380"/>
      <c r="J740" s="380"/>
      <c r="K740" s="380"/>
      <c r="L740" s="380"/>
      <c r="M740" s="380"/>
      <c r="N740" s="380"/>
      <c r="O740" s="380"/>
      <c r="P740" s="380"/>
      <c r="Q740" s="358" t="s">
        <v>9207</v>
      </c>
      <c r="R740" s="380"/>
      <c r="S740" s="380"/>
      <c r="T740" s="390" t="str">
        <f t="shared" si="28"/>
        <v>SOA0043-100 - UpdateCifDetails – ELO.pdf</v>
      </c>
      <c r="U740" s="391"/>
      <c r="V740" s="391"/>
      <c r="W740" s="391"/>
      <c r="X740" s="391"/>
      <c r="Y740" s="391"/>
      <c r="Z740" s="364">
        <v>45034</v>
      </c>
      <c r="AA740" s="359" t="s">
        <v>254</v>
      </c>
    </row>
    <row r="741" spans="1:27">
      <c r="A741" s="769"/>
      <c r="B741" s="769"/>
      <c r="C741" s="382" t="s">
        <v>10618</v>
      </c>
      <c r="D741" s="382" t="s">
        <v>10619</v>
      </c>
      <c r="E741" s="382" t="s">
        <v>1732</v>
      </c>
      <c r="F741" s="382" t="s">
        <v>9205</v>
      </c>
      <c r="G741" s="769"/>
      <c r="H741" s="382" t="str">
        <f t="shared" si="27"/>
        <v>SOA0043-101 - HoldDebitCard.pdf.txt</v>
      </c>
      <c r="I741" s="382"/>
      <c r="J741" s="382"/>
      <c r="K741" s="382"/>
      <c r="L741" s="382"/>
      <c r="M741" s="382"/>
      <c r="N741" s="382"/>
      <c r="O741" s="382"/>
      <c r="P741" s="382"/>
      <c r="Q741" s="358" t="s">
        <v>9207</v>
      </c>
      <c r="R741" s="382"/>
      <c r="S741" s="382"/>
      <c r="T741" s="390" t="str">
        <f t="shared" si="28"/>
        <v>SOA0043-101 - HoldDebitCard.pdf</v>
      </c>
      <c r="U741" s="391"/>
      <c r="V741" s="391"/>
      <c r="W741" s="391"/>
      <c r="X741" s="391"/>
      <c r="Y741" s="391"/>
      <c r="Z741" s="364">
        <v>45034</v>
      </c>
      <c r="AA741" s="359" t="s">
        <v>254</v>
      </c>
    </row>
    <row r="742" spans="1:27">
      <c r="A742" s="769"/>
      <c r="B742" s="769"/>
      <c r="C742" s="380" t="s">
        <v>10620</v>
      </c>
      <c r="D742" s="380" t="s">
        <v>10621</v>
      </c>
      <c r="E742" s="380" t="s">
        <v>1732</v>
      </c>
      <c r="F742" s="380" t="s">
        <v>9205</v>
      </c>
      <c r="G742" s="769"/>
      <c r="H742" s="380" t="str">
        <f t="shared" si="27"/>
        <v>SOA0043-102 - CashDepositIDR.pdf.txt</v>
      </c>
      <c r="I742" s="380"/>
      <c r="J742" s="380"/>
      <c r="K742" s="380"/>
      <c r="L742" s="380"/>
      <c r="M742" s="380"/>
      <c r="N742" s="380"/>
      <c r="O742" s="380"/>
      <c r="P742" s="380"/>
      <c r="Q742" s="358" t="s">
        <v>9207</v>
      </c>
      <c r="R742" s="380"/>
      <c r="S742" s="380"/>
      <c r="T742" s="390" t="str">
        <f t="shared" si="28"/>
        <v>SOA0043-102 - CashDepositIDR.pdf</v>
      </c>
      <c r="U742" s="391"/>
      <c r="V742" s="391"/>
      <c r="W742" s="391"/>
      <c r="X742" s="391"/>
      <c r="Y742" s="391"/>
      <c r="Z742" s="364">
        <v>45034</v>
      </c>
      <c r="AA742" s="359" t="s">
        <v>254</v>
      </c>
    </row>
    <row r="743" spans="1:27">
      <c r="A743" s="769"/>
      <c r="B743" s="769"/>
      <c r="C743" s="382" t="s">
        <v>10622</v>
      </c>
      <c r="D743" s="382" t="s">
        <v>10623</v>
      </c>
      <c r="E743" s="382" t="s">
        <v>1732</v>
      </c>
      <c r="F743" s="382" t="s">
        <v>9205</v>
      </c>
      <c r="G743" s="769"/>
      <c r="H743" s="382" t="str">
        <f t="shared" si="27"/>
        <v>SOA0043-103 - GetLinkedDebitCard.pdf.txt</v>
      </c>
      <c r="I743" s="382"/>
      <c r="J743" s="382"/>
      <c r="K743" s="382"/>
      <c r="L743" s="382"/>
      <c r="M743" s="382"/>
      <c r="N743" s="382"/>
      <c r="O743" s="382"/>
      <c r="P743" s="382"/>
      <c r="Q743" s="358" t="s">
        <v>9207</v>
      </c>
      <c r="R743" s="382"/>
      <c r="S743" s="382"/>
      <c r="T743" s="390" t="str">
        <f t="shared" si="28"/>
        <v>SOA0043-103 - GetLinkedDebitCard.pdf</v>
      </c>
      <c r="U743" s="391"/>
      <c r="V743" s="391"/>
      <c r="W743" s="391"/>
      <c r="X743" s="391"/>
      <c r="Y743" s="391"/>
      <c r="Z743" s="364">
        <v>45034</v>
      </c>
      <c r="AA743" s="359" t="s">
        <v>254</v>
      </c>
    </row>
    <row r="744" spans="1:27">
      <c r="A744" s="769"/>
      <c r="B744" s="769"/>
      <c r="C744" s="380" t="s">
        <v>10624</v>
      </c>
      <c r="D744" s="380" t="s">
        <v>10625</v>
      </c>
      <c r="E744" s="380" t="s">
        <v>1732</v>
      </c>
      <c r="F744" s="380" t="s">
        <v>9205</v>
      </c>
      <c r="G744" s="769"/>
      <c r="H744" s="380" t="str">
        <f t="shared" si="27"/>
        <v>SOA0043-104 - GetLinkedDebitCard_TQC.pdf.txt</v>
      </c>
      <c r="I744" s="380"/>
      <c r="J744" s="380"/>
      <c r="K744" s="380"/>
      <c r="L744" s="380"/>
      <c r="M744" s="380"/>
      <c r="N744" s="380"/>
      <c r="O744" s="380"/>
      <c r="P744" s="380"/>
      <c r="Q744" s="358" t="s">
        <v>9207</v>
      </c>
      <c r="R744" s="380"/>
      <c r="S744" s="380"/>
      <c r="T744" s="390" t="str">
        <f t="shared" si="28"/>
        <v>SOA0043-104 - GetLinkedDebitCard_TQC.pdf</v>
      </c>
      <c r="U744" s="391"/>
      <c r="V744" s="391"/>
      <c r="W744" s="391"/>
      <c r="X744" s="391"/>
      <c r="Y744" s="391"/>
      <c r="Z744" s="364">
        <v>45034</v>
      </c>
      <c r="AA744" s="359" t="s">
        <v>254</v>
      </c>
    </row>
    <row r="745" spans="1:27">
      <c r="A745" s="769"/>
      <c r="B745" s="769"/>
      <c r="C745" s="382" t="s">
        <v>10626</v>
      </c>
      <c r="D745" s="382" t="s">
        <v>10627</v>
      </c>
      <c r="E745" s="382" t="s">
        <v>1732</v>
      </c>
      <c r="F745" s="382" t="s">
        <v>9205</v>
      </c>
      <c r="G745" s="769"/>
      <c r="H745" s="382" t="str">
        <f t="shared" si="27"/>
        <v>SOA0043-105 - XRateParamInquiry.pdf.txt</v>
      </c>
      <c r="I745" s="382"/>
      <c r="J745" s="382"/>
      <c r="K745" s="382"/>
      <c r="L745" s="382"/>
      <c r="M745" s="382"/>
      <c r="N745" s="382"/>
      <c r="O745" s="382"/>
      <c r="P745" s="382"/>
      <c r="Q745" s="358" t="s">
        <v>9207</v>
      </c>
      <c r="R745" s="382"/>
      <c r="S745" s="382"/>
      <c r="T745" s="390" t="str">
        <f t="shared" si="28"/>
        <v>SOA0043-105 - XRateParamInquiry.pdf</v>
      </c>
      <c r="U745" s="391"/>
      <c r="V745" s="391"/>
      <c r="W745" s="391"/>
      <c r="X745" s="391"/>
      <c r="Y745" s="391"/>
      <c r="Z745" s="364">
        <v>45034</v>
      </c>
      <c r="AA745" s="359" t="s">
        <v>254</v>
      </c>
    </row>
    <row r="746" spans="1:27">
      <c r="A746" s="769"/>
      <c r="B746" s="769"/>
      <c r="C746" s="380" t="s">
        <v>10628</v>
      </c>
      <c r="D746" s="380" t="s">
        <v>10629</v>
      </c>
      <c r="E746" s="380" t="s">
        <v>1732</v>
      </c>
      <c r="F746" s="380" t="s">
        <v>9205</v>
      </c>
      <c r="G746" s="769"/>
      <c r="H746" s="380" t="str">
        <f t="shared" si="27"/>
        <v>SOA0043-106 - InquiryTrxVirtualAccount.pdf.txt</v>
      </c>
      <c r="I746" s="380"/>
      <c r="J746" s="380"/>
      <c r="K746" s="380"/>
      <c r="L746" s="380"/>
      <c r="M746" s="380"/>
      <c r="N746" s="380"/>
      <c r="O746" s="380"/>
      <c r="P746" s="380"/>
      <c r="Q746" s="358" t="s">
        <v>9207</v>
      </c>
      <c r="R746" s="380"/>
      <c r="S746" s="380"/>
      <c r="T746" s="390" t="str">
        <f t="shared" si="28"/>
        <v>SOA0043-106 - InquiryTrxVirtualAccount.pdf</v>
      </c>
      <c r="U746" s="391"/>
      <c r="V746" s="391"/>
      <c r="W746" s="391"/>
      <c r="X746" s="391"/>
      <c r="Y746" s="391"/>
      <c r="Z746" s="364">
        <v>45034</v>
      </c>
      <c r="AA746" s="359" t="s">
        <v>254</v>
      </c>
    </row>
    <row r="747" spans="1:27">
      <c r="A747" s="769"/>
      <c r="B747" s="769"/>
      <c r="C747" s="382" t="s">
        <v>10630</v>
      </c>
      <c r="D747" s="382" t="s">
        <v>10631</v>
      </c>
      <c r="E747" s="382" t="s">
        <v>1732</v>
      </c>
      <c r="F747" s="382" t="s">
        <v>9205</v>
      </c>
      <c r="G747" s="769"/>
      <c r="H747" s="382" t="str">
        <f t="shared" si="27"/>
        <v>SOA0043-107 - CashWithdrawal.pdf.txt</v>
      </c>
      <c r="I747" s="382"/>
      <c r="J747" s="382"/>
      <c r="K747" s="382"/>
      <c r="L747" s="382"/>
      <c r="M747" s="382"/>
      <c r="N747" s="382"/>
      <c r="O747" s="382"/>
      <c r="P747" s="382"/>
      <c r="Q747" s="358" t="s">
        <v>9207</v>
      </c>
      <c r="R747" s="382"/>
      <c r="S747" s="382"/>
      <c r="T747" s="390" t="str">
        <f t="shared" si="28"/>
        <v>SOA0043-107 - CashWithdrawal.pdf</v>
      </c>
      <c r="U747" s="391"/>
      <c r="V747" s="391"/>
      <c r="W747" s="391"/>
      <c r="X747" s="391"/>
      <c r="Y747" s="391"/>
      <c r="Z747" s="364">
        <v>45034</v>
      </c>
      <c r="AA747" s="359" t="s">
        <v>254</v>
      </c>
    </row>
    <row r="748" spans="1:27">
      <c r="A748" s="769"/>
      <c r="B748" s="769"/>
      <c r="C748" s="380" t="s">
        <v>10632</v>
      </c>
      <c r="D748" s="380" t="s">
        <v>10633</v>
      </c>
      <c r="E748" s="380" t="s">
        <v>1732</v>
      </c>
      <c r="F748" s="380" t="s">
        <v>9205</v>
      </c>
      <c r="G748" s="769"/>
      <c r="H748" s="380" t="str">
        <f t="shared" si="27"/>
        <v>.txt</v>
      </c>
      <c r="I748" s="380"/>
      <c r="J748" s="380"/>
      <c r="K748" s="380"/>
      <c r="L748" s="380"/>
      <c r="M748" s="380"/>
      <c r="N748" s="380"/>
      <c r="O748" s="380"/>
      <c r="P748" s="380"/>
      <c r="Q748" s="241" t="s">
        <v>7371</v>
      </c>
      <c r="R748" s="380" t="s">
        <v>10635</v>
      </c>
      <c r="S748" s="380"/>
      <c r="T748" s="390"/>
      <c r="U748" s="391"/>
      <c r="V748" s="391"/>
      <c r="W748" s="391"/>
      <c r="X748" s="391"/>
      <c r="Y748" s="391"/>
      <c r="Z748" s="364"/>
      <c r="AA748" s="359" t="s">
        <v>254</v>
      </c>
    </row>
    <row r="749" spans="1:27">
      <c r="A749" s="769"/>
      <c r="B749" s="769"/>
      <c r="C749" s="382" t="s">
        <v>10636</v>
      </c>
      <c r="D749" s="382" t="s">
        <v>10637</v>
      </c>
      <c r="E749" s="382" t="s">
        <v>1732</v>
      </c>
      <c r="F749" s="382" t="s">
        <v>9205</v>
      </c>
      <c r="G749" s="769"/>
      <c r="H749" s="382" t="str">
        <f t="shared" si="27"/>
        <v>SOA0043-109 - InquiryUserDefinedCodeV2.pdf.txt</v>
      </c>
      <c r="I749" s="382"/>
      <c r="J749" s="382"/>
      <c r="K749" s="382"/>
      <c r="L749" s="382"/>
      <c r="M749" s="382"/>
      <c r="N749" s="382"/>
      <c r="O749" s="382"/>
      <c r="P749" s="382"/>
      <c r="Q749" s="358" t="s">
        <v>9207</v>
      </c>
      <c r="R749" s="382"/>
      <c r="S749" s="382"/>
      <c r="T749" s="390" t="str">
        <f t="shared" ref="T749:T776" si="29">CONCATENATE(C749, " - ", D749, ".pdf")</f>
        <v>SOA0043-109 - InquiryUserDefinedCodeV2.pdf</v>
      </c>
      <c r="U749" s="391"/>
      <c r="V749" s="391"/>
      <c r="W749" s="391"/>
      <c r="X749" s="391"/>
      <c r="Y749" s="391"/>
      <c r="Z749" s="364">
        <v>45034</v>
      </c>
      <c r="AA749" s="359" t="s">
        <v>254</v>
      </c>
    </row>
    <row r="750" spans="1:27">
      <c r="A750" s="769"/>
      <c r="B750" s="769"/>
      <c r="C750" s="380" t="s">
        <v>10638</v>
      </c>
      <c r="D750" s="380" t="s">
        <v>10639</v>
      </c>
      <c r="E750" s="380" t="s">
        <v>1732</v>
      </c>
      <c r="F750" s="380" t="s">
        <v>9205</v>
      </c>
      <c r="G750" s="769"/>
      <c r="H750" s="380" t="str">
        <f t="shared" si="27"/>
        <v>SOA0043-110 - CustomerSearchById.pdf.txt</v>
      </c>
      <c r="I750" s="380"/>
      <c r="J750" s="380"/>
      <c r="K750" s="380"/>
      <c r="L750" s="380"/>
      <c r="M750" s="380"/>
      <c r="N750" s="380"/>
      <c r="O750" s="380"/>
      <c r="P750" s="380"/>
      <c r="Q750" s="358" t="s">
        <v>9207</v>
      </c>
      <c r="R750" s="380"/>
      <c r="S750" s="380"/>
      <c r="T750" s="390" t="str">
        <f t="shared" si="29"/>
        <v>SOA0043-110 - CustomerSearchById.pdf</v>
      </c>
      <c r="U750" s="391"/>
      <c r="V750" s="391"/>
      <c r="W750" s="391"/>
      <c r="X750" s="391"/>
      <c r="Y750" s="391"/>
      <c r="Z750" s="364">
        <v>45034</v>
      </c>
      <c r="AA750" s="359" t="s">
        <v>254</v>
      </c>
    </row>
    <row r="751" spans="1:27">
      <c r="A751" s="769"/>
      <c r="B751" s="769"/>
      <c r="C751" s="382" t="s">
        <v>10640</v>
      </c>
      <c r="D751" s="382" t="s">
        <v>10641</v>
      </c>
      <c r="E751" s="382" t="s">
        <v>1732</v>
      </c>
      <c r="F751" s="382" t="s">
        <v>9205</v>
      </c>
      <c r="G751" s="769"/>
      <c r="H751" s="382" t="str">
        <f t="shared" si="27"/>
        <v>SOA0043-111 - InitLinkCardAccountReq.pdf.txt</v>
      </c>
      <c r="I751" s="382"/>
      <c r="J751" s="382"/>
      <c r="K751" s="382"/>
      <c r="L751" s="382"/>
      <c r="M751" s="382"/>
      <c r="N751" s="382"/>
      <c r="O751" s="382"/>
      <c r="P751" s="382"/>
      <c r="Q751" s="358" t="s">
        <v>9207</v>
      </c>
      <c r="R751" s="382"/>
      <c r="S751" s="382"/>
      <c r="T751" s="390" t="str">
        <f t="shared" si="29"/>
        <v>SOA0043-111 - InitLinkCardAccountReq.pdf</v>
      </c>
      <c r="U751" s="391"/>
      <c r="V751" s="391"/>
      <c r="W751" s="391"/>
      <c r="X751" s="391"/>
      <c r="Y751" s="391"/>
      <c r="Z751" s="364">
        <v>45034</v>
      </c>
      <c r="AA751" s="359" t="s">
        <v>254</v>
      </c>
    </row>
    <row r="752" spans="1:27">
      <c r="A752" s="769"/>
      <c r="B752" s="769"/>
      <c r="C752" s="380" t="s">
        <v>10642</v>
      </c>
      <c r="D752" s="380" t="s">
        <v>10643</v>
      </c>
      <c r="E752" s="380" t="s">
        <v>1732</v>
      </c>
      <c r="F752" s="380" t="s">
        <v>9205</v>
      </c>
      <c r="G752" s="769"/>
      <c r="H752" s="380" t="str">
        <f t="shared" si="27"/>
        <v>SOA0043-112 - InitCreateDEPAccount.pdf.txt</v>
      </c>
      <c r="I752" s="380"/>
      <c r="J752" s="380"/>
      <c r="K752" s="380"/>
      <c r="L752" s="380"/>
      <c r="M752" s="380"/>
      <c r="N752" s="380"/>
      <c r="O752" s="380"/>
      <c r="P752" s="380"/>
      <c r="Q752" s="358" t="s">
        <v>9207</v>
      </c>
      <c r="R752" s="380"/>
      <c r="S752" s="380"/>
      <c r="T752" s="390" t="str">
        <f t="shared" si="29"/>
        <v>SOA0043-112 - InitCreateDEPAccount.pdf</v>
      </c>
      <c r="U752" s="391"/>
      <c r="V752" s="391"/>
      <c r="W752" s="391"/>
      <c r="X752" s="391"/>
      <c r="Y752" s="391"/>
      <c r="Z752" s="364">
        <v>45034</v>
      </c>
      <c r="AA752" s="359" t="s">
        <v>254</v>
      </c>
    </row>
    <row r="753" spans="1:27">
      <c r="A753" s="769"/>
      <c r="B753" s="769"/>
      <c r="C753" s="382" t="s">
        <v>10644</v>
      </c>
      <c r="D753" s="382" t="s">
        <v>10645</v>
      </c>
      <c r="E753" s="382" t="s">
        <v>1732</v>
      </c>
      <c r="F753" s="382" t="s">
        <v>9205</v>
      </c>
      <c r="G753" s="769"/>
      <c r="H753" s="382" t="str">
        <f t="shared" si="27"/>
        <v>SOA0043-113 - CreateDepositAccount.pdf.txt</v>
      </c>
      <c r="I753" s="382"/>
      <c r="J753" s="382"/>
      <c r="K753" s="382"/>
      <c r="L753" s="382"/>
      <c r="M753" s="382"/>
      <c r="N753" s="382"/>
      <c r="O753" s="382"/>
      <c r="P753" s="382"/>
      <c r="Q753" s="358" t="s">
        <v>9207</v>
      </c>
      <c r="R753" s="382"/>
      <c r="S753" s="382"/>
      <c r="T753" s="390" t="str">
        <f t="shared" si="29"/>
        <v>SOA0043-113 - CreateDepositAccount.pdf</v>
      </c>
      <c r="U753" s="391"/>
      <c r="V753" s="391"/>
      <c r="W753" s="391"/>
      <c r="X753" s="391"/>
      <c r="Y753" s="391"/>
      <c r="Z753" s="364">
        <v>45034</v>
      </c>
      <c r="AA753" s="359" t="s">
        <v>254</v>
      </c>
    </row>
    <row r="754" spans="1:27">
      <c r="A754" s="769"/>
      <c r="B754" s="769"/>
      <c r="C754" s="380" t="s">
        <v>10646</v>
      </c>
      <c r="D754" s="380" t="s">
        <v>10647</v>
      </c>
      <c r="E754" s="380" t="s">
        <v>1732</v>
      </c>
      <c r="F754" s="380" t="s">
        <v>9205</v>
      </c>
      <c r="G754" s="769"/>
      <c r="H754" s="380" t="str">
        <f t="shared" si="27"/>
        <v>SOA0043-114 - VirtualAccount_v2 - InquiryVA.pdf.txt</v>
      </c>
      <c r="I754" s="380"/>
      <c r="J754" s="380"/>
      <c r="K754" s="380"/>
      <c r="L754" s="380"/>
      <c r="M754" s="380"/>
      <c r="N754" s="380"/>
      <c r="O754" s="380"/>
      <c r="P754" s="380"/>
      <c r="Q754" s="358" t="s">
        <v>9207</v>
      </c>
      <c r="R754" s="380"/>
      <c r="S754" s="380"/>
      <c r="T754" s="390" t="str">
        <f t="shared" si="29"/>
        <v>SOA0043-114 - VirtualAccount_v2 - InquiryVA.pdf</v>
      </c>
      <c r="U754" s="391"/>
      <c r="V754" s="391"/>
      <c r="W754" s="391"/>
      <c r="X754" s="391"/>
      <c r="Y754" s="391"/>
      <c r="Z754" s="364">
        <v>45034</v>
      </c>
      <c r="AA754" s="359" t="s">
        <v>254</v>
      </c>
    </row>
    <row r="755" spans="1:27">
      <c r="A755" s="769"/>
      <c r="B755" s="769"/>
      <c r="C755" s="382" t="s">
        <v>10648</v>
      </c>
      <c r="D755" s="382" t="s">
        <v>10649</v>
      </c>
      <c r="E755" s="382" t="s">
        <v>1732</v>
      </c>
      <c r="F755" s="382" t="s">
        <v>9205</v>
      </c>
      <c r="G755" s="769"/>
      <c r="H755" s="382" t="str">
        <f t="shared" si="27"/>
        <v>SOA0043-115 - VirtualAccount_v2 - CreateVA.pdf.txt</v>
      </c>
      <c r="I755" s="382"/>
      <c r="J755" s="382"/>
      <c r="K755" s="382"/>
      <c r="L755" s="382"/>
      <c r="M755" s="382"/>
      <c r="N755" s="382"/>
      <c r="O755" s="382"/>
      <c r="P755" s="382"/>
      <c r="Q755" s="358" t="s">
        <v>9207</v>
      </c>
      <c r="R755" s="382"/>
      <c r="S755" s="382"/>
      <c r="T755" s="390" t="str">
        <f t="shared" si="29"/>
        <v>SOA0043-115 - VirtualAccount_v2 - CreateVA.pdf</v>
      </c>
      <c r="U755" s="391"/>
      <c r="V755" s="391"/>
      <c r="W755" s="391"/>
      <c r="X755" s="391"/>
      <c r="Y755" s="391"/>
      <c r="Z755" s="364">
        <v>45034</v>
      </c>
      <c r="AA755" s="359" t="s">
        <v>254</v>
      </c>
    </row>
    <row r="756" spans="1:27">
      <c r="A756" s="769"/>
      <c r="B756" s="769"/>
      <c r="C756" s="380" t="s">
        <v>10650</v>
      </c>
      <c r="D756" s="380" t="s">
        <v>10651</v>
      </c>
      <c r="E756" s="380" t="s">
        <v>1732</v>
      </c>
      <c r="F756" s="380" t="s">
        <v>9205</v>
      </c>
      <c r="G756" s="769"/>
      <c r="H756" s="380" t="str">
        <f t="shared" si="27"/>
        <v>SOA0043-116 - VirtualAccount_v2 - UpdateVA.pdf.txt</v>
      </c>
      <c r="I756" s="380"/>
      <c r="J756" s="380"/>
      <c r="K756" s="380"/>
      <c r="L756" s="380"/>
      <c r="M756" s="380"/>
      <c r="N756" s="380"/>
      <c r="O756" s="380"/>
      <c r="P756" s="380"/>
      <c r="Q756" s="358" t="s">
        <v>9207</v>
      </c>
      <c r="R756" s="380"/>
      <c r="S756" s="380"/>
      <c r="T756" s="390" t="str">
        <f t="shared" si="29"/>
        <v>SOA0043-116 - VirtualAccount_v2 - UpdateVA.pdf</v>
      </c>
      <c r="U756" s="391"/>
      <c r="V756" s="391"/>
      <c r="W756" s="391"/>
      <c r="X756" s="391"/>
      <c r="Y756" s="391"/>
      <c r="Z756" s="364">
        <v>45034</v>
      </c>
      <c r="AA756" s="359" t="s">
        <v>254</v>
      </c>
    </row>
    <row r="757" spans="1:27">
      <c r="A757" s="769"/>
      <c r="B757" s="769"/>
      <c r="C757" s="382" t="s">
        <v>10652</v>
      </c>
      <c r="D757" s="382" t="s">
        <v>10653</v>
      </c>
      <c r="E757" s="382" t="s">
        <v>1732</v>
      </c>
      <c r="F757" s="382" t="s">
        <v>9205</v>
      </c>
      <c r="G757" s="769"/>
      <c r="H757" s="382" t="str">
        <f t="shared" si="27"/>
        <v>SOA0043-117 - VirtualAccount_v2 - GetVaName.pdf.txt</v>
      </c>
      <c r="I757" s="382"/>
      <c r="J757" s="382"/>
      <c r="K757" s="382"/>
      <c r="L757" s="382"/>
      <c r="M757" s="382"/>
      <c r="N757" s="382"/>
      <c r="O757" s="382"/>
      <c r="P757" s="382"/>
      <c r="Q757" s="358" t="s">
        <v>9207</v>
      </c>
      <c r="R757" s="382"/>
      <c r="S757" s="382"/>
      <c r="T757" s="390" t="str">
        <f t="shared" si="29"/>
        <v>SOA0043-117 - VirtualAccount_v2 - GetVaName.pdf</v>
      </c>
      <c r="U757" s="391"/>
      <c r="V757" s="391"/>
      <c r="W757" s="391"/>
      <c r="X757" s="391"/>
      <c r="Y757" s="391"/>
      <c r="Z757" s="364">
        <v>45034</v>
      </c>
      <c r="AA757" s="359" t="s">
        <v>254</v>
      </c>
    </row>
    <row r="758" spans="1:27">
      <c r="A758" s="769"/>
      <c r="B758" s="769"/>
      <c r="C758" s="380" t="s">
        <v>10654</v>
      </c>
      <c r="D758" s="380" t="s">
        <v>10649</v>
      </c>
      <c r="E758" s="380" t="s">
        <v>1732</v>
      </c>
      <c r="F758" s="380" t="s">
        <v>9205</v>
      </c>
      <c r="G758" s="769"/>
      <c r="H758" s="380" t="str">
        <f t="shared" si="27"/>
        <v>SOA0043-118 - VirtualAccount_v2 - CreateVA.pdf.txt</v>
      </c>
      <c r="I758" s="380"/>
      <c r="J758" s="380"/>
      <c r="K758" s="380"/>
      <c r="L758" s="380"/>
      <c r="M758" s="380"/>
      <c r="N758" s="380"/>
      <c r="O758" s="380"/>
      <c r="P758" s="380"/>
      <c r="Q758" s="358" t="s">
        <v>9207</v>
      </c>
      <c r="R758" s="380"/>
      <c r="S758" s="380"/>
      <c r="T758" s="390" t="str">
        <f t="shared" si="29"/>
        <v>SOA0043-118 - VirtualAccount_v2 - CreateVA.pdf</v>
      </c>
      <c r="U758" s="391"/>
      <c r="V758" s="391"/>
      <c r="W758" s="391"/>
      <c r="X758" s="391"/>
      <c r="Y758" s="391"/>
      <c r="Z758" s="364">
        <v>45034</v>
      </c>
      <c r="AA758" s="359" t="s">
        <v>254</v>
      </c>
    </row>
    <row r="759" spans="1:27">
      <c r="A759" s="769"/>
      <c r="B759" s="769"/>
      <c r="C759" s="382" t="s">
        <v>10655</v>
      </c>
      <c r="D759" s="382" t="s">
        <v>10656</v>
      </c>
      <c r="E759" s="382" t="s">
        <v>1732</v>
      </c>
      <c r="F759" s="382" t="s">
        <v>9205</v>
      </c>
      <c r="G759" s="769"/>
      <c r="H759" s="382" t="str">
        <f t="shared" si="27"/>
        <v>SOA0043-119 - VirtualAccount_v2 - CreateCIDVA.pdf.txt</v>
      </c>
      <c r="I759" s="382"/>
      <c r="J759" s="382"/>
      <c r="K759" s="382"/>
      <c r="L759" s="382"/>
      <c r="M759" s="382"/>
      <c r="N759" s="382"/>
      <c r="O759" s="382"/>
      <c r="P759" s="382"/>
      <c r="Q759" s="358" t="s">
        <v>9207</v>
      </c>
      <c r="R759" s="382"/>
      <c r="S759" s="382"/>
      <c r="T759" s="390" t="str">
        <f t="shared" si="29"/>
        <v>SOA0043-119 - VirtualAccount_v2 - CreateCIDVA.pdf</v>
      </c>
      <c r="U759" s="391"/>
      <c r="V759" s="391"/>
      <c r="W759" s="391"/>
      <c r="X759" s="391"/>
      <c r="Y759" s="391"/>
      <c r="Z759" s="364">
        <v>45034</v>
      </c>
      <c r="AA759" s="359" t="s">
        <v>254</v>
      </c>
    </row>
    <row r="760" spans="1:27">
      <c r="A760" s="769"/>
      <c r="B760" s="769"/>
      <c r="C760" s="380" t="s">
        <v>10657</v>
      </c>
      <c r="D760" s="380" t="s">
        <v>10658</v>
      </c>
      <c r="E760" s="380" t="s">
        <v>1732</v>
      </c>
      <c r="F760" s="380" t="s">
        <v>9205</v>
      </c>
      <c r="G760" s="769"/>
      <c r="H760" s="380" t="str">
        <f t="shared" si="27"/>
        <v>SOA0043-120 - VirtualAccount_v2 - CreateVirtualAccount_v2.pdf.txt</v>
      </c>
      <c r="I760" s="380"/>
      <c r="J760" s="380"/>
      <c r="K760" s="380"/>
      <c r="L760" s="380"/>
      <c r="M760" s="380"/>
      <c r="N760" s="380"/>
      <c r="O760" s="380"/>
      <c r="P760" s="380"/>
      <c r="Q760" s="358" t="s">
        <v>9207</v>
      </c>
      <c r="R760" s="380"/>
      <c r="S760" s="380"/>
      <c r="T760" s="390" t="str">
        <f t="shared" si="29"/>
        <v>SOA0043-120 - VirtualAccount_v2 - CreateVirtualAccount_v2.pdf</v>
      </c>
      <c r="U760" s="391"/>
      <c r="V760" s="391"/>
      <c r="W760" s="391"/>
      <c r="X760" s="391"/>
      <c r="Y760" s="391"/>
      <c r="Z760" s="364">
        <v>45034</v>
      </c>
      <c r="AA760" s="359" t="s">
        <v>254</v>
      </c>
    </row>
    <row r="761" spans="1:27">
      <c r="A761" s="769"/>
      <c r="B761" s="769"/>
      <c r="C761" s="382" t="s">
        <v>10659</v>
      </c>
      <c r="D761" s="382" t="s">
        <v>10660</v>
      </c>
      <c r="E761" s="382" t="s">
        <v>1732</v>
      </c>
      <c r="F761" s="382" t="s">
        <v>9205</v>
      </c>
      <c r="G761" s="769"/>
      <c r="H761" s="382" t="str">
        <f t="shared" si="27"/>
        <v>SOA0043-121 - DepositTransferReversal.pdf.txt</v>
      </c>
      <c r="I761" s="382"/>
      <c r="J761" s="382"/>
      <c r="K761" s="382"/>
      <c r="L761" s="382"/>
      <c r="M761" s="382"/>
      <c r="N761" s="382"/>
      <c r="O761" s="382"/>
      <c r="P761" s="382"/>
      <c r="Q761" s="358" t="s">
        <v>9207</v>
      </c>
      <c r="R761" s="382"/>
      <c r="S761" s="382"/>
      <c r="T761" s="390" t="str">
        <f t="shared" si="29"/>
        <v>SOA0043-121 - DepositTransferReversal.pdf</v>
      </c>
      <c r="U761" s="391"/>
      <c r="V761" s="391"/>
      <c r="W761" s="391"/>
      <c r="X761" s="391"/>
      <c r="Y761" s="391"/>
      <c r="Z761" s="364">
        <v>45034</v>
      </c>
      <c r="AA761" s="359" t="s">
        <v>254</v>
      </c>
    </row>
    <row r="762" spans="1:27">
      <c r="A762" s="769"/>
      <c r="B762" s="769"/>
      <c r="C762" s="380" t="s">
        <v>10661</v>
      </c>
      <c r="D762" s="380" t="s">
        <v>10466</v>
      </c>
      <c r="E762" s="380" t="s">
        <v>1732</v>
      </c>
      <c r="F762" s="380" t="s">
        <v>9205</v>
      </c>
      <c r="G762" s="769"/>
      <c r="H762" s="380" t="str">
        <f t="shared" si="27"/>
        <v>SOA0043-122 - T048_Deposit_Transfer_-_Invalid_From_Acc.pdf.txt</v>
      </c>
      <c r="I762" s="380"/>
      <c r="J762" s="380"/>
      <c r="K762" s="380"/>
      <c r="L762" s="380"/>
      <c r="M762" s="380"/>
      <c r="N762" s="380"/>
      <c r="O762" s="380"/>
      <c r="P762" s="380"/>
      <c r="Q762" s="358" t="s">
        <v>9207</v>
      </c>
      <c r="R762" s="380"/>
      <c r="S762" s="380"/>
      <c r="T762" s="390" t="str">
        <f t="shared" si="29"/>
        <v>SOA0043-122 - T048_Deposit_Transfer_-_Invalid_From_Acc.pdf</v>
      </c>
      <c r="U762" s="391"/>
      <c r="V762" s="391"/>
      <c r="W762" s="391"/>
      <c r="X762" s="391"/>
      <c r="Y762" s="391"/>
      <c r="Z762" s="364">
        <v>45034</v>
      </c>
      <c r="AA762" s="359" t="s">
        <v>254</v>
      </c>
    </row>
    <row r="763" spans="1:27">
      <c r="A763" s="769"/>
      <c r="B763" s="769"/>
      <c r="C763" s="382" t="s">
        <v>10662</v>
      </c>
      <c r="D763" s="382" t="s">
        <v>10468</v>
      </c>
      <c r="E763" s="382" t="s">
        <v>1732</v>
      </c>
      <c r="F763" s="382" t="s">
        <v>9205</v>
      </c>
      <c r="G763" s="769"/>
      <c r="H763" s="382" t="str">
        <f t="shared" si="27"/>
        <v>SOA0043-123 - T050_Deposit_Transfer_-_Amount_More_Then_Valid_Format.pdf.txt</v>
      </c>
      <c r="I763" s="382"/>
      <c r="J763" s="382"/>
      <c r="K763" s="382"/>
      <c r="L763" s="382"/>
      <c r="M763" s="382"/>
      <c r="N763" s="382"/>
      <c r="O763" s="382"/>
      <c r="P763" s="382"/>
      <c r="Q763" s="358" t="s">
        <v>9207</v>
      </c>
      <c r="R763" s="382"/>
      <c r="S763" s="382"/>
      <c r="T763" s="390" t="str">
        <f t="shared" si="29"/>
        <v>SOA0043-123 - T050_Deposit_Transfer_-_Amount_More_Then_Valid_Format.pdf</v>
      </c>
      <c r="U763" s="391"/>
      <c r="V763" s="391"/>
      <c r="W763" s="391"/>
      <c r="X763" s="391"/>
      <c r="Y763" s="391"/>
      <c r="Z763" s="364">
        <v>45034</v>
      </c>
      <c r="AA763" s="359" t="s">
        <v>254</v>
      </c>
    </row>
    <row r="764" spans="1:27">
      <c r="A764" s="769"/>
      <c r="B764" s="769"/>
      <c r="C764" s="380" t="s">
        <v>10663</v>
      </c>
      <c r="D764" s="380" t="s">
        <v>10470</v>
      </c>
      <c r="E764" s="380" t="s">
        <v>1732</v>
      </c>
      <c r="F764" s="380" t="s">
        <v>9205</v>
      </c>
      <c r="G764" s="769"/>
      <c r="H764" s="380" t="str">
        <f t="shared" si="27"/>
        <v>SOA0043-124 - T047_Deposit_Transfer_-_Valid_Acc_customJournal.pdf.txt</v>
      </c>
      <c r="I764" s="380"/>
      <c r="J764" s="380"/>
      <c r="K764" s="380"/>
      <c r="L764" s="380"/>
      <c r="M764" s="380"/>
      <c r="N764" s="380"/>
      <c r="O764" s="380"/>
      <c r="P764" s="380"/>
      <c r="Q764" s="358" t="s">
        <v>9207</v>
      </c>
      <c r="R764" s="380"/>
      <c r="S764" s="380"/>
      <c r="T764" s="390" t="str">
        <f t="shared" si="29"/>
        <v>SOA0043-124 - T047_Deposit_Transfer_-_Valid_Acc_customJournal.pdf</v>
      </c>
      <c r="U764" s="391"/>
      <c r="V764" s="391"/>
      <c r="W764" s="391"/>
      <c r="X764" s="391"/>
      <c r="Y764" s="391"/>
      <c r="Z764" s="364">
        <v>45034</v>
      </c>
      <c r="AA764" s="359" t="s">
        <v>254</v>
      </c>
    </row>
    <row r="765" spans="1:27">
      <c r="A765" s="769"/>
      <c r="B765" s="769"/>
      <c r="C765" s="382" t="s">
        <v>10664</v>
      </c>
      <c r="D765" s="382" t="s">
        <v>10472</v>
      </c>
      <c r="E765" s="382" t="s">
        <v>1732</v>
      </c>
      <c r="F765" s="382" t="s">
        <v>9205</v>
      </c>
      <c r="G765" s="769"/>
      <c r="H765" s="382" t="str">
        <f t="shared" si="27"/>
        <v>SOA0043-125 - T047_Deposit_Transfer_-_VA.pdf.txt</v>
      </c>
      <c r="I765" s="382"/>
      <c r="J765" s="382"/>
      <c r="K765" s="382"/>
      <c r="L765" s="382"/>
      <c r="M765" s="382"/>
      <c r="N765" s="382"/>
      <c r="O765" s="382"/>
      <c r="P765" s="382"/>
      <c r="Q765" s="358" t="s">
        <v>9207</v>
      </c>
      <c r="R765" s="382"/>
      <c r="S765" s="382"/>
      <c r="T765" s="390" t="str">
        <f t="shared" si="29"/>
        <v>SOA0043-125 - T047_Deposit_Transfer_-_VA.pdf</v>
      </c>
      <c r="U765" s="391"/>
      <c r="V765" s="391"/>
      <c r="W765" s="391"/>
      <c r="X765" s="391"/>
      <c r="Y765" s="391"/>
      <c r="Z765" s="364">
        <v>45034</v>
      </c>
      <c r="AA765" s="359" t="s">
        <v>254</v>
      </c>
    </row>
    <row r="766" spans="1:27">
      <c r="A766" s="769"/>
      <c r="B766" s="769"/>
      <c r="C766" s="380" t="s">
        <v>10665</v>
      </c>
      <c r="D766" s="380" t="s">
        <v>10666</v>
      </c>
      <c r="E766" s="380" t="s">
        <v>1732</v>
      </c>
      <c r="F766" s="380" t="s">
        <v>9205</v>
      </c>
      <c r="G766" s="769"/>
      <c r="H766" s="380" t="str">
        <f t="shared" si="27"/>
        <v>SOA0043-126 - InitCreateDepositAccount.pdf.txt</v>
      </c>
      <c r="I766" s="380"/>
      <c r="J766" s="380"/>
      <c r="K766" s="380"/>
      <c r="L766" s="380"/>
      <c r="M766" s="380"/>
      <c r="N766" s="380"/>
      <c r="O766" s="380"/>
      <c r="P766" s="380"/>
      <c r="Q766" s="358" t="s">
        <v>9207</v>
      </c>
      <c r="R766" s="380"/>
      <c r="S766" s="380"/>
      <c r="T766" s="390" t="str">
        <f t="shared" si="29"/>
        <v>SOA0043-126 - InitCreateDepositAccount.pdf</v>
      </c>
      <c r="U766" s="391"/>
      <c r="V766" s="391"/>
      <c r="W766" s="391"/>
      <c r="X766" s="391"/>
      <c r="Y766" s="391"/>
      <c r="Z766" s="364">
        <v>45034</v>
      </c>
      <c r="AA766" s="359" t="s">
        <v>254</v>
      </c>
    </row>
    <row r="767" spans="1:27">
      <c r="A767" s="769"/>
      <c r="B767" s="769"/>
      <c r="C767" s="382" t="s">
        <v>10667</v>
      </c>
      <c r="D767" s="382" t="s">
        <v>10668</v>
      </c>
      <c r="E767" s="382" t="s">
        <v>1732</v>
      </c>
      <c r="F767" s="382" t="s">
        <v>9205</v>
      </c>
      <c r="G767" s="769"/>
      <c r="H767" s="382" t="str">
        <f t="shared" si="27"/>
        <v>SOA0043-127 - InitCreateDepositAccount - SOAP Request.pdf.txt</v>
      </c>
      <c r="I767" s="382"/>
      <c r="J767" s="382"/>
      <c r="K767" s="382"/>
      <c r="L767" s="382"/>
      <c r="M767" s="382"/>
      <c r="N767" s="382"/>
      <c r="O767" s="382"/>
      <c r="P767" s="382"/>
      <c r="Q767" s="358" t="s">
        <v>9207</v>
      </c>
      <c r="R767" s="382"/>
      <c r="S767" s="382"/>
      <c r="T767" s="390" t="str">
        <f t="shared" si="29"/>
        <v>SOA0043-127 - InitCreateDepositAccount - SOAP Request.pdf</v>
      </c>
      <c r="U767" s="391"/>
      <c r="V767" s="391"/>
      <c r="W767" s="391"/>
      <c r="X767" s="391"/>
      <c r="Y767" s="391"/>
      <c r="Z767" s="364">
        <v>45034</v>
      </c>
      <c r="AA767" s="359" t="s">
        <v>254</v>
      </c>
    </row>
    <row r="768" spans="1:27">
      <c r="A768" s="769"/>
      <c r="B768" s="769"/>
      <c r="C768" s="380" t="s">
        <v>10669</v>
      </c>
      <c r="D768" s="380" t="s">
        <v>10670</v>
      </c>
      <c r="E768" s="380" t="s">
        <v>1732</v>
      </c>
      <c r="F768" s="380" t="s">
        <v>9205</v>
      </c>
      <c r="G768" s="769"/>
      <c r="H768" s="380" t="str">
        <f t="shared" si="27"/>
        <v>SOA0043-128 - InitCreateDepositAccount - Taplus Muda.pdf.txt</v>
      </c>
      <c r="I768" s="380"/>
      <c r="J768" s="380"/>
      <c r="K768" s="380"/>
      <c r="L768" s="380"/>
      <c r="M768" s="380"/>
      <c r="N768" s="380"/>
      <c r="O768" s="380"/>
      <c r="P768" s="380"/>
      <c r="Q768" s="358" t="s">
        <v>9207</v>
      </c>
      <c r="R768" s="380"/>
      <c r="S768" s="380"/>
      <c r="T768" s="390" t="str">
        <f t="shared" si="29"/>
        <v>SOA0043-128 - InitCreateDepositAccount - Taplus Muda.pdf</v>
      </c>
      <c r="U768" s="391"/>
      <c r="V768" s="391"/>
      <c r="W768" s="391"/>
      <c r="X768" s="391"/>
      <c r="Y768" s="391"/>
      <c r="Z768" s="364">
        <v>45034</v>
      </c>
      <c r="AA768" s="359" t="s">
        <v>254</v>
      </c>
    </row>
    <row r="769" spans="1:27">
      <c r="A769" s="769"/>
      <c r="B769" s="769"/>
      <c r="C769" s="382" t="s">
        <v>10671</v>
      </c>
      <c r="D769" s="382" t="s">
        <v>10672</v>
      </c>
      <c r="E769" s="382" t="s">
        <v>1732</v>
      </c>
      <c r="F769" s="382" t="s">
        <v>9205</v>
      </c>
      <c r="G769" s="769"/>
      <c r="H769" s="382" t="str">
        <f t="shared" si="27"/>
        <v>SOA0043-129 - InitLinkCardAccount.pdf.txt</v>
      </c>
      <c r="I769" s="382"/>
      <c r="J769" s="382"/>
      <c r="K769" s="382"/>
      <c r="L769" s="382"/>
      <c r="M769" s="382"/>
      <c r="N769" s="382"/>
      <c r="O769" s="382"/>
      <c r="P769" s="382"/>
      <c r="Q769" s="358" t="s">
        <v>9207</v>
      </c>
      <c r="R769" s="382"/>
      <c r="S769" s="382"/>
      <c r="T769" s="390" t="str">
        <f t="shared" si="29"/>
        <v>SOA0043-129 - InitLinkCardAccount.pdf</v>
      </c>
      <c r="U769" s="391"/>
      <c r="V769" s="391"/>
      <c r="W769" s="391"/>
      <c r="X769" s="391"/>
      <c r="Y769" s="391"/>
      <c r="Z769" s="364">
        <v>45034</v>
      </c>
      <c r="AA769" s="359" t="s">
        <v>254</v>
      </c>
    </row>
    <row r="770" spans="1:27">
      <c r="A770" s="769"/>
      <c r="B770" s="769"/>
      <c r="C770" s="380" t="s">
        <v>10673</v>
      </c>
      <c r="D770" s="380" t="s">
        <v>10674</v>
      </c>
      <c r="E770" s="380" t="s">
        <v>1732</v>
      </c>
      <c r="F770" s="380" t="s">
        <v>9205</v>
      </c>
      <c r="G770" s="769"/>
      <c r="H770" s="380" t="str">
        <f t="shared" si="27"/>
        <v>SOA0043-130 - AtmCardlessDepositTransfer.pdf.txt</v>
      </c>
      <c r="I770" s="380"/>
      <c r="J770" s="380"/>
      <c r="K770" s="380"/>
      <c r="L770" s="380"/>
      <c r="M770" s="380"/>
      <c r="N770" s="380"/>
      <c r="O770" s="380"/>
      <c r="P770" s="380"/>
      <c r="Q770" s="358" t="s">
        <v>9207</v>
      </c>
      <c r="R770" s="380"/>
      <c r="S770" s="380"/>
      <c r="T770" s="390" t="str">
        <f t="shared" si="29"/>
        <v>SOA0043-130 - AtmCardlessDepositTransfer.pdf</v>
      </c>
      <c r="U770" s="391"/>
      <c r="V770" s="391"/>
      <c r="W770" s="391"/>
      <c r="X770" s="391"/>
      <c r="Y770" s="391"/>
      <c r="Z770" s="364">
        <v>45034</v>
      </c>
      <c r="AA770" s="359" t="s">
        <v>254</v>
      </c>
    </row>
    <row r="771" spans="1:27">
      <c r="A771" s="769"/>
      <c r="B771" s="769"/>
      <c r="C771" s="382" t="s">
        <v>10675</v>
      </c>
      <c r="D771" s="382" t="s">
        <v>10676</v>
      </c>
      <c r="E771" s="382" t="s">
        <v>1732</v>
      </c>
      <c r="F771" s="382" t="s">
        <v>9205</v>
      </c>
      <c r="G771" s="769"/>
      <c r="H771" s="382" t="str">
        <f t="shared" si="27"/>
        <v>SOA0043-131 - PassbookPrint.pdf.txt</v>
      </c>
      <c r="I771" s="382"/>
      <c r="J771" s="382"/>
      <c r="K771" s="382"/>
      <c r="L771" s="382"/>
      <c r="M771" s="382"/>
      <c r="N771" s="382"/>
      <c r="O771" s="382"/>
      <c r="P771" s="382"/>
      <c r="Q771" s="358" t="s">
        <v>9207</v>
      </c>
      <c r="R771" s="382"/>
      <c r="S771" s="382"/>
      <c r="T771" s="390" t="str">
        <f t="shared" si="29"/>
        <v>SOA0043-131 - PassbookPrint.pdf</v>
      </c>
      <c r="U771" s="391"/>
      <c r="V771" s="391"/>
      <c r="W771" s="391"/>
      <c r="X771" s="391"/>
      <c r="Y771" s="391"/>
      <c r="Z771" s="364">
        <v>45034</v>
      </c>
      <c r="AA771" s="359" t="s">
        <v>254</v>
      </c>
    </row>
    <row r="772" spans="1:27">
      <c r="A772" s="769"/>
      <c r="B772" s="769"/>
      <c r="C772" s="380" t="s">
        <v>10677</v>
      </c>
      <c r="D772" s="380" t="s">
        <v>10678</v>
      </c>
      <c r="E772" s="380" t="s">
        <v>1732</v>
      </c>
      <c r="F772" s="380" t="s">
        <v>9205</v>
      </c>
      <c r="G772" s="769"/>
      <c r="H772" s="380" t="str">
        <f t="shared" si="27"/>
        <v>SOA0043-132 - InquirySMSNotification.pdf.txt</v>
      </c>
      <c r="I772" s="380"/>
      <c r="J772" s="380"/>
      <c r="K772" s="380"/>
      <c r="L772" s="380"/>
      <c r="M772" s="380"/>
      <c r="N772" s="380"/>
      <c r="O772" s="380"/>
      <c r="P772" s="380"/>
      <c r="Q772" s="358" t="s">
        <v>9207</v>
      </c>
      <c r="R772" s="380"/>
      <c r="S772" s="380"/>
      <c r="T772" s="390" t="str">
        <f t="shared" si="29"/>
        <v>SOA0043-132 - InquirySMSNotification.pdf</v>
      </c>
      <c r="U772" s="391"/>
      <c r="V772" s="391"/>
      <c r="W772" s="391"/>
      <c r="X772" s="391"/>
      <c r="Y772" s="391"/>
      <c r="Z772" s="364">
        <v>45034</v>
      </c>
      <c r="AA772" s="359" t="s">
        <v>254</v>
      </c>
    </row>
    <row r="773" spans="1:27">
      <c r="A773" s="769"/>
      <c r="B773" s="769"/>
      <c r="C773" s="382" t="s">
        <v>10679</v>
      </c>
      <c r="D773" s="382" t="s">
        <v>10680</v>
      </c>
      <c r="E773" s="382" t="s">
        <v>1732</v>
      </c>
      <c r="F773" s="382" t="s">
        <v>9205</v>
      </c>
      <c r="G773" s="769"/>
      <c r="H773" s="382" t="str">
        <f t="shared" si="27"/>
        <v>SOA0043-133 - InitChangeOwnershipCard.pdf.txt</v>
      </c>
      <c r="I773" s="382"/>
      <c r="J773" s="382"/>
      <c r="K773" s="382"/>
      <c r="L773" s="382"/>
      <c r="M773" s="382"/>
      <c r="N773" s="382"/>
      <c r="O773" s="382"/>
      <c r="P773" s="382"/>
      <c r="Q773" s="358" t="s">
        <v>9207</v>
      </c>
      <c r="R773" s="382"/>
      <c r="S773" s="382"/>
      <c r="T773" s="390" t="str">
        <f t="shared" si="29"/>
        <v>SOA0043-133 - InitChangeOwnershipCard.pdf</v>
      </c>
      <c r="U773" s="391"/>
      <c r="V773" s="391"/>
      <c r="W773" s="391"/>
      <c r="X773" s="391"/>
      <c r="Y773" s="391"/>
      <c r="Z773" s="364">
        <v>45034</v>
      </c>
      <c r="AA773" s="359" t="s">
        <v>254</v>
      </c>
    </row>
    <row r="774" spans="1:27">
      <c r="A774" s="769"/>
      <c r="B774" s="769"/>
      <c r="C774" s="380" t="s">
        <v>10681</v>
      </c>
      <c r="D774" s="380" t="s">
        <v>10682</v>
      </c>
      <c r="E774" s="380" t="s">
        <v>1732</v>
      </c>
      <c r="F774" s="380" t="s">
        <v>9205</v>
      </c>
      <c r="G774" s="769"/>
      <c r="H774" s="380" t="str">
        <f t="shared" si="27"/>
        <v>SOA0043-134 - ChangeOwnershipCard.pdf.txt</v>
      </c>
      <c r="I774" s="380"/>
      <c r="J774" s="380"/>
      <c r="K774" s="380"/>
      <c r="L774" s="380"/>
      <c r="M774" s="380"/>
      <c r="N774" s="380"/>
      <c r="O774" s="380"/>
      <c r="P774" s="380"/>
      <c r="Q774" s="358" t="s">
        <v>9207</v>
      </c>
      <c r="R774" s="380"/>
      <c r="S774" s="380"/>
      <c r="T774" s="390" t="str">
        <f t="shared" si="29"/>
        <v>SOA0043-134 - ChangeOwnershipCard.pdf</v>
      </c>
      <c r="U774" s="391"/>
      <c r="V774" s="391"/>
      <c r="W774" s="391"/>
      <c r="X774" s="391"/>
      <c r="Y774" s="391"/>
      <c r="Z774" s="364">
        <v>45034</v>
      </c>
      <c r="AA774" s="359" t="s">
        <v>254</v>
      </c>
    </row>
    <row r="775" spans="1:27">
      <c r="A775" s="769"/>
      <c r="B775" s="769"/>
      <c r="C775" s="382" t="s">
        <v>10683</v>
      </c>
      <c r="D775" s="382" t="s">
        <v>10684</v>
      </c>
      <c r="E775" s="382" t="s">
        <v>1732</v>
      </c>
      <c r="F775" s="382" t="s">
        <v>9205</v>
      </c>
      <c r="G775" s="769"/>
      <c r="H775" s="382" t="str">
        <f t="shared" si="27"/>
        <v>SOA0043-135 - InquiryCustJobDetails.pdf.txt</v>
      </c>
      <c r="I775" s="382"/>
      <c r="J775" s="382"/>
      <c r="K775" s="382"/>
      <c r="L775" s="382"/>
      <c r="M775" s="382"/>
      <c r="N775" s="382"/>
      <c r="O775" s="382"/>
      <c r="P775" s="382"/>
      <c r="Q775" s="358" t="s">
        <v>9207</v>
      </c>
      <c r="R775" s="382"/>
      <c r="S775" s="382"/>
      <c r="T775" s="390" t="str">
        <f t="shared" si="29"/>
        <v>SOA0043-135 - InquiryCustJobDetails.pdf</v>
      </c>
      <c r="U775" s="391"/>
      <c r="V775" s="391"/>
      <c r="W775" s="391"/>
      <c r="X775" s="391"/>
      <c r="Y775" s="391"/>
      <c r="Z775" s="364">
        <v>45034</v>
      </c>
      <c r="AA775" s="359" t="s">
        <v>254</v>
      </c>
    </row>
    <row r="776" spans="1:27">
      <c r="A776" s="769"/>
      <c r="B776" s="769"/>
      <c r="C776" s="380" t="s">
        <v>10685</v>
      </c>
      <c r="D776" s="380" t="s">
        <v>10686</v>
      </c>
      <c r="E776" s="380" t="s">
        <v>1732</v>
      </c>
      <c r="F776" s="380" t="s">
        <v>9205</v>
      </c>
      <c r="G776" s="769"/>
      <c r="H776" s="380" t="str">
        <f t="shared" si="27"/>
        <v>SOA0043-136 - UpdateBeneficiaryOwner/ UpdateCustJobDetail.pdf.txt</v>
      </c>
      <c r="I776" s="380"/>
      <c r="J776" s="380"/>
      <c r="K776" s="380"/>
      <c r="L776" s="380"/>
      <c r="M776" s="380"/>
      <c r="N776" s="380"/>
      <c r="O776" s="380"/>
      <c r="P776" s="380"/>
      <c r="Q776" s="358" t="s">
        <v>9207</v>
      </c>
      <c r="R776" s="380"/>
      <c r="S776" s="380"/>
      <c r="T776" s="390" t="str">
        <f t="shared" si="29"/>
        <v>SOA0043-136 - UpdateBeneficiaryOwner/ UpdateCustJobDetail.pdf</v>
      </c>
      <c r="U776" s="391"/>
      <c r="V776" s="391"/>
      <c r="W776" s="391"/>
      <c r="X776" s="391"/>
      <c r="Y776" s="391"/>
      <c r="Z776" s="364">
        <v>45034</v>
      </c>
      <c r="AA776" s="359" t="s">
        <v>254</v>
      </c>
    </row>
    <row r="777" spans="1:27">
      <c r="A777" s="731" t="s">
        <v>10255</v>
      </c>
      <c r="B777" s="731" t="s">
        <v>10256</v>
      </c>
      <c r="C777" s="357" t="s">
        <v>10257</v>
      </c>
      <c r="D777" s="357" t="s">
        <v>10258</v>
      </c>
      <c r="E777" s="357" t="s">
        <v>1732</v>
      </c>
      <c r="F777" s="357" t="s">
        <v>9205</v>
      </c>
      <c r="G777" s="723" t="s">
        <v>9303</v>
      </c>
      <c r="H777" s="357"/>
      <c r="I777" s="357"/>
      <c r="J777" s="357"/>
      <c r="K777" s="357"/>
      <c r="L777" s="357"/>
      <c r="M777" s="357"/>
      <c r="N777" s="357"/>
      <c r="O777" s="357"/>
      <c r="P777" s="357"/>
      <c r="Q777" s="358" t="s">
        <v>9207</v>
      </c>
      <c r="R777" s="357"/>
      <c r="S777" s="357"/>
      <c r="T777" s="377" t="str">
        <f t="shared" ref="T777:T786" si="30">CONCATENATE(C777, " - ", D777)</f>
        <v>SOA0038-001 - ActivationCard (linked card)</v>
      </c>
      <c r="U777" s="359"/>
      <c r="V777" s="359"/>
      <c r="W777" s="359"/>
      <c r="X777" s="359"/>
      <c r="Y777" s="359"/>
      <c r="Z777" s="364">
        <v>45033</v>
      </c>
      <c r="AA777" s="359" t="s">
        <v>254</v>
      </c>
    </row>
    <row r="778" spans="1:27">
      <c r="A778" s="769"/>
      <c r="B778" s="769"/>
      <c r="C778" s="361" t="s">
        <v>10259</v>
      </c>
      <c r="D778" s="361" t="s">
        <v>10260</v>
      </c>
      <c r="E778" s="361" t="s">
        <v>1732</v>
      </c>
      <c r="F778" s="361" t="s">
        <v>9205</v>
      </c>
      <c r="G778" s="769"/>
      <c r="H778" s="361"/>
      <c r="I778" s="361"/>
      <c r="J778" s="361"/>
      <c r="K778" s="361"/>
      <c r="L778" s="361"/>
      <c r="M778" s="361"/>
      <c r="N778" s="361"/>
      <c r="O778" s="361"/>
      <c r="P778" s="361"/>
      <c r="Q778" s="358" t="s">
        <v>9207</v>
      </c>
      <c r="R778" s="361"/>
      <c r="S778" s="361"/>
      <c r="T778" s="377" t="str">
        <f t="shared" si="30"/>
        <v>SOA0038-002 - InitActivationCard</v>
      </c>
      <c r="U778" s="359"/>
      <c r="V778" s="359"/>
      <c r="W778" s="359"/>
      <c r="X778" s="359"/>
      <c r="Y778" s="359"/>
      <c r="Z778" s="364">
        <v>45033</v>
      </c>
      <c r="AA778" s="359" t="s">
        <v>254</v>
      </c>
    </row>
    <row r="779" spans="1:27">
      <c r="A779" s="769"/>
      <c r="B779" s="769"/>
      <c r="C779" s="357" t="s">
        <v>10261</v>
      </c>
      <c r="D779" s="357" t="s">
        <v>10262</v>
      </c>
      <c r="E779" s="357" t="s">
        <v>1732</v>
      </c>
      <c r="F779" s="357" t="s">
        <v>9205</v>
      </c>
      <c r="G779" s="769"/>
      <c r="H779" s="357"/>
      <c r="I779" s="357"/>
      <c r="J779" s="357"/>
      <c r="K779" s="357"/>
      <c r="L779" s="357"/>
      <c r="M779" s="357"/>
      <c r="N779" s="357"/>
      <c r="O779" s="357"/>
      <c r="P779" s="357"/>
      <c r="Q779" s="358" t="s">
        <v>9207</v>
      </c>
      <c r="R779" s="357"/>
      <c r="S779" s="357"/>
      <c r="T779" s="377" t="str">
        <f t="shared" si="30"/>
        <v>SOA0038-003 - AtmBillPayment</v>
      </c>
      <c r="U779" s="359"/>
      <c r="V779" s="359"/>
      <c r="W779" s="359"/>
      <c r="X779" s="359"/>
      <c r="Y779" s="359"/>
      <c r="Z779" s="364">
        <v>45033</v>
      </c>
      <c r="AA779" s="359" t="s">
        <v>254</v>
      </c>
    </row>
    <row r="780" spans="1:27">
      <c r="A780" s="769"/>
      <c r="B780" s="769"/>
      <c r="C780" s="361" t="s">
        <v>10263</v>
      </c>
      <c r="D780" s="361" t="s">
        <v>10264</v>
      </c>
      <c r="E780" s="361" t="s">
        <v>1732</v>
      </c>
      <c r="F780" s="361" t="s">
        <v>9205</v>
      </c>
      <c r="G780" s="769"/>
      <c r="H780" s="361"/>
      <c r="I780" s="361"/>
      <c r="J780" s="361"/>
      <c r="K780" s="361"/>
      <c r="L780" s="361"/>
      <c r="M780" s="361"/>
      <c r="N780" s="361"/>
      <c r="O780" s="361"/>
      <c r="P780" s="361"/>
      <c r="Q780" s="358" t="s">
        <v>9207</v>
      </c>
      <c r="R780" s="361"/>
      <c r="S780" s="361"/>
      <c r="T780" s="377" t="str">
        <f t="shared" si="30"/>
        <v>SOA0038-004 - AtmBillPaymentReversal</v>
      </c>
      <c r="U780" s="359"/>
      <c r="V780" s="359"/>
      <c r="W780" s="359"/>
      <c r="X780" s="359"/>
      <c r="Y780" s="359"/>
      <c r="Z780" s="364">
        <v>45033</v>
      </c>
      <c r="AA780" s="359" t="s">
        <v>254</v>
      </c>
    </row>
    <row r="781" spans="1:27">
      <c r="A781" s="769"/>
      <c r="B781" s="769"/>
      <c r="C781" s="357" t="s">
        <v>10265</v>
      </c>
      <c r="D781" s="357" t="s">
        <v>10266</v>
      </c>
      <c r="E781" s="357" t="s">
        <v>1732</v>
      </c>
      <c r="F781" s="357" t="s">
        <v>9205</v>
      </c>
      <c r="G781" s="769"/>
      <c r="H781" s="357"/>
      <c r="I781" s="357"/>
      <c r="J781" s="357"/>
      <c r="K781" s="357"/>
      <c r="L781" s="357"/>
      <c r="M781" s="357"/>
      <c r="N781" s="357"/>
      <c r="O781" s="357"/>
      <c r="P781" s="357"/>
      <c r="Q781" s="358" t="s">
        <v>9207</v>
      </c>
      <c r="R781" s="357"/>
      <c r="S781" s="357"/>
      <c r="T781" s="377" t="str">
        <f t="shared" si="30"/>
        <v>SOA0038-005 - BillingPaymentBigAmount</v>
      </c>
      <c r="U781" s="359"/>
      <c r="V781" s="359"/>
      <c r="W781" s="359"/>
      <c r="X781" s="359"/>
      <c r="Y781" s="359"/>
      <c r="Z781" s="364">
        <v>45033</v>
      </c>
      <c r="AA781" s="359" t="s">
        <v>254</v>
      </c>
    </row>
    <row r="782" spans="1:27">
      <c r="A782" s="769"/>
      <c r="B782" s="769"/>
      <c r="C782" s="361" t="s">
        <v>10267</v>
      </c>
      <c r="D782" s="361" t="s">
        <v>10268</v>
      </c>
      <c r="E782" s="361" t="s">
        <v>1732</v>
      </c>
      <c r="F782" s="361" t="s">
        <v>9205</v>
      </c>
      <c r="G782" s="769"/>
      <c r="H782" s="361"/>
      <c r="I782" s="361"/>
      <c r="J782" s="361"/>
      <c r="K782" s="361"/>
      <c r="L782" s="361"/>
      <c r="M782" s="361"/>
      <c r="N782" s="361"/>
      <c r="O782" s="361"/>
      <c r="P782" s="361"/>
      <c r="Q782" s="358" t="s">
        <v>9207</v>
      </c>
      <c r="R782" s="361"/>
      <c r="S782" s="361"/>
      <c r="T782" s="377" t="str">
        <f t="shared" si="30"/>
        <v>SOA0038-006 - BillingPaymentBigAmount Reversal</v>
      </c>
      <c r="U782" s="359"/>
      <c r="V782" s="359"/>
      <c r="W782" s="359"/>
      <c r="X782" s="359"/>
      <c r="Y782" s="359"/>
      <c r="Z782" s="364">
        <v>45033</v>
      </c>
      <c r="AA782" s="359" t="s">
        <v>254</v>
      </c>
    </row>
    <row r="783" spans="1:27">
      <c r="A783" s="769"/>
      <c r="B783" s="769"/>
      <c r="C783" s="357" t="s">
        <v>10269</v>
      </c>
      <c r="D783" s="357" t="s">
        <v>10270</v>
      </c>
      <c r="E783" s="357" t="s">
        <v>1732</v>
      </c>
      <c r="F783" s="357" t="s">
        <v>9205</v>
      </c>
      <c r="G783" s="769"/>
      <c r="H783" s="357"/>
      <c r="I783" s="357"/>
      <c r="J783" s="357"/>
      <c r="K783" s="357"/>
      <c r="L783" s="357"/>
      <c r="M783" s="357"/>
      <c r="N783" s="357"/>
      <c r="O783" s="357"/>
      <c r="P783" s="357"/>
      <c r="Q783" s="358" t="s">
        <v>9207</v>
      </c>
      <c r="R783" s="357"/>
      <c r="S783" s="357"/>
      <c r="T783" s="377" t="str">
        <f t="shared" si="30"/>
        <v>SOA0038-007 - CreateUpdateSMSNotification</v>
      </c>
      <c r="U783" s="359"/>
      <c r="V783" s="359"/>
      <c r="W783" s="359"/>
      <c r="X783" s="359"/>
      <c r="Y783" s="359"/>
      <c r="Z783" s="364">
        <v>45033</v>
      </c>
      <c r="AA783" s="359" t="s">
        <v>254</v>
      </c>
    </row>
    <row r="784" spans="1:27">
      <c r="A784" s="769"/>
      <c r="B784" s="769"/>
      <c r="C784" s="361" t="s">
        <v>10271</v>
      </c>
      <c r="D784" s="361" t="s">
        <v>10272</v>
      </c>
      <c r="E784" s="361" t="s">
        <v>1732</v>
      </c>
      <c r="F784" s="361" t="s">
        <v>9205</v>
      </c>
      <c r="G784" s="769"/>
      <c r="H784" s="361"/>
      <c r="I784" s="361"/>
      <c r="J784" s="361"/>
      <c r="K784" s="361"/>
      <c r="L784" s="361"/>
      <c r="M784" s="361"/>
      <c r="N784" s="361"/>
      <c r="O784" s="361"/>
      <c r="P784" s="361"/>
      <c r="Q784" s="358" t="s">
        <v>9207</v>
      </c>
      <c r="R784" s="361"/>
      <c r="S784" s="361"/>
      <c r="T784" s="377" t="str">
        <f t="shared" si="30"/>
        <v>SOA0038-008 - DepTrxInquiry</v>
      </c>
      <c r="U784" s="359"/>
      <c r="V784" s="359"/>
      <c r="W784" s="359"/>
      <c r="X784" s="359"/>
      <c r="Y784" s="359"/>
      <c r="Z784" s="364">
        <v>45033</v>
      </c>
      <c r="AA784" s="359" t="s">
        <v>254</v>
      </c>
    </row>
    <row r="785" spans="1:27">
      <c r="A785" s="769"/>
      <c r="B785" s="769"/>
      <c r="C785" s="357" t="s">
        <v>10273</v>
      </c>
      <c r="D785" s="357" t="s">
        <v>10274</v>
      </c>
      <c r="E785" s="357" t="s">
        <v>1732</v>
      </c>
      <c r="F785" s="357" t="s">
        <v>9205</v>
      </c>
      <c r="G785" s="769"/>
      <c r="H785" s="357"/>
      <c r="I785" s="357"/>
      <c r="J785" s="357"/>
      <c r="K785" s="357"/>
      <c r="L785" s="357"/>
      <c r="M785" s="357"/>
      <c r="N785" s="357"/>
      <c r="O785" s="357"/>
      <c r="P785" s="357"/>
      <c r="Q785" s="358" t="s">
        <v>9207</v>
      </c>
      <c r="R785" s="357"/>
      <c r="S785" s="357"/>
      <c r="T785" s="377" t="str">
        <f t="shared" si="30"/>
        <v>SOA0038-009 - GetPersonalInfo</v>
      </c>
      <c r="U785" s="359"/>
      <c r="V785" s="359"/>
      <c r="W785" s="359"/>
      <c r="X785" s="359"/>
      <c r="Y785" s="359"/>
      <c r="Z785" s="364">
        <v>45033</v>
      </c>
      <c r="AA785" s="359" t="s">
        <v>254</v>
      </c>
    </row>
    <row r="786" spans="1:27">
      <c r="A786" s="769"/>
      <c r="B786" s="769"/>
      <c r="C786" s="361" t="s">
        <v>10275</v>
      </c>
      <c r="D786" s="361" t="s">
        <v>10276</v>
      </c>
      <c r="E786" s="361" t="s">
        <v>1732</v>
      </c>
      <c r="F786" s="361" t="s">
        <v>9205</v>
      </c>
      <c r="G786" s="769"/>
      <c r="H786" s="361"/>
      <c r="I786" s="361"/>
      <c r="J786" s="361"/>
      <c r="K786" s="361"/>
      <c r="L786" s="361"/>
      <c r="M786" s="361"/>
      <c r="N786" s="361"/>
      <c r="O786" s="361"/>
      <c r="P786" s="361"/>
      <c r="Q786" s="358" t="s">
        <v>9207</v>
      </c>
      <c r="R786" s="361"/>
      <c r="S786" s="361"/>
      <c r="T786" s="377" t="str">
        <f t="shared" si="30"/>
        <v>SOA0038-010 - GetVirtualAccountName</v>
      </c>
      <c r="U786" s="359"/>
      <c r="V786" s="359"/>
      <c r="W786" s="359"/>
      <c r="X786" s="359"/>
      <c r="Y786" s="359"/>
      <c r="Z786" s="364">
        <v>45033</v>
      </c>
      <c r="AA786" s="359" t="s">
        <v>254</v>
      </c>
    </row>
    <row r="787" spans="1:27">
      <c r="A787" s="769"/>
      <c r="B787" s="769"/>
      <c r="C787" s="357" t="s">
        <v>10277</v>
      </c>
      <c r="D787" s="357" t="s">
        <v>10278</v>
      </c>
      <c r="E787" s="357" t="s">
        <v>1732</v>
      </c>
      <c r="F787" s="357" t="s">
        <v>9205</v>
      </c>
      <c r="G787" s="769"/>
      <c r="H787" s="357"/>
      <c r="I787" s="357"/>
      <c r="J787" s="357"/>
      <c r="K787" s="357"/>
      <c r="L787" s="357"/>
      <c r="M787" s="357"/>
      <c r="N787" s="357"/>
      <c r="O787" s="357"/>
      <c r="P787" s="357"/>
      <c r="Q787" s="241" t="s">
        <v>7371</v>
      </c>
      <c r="R787" s="357"/>
      <c r="S787" s="357"/>
      <c r="T787" s="377"/>
      <c r="U787" s="359"/>
      <c r="V787" s="359"/>
      <c r="W787" s="359"/>
      <c r="X787" s="359"/>
      <c r="Y787" s="359"/>
      <c r="Z787" s="364"/>
      <c r="AA787" s="359"/>
    </row>
    <row r="788" spans="1:27">
      <c r="A788" s="769"/>
      <c r="B788" s="769"/>
      <c r="C788" s="361" t="s">
        <v>10279</v>
      </c>
      <c r="D788" s="361" t="s">
        <v>10280</v>
      </c>
      <c r="E788" s="361" t="s">
        <v>1732</v>
      </c>
      <c r="F788" s="361" t="s">
        <v>9205</v>
      </c>
      <c r="G788" s="769"/>
      <c r="H788" s="361"/>
      <c r="I788" s="361"/>
      <c r="J788" s="361"/>
      <c r="K788" s="361"/>
      <c r="L788" s="361"/>
      <c r="M788" s="361"/>
      <c r="N788" s="361"/>
      <c r="O788" s="361"/>
      <c r="P788" s="361"/>
      <c r="Q788" s="241" t="s">
        <v>7371</v>
      </c>
      <c r="R788" s="361"/>
      <c r="S788" s="361"/>
      <c r="T788" s="377"/>
      <c r="U788" s="359"/>
      <c r="V788" s="359"/>
      <c r="W788" s="359"/>
      <c r="X788" s="359"/>
      <c r="Y788" s="359"/>
      <c r="Z788" s="364"/>
      <c r="AA788" s="359"/>
    </row>
    <row r="789" spans="1:27">
      <c r="A789" s="769"/>
      <c r="B789" s="769"/>
      <c r="C789" s="357" t="s">
        <v>10281</v>
      </c>
      <c r="D789" s="357" t="s">
        <v>10282</v>
      </c>
      <c r="E789" s="357" t="s">
        <v>1732</v>
      </c>
      <c r="F789" s="357" t="s">
        <v>9205</v>
      </c>
      <c r="G789" s="769"/>
      <c r="H789" s="357"/>
      <c r="I789" s="357"/>
      <c r="J789" s="357"/>
      <c r="K789" s="357"/>
      <c r="L789" s="357"/>
      <c r="M789" s="357"/>
      <c r="N789" s="357"/>
      <c r="O789" s="357"/>
      <c r="P789" s="357"/>
      <c r="Q789" s="358" t="s">
        <v>9207</v>
      </c>
      <c r="R789" s="357"/>
      <c r="S789" s="357"/>
      <c r="T789" s="377" t="str">
        <f t="shared" ref="T789:T793" si="31">CONCATENATE(C789, " - ", D789)</f>
        <v>SOA0038-013 - InitCreateILAAccount</v>
      </c>
      <c r="U789" s="359"/>
      <c r="V789" s="359"/>
      <c r="W789" s="359"/>
      <c r="X789" s="359"/>
      <c r="Y789" s="359"/>
      <c r="Z789" s="364">
        <v>45033</v>
      </c>
      <c r="AA789" s="359" t="s">
        <v>254</v>
      </c>
    </row>
    <row r="790" spans="1:27">
      <c r="A790" s="769"/>
      <c r="B790" s="769"/>
      <c r="C790" s="361" t="s">
        <v>10283</v>
      </c>
      <c r="D790" s="361" t="s">
        <v>10284</v>
      </c>
      <c r="E790" s="361" t="s">
        <v>1732</v>
      </c>
      <c r="F790" s="361" t="s">
        <v>9205</v>
      </c>
      <c r="G790" s="769"/>
      <c r="H790" s="361"/>
      <c r="I790" s="361"/>
      <c r="J790" s="361"/>
      <c r="K790" s="361"/>
      <c r="L790" s="361"/>
      <c r="M790" s="361"/>
      <c r="N790" s="361"/>
      <c r="O790" s="361"/>
      <c r="P790" s="361"/>
      <c r="Q790" s="358" t="s">
        <v>9207</v>
      </c>
      <c r="R790" s="361"/>
      <c r="S790" s="361"/>
      <c r="T790" s="377" t="str">
        <f t="shared" si="31"/>
        <v>SOA0038-014 - Ping</v>
      </c>
      <c r="U790" s="359"/>
      <c r="V790" s="359"/>
      <c r="W790" s="359"/>
      <c r="X790" s="359"/>
      <c r="Y790" s="359"/>
      <c r="Z790" s="364">
        <v>45033</v>
      </c>
      <c r="AA790" s="359" t="s">
        <v>254</v>
      </c>
    </row>
    <row r="791" spans="1:27">
      <c r="A791" s="769"/>
      <c r="B791" s="769"/>
      <c r="C791" s="357" t="s">
        <v>10285</v>
      </c>
      <c r="D791" s="357" t="s">
        <v>10286</v>
      </c>
      <c r="E791" s="357" t="s">
        <v>1732</v>
      </c>
      <c r="F791" s="357" t="s">
        <v>9205</v>
      </c>
      <c r="G791" s="769"/>
      <c r="H791" s="357"/>
      <c r="I791" s="357"/>
      <c r="J791" s="357"/>
      <c r="K791" s="357"/>
      <c r="L791" s="357"/>
      <c r="M791" s="357"/>
      <c r="N791" s="357"/>
      <c r="O791" s="357"/>
      <c r="P791" s="357"/>
      <c r="Q791" s="358" t="s">
        <v>9207</v>
      </c>
      <c r="R791" s="357"/>
      <c r="S791" s="357"/>
      <c r="T791" s="377" t="str">
        <f t="shared" si="31"/>
        <v>SOA0038-015 - KliringOutwardv2</v>
      </c>
      <c r="U791" s="359"/>
      <c r="V791" s="359"/>
      <c r="W791" s="359"/>
      <c r="X791" s="359"/>
      <c r="Y791" s="359"/>
      <c r="Z791" s="364">
        <v>45033</v>
      </c>
      <c r="AA791" s="359" t="s">
        <v>254</v>
      </c>
    </row>
    <row r="792" spans="1:27">
      <c r="A792" s="769"/>
      <c r="B792" s="769"/>
      <c r="C792" s="361" t="s">
        <v>10287</v>
      </c>
      <c r="D792" s="361" t="s">
        <v>10288</v>
      </c>
      <c r="E792" s="361" t="s">
        <v>1732</v>
      </c>
      <c r="F792" s="361" t="s">
        <v>9205</v>
      </c>
      <c r="G792" s="769"/>
      <c r="H792" s="361"/>
      <c r="I792" s="361"/>
      <c r="J792" s="361"/>
      <c r="K792" s="361"/>
      <c r="L792" s="361"/>
      <c r="M792" s="361"/>
      <c r="N792" s="361"/>
      <c r="O792" s="361"/>
      <c r="P792" s="361"/>
      <c r="Q792" s="358" t="s">
        <v>9207</v>
      </c>
      <c r="R792" s="361"/>
      <c r="S792" s="361"/>
      <c r="T792" s="377" t="str">
        <f t="shared" si="31"/>
        <v>SOA0038-016 - OpenDepositAccListByBalance</v>
      </c>
      <c r="U792" s="359"/>
      <c r="V792" s="359"/>
      <c r="W792" s="359"/>
      <c r="X792" s="359"/>
      <c r="Y792" s="359"/>
      <c r="Z792" s="364">
        <v>45033</v>
      </c>
      <c r="AA792" s="359" t="s">
        <v>254</v>
      </c>
    </row>
    <row r="793" spans="1:27">
      <c r="A793" s="769"/>
      <c r="B793" s="769"/>
      <c r="C793" s="357" t="s">
        <v>10289</v>
      </c>
      <c r="D793" s="357" t="s">
        <v>10290</v>
      </c>
      <c r="E793" s="357" t="s">
        <v>1732</v>
      </c>
      <c r="F793" s="357" t="s">
        <v>9205</v>
      </c>
      <c r="G793" s="769"/>
      <c r="H793" s="357"/>
      <c r="I793" s="357"/>
      <c r="J793" s="357"/>
      <c r="K793" s="357"/>
      <c r="L793" s="357"/>
      <c r="M793" s="357"/>
      <c r="N793" s="357"/>
      <c r="O793" s="357"/>
      <c r="P793" s="357"/>
      <c r="Q793" s="358" t="s">
        <v>9207</v>
      </c>
      <c r="R793" s="357"/>
      <c r="S793" s="357"/>
      <c r="T793" s="377" t="str">
        <f t="shared" si="31"/>
        <v>SOA0038-017 - TermDepositRateInquiry</v>
      </c>
      <c r="U793" s="359"/>
      <c r="V793" s="359"/>
      <c r="W793" s="359"/>
      <c r="X793" s="359"/>
      <c r="Y793" s="359"/>
      <c r="Z793" s="364">
        <v>45033</v>
      </c>
      <c r="AA793" s="359" t="s">
        <v>254</v>
      </c>
    </row>
    <row r="794" spans="1:27">
      <c r="A794" s="769"/>
      <c r="B794" s="769"/>
      <c r="C794" s="361" t="s">
        <v>10291</v>
      </c>
      <c r="D794" s="361" t="s">
        <v>10292</v>
      </c>
      <c r="E794" s="361" t="s">
        <v>1732</v>
      </c>
      <c r="F794" s="361" t="s">
        <v>9205</v>
      </c>
      <c r="G794" s="769"/>
      <c r="H794" s="361"/>
      <c r="I794" s="361"/>
      <c r="J794" s="361"/>
      <c r="K794" s="361"/>
      <c r="L794" s="361"/>
      <c r="M794" s="361"/>
      <c r="N794" s="361"/>
      <c r="O794" s="361"/>
      <c r="P794" s="361"/>
      <c r="Q794" s="241" t="s">
        <v>7371</v>
      </c>
      <c r="R794" s="361"/>
      <c r="S794" s="361"/>
      <c r="T794" s="377"/>
      <c r="U794" s="359"/>
      <c r="V794" s="359"/>
      <c r="W794" s="359"/>
      <c r="X794" s="359"/>
      <c r="Y794" s="359"/>
      <c r="Z794" s="364"/>
      <c r="AA794" s="359"/>
    </row>
    <row r="795" spans="1:27">
      <c r="A795" s="769"/>
      <c r="B795" s="769"/>
      <c r="C795" s="357" t="s">
        <v>10293</v>
      </c>
      <c r="D795" s="357" t="s">
        <v>10294</v>
      </c>
      <c r="E795" s="357" t="s">
        <v>1732</v>
      </c>
      <c r="F795" s="357" t="s">
        <v>9205</v>
      </c>
      <c r="G795" s="769"/>
      <c r="H795" s="357"/>
      <c r="I795" s="357"/>
      <c r="J795" s="357"/>
      <c r="K795" s="357"/>
      <c r="L795" s="357"/>
      <c r="M795" s="357"/>
      <c r="N795" s="357"/>
      <c r="O795" s="357"/>
      <c r="P795" s="357"/>
      <c r="Q795" s="358" t="s">
        <v>9207</v>
      </c>
      <c r="R795" s="357"/>
      <c r="S795" s="357"/>
      <c r="T795" s="377" t="str">
        <f t="shared" ref="T795:T804" si="32">CONCATENATE(C795, " - ", D795)</f>
        <v>SOA0038-019 - XRateParamUpdate</v>
      </c>
      <c r="U795" s="359"/>
      <c r="V795" s="359"/>
      <c r="W795" s="359"/>
      <c r="X795" s="359"/>
      <c r="Y795" s="359"/>
      <c r="Z795" s="364">
        <v>45033</v>
      </c>
      <c r="AA795" s="359" t="s">
        <v>254</v>
      </c>
    </row>
    <row r="796" spans="1:27">
      <c r="A796" s="769"/>
      <c r="B796" s="769"/>
      <c r="C796" s="361" t="s">
        <v>10295</v>
      </c>
      <c r="D796" s="361" t="s">
        <v>10296</v>
      </c>
      <c r="E796" s="361" t="s">
        <v>1732</v>
      </c>
      <c r="F796" s="361" t="s">
        <v>9205</v>
      </c>
      <c r="G796" s="769"/>
      <c r="H796" s="361"/>
      <c r="I796" s="361"/>
      <c r="J796" s="361"/>
      <c r="K796" s="361"/>
      <c r="L796" s="361"/>
      <c r="M796" s="361"/>
      <c r="N796" s="361"/>
      <c r="O796" s="361"/>
      <c r="P796" s="361"/>
      <c r="Q796" s="358" t="s">
        <v>9207</v>
      </c>
      <c r="R796" s="361"/>
      <c r="S796" s="361"/>
      <c r="T796" s="377" t="str">
        <f t="shared" si="32"/>
        <v>SOA0038-020 - S06Inquiry</v>
      </c>
      <c r="U796" s="359"/>
      <c r="V796" s="359"/>
      <c r="W796" s="359"/>
      <c r="X796" s="359"/>
      <c r="Y796" s="359"/>
      <c r="Z796" s="364">
        <v>45033</v>
      </c>
      <c r="AA796" s="359" t="s">
        <v>254</v>
      </c>
    </row>
    <row r="797" spans="1:27">
      <c r="A797" s="769"/>
      <c r="B797" s="769"/>
      <c r="C797" s="357" t="s">
        <v>10297</v>
      </c>
      <c r="D797" s="357" t="s">
        <v>10298</v>
      </c>
      <c r="E797" s="357" t="s">
        <v>1732</v>
      </c>
      <c r="F797" s="357" t="s">
        <v>9205</v>
      </c>
      <c r="G797" s="769"/>
      <c r="H797" s="357"/>
      <c r="I797" s="357"/>
      <c r="J797" s="357"/>
      <c r="K797" s="357"/>
      <c r="L797" s="357"/>
      <c r="M797" s="357"/>
      <c r="N797" s="357"/>
      <c r="O797" s="357"/>
      <c r="P797" s="357"/>
      <c r="Q797" s="358" t="s">
        <v>9207</v>
      </c>
      <c r="R797" s="357"/>
      <c r="S797" s="357"/>
      <c r="T797" s="377" t="str">
        <f t="shared" si="32"/>
        <v>SOA0038-021 - S06Payment</v>
      </c>
      <c r="U797" s="359"/>
      <c r="V797" s="359"/>
      <c r="W797" s="359"/>
      <c r="X797" s="359"/>
      <c r="Y797" s="359"/>
      <c r="Z797" s="364">
        <v>45033</v>
      </c>
      <c r="AA797" s="359" t="s">
        <v>254</v>
      </c>
    </row>
    <row r="798" spans="1:27">
      <c r="A798" s="769"/>
      <c r="B798" s="769"/>
      <c r="C798" s="361" t="s">
        <v>10299</v>
      </c>
      <c r="D798" s="361" t="s">
        <v>10300</v>
      </c>
      <c r="E798" s="361" t="s">
        <v>1732</v>
      </c>
      <c r="F798" s="361" t="s">
        <v>9205</v>
      </c>
      <c r="G798" s="769"/>
      <c r="H798" s="361"/>
      <c r="I798" s="361"/>
      <c r="J798" s="361"/>
      <c r="K798" s="361"/>
      <c r="L798" s="361"/>
      <c r="M798" s="361"/>
      <c r="N798" s="361"/>
      <c r="O798" s="361"/>
      <c r="P798" s="361"/>
      <c r="Q798" s="358" t="s">
        <v>9207</v>
      </c>
      <c r="R798" s="361"/>
      <c r="S798" s="361"/>
      <c r="T798" s="377" t="str">
        <f t="shared" si="32"/>
        <v>SOA0038-022 - S06Search</v>
      </c>
      <c r="U798" s="359"/>
      <c r="V798" s="359"/>
      <c r="W798" s="359"/>
      <c r="X798" s="359"/>
      <c r="Y798" s="359"/>
      <c r="Z798" s="364">
        <v>45033</v>
      </c>
      <c r="AA798" s="359" t="s">
        <v>254</v>
      </c>
    </row>
    <row r="799" spans="1:27">
      <c r="A799" s="769"/>
      <c r="B799" s="769"/>
      <c r="C799" s="357" t="s">
        <v>10301</v>
      </c>
      <c r="D799" s="357" t="s">
        <v>10302</v>
      </c>
      <c r="E799" s="357" t="s">
        <v>1732</v>
      </c>
      <c r="F799" s="357" t="s">
        <v>9205</v>
      </c>
      <c r="G799" s="769"/>
      <c r="H799" s="357"/>
      <c r="I799" s="357"/>
      <c r="J799" s="357"/>
      <c r="K799" s="357"/>
      <c r="L799" s="357"/>
      <c r="M799" s="357"/>
      <c r="N799" s="357"/>
      <c r="O799" s="357"/>
      <c r="P799" s="357"/>
      <c r="Q799" s="358" t="s">
        <v>9207</v>
      </c>
      <c r="R799" s="357"/>
      <c r="S799" s="357"/>
      <c r="T799" s="377" t="str">
        <f t="shared" si="32"/>
        <v>SOA0038-023 - UpdatePersonalInfo</v>
      </c>
      <c r="U799" s="359"/>
      <c r="V799" s="359"/>
      <c r="W799" s="359"/>
      <c r="X799" s="359"/>
      <c r="Y799" s="359"/>
      <c r="Z799" s="364">
        <v>45033</v>
      </c>
      <c r="AA799" s="359" t="s">
        <v>254</v>
      </c>
    </row>
    <row r="800" spans="1:27">
      <c r="A800" s="769"/>
      <c r="B800" s="769"/>
      <c r="C800" s="361" t="s">
        <v>10303</v>
      </c>
      <c r="D800" s="361" t="s">
        <v>10304</v>
      </c>
      <c r="E800" s="361" t="s">
        <v>1732</v>
      </c>
      <c r="F800" s="361" t="s">
        <v>9205</v>
      </c>
      <c r="G800" s="769"/>
      <c r="H800" s="361"/>
      <c r="I800" s="361"/>
      <c r="J800" s="361"/>
      <c r="K800" s="361"/>
      <c r="L800" s="361"/>
      <c r="M800" s="361"/>
      <c r="N800" s="361"/>
      <c r="O800" s="361"/>
      <c r="P800" s="361"/>
      <c r="Q800" s="358" t="s">
        <v>9207</v>
      </c>
      <c r="R800" s="361"/>
      <c r="S800" s="361"/>
      <c r="T800" s="377" t="str">
        <f t="shared" si="32"/>
        <v>SOA0038-024 - InquiryUserDefinedCode</v>
      </c>
      <c r="U800" s="359"/>
      <c r="V800" s="359"/>
      <c r="W800" s="359"/>
      <c r="X800" s="359"/>
      <c r="Y800" s="359"/>
      <c r="Z800" s="364">
        <v>45033</v>
      </c>
      <c r="AA800" s="359" t="s">
        <v>254</v>
      </c>
    </row>
    <row r="801" spans="1:27">
      <c r="A801" s="769"/>
      <c r="B801" s="769"/>
      <c r="C801" s="357" t="s">
        <v>10305</v>
      </c>
      <c r="D801" s="357" t="s">
        <v>10306</v>
      </c>
      <c r="E801" s="357" t="s">
        <v>1732</v>
      </c>
      <c r="F801" s="357" t="s">
        <v>9205</v>
      </c>
      <c r="G801" s="769"/>
      <c r="H801" s="357"/>
      <c r="I801" s="357"/>
      <c r="J801" s="357"/>
      <c r="K801" s="357"/>
      <c r="L801" s="357"/>
      <c r="M801" s="357"/>
      <c r="N801" s="357"/>
      <c r="O801" s="357"/>
      <c r="P801" s="357"/>
      <c r="Q801" s="358" t="s">
        <v>9207</v>
      </c>
      <c r="R801" s="357"/>
      <c r="S801" s="357"/>
      <c r="T801" s="377" t="str">
        <f t="shared" si="32"/>
        <v>SOA0038-025 - UpdateUserDefinedCode</v>
      </c>
      <c r="U801" s="359"/>
      <c r="V801" s="359"/>
      <c r="W801" s="359"/>
      <c r="X801" s="359"/>
      <c r="Y801" s="359"/>
      <c r="Z801" s="364">
        <v>45033</v>
      </c>
      <c r="AA801" s="359" t="s">
        <v>254</v>
      </c>
    </row>
    <row r="802" spans="1:27">
      <c r="A802" s="769"/>
      <c r="B802" s="769"/>
      <c r="C802" s="361" t="s">
        <v>10307</v>
      </c>
      <c r="D802" s="361" t="s">
        <v>10308</v>
      </c>
      <c r="E802" s="361" t="s">
        <v>1732</v>
      </c>
      <c r="F802" s="361" t="s">
        <v>9205</v>
      </c>
      <c r="G802" s="769"/>
      <c r="H802" s="361"/>
      <c r="I802" s="361"/>
      <c r="J802" s="361"/>
      <c r="K802" s="361"/>
      <c r="L802" s="361"/>
      <c r="M802" s="361"/>
      <c r="N802" s="361"/>
      <c r="O802" s="361"/>
      <c r="P802" s="361"/>
      <c r="Q802" s="358" t="s">
        <v>9207</v>
      </c>
      <c r="R802" s="361"/>
      <c r="S802" s="361"/>
      <c r="T802" s="377" t="str">
        <f t="shared" si="32"/>
        <v>SOA0038-026 - InquiryVARetail</v>
      </c>
      <c r="U802" s="359"/>
      <c r="V802" s="359"/>
      <c r="W802" s="359"/>
      <c r="X802" s="359"/>
      <c r="Y802" s="359"/>
      <c r="Z802" s="364">
        <v>45033</v>
      </c>
      <c r="AA802" s="359" t="s">
        <v>254</v>
      </c>
    </row>
    <row r="803" spans="1:27">
      <c r="A803" s="769"/>
      <c r="B803" s="769"/>
      <c r="C803" s="357" t="s">
        <v>10309</v>
      </c>
      <c r="D803" s="357" t="s">
        <v>10310</v>
      </c>
      <c r="E803" s="357" t="s">
        <v>1732</v>
      </c>
      <c r="F803" s="357" t="s">
        <v>9205</v>
      </c>
      <c r="G803" s="769"/>
      <c r="H803" s="357"/>
      <c r="I803" s="357"/>
      <c r="J803" s="357"/>
      <c r="K803" s="357"/>
      <c r="L803" s="357"/>
      <c r="M803" s="357"/>
      <c r="N803" s="357"/>
      <c r="O803" s="357"/>
      <c r="P803" s="357"/>
      <c r="Q803" s="358" t="s">
        <v>9207</v>
      </c>
      <c r="R803" s="357"/>
      <c r="S803" s="357"/>
      <c r="T803" s="377" t="str">
        <f t="shared" si="32"/>
        <v>SOA0038-027 - UpdateVARetail</v>
      </c>
      <c r="U803" s="359"/>
      <c r="V803" s="359"/>
      <c r="W803" s="359"/>
      <c r="X803" s="359"/>
      <c r="Y803" s="359"/>
      <c r="Z803" s="364">
        <v>45033</v>
      </c>
      <c r="AA803" s="359" t="s">
        <v>254</v>
      </c>
    </row>
    <row r="804" spans="1:27">
      <c r="A804" s="769"/>
      <c r="B804" s="769"/>
      <c r="C804" s="361" t="s">
        <v>10311</v>
      </c>
      <c r="D804" s="361" t="s">
        <v>10312</v>
      </c>
      <c r="E804" s="361" t="s">
        <v>1732</v>
      </c>
      <c r="F804" s="361" t="s">
        <v>9205</v>
      </c>
      <c r="G804" s="769"/>
      <c r="H804" s="361"/>
      <c r="I804" s="361"/>
      <c r="J804" s="361"/>
      <c r="K804" s="361"/>
      <c r="L804" s="361"/>
      <c r="M804" s="361"/>
      <c r="N804" s="361"/>
      <c r="O804" s="361"/>
      <c r="P804" s="361"/>
      <c r="Q804" s="358" t="s">
        <v>9207</v>
      </c>
      <c r="R804" s="361"/>
      <c r="S804" s="361"/>
      <c r="T804" s="377" t="str">
        <f t="shared" si="32"/>
        <v>SOA0038-028 - CreateVARetail</v>
      </c>
      <c r="U804" s="359"/>
      <c r="V804" s="359"/>
      <c r="W804" s="359"/>
      <c r="X804" s="359"/>
      <c r="Y804" s="359"/>
      <c r="Z804" s="364">
        <v>45033</v>
      </c>
      <c r="AA804" s="359" t="s">
        <v>254</v>
      </c>
    </row>
    <row r="805" spans="1:27">
      <c r="A805" s="769"/>
      <c r="B805" s="769"/>
      <c r="C805" s="357" t="s">
        <v>10313</v>
      </c>
      <c r="D805" s="357" t="s">
        <v>10314</v>
      </c>
      <c r="E805" s="357" t="s">
        <v>1732</v>
      </c>
      <c r="F805" s="357" t="s">
        <v>9205</v>
      </c>
      <c r="G805" s="769"/>
      <c r="H805" s="357"/>
      <c r="I805" s="357"/>
      <c r="J805" s="357"/>
      <c r="K805" s="357"/>
      <c r="L805" s="357"/>
      <c r="M805" s="357"/>
      <c r="N805" s="357"/>
      <c r="O805" s="357"/>
      <c r="P805" s="357"/>
      <c r="Q805" s="241" t="s">
        <v>7371</v>
      </c>
      <c r="R805" s="357"/>
      <c r="S805" s="357"/>
      <c r="T805" s="377"/>
      <c r="U805" s="359"/>
      <c r="V805" s="359"/>
      <c r="W805" s="359"/>
      <c r="X805" s="359"/>
      <c r="Y805" s="359"/>
      <c r="Z805" s="364"/>
      <c r="AA805" s="359"/>
    </row>
    <row r="806" spans="1:27">
      <c r="A806" s="769"/>
      <c r="B806" s="769"/>
      <c r="C806" s="361" t="s">
        <v>10315</v>
      </c>
      <c r="D806" s="361" t="s">
        <v>10316</v>
      </c>
      <c r="E806" s="361" t="s">
        <v>1732</v>
      </c>
      <c r="F806" s="361" t="s">
        <v>9205</v>
      </c>
      <c r="G806" s="769"/>
      <c r="H806" s="361"/>
      <c r="I806" s="361"/>
      <c r="J806" s="361"/>
      <c r="K806" s="361"/>
      <c r="L806" s="361"/>
      <c r="M806" s="361"/>
      <c r="N806" s="361"/>
      <c r="O806" s="361"/>
      <c r="P806" s="361"/>
      <c r="Q806" s="241" t="s">
        <v>7371</v>
      </c>
      <c r="R806" s="361"/>
      <c r="S806" s="361"/>
      <c r="T806" s="377"/>
      <c r="U806" s="359"/>
      <c r="V806" s="359"/>
      <c r="W806" s="359"/>
      <c r="X806" s="359"/>
      <c r="Y806" s="359"/>
      <c r="Z806" s="364"/>
      <c r="AA806" s="359"/>
    </row>
    <row r="807" spans="1:27">
      <c r="A807" s="769"/>
      <c r="B807" s="769"/>
      <c r="C807" s="357" t="s">
        <v>10317</v>
      </c>
      <c r="D807" s="357" t="s">
        <v>10318</v>
      </c>
      <c r="E807" s="357" t="s">
        <v>1732</v>
      </c>
      <c r="F807" s="357" t="s">
        <v>9205</v>
      </c>
      <c r="G807" s="769"/>
      <c r="H807" s="357"/>
      <c r="I807" s="357"/>
      <c r="J807" s="357"/>
      <c r="K807" s="357"/>
      <c r="L807" s="357"/>
      <c r="M807" s="357"/>
      <c r="N807" s="357"/>
      <c r="O807" s="357"/>
      <c r="P807" s="357"/>
      <c r="Q807" s="358" t="s">
        <v>9207</v>
      </c>
      <c r="R807" s="357"/>
      <c r="S807" s="357"/>
      <c r="T807" s="377" t="str">
        <f t="shared" ref="T807:T809" si="33">CONCATENATE(C807, " - ", D807)</f>
        <v>SOA0038-031 - SweepAccount</v>
      </c>
      <c r="U807" s="359"/>
      <c r="V807" s="359"/>
      <c r="W807" s="359"/>
      <c r="X807" s="359"/>
      <c r="Y807" s="359"/>
      <c r="Z807" s="364">
        <v>45033</v>
      </c>
      <c r="AA807" s="359" t="s">
        <v>254</v>
      </c>
    </row>
    <row r="808" spans="1:27">
      <c r="A808" s="769"/>
      <c r="B808" s="769"/>
      <c r="C808" s="361" t="s">
        <v>10319</v>
      </c>
      <c r="D808" s="361" t="s">
        <v>10320</v>
      </c>
      <c r="E808" s="361" t="s">
        <v>1732</v>
      </c>
      <c r="F808" s="361" t="s">
        <v>9205</v>
      </c>
      <c r="G808" s="769"/>
      <c r="H808" s="361"/>
      <c r="I808" s="361"/>
      <c r="J808" s="361"/>
      <c r="K808" s="361"/>
      <c r="L808" s="361"/>
      <c r="M808" s="361"/>
      <c r="N808" s="361"/>
      <c r="O808" s="361"/>
      <c r="P808" s="361"/>
      <c r="Q808" s="358" t="s">
        <v>9207</v>
      </c>
      <c r="R808" s="361"/>
      <c r="S808" s="361"/>
      <c r="T808" s="377" t="str">
        <f t="shared" si="33"/>
        <v>SOA0038-032 - DraftOverLimit</v>
      </c>
      <c r="U808" s="359"/>
      <c r="V808" s="359"/>
      <c r="W808" s="359"/>
      <c r="X808" s="359"/>
      <c r="Y808" s="359"/>
      <c r="Z808" s="364">
        <v>45033</v>
      </c>
      <c r="AA808" s="359" t="s">
        <v>254</v>
      </c>
    </row>
    <row r="809" spans="1:27">
      <c r="A809" s="769"/>
      <c r="B809" s="769"/>
      <c r="C809" s="357" t="s">
        <v>10321</v>
      </c>
      <c r="D809" s="357" t="s">
        <v>10322</v>
      </c>
      <c r="E809" s="357" t="s">
        <v>1732</v>
      </c>
      <c r="F809" s="357" t="s">
        <v>9205</v>
      </c>
      <c r="G809" s="769"/>
      <c r="H809" s="357"/>
      <c r="I809" s="357"/>
      <c r="J809" s="357"/>
      <c r="K809" s="357"/>
      <c r="L809" s="357"/>
      <c r="M809" s="357"/>
      <c r="N809" s="357"/>
      <c r="O809" s="357"/>
      <c r="P809" s="357"/>
      <c r="Q809" s="358" t="s">
        <v>9207</v>
      </c>
      <c r="R809" s="357"/>
      <c r="S809" s="357"/>
      <c r="T809" s="377" t="str">
        <f t="shared" si="33"/>
        <v>SOA0038-033 - DraftOverLimitUpdate</v>
      </c>
      <c r="U809" s="359"/>
      <c r="V809" s="359"/>
      <c r="W809" s="359"/>
      <c r="X809" s="359"/>
      <c r="Y809" s="359"/>
      <c r="Z809" s="364">
        <v>45033</v>
      </c>
      <c r="AA809" s="359" t="s">
        <v>254</v>
      </c>
    </row>
    <row r="810" spans="1:27">
      <c r="A810" s="769"/>
      <c r="B810" s="769"/>
      <c r="C810" s="361" t="s">
        <v>10323</v>
      </c>
      <c r="D810" s="361" t="s">
        <v>10324</v>
      </c>
      <c r="E810" s="361" t="s">
        <v>1732</v>
      </c>
      <c r="F810" s="361" t="s">
        <v>9205</v>
      </c>
      <c r="G810" s="769"/>
      <c r="H810" s="361"/>
      <c r="I810" s="361"/>
      <c r="J810" s="361"/>
      <c r="K810" s="361"/>
      <c r="L810" s="361"/>
      <c r="M810" s="361"/>
      <c r="N810" s="361"/>
      <c r="O810" s="361"/>
      <c r="P810" s="361"/>
      <c r="Q810" s="241" t="s">
        <v>7371</v>
      </c>
      <c r="R810" s="361"/>
      <c r="S810" s="361"/>
      <c r="T810" s="359"/>
      <c r="U810" s="359"/>
      <c r="V810" s="359"/>
      <c r="W810" s="359"/>
      <c r="X810" s="359"/>
      <c r="Y810" s="359"/>
      <c r="Z810" s="364"/>
      <c r="AA810" s="359"/>
    </row>
    <row r="811" spans="1:27">
      <c r="A811" s="769"/>
      <c r="B811" s="769"/>
      <c r="C811" s="357" t="s">
        <v>10325</v>
      </c>
      <c r="D811" s="357" t="s">
        <v>10326</v>
      </c>
      <c r="E811" s="357" t="s">
        <v>1732</v>
      </c>
      <c r="F811" s="357" t="s">
        <v>9205</v>
      </c>
      <c r="G811" s="769"/>
      <c r="H811" s="357"/>
      <c r="I811" s="357"/>
      <c r="J811" s="357"/>
      <c r="K811" s="357"/>
      <c r="L811" s="357"/>
      <c r="M811" s="357"/>
      <c r="N811" s="357"/>
      <c r="O811" s="357"/>
      <c r="P811" s="357"/>
      <c r="Q811" s="241" t="s">
        <v>7371</v>
      </c>
      <c r="R811" s="357"/>
      <c r="S811" s="357"/>
      <c r="T811" s="377" t="str">
        <f t="shared" ref="T811:T817" si="34">CONCATENATE(C811, " - ", D811)</f>
        <v>SOA0038-035 - InquiryChequeDetail</v>
      </c>
      <c r="U811" s="359"/>
      <c r="V811" s="359"/>
      <c r="W811" s="359"/>
      <c r="X811" s="359"/>
      <c r="Y811" s="359"/>
      <c r="Z811" s="364"/>
      <c r="AA811" s="359"/>
    </row>
    <row r="812" spans="1:27">
      <c r="A812" s="769"/>
      <c r="B812" s="769"/>
      <c r="C812" s="361" t="s">
        <v>10327</v>
      </c>
      <c r="D812" s="361" t="s">
        <v>10328</v>
      </c>
      <c r="E812" s="361" t="s">
        <v>1732</v>
      </c>
      <c r="F812" s="361" t="s">
        <v>9205</v>
      </c>
      <c r="G812" s="769"/>
      <c r="H812" s="361"/>
      <c r="I812" s="361"/>
      <c r="J812" s="361"/>
      <c r="K812" s="361"/>
      <c r="L812" s="361"/>
      <c r="M812" s="361"/>
      <c r="N812" s="361"/>
      <c r="O812" s="361"/>
      <c r="P812" s="361"/>
      <c r="Q812" s="358" t="s">
        <v>9207</v>
      </c>
      <c r="R812" s="361"/>
      <c r="S812" s="361"/>
      <c r="T812" s="377" t="str">
        <f t="shared" si="34"/>
        <v>SOA0038-036 - InquiryCheque</v>
      </c>
      <c r="U812" s="359"/>
      <c r="V812" s="359"/>
      <c r="W812" s="359"/>
      <c r="X812" s="359"/>
      <c r="Y812" s="359"/>
      <c r="Z812" s="364">
        <v>45033</v>
      </c>
      <c r="AA812" s="359" t="s">
        <v>254</v>
      </c>
    </row>
    <row r="813" spans="1:27">
      <c r="A813" s="769"/>
      <c r="B813" s="769"/>
      <c r="C813" s="357" t="s">
        <v>10329</v>
      </c>
      <c r="D813" s="357" t="s">
        <v>10288</v>
      </c>
      <c r="E813" s="357" t="s">
        <v>1732</v>
      </c>
      <c r="F813" s="357" t="s">
        <v>9205</v>
      </c>
      <c r="G813" s="769"/>
      <c r="H813" s="357"/>
      <c r="I813" s="357"/>
      <c r="J813" s="357"/>
      <c r="K813" s="357"/>
      <c r="L813" s="357"/>
      <c r="M813" s="357"/>
      <c r="N813" s="357"/>
      <c r="O813" s="357"/>
      <c r="P813" s="357"/>
      <c r="Q813" s="358" t="s">
        <v>9207</v>
      </c>
      <c r="R813" s="357"/>
      <c r="S813" s="357"/>
      <c r="T813" s="377" t="str">
        <f t="shared" si="34"/>
        <v>SOA0038-037 - OpenDepositAccListByBalance</v>
      </c>
      <c r="U813" s="359"/>
      <c r="V813" s="359"/>
      <c r="W813" s="359"/>
      <c r="X813" s="359"/>
      <c r="Y813" s="359"/>
      <c r="Z813" s="364">
        <v>45033</v>
      </c>
      <c r="AA813" s="359" t="s">
        <v>254</v>
      </c>
    </row>
    <row r="814" spans="1:27">
      <c r="A814" s="732" t="s">
        <v>10330</v>
      </c>
      <c r="B814" s="732" t="s">
        <v>10331</v>
      </c>
      <c r="C814" s="380" t="s">
        <v>10332</v>
      </c>
      <c r="D814" s="380" t="s">
        <v>10333</v>
      </c>
      <c r="E814" s="380" t="s">
        <v>1732</v>
      </c>
      <c r="F814" s="380" t="s">
        <v>9205</v>
      </c>
      <c r="G814" s="724" t="s">
        <v>10334</v>
      </c>
      <c r="H814" s="392"/>
      <c r="I814" s="392"/>
      <c r="J814" s="392"/>
      <c r="K814" s="392"/>
      <c r="L814" s="392"/>
      <c r="M814" s="392"/>
      <c r="N814" s="392"/>
      <c r="O814" s="392"/>
      <c r="P814" s="392"/>
      <c r="Q814" s="358" t="s">
        <v>9207</v>
      </c>
      <c r="R814" s="392"/>
      <c r="S814" s="392"/>
      <c r="T814" s="390" t="str">
        <f t="shared" si="34"/>
        <v>SOA0039-001 - Nomal Pembukaan dan Cek Izin Rekening</v>
      </c>
      <c r="U814" s="391"/>
      <c r="V814" s="391"/>
      <c r="W814" s="391"/>
      <c r="X814" s="391"/>
      <c r="Y814" s="391"/>
      <c r="Z814" s="364">
        <v>45050</v>
      </c>
      <c r="AA814" s="359" t="s">
        <v>254</v>
      </c>
    </row>
    <row r="815" spans="1:27">
      <c r="A815" s="769"/>
      <c r="B815" s="769"/>
      <c r="C815" s="382" t="s">
        <v>10335</v>
      </c>
      <c r="D815" s="382" t="s">
        <v>10336</v>
      </c>
      <c r="E815" s="382" t="s">
        <v>1743</v>
      </c>
      <c r="F815" s="382" t="s">
        <v>9205</v>
      </c>
      <c r="G815" s="769"/>
      <c r="H815" s="393"/>
      <c r="I815" s="393"/>
      <c r="J815" s="393"/>
      <c r="K815" s="393"/>
      <c r="L815" s="393"/>
      <c r="M815" s="393"/>
      <c r="N815" s="393"/>
      <c r="O815" s="393"/>
      <c r="P815" s="393"/>
      <c r="Q815" s="358" t="s">
        <v>9207</v>
      </c>
      <c r="R815" s="393"/>
      <c r="S815" s="393"/>
      <c r="T815" s="390" t="str">
        <f t="shared" si="34"/>
        <v>SOA0039-002 - Abnormal Pembukaan dan Cek Izin Rekening</v>
      </c>
      <c r="U815" s="391"/>
      <c r="V815" s="391"/>
      <c r="W815" s="391"/>
      <c r="X815" s="391"/>
      <c r="Y815" s="391"/>
      <c r="Z815" s="364">
        <v>45050</v>
      </c>
      <c r="AA815" s="359" t="s">
        <v>254</v>
      </c>
    </row>
    <row r="816" spans="1:27">
      <c r="A816" s="769"/>
      <c r="B816" s="769"/>
      <c r="C816" s="380" t="s">
        <v>10337</v>
      </c>
      <c r="D816" s="380" t="s">
        <v>10338</v>
      </c>
      <c r="E816" s="380" t="s">
        <v>1732</v>
      </c>
      <c r="F816" s="380" t="s">
        <v>9205</v>
      </c>
      <c r="G816" s="769"/>
      <c r="H816" s="392"/>
      <c r="I816" s="392"/>
      <c r="J816" s="392"/>
      <c r="K816" s="392"/>
      <c r="L816" s="392"/>
      <c r="M816" s="392"/>
      <c r="N816" s="392"/>
      <c r="O816" s="392"/>
      <c r="P816" s="392"/>
      <c r="Q816" s="358" t="s">
        <v>9207</v>
      </c>
      <c r="R816" s="392"/>
      <c r="S816" s="392"/>
      <c r="T816" s="390" t="str">
        <f t="shared" si="34"/>
        <v>SOA0039-003 - Normal Update Rekening</v>
      </c>
      <c r="U816" s="391"/>
      <c r="V816" s="391"/>
      <c r="W816" s="391"/>
      <c r="X816" s="391"/>
      <c r="Y816" s="391"/>
      <c r="Z816" s="364">
        <v>45050</v>
      </c>
      <c r="AA816" s="359" t="s">
        <v>254</v>
      </c>
    </row>
    <row r="817" spans="1:27">
      <c r="A817" s="769"/>
      <c r="B817" s="769"/>
      <c r="C817" s="382" t="s">
        <v>10339</v>
      </c>
      <c r="D817" s="382" t="s">
        <v>10340</v>
      </c>
      <c r="E817" s="382" t="s">
        <v>1743</v>
      </c>
      <c r="F817" s="382" t="s">
        <v>9205</v>
      </c>
      <c r="G817" s="769"/>
      <c r="H817" s="393"/>
      <c r="I817" s="393"/>
      <c r="J817" s="393"/>
      <c r="K817" s="393"/>
      <c r="L817" s="393"/>
      <c r="M817" s="393"/>
      <c r="N817" s="393"/>
      <c r="O817" s="393"/>
      <c r="P817" s="393"/>
      <c r="Q817" s="358" t="s">
        <v>9207</v>
      </c>
      <c r="R817" s="393"/>
      <c r="S817" s="393"/>
      <c r="T817" s="390" t="str">
        <f t="shared" si="34"/>
        <v>SOA0039-004 - Abnormal Update Rekening</v>
      </c>
      <c r="U817" s="391"/>
      <c r="V817" s="391"/>
      <c r="W817" s="391"/>
      <c r="X817" s="391"/>
      <c r="Y817" s="391"/>
      <c r="Z817" s="364">
        <v>45050</v>
      </c>
      <c r="AA817" s="359" t="s">
        <v>254</v>
      </c>
    </row>
    <row r="818" spans="1:27">
      <c r="A818" s="769"/>
      <c r="B818" s="769"/>
      <c r="C818" s="380" t="s">
        <v>10341</v>
      </c>
      <c r="D818" s="380" t="s">
        <v>10342</v>
      </c>
      <c r="E818" s="380" t="s">
        <v>1732</v>
      </c>
      <c r="F818" s="380" t="s">
        <v>9205</v>
      </c>
      <c r="G818" s="769"/>
      <c r="H818" s="392"/>
      <c r="I818" s="392"/>
      <c r="J818" s="392"/>
      <c r="K818" s="392"/>
      <c r="L818" s="392"/>
      <c r="M818" s="392"/>
      <c r="N818" s="392"/>
      <c r="O818" s="392"/>
      <c r="P818" s="392"/>
      <c r="Q818" s="241" t="s">
        <v>7371</v>
      </c>
      <c r="R818" s="380" t="s">
        <v>10343</v>
      </c>
      <c r="S818" s="392"/>
      <c r="T818" s="390"/>
      <c r="U818" s="391"/>
      <c r="V818" s="391"/>
      <c r="W818" s="391"/>
      <c r="X818" s="391"/>
      <c r="Y818" s="391"/>
      <c r="Z818" s="359"/>
      <c r="AA818" s="359"/>
    </row>
    <row r="819" spans="1:27" ht="14.25" customHeight="1">
      <c r="A819" s="769"/>
      <c r="B819" s="769"/>
      <c r="C819" s="382" t="s">
        <v>10344</v>
      </c>
      <c r="D819" s="382" t="s">
        <v>10345</v>
      </c>
      <c r="E819" s="382" t="s">
        <v>1743</v>
      </c>
      <c r="F819" s="382" t="s">
        <v>9205</v>
      </c>
      <c r="G819" s="769"/>
      <c r="H819" s="393"/>
      <c r="I819" s="393"/>
      <c r="J819" s="382" t="s">
        <v>10346</v>
      </c>
      <c r="K819" s="393"/>
      <c r="L819" s="393"/>
      <c r="M819" s="393"/>
      <c r="N819" s="393"/>
      <c r="O819" s="393"/>
      <c r="P819" s="393"/>
      <c r="Q819" s="241" t="s">
        <v>7371</v>
      </c>
      <c r="R819" s="382" t="s">
        <v>10343</v>
      </c>
      <c r="S819" s="393"/>
      <c r="T819" s="390"/>
      <c r="U819" s="391"/>
      <c r="V819" s="391"/>
      <c r="W819" s="391"/>
      <c r="X819" s="391"/>
      <c r="Y819" s="391"/>
      <c r="Z819" s="359"/>
      <c r="AA819" s="359"/>
    </row>
    <row r="820" spans="1:27" ht="14.25" customHeight="1">
      <c r="A820" s="769"/>
      <c r="B820" s="769"/>
      <c r="C820" s="380" t="s">
        <v>10347</v>
      </c>
      <c r="D820" s="380" t="s">
        <v>10348</v>
      </c>
      <c r="E820" s="380" t="s">
        <v>1732</v>
      </c>
      <c r="F820" s="380" t="s">
        <v>9205</v>
      </c>
      <c r="G820" s="769"/>
      <c r="H820" s="392"/>
      <c r="I820" s="392"/>
      <c r="J820" s="380" t="s">
        <v>10346</v>
      </c>
      <c r="K820" s="392"/>
      <c r="L820" s="392"/>
      <c r="M820" s="392"/>
      <c r="N820" s="392"/>
      <c r="O820" s="392"/>
      <c r="P820" s="392"/>
      <c r="Q820" s="358" t="s">
        <v>9207</v>
      </c>
      <c r="R820" s="380"/>
      <c r="S820" s="392"/>
      <c r="T820" s="390" t="str">
        <f t="shared" ref="T820:T825" si="35">CONCATENATE(C820, " - ", D820)</f>
        <v>SOA0039-007 - Normal Rekap Harian Saldo</v>
      </c>
      <c r="U820" s="391"/>
      <c r="V820" s="391"/>
      <c r="W820" s="391"/>
      <c r="X820" s="391"/>
      <c r="Y820" s="391"/>
      <c r="Z820" s="364">
        <v>45050</v>
      </c>
      <c r="AA820" s="359" t="s">
        <v>254</v>
      </c>
    </row>
    <row r="821" spans="1:27">
      <c r="A821" s="769"/>
      <c r="B821" s="769"/>
      <c r="C821" s="382" t="s">
        <v>10350</v>
      </c>
      <c r="D821" s="382" t="s">
        <v>10351</v>
      </c>
      <c r="E821" s="382" t="s">
        <v>1743</v>
      </c>
      <c r="F821" s="382" t="s">
        <v>9205</v>
      </c>
      <c r="G821" s="769"/>
      <c r="H821" s="393"/>
      <c r="I821" s="393"/>
      <c r="J821" s="393"/>
      <c r="K821" s="393"/>
      <c r="L821" s="393"/>
      <c r="M821" s="393"/>
      <c r="N821" s="393"/>
      <c r="O821" s="393"/>
      <c r="P821" s="393"/>
      <c r="Q821" s="358" t="s">
        <v>9207</v>
      </c>
      <c r="R821" s="382"/>
      <c r="S821" s="393"/>
      <c r="T821" s="390" t="str">
        <f t="shared" si="35"/>
        <v>SOA0039-008 - Abnormal Rekap Harian Saldo</v>
      </c>
      <c r="U821" s="391"/>
      <c r="V821" s="391"/>
      <c r="W821" s="391"/>
      <c r="X821" s="391"/>
      <c r="Y821" s="391"/>
      <c r="Z821" s="364">
        <v>45050</v>
      </c>
      <c r="AA821" s="359" t="s">
        <v>254</v>
      </c>
    </row>
    <row r="822" spans="1:27">
      <c r="A822" s="769"/>
      <c r="B822" s="769"/>
      <c r="C822" s="380" t="s">
        <v>10352</v>
      </c>
      <c r="D822" s="380" t="s">
        <v>10353</v>
      </c>
      <c r="E822" s="380" t="s">
        <v>1732</v>
      </c>
      <c r="F822" s="380" t="s">
        <v>9205</v>
      </c>
      <c r="G822" s="769"/>
      <c r="H822" s="392"/>
      <c r="I822" s="392"/>
      <c r="J822" s="392"/>
      <c r="K822" s="392"/>
      <c r="L822" s="392"/>
      <c r="M822" s="392"/>
      <c r="N822" s="392"/>
      <c r="O822" s="392"/>
      <c r="P822" s="392"/>
      <c r="Q822" s="358" t="s">
        <v>9207</v>
      </c>
      <c r="R822" s="392"/>
      <c r="S822" s="392"/>
      <c r="T822" s="390" t="str">
        <f t="shared" si="35"/>
        <v>SOA0039-009 - Normal Tutup Rekening</v>
      </c>
      <c r="U822" s="391"/>
      <c r="V822" s="391"/>
      <c r="W822" s="391"/>
      <c r="X822" s="391"/>
      <c r="Y822" s="391"/>
      <c r="Z822" s="364">
        <v>45050</v>
      </c>
      <c r="AA822" s="359" t="s">
        <v>254</v>
      </c>
    </row>
    <row r="823" spans="1:27">
      <c r="A823" s="769"/>
      <c r="B823" s="769"/>
      <c r="C823" s="382" t="s">
        <v>10354</v>
      </c>
      <c r="D823" s="382" t="s">
        <v>10355</v>
      </c>
      <c r="E823" s="382" t="s">
        <v>1743</v>
      </c>
      <c r="F823" s="382" t="s">
        <v>9205</v>
      </c>
      <c r="G823" s="769"/>
      <c r="H823" s="393"/>
      <c r="I823" s="393"/>
      <c r="J823" s="393"/>
      <c r="K823" s="393"/>
      <c r="L823" s="393"/>
      <c r="M823" s="393"/>
      <c r="N823" s="393"/>
      <c r="O823" s="393"/>
      <c r="P823" s="393"/>
      <c r="Q823" s="358" t="s">
        <v>9207</v>
      </c>
      <c r="R823" s="393"/>
      <c r="S823" s="393"/>
      <c r="T823" s="390" t="str">
        <f t="shared" si="35"/>
        <v>SOA0039-010 - Abnormal Tutup Rekening</v>
      </c>
      <c r="U823" s="391"/>
      <c r="V823" s="391"/>
      <c r="W823" s="391"/>
      <c r="X823" s="391"/>
      <c r="Y823" s="391"/>
      <c r="Z823" s="364">
        <v>45050</v>
      </c>
      <c r="AA823" s="359" t="s">
        <v>254</v>
      </c>
    </row>
    <row r="824" spans="1:27">
      <c r="A824" s="769"/>
      <c r="B824" s="769"/>
      <c r="C824" s="380" t="s">
        <v>10356</v>
      </c>
      <c r="D824" s="380" t="s">
        <v>10357</v>
      </c>
      <c r="E824" s="380" t="s">
        <v>1732</v>
      </c>
      <c r="F824" s="380" t="s">
        <v>9205</v>
      </c>
      <c r="G824" s="769"/>
      <c r="H824" s="392"/>
      <c r="I824" s="392"/>
      <c r="J824" s="392"/>
      <c r="K824" s="392"/>
      <c r="L824" s="392"/>
      <c r="M824" s="392"/>
      <c r="N824" s="392"/>
      <c r="O824" s="392"/>
      <c r="P824" s="392"/>
      <c r="Q824" s="358" t="s">
        <v>9207</v>
      </c>
      <c r="R824" s="392"/>
      <c r="S824" s="392"/>
      <c r="T824" s="390" t="str">
        <f t="shared" si="35"/>
        <v>SOA0039-011 - Duplicate msgId</v>
      </c>
      <c r="U824" s="391"/>
      <c r="V824" s="391"/>
      <c r="W824" s="391"/>
      <c r="X824" s="391"/>
      <c r="Y824" s="391"/>
      <c r="Z824" s="364">
        <v>45050</v>
      </c>
      <c r="AA824" s="359" t="s">
        <v>254</v>
      </c>
    </row>
    <row r="825" spans="1:27">
      <c r="A825" s="769"/>
      <c r="B825" s="769"/>
      <c r="C825" s="382" t="s">
        <v>10358</v>
      </c>
      <c r="D825" s="382" t="s">
        <v>10359</v>
      </c>
      <c r="E825" s="382" t="s">
        <v>1743</v>
      </c>
      <c r="F825" s="382" t="s">
        <v>9205</v>
      </c>
      <c r="G825" s="769"/>
      <c r="H825" s="393"/>
      <c r="I825" s="393"/>
      <c r="J825" s="393"/>
      <c r="K825" s="393"/>
      <c r="L825" s="393"/>
      <c r="M825" s="393"/>
      <c r="N825" s="393"/>
      <c r="O825" s="393"/>
      <c r="P825" s="393"/>
      <c r="Q825" s="358" t="s">
        <v>9207</v>
      </c>
      <c r="R825" s="393"/>
      <c r="S825" s="393"/>
      <c r="T825" s="390" t="str">
        <f t="shared" si="35"/>
        <v>SOA0039-012 - Duplicate msgId (Data already exist)</v>
      </c>
      <c r="U825" s="391"/>
      <c r="V825" s="391"/>
      <c r="W825" s="391"/>
      <c r="X825" s="391"/>
      <c r="Y825" s="391"/>
      <c r="Z825" s="364">
        <v>45050</v>
      </c>
      <c r="AA825" s="359" t="s">
        <v>254</v>
      </c>
    </row>
    <row r="826" spans="1:27">
      <c r="A826" s="388"/>
      <c r="B826" s="388"/>
      <c r="C826" s="380"/>
      <c r="D826" s="380"/>
      <c r="E826" s="380"/>
      <c r="F826" s="380"/>
      <c r="G826" s="388"/>
      <c r="H826" s="392"/>
      <c r="I826" s="392"/>
      <c r="J826" s="392"/>
      <c r="K826" s="392"/>
      <c r="L826" s="392"/>
      <c r="M826" s="392"/>
      <c r="N826" s="392"/>
      <c r="O826" s="392"/>
      <c r="P826" s="392"/>
      <c r="Q826" s="363"/>
      <c r="R826" s="392"/>
      <c r="S826" s="392"/>
      <c r="T826" s="390"/>
      <c r="U826" s="391"/>
      <c r="V826" s="391"/>
      <c r="W826" s="391"/>
      <c r="X826" s="391"/>
      <c r="Y826" s="391"/>
      <c r="Z826" s="364"/>
      <c r="AA826" s="359"/>
    </row>
    <row r="827" spans="1:27">
      <c r="A827" s="381"/>
      <c r="B827" s="381"/>
      <c r="C827" s="382"/>
      <c r="D827" s="382"/>
      <c r="E827" s="382"/>
      <c r="F827" s="382"/>
      <c r="G827" s="381"/>
      <c r="H827" s="393"/>
      <c r="I827" s="393"/>
      <c r="J827" s="393"/>
      <c r="K827" s="393"/>
      <c r="L827" s="393"/>
      <c r="M827" s="393"/>
      <c r="N827" s="393"/>
      <c r="O827" s="393"/>
      <c r="P827" s="393"/>
      <c r="Q827" s="365"/>
      <c r="R827" s="393"/>
      <c r="S827" s="393"/>
      <c r="T827" s="390"/>
      <c r="U827" s="391"/>
      <c r="V827" s="391"/>
      <c r="W827" s="391"/>
      <c r="X827" s="391"/>
      <c r="Y827" s="391"/>
      <c r="Z827" s="364"/>
      <c r="AA827" s="359"/>
    </row>
    <row r="828" spans="1:27">
      <c r="A828" s="388"/>
      <c r="B828" s="388"/>
      <c r="C828" s="380"/>
      <c r="D828" s="380"/>
      <c r="E828" s="380"/>
      <c r="F828" s="380"/>
      <c r="G828" s="388"/>
      <c r="H828" s="392"/>
      <c r="I828" s="392"/>
      <c r="J828" s="392"/>
      <c r="K828" s="392"/>
      <c r="L828" s="392"/>
      <c r="M828" s="392"/>
      <c r="N828" s="392"/>
      <c r="O828" s="392"/>
      <c r="P828" s="392"/>
      <c r="Q828" s="363"/>
      <c r="R828" s="392"/>
      <c r="S828" s="392"/>
      <c r="T828" s="390"/>
      <c r="U828" s="391"/>
      <c r="V828" s="391"/>
      <c r="W828" s="391"/>
      <c r="X828" s="391"/>
      <c r="Y828" s="391"/>
      <c r="Z828" s="364"/>
      <c r="AA828" s="359"/>
    </row>
    <row r="829" spans="1:27">
      <c r="A829" s="381"/>
      <c r="B829" s="381"/>
      <c r="C829" s="382"/>
      <c r="D829" s="382"/>
      <c r="E829" s="382"/>
      <c r="F829" s="382"/>
      <c r="G829" s="381"/>
      <c r="H829" s="393"/>
      <c r="I829" s="393"/>
      <c r="J829" s="393"/>
      <c r="K829" s="393"/>
      <c r="L829" s="393"/>
      <c r="M829" s="393"/>
      <c r="N829" s="393"/>
      <c r="O829" s="393"/>
      <c r="P829" s="393"/>
      <c r="Q829" s="365"/>
      <c r="R829" s="393"/>
      <c r="S829" s="393"/>
      <c r="T829" s="390"/>
      <c r="U829" s="391"/>
      <c r="V829" s="391"/>
      <c r="W829" s="391"/>
      <c r="X829" s="391"/>
      <c r="Y829" s="391"/>
      <c r="Z829" s="364"/>
      <c r="AA829" s="359"/>
    </row>
    <row r="830" spans="1:27">
      <c r="A830" s="388"/>
      <c r="B830" s="388"/>
      <c r="C830" s="380"/>
      <c r="D830" s="380"/>
      <c r="E830" s="380"/>
      <c r="F830" s="380"/>
      <c r="G830" s="388"/>
      <c r="H830" s="392"/>
      <c r="I830" s="392"/>
      <c r="J830" s="392"/>
      <c r="K830" s="392"/>
      <c r="L830" s="392"/>
      <c r="M830" s="392"/>
      <c r="N830" s="392"/>
      <c r="O830" s="392"/>
      <c r="P830" s="392"/>
      <c r="Q830" s="363"/>
      <c r="R830" s="392"/>
      <c r="S830" s="392"/>
      <c r="T830" s="390"/>
      <c r="U830" s="391"/>
      <c r="V830" s="391"/>
      <c r="W830" s="391"/>
      <c r="X830" s="391"/>
      <c r="Y830" s="391"/>
      <c r="Z830" s="364"/>
      <c r="AA830" s="359"/>
    </row>
    <row r="831" spans="1:27">
      <c r="A831" s="381"/>
      <c r="B831" s="381"/>
      <c r="C831" s="382"/>
      <c r="D831" s="382"/>
      <c r="E831" s="382"/>
      <c r="F831" s="382"/>
      <c r="G831" s="381"/>
      <c r="H831" s="393"/>
      <c r="I831" s="393"/>
      <c r="J831" s="393"/>
      <c r="K831" s="393"/>
      <c r="L831" s="393"/>
      <c r="M831" s="393"/>
      <c r="N831" s="393"/>
      <c r="O831" s="393"/>
      <c r="P831" s="393"/>
      <c r="Q831" s="365"/>
      <c r="R831" s="393"/>
      <c r="S831" s="393"/>
      <c r="T831" s="390"/>
      <c r="U831" s="391"/>
      <c r="V831" s="391"/>
      <c r="W831" s="391"/>
      <c r="X831" s="391"/>
      <c r="Y831" s="391"/>
      <c r="Z831" s="364"/>
      <c r="AA831" s="359"/>
    </row>
    <row r="832" spans="1:27">
      <c r="A832" s="388"/>
      <c r="B832" s="388"/>
      <c r="C832" s="380"/>
      <c r="D832" s="380"/>
      <c r="E832" s="380"/>
      <c r="F832" s="380"/>
      <c r="G832" s="388"/>
      <c r="H832" s="392"/>
      <c r="I832" s="392"/>
      <c r="J832" s="392"/>
      <c r="K832" s="392"/>
      <c r="L832" s="392"/>
      <c r="M832" s="392"/>
      <c r="N832" s="392"/>
      <c r="O832" s="392"/>
      <c r="P832" s="392"/>
      <c r="Q832" s="363"/>
      <c r="R832" s="392"/>
      <c r="S832" s="392"/>
      <c r="T832" s="390"/>
      <c r="U832" s="391"/>
      <c r="V832" s="391"/>
      <c r="W832" s="391"/>
      <c r="X832" s="391"/>
      <c r="Y832" s="391"/>
      <c r="Z832" s="364"/>
      <c r="AA832" s="359"/>
    </row>
    <row r="833" spans="1:27">
      <c r="A833" s="381"/>
      <c r="B833" s="381"/>
      <c r="C833" s="382"/>
      <c r="D833" s="382"/>
      <c r="E833" s="382"/>
      <c r="F833" s="382"/>
      <c r="G833" s="381"/>
      <c r="H833" s="393"/>
      <c r="I833" s="393"/>
      <c r="J833" s="393"/>
      <c r="K833" s="393"/>
      <c r="L833" s="393"/>
      <c r="M833" s="393"/>
      <c r="N833" s="393"/>
      <c r="O833" s="393"/>
      <c r="P833" s="393"/>
      <c r="Q833" s="365"/>
      <c r="R833" s="393"/>
      <c r="S833" s="393"/>
      <c r="T833" s="390"/>
      <c r="U833" s="391"/>
      <c r="V833" s="391"/>
      <c r="W833" s="391"/>
      <c r="X833" s="391"/>
      <c r="Y833" s="391"/>
      <c r="Z833" s="364"/>
      <c r="AA833" s="359"/>
    </row>
    <row r="834" spans="1:27">
      <c r="A834" s="388"/>
      <c r="B834" s="388"/>
      <c r="C834" s="380"/>
      <c r="D834" s="380"/>
      <c r="E834" s="380"/>
      <c r="F834" s="380"/>
      <c r="G834" s="388"/>
      <c r="H834" s="392"/>
      <c r="I834" s="392"/>
      <c r="J834" s="392"/>
      <c r="K834" s="392"/>
      <c r="L834" s="392"/>
      <c r="M834" s="392"/>
      <c r="N834" s="392"/>
      <c r="O834" s="392"/>
      <c r="P834" s="392"/>
      <c r="Q834" s="363"/>
      <c r="R834" s="392"/>
      <c r="S834" s="392"/>
      <c r="T834" s="390"/>
      <c r="U834" s="391"/>
      <c r="V834" s="391"/>
      <c r="W834" s="391"/>
      <c r="X834" s="391"/>
      <c r="Y834" s="391"/>
      <c r="Z834" s="364"/>
      <c r="AA834" s="359"/>
    </row>
    <row r="835" spans="1:27">
      <c r="A835" s="381"/>
      <c r="B835" s="381"/>
      <c r="C835" s="382"/>
      <c r="D835" s="382"/>
      <c r="E835" s="382"/>
      <c r="F835" s="382"/>
      <c r="G835" s="381"/>
      <c r="H835" s="393"/>
      <c r="I835" s="393"/>
      <c r="J835" s="393"/>
      <c r="K835" s="393"/>
      <c r="L835" s="393"/>
      <c r="M835" s="393"/>
      <c r="N835" s="393"/>
      <c r="O835" s="393"/>
      <c r="P835" s="393"/>
      <c r="Q835" s="365"/>
      <c r="R835" s="393"/>
      <c r="S835" s="393"/>
      <c r="T835" s="390"/>
      <c r="U835" s="391"/>
      <c r="V835" s="391"/>
      <c r="W835" s="391"/>
      <c r="X835" s="391"/>
      <c r="Y835" s="391"/>
      <c r="Z835" s="364"/>
      <c r="AA835" s="359"/>
    </row>
    <row r="836" spans="1:27">
      <c r="A836" s="388"/>
      <c r="B836" s="388"/>
      <c r="C836" s="380"/>
      <c r="D836" s="380"/>
      <c r="E836" s="380"/>
      <c r="F836" s="380"/>
      <c r="G836" s="388"/>
      <c r="H836" s="392"/>
      <c r="I836" s="392"/>
      <c r="J836" s="392"/>
      <c r="K836" s="392"/>
      <c r="L836" s="392"/>
      <c r="M836" s="392"/>
      <c r="N836" s="392"/>
      <c r="O836" s="392"/>
      <c r="P836" s="392"/>
      <c r="Q836" s="363"/>
      <c r="R836" s="392"/>
      <c r="S836" s="392"/>
      <c r="T836" s="390"/>
      <c r="U836" s="391"/>
      <c r="V836" s="391"/>
      <c r="W836" s="391"/>
      <c r="X836" s="391"/>
      <c r="Y836" s="391"/>
      <c r="Z836" s="364"/>
      <c r="AA836" s="359"/>
    </row>
    <row r="837" spans="1:27">
      <c r="A837" s="381"/>
      <c r="B837" s="381"/>
      <c r="C837" s="382"/>
      <c r="D837" s="382"/>
      <c r="E837" s="382"/>
      <c r="F837" s="382"/>
      <c r="G837" s="381"/>
      <c r="H837" s="393"/>
      <c r="I837" s="393"/>
      <c r="J837" s="393"/>
      <c r="K837" s="393"/>
      <c r="L837" s="393"/>
      <c r="M837" s="393"/>
      <c r="N837" s="393"/>
      <c r="O837" s="393"/>
      <c r="P837" s="393"/>
      <c r="Q837" s="365"/>
      <c r="R837" s="393"/>
      <c r="S837" s="393"/>
      <c r="T837" s="390"/>
      <c r="U837" s="391"/>
      <c r="V837" s="391"/>
      <c r="W837" s="391"/>
      <c r="X837" s="391"/>
      <c r="Y837" s="391"/>
      <c r="Z837" s="364"/>
      <c r="AA837" s="359"/>
    </row>
    <row r="838" spans="1:27">
      <c r="A838" s="388"/>
      <c r="B838" s="388"/>
      <c r="C838" s="380"/>
      <c r="D838" s="380"/>
      <c r="E838" s="380"/>
      <c r="F838" s="380"/>
      <c r="G838" s="388"/>
      <c r="H838" s="392"/>
      <c r="I838" s="392"/>
      <c r="J838" s="392"/>
      <c r="K838" s="392"/>
      <c r="L838" s="392"/>
      <c r="M838" s="392"/>
      <c r="N838" s="392"/>
      <c r="O838" s="392"/>
      <c r="P838" s="392"/>
      <c r="Q838" s="363"/>
      <c r="R838" s="392"/>
      <c r="S838" s="392"/>
      <c r="T838" s="390"/>
      <c r="U838" s="391"/>
      <c r="V838" s="391"/>
      <c r="W838" s="391"/>
      <c r="X838" s="391"/>
      <c r="Y838" s="391"/>
      <c r="Z838" s="364"/>
      <c r="AA838" s="359"/>
    </row>
    <row r="839" spans="1:27">
      <c r="A839" s="381"/>
      <c r="B839" s="381"/>
      <c r="C839" s="382"/>
      <c r="D839" s="382"/>
      <c r="E839" s="382"/>
      <c r="F839" s="382"/>
      <c r="G839" s="381"/>
      <c r="H839" s="393"/>
      <c r="I839" s="393"/>
      <c r="J839" s="393"/>
      <c r="K839" s="393"/>
      <c r="L839" s="393"/>
      <c r="M839" s="393"/>
      <c r="N839" s="393"/>
      <c r="O839" s="393"/>
      <c r="P839" s="393"/>
      <c r="Q839" s="365"/>
      <c r="R839" s="393"/>
      <c r="S839" s="393"/>
      <c r="T839" s="390"/>
      <c r="U839" s="391"/>
      <c r="V839" s="391"/>
      <c r="W839" s="391"/>
      <c r="X839" s="391"/>
      <c r="Y839" s="391"/>
      <c r="Z839" s="364"/>
      <c r="AA839" s="359"/>
    </row>
    <row r="840" spans="1:27">
      <c r="A840" s="388"/>
      <c r="B840" s="388"/>
      <c r="C840" s="380"/>
      <c r="D840" s="380"/>
      <c r="E840" s="380"/>
      <c r="F840" s="380"/>
      <c r="G840" s="388"/>
      <c r="H840" s="392"/>
      <c r="I840" s="392"/>
      <c r="J840" s="392"/>
      <c r="K840" s="392"/>
      <c r="L840" s="392"/>
      <c r="M840" s="392"/>
      <c r="N840" s="392"/>
      <c r="O840" s="392"/>
      <c r="P840" s="392"/>
      <c r="Q840" s="363"/>
      <c r="R840" s="392"/>
      <c r="S840" s="392"/>
      <c r="T840" s="390"/>
      <c r="U840" s="391"/>
      <c r="V840" s="391"/>
      <c r="W840" s="391"/>
      <c r="X840" s="391"/>
      <c r="Y840" s="391"/>
      <c r="Z840" s="364"/>
      <c r="AA840" s="359"/>
    </row>
    <row r="841" spans="1:27">
      <c r="A841" s="381"/>
      <c r="B841" s="381"/>
      <c r="C841" s="382"/>
      <c r="D841" s="382"/>
      <c r="E841" s="382"/>
      <c r="F841" s="382"/>
      <c r="G841" s="381"/>
      <c r="H841" s="393"/>
      <c r="I841" s="393"/>
      <c r="J841" s="393"/>
      <c r="K841" s="393"/>
      <c r="L841" s="393"/>
      <c r="M841" s="393"/>
      <c r="N841" s="393"/>
      <c r="O841" s="393"/>
      <c r="P841" s="393"/>
      <c r="Q841" s="365"/>
      <c r="R841" s="393"/>
      <c r="S841" s="393"/>
      <c r="T841" s="390"/>
      <c r="U841" s="391"/>
      <c r="V841" s="391"/>
      <c r="W841" s="391"/>
      <c r="X841" s="391"/>
      <c r="Y841" s="391"/>
      <c r="Z841" s="364"/>
      <c r="AA841" s="359"/>
    </row>
    <row r="842" spans="1:27">
      <c r="A842" s="388"/>
      <c r="B842" s="388"/>
      <c r="C842" s="380"/>
      <c r="D842" s="380"/>
      <c r="E842" s="380"/>
      <c r="F842" s="380"/>
      <c r="G842" s="388"/>
      <c r="H842" s="392"/>
      <c r="I842" s="392"/>
      <c r="J842" s="392"/>
      <c r="K842" s="392"/>
      <c r="L842" s="392"/>
      <c r="M842" s="392"/>
      <c r="N842" s="392"/>
      <c r="O842" s="392"/>
      <c r="P842" s="392"/>
      <c r="Q842" s="363"/>
      <c r="R842" s="392"/>
      <c r="S842" s="392"/>
      <c r="T842" s="390"/>
      <c r="U842" s="391"/>
      <c r="V842" s="391"/>
      <c r="W842" s="391"/>
      <c r="X842" s="391"/>
      <c r="Y842" s="391"/>
      <c r="Z842" s="364"/>
      <c r="AA842" s="359"/>
    </row>
    <row r="843" spans="1:27">
      <c r="A843" s="381"/>
      <c r="B843" s="381"/>
      <c r="C843" s="382"/>
      <c r="D843" s="382"/>
      <c r="E843" s="382"/>
      <c r="F843" s="382"/>
      <c r="G843" s="381"/>
      <c r="H843" s="393"/>
      <c r="I843" s="393"/>
      <c r="J843" s="393"/>
      <c r="K843" s="393"/>
      <c r="L843" s="393"/>
      <c r="M843" s="393"/>
      <c r="N843" s="393"/>
      <c r="O843" s="393"/>
      <c r="P843" s="393"/>
      <c r="Q843" s="365"/>
      <c r="R843" s="393"/>
      <c r="S843" s="393"/>
      <c r="T843" s="390"/>
      <c r="U843" s="391"/>
      <c r="V843" s="391"/>
      <c r="W843" s="391"/>
      <c r="X843" s="391"/>
      <c r="Y843" s="391"/>
      <c r="Z843" s="364"/>
      <c r="AA843" s="359"/>
    </row>
    <row r="844" spans="1:27">
      <c r="A844" s="388"/>
      <c r="B844" s="388"/>
      <c r="C844" s="380"/>
      <c r="D844" s="380"/>
      <c r="E844" s="380"/>
      <c r="F844" s="380"/>
      <c r="G844" s="388"/>
      <c r="H844" s="392"/>
      <c r="I844" s="392"/>
      <c r="J844" s="392"/>
      <c r="K844" s="392"/>
      <c r="L844" s="392"/>
      <c r="M844" s="392"/>
      <c r="N844" s="392"/>
      <c r="O844" s="392"/>
      <c r="P844" s="392"/>
      <c r="Q844" s="363"/>
      <c r="R844" s="392"/>
      <c r="S844" s="392"/>
      <c r="T844" s="390"/>
      <c r="U844" s="391"/>
      <c r="V844" s="391"/>
      <c r="W844" s="391"/>
      <c r="X844" s="391"/>
      <c r="Y844" s="391"/>
      <c r="Z844" s="364"/>
      <c r="AA844" s="359"/>
    </row>
    <row r="845" spans="1:27">
      <c r="A845" s="381"/>
      <c r="B845" s="381"/>
      <c r="C845" s="382"/>
      <c r="D845" s="382"/>
      <c r="E845" s="382"/>
      <c r="F845" s="382"/>
      <c r="G845" s="381"/>
      <c r="H845" s="393"/>
      <c r="I845" s="393"/>
      <c r="J845" s="393"/>
      <c r="K845" s="393"/>
      <c r="L845" s="393"/>
      <c r="M845" s="393"/>
      <c r="N845" s="393"/>
      <c r="O845" s="393"/>
      <c r="P845" s="393"/>
      <c r="Q845" s="365"/>
      <c r="R845" s="393"/>
      <c r="S845" s="393"/>
      <c r="T845" s="390"/>
      <c r="U845" s="391"/>
      <c r="V845" s="391"/>
      <c r="W845" s="391"/>
      <c r="X845" s="391"/>
      <c r="Y845" s="391"/>
      <c r="Z845" s="364"/>
      <c r="AA845" s="359"/>
    </row>
    <row r="846" spans="1:27">
      <c r="A846" s="388"/>
      <c r="B846" s="388"/>
      <c r="C846" s="380"/>
      <c r="D846" s="380"/>
      <c r="E846" s="380"/>
      <c r="F846" s="380"/>
      <c r="G846" s="388"/>
      <c r="H846" s="392"/>
      <c r="I846" s="392"/>
      <c r="J846" s="392"/>
      <c r="K846" s="392"/>
      <c r="L846" s="392"/>
      <c r="M846" s="392"/>
      <c r="N846" s="392"/>
      <c r="O846" s="392"/>
      <c r="P846" s="392"/>
      <c r="Q846" s="363"/>
      <c r="R846" s="392"/>
      <c r="S846" s="392"/>
      <c r="T846" s="390"/>
      <c r="U846" s="391"/>
      <c r="V846" s="391"/>
      <c r="W846" s="391"/>
      <c r="X846" s="391"/>
      <c r="Y846" s="391"/>
      <c r="Z846" s="364"/>
      <c r="AA846" s="359"/>
    </row>
    <row r="847" spans="1:27">
      <c r="A847" s="381"/>
      <c r="B847" s="381"/>
      <c r="C847" s="382"/>
      <c r="D847" s="382"/>
      <c r="E847" s="382"/>
      <c r="F847" s="382"/>
      <c r="G847" s="381"/>
      <c r="H847" s="393"/>
      <c r="I847" s="393"/>
      <c r="J847" s="393"/>
      <c r="K847" s="393"/>
      <c r="L847" s="393"/>
      <c r="M847" s="393"/>
      <c r="N847" s="393"/>
      <c r="O847" s="393"/>
      <c r="P847" s="393"/>
      <c r="Q847" s="365"/>
      <c r="R847" s="393"/>
      <c r="S847" s="393"/>
      <c r="T847" s="390"/>
      <c r="U847" s="391"/>
      <c r="V847" s="391"/>
      <c r="W847" s="391"/>
      <c r="X847" s="391"/>
      <c r="Y847" s="391"/>
      <c r="Z847" s="364"/>
      <c r="AA847" s="359"/>
    </row>
    <row r="848" spans="1:27">
      <c r="A848" s="388"/>
      <c r="B848" s="388"/>
      <c r="C848" s="380"/>
      <c r="D848" s="380"/>
      <c r="E848" s="380"/>
      <c r="F848" s="380"/>
      <c r="G848" s="388"/>
      <c r="H848" s="392"/>
      <c r="I848" s="392"/>
      <c r="J848" s="392"/>
      <c r="K848" s="392"/>
      <c r="L848" s="392"/>
      <c r="M848" s="392"/>
      <c r="N848" s="392"/>
      <c r="O848" s="392"/>
      <c r="P848" s="392"/>
      <c r="Q848" s="363"/>
      <c r="R848" s="392"/>
      <c r="S848" s="392"/>
      <c r="T848" s="390"/>
      <c r="U848" s="391"/>
      <c r="V848" s="391"/>
      <c r="W848" s="391"/>
      <c r="X848" s="391"/>
      <c r="Y848" s="391"/>
      <c r="Z848" s="364"/>
      <c r="AA848" s="359"/>
    </row>
    <row r="849" spans="1:27">
      <c r="A849" s="381"/>
      <c r="B849" s="381"/>
      <c r="C849" s="382"/>
      <c r="D849" s="382"/>
      <c r="E849" s="382"/>
      <c r="F849" s="382"/>
      <c r="G849" s="381"/>
      <c r="H849" s="393"/>
      <c r="I849" s="393"/>
      <c r="J849" s="393"/>
      <c r="K849" s="393"/>
      <c r="L849" s="393"/>
      <c r="M849" s="393"/>
      <c r="N849" s="393"/>
      <c r="O849" s="393"/>
      <c r="P849" s="393"/>
      <c r="Q849" s="365"/>
      <c r="R849" s="393"/>
      <c r="S849" s="393"/>
      <c r="T849" s="390"/>
      <c r="U849" s="391"/>
      <c r="V849" s="391"/>
      <c r="W849" s="391"/>
      <c r="X849" s="391"/>
      <c r="Y849" s="391"/>
      <c r="Z849" s="364"/>
      <c r="AA849" s="359"/>
    </row>
    <row r="850" spans="1:27">
      <c r="A850" s="388"/>
      <c r="B850" s="388"/>
      <c r="C850" s="380"/>
      <c r="D850" s="380"/>
      <c r="E850" s="380"/>
      <c r="F850" s="380"/>
      <c r="G850" s="388"/>
      <c r="H850" s="392"/>
      <c r="I850" s="392"/>
      <c r="J850" s="392"/>
      <c r="K850" s="392"/>
      <c r="L850" s="392"/>
      <c r="M850" s="392"/>
      <c r="N850" s="392"/>
      <c r="O850" s="392"/>
      <c r="P850" s="392"/>
      <c r="Q850" s="363"/>
      <c r="R850" s="392"/>
      <c r="S850" s="392"/>
      <c r="T850" s="390"/>
      <c r="U850" s="391"/>
      <c r="V850" s="391"/>
      <c r="W850" s="391"/>
      <c r="X850" s="391"/>
      <c r="Y850" s="391"/>
      <c r="Z850" s="364"/>
      <c r="AA850" s="359"/>
    </row>
    <row r="851" spans="1:27">
      <c r="A851" s="381"/>
      <c r="B851" s="381"/>
      <c r="C851" s="382"/>
      <c r="D851" s="382"/>
      <c r="E851" s="382"/>
      <c r="F851" s="382"/>
      <c r="G851" s="381"/>
      <c r="H851" s="393"/>
      <c r="I851" s="393"/>
      <c r="J851" s="393"/>
      <c r="K851" s="393"/>
      <c r="L851" s="393"/>
      <c r="M851" s="393"/>
      <c r="N851" s="393"/>
      <c r="O851" s="393"/>
      <c r="P851" s="393"/>
      <c r="Q851" s="365"/>
      <c r="R851" s="393"/>
      <c r="S851" s="393"/>
      <c r="T851" s="390"/>
      <c r="U851" s="391"/>
      <c r="V851" s="391"/>
      <c r="W851" s="391"/>
      <c r="X851" s="391"/>
      <c r="Y851" s="391"/>
      <c r="Z851" s="364"/>
      <c r="AA851" s="359"/>
    </row>
    <row r="857" spans="1:27" ht="18" customHeight="1"/>
    <row r="864" spans="1:27">
      <c r="A864" s="362"/>
      <c r="B864" s="362"/>
      <c r="C864" s="361"/>
      <c r="D864" s="361"/>
      <c r="E864" s="361"/>
      <c r="F864" s="361"/>
      <c r="G864" s="376"/>
      <c r="H864" s="361"/>
      <c r="I864" s="361"/>
      <c r="J864" s="361"/>
      <c r="K864" s="361"/>
      <c r="L864" s="361"/>
      <c r="M864" s="361"/>
      <c r="N864" s="361"/>
      <c r="O864" s="361"/>
      <c r="P864" s="361"/>
      <c r="Q864" s="361"/>
      <c r="R864" s="361"/>
      <c r="S864" s="361"/>
      <c r="T864" s="359"/>
      <c r="U864" s="359"/>
      <c r="V864" s="359"/>
      <c r="W864" s="359"/>
      <c r="X864" s="359"/>
      <c r="Y864" s="359"/>
      <c r="Z864" s="364"/>
      <c r="AA864" s="359"/>
    </row>
    <row r="865" spans="1:27">
      <c r="A865" s="356"/>
      <c r="B865" s="356"/>
      <c r="C865" s="357"/>
      <c r="D865" s="357"/>
      <c r="E865" s="357"/>
      <c r="F865" s="357"/>
      <c r="G865" s="375"/>
      <c r="H865" s="357"/>
      <c r="I865" s="357"/>
      <c r="J865" s="357"/>
      <c r="K865" s="357"/>
      <c r="L865" s="357"/>
      <c r="M865" s="357"/>
      <c r="N865" s="357"/>
      <c r="O865" s="357"/>
      <c r="P865" s="357"/>
      <c r="Q865" s="357"/>
      <c r="R865" s="357"/>
      <c r="S865" s="357"/>
      <c r="T865" s="359"/>
      <c r="U865" s="359"/>
      <c r="V865" s="359"/>
      <c r="W865" s="359"/>
      <c r="X865" s="359"/>
      <c r="Y865" s="359"/>
      <c r="Z865" s="364"/>
      <c r="AA865" s="359"/>
    </row>
    <row r="866" spans="1:27">
      <c r="A866" s="362"/>
      <c r="B866" s="362"/>
      <c r="C866" s="361"/>
      <c r="D866" s="361"/>
      <c r="E866" s="361"/>
      <c r="F866" s="361"/>
      <c r="G866" s="376"/>
      <c r="H866" s="361"/>
      <c r="I866" s="361"/>
      <c r="J866" s="361"/>
      <c r="K866" s="361"/>
      <c r="L866" s="361"/>
      <c r="M866" s="361"/>
      <c r="N866" s="361"/>
      <c r="O866" s="361"/>
      <c r="P866" s="361"/>
      <c r="Q866" s="361"/>
      <c r="R866" s="361"/>
      <c r="S866" s="361"/>
      <c r="T866" s="359"/>
      <c r="U866" s="359"/>
      <c r="V866" s="359"/>
      <c r="W866" s="359"/>
      <c r="X866" s="359"/>
      <c r="Y866" s="359"/>
      <c r="Z866" s="364"/>
      <c r="AA866" s="359"/>
    </row>
    <row r="867" spans="1:27">
      <c r="A867" s="356"/>
      <c r="B867" s="356"/>
      <c r="C867" s="357"/>
      <c r="D867" s="357"/>
      <c r="E867" s="357"/>
      <c r="F867" s="357"/>
      <c r="G867" s="375"/>
      <c r="H867" s="357"/>
      <c r="I867" s="357"/>
      <c r="J867" s="357"/>
      <c r="K867" s="357"/>
      <c r="L867" s="357"/>
      <c r="M867" s="357"/>
      <c r="N867" s="357"/>
      <c r="O867" s="357"/>
      <c r="P867" s="357"/>
      <c r="Q867" s="357"/>
      <c r="R867" s="357"/>
      <c r="S867" s="357"/>
      <c r="T867" s="359"/>
      <c r="U867" s="359"/>
      <c r="V867" s="359"/>
      <c r="W867" s="359"/>
      <c r="X867" s="359"/>
      <c r="Y867" s="359"/>
      <c r="Z867" s="364"/>
      <c r="AA867" s="359"/>
    </row>
    <row r="868" spans="1:27">
      <c r="A868" s="362"/>
      <c r="B868" s="362"/>
      <c r="C868" s="361"/>
      <c r="D868" s="361"/>
      <c r="E868" s="361"/>
      <c r="F868" s="361"/>
      <c r="G868" s="376"/>
      <c r="H868" s="361"/>
      <c r="I868" s="361"/>
      <c r="J868" s="361"/>
      <c r="K868" s="361"/>
      <c r="L868" s="361"/>
      <c r="M868" s="361"/>
      <c r="N868" s="361"/>
      <c r="O868" s="361"/>
      <c r="P868" s="361"/>
      <c r="Q868" s="361"/>
      <c r="R868" s="361"/>
      <c r="S868" s="361"/>
      <c r="T868" s="359"/>
      <c r="U868" s="359"/>
      <c r="V868" s="359"/>
      <c r="W868" s="359"/>
      <c r="X868" s="359"/>
      <c r="Y868" s="359"/>
      <c r="Z868" s="364"/>
      <c r="AA868" s="359"/>
    </row>
    <row r="869" spans="1:27">
      <c r="A869" s="356"/>
      <c r="B869" s="356"/>
      <c r="C869" s="357"/>
      <c r="D869" s="357"/>
      <c r="E869" s="357"/>
      <c r="F869" s="357"/>
      <c r="G869" s="375"/>
      <c r="H869" s="357"/>
      <c r="I869" s="357"/>
      <c r="J869" s="357"/>
      <c r="K869" s="357"/>
      <c r="L869" s="357"/>
      <c r="M869" s="357"/>
      <c r="N869" s="357"/>
      <c r="O869" s="357"/>
      <c r="P869" s="357"/>
      <c r="Q869" s="357"/>
      <c r="R869" s="357"/>
      <c r="S869" s="357"/>
      <c r="T869" s="359"/>
      <c r="U869" s="359"/>
      <c r="V869" s="359"/>
      <c r="W869" s="359"/>
      <c r="X869" s="359"/>
      <c r="Y869" s="359"/>
      <c r="Z869" s="364"/>
      <c r="AA869" s="359"/>
    </row>
    <row r="870" spans="1:27">
      <c r="A870" s="362"/>
      <c r="B870" s="362"/>
      <c r="C870" s="361"/>
      <c r="D870" s="361"/>
      <c r="E870" s="361"/>
      <c r="F870" s="361"/>
      <c r="G870" s="376"/>
      <c r="H870" s="361"/>
      <c r="I870" s="361"/>
      <c r="J870" s="361"/>
      <c r="K870" s="361"/>
      <c r="L870" s="361"/>
      <c r="M870" s="361"/>
      <c r="N870" s="361"/>
      <c r="O870" s="361"/>
      <c r="P870" s="361"/>
      <c r="Q870" s="361"/>
      <c r="R870" s="361"/>
      <c r="S870" s="361"/>
      <c r="T870" s="359"/>
      <c r="U870" s="359"/>
      <c r="V870" s="359"/>
      <c r="W870" s="359"/>
      <c r="X870" s="359"/>
      <c r="Y870" s="359"/>
      <c r="Z870" s="364"/>
      <c r="AA870" s="359"/>
    </row>
    <row r="871" spans="1:27">
      <c r="A871" s="356"/>
      <c r="B871" s="356"/>
      <c r="C871" s="357"/>
      <c r="D871" s="357"/>
      <c r="E871" s="357"/>
      <c r="F871" s="357"/>
      <c r="G871" s="375"/>
      <c r="H871" s="357"/>
      <c r="I871" s="357"/>
      <c r="J871" s="357"/>
      <c r="K871" s="357"/>
      <c r="L871" s="357"/>
      <c r="M871" s="357"/>
      <c r="N871" s="357"/>
      <c r="O871" s="357"/>
      <c r="P871" s="357"/>
      <c r="Q871" s="357"/>
      <c r="R871" s="357"/>
      <c r="S871" s="357"/>
      <c r="T871" s="359"/>
      <c r="U871" s="359"/>
      <c r="V871" s="359"/>
      <c r="W871" s="359"/>
      <c r="X871" s="359"/>
      <c r="Y871" s="359"/>
      <c r="Z871" s="364"/>
      <c r="AA871" s="359"/>
    </row>
    <row r="872" spans="1:27">
      <c r="A872" s="362"/>
      <c r="B872" s="362"/>
      <c r="C872" s="361"/>
      <c r="D872" s="361"/>
      <c r="E872" s="361"/>
      <c r="F872" s="361"/>
      <c r="G872" s="376"/>
      <c r="H872" s="361"/>
      <c r="I872" s="361"/>
      <c r="J872" s="361"/>
      <c r="K872" s="361"/>
      <c r="L872" s="361"/>
      <c r="M872" s="361"/>
      <c r="N872" s="361"/>
      <c r="O872" s="361"/>
      <c r="P872" s="361"/>
      <c r="Q872" s="361"/>
      <c r="R872" s="361"/>
      <c r="S872" s="361"/>
      <c r="T872" s="359"/>
      <c r="U872" s="359"/>
      <c r="V872" s="359"/>
      <c r="W872" s="359"/>
      <c r="X872" s="359"/>
      <c r="Y872" s="359"/>
      <c r="Z872" s="364"/>
      <c r="AA872" s="359"/>
    </row>
    <row r="873" spans="1:27">
      <c r="A873" s="356"/>
      <c r="B873" s="356"/>
      <c r="C873" s="357"/>
      <c r="D873" s="357"/>
      <c r="E873" s="357"/>
      <c r="F873" s="357"/>
      <c r="G873" s="375"/>
      <c r="H873" s="357"/>
      <c r="I873" s="357"/>
      <c r="J873" s="357"/>
      <c r="K873" s="357"/>
      <c r="L873" s="357"/>
      <c r="M873" s="357"/>
      <c r="N873" s="357"/>
      <c r="O873" s="357"/>
      <c r="P873" s="357"/>
      <c r="Q873" s="357"/>
      <c r="R873" s="357"/>
      <c r="S873" s="357"/>
      <c r="T873" s="359"/>
      <c r="U873" s="359"/>
      <c r="V873" s="359"/>
      <c r="W873" s="359"/>
      <c r="X873" s="359"/>
      <c r="Y873" s="359"/>
      <c r="Z873" s="364"/>
      <c r="AA873" s="359"/>
    </row>
    <row r="874" spans="1:27">
      <c r="A874" s="362"/>
      <c r="B874" s="362"/>
      <c r="C874" s="361"/>
      <c r="D874" s="361"/>
      <c r="E874" s="361"/>
      <c r="F874" s="361"/>
      <c r="G874" s="376"/>
      <c r="H874" s="361"/>
      <c r="I874" s="361"/>
      <c r="J874" s="361"/>
      <c r="K874" s="361"/>
      <c r="L874" s="361"/>
      <c r="M874" s="361"/>
      <c r="N874" s="361"/>
      <c r="O874" s="361"/>
      <c r="P874" s="361"/>
      <c r="Q874" s="361"/>
      <c r="R874" s="361"/>
      <c r="S874" s="361"/>
      <c r="T874" s="359"/>
      <c r="U874" s="359"/>
      <c r="V874" s="359"/>
      <c r="W874" s="359"/>
      <c r="X874" s="359"/>
      <c r="Y874" s="359"/>
      <c r="Z874" s="364"/>
      <c r="AA874" s="359"/>
    </row>
    <row r="875" spans="1:27">
      <c r="A875" s="356"/>
      <c r="B875" s="356"/>
      <c r="C875" s="357"/>
      <c r="D875" s="357"/>
      <c r="E875" s="357"/>
      <c r="F875" s="357"/>
      <c r="G875" s="375"/>
      <c r="H875" s="357"/>
      <c r="I875" s="357"/>
      <c r="J875" s="357"/>
      <c r="K875" s="357"/>
      <c r="L875" s="357"/>
      <c r="M875" s="357"/>
      <c r="N875" s="357"/>
      <c r="O875" s="357"/>
      <c r="P875" s="357"/>
      <c r="Q875" s="357"/>
      <c r="R875" s="357"/>
      <c r="S875" s="357"/>
      <c r="T875" s="359"/>
      <c r="U875" s="359"/>
      <c r="V875" s="359"/>
      <c r="W875" s="359"/>
      <c r="X875" s="359"/>
      <c r="Y875" s="359"/>
      <c r="Z875" s="364"/>
      <c r="AA875" s="359"/>
    </row>
    <row r="876" spans="1:27">
      <c r="A876" s="362"/>
      <c r="B876" s="362"/>
      <c r="C876" s="361"/>
      <c r="D876" s="361"/>
      <c r="E876" s="361"/>
      <c r="F876" s="361"/>
      <c r="G876" s="376"/>
      <c r="H876" s="361"/>
      <c r="I876" s="361"/>
      <c r="J876" s="361"/>
      <c r="K876" s="361"/>
      <c r="L876" s="361"/>
      <c r="M876" s="361"/>
      <c r="N876" s="361"/>
      <c r="O876" s="361"/>
      <c r="P876" s="361"/>
      <c r="Q876" s="361"/>
      <c r="R876" s="361"/>
      <c r="S876" s="361"/>
      <c r="T876" s="359"/>
      <c r="U876" s="359"/>
      <c r="V876" s="359"/>
      <c r="W876" s="359"/>
      <c r="X876" s="359"/>
      <c r="Y876" s="359"/>
      <c r="Z876" s="364"/>
      <c r="AA876" s="359"/>
    </row>
    <row r="877" spans="1:27">
      <c r="A877" s="356"/>
      <c r="B877" s="356"/>
      <c r="C877" s="357"/>
      <c r="D877" s="357"/>
      <c r="E877" s="357"/>
      <c r="F877" s="357"/>
      <c r="G877" s="375"/>
      <c r="H877" s="357"/>
      <c r="I877" s="357"/>
      <c r="J877" s="357"/>
      <c r="K877" s="357"/>
      <c r="L877" s="357"/>
      <c r="M877" s="357"/>
      <c r="N877" s="357"/>
      <c r="O877" s="357"/>
      <c r="P877" s="357"/>
      <c r="Q877" s="357"/>
      <c r="R877" s="357"/>
      <c r="S877" s="357"/>
      <c r="T877" s="359"/>
      <c r="U877" s="359"/>
      <c r="V877" s="359"/>
      <c r="W877" s="359"/>
      <c r="X877" s="359"/>
      <c r="Y877" s="359"/>
      <c r="Z877" s="364"/>
      <c r="AA877" s="359"/>
    </row>
    <row r="878" spans="1:27">
      <c r="A878" s="362"/>
      <c r="B878" s="362"/>
      <c r="C878" s="361"/>
      <c r="D878" s="361"/>
      <c r="E878" s="361"/>
      <c r="F878" s="361"/>
      <c r="G878" s="376"/>
      <c r="H878" s="361"/>
      <c r="I878" s="361"/>
      <c r="J878" s="361"/>
      <c r="K878" s="361"/>
      <c r="L878" s="361"/>
      <c r="M878" s="361"/>
      <c r="N878" s="361"/>
      <c r="O878" s="361"/>
      <c r="P878" s="361"/>
      <c r="Q878" s="361"/>
      <c r="R878" s="361"/>
      <c r="S878" s="361"/>
      <c r="T878" s="359"/>
      <c r="U878" s="359"/>
      <c r="V878" s="359"/>
      <c r="W878" s="359"/>
      <c r="X878" s="359"/>
      <c r="Y878" s="359"/>
      <c r="Z878" s="364"/>
      <c r="AA878" s="359"/>
    </row>
    <row r="879" spans="1:27">
      <c r="A879" s="356"/>
      <c r="B879" s="356"/>
      <c r="C879" s="357"/>
      <c r="D879" s="357"/>
      <c r="E879" s="357"/>
      <c r="F879" s="357"/>
      <c r="G879" s="375"/>
      <c r="H879" s="357"/>
      <c r="I879" s="357"/>
      <c r="J879" s="357"/>
      <c r="K879" s="357"/>
      <c r="L879" s="357"/>
      <c r="M879" s="357"/>
      <c r="N879" s="357"/>
      <c r="O879" s="357"/>
      <c r="P879" s="357"/>
      <c r="Q879" s="357"/>
      <c r="R879" s="357"/>
      <c r="S879" s="357"/>
      <c r="T879" s="359"/>
      <c r="U879" s="359"/>
      <c r="V879" s="359"/>
      <c r="W879" s="359"/>
      <c r="X879" s="359"/>
      <c r="Y879" s="359"/>
      <c r="Z879" s="364"/>
      <c r="AA879" s="359"/>
    </row>
    <row r="880" spans="1:27">
      <c r="A880" s="362"/>
      <c r="B880" s="362"/>
      <c r="C880" s="361"/>
      <c r="D880" s="361"/>
      <c r="E880" s="361"/>
      <c r="F880" s="361"/>
      <c r="G880" s="376"/>
      <c r="H880" s="361"/>
      <c r="I880" s="361"/>
      <c r="J880" s="361"/>
      <c r="K880" s="361"/>
      <c r="L880" s="361"/>
      <c r="M880" s="361"/>
      <c r="N880" s="361"/>
      <c r="O880" s="361"/>
      <c r="P880" s="361"/>
      <c r="Q880" s="361"/>
      <c r="R880" s="361"/>
      <c r="S880" s="361"/>
      <c r="T880" s="359"/>
      <c r="U880" s="359"/>
      <c r="V880" s="359"/>
      <c r="W880" s="359"/>
      <c r="X880" s="359"/>
      <c r="Y880" s="359"/>
      <c r="Z880" s="364"/>
      <c r="AA880" s="359"/>
    </row>
    <row r="881" spans="1:27">
      <c r="A881" s="356"/>
      <c r="B881" s="356"/>
      <c r="C881" s="357"/>
      <c r="D881" s="357"/>
      <c r="E881" s="357"/>
      <c r="F881" s="357"/>
      <c r="G881" s="375"/>
      <c r="H881" s="357"/>
      <c r="I881" s="357"/>
      <c r="J881" s="357"/>
      <c r="K881" s="357"/>
      <c r="L881" s="357"/>
      <c r="M881" s="357"/>
      <c r="N881" s="357"/>
      <c r="O881" s="357"/>
      <c r="P881" s="357"/>
      <c r="Q881" s="357"/>
      <c r="R881" s="357"/>
      <c r="S881" s="357"/>
      <c r="T881" s="359"/>
      <c r="U881" s="359"/>
      <c r="V881" s="359"/>
      <c r="W881" s="359"/>
      <c r="X881" s="359"/>
      <c r="Y881" s="359"/>
      <c r="Z881" s="364"/>
      <c r="AA881" s="359"/>
    </row>
    <row r="882" spans="1:27">
      <c r="A882" s="362"/>
      <c r="B882" s="362"/>
      <c r="C882" s="361"/>
      <c r="D882" s="361"/>
      <c r="E882" s="361"/>
      <c r="F882" s="361"/>
      <c r="G882" s="376"/>
      <c r="H882" s="361"/>
      <c r="I882" s="361"/>
      <c r="J882" s="361"/>
      <c r="K882" s="361"/>
      <c r="L882" s="361"/>
      <c r="M882" s="361"/>
      <c r="N882" s="361"/>
      <c r="O882" s="361"/>
      <c r="P882" s="361"/>
      <c r="Q882" s="361"/>
      <c r="R882" s="361"/>
      <c r="S882" s="361"/>
      <c r="T882" s="359"/>
      <c r="U882" s="359"/>
      <c r="V882" s="359"/>
      <c r="W882" s="359"/>
      <c r="X882" s="359"/>
      <c r="Y882" s="359"/>
      <c r="Z882" s="364"/>
      <c r="AA882" s="359"/>
    </row>
    <row r="883" spans="1:27">
      <c r="A883" s="356"/>
      <c r="B883" s="356"/>
      <c r="C883" s="357"/>
      <c r="D883" s="357"/>
      <c r="E883" s="357"/>
      <c r="F883" s="357"/>
      <c r="G883" s="375"/>
      <c r="H883" s="357"/>
      <c r="I883" s="357"/>
      <c r="J883" s="357"/>
      <c r="K883" s="357"/>
      <c r="L883" s="357"/>
      <c r="M883" s="357"/>
      <c r="N883" s="357"/>
      <c r="O883" s="357"/>
      <c r="P883" s="357"/>
      <c r="Q883" s="357"/>
      <c r="R883" s="357"/>
      <c r="S883" s="357"/>
      <c r="T883" s="359"/>
      <c r="U883" s="359"/>
      <c r="V883" s="359"/>
      <c r="W883" s="359"/>
      <c r="X883" s="359"/>
      <c r="Y883" s="359"/>
      <c r="Z883" s="364"/>
      <c r="AA883" s="359"/>
    </row>
    <row r="884" spans="1:27">
      <c r="A884" s="362"/>
      <c r="B884" s="362"/>
      <c r="C884" s="361"/>
      <c r="D884" s="361"/>
      <c r="E884" s="361"/>
      <c r="F884" s="361"/>
      <c r="G884" s="376"/>
      <c r="H884" s="361"/>
      <c r="I884" s="361"/>
      <c r="J884" s="361"/>
      <c r="K884" s="361"/>
      <c r="L884" s="361"/>
      <c r="M884" s="361"/>
      <c r="N884" s="361"/>
      <c r="O884" s="361"/>
      <c r="P884" s="361"/>
      <c r="Q884" s="361"/>
      <c r="R884" s="361"/>
      <c r="S884" s="361"/>
      <c r="T884" s="359"/>
      <c r="U884" s="359"/>
      <c r="V884" s="359"/>
      <c r="W884" s="359"/>
      <c r="X884" s="359"/>
      <c r="Y884" s="359"/>
      <c r="Z884" s="364"/>
      <c r="AA884" s="359"/>
    </row>
    <row r="885" spans="1:27">
      <c r="A885" s="356"/>
      <c r="B885" s="356"/>
      <c r="C885" s="357"/>
      <c r="D885" s="357"/>
      <c r="E885" s="357"/>
      <c r="F885" s="357"/>
      <c r="G885" s="375"/>
      <c r="H885" s="357"/>
      <c r="I885" s="357"/>
      <c r="J885" s="357"/>
      <c r="K885" s="357"/>
      <c r="L885" s="357"/>
      <c r="M885" s="357"/>
      <c r="N885" s="357"/>
      <c r="O885" s="357"/>
      <c r="P885" s="357"/>
      <c r="Q885" s="357"/>
      <c r="R885" s="357"/>
      <c r="S885" s="357"/>
      <c r="T885" s="359"/>
      <c r="U885" s="359"/>
      <c r="V885" s="359"/>
      <c r="W885" s="359"/>
      <c r="X885" s="359"/>
      <c r="Y885" s="359"/>
      <c r="Z885" s="364"/>
      <c r="AA885" s="359"/>
    </row>
    <row r="886" spans="1:27">
      <c r="A886" s="362"/>
      <c r="B886" s="362"/>
      <c r="C886" s="361"/>
      <c r="D886" s="361"/>
      <c r="E886" s="361"/>
      <c r="F886" s="361"/>
      <c r="G886" s="376"/>
      <c r="H886" s="361"/>
      <c r="I886" s="361"/>
      <c r="J886" s="361"/>
      <c r="K886" s="361"/>
      <c r="L886" s="361"/>
      <c r="M886" s="361"/>
      <c r="N886" s="361"/>
      <c r="O886" s="361"/>
      <c r="P886" s="361"/>
      <c r="Q886" s="361"/>
      <c r="R886" s="361"/>
      <c r="S886" s="361"/>
      <c r="T886" s="359"/>
      <c r="U886" s="359"/>
      <c r="V886" s="359"/>
      <c r="W886" s="359"/>
      <c r="X886" s="359"/>
      <c r="Y886" s="359"/>
      <c r="Z886" s="364"/>
      <c r="AA886" s="359"/>
    </row>
    <row r="887" spans="1:27">
      <c r="A887" s="356"/>
      <c r="B887" s="356"/>
      <c r="C887" s="357"/>
      <c r="D887" s="357"/>
      <c r="E887" s="357"/>
      <c r="F887" s="357"/>
      <c r="G887" s="375"/>
      <c r="H887" s="357"/>
      <c r="I887" s="357"/>
      <c r="J887" s="357"/>
      <c r="K887" s="357"/>
      <c r="L887" s="357"/>
      <c r="M887" s="357"/>
      <c r="N887" s="357"/>
      <c r="O887" s="357"/>
      <c r="P887" s="357"/>
      <c r="Q887" s="357"/>
      <c r="R887" s="357"/>
      <c r="S887" s="357"/>
      <c r="T887" s="359"/>
      <c r="U887" s="359"/>
      <c r="V887" s="359"/>
      <c r="W887" s="359"/>
      <c r="X887" s="359"/>
      <c r="Y887" s="359"/>
      <c r="Z887" s="364"/>
      <c r="AA887" s="359"/>
    </row>
    <row r="888" spans="1:27">
      <c r="A888" s="362"/>
      <c r="B888" s="362"/>
      <c r="C888" s="361"/>
      <c r="D888" s="361"/>
      <c r="E888" s="361"/>
      <c r="F888" s="361"/>
      <c r="G888" s="376"/>
      <c r="H888" s="361"/>
      <c r="I888" s="361"/>
      <c r="J888" s="361"/>
      <c r="K888" s="361"/>
      <c r="L888" s="361"/>
      <c r="M888" s="361"/>
      <c r="N888" s="361"/>
      <c r="O888" s="361"/>
      <c r="P888" s="361"/>
      <c r="Q888" s="361"/>
      <c r="R888" s="361"/>
      <c r="S888" s="361"/>
      <c r="T888" s="359"/>
      <c r="U888" s="359"/>
      <c r="V888" s="359"/>
      <c r="W888" s="359"/>
      <c r="X888" s="359"/>
      <c r="Y888" s="359"/>
      <c r="Z888" s="364"/>
      <c r="AA888" s="359"/>
    </row>
    <row r="889" spans="1:27">
      <c r="A889" s="356"/>
      <c r="B889" s="356"/>
      <c r="C889" s="357"/>
      <c r="D889" s="357"/>
      <c r="E889" s="357"/>
      <c r="F889" s="357"/>
      <c r="G889" s="375"/>
      <c r="H889" s="357"/>
      <c r="I889" s="357"/>
      <c r="J889" s="357"/>
      <c r="K889" s="357"/>
      <c r="L889" s="357"/>
      <c r="M889" s="357"/>
      <c r="N889" s="357"/>
      <c r="O889" s="357"/>
      <c r="P889" s="357"/>
      <c r="Q889" s="357"/>
      <c r="R889" s="357"/>
      <c r="S889" s="357"/>
      <c r="T889" s="359"/>
      <c r="U889" s="359"/>
      <c r="V889" s="359"/>
      <c r="W889" s="359"/>
      <c r="X889" s="359"/>
      <c r="Y889" s="359"/>
      <c r="Z889" s="364"/>
      <c r="AA889" s="359"/>
    </row>
    <row r="890" spans="1:27">
      <c r="A890" s="362"/>
      <c r="B890" s="362"/>
      <c r="C890" s="361"/>
      <c r="D890" s="361"/>
      <c r="E890" s="361"/>
      <c r="F890" s="361"/>
      <c r="G890" s="376"/>
      <c r="H890" s="361"/>
      <c r="I890" s="361"/>
      <c r="J890" s="361"/>
      <c r="K890" s="361"/>
      <c r="L890" s="361"/>
      <c r="M890" s="361"/>
      <c r="N890" s="361"/>
      <c r="O890" s="361"/>
      <c r="P890" s="361"/>
      <c r="Q890" s="361"/>
      <c r="R890" s="361"/>
      <c r="S890" s="361"/>
      <c r="T890" s="359"/>
      <c r="U890" s="359"/>
      <c r="V890" s="359"/>
      <c r="W890" s="359"/>
      <c r="X890" s="359"/>
      <c r="Y890" s="359"/>
      <c r="Z890" s="364"/>
      <c r="AA890" s="359"/>
    </row>
    <row r="891" spans="1:27">
      <c r="A891" s="356"/>
      <c r="B891" s="356"/>
      <c r="C891" s="357"/>
      <c r="D891" s="357"/>
      <c r="E891" s="357"/>
      <c r="F891" s="357"/>
      <c r="G891" s="375"/>
      <c r="H891" s="357"/>
      <c r="I891" s="357"/>
      <c r="J891" s="357"/>
      <c r="K891" s="357"/>
      <c r="L891" s="357"/>
      <c r="M891" s="357"/>
      <c r="N891" s="357"/>
      <c r="O891" s="357"/>
      <c r="P891" s="357"/>
      <c r="Q891" s="357"/>
      <c r="R891" s="357"/>
      <c r="S891" s="357"/>
      <c r="T891" s="359"/>
      <c r="U891" s="359"/>
      <c r="V891" s="359"/>
      <c r="W891" s="359"/>
      <c r="X891" s="359"/>
      <c r="Y891" s="359"/>
      <c r="Z891" s="364"/>
      <c r="AA891" s="359"/>
    </row>
    <row r="892" spans="1:27">
      <c r="A892" s="362"/>
      <c r="B892" s="362"/>
      <c r="C892" s="361"/>
      <c r="D892" s="361"/>
      <c r="E892" s="361"/>
      <c r="F892" s="361"/>
      <c r="G892" s="376"/>
      <c r="H892" s="361"/>
      <c r="I892" s="361"/>
      <c r="J892" s="361"/>
      <c r="K892" s="361"/>
      <c r="L892" s="361"/>
      <c r="M892" s="361"/>
      <c r="N892" s="361"/>
      <c r="O892" s="361"/>
      <c r="P892" s="361"/>
      <c r="Q892" s="361"/>
      <c r="R892" s="361"/>
      <c r="S892" s="361"/>
      <c r="T892" s="359"/>
      <c r="U892" s="359"/>
      <c r="V892" s="359"/>
      <c r="W892" s="359"/>
      <c r="X892" s="359"/>
      <c r="Y892" s="359"/>
      <c r="Z892" s="364"/>
      <c r="AA892" s="359"/>
    </row>
    <row r="893" spans="1:27">
      <c r="A893" s="356"/>
      <c r="B893" s="356"/>
      <c r="C893" s="357"/>
      <c r="D893" s="357"/>
      <c r="E893" s="357"/>
      <c r="F893" s="357"/>
      <c r="G893" s="375"/>
      <c r="H893" s="357"/>
      <c r="I893" s="357"/>
      <c r="J893" s="357"/>
      <c r="K893" s="357"/>
      <c r="L893" s="357"/>
      <c r="M893" s="357"/>
      <c r="N893" s="357"/>
      <c r="O893" s="357"/>
      <c r="P893" s="357"/>
      <c r="Q893" s="357"/>
      <c r="R893" s="357"/>
      <c r="S893" s="357"/>
      <c r="T893" s="359"/>
      <c r="U893" s="359"/>
      <c r="V893" s="359"/>
      <c r="W893" s="359"/>
      <c r="X893" s="359"/>
      <c r="Y893" s="359"/>
      <c r="Z893" s="364"/>
      <c r="AA893" s="359"/>
    </row>
    <row r="894" spans="1:27">
      <c r="A894" s="362"/>
      <c r="B894" s="362"/>
      <c r="C894" s="361"/>
      <c r="D894" s="361"/>
      <c r="E894" s="361"/>
      <c r="F894" s="361"/>
      <c r="G894" s="376"/>
      <c r="H894" s="361"/>
      <c r="I894" s="361"/>
      <c r="J894" s="361"/>
      <c r="K894" s="361"/>
      <c r="L894" s="361"/>
      <c r="M894" s="361"/>
      <c r="N894" s="361"/>
      <c r="O894" s="361"/>
      <c r="P894" s="361"/>
      <c r="Q894" s="361"/>
      <c r="R894" s="361"/>
      <c r="S894" s="361"/>
      <c r="T894" s="359"/>
      <c r="U894" s="359"/>
      <c r="V894" s="359"/>
      <c r="W894" s="359"/>
      <c r="X894" s="359"/>
      <c r="Y894" s="359"/>
      <c r="Z894" s="364"/>
      <c r="AA894" s="359"/>
    </row>
    <row r="895" spans="1:27">
      <c r="A895" s="356"/>
      <c r="B895" s="356"/>
      <c r="C895" s="357"/>
      <c r="D895" s="357"/>
      <c r="E895" s="357"/>
      <c r="F895" s="357"/>
      <c r="G895" s="375"/>
      <c r="H895" s="357"/>
      <c r="I895" s="357"/>
      <c r="J895" s="357"/>
      <c r="K895" s="357"/>
      <c r="L895" s="357"/>
      <c r="M895" s="357"/>
      <c r="N895" s="357"/>
      <c r="O895" s="357"/>
      <c r="P895" s="357"/>
      <c r="Q895" s="357"/>
      <c r="R895" s="357"/>
      <c r="S895" s="357"/>
      <c r="T895" s="359"/>
      <c r="U895" s="359"/>
      <c r="V895" s="359"/>
      <c r="W895" s="359"/>
      <c r="X895" s="359"/>
      <c r="Y895" s="359"/>
      <c r="Z895" s="364"/>
      <c r="AA895" s="359"/>
    </row>
    <row r="896" spans="1:27">
      <c r="A896" s="362"/>
      <c r="B896" s="362"/>
      <c r="C896" s="361"/>
      <c r="D896" s="361"/>
      <c r="E896" s="361"/>
      <c r="F896" s="361"/>
      <c r="G896" s="376"/>
      <c r="H896" s="361"/>
      <c r="I896" s="361"/>
      <c r="J896" s="361"/>
      <c r="K896" s="361"/>
      <c r="L896" s="361"/>
      <c r="M896" s="361"/>
      <c r="N896" s="361"/>
      <c r="O896" s="361"/>
      <c r="P896" s="361"/>
      <c r="Q896" s="361"/>
      <c r="R896" s="361"/>
      <c r="S896" s="361"/>
      <c r="T896" s="359"/>
      <c r="U896" s="359"/>
      <c r="V896" s="359"/>
      <c r="W896" s="359"/>
      <c r="X896" s="359"/>
      <c r="Y896" s="359"/>
      <c r="Z896" s="364"/>
      <c r="AA896" s="359"/>
    </row>
    <row r="897" spans="1:27">
      <c r="A897" s="356"/>
      <c r="B897" s="356"/>
      <c r="C897" s="357"/>
      <c r="D897" s="357"/>
      <c r="E897" s="357"/>
      <c r="F897" s="357"/>
      <c r="G897" s="375"/>
      <c r="H897" s="357"/>
      <c r="I897" s="357"/>
      <c r="J897" s="357"/>
      <c r="K897" s="357"/>
      <c r="L897" s="357"/>
      <c r="M897" s="357"/>
      <c r="N897" s="357"/>
      <c r="O897" s="357"/>
      <c r="P897" s="357"/>
      <c r="Q897" s="357"/>
      <c r="R897" s="357"/>
      <c r="S897" s="357"/>
      <c r="T897" s="359"/>
      <c r="U897" s="359"/>
      <c r="V897" s="359"/>
      <c r="W897" s="359"/>
      <c r="X897" s="359"/>
      <c r="Y897" s="359"/>
      <c r="Z897" s="364"/>
      <c r="AA897" s="359"/>
    </row>
    <row r="898" spans="1:27">
      <c r="A898" s="362"/>
      <c r="B898" s="362"/>
      <c r="C898" s="361"/>
      <c r="D898" s="361"/>
      <c r="E898" s="361"/>
      <c r="F898" s="361"/>
      <c r="G898" s="376"/>
      <c r="H898" s="361"/>
      <c r="I898" s="361"/>
      <c r="J898" s="361"/>
      <c r="K898" s="361"/>
      <c r="L898" s="361"/>
      <c r="M898" s="361"/>
      <c r="N898" s="361"/>
      <c r="O898" s="361"/>
      <c r="P898" s="361"/>
      <c r="Q898" s="361"/>
      <c r="R898" s="361"/>
      <c r="S898" s="361"/>
      <c r="T898" s="359"/>
      <c r="U898" s="359"/>
      <c r="V898" s="359"/>
      <c r="W898" s="359"/>
      <c r="X898" s="359"/>
      <c r="Y898" s="359"/>
      <c r="Z898" s="364"/>
      <c r="AA898" s="359"/>
    </row>
    <row r="899" spans="1:27">
      <c r="A899" s="356"/>
      <c r="B899" s="356"/>
      <c r="C899" s="357"/>
      <c r="D899" s="357"/>
      <c r="E899" s="357"/>
      <c r="F899" s="357"/>
      <c r="G899" s="375"/>
      <c r="H899" s="357"/>
      <c r="I899" s="357"/>
      <c r="J899" s="357"/>
      <c r="K899" s="357"/>
      <c r="L899" s="357"/>
      <c r="M899" s="357"/>
      <c r="N899" s="357"/>
      <c r="O899" s="357"/>
      <c r="P899" s="357"/>
      <c r="Q899" s="357"/>
      <c r="R899" s="357"/>
      <c r="S899" s="357"/>
      <c r="T899" s="359"/>
      <c r="U899" s="359"/>
      <c r="V899" s="359"/>
      <c r="W899" s="359"/>
      <c r="X899" s="359"/>
      <c r="Y899" s="359"/>
      <c r="Z899" s="364"/>
      <c r="AA899" s="359"/>
    </row>
    <row r="900" spans="1:27">
      <c r="A900" s="362"/>
      <c r="B900" s="362"/>
      <c r="C900" s="361"/>
      <c r="D900" s="361"/>
      <c r="E900" s="361"/>
      <c r="F900" s="361"/>
      <c r="G900" s="376"/>
      <c r="H900" s="361"/>
      <c r="I900" s="361"/>
      <c r="J900" s="361"/>
      <c r="K900" s="361"/>
      <c r="L900" s="361"/>
      <c r="M900" s="361"/>
      <c r="N900" s="361"/>
      <c r="O900" s="361"/>
      <c r="P900" s="361"/>
      <c r="Q900" s="361"/>
      <c r="R900" s="361"/>
      <c r="S900" s="361"/>
      <c r="T900" s="359"/>
      <c r="U900" s="359"/>
      <c r="V900" s="359"/>
      <c r="W900" s="359"/>
      <c r="X900" s="359"/>
      <c r="Y900" s="359"/>
      <c r="Z900" s="364"/>
      <c r="AA900" s="359"/>
    </row>
    <row r="901" spans="1:27">
      <c r="A901" s="356"/>
      <c r="B901" s="356"/>
      <c r="C901" s="357"/>
      <c r="D901" s="357"/>
      <c r="E901" s="357"/>
      <c r="F901" s="357"/>
      <c r="G901" s="375"/>
      <c r="H901" s="357"/>
      <c r="I901" s="357"/>
      <c r="J901" s="357"/>
      <c r="K901" s="357"/>
      <c r="L901" s="357"/>
      <c r="M901" s="357"/>
      <c r="N901" s="357"/>
      <c r="O901" s="357"/>
      <c r="P901" s="357"/>
      <c r="Q901" s="357"/>
      <c r="R901" s="357"/>
      <c r="S901" s="357"/>
      <c r="T901" s="359"/>
      <c r="U901" s="359"/>
      <c r="V901" s="359"/>
      <c r="W901" s="359"/>
      <c r="X901" s="359"/>
      <c r="Y901" s="359"/>
      <c r="Z901" s="364"/>
      <c r="AA901" s="359"/>
    </row>
    <row r="902" spans="1:27">
      <c r="A902" s="362"/>
      <c r="B902" s="362"/>
      <c r="C902" s="361"/>
      <c r="D902" s="361"/>
      <c r="E902" s="361"/>
      <c r="F902" s="361"/>
      <c r="G902" s="376"/>
      <c r="H902" s="361"/>
      <c r="I902" s="361"/>
      <c r="J902" s="361"/>
      <c r="K902" s="361"/>
      <c r="L902" s="361"/>
      <c r="M902" s="361"/>
      <c r="N902" s="361"/>
      <c r="O902" s="361"/>
      <c r="P902" s="361"/>
      <c r="Q902" s="361"/>
      <c r="R902" s="361"/>
      <c r="S902" s="361"/>
      <c r="T902" s="359"/>
      <c r="U902" s="359"/>
      <c r="V902" s="359"/>
      <c r="W902" s="359"/>
      <c r="X902" s="359"/>
      <c r="Y902" s="359"/>
      <c r="Z902" s="364"/>
      <c r="AA902" s="359"/>
    </row>
    <row r="903" spans="1:27">
      <c r="A903" s="356"/>
      <c r="B903" s="356"/>
      <c r="C903" s="357"/>
      <c r="D903" s="357"/>
      <c r="E903" s="357"/>
      <c r="F903" s="357"/>
      <c r="G903" s="375"/>
      <c r="H903" s="357"/>
      <c r="I903" s="357"/>
      <c r="J903" s="357"/>
      <c r="K903" s="357"/>
      <c r="L903" s="357"/>
      <c r="M903" s="357"/>
      <c r="N903" s="357"/>
      <c r="O903" s="357"/>
      <c r="P903" s="357"/>
      <c r="Q903" s="357"/>
      <c r="R903" s="357"/>
      <c r="S903" s="357"/>
      <c r="T903" s="359"/>
      <c r="U903" s="359"/>
      <c r="V903" s="359"/>
      <c r="W903" s="359"/>
      <c r="X903" s="359"/>
      <c r="Y903" s="359"/>
      <c r="Z903" s="364"/>
      <c r="AA903" s="359"/>
    </row>
    <row r="904" spans="1:27">
      <c r="A904" s="362"/>
      <c r="B904" s="362"/>
      <c r="C904" s="361"/>
      <c r="D904" s="361"/>
      <c r="E904" s="361"/>
      <c r="F904" s="361"/>
      <c r="G904" s="376"/>
      <c r="H904" s="361"/>
      <c r="I904" s="361"/>
      <c r="J904" s="361"/>
      <c r="K904" s="361"/>
      <c r="L904" s="361"/>
      <c r="M904" s="361"/>
      <c r="N904" s="361"/>
      <c r="O904" s="361"/>
      <c r="P904" s="361"/>
      <c r="Q904" s="361"/>
      <c r="R904" s="361"/>
      <c r="S904" s="361"/>
      <c r="T904" s="359"/>
      <c r="U904" s="359"/>
      <c r="V904" s="359"/>
      <c r="W904" s="359"/>
      <c r="X904" s="359"/>
      <c r="Y904" s="359"/>
      <c r="Z904" s="364"/>
      <c r="AA904" s="359"/>
    </row>
    <row r="905" spans="1:27">
      <c r="A905" s="356"/>
      <c r="B905" s="356"/>
      <c r="C905" s="357"/>
      <c r="D905" s="357"/>
      <c r="E905" s="357"/>
      <c r="F905" s="357"/>
      <c r="G905" s="375"/>
      <c r="H905" s="357"/>
      <c r="I905" s="357"/>
      <c r="J905" s="357"/>
      <c r="K905" s="357"/>
      <c r="L905" s="357"/>
      <c r="M905" s="357"/>
      <c r="N905" s="357"/>
      <c r="O905" s="357"/>
      <c r="P905" s="357"/>
      <c r="Q905" s="357"/>
      <c r="R905" s="357"/>
      <c r="S905" s="357"/>
      <c r="T905" s="359"/>
      <c r="U905" s="359"/>
      <c r="V905" s="359"/>
      <c r="W905" s="359"/>
      <c r="X905" s="359"/>
      <c r="Y905" s="359"/>
      <c r="Z905" s="364"/>
      <c r="AA905" s="359"/>
    </row>
    <row r="906" spans="1:27">
      <c r="A906" s="362"/>
      <c r="B906" s="362"/>
      <c r="C906" s="361"/>
      <c r="D906" s="361"/>
      <c r="E906" s="361"/>
      <c r="F906" s="361"/>
      <c r="G906" s="376"/>
      <c r="H906" s="361"/>
      <c r="I906" s="361"/>
      <c r="J906" s="361"/>
      <c r="K906" s="361"/>
      <c r="L906" s="361"/>
      <c r="M906" s="361"/>
      <c r="N906" s="361"/>
      <c r="O906" s="361"/>
      <c r="P906" s="361"/>
      <c r="Q906" s="361"/>
      <c r="R906" s="361"/>
      <c r="S906" s="361"/>
      <c r="T906" s="359"/>
      <c r="U906" s="359"/>
      <c r="V906" s="359"/>
      <c r="W906" s="359"/>
      <c r="X906" s="359"/>
      <c r="Y906" s="359"/>
      <c r="Z906" s="364"/>
      <c r="AA906" s="359"/>
    </row>
    <row r="907" spans="1:27">
      <c r="A907" s="356"/>
      <c r="B907" s="356"/>
      <c r="C907" s="357"/>
      <c r="D907" s="357"/>
      <c r="E907" s="357"/>
      <c r="F907" s="357"/>
      <c r="G907" s="375"/>
      <c r="H907" s="357"/>
      <c r="I907" s="357"/>
      <c r="J907" s="357"/>
      <c r="K907" s="357"/>
      <c r="L907" s="357"/>
      <c r="M907" s="357"/>
      <c r="N907" s="357"/>
      <c r="O907" s="357"/>
      <c r="P907" s="357"/>
      <c r="Q907" s="357"/>
      <c r="R907" s="357"/>
      <c r="S907" s="357"/>
      <c r="T907" s="359"/>
      <c r="U907" s="359"/>
      <c r="V907" s="359"/>
      <c r="W907" s="359"/>
      <c r="X907" s="359"/>
      <c r="Y907" s="359"/>
      <c r="Z907" s="364"/>
      <c r="AA907" s="359"/>
    </row>
    <row r="908" spans="1:27">
      <c r="A908" s="362"/>
      <c r="B908" s="362"/>
      <c r="C908" s="361"/>
      <c r="D908" s="361"/>
      <c r="E908" s="361"/>
      <c r="F908" s="361"/>
      <c r="G908" s="376"/>
      <c r="H908" s="361"/>
      <c r="I908" s="361"/>
      <c r="J908" s="361"/>
      <c r="K908" s="361"/>
      <c r="L908" s="361"/>
      <c r="M908" s="361"/>
      <c r="N908" s="361"/>
      <c r="O908" s="361"/>
      <c r="P908" s="361"/>
      <c r="Q908" s="361"/>
      <c r="R908" s="361"/>
      <c r="S908" s="361"/>
      <c r="T908" s="359"/>
      <c r="U908" s="359"/>
      <c r="V908" s="359"/>
      <c r="W908" s="359"/>
      <c r="X908" s="359"/>
      <c r="Y908" s="359"/>
      <c r="Z908" s="364"/>
      <c r="AA908" s="359"/>
    </row>
    <row r="909" spans="1:27">
      <c r="A909" s="356"/>
      <c r="B909" s="356"/>
      <c r="C909" s="357"/>
      <c r="D909" s="357"/>
      <c r="E909" s="357"/>
      <c r="F909" s="357"/>
      <c r="G909" s="375"/>
      <c r="H909" s="357"/>
      <c r="I909" s="357"/>
      <c r="J909" s="357"/>
      <c r="K909" s="357"/>
      <c r="L909" s="357"/>
      <c r="M909" s="357"/>
      <c r="N909" s="357"/>
      <c r="O909" s="357"/>
      <c r="P909" s="357"/>
      <c r="Q909" s="357"/>
      <c r="R909" s="357"/>
      <c r="S909" s="357"/>
      <c r="T909" s="359"/>
      <c r="U909" s="359"/>
      <c r="V909" s="359"/>
      <c r="W909" s="359"/>
      <c r="X909" s="359"/>
      <c r="Y909" s="359"/>
      <c r="Z909" s="364"/>
      <c r="AA909" s="359"/>
    </row>
    <row r="910" spans="1:27">
      <c r="A910" s="362"/>
      <c r="B910" s="362"/>
      <c r="C910" s="361"/>
      <c r="D910" s="361"/>
      <c r="E910" s="361"/>
      <c r="F910" s="361"/>
      <c r="G910" s="376"/>
      <c r="H910" s="361"/>
      <c r="I910" s="361"/>
      <c r="J910" s="361"/>
      <c r="K910" s="361"/>
      <c r="L910" s="361"/>
      <c r="M910" s="361"/>
      <c r="N910" s="361"/>
      <c r="O910" s="361"/>
      <c r="P910" s="361"/>
      <c r="Q910" s="361"/>
      <c r="R910" s="361"/>
      <c r="S910" s="361"/>
      <c r="T910" s="359"/>
      <c r="U910" s="359"/>
      <c r="V910" s="359"/>
      <c r="W910" s="359"/>
      <c r="X910" s="359"/>
      <c r="Y910" s="359"/>
      <c r="Z910" s="364"/>
      <c r="AA910" s="359"/>
    </row>
    <row r="911" spans="1:27">
      <c r="A911" s="356"/>
      <c r="B911" s="356"/>
      <c r="C911" s="357"/>
      <c r="D911" s="357"/>
      <c r="E911" s="357"/>
      <c r="F911" s="357"/>
      <c r="G911" s="375"/>
      <c r="H911" s="357"/>
      <c r="I911" s="357"/>
      <c r="J911" s="357"/>
      <c r="K911" s="357"/>
      <c r="L911" s="357"/>
      <c r="M911" s="357"/>
      <c r="N911" s="357"/>
      <c r="O911" s="357"/>
      <c r="P911" s="357"/>
      <c r="Q911" s="357"/>
      <c r="R911" s="357"/>
      <c r="S911" s="357"/>
      <c r="T911" s="359"/>
      <c r="U911" s="359"/>
      <c r="V911" s="359"/>
      <c r="W911" s="359"/>
      <c r="X911" s="359"/>
      <c r="Y911" s="359"/>
      <c r="Z911" s="364"/>
      <c r="AA911" s="359"/>
    </row>
    <row r="912" spans="1:27">
      <c r="A912" s="362"/>
      <c r="B912" s="362"/>
      <c r="C912" s="361"/>
      <c r="D912" s="361"/>
      <c r="E912" s="361"/>
      <c r="F912" s="361"/>
      <c r="G912" s="376"/>
      <c r="H912" s="361"/>
      <c r="I912" s="361"/>
      <c r="J912" s="361"/>
      <c r="K912" s="361"/>
      <c r="L912" s="361"/>
      <c r="M912" s="361"/>
      <c r="N912" s="361"/>
      <c r="O912" s="361"/>
      <c r="P912" s="361"/>
      <c r="Q912" s="361"/>
      <c r="R912" s="361"/>
      <c r="S912" s="361"/>
      <c r="T912" s="359"/>
      <c r="U912" s="359"/>
      <c r="V912" s="359"/>
      <c r="W912" s="359"/>
      <c r="X912" s="359"/>
      <c r="Y912" s="359"/>
      <c r="Z912" s="364"/>
      <c r="AA912" s="359"/>
    </row>
    <row r="913" spans="1:27">
      <c r="A913" s="356"/>
      <c r="B913" s="356"/>
      <c r="C913" s="357"/>
      <c r="D913" s="357"/>
      <c r="E913" s="357"/>
      <c r="F913" s="357"/>
      <c r="G913" s="375"/>
      <c r="H913" s="357"/>
      <c r="I913" s="357"/>
      <c r="J913" s="357"/>
      <c r="K913" s="357"/>
      <c r="L913" s="357"/>
      <c r="M913" s="357"/>
      <c r="N913" s="357"/>
      <c r="O913" s="357"/>
      <c r="P913" s="357"/>
      <c r="Q913" s="357"/>
      <c r="R913" s="357"/>
      <c r="S913" s="357"/>
      <c r="T913" s="359"/>
      <c r="U913" s="359"/>
      <c r="V913" s="359"/>
      <c r="W913" s="359"/>
      <c r="X913" s="359"/>
      <c r="Y913" s="359"/>
      <c r="Z913" s="364"/>
      <c r="AA913" s="359"/>
    </row>
    <row r="914" spans="1:27">
      <c r="A914" s="362"/>
      <c r="B914" s="362"/>
      <c r="C914" s="361"/>
      <c r="D914" s="361"/>
      <c r="E914" s="361"/>
      <c r="F914" s="361"/>
      <c r="G914" s="376"/>
      <c r="H914" s="361"/>
      <c r="I914" s="361"/>
      <c r="J914" s="361"/>
      <c r="K914" s="361"/>
      <c r="L914" s="361"/>
      <c r="M914" s="361"/>
      <c r="N914" s="361"/>
      <c r="O914" s="361"/>
      <c r="P914" s="361"/>
      <c r="Q914" s="361"/>
      <c r="R914" s="361"/>
      <c r="S914" s="361"/>
      <c r="T914" s="359"/>
      <c r="U914" s="359"/>
      <c r="V914" s="359"/>
      <c r="W914" s="359"/>
      <c r="X914" s="359"/>
      <c r="Y914" s="359"/>
      <c r="Z914" s="364"/>
      <c r="AA914" s="359"/>
    </row>
    <row r="915" spans="1:27">
      <c r="A915" s="356"/>
      <c r="B915" s="356"/>
      <c r="C915" s="357"/>
      <c r="D915" s="357"/>
      <c r="E915" s="357"/>
      <c r="F915" s="357"/>
      <c r="G915" s="375"/>
      <c r="H915" s="357"/>
      <c r="I915" s="357"/>
      <c r="J915" s="357"/>
      <c r="K915" s="357"/>
      <c r="L915" s="357"/>
      <c r="M915" s="357"/>
      <c r="N915" s="357"/>
      <c r="O915" s="357"/>
      <c r="P915" s="357"/>
      <c r="Q915" s="357"/>
      <c r="R915" s="357"/>
      <c r="S915" s="357"/>
      <c r="T915" s="359"/>
      <c r="U915" s="359"/>
      <c r="V915" s="359"/>
      <c r="W915" s="359"/>
      <c r="X915" s="359"/>
      <c r="Y915" s="359"/>
      <c r="Z915" s="364"/>
      <c r="AA915" s="359"/>
    </row>
    <row r="916" spans="1:27">
      <c r="A916" s="362"/>
      <c r="B916" s="362"/>
      <c r="C916" s="361"/>
      <c r="D916" s="361"/>
      <c r="E916" s="361"/>
      <c r="F916" s="361"/>
      <c r="G916" s="376"/>
      <c r="H916" s="361"/>
      <c r="I916" s="361"/>
      <c r="J916" s="361"/>
      <c r="K916" s="361"/>
      <c r="L916" s="361"/>
      <c r="M916" s="361"/>
      <c r="N916" s="361"/>
      <c r="O916" s="361"/>
      <c r="P916" s="361"/>
      <c r="Q916" s="361"/>
      <c r="R916" s="361"/>
      <c r="S916" s="361"/>
      <c r="T916" s="359"/>
      <c r="U916" s="359"/>
      <c r="V916" s="359"/>
      <c r="W916" s="359"/>
      <c r="X916" s="359"/>
      <c r="Y916" s="359"/>
      <c r="Z916" s="364"/>
      <c r="AA916" s="359"/>
    </row>
    <row r="917" spans="1:27">
      <c r="A917" s="356"/>
      <c r="B917" s="356"/>
      <c r="C917" s="357"/>
      <c r="D917" s="357"/>
      <c r="E917" s="357"/>
      <c r="F917" s="357"/>
      <c r="G917" s="375"/>
      <c r="H917" s="357"/>
      <c r="I917" s="357"/>
      <c r="J917" s="357"/>
      <c r="K917" s="357"/>
      <c r="L917" s="357"/>
      <c r="M917" s="357"/>
      <c r="N917" s="357"/>
      <c r="O917" s="357"/>
      <c r="P917" s="357"/>
      <c r="Q917" s="357"/>
      <c r="R917" s="357"/>
      <c r="S917" s="357"/>
      <c r="T917" s="359"/>
      <c r="U917" s="359"/>
      <c r="V917" s="359"/>
      <c r="W917" s="359"/>
      <c r="X917" s="359"/>
      <c r="Y917" s="359"/>
      <c r="Z917" s="364"/>
      <c r="AA917" s="359"/>
    </row>
    <row r="918" spans="1:27">
      <c r="A918" s="362"/>
      <c r="B918" s="362"/>
      <c r="C918" s="361"/>
      <c r="D918" s="361"/>
      <c r="E918" s="361"/>
      <c r="F918" s="361"/>
      <c r="G918" s="376"/>
      <c r="H918" s="361"/>
      <c r="I918" s="361"/>
      <c r="J918" s="361"/>
      <c r="K918" s="361"/>
      <c r="L918" s="361"/>
      <c r="M918" s="361"/>
      <c r="N918" s="361"/>
      <c r="O918" s="361"/>
      <c r="P918" s="361"/>
      <c r="Q918" s="361"/>
      <c r="R918" s="361"/>
      <c r="S918" s="361"/>
      <c r="T918" s="359"/>
      <c r="U918" s="359"/>
      <c r="V918" s="359"/>
      <c r="W918" s="359"/>
      <c r="X918" s="359"/>
      <c r="Y918" s="359"/>
      <c r="Z918" s="364"/>
      <c r="AA918" s="359"/>
    </row>
    <row r="919" spans="1:27">
      <c r="A919" s="356"/>
      <c r="B919" s="356"/>
      <c r="C919" s="357"/>
      <c r="D919" s="357"/>
      <c r="E919" s="357"/>
      <c r="F919" s="357"/>
      <c r="G919" s="375"/>
      <c r="H919" s="357"/>
      <c r="I919" s="357"/>
      <c r="J919" s="357"/>
      <c r="K919" s="357"/>
      <c r="L919" s="357"/>
      <c r="M919" s="357"/>
      <c r="N919" s="357"/>
      <c r="O919" s="357"/>
      <c r="P919" s="357"/>
      <c r="Q919" s="357"/>
      <c r="R919" s="357"/>
      <c r="S919" s="357"/>
      <c r="T919" s="359"/>
      <c r="U919" s="359"/>
      <c r="V919" s="359"/>
      <c r="W919" s="359"/>
      <c r="X919" s="359"/>
      <c r="Y919" s="359"/>
      <c r="Z919" s="364"/>
      <c r="AA919" s="359"/>
    </row>
    <row r="920" spans="1:27">
      <c r="A920" s="362"/>
      <c r="B920" s="362"/>
      <c r="C920" s="361"/>
      <c r="D920" s="361"/>
      <c r="E920" s="361"/>
      <c r="F920" s="361"/>
      <c r="G920" s="376"/>
      <c r="H920" s="361"/>
      <c r="I920" s="361"/>
      <c r="J920" s="361"/>
      <c r="K920" s="361"/>
      <c r="L920" s="361"/>
      <c r="M920" s="361"/>
      <c r="N920" s="361"/>
      <c r="O920" s="361"/>
      <c r="P920" s="361"/>
      <c r="Q920" s="361"/>
      <c r="R920" s="361"/>
      <c r="S920" s="361"/>
      <c r="T920" s="359"/>
      <c r="U920" s="359"/>
      <c r="V920" s="359"/>
      <c r="W920" s="359"/>
      <c r="X920" s="359"/>
      <c r="Y920" s="359"/>
      <c r="Z920" s="364"/>
      <c r="AA920" s="359"/>
    </row>
    <row r="921" spans="1:27">
      <c r="A921" s="356"/>
      <c r="B921" s="356"/>
      <c r="C921" s="357"/>
      <c r="D921" s="357"/>
      <c r="E921" s="357"/>
      <c r="F921" s="357"/>
      <c r="G921" s="375"/>
      <c r="H921" s="357"/>
      <c r="I921" s="357"/>
      <c r="J921" s="357"/>
      <c r="K921" s="357"/>
      <c r="L921" s="357"/>
      <c r="M921" s="357"/>
      <c r="N921" s="357"/>
      <c r="O921" s="357"/>
      <c r="P921" s="357"/>
      <c r="Q921" s="357"/>
      <c r="R921" s="357"/>
      <c r="S921" s="357"/>
      <c r="T921" s="359"/>
      <c r="U921" s="359"/>
      <c r="V921" s="359"/>
      <c r="W921" s="359"/>
      <c r="X921" s="359"/>
      <c r="Y921" s="359"/>
      <c r="Z921" s="364"/>
      <c r="AA921" s="359"/>
    </row>
    <row r="922" spans="1:27">
      <c r="A922" s="362"/>
      <c r="B922" s="362"/>
      <c r="C922" s="361"/>
      <c r="D922" s="361"/>
      <c r="E922" s="361"/>
      <c r="F922" s="361"/>
      <c r="G922" s="376"/>
      <c r="H922" s="361"/>
      <c r="I922" s="361"/>
      <c r="J922" s="361"/>
      <c r="K922" s="361"/>
      <c r="L922" s="361"/>
      <c r="M922" s="361"/>
      <c r="N922" s="361"/>
      <c r="O922" s="361"/>
      <c r="P922" s="361"/>
      <c r="Q922" s="361"/>
      <c r="R922" s="361"/>
      <c r="S922" s="361"/>
      <c r="T922" s="359"/>
      <c r="U922" s="359"/>
      <c r="V922" s="359"/>
      <c r="W922" s="359"/>
      <c r="X922" s="359"/>
      <c r="Y922" s="359"/>
      <c r="Z922" s="364"/>
      <c r="AA922" s="359"/>
    </row>
    <row r="923" spans="1:27">
      <c r="A923" s="356"/>
      <c r="B923" s="356"/>
      <c r="C923" s="357"/>
      <c r="D923" s="357"/>
      <c r="E923" s="357"/>
      <c r="F923" s="357"/>
      <c r="G923" s="375"/>
      <c r="H923" s="357"/>
      <c r="I923" s="357"/>
      <c r="J923" s="357"/>
      <c r="K923" s="357"/>
      <c r="L923" s="357"/>
      <c r="M923" s="357"/>
      <c r="N923" s="357"/>
      <c r="O923" s="357"/>
      <c r="P923" s="357"/>
      <c r="Q923" s="357"/>
      <c r="R923" s="357"/>
      <c r="S923" s="357"/>
      <c r="T923" s="359"/>
      <c r="U923" s="359"/>
      <c r="V923" s="359"/>
      <c r="W923" s="359"/>
      <c r="X923" s="359"/>
      <c r="Y923" s="359"/>
      <c r="Z923" s="364"/>
      <c r="AA923" s="359"/>
    </row>
    <row r="924" spans="1:27">
      <c r="A924" s="362"/>
      <c r="B924" s="362"/>
      <c r="C924" s="361"/>
      <c r="D924" s="361"/>
      <c r="E924" s="361"/>
      <c r="F924" s="361"/>
      <c r="G924" s="376"/>
      <c r="H924" s="361"/>
      <c r="I924" s="361"/>
      <c r="J924" s="361"/>
      <c r="K924" s="361"/>
      <c r="L924" s="361"/>
      <c r="M924" s="361"/>
      <c r="N924" s="361"/>
      <c r="O924" s="361"/>
      <c r="P924" s="361"/>
      <c r="Q924" s="361"/>
      <c r="R924" s="361"/>
      <c r="S924" s="361"/>
      <c r="T924" s="359"/>
      <c r="U924" s="359"/>
      <c r="V924" s="359"/>
      <c r="W924" s="359"/>
      <c r="X924" s="359"/>
      <c r="Y924" s="359"/>
      <c r="Z924" s="364"/>
      <c r="AA924" s="359"/>
    </row>
    <row r="925" spans="1:27">
      <c r="A925" s="356"/>
      <c r="B925" s="356"/>
      <c r="C925" s="357"/>
      <c r="D925" s="357"/>
      <c r="E925" s="357"/>
      <c r="F925" s="357"/>
      <c r="G925" s="375"/>
      <c r="H925" s="357"/>
      <c r="I925" s="357"/>
      <c r="J925" s="357"/>
      <c r="K925" s="357"/>
      <c r="L925" s="357"/>
      <c r="M925" s="357"/>
      <c r="N925" s="357"/>
      <c r="O925" s="357"/>
      <c r="P925" s="357"/>
      <c r="Q925" s="357"/>
      <c r="R925" s="357"/>
      <c r="S925" s="357"/>
      <c r="T925" s="359"/>
      <c r="U925" s="359"/>
      <c r="V925" s="359"/>
      <c r="W925" s="359"/>
      <c r="X925" s="359"/>
      <c r="Y925" s="359"/>
      <c r="Z925" s="364"/>
      <c r="AA925" s="359"/>
    </row>
    <row r="926" spans="1:27">
      <c r="A926" s="362"/>
      <c r="B926" s="362"/>
      <c r="C926" s="361"/>
      <c r="D926" s="361"/>
      <c r="E926" s="361"/>
      <c r="F926" s="361"/>
      <c r="G926" s="376"/>
      <c r="H926" s="361"/>
      <c r="I926" s="361"/>
      <c r="J926" s="361"/>
      <c r="K926" s="361"/>
      <c r="L926" s="361"/>
      <c r="M926" s="361"/>
      <c r="N926" s="361"/>
      <c r="O926" s="361"/>
      <c r="P926" s="361"/>
      <c r="Q926" s="361"/>
      <c r="R926" s="361"/>
      <c r="S926" s="361"/>
      <c r="T926" s="359"/>
      <c r="U926" s="359"/>
      <c r="V926" s="359"/>
      <c r="W926" s="359"/>
      <c r="X926" s="359"/>
      <c r="Y926" s="359"/>
      <c r="Z926" s="364"/>
      <c r="AA926" s="359"/>
    </row>
    <row r="927" spans="1:27">
      <c r="A927" s="356"/>
      <c r="B927" s="356"/>
      <c r="C927" s="357"/>
      <c r="D927" s="357"/>
      <c r="E927" s="357"/>
      <c r="F927" s="357"/>
      <c r="G927" s="375"/>
      <c r="H927" s="357"/>
      <c r="I927" s="357"/>
      <c r="J927" s="357"/>
      <c r="K927" s="357"/>
      <c r="L927" s="357"/>
      <c r="M927" s="357"/>
      <c r="N927" s="357"/>
      <c r="O927" s="357"/>
      <c r="P927" s="357"/>
      <c r="Q927" s="357"/>
      <c r="R927" s="357"/>
      <c r="S927" s="357"/>
      <c r="T927" s="359"/>
      <c r="U927" s="359"/>
      <c r="V927" s="359"/>
      <c r="W927" s="359"/>
      <c r="X927" s="359"/>
      <c r="Y927" s="359"/>
      <c r="Z927" s="364"/>
      <c r="AA927" s="359"/>
    </row>
    <row r="928" spans="1:27">
      <c r="A928" s="362"/>
      <c r="B928" s="362"/>
      <c r="C928" s="361"/>
      <c r="D928" s="361"/>
      <c r="E928" s="361"/>
      <c r="F928" s="361"/>
      <c r="G928" s="376"/>
      <c r="H928" s="361"/>
      <c r="I928" s="361"/>
      <c r="J928" s="361"/>
      <c r="K928" s="361"/>
      <c r="L928" s="361"/>
      <c r="M928" s="361"/>
      <c r="N928" s="361"/>
      <c r="O928" s="361"/>
      <c r="P928" s="361"/>
      <c r="Q928" s="361"/>
      <c r="R928" s="361"/>
      <c r="S928" s="361"/>
      <c r="T928" s="359"/>
      <c r="U928" s="359"/>
      <c r="V928" s="359"/>
      <c r="W928" s="359"/>
      <c r="X928" s="359"/>
      <c r="Y928" s="359"/>
      <c r="Z928" s="364"/>
      <c r="AA928" s="359"/>
    </row>
    <row r="929" spans="1:27">
      <c r="A929" s="356"/>
      <c r="B929" s="356"/>
      <c r="C929" s="357"/>
      <c r="D929" s="357"/>
      <c r="E929" s="357"/>
      <c r="F929" s="357"/>
      <c r="G929" s="375"/>
      <c r="H929" s="357"/>
      <c r="I929" s="357"/>
      <c r="J929" s="357"/>
      <c r="K929" s="357"/>
      <c r="L929" s="357"/>
      <c r="M929" s="357"/>
      <c r="N929" s="357"/>
      <c r="O929" s="357"/>
      <c r="P929" s="357"/>
      <c r="Q929" s="357"/>
      <c r="R929" s="357"/>
      <c r="S929" s="357"/>
      <c r="T929" s="359"/>
      <c r="U929" s="359"/>
      <c r="V929" s="359"/>
      <c r="W929" s="359"/>
      <c r="X929" s="359"/>
      <c r="Y929" s="359"/>
      <c r="Z929" s="364"/>
      <c r="AA929" s="359"/>
    </row>
    <row r="930" spans="1:27">
      <c r="A930" s="362"/>
      <c r="B930" s="362"/>
      <c r="C930" s="361"/>
      <c r="D930" s="361"/>
      <c r="E930" s="361"/>
      <c r="F930" s="361"/>
      <c r="G930" s="376"/>
      <c r="H930" s="361"/>
      <c r="I930" s="361"/>
      <c r="J930" s="361"/>
      <c r="K930" s="361"/>
      <c r="L930" s="361"/>
      <c r="M930" s="361"/>
      <c r="N930" s="361"/>
      <c r="O930" s="361"/>
      <c r="P930" s="361"/>
      <c r="Q930" s="361"/>
      <c r="R930" s="361"/>
      <c r="S930" s="361"/>
      <c r="T930" s="359"/>
      <c r="U930" s="359"/>
      <c r="V930" s="359"/>
      <c r="W930" s="359"/>
      <c r="X930" s="359"/>
      <c r="Y930" s="359"/>
      <c r="Z930" s="364"/>
      <c r="AA930" s="359"/>
    </row>
    <row r="931" spans="1:27">
      <c r="A931" s="356"/>
      <c r="B931" s="356"/>
      <c r="C931" s="357"/>
      <c r="D931" s="357"/>
      <c r="E931" s="357"/>
      <c r="F931" s="357"/>
      <c r="G931" s="375"/>
      <c r="H931" s="357"/>
      <c r="I931" s="357"/>
      <c r="J931" s="357"/>
      <c r="K931" s="357"/>
      <c r="L931" s="357"/>
      <c r="M931" s="357"/>
      <c r="N931" s="357"/>
      <c r="O931" s="357"/>
      <c r="P931" s="357"/>
      <c r="Q931" s="357"/>
      <c r="R931" s="357"/>
      <c r="S931" s="357"/>
      <c r="T931" s="359"/>
      <c r="U931" s="359"/>
      <c r="V931" s="359"/>
      <c r="W931" s="359"/>
      <c r="X931" s="359"/>
      <c r="Y931" s="359"/>
      <c r="Z931" s="364"/>
      <c r="AA931" s="359"/>
    </row>
    <row r="932" spans="1:27">
      <c r="A932" s="359"/>
      <c r="B932" s="359"/>
      <c r="C932" s="359"/>
      <c r="D932" s="359"/>
      <c r="E932" s="359"/>
      <c r="F932" s="359"/>
      <c r="G932" s="359"/>
      <c r="H932" s="359"/>
      <c r="I932" s="359"/>
      <c r="J932" s="359"/>
      <c r="K932" s="359"/>
      <c r="L932" s="359"/>
      <c r="M932" s="359"/>
      <c r="N932" s="359"/>
      <c r="O932" s="359"/>
      <c r="P932" s="359"/>
      <c r="Q932" s="359"/>
      <c r="R932" s="359"/>
      <c r="S932" s="359"/>
      <c r="T932" s="359"/>
      <c r="U932" s="359"/>
      <c r="V932" s="359"/>
      <c r="W932" s="359"/>
      <c r="X932" s="359"/>
      <c r="Y932" s="359"/>
      <c r="Z932" s="359"/>
      <c r="AA932" s="359"/>
    </row>
    <row r="933" spans="1:27">
      <c r="A933" s="359"/>
      <c r="B933" s="359"/>
      <c r="C933" s="359"/>
      <c r="D933" s="359"/>
      <c r="E933" s="359"/>
      <c r="F933" s="359"/>
      <c r="G933" s="359"/>
      <c r="H933" s="359"/>
      <c r="I933" s="359"/>
      <c r="J933" s="359"/>
      <c r="K933" s="359"/>
      <c r="L933" s="359"/>
      <c r="M933" s="359"/>
      <c r="N933" s="359"/>
      <c r="O933" s="359"/>
      <c r="P933" s="359"/>
      <c r="Q933" s="359"/>
      <c r="R933" s="359"/>
      <c r="S933" s="359"/>
      <c r="T933" s="359"/>
      <c r="U933" s="359"/>
      <c r="V933" s="359"/>
      <c r="W933" s="359"/>
      <c r="X933" s="359"/>
      <c r="Y933" s="359"/>
      <c r="Z933" s="359"/>
      <c r="AA933" s="359"/>
    </row>
    <row r="934" spans="1:27">
      <c r="A934" s="359"/>
      <c r="B934" s="359"/>
      <c r="C934" s="359"/>
      <c r="D934" s="359"/>
      <c r="E934" s="359"/>
      <c r="F934" s="359"/>
      <c r="G934" s="359"/>
      <c r="H934" s="359"/>
      <c r="I934" s="359"/>
      <c r="J934" s="359"/>
      <c r="K934" s="359"/>
      <c r="L934" s="359"/>
      <c r="M934" s="359"/>
      <c r="N934" s="359"/>
      <c r="O934" s="359"/>
      <c r="P934" s="359"/>
      <c r="Q934" s="359"/>
      <c r="R934" s="359"/>
      <c r="S934" s="359"/>
      <c r="T934" s="359"/>
      <c r="U934" s="359"/>
      <c r="V934" s="359"/>
      <c r="W934" s="359"/>
      <c r="X934" s="359"/>
      <c r="Y934" s="359"/>
      <c r="Z934" s="359"/>
      <c r="AA934" s="359"/>
    </row>
    <row r="935" spans="1:27">
      <c r="A935" s="359"/>
      <c r="B935" s="359"/>
      <c r="C935" s="359"/>
      <c r="D935" s="359"/>
      <c r="E935" s="359"/>
      <c r="F935" s="359"/>
      <c r="G935" s="359"/>
      <c r="H935" s="359"/>
      <c r="I935" s="359"/>
      <c r="J935" s="359"/>
      <c r="K935" s="359"/>
      <c r="L935" s="359"/>
      <c r="M935" s="359"/>
      <c r="N935" s="359"/>
      <c r="O935" s="359"/>
      <c r="P935" s="359"/>
      <c r="Q935" s="359"/>
      <c r="R935" s="359"/>
      <c r="S935" s="359"/>
      <c r="T935" s="359"/>
      <c r="U935" s="359"/>
      <c r="V935" s="359"/>
      <c r="W935" s="359"/>
      <c r="X935" s="359"/>
      <c r="Y935" s="359"/>
      <c r="Z935" s="359"/>
      <c r="AA935" s="359"/>
    </row>
    <row r="936" spans="1:27">
      <c r="A936" s="359"/>
      <c r="B936" s="359"/>
      <c r="C936" s="359"/>
      <c r="D936" s="359"/>
      <c r="E936" s="359"/>
      <c r="F936" s="359"/>
      <c r="G936" s="359"/>
      <c r="H936" s="359"/>
      <c r="I936" s="359"/>
      <c r="J936" s="359"/>
      <c r="K936" s="359"/>
      <c r="L936" s="359"/>
      <c r="M936" s="359"/>
      <c r="N936" s="359"/>
      <c r="O936" s="359"/>
      <c r="P936" s="359"/>
      <c r="Q936" s="359"/>
      <c r="R936" s="359"/>
      <c r="S936" s="359"/>
      <c r="T936" s="359"/>
      <c r="U936" s="359"/>
      <c r="V936" s="359"/>
      <c r="W936" s="359"/>
      <c r="X936" s="359"/>
      <c r="Y936" s="359"/>
      <c r="Z936" s="359"/>
      <c r="AA936" s="359"/>
    </row>
    <row r="937" spans="1:27">
      <c r="A937" s="359"/>
      <c r="B937" s="359"/>
      <c r="C937" s="359"/>
      <c r="D937" s="359"/>
      <c r="E937" s="359"/>
      <c r="F937" s="359"/>
      <c r="G937" s="359"/>
      <c r="H937" s="359"/>
      <c r="I937" s="359"/>
      <c r="J937" s="359"/>
      <c r="K937" s="359"/>
      <c r="L937" s="359"/>
      <c r="M937" s="359"/>
      <c r="N937" s="359"/>
      <c r="O937" s="359"/>
      <c r="P937" s="359"/>
      <c r="Q937" s="359"/>
      <c r="R937" s="359"/>
      <c r="S937" s="359"/>
      <c r="T937" s="359"/>
      <c r="U937" s="359"/>
      <c r="V937" s="359"/>
      <c r="W937" s="359"/>
      <c r="X937" s="359"/>
      <c r="Y937" s="359"/>
      <c r="Z937" s="359"/>
      <c r="AA937" s="359"/>
    </row>
    <row r="938" spans="1:27">
      <c r="A938" s="359"/>
      <c r="B938" s="359"/>
      <c r="C938" s="359"/>
      <c r="D938" s="359"/>
      <c r="E938" s="359"/>
      <c r="F938" s="359"/>
      <c r="G938" s="359"/>
      <c r="H938" s="359"/>
      <c r="I938" s="359"/>
      <c r="J938" s="359"/>
      <c r="K938" s="359"/>
      <c r="L938" s="359"/>
      <c r="M938" s="359"/>
      <c r="N938" s="359"/>
      <c r="O938" s="359"/>
      <c r="P938" s="359"/>
      <c r="Q938" s="359"/>
      <c r="R938" s="359"/>
      <c r="S938" s="359"/>
      <c r="T938" s="359"/>
      <c r="U938" s="359"/>
      <c r="V938" s="359"/>
      <c r="W938" s="359"/>
      <c r="X938" s="359"/>
      <c r="Y938" s="359"/>
      <c r="Z938" s="359"/>
      <c r="AA938" s="359"/>
    </row>
    <row r="939" spans="1:27">
      <c r="A939" s="359"/>
      <c r="B939" s="359"/>
      <c r="C939" s="359"/>
      <c r="D939" s="359"/>
      <c r="E939" s="359"/>
      <c r="F939" s="359"/>
      <c r="G939" s="359"/>
      <c r="H939" s="359"/>
      <c r="I939" s="359"/>
      <c r="J939" s="359"/>
      <c r="K939" s="359"/>
      <c r="L939" s="359"/>
      <c r="M939" s="359"/>
      <c r="N939" s="359"/>
      <c r="O939" s="359"/>
      <c r="P939" s="359"/>
      <c r="Q939" s="359"/>
      <c r="R939" s="359"/>
      <c r="S939" s="359"/>
      <c r="T939" s="359"/>
      <c r="U939" s="359"/>
      <c r="V939" s="359"/>
      <c r="W939" s="359"/>
      <c r="X939" s="359"/>
      <c r="Y939" s="359"/>
      <c r="Z939" s="359"/>
      <c r="AA939" s="359"/>
    </row>
    <row r="940" spans="1:27">
      <c r="A940" s="359"/>
      <c r="B940" s="359"/>
      <c r="C940" s="359"/>
      <c r="D940" s="359"/>
      <c r="E940" s="359"/>
      <c r="F940" s="359"/>
      <c r="G940" s="359"/>
      <c r="H940" s="359"/>
      <c r="I940" s="359"/>
      <c r="J940" s="359"/>
      <c r="K940" s="359"/>
      <c r="L940" s="359"/>
      <c r="M940" s="359"/>
      <c r="N940" s="359"/>
      <c r="O940" s="359"/>
      <c r="P940" s="359"/>
      <c r="Q940" s="359"/>
      <c r="R940" s="359"/>
      <c r="S940" s="359"/>
      <c r="T940" s="359"/>
      <c r="U940" s="359"/>
      <c r="V940" s="359"/>
      <c r="W940" s="359"/>
      <c r="X940" s="359"/>
      <c r="Y940" s="359"/>
      <c r="Z940" s="359"/>
      <c r="AA940" s="359"/>
    </row>
    <row r="941" spans="1:27">
      <c r="C941" s="359"/>
      <c r="D941" s="359"/>
      <c r="E941" s="359"/>
      <c r="F941" s="359"/>
      <c r="G941" s="359"/>
      <c r="H941" s="359"/>
      <c r="I941" s="359"/>
      <c r="J941" s="359"/>
      <c r="K941" s="359"/>
      <c r="L941" s="359"/>
      <c r="M941" s="359"/>
      <c r="N941" s="359"/>
      <c r="O941" s="359"/>
      <c r="P941" s="359"/>
      <c r="Q941" s="359"/>
      <c r="R941" s="359"/>
      <c r="S941" s="359"/>
      <c r="T941" s="359"/>
      <c r="U941" s="359"/>
      <c r="V941" s="359"/>
      <c r="W941" s="359"/>
      <c r="X941" s="359"/>
      <c r="Y941" s="359"/>
      <c r="Z941" s="359"/>
      <c r="AA941" s="359"/>
    </row>
    <row r="942" spans="1:27">
      <c r="C942" s="359"/>
      <c r="D942" s="359"/>
      <c r="E942" s="359"/>
      <c r="F942" s="359"/>
      <c r="G942" s="359"/>
      <c r="H942" s="359"/>
      <c r="I942" s="359"/>
      <c r="J942" s="359"/>
      <c r="K942" s="359"/>
      <c r="L942" s="359"/>
      <c r="M942" s="359"/>
      <c r="N942" s="359"/>
      <c r="O942" s="359"/>
      <c r="P942" s="359"/>
      <c r="Q942" s="359"/>
      <c r="R942" s="359"/>
      <c r="S942" s="359"/>
      <c r="T942" s="359"/>
      <c r="U942" s="359"/>
      <c r="V942" s="359"/>
      <c r="W942" s="359"/>
      <c r="X942" s="359"/>
      <c r="Y942" s="359"/>
      <c r="Z942" s="359"/>
      <c r="AA942" s="359"/>
    </row>
    <row r="943" spans="1:27">
      <c r="C943" s="359"/>
      <c r="D943" s="359"/>
      <c r="E943" s="359"/>
      <c r="F943" s="359"/>
      <c r="G943" s="359"/>
      <c r="H943" s="359"/>
      <c r="I943" s="359"/>
      <c r="J943" s="359"/>
      <c r="K943" s="359"/>
      <c r="L943" s="359"/>
      <c r="M943" s="359"/>
      <c r="N943" s="359"/>
      <c r="O943" s="359"/>
      <c r="P943" s="359"/>
      <c r="Q943" s="359"/>
      <c r="R943" s="359"/>
      <c r="S943" s="359"/>
      <c r="T943" s="359"/>
      <c r="U943" s="359"/>
      <c r="V943" s="359"/>
      <c r="W943" s="359"/>
      <c r="X943" s="359"/>
      <c r="Y943" s="359"/>
      <c r="Z943" s="359"/>
      <c r="AA943" s="359"/>
    </row>
    <row r="944" spans="1:27">
      <c r="A944" s="232"/>
      <c r="B944" s="216" t="s">
        <v>3688</v>
      </c>
      <c r="C944" s="359"/>
      <c r="D944" s="359"/>
      <c r="E944" s="359"/>
      <c r="F944" s="359"/>
      <c r="G944" s="359"/>
      <c r="H944" s="359"/>
      <c r="I944" s="359"/>
      <c r="J944" s="359"/>
      <c r="K944" s="359"/>
      <c r="L944" s="359"/>
      <c r="M944" s="359"/>
      <c r="N944" s="359"/>
      <c r="O944" s="359"/>
      <c r="P944" s="359"/>
      <c r="Q944" s="359"/>
      <c r="S944" s="394" t="s">
        <v>10789</v>
      </c>
      <c r="T944" s="395" t="s">
        <v>3689</v>
      </c>
      <c r="U944" s="396"/>
      <c r="V944" s="396"/>
      <c r="W944" s="397"/>
      <c r="X944" s="397"/>
      <c r="Y944" s="398" t="s">
        <v>436</v>
      </c>
      <c r="Z944" s="399" t="s">
        <v>7371</v>
      </c>
      <c r="AA944" s="400" t="s">
        <v>10634</v>
      </c>
    </row>
    <row r="945" spans="1:27">
      <c r="A945" s="235"/>
      <c r="B945" s="216" t="s">
        <v>3691</v>
      </c>
      <c r="C945" s="359"/>
      <c r="D945" s="359"/>
      <c r="E945" s="359"/>
      <c r="F945" s="359"/>
      <c r="G945" s="359"/>
      <c r="H945" s="359"/>
      <c r="I945" s="359"/>
      <c r="J945" s="359"/>
      <c r="K945" s="359"/>
      <c r="L945" s="359"/>
      <c r="M945" s="359"/>
      <c r="N945" s="359"/>
      <c r="O945" s="359"/>
      <c r="P945" s="359"/>
      <c r="Q945" s="359"/>
      <c r="S945" s="276" t="s">
        <v>471</v>
      </c>
      <c r="T945" s="360">
        <v>44789</v>
      </c>
      <c r="U945" s="401">
        <f t="shared" ref="U945:U1002" si="36">COUNTIFS(Z:Z,T945,AA:AA,"Burhan")</f>
        <v>4</v>
      </c>
      <c r="V945" s="238" t="s">
        <v>534</v>
      </c>
      <c r="W945" s="238">
        <f>SUM(U945)</f>
        <v>4</v>
      </c>
      <c r="X945" s="692">
        <f>SUM(W945:W1002)</f>
        <v>272</v>
      </c>
      <c r="Y945" s="725">
        <f>X945+X1005</f>
        <v>518</v>
      </c>
      <c r="Z945" s="402">
        <f>COUNTIFS(Q:Q,"Pending")</f>
        <v>64</v>
      </c>
      <c r="AA945" s="402">
        <f>COUNTIFS(Q:Q,"fail")</f>
        <v>5</v>
      </c>
    </row>
    <row r="946" spans="1:27">
      <c r="A946" s="241"/>
      <c r="B946" s="216" t="s">
        <v>3692</v>
      </c>
      <c r="C946" s="359"/>
      <c r="D946" s="359"/>
      <c r="E946" s="359"/>
      <c r="F946" s="359"/>
      <c r="G946" s="359"/>
      <c r="H946" s="359"/>
      <c r="I946" s="359"/>
      <c r="J946" s="359"/>
      <c r="K946" s="359"/>
      <c r="L946" s="359"/>
      <c r="M946" s="359"/>
      <c r="N946" s="359"/>
      <c r="O946" s="359"/>
      <c r="P946" s="359"/>
      <c r="Q946" s="359"/>
      <c r="S946" s="693" t="s">
        <v>472</v>
      </c>
      <c r="T946" s="360">
        <v>44816</v>
      </c>
      <c r="U946" s="401">
        <f t="shared" si="36"/>
        <v>1</v>
      </c>
      <c r="V946" s="694" t="s">
        <v>537</v>
      </c>
      <c r="W946" s="694">
        <f>SUM(U946,U947)</f>
        <v>10</v>
      </c>
      <c r="X946" s="774"/>
      <c r="Y946" s="774"/>
      <c r="Z946" s="359"/>
    </row>
    <row r="947" spans="1:27">
      <c r="A947" s="244"/>
      <c r="B947" s="216" t="s">
        <v>3693</v>
      </c>
      <c r="C947" s="359"/>
      <c r="D947" s="359"/>
      <c r="E947" s="359"/>
      <c r="F947" s="359"/>
      <c r="G947" s="359"/>
      <c r="H947" s="359"/>
      <c r="I947" s="359"/>
      <c r="J947" s="359"/>
      <c r="K947" s="359"/>
      <c r="L947" s="359"/>
      <c r="M947" s="359"/>
      <c r="N947" s="359"/>
      <c r="O947" s="359"/>
      <c r="P947" s="359"/>
      <c r="Q947" s="359"/>
      <c r="S947" s="774"/>
      <c r="T947" s="360">
        <v>44819</v>
      </c>
      <c r="U947" s="401">
        <f t="shared" si="36"/>
        <v>9</v>
      </c>
      <c r="V947" s="773"/>
      <c r="W947" s="773"/>
      <c r="X947" s="774"/>
      <c r="Y947" s="774"/>
      <c r="AA947" s="359"/>
    </row>
    <row r="948" spans="1:27">
      <c r="A948" s="246"/>
      <c r="B948" s="216" t="s">
        <v>3694</v>
      </c>
      <c r="C948" s="359"/>
      <c r="D948" s="359"/>
      <c r="E948" s="359"/>
      <c r="F948" s="359"/>
      <c r="G948" s="359"/>
      <c r="H948" s="359"/>
      <c r="I948" s="359"/>
      <c r="J948" s="359"/>
      <c r="K948" s="359"/>
      <c r="L948" s="359"/>
      <c r="M948" s="359"/>
      <c r="N948" s="359"/>
      <c r="O948" s="359"/>
      <c r="P948" s="359"/>
      <c r="Q948" s="359"/>
      <c r="S948" s="774"/>
      <c r="T948" s="360">
        <v>44824</v>
      </c>
      <c r="U948" s="401">
        <f t="shared" si="36"/>
        <v>8</v>
      </c>
      <c r="V948" s="694" t="s">
        <v>539</v>
      </c>
      <c r="W948" s="694">
        <f>SUM(U948:U949)</f>
        <v>18</v>
      </c>
      <c r="X948" s="774"/>
      <c r="Y948" s="774"/>
      <c r="Z948" s="359"/>
      <c r="AA948" s="359"/>
    </row>
    <row r="949" spans="1:27">
      <c r="C949" s="359"/>
      <c r="D949" s="359"/>
      <c r="E949" s="359"/>
      <c r="F949" s="359"/>
      <c r="G949" s="359"/>
      <c r="H949" s="359"/>
      <c r="I949" s="359"/>
      <c r="J949" s="359"/>
      <c r="K949" s="359"/>
      <c r="L949" s="359"/>
      <c r="M949" s="359"/>
      <c r="N949" s="359"/>
      <c r="O949" s="359"/>
      <c r="P949" s="359"/>
      <c r="Q949" s="359"/>
      <c r="S949" s="774"/>
      <c r="T949" s="360">
        <v>44826</v>
      </c>
      <c r="U949" s="401">
        <f t="shared" si="36"/>
        <v>10</v>
      </c>
      <c r="V949" s="773"/>
      <c r="W949" s="773"/>
      <c r="X949" s="774"/>
      <c r="Y949" s="773"/>
      <c r="Z949" s="359"/>
      <c r="AA949" s="359"/>
    </row>
    <row r="950" spans="1:27">
      <c r="A950" s="359"/>
      <c r="B950" s="359"/>
      <c r="C950" s="359"/>
      <c r="D950" s="359"/>
      <c r="E950" s="359"/>
      <c r="F950" s="359"/>
      <c r="G950" s="359"/>
      <c r="H950" s="359"/>
      <c r="I950" s="359"/>
      <c r="J950" s="359"/>
      <c r="K950" s="359"/>
      <c r="L950" s="359"/>
      <c r="M950" s="359"/>
      <c r="N950" s="359"/>
      <c r="O950" s="359"/>
      <c r="P950" s="359"/>
      <c r="Q950" s="359"/>
      <c r="S950" s="774"/>
      <c r="T950" s="360">
        <v>44831</v>
      </c>
      <c r="U950" s="401">
        <f t="shared" si="36"/>
        <v>29</v>
      </c>
      <c r="V950" s="694" t="s">
        <v>5682</v>
      </c>
      <c r="W950" s="694">
        <f>SUM(U950:U951)</f>
        <v>37</v>
      </c>
      <c r="X950" s="774"/>
      <c r="Y950" s="186"/>
      <c r="Z950" s="359"/>
      <c r="AA950" s="359"/>
    </row>
    <row r="951" spans="1:27">
      <c r="A951" s="359"/>
      <c r="B951" s="359"/>
      <c r="C951" s="359"/>
      <c r="D951" s="359"/>
      <c r="E951" s="359"/>
      <c r="F951" s="359"/>
      <c r="G951" s="359"/>
      <c r="H951" s="359"/>
      <c r="I951" s="359"/>
      <c r="J951" s="359"/>
      <c r="K951" s="359"/>
      <c r="L951" s="359"/>
      <c r="M951" s="359"/>
      <c r="N951" s="359"/>
      <c r="O951" s="359"/>
      <c r="P951" s="359"/>
      <c r="Q951" s="359"/>
      <c r="S951" s="773"/>
      <c r="T951" s="360">
        <v>44833</v>
      </c>
      <c r="U951" s="401">
        <f t="shared" si="36"/>
        <v>8</v>
      </c>
      <c r="V951" s="773"/>
      <c r="W951" s="773"/>
      <c r="X951" s="774"/>
      <c r="Y951" s="186"/>
      <c r="Z951" s="359"/>
      <c r="AA951" s="259"/>
    </row>
    <row r="952" spans="1:27">
      <c r="A952" s="359"/>
      <c r="B952" s="359"/>
      <c r="C952" s="359"/>
      <c r="D952" s="359"/>
      <c r="E952" s="359"/>
      <c r="F952" s="359"/>
      <c r="G952" s="359"/>
      <c r="H952" s="359"/>
      <c r="I952" s="359"/>
      <c r="J952" s="359"/>
      <c r="K952" s="359"/>
      <c r="L952" s="359"/>
      <c r="M952" s="359"/>
      <c r="N952" s="359"/>
      <c r="O952" s="359"/>
      <c r="P952" s="359"/>
      <c r="Q952" s="359"/>
      <c r="S952" s="693" t="s">
        <v>473</v>
      </c>
      <c r="T952" s="360">
        <v>44839</v>
      </c>
      <c r="U952" s="401">
        <f t="shared" si="36"/>
        <v>1</v>
      </c>
      <c r="V952" s="694" t="s">
        <v>540</v>
      </c>
      <c r="W952" s="694">
        <f>SUM(U952:U953)</f>
        <v>4</v>
      </c>
      <c r="X952" s="774"/>
      <c r="Y952" s="186"/>
      <c r="Z952" s="359"/>
      <c r="AA952" s="359"/>
    </row>
    <row r="953" spans="1:27">
      <c r="A953" s="359"/>
      <c r="B953" s="359"/>
      <c r="C953" s="359"/>
      <c r="D953" s="359"/>
      <c r="E953" s="359"/>
      <c r="F953" s="359"/>
      <c r="G953" s="359"/>
      <c r="H953" s="359"/>
      <c r="I953" s="359"/>
      <c r="J953" s="359"/>
      <c r="K953" s="359"/>
      <c r="L953" s="359"/>
      <c r="M953" s="359"/>
      <c r="N953" s="359"/>
      <c r="O953" s="359"/>
      <c r="P953" s="359"/>
      <c r="Q953" s="359"/>
      <c r="S953" s="774"/>
      <c r="T953" s="360">
        <v>44840</v>
      </c>
      <c r="U953" s="401">
        <f t="shared" si="36"/>
        <v>3</v>
      </c>
      <c r="V953" s="773"/>
      <c r="W953" s="773"/>
      <c r="X953" s="774"/>
      <c r="Y953" s="186"/>
      <c r="Z953" s="359"/>
      <c r="AA953" s="359"/>
    </row>
    <row r="954" spans="1:27">
      <c r="A954" s="359"/>
      <c r="B954" s="359"/>
      <c r="C954" s="359"/>
      <c r="D954" s="359"/>
      <c r="E954" s="359"/>
      <c r="F954" s="359"/>
      <c r="G954" s="359"/>
      <c r="H954" s="359"/>
      <c r="I954" s="359"/>
      <c r="J954" s="359"/>
      <c r="K954" s="359"/>
      <c r="L954" s="359"/>
      <c r="M954" s="359"/>
      <c r="N954" s="359"/>
      <c r="O954" s="359"/>
      <c r="P954" s="359"/>
      <c r="Q954" s="359"/>
      <c r="S954" s="774"/>
      <c r="T954" s="360">
        <v>44847</v>
      </c>
      <c r="U954" s="401">
        <f t="shared" si="36"/>
        <v>3</v>
      </c>
      <c r="V954" s="240" t="s">
        <v>541</v>
      </c>
      <c r="W954" s="238">
        <f>SUM(U954)</f>
        <v>3</v>
      </c>
      <c r="X954" s="774"/>
      <c r="Y954" s="110">
        <v>2022</v>
      </c>
      <c r="Z954" s="276" t="s">
        <v>10790</v>
      </c>
      <c r="AA954" s="276" t="s">
        <v>436</v>
      </c>
    </row>
    <row r="955" spans="1:27">
      <c r="A955" s="359"/>
      <c r="B955" s="359"/>
      <c r="C955" s="359"/>
      <c r="D955" s="359"/>
      <c r="E955" s="359"/>
      <c r="F955" s="359"/>
      <c r="G955" s="359"/>
      <c r="H955" s="359"/>
      <c r="I955" s="359"/>
      <c r="J955" s="359"/>
      <c r="K955" s="359"/>
      <c r="L955" s="359"/>
      <c r="M955" s="359"/>
      <c r="N955" s="359"/>
      <c r="O955" s="359"/>
      <c r="P955" s="359"/>
      <c r="Q955" s="359"/>
      <c r="S955" s="774"/>
      <c r="T955" s="360">
        <v>44853</v>
      </c>
      <c r="U955" s="401">
        <f t="shared" si="36"/>
        <v>4</v>
      </c>
      <c r="V955" s="694" t="s">
        <v>542</v>
      </c>
      <c r="W955" s="694">
        <f>SUM(U955:U957)</f>
        <v>16</v>
      </c>
      <c r="X955" s="774"/>
      <c r="Y955" s="110">
        <f>X945</f>
        <v>272</v>
      </c>
      <c r="Z955" s="276">
        <v>246</v>
      </c>
      <c r="AA955" s="276">
        <f>272+246</f>
        <v>518</v>
      </c>
    </row>
    <row r="956" spans="1:27">
      <c r="A956" s="359"/>
      <c r="B956" s="359"/>
      <c r="C956" s="359"/>
      <c r="D956" s="359"/>
      <c r="E956" s="359"/>
      <c r="F956" s="359"/>
      <c r="G956" s="359"/>
      <c r="H956" s="359"/>
      <c r="I956" s="359"/>
      <c r="J956" s="359"/>
      <c r="K956" s="359"/>
      <c r="L956" s="359"/>
      <c r="M956" s="359"/>
      <c r="N956" s="359"/>
      <c r="O956" s="359"/>
      <c r="P956" s="359"/>
      <c r="Q956" s="359"/>
      <c r="S956" s="774"/>
      <c r="T956" s="360">
        <v>44854</v>
      </c>
      <c r="U956" s="401">
        <f t="shared" si="36"/>
        <v>5</v>
      </c>
      <c r="V956" s="774"/>
      <c r="W956" s="774"/>
      <c r="X956" s="774"/>
      <c r="Y956" s="186"/>
      <c r="Z956" s="359"/>
      <c r="AA956" s="359"/>
    </row>
    <row r="957" spans="1:27">
      <c r="A957" s="359"/>
      <c r="B957" s="359"/>
      <c r="C957" s="359"/>
      <c r="D957" s="359"/>
      <c r="E957" s="359"/>
      <c r="F957" s="359"/>
      <c r="G957" s="359"/>
      <c r="H957" s="359"/>
      <c r="I957" s="359"/>
      <c r="J957" s="359"/>
      <c r="K957" s="359"/>
      <c r="L957" s="359"/>
      <c r="M957" s="359"/>
      <c r="N957" s="359"/>
      <c r="O957" s="359"/>
      <c r="P957" s="359"/>
      <c r="Q957" s="359"/>
      <c r="S957" s="774"/>
      <c r="T957" s="360">
        <v>44855</v>
      </c>
      <c r="U957" s="401">
        <f t="shared" si="36"/>
        <v>7</v>
      </c>
      <c r="V957" s="773"/>
      <c r="W957" s="773"/>
      <c r="X957" s="774"/>
      <c r="Y957" s="186"/>
      <c r="Z957" s="359"/>
      <c r="AA957" s="359"/>
    </row>
    <row r="958" spans="1:27">
      <c r="A958" s="359"/>
      <c r="B958" s="359"/>
      <c r="C958" s="359"/>
      <c r="D958" s="359"/>
      <c r="E958" s="359"/>
      <c r="F958" s="359"/>
      <c r="G958" s="359"/>
      <c r="H958" s="359"/>
      <c r="I958" s="359"/>
      <c r="J958" s="359"/>
      <c r="K958" s="359"/>
      <c r="L958" s="359"/>
      <c r="M958" s="359"/>
      <c r="N958" s="359"/>
      <c r="O958" s="359"/>
      <c r="P958" s="359"/>
      <c r="Q958" s="359"/>
      <c r="S958" s="774"/>
      <c r="T958" s="360">
        <v>44858</v>
      </c>
      <c r="U958" s="401">
        <f t="shared" si="36"/>
        <v>7</v>
      </c>
      <c r="V958" s="694" t="s">
        <v>543</v>
      </c>
      <c r="W958" s="694">
        <f>SUM(U958:U963)</f>
        <v>27</v>
      </c>
      <c r="X958" s="774"/>
      <c r="Y958" s="186"/>
      <c r="Z958" s="359"/>
      <c r="AA958" s="359"/>
    </row>
    <row r="959" spans="1:27">
      <c r="A959" s="359"/>
      <c r="B959" s="359"/>
      <c r="C959" s="359"/>
      <c r="D959" s="359"/>
      <c r="E959" s="359"/>
      <c r="F959" s="359"/>
      <c r="G959" s="359"/>
      <c r="H959" s="359"/>
      <c r="I959" s="359"/>
      <c r="J959" s="359"/>
      <c r="K959" s="359"/>
      <c r="L959" s="359"/>
      <c r="M959" s="359"/>
      <c r="N959" s="359"/>
      <c r="O959" s="359"/>
      <c r="P959" s="359"/>
      <c r="Q959" s="359"/>
      <c r="S959" s="774"/>
      <c r="T959" s="360">
        <v>44859</v>
      </c>
      <c r="U959" s="401">
        <f t="shared" si="36"/>
        <v>3</v>
      </c>
      <c r="V959" s="774"/>
      <c r="W959" s="774"/>
      <c r="X959" s="774"/>
      <c r="Y959" s="186"/>
      <c r="Z959" s="359"/>
      <c r="AA959" s="359"/>
    </row>
    <row r="960" spans="1:27">
      <c r="A960" s="359"/>
      <c r="B960" s="359"/>
      <c r="C960" s="359"/>
      <c r="D960" s="359"/>
      <c r="E960" s="359"/>
      <c r="F960" s="359"/>
      <c r="G960" s="359"/>
      <c r="H960" s="359"/>
      <c r="I960" s="359"/>
      <c r="J960" s="359"/>
      <c r="K960" s="359"/>
      <c r="L960" s="359"/>
      <c r="M960" s="359"/>
      <c r="N960" s="359"/>
      <c r="O960" s="359"/>
      <c r="P960" s="359"/>
      <c r="Q960" s="359"/>
      <c r="S960" s="774"/>
      <c r="T960" s="360">
        <v>44860</v>
      </c>
      <c r="U960" s="401">
        <f t="shared" si="36"/>
        <v>2</v>
      </c>
      <c r="V960" s="774"/>
      <c r="W960" s="774"/>
      <c r="X960" s="774"/>
      <c r="Y960" s="186"/>
      <c r="Z960" s="359"/>
      <c r="AA960" s="359"/>
    </row>
    <row r="961" spans="1:27">
      <c r="A961" s="359"/>
      <c r="B961" s="359"/>
      <c r="C961" s="359"/>
      <c r="D961" s="359"/>
      <c r="E961" s="359"/>
      <c r="F961" s="359"/>
      <c r="G961" s="359"/>
      <c r="H961" s="359"/>
      <c r="I961" s="359"/>
      <c r="J961" s="359"/>
      <c r="K961" s="359"/>
      <c r="L961" s="359"/>
      <c r="M961" s="359"/>
      <c r="N961" s="359"/>
      <c r="O961" s="359"/>
      <c r="P961" s="359"/>
      <c r="Q961" s="359"/>
      <c r="S961" s="774"/>
      <c r="T961" s="360">
        <v>44861</v>
      </c>
      <c r="U961" s="401">
        <f t="shared" si="36"/>
        <v>5</v>
      </c>
      <c r="V961" s="774"/>
      <c r="W961" s="774"/>
      <c r="X961" s="774"/>
      <c r="Y961" s="186"/>
      <c r="Z961" s="359"/>
      <c r="AA961" s="359"/>
    </row>
    <row r="962" spans="1:27">
      <c r="A962" s="359"/>
      <c r="B962" s="359"/>
      <c r="C962" s="359"/>
      <c r="D962" s="359"/>
      <c r="E962" s="359"/>
      <c r="F962" s="359"/>
      <c r="G962" s="359"/>
      <c r="H962" s="359"/>
      <c r="I962" s="359"/>
      <c r="J962" s="359"/>
      <c r="K962" s="359"/>
      <c r="L962" s="359"/>
      <c r="M962" s="359"/>
      <c r="N962" s="359"/>
      <c r="O962" s="359"/>
      <c r="P962" s="359"/>
      <c r="Q962" s="359"/>
      <c r="S962" s="774"/>
      <c r="T962" s="360">
        <v>44862</v>
      </c>
      <c r="U962" s="401">
        <f t="shared" si="36"/>
        <v>7</v>
      </c>
      <c r="V962" s="774"/>
      <c r="W962" s="774"/>
      <c r="X962" s="774"/>
      <c r="Y962" s="186"/>
      <c r="Z962" s="359"/>
      <c r="AA962" s="359"/>
    </row>
    <row r="963" spans="1:27">
      <c r="A963" s="359"/>
      <c r="B963" s="359"/>
      <c r="C963" s="359"/>
      <c r="D963" s="359"/>
      <c r="E963" s="359"/>
      <c r="F963" s="359"/>
      <c r="G963" s="359"/>
      <c r="H963" s="359"/>
      <c r="I963" s="359"/>
      <c r="J963" s="359"/>
      <c r="K963" s="359"/>
      <c r="L963" s="359"/>
      <c r="M963" s="359"/>
      <c r="N963" s="359"/>
      <c r="O963" s="359"/>
      <c r="P963" s="359"/>
      <c r="Q963" s="359"/>
      <c r="S963" s="773"/>
      <c r="T963" s="360">
        <v>44865</v>
      </c>
      <c r="U963" s="401">
        <f t="shared" si="36"/>
        <v>3</v>
      </c>
      <c r="V963" s="773"/>
      <c r="W963" s="773"/>
      <c r="X963" s="774"/>
      <c r="Y963" s="186"/>
      <c r="Z963" s="359"/>
      <c r="AA963" s="359"/>
    </row>
    <row r="964" spans="1:27">
      <c r="A964" s="359"/>
      <c r="B964" s="359"/>
      <c r="C964" s="359"/>
      <c r="D964" s="359"/>
      <c r="E964" s="359"/>
      <c r="F964" s="359"/>
      <c r="G964" s="359"/>
      <c r="H964" s="359"/>
      <c r="I964" s="359"/>
      <c r="J964" s="359"/>
      <c r="K964" s="359"/>
      <c r="L964" s="359"/>
      <c r="M964" s="359"/>
      <c r="N964" s="359"/>
      <c r="O964" s="359"/>
      <c r="P964" s="359"/>
      <c r="Q964" s="359"/>
      <c r="S964" s="693" t="s">
        <v>474</v>
      </c>
      <c r="T964" s="360">
        <v>44866</v>
      </c>
      <c r="U964" s="401">
        <f t="shared" si="36"/>
        <v>8</v>
      </c>
      <c r="V964" s="694" t="s">
        <v>545</v>
      </c>
      <c r="W964" s="694">
        <f>SUM(U964:U967)</f>
        <v>24</v>
      </c>
      <c r="X964" s="774"/>
      <c r="Y964" s="186"/>
      <c r="Z964" s="359"/>
      <c r="AA964" s="359"/>
    </row>
    <row r="965" spans="1:27">
      <c r="A965" s="359"/>
      <c r="B965" s="359"/>
      <c r="C965" s="359"/>
      <c r="D965" s="359"/>
      <c r="E965" s="359"/>
      <c r="F965" s="359"/>
      <c r="G965" s="359"/>
      <c r="H965" s="359"/>
      <c r="I965" s="359"/>
      <c r="J965" s="359"/>
      <c r="K965" s="359"/>
      <c r="L965" s="359"/>
      <c r="M965" s="359"/>
      <c r="N965" s="359"/>
      <c r="O965" s="359"/>
      <c r="P965" s="359"/>
      <c r="Q965" s="359"/>
      <c r="S965" s="774"/>
      <c r="T965" s="360">
        <v>44867</v>
      </c>
      <c r="U965" s="401">
        <f t="shared" si="36"/>
        <v>4</v>
      </c>
      <c r="V965" s="774"/>
      <c r="W965" s="774"/>
      <c r="X965" s="774"/>
      <c r="Y965" s="186"/>
      <c r="Z965" s="359"/>
      <c r="AA965" s="359"/>
    </row>
    <row r="966" spans="1:27">
      <c r="A966" s="359"/>
      <c r="B966" s="359"/>
      <c r="C966" s="359"/>
      <c r="D966" s="359"/>
      <c r="E966" s="359"/>
      <c r="F966" s="359"/>
      <c r="G966" s="359"/>
      <c r="H966" s="359"/>
      <c r="I966" s="359"/>
      <c r="J966" s="359"/>
      <c r="K966" s="359"/>
      <c r="L966" s="359"/>
      <c r="M966" s="359"/>
      <c r="N966" s="359"/>
      <c r="O966" s="359"/>
      <c r="P966" s="359"/>
      <c r="Q966" s="359"/>
      <c r="S966" s="774"/>
      <c r="T966" s="360">
        <v>44868</v>
      </c>
      <c r="U966" s="401">
        <f t="shared" si="36"/>
        <v>7</v>
      </c>
      <c r="V966" s="774"/>
      <c r="W966" s="774"/>
      <c r="X966" s="774"/>
      <c r="Y966" s="186"/>
      <c r="Z966" s="359"/>
      <c r="AA966" s="359"/>
    </row>
    <row r="967" spans="1:27">
      <c r="A967" s="359"/>
      <c r="B967" s="359"/>
      <c r="C967" s="359"/>
      <c r="D967" s="359"/>
      <c r="E967" s="359"/>
      <c r="F967" s="359"/>
      <c r="G967" s="359"/>
      <c r="H967" s="359"/>
      <c r="I967" s="359"/>
      <c r="J967" s="359"/>
      <c r="K967" s="359"/>
      <c r="L967" s="359"/>
      <c r="M967" s="359"/>
      <c r="N967" s="359"/>
      <c r="O967" s="359"/>
      <c r="P967" s="359"/>
      <c r="Q967" s="359"/>
      <c r="S967" s="774"/>
      <c r="T967" s="360">
        <v>44869</v>
      </c>
      <c r="U967" s="401">
        <f t="shared" si="36"/>
        <v>5</v>
      </c>
      <c r="V967" s="773"/>
      <c r="W967" s="773"/>
      <c r="X967" s="774"/>
      <c r="Y967" s="186"/>
      <c r="Z967" s="359"/>
      <c r="AA967" s="359"/>
    </row>
    <row r="968" spans="1:27">
      <c r="A968" s="359"/>
      <c r="B968" s="359"/>
      <c r="C968" s="359"/>
      <c r="D968" s="359"/>
      <c r="E968" s="359"/>
      <c r="F968" s="359"/>
      <c r="G968" s="359"/>
      <c r="H968" s="359"/>
      <c r="I968" s="359"/>
      <c r="J968" s="359"/>
      <c r="K968" s="359"/>
      <c r="L968" s="359"/>
      <c r="M968" s="359"/>
      <c r="N968" s="359"/>
      <c r="O968" s="359"/>
      <c r="P968" s="359"/>
      <c r="Q968" s="359"/>
      <c r="S968" s="774"/>
      <c r="T968" s="360">
        <v>44872</v>
      </c>
      <c r="U968" s="401">
        <f t="shared" si="36"/>
        <v>8</v>
      </c>
      <c r="V968" s="698" t="s">
        <v>546</v>
      </c>
      <c r="W968" s="698">
        <f>SUM(U968:U972)</f>
        <v>41</v>
      </c>
      <c r="X968" s="774"/>
      <c r="Y968" s="186"/>
      <c r="Z968" s="359"/>
      <c r="AA968" s="359"/>
    </row>
    <row r="969" spans="1:27">
      <c r="A969" s="359"/>
      <c r="B969" s="359"/>
      <c r="C969" s="359"/>
      <c r="D969" s="359"/>
      <c r="E969" s="359"/>
      <c r="F969" s="359"/>
      <c r="G969" s="359"/>
      <c r="H969" s="359"/>
      <c r="I969" s="359"/>
      <c r="J969" s="359"/>
      <c r="K969" s="359"/>
      <c r="L969" s="359"/>
      <c r="M969" s="359"/>
      <c r="N969" s="359"/>
      <c r="O969" s="359"/>
      <c r="P969" s="359"/>
      <c r="Q969" s="359"/>
      <c r="S969" s="774"/>
      <c r="T969" s="360">
        <v>44873</v>
      </c>
      <c r="U969" s="401">
        <f t="shared" si="36"/>
        <v>7</v>
      </c>
      <c r="V969" s="774"/>
      <c r="W969" s="774"/>
      <c r="X969" s="774"/>
      <c r="Y969" s="186"/>
      <c r="Z969" s="359"/>
      <c r="AA969" s="359"/>
    </row>
    <row r="970" spans="1:27">
      <c r="A970" s="359"/>
      <c r="B970" s="359"/>
      <c r="C970" s="359"/>
      <c r="D970" s="359"/>
      <c r="E970" s="359"/>
      <c r="F970" s="359"/>
      <c r="G970" s="359"/>
      <c r="H970" s="359"/>
      <c r="I970" s="359"/>
      <c r="J970" s="359"/>
      <c r="K970" s="359"/>
      <c r="L970" s="359"/>
      <c r="M970" s="359"/>
      <c r="N970" s="359"/>
      <c r="O970" s="359"/>
      <c r="P970" s="359"/>
      <c r="Q970" s="359"/>
      <c r="S970" s="774"/>
      <c r="T970" s="360">
        <v>44874</v>
      </c>
      <c r="U970" s="401">
        <f t="shared" si="36"/>
        <v>5</v>
      </c>
      <c r="V970" s="774"/>
      <c r="W970" s="774"/>
      <c r="X970" s="774"/>
      <c r="Y970" s="186"/>
      <c r="Z970" s="359"/>
      <c r="AA970" s="359"/>
    </row>
    <row r="971" spans="1:27">
      <c r="A971" s="359"/>
      <c r="B971" s="359"/>
      <c r="C971" s="359"/>
      <c r="D971" s="359"/>
      <c r="E971" s="359"/>
      <c r="F971" s="359"/>
      <c r="G971" s="359"/>
      <c r="H971" s="359"/>
      <c r="I971" s="359"/>
      <c r="J971" s="359"/>
      <c r="K971" s="359"/>
      <c r="L971" s="359"/>
      <c r="M971" s="359"/>
      <c r="N971" s="359"/>
      <c r="O971" s="359"/>
      <c r="P971" s="359"/>
      <c r="Q971" s="359"/>
      <c r="S971" s="774"/>
      <c r="T971" s="360">
        <v>44875</v>
      </c>
      <c r="U971" s="401">
        <f t="shared" si="36"/>
        <v>10</v>
      </c>
      <c r="V971" s="774"/>
      <c r="W971" s="774"/>
      <c r="X971" s="774"/>
      <c r="Y971" s="186"/>
      <c r="Z971" s="359"/>
      <c r="AA971" s="359"/>
    </row>
    <row r="972" spans="1:27">
      <c r="A972" s="359"/>
      <c r="B972" s="359"/>
      <c r="C972" s="359"/>
      <c r="D972" s="359"/>
      <c r="E972" s="359"/>
      <c r="F972" s="359"/>
      <c r="G972" s="359"/>
      <c r="H972" s="359"/>
      <c r="I972" s="359"/>
      <c r="J972" s="359"/>
      <c r="K972" s="359"/>
      <c r="L972" s="359"/>
      <c r="M972" s="359"/>
      <c r="N972" s="359"/>
      <c r="O972" s="359"/>
      <c r="P972" s="359"/>
      <c r="Q972" s="359"/>
      <c r="S972" s="774"/>
      <c r="T972" s="360">
        <v>44876</v>
      </c>
      <c r="U972" s="401">
        <f t="shared" si="36"/>
        <v>11</v>
      </c>
      <c r="V972" s="773"/>
      <c r="W972" s="773"/>
      <c r="X972" s="774"/>
      <c r="Y972" s="186"/>
      <c r="Z972" s="359"/>
      <c r="AA972" s="359"/>
    </row>
    <row r="973" spans="1:27">
      <c r="A973" s="359"/>
      <c r="B973" s="359"/>
      <c r="C973" s="359"/>
      <c r="D973" s="359"/>
      <c r="E973" s="359"/>
      <c r="F973" s="359"/>
      <c r="G973" s="359"/>
      <c r="H973" s="359"/>
      <c r="I973" s="359"/>
      <c r="J973" s="359"/>
      <c r="K973" s="359"/>
      <c r="L973" s="359"/>
      <c r="M973" s="359"/>
      <c r="N973" s="359"/>
      <c r="O973" s="359"/>
      <c r="P973" s="359"/>
      <c r="Q973" s="359"/>
      <c r="S973" s="774"/>
      <c r="T973" s="360">
        <v>44879</v>
      </c>
      <c r="U973" s="401">
        <f t="shared" si="36"/>
        <v>6</v>
      </c>
      <c r="V973" s="698" t="s">
        <v>547</v>
      </c>
      <c r="W973" s="698">
        <f>SUM(U973:U977)</f>
        <v>26</v>
      </c>
      <c r="X973" s="774"/>
      <c r="Y973" s="186"/>
      <c r="Z973" s="359"/>
      <c r="AA973" s="359"/>
    </row>
    <row r="974" spans="1:27">
      <c r="A974" s="359"/>
      <c r="B974" s="359"/>
      <c r="C974" s="359"/>
      <c r="D974" s="359"/>
      <c r="E974" s="359"/>
      <c r="F974" s="359"/>
      <c r="G974" s="359"/>
      <c r="H974" s="359"/>
      <c r="I974" s="359"/>
      <c r="J974" s="359"/>
      <c r="K974" s="359"/>
      <c r="L974" s="359"/>
      <c r="M974" s="359"/>
      <c r="N974" s="359"/>
      <c r="O974" s="359"/>
      <c r="P974" s="359"/>
      <c r="Q974" s="359"/>
      <c r="S974" s="774"/>
      <c r="T974" s="360">
        <v>44880</v>
      </c>
      <c r="U974" s="401">
        <f t="shared" si="36"/>
        <v>11</v>
      </c>
      <c r="V974" s="774"/>
      <c r="W974" s="774"/>
      <c r="X974" s="774"/>
      <c r="Y974" s="186"/>
      <c r="Z974" s="359"/>
      <c r="AA974" s="359"/>
    </row>
    <row r="975" spans="1:27">
      <c r="A975" s="359"/>
      <c r="B975" s="359"/>
      <c r="C975" s="359"/>
      <c r="D975" s="359"/>
      <c r="E975" s="359"/>
      <c r="F975" s="359"/>
      <c r="G975" s="359"/>
      <c r="H975" s="359"/>
      <c r="I975" s="359"/>
      <c r="J975" s="359"/>
      <c r="K975" s="359"/>
      <c r="L975" s="359"/>
      <c r="M975" s="359"/>
      <c r="N975" s="359"/>
      <c r="O975" s="359"/>
      <c r="P975" s="359"/>
      <c r="Q975" s="359"/>
      <c r="S975" s="774"/>
      <c r="T975" s="360">
        <v>44881</v>
      </c>
      <c r="U975" s="401">
        <f t="shared" si="36"/>
        <v>7</v>
      </c>
      <c r="V975" s="774"/>
      <c r="W975" s="774"/>
      <c r="X975" s="774"/>
      <c r="Y975" s="186"/>
      <c r="Z975" s="359"/>
      <c r="AA975" s="359"/>
    </row>
    <row r="976" spans="1:27">
      <c r="A976" s="359"/>
      <c r="B976" s="359"/>
      <c r="C976" s="359"/>
      <c r="D976" s="359"/>
      <c r="E976" s="359"/>
      <c r="F976" s="359"/>
      <c r="G976" s="359"/>
      <c r="H976" s="359"/>
      <c r="I976" s="359"/>
      <c r="J976" s="359"/>
      <c r="K976" s="359"/>
      <c r="L976" s="359"/>
      <c r="M976" s="359"/>
      <c r="N976" s="359"/>
      <c r="O976" s="359"/>
      <c r="P976" s="359"/>
      <c r="Q976" s="359"/>
      <c r="S976" s="774"/>
      <c r="T976" s="360">
        <v>44882</v>
      </c>
      <c r="U976" s="401">
        <f t="shared" si="36"/>
        <v>2</v>
      </c>
      <c r="V976" s="774"/>
      <c r="W976" s="774"/>
      <c r="X976" s="774"/>
      <c r="Y976" s="186"/>
      <c r="Z976" s="359"/>
      <c r="AA976" s="359"/>
    </row>
    <row r="977" spans="1:27">
      <c r="A977" s="359"/>
      <c r="B977" s="359"/>
      <c r="C977" s="359"/>
      <c r="D977" s="359"/>
      <c r="E977" s="359"/>
      <c r="F977" s="359"/>
      <c r="G977" s="359"/>
      <c r="H977" s="359"/>
      <c r="I977" s="359"/>
      <c r="J977" s="359"/>
      <c r="K977" s="359"/>
      <c r="L977" s="359"/>
      <c r="M977" s="359"/>
      <c r="N977" s="359"/>
      <c r="O977" s="359"/>
      <c r="P977" s="359"/>
      <c r="Q977" s="359"/>
      <c r="S977" s="774"/>
      <c r="T977" s="360">
        <v>44883</v>
      </c>
      <c r="U977" s="401">
        <f t="shared" si="36"/>
        <v>0</v>
      </c>
      <c r="V977" s="773"/>
      <c r="W977" s="773"/>
      <c r="X977" s="774"/>
      <c r="Y977" s="186"/>
      <c r="Z977" s="359"/>
      <c r="AA977" s="359"/>
    </row>
    <row r="978" spans="1:27">
      <c r="A978" s="359"/>
      <c r="B978" s="359"/>
      <c r="C978" s="359"/>
      <c r="D978" s="359"/>
      <c r="E978" s="359"/>
      <c r="F978" s="359"/>
      <c r="G978" s="359"/>
      <c r="H978" s="359"/>
      <c r="I978" s="359"/>
      <c r="J978" s="359"/>
      <c r="K978" s="359"/>
      <c r="L978" s="359"/>
      <c r="M978" s="359"/>
      <c r="N978" s="359"/>
      <c r="O978" s="359"/>
      <c r="P978" s="359"/>
      <c r="Q978" s="359"/>
      <c r="S978" s="774"/>
      <c r="T978" s="360">
        <v>44886</v>
      </c>
      <c r="U978" s="401">
        <f t="shared" si="36"/>
        <v>6</v>
      </c>
      <c r="V978" s="698" t="s">
        <v>548</v>
      </c>
      <c r="W978" s="698">
        <f>SUM(U978:U985)</f>
        <v>43</v>
      </c>
      <c r="X978" s="774"/>
      <c r="Y978" s="186"/>
      <c r="Z978" s="359"/>
      <c r="AA978" s="359"/>
    </row>
    <row r="979" spans="1:27">
      <c r="A979" s="359"/>
      <c r="B979" s="359"/>
      <c r="C979" s="359"/>
      <c r="D979" s="359"/>
      <c r="E979" s="359"/>
      <c r="F979" s="359"/>
      <c r="G979" s="359"/>
      <c r="H979" s="359"/>
      <c r="I979" s="359"/>
      <c r="J979" s="359"/>
      <c r="K979" s="359"/>
      <c r="L979" s="359"/>
      <c r="M979" s="359"/>
      <c r="N979" s="359"/>
      <c r="O979" s="359"/>
      <c r="P979" s="359"/>
      <c r="Q979" s="359"/>
      <c r="S979" s="774"/>
      <c r="T979" s="360">
        <v>44887</v>
      </c>
      <c r="U979" s="401">
        <f t="shared" si="36"/>
        <v>6</v>
      </c>
      <c r="V979" s="774"/>
      <c r="W979" s="774"/>
      <c r="X979" s="774"/>
      <c r="Y979" s="186"/>
      <c r="Z979" s="359"/>
      <c r="AA979" s="359"/>
    </row>
    <row r="980" spans="1:27">
      <c r="A980" s="359"/>
      <c r="B980" s="359"/>
      <c r="C980" s="359"/>
      <c r="D980" s="359"/>
      <c r="E980" s="359"/>
      <c r="F980" s="359"/>
      <c r="G980" s="359"/>
      <c r="H980" s="359"/>
      <c r="I980" s="359"/>
      <c r="J980" s="359"/>
      <c r="K980" s="359"/>
      <c r="L980" s="359"/>
      <c r="M980" s="359"/>
      <c r="N980" s="359"/>
      <c r="O980" s="359"/>
      <c r="P980" s="359"/>
      <c r="Q980" s="359"/>
      <c r="S980" s="774"/>
      <c r="T980" s="360">
        <v>44888</v>
      </c>
      <c r="U980" s="401">
        <f t="shared" si="36"/>
        <v>4</v>
      </c>
      <c r="V980" s="774"/>
      <c r="W980" s="774"/>
      <c r="X980" s="774"/>
      <c r="Y980" s="186"/>
      <c r="Z980" s="359"/>
      <c r="AA980" s="359"/>
    </row>
    <row r="981" spans="1:27">
      <c r="A981" s="359"/>
      <c r="B981" s="359"/>
      <c r="C981" s="359"/>
      <c r="D981" s="359"/>
      <c r="E981" s="359"/>
      <c r="F981" s="359"/>
      <c r="G981" s="359"/>
      <c r="H981" s="359"/>
      <c r="I981" s="359"/>
      <c r="J981" s="359"/>
      <c r="K981" s="359"/>
      <c r="L981" s="359"/>
      <c r="M981" s="359"/>
      <c r="N981" s="359"/>
      <c r="O981" s="359"/>
      <c r="P981" s="359"/>
      <c r="Q981" s="359"/>
      <c r="S981" s="774"/>
      <c r="T981" s="360">
        <v>44889</v>
      </c>
      <c r="U981" s="401">
        <f t="shared" si="36"/>
        <v>2</v>
      </c>
      <c r="V981" s="774"/>
      <c r="W981" s="774"/>
      <c r="X981" s="774"/>
      <c r="Y981" s="186"/>
      <c r="Z981" s="359"/>
      <c r="AA981" s="359"/>
    </row>
    <row r="982" spans="1:27">
      <c r="A982" s="359"/>
      <c r="B982" s="359"/>
      <c r="C982" s="359"/>
      <c r="D982" s="359"/>
      <c r="E982" s="359"/>
      <c r="F982" s="359"/>
      <c r="G982" s="359"/>
      <c r="H982" s="359"/>
      <c r="I982" s="359"/>
      <c r="J982" s="359"/>
      <c r="K982" s="359"/>
      <c r="L982" s="359"/>
      <c r="M982" s="359"/>
      <c r="N982" s="359"/>
      <c r="O982" s="359"/>
      <c r="P982" s="359"/>
      <c r="Q982" s="359"/>
      <c r="S982" s="774"/>
      <c r="T982" s="360">
        <v>44890</v>
      </c>
      <c r="U982" s="401">
        <f t="shared" si="36"/>
        <v>6</v>
      </c>
      <c r="V982" s="774"/>
      <c r="W982" s="774"/>
      <c r="X982" s="774"/>
      <c r="Y982" s="186"/>
      <c r="Z982" s="359"/>
      <c r="AA982" s="359"/>
    </row>
    <row r="983" spans="1:27">
      <c r="A983" s="359"/>
      <c r="B983" s="359"/>
      <c r="C983" s="359"/>
      <c r="D983" s="359"/>
      <c r="E983" s="359"/>
      <c r="F983" s="359"/>
      <c r="G983" s="359"/>
      <c r="H983" s="359"/>
      <c r="I983" s="359"/>
      <c r="J983" s="359"/>
      <c r="K983" s="359"/>
      <c r="L983" s="359"/>
      <c r="M983" s="359"/>
      <c r="N983" s="359"/>
      <c r="O983" s="359"/>
      <c r="P983" s="359"/>
      <c r="Q983" s="359"/>
      <c r="S983" s="774"/>
      <c r="T983" s="360">
        <v>44893</v>
      </c>
      <c r="U983" s="401">
        <f t="shared" si="36"/>
        <v>9</v>
      </c>
      <c r="V983" s="774"/>
      <c r="W983" s="774"/>
      <c r="X983" s="774"/>
      <c r="Y983" s="186"/>
      <c r="Z983" s="359"/>
      <c r="AA983" s="359"/>
    </row>
    <row r="984" spans="1:27">
      <c r="A984" s="359"/>
      <c r="B984" s="359"/>
      <c r="C984" s="359"/>
      <c r="D984" s="359"/>
      <c r="E984" s="359"/>
      <c r="F984" s="359"/>
      <c r="G984" s="359"/>
      <c r="H984" s="359"/>
      <c r="I984" s="359"/>
      <c r="J984" s="359"/>
      <c r="K984" s="359"/>
      <c r="L984" s="359"/>
      <c r="M984" s="359"/>
      <c r="N984" s="359"/>
      <c r="O984" s="359"/>
      <c r="P984" s="359"/>
      <c r="Q984" s="359"/>
      <c r="S984" s="774"/>
      <c r="T984" s="360">
        <v>44894</v>
      </c>
      <c r="U984" s="401">
        <f t="shared" si="36"/>
        <v>4</v>
      </c>
      <c r="V984" s="774"/>
      <c r="W984" s="774"/>
      <c r="X984" s="774"/>
      <c r="Y984" s="186"/>
      <c r="Z984" s="359"/>
      <c r="AA984" s="359"/>
    </row>
    <row r="985" spans="1:27">
      <c r="A985" s="359"/>
      <c r="B985" s="359"/>
      <c r="C985" s="359"/>
      <c r="D985" s="359"/>
      <c r="E985" s="359"/>
      <c r="F985" s="359"/>
      <c r="G985" s="359"/>
      <c r="H985" s="359"/>
      <c r="I985" s="359"/>
      <c r="J985" s="359"/>
      <c r="K985" s="359"/>
      <c r="L985" s="359"/>
      <c r="M985" s="359"/>
      <c r="N985" s="359"/>
      <c r="O985" s="359"/>
      <c r="P985" s="359"/>
      <c r="Q985" s="359"/>
      <c r="S985" s="774"/>
      <c r="T985" s="360">
        <v>44895</v>
      </c>
      <c r="U985" s="401">
        <f t="shared" si="36"/>
        <v>6</v>
      </c>
      <c r="V985" s="774"/>
      <c r="W985" s="774"/>
      <c r="X985" s="774"/>
      <c r="Y985" s="186"/>
      <c r="Z985" s="359"/>
      <c r="AA985" s="359"/>
    </row>
    <row r="986" spans="1:27">
      <c r="A986" s="359"/>
      <c r="B986" s="359"/>
      <c r="C986" s="359"/>
      <c r="D986" s="359"/>
      <c r="E986" s="359"/>
      <c r="F986" s="359"/>
      <c r="G986" s="359"/>
      <c r="H986" s="359"/>
      <c r="I986" s="359"/>
      <c r="J986" s="359"/>
      <c r="K986" s="359"/>
      <c r="L986" s="359"/>
      <c r="M986" s="359"/>
      <c r="N986" s="359"/>
      <c r="O986" s="359"/>
      <c r="P986" s="359"/>
      <c r="Q986" s="359"/>
      <c r="S986" s="693" t="s">
        <v>583</v>
      </c>
      <c r="T986" s="360">
        <v>44896</v>
      </c>
      <c r="U986" s="401">
        <f t="shared" si="36"/>
        <v>0</v>
      </c>
      <c r="V986" s="694" t="s">
        <v>549</v>
      </c>
      <c r="W986" s="694">
        <f>SUM(U986:U992)</f>
        <v>3</v>
      </c>
      <c r="X986" s="774"/>
      <c r="Y986" s="186"/>
      <c r="Z986" s="359"/>
      <c r="AA986" s="359"/>
    </row>
    <row r="987" spans="1:27">
      <c r="A987" s="359"/>
      <c r="B987" s="359"/>
      <c r="C987" s="359"/>
      <c r="D987" s="359"/>
      <c r="E987" s="359"/>
      <c r="F987" s="359"/>
      <c r="G987" s="359"/>
      <c r="H987" s="359"/>
      <c r="I987" s="359"/>
      <c r="J987" s="359"/>
      <c r="K987" s="359"/>
      <c r="L987" s="359"/>
      <c r="M987" s="359"/>
      <c r="N987" s="359"/>
      <c r="O987" s="359"/>
      <c r="P987" s="359"/>
      <c r="Q987" s="359"/>
      <c r="S987" s="774"/>
      <c r="T987" s="360">
        <v>44897</v>
      </c>
      <c r="U987" s="401">
        <f t="shared" si="36"/>
        <v>0</v>
      </c>
      <c r="V987" s="774"/>
      <c r="W987" s="774"/>
      <c r="X987" s="774"/>
      <c r="Y987" s="186"/>
      <c r="Z987" s="359"/>
      <c r="AA987" s="359"/>
    </row>
    <row r="988" spans="1:27">
      <c r="A988" s="359"/>
      <c r="B988" s="359"/>
      <c r="C988" s="359"/>
      <c r="D988" s="359"/>
      <c r="E988" s="359"/>
      <c r="F988" s="359"/>
      <c r="G988" s="359"/>
      <c r="H988" s="359"/>
      <c r="I988" s="359"/>
      <c r="J988" s="359"/>
      <c r="K988" s="359"/>
      <c r="L988" s="359"/>
      <c r="M988" s="359"/>
      <c r="N988" s="359"/>
      <c r="O988" s="359"/>
      <c r="P988" s="359"/>
      <c r="Q988" s="359"/>
      <c r="S988" s="774"/>
      <c r="T988" s="360">
        <v>44900</v>
      </c>
      <c r="U988" s="401">
        <f t="shared" si="36"/>
        <v>0</v>
      </c>
      <c r="V988" s="774"/>
      <c r="W988" s="774"/>
      <c r="X988" s="774"/>
      <c r="Y988" s="186"/>
      <c r="Z988" s="359"/>
      <c r="AA988" s="359"/>
    </row>
    <row r="989" spans="1:27">
      <c r="A989" s="359"/>
      <c r="B989" s="359"/>
      <c r="C989" s="359"/>
      <c r="D989" s="359"/>
      <c r="E989" s="359"/>
      <c r="F989" s="359"/>
      <c r="G989" s="359"/>
      <c r="H989" s="359"/>
      <c r="I989" s="359"/>
      <c r="J989" s="359"/>
      <c r="K989" s="359"/>
      <c r="L989" s="359"/>
      <c r="M989" s="359"/>
      <c r="N989" s="359"/>
      <c r="O989" s="359"/>
      <c r="P989" s="359"/>
      <c r="Q989" s="359"/>
      <c r="S989" s="774"/>
      <c r="T989" s="360">
        <v>44901</v>
      </c>
      <c r="U989" s="401">
        <f t="shared" si="36"/>
        <v>3</v>
      </c>
      <c r="V989" s="774"/>
      <c r="W989" s="774"/>
      <c r="X989" s="774"/>
      <c r="Y989" s="186"/>
      <c r="Z989" s="359"/>
      <c r="AA989" s="359"/>
    </row>
    <row r="990" spans="1:27">
      <c r="A990" s="359"/>
      <c r="B990" s="359"/>
      <c r="C990" s="359"/>
      <c r="D990" s="359"/>
      <c r="E990" s="359"/>
      <c r="F990" s="359"/>
      <c r="G990" s="359"/>
      <c r="H990" s="359"/>
      <c r="I990" s="359"/>
      <c r="J990" s="359"/>
      <c r="K990" s="359"/>
      <c r="L990" s="359"/>
      <c r="M990" s="359"/>
      <c r="N990" s="359"/>
      <c r="O990" s="359"/>
      <c r="P990" s="359"/>
      <c r="Q990" s="359"/>
      <c r="S990" s="774"/>
      <c r="T990" s="360">
        <v>44902</v>
      </c>
      <c r="U990" s="401">
        <f t="shared" si="36"/>
        <v>0</v>
      </c>
      <c r="V990" s="774"/>
      <c r="W990" s="774"/>
      <c r="X990" s="774"/>
      <c r="Y990" s="186"/>
      <c r="Z990" s="359"/>
      <c r="AA990" s="359"/>
    </row>
    <row r="991" spans="1:27">
      <c r="A991" s="359"/>
      <c r="B991" s="359"/>
      <c r="C991" s="359"/>
      <c r="D991" s="359"/>
      <c r="E991" s="359"/>
      <c r="F991" s="359"/>
      <c r="G991" s="359"/>
      <c r="H991" s="359"/>
      <c r="I991" s="359"/>
      <c r="J991" s="359"/>
      <c r="K991" s="359"/>
      <c r="L991" s="359"/>
      <c r="M991" s="359"/>
      <c r="N991" s="359"/>
      <c r="O991" s="359"/>
      <c r="P991" s="359"/>
      <c r="Q991" s="359"/>
      <c r="S991" s="774"/>
      <c r="T991" s="360">
        <v>44903</v>
      </c>
      <c r="U991" s="401">
        <f t="shared" si="36"/>
        <v>0</v>
      </c>
      <c r="V991" s="774"/>
      <c r="W991" s="774"/>
      <c r="X991" s="774"/>
      <c r="Y991" s="186"/>
      <c r="Z991" s="359"/>
      <c r="AA991" s="359"/>
    </row>
    <row r="992" spans="1:27">
      <c r="A992" s="359"/>
      <c r="B992" s="359"/>
      <c r="C992" s="359"/>
      <c r="D992" s="359"/>
      <c r="E992" s="359"/>
      <c r="F992" s="359"/>
      <c r="G992" s="359"/>
      <c r="H992" s="359"/>
      <c r="I992" s="359"/>
      <c r="J992" s="359"/>
      <c r="K992" s="359"/>
      <c r="L992" s="359"/>
      <c r="M992" s="359"/>
      <c r="N992" s="359"/>
      <c r="O992" s="359"/>
      <c r="P992" s="359"/>
      <c r="Q992" s="359"/>
      <c r="S992" s="774"/>
      <c r="T992" s="360">
        <v>44904</v>
      </c>
      <c r="U992" s="401">
        <f t="shared" si="36"/>
        <v>0</v>
      </c>
      <c r="V992" s="773"/>
      <c r="W992" s="773"/>
      <c r="X992" s="774"/>
      <c r="Y992" s="186"/>
      <c r="Z992" s="359"/>
      <c r="AA992" s="359"/>
    </row>
    <row r="993" spans="1:27">
      <c r="A993" s="359"/>
      <c r="B993" s="359"/>
      <c r="C993" s="359"/>
      <c r="D993" s="359"/>
      <c r="E993" s="359"/>
      <c r="F993" s="359"/>
      <c r="G993" s="359"/>
      <c r="H993" s="359"/>
      <c r="I993" s="359"/>
      <c r="J993" s="359"/>
      <c r="K993" s="359"/>
      <c r="L993" s="359"/>
      <c r="M993" s="359"/>
      <c r="N993" s="359"/>
      <c r="O993" s="359"/>
      <c r="P993" s="359"/>
      <c r="Q993" s="359"/>
      <c r="S993" s="774"/>
      <c r="T993" s="360">
        <v>44907</v>
      </c>
      <c r="U993" s="401">
        <f t="shared" si="36"/>
        <v>2</v>
      </c>
      <c r="V993" s="694" t="s">
        <v>550</v>
      </c>
      <c r="W993" s="694">
        <f>SUM(U993:U998)</f>
        <v>8</v>
      </c>
      <c r="X993" s="774"/>
      <c r="Y993" s="186"/>
      <c r="Z993" s="359"/>
      <c r="AA993" s="359"/>
    </row>
    <row r="994" spans="1:27">
      <c r="A994" s="359"/>
      <c r="B994" s="359"/>
      <c r="C994" s="359"/>
      <c r="D994" s="359"/>
      <c r="E994" s="359"/>
      <c r="F994" s="359"/>
      <c r="G994" s="359"/>
      <c r="H994" s="359"/>
      <c r="I994" s="359"/>
      <c r="J994" s="359"/>
      <c r="K994" s="359"/>
      <c r="L994" s="359"/>
      <c r="M994" s="359"/>
      <c r="N994" s="359"/>
      <c r="O994" s="359"/>
      <c r="P994" s="359"/>
      <c r="Q994" s="359"/>
      <c r="S994" s="774"/>
      <c r="T994" s="360">
        <v>44908</v>
      </c>
      <c r="U994" s="401">
        <f t="shared" si="36"/>
        <v>0</v>
      </c>
      <c r="V994" s="774"/>
      <c r="W994" s="774"/>
      <c r="X994" s="774"/>
      <c r="Y994" s="186"/>
      <c r="Z994" s="359"/>
      <c r="AA994" s="359"/>
    </row>
    <row r="995" spans="1:27">
      <c r="A995" s="359"/>
      <c r="B995" s="359"/>
      <c r="C995" s="359"/>
      <c r="D995" s="359"/>
      <c r="E995" s="359"/>
      <c r="F995" s="359"/>
      <c r="G995" s="359"/>
      <c r="H995" s="359"/>
      <c r="I995" s="359"/>
      <c r="J995" s="359"/>
      <c r="K995" s="359"/>
      <c r="L995" s="359"/>
      <c r="M995" s="359"/>
      <c r="N995" s="359"/>
      <c r="O995" s="359"/>
      <c r="P995" s="359"/>
      <c r="Q995" s="359"/>
      <c r="S995" s="774"/>
      <c r="T995" s="360">
        <v>44909</v>
      </c>
      <c r="U995" s="401">
        <f t="shared" si="36"/>
        <v>6</v>
      </c>
      <c r="V995" s="774"/>
      <c r="W995" s="774"/>
      <c r="X995" s="774"/>
      <c r="Y995" s="186"/>
      <c r="Z995" s="359"/>
      <c r="AA995" s="359"/>
    </row>
    <row r="996" spans="1:27">
      <c r="A996" s="359"/>
      <c r="B996" s="359"/>
      <c r="C996" s="359"/>
      <c r="D996" s="359"/>
      <c r="E996" s="359"/>
      <c r="F996" s="359"/>
      <c r="G996" s="359"/>
      <c r="H996" s="359"/>
      <c r="I996" s="359"/>
      <c r="J996" s="359"/>
      <c r="K996" s="359"/>
      <c r="L996" s="359"/>
      <c r="M996" s="359"/>
      <c r="N996" s="359"/>
      <c r="O996" s="359"/>
      <c r="P996" s="359"/>
      <c r="Q996" s="359"/>
      <c r="S996" s="774"/>
      <c r="T996" s="360">
        <v>44910</v>
      </c>
      <c r="U996" s="401">
        <f t="shared" si="36"/>
        <v>0</v>
      </c>
      <c r="V996" s="774"/>
      <c r="W996" s="774"/>
      <c r="X996" s="774"/>
      <c r="Y996" s="186"/>
      <c r="Z996" s="359"/>
      <c r="AA996" s="359"/>
    </row>
    <row r="997" spans="1:27">
      <c r="A997" s="359"/>
      <c r="B997" s="359"/>
      <c r="C997" s="359"/>
      <c r="D997" s="359"/>
      <c r="E997" s="359"/>
      <c r="F997" s="359"/>
      <c r="G997" s="359"/>
      <c r="H997" s="359"/>
      <c r="I997" s="359"/>
      <c r="J997" s="359"/>
      <c r="K997" s="359"/>
      <c r="L997" s="359"/>
      <c r="M997" s="359"/>
      <c r="N997" s="359"/>
      <c r="O997" s="359"/>
      <c r="P997" s="359"/>
      <c r="Q997" s="359"/>
      <c r="S997" s="774"/>
      <c r="T997" s="360">
        <v>44911</v>
      </c>
      <c r="U997" s="401">
        <f t="shared" si="36"/>
        <v>0</v>
      </c>
      <c r="V997" s="774"/>
      <c r="W997" s="774"/>
      <c r="X997" s="774"/>
      <c r="Y997" s="186"/>
      <c r="Z997" s="359"/>
      <c r="AA997" s="359"/>
    </row>
    <row r="998" spans="1:27">
      <c r="A998" s="359"/>
      <c r="B998" s="359"/>
      <c r="C998" s="359"/>
      <c r="D998" s="359"/>
      <c r="E998" s="359"/>
      <c r="F998" s="359"/>
      <c r="G998" s="359"/>
      <c r="H998" s="359"/>
      <c r="I998" s="359"/>
      <c r="J998" s="359"/>
      <c r="K998" s="359"/>
      <c r="L998" s="359"/>
      <c r="M998" s="359"/>
      <c r="N998" s="359"/>
      <c r="O998" s="359"/>
      <c r="P998" s="359"/>
      <c r="Q998" s="359"/>
      <c r="S998" s="774"/>
      <c r="T998" s="360">
        <v>44914</v>
      </c>
      <c r="U998" s="401">
        <f t="shared" si="36"/>
        <v>0</v>
      </c>
      <c r="V998" s="774"/>
      <c r="W998" s="774"/>
      <c r="X998" s="774"/>
      <c r="Y998" s="186"/>
      <c r="Z998" s="359"/>
      <c r="AA998" s="359"/>
    </row>
    <row r="999" spans="1:27">
      <c r="A999" s="359"/>
      <c r="B999" s="359"/>
      <c r="C999" s="359"/>
      <c r="D999" s="359"/>
      <c r="E999" s="359"/>
      <c r="F999" s="359"/>
      <c r="G999" s="359"/>
      <c r="H999" s="359"/>
      <c r="I999" s="359"/>
      <c r="J999" s="359"/>
      <c r="K999" s="359"/>
      <c r="L999" s="359"/>
      <c r="M999" s="359"/>
      <c r="N999" s="359"/>
      <c r="O999" s="359"/>
      <c r="P999" s="359"/>
      <c r="Q999" s="359"/>
      <c r="S999" s="774"/>
      <c r="T999" s="360">
        <v>44915</v>
      </c>
      <c r="U999" s="401">
        <f t="shared" si="36"/>
        <v>4</v>
      </c>
      <c r="V999" s="694" t="s">
        <v>551</v>
      </c>
      <c r="W999" s="694">
        <f>SUM(U999:U1002)</f>
        <v>8</v>
      </c>
      <c r="X999" s="774"/>
      <c r="Y999" s="186"/>
      <c r="Z999" s="359"/>
      <c r="AA999" s="359"/>
    </row>
    <row r="1000" spans="1:27">
      <c r="A1000" s="359"/>
      <c r="B1000" s="359"/>
      <c r="C1000" s="359"/>
      <c r="D1000" s="359"/>
      <c r="E1000" s="359"/>
      <c r="F1000" s="359"/>
      <c r="G1000" s="359"/>
      <c r="H1000" s="359"/>
      <c r="I1000" s="359"/>
      <c r="J1000" s="359"/>
      <c r="K1000" s="359"/>
      <c r="L1000" s="359"/>
      <c r="M1000" s="359"/>
      <c r="N1000" s="359"/>
      <c r="O1000" s="359"/>
      <c r="P1000" s="359"/>
      <c r="Q1000" s="359"/>
      <c r="S1000" s="774"/>
      <c r="T1000" s="360">
        <v>44916</v>
      </c>
      <c r="U1000" s="401">
        <f t="shared" si="36"/>
        <v>4</v>
      </c>
      <c r="V1000" s="774"/>
      <c r="W1000" s="774"/>
      <c r="X1000" s="774"/>
      <c r="Y1000" s="186"/>
      <c r="Z1000" s="359"/>
      <c r="AA1000" s="359"/>
    </row>
    <row r="1001" spans="1:27">
      <c r="A1001" s="359"/>
      <c r="B1001" s="359"/>
      <c r="C1001" s="359"/>
      <c r="D1001" s="359"/>
      <c r="E1001" s="359"/>
      <c r="F1001" s="359"/>
      <c r="G1001" s="359"/>
      <c r="H1001" s="359"/>
      <c r="I1001" s="359"/>
      <c r="J1001" s="359"/>
      <c r="K1001" s="359"/>
      <c r="L1001" s="359"/>
      <c r="M1001" s="359"/>
      <c r="N1001" s="359"/>
      <c r="O1001" s="359"/>
      <c r="P1001" s="359"/>
      <c r="Q1001" s="359"/>
      <c r="S1001" s="774"/>
      <c r="T1001" s="360">
        <v>44917</v>
      </c>
      <c r="U1001" s="401">
        <f t="shared" si="36"/>
        <v>0</v>
      </c>
      <c r="V1001" s="774"/>
      <c r="W1001" s="774"/>
      <c r="X1001" s="774"/>
      <c r="Y1001" s="186"/>
      <c r="Z1001" s="359"/>
      <c r="AA1001" s="359"/>
    </row>
    <row r="1002" spans="1:27">
      <c r="A1002" s="359"/>
      <c r="B1002" s="359"/>
      <c r="C1002" s="359"/>
      <c r="D1002" s="359"/>
      <c r="E1002" s="359"/>
      <c r="F1002" s="359"/>
      <c r="G1002" s="359"/>
      <c r="H1002" s="359"/>
      <c r="I1002" s="359"/>
      <c r="J1002" s="359"/>
      <c r="K1002" s="359"/>
      <c r="L1002" s="359"/>
      <c r="M1002" s="359"/>
      <c r="N1002" s="359"/>
      <c r="O1002" s="359"/>
      <c r="P1002" s="359"/>
      <c r="Q1002" s="359"/>
      <c r="S1002" s="774"/>
      <c r="T1002" s="360">
        <v>44918</v>
      </c>
      <c r="U1002" s="401">
        <f t="shared" si="36"/>
        <v>0</v>
      </c>
      <c r="V1002" s="773"/>
      <c r="W1002" s="774"/>
      <c r="X1002" s="773"/>
      <c r="Y1002" s="186"/>
      <c r="Z1002" s="359"/>
      <c r="AA1002" s="359"/>
    </row>
    <row r="1003" spans="1:27">
      <c r="A1003" s="359"/>
      <c r="B1003" s="359"/>
      <c r="C1003" s="359"/>
      <c r="D1003" s="359"/>
      <c r="E1003" s="359"/>
      <c r="F1003" s="359"/>
      <c r="G1003" s="359"/>
      <c r="H1003" s="359"/>
      <c r="I1003" s="359"/>
      <c r="J1003" s="359"/>
      <c r="K1003" s="359"/>
      <c r="L1003" s="359"/>
      <c r="M1003" s="359"/>
      <c r="N1003" s="359"/>
      <c r="O1003" s="359"/>
      <c r="P1003" s="359"/>
      <c r="Q1003" s="359"/>
      <c r="S1003" s="751"/>
      <c r="T1003" s="726">
        <v>2023</v>
      </c>
      <c r="U1003" s="784"/>
      <c r="V1003" s="784"/>
      <c r="W1003" s="784"/>
      <c r="X1003" s="785"/>
      <c r="Y1003" s="186"/>
      <c r="Z1003" s="359"/>
      <c r="AA1003" s="359"/>
    </row>
    <row r="1004" spans="1:27">
      <c r="A1004" s="359"/>
      <c r="B1004" s="359"/>
      <c r="C1004" s="359"/>
      <c r="D1004" s="359"/>
      <c r="E1004" s="359"/>
      <c r="F1004" s="359"/>
      <c r="G1004" s="359"/>
      <c r="H1004" s="359"/>
      <c r="I1004" s="359"/>
      <c r="J1004" s="359"/>
      <c r="K1004" s="359"/>
      <c r="L1004" s="359"/>
      <c r="M1004" s="359"/>
      <c r="N1004" s="359"/>
      <c r="O1004" s="359"/>
      <c r="P1004" s="359"/>
      <c r="Q1004" s="359"/>
      <c r="S1004" s="774"/>
      <c r="T1004" s="771"/>
      <c r="U1004" s="786"/>
      <c r="V1004" s="786"/>
      <c r="W1004" s="786"/>
      <c r="X1004" s="772"/>
      <c r="Y1004" s="186"/>
      <c r="Z1004" s="359"/>
      <c r="AA1004" s="359"/>
    </row>
    <row r="1005" spans="1:27">
      <c r="A1005" s="359"/>
      <c r="B1005" s="359"/>
      <c r="C1005" s="359"/>
      <c r="D1005" s="359"/>
      <c r="E1005" s="359"/>
      <c r="F1005" s="359"/>
      <c r="G1005" s="359"/>
      <c r="H1005" s="359"/>
      <c r="I1005" s="359"/>
      <c r="J1005" s="359"/>
      <c r="K1005" s="359"/>
      <c r="L1005" s="359"/>
      <c r="M1005" s="359"/>
      <c r="N1005" s="359"/>
      <c r="O1005" s="359"/>
      <c r="P1005" s="359"/>
      <c r="Q1005" s="359"/>
      <c r="S1005" s="727" t="s">
        <v>575</v>
      </c>
      <c r="T1005" s="403">
        <v>44928</v>
      </c>
      <c r="U1005" s="242">
        <f t="shared" ref="U1005:U1067" si="37">COUNTIFS(Z:Z,T1005,AA:AA,"Burhan")</f>
        <v>0</v>
      </c>
      <c r="V1005" s="728" t="s">
        <v>501</v>
      </c>
      <c r="W1005" s="728">
        <f>SUM(U1005:U1009)</f>
        <v>13</v>
      </c>
      <c r="X1005" s="692">
        <f>SUM(W1005:W1056)</f>
        <v>246</v>
      </c>
      <c r="Y1005" s="186"/>
      <c r="Z1005" s="359"/>
      <c r="AA1005" s="359"/>
    </row>
    <row r="1006" spans="1:27">
      <c r="A1006" s="359"/>
      <c r="B1006" s="359"/>
      <c r="C1006" s="359"/>
      <c r="D1006" s="359"/>
      <c r="E1006" s="359"/>
      <c r="F1006" s="359"/>
      <c r="G1006" s="359"/>
      <c r="H1006" s="359"/>
      <c r="I1006" s="359"/>
      <c r="J1006" s="359"/>
      <c r="K1006" s="359"/>
      <c r="L1006" s="359"/>
      <c r="M1006" s="359"/>
      <c r="N1006" s="359"/>
      <c r="O1006" s="359"/>
      <c r="P1006" s="359"/>
      <c r="Q1006" s="359"/>
      <c r="S1006" s="774"/>
      <c r="T1006" s="404">
        <v>44929</v>
      </c>
      <c r="U1006" s="242">
        <f t="shared" si="37"/>
        <v>0</v>
      </c>
      <c r="V1006" s="778"/>
      <c r="W1006" s="778"/>
      <c r="X1006" s="774"/>
      <c r="Y1006" s="186"/>
      <c r="Z1006" s="359"/>
      <c r="AA1006" s="359"/>
    </row>
    <row r="1007" spans="1:27">
      <c r="A1007" s="359"/>
      <c r="B1007" s="359"/>
      <c r="C1007" s="359"/>
      <c r="D1007" s="359"/>
      <c r="E1007" s="359"/>
      <c r="F1007" s="359"/>
      <c r="G1007" s="359"/>
      <c r="H1007" s="359"/>
      <c r="I1007" s="359"/>
      <c r="J1007" s="359"/>
      <c r="K1007" s="359"/>
      <c r="L1007" s="359"/>
      <c r="M1007" s="359"/>
      <c r="N1007" s="359"/>
      <c r="O1007" s="359"/>
      <c r="P1007" s="359"/>
      <c r="Q1007" s="359"/>
      <c r="S1007" s="774"/>
      <c r="T1007" s="404">
        <v>44930</v>
      </c>
      <c r="U1007" s="242">
        <f t="shared" si="37"/>
        <v>0</v>
      </c>
      <c r="V1007" s="778"/>
      <c r="W1007" s="778"/>
      <c r="X1007" s="774"/>
      <c r="Y1007" s="186"/>
      <c r="Z1007" s="359"/>
      <c r="AA1007" s="359"/>
    </row>
    <row r="1008" spans="1:27">
      <c r="A1008" s="359"/>
      <c r="B1008" s="359"/>
      <c r="C1008" s="359"/>
      <c r="D1008" s="359"/>
      <c r="E1008" s="359"/>
      <c r="F1008" s="359"/>
      <c r="G1008" s="359"/>
      <c r="H1008" s="359"/>
      <c r="I1008" s="359"/>
      <c r="J1008" s="359"/>
      <c r="K1008" s="359"/>
      <c r="L1008" s="359"/>
      <c r="M1008" s="359"/>
      <c r="N1008" s="359"/>
      <c r="O1008" s="359"/>
      <c r="P1008" s="359"/>
      <c r="Q1008" s="359"/>
      <c r="S1008" s="774"/>
      <c r="T1008" s="404">
        <v>44931</v>
      </c>
      <c r="U1008" s="242">
        <f t="shared" si="37"/>
        <v>5</v>
      </c>
      <c r="V1008" s="778"/>
      <c r="W1008" s="778"/>
      <c r="X1008" s="774"/>
      <c r="Y1008" s="186"/>
      <c r="Z1008" s="359"/>
      <c r="AA1008" s="359"/>
    </row>
    <row r="1009" spans="1:27">
      <c r="A1009" s="359"/>
      <c r="B1009" s="359"/>
      <c r="C1009" s="359"/>
      <c r="D1009" s="359"/>
      <c r="E1009" s="359"/>
      <c r="F1009" s="359"/>
      <c r="G1009" s="359"/>
      <c r="H1009" s="359"/>
      <c r="I1009" s="359"/>
      <c r="J1009" s="359"/>
      <c r="K1009" s="359"/>
      <c r="L1009" s="359"/>
      <c r="M1009" s="359"/>
      <c r="N1009" s="359"/>
      <c r="O1009" s="359"/>
      <c r="P1009" s="359"/>
      <c r="Q1009" s="359"/>
      <c r="S1009" s="774"/>
      <c r="T1009" s="404">
        <v>44932</v>
      </c>
      <c r="U1009" s="242">
        <f t="shared" si="37"/>
        <v>8</v>
      </c>
      <c r="V1009" s="772"/>
      <c r="W1009" s="772"/>
      <c r="X1009" s="774"/>
      <c r="Y1009" s="186"/>
      <c r="Z1009" s="359"/>
      <c r="AA1009" s="359"/>
    </row>
    <row r="1010" spans="1:27">
      <c r="A1010" s="359"/>
      <c r="B1010" s="359"/>
      <c r="C1010" s="359"/>
      <c r="D1010" s="359"/>
      <c r="E1010" s="359"/>
      <c r="F1010" s="359"/>
      <c r="G1010" s="359"/>
      <c r="H1010" s="359"/>
      <c r="I1010" s="359"/>
      <c r="J1010" s="359"/>
      <c r="K1010" s="359"/>
      <c r="L1010" s="359"/>
      <c r="M1010" s="359"/>
      <c r="N1010" s="359"/>
      <c r="O1010" s="359"/>
      <c r="P1010" s="359"/>
      <c r="Q1010" s="359"/>
      <c r="S1010" s="774"/>
      <c r="T1010" s="404">
        <v>44935</v>
      </c>
      <c r="U1010" s="242">
        <f t="shared" si="37"/>
        <v>0</v>
      </c>
      <c r="V1010" s="729" t="s">
        <v>502</v>
      </c>
      <c r="W1010" s="729">
        <f>SUM(U1010:U1014)</f>
        <v>23</v>
      </c>
      <c r="X1010" s="774"/>
      <c r="Y1010" s="186"/>
      <c r="Z1010" s="359"/>
      <c r="AA1010" s="359"/>
    </row>
    <row r="1011" spans="1:27">
      <c r="A1011" s="359"/>
      <c r="B1011" s="359"/>
      <c r="C1011" s="359"/>
      <c r="D1011" s="359"/>
      <c r="E1011" s="359"/>
      <c r="F1011" s="359"/>
      <c r="G1011" s="359"/>
      <c r="H1011" s="359"/>
      <c r="I1011" s="359"/>
      <c r="J1011" s="359"/>
      <c r="K1011" s="359"/>
      <c r="L1011" s="359"/>
      <c r="M1011" s="359"/>
      <c r="N1011" s="359"/>
      <c r="O1011" s="359"/>
      <c r="P1011" s="359"/>
      <c r="Q1011" s="359"/>
      <c r="S1011" s="774"/>
      <c r="T1011" s="404">
        <v>44936</v>
      </c>
      <c r="U1011" s="242">
        <f t="shared" si="37"/>
        <v>8</v>
      </c>
      <c r="V1011" s="778"/>
      <c r="W1011" s="778"/>
      <c r="X1011" s="774"/>
      <c r="Y1011" s="186"/>
      <c r="Z1011" s="359"/>
      <c r="AA1011" s="359"/>
    </row>
    <row r="1012" spans="1:27">
      <c r="A1012" s="359"/>
      <c r="B1012" s="359"/>
      <c r="C1012" s="359"/>
      <c r="D1012" s="359"/>
      <c r="E1012" s="359"/>
      <c r="F1012" s="359"/>
      <c r="G1012" s="359"/>
      <c r="H1012" s="359"/>
      <c r="I1012" s="359"/>
      <c r="J1012" s="359"/>
      <c r="K1012" s="359"/>
      <c r="L1012" s="359"/>
      <c r="M1012" s="359"/>
      <c r="N1012" s="359"/>
      <c r="O1012" s="359"/>
      <c r="P1012" s="359"/>
      <c r="Q1012" s="359"/>
      <c r="S1012" s="774"/>
      <c r="T1012" s="404">
        <v>44937</v>
      </c>
      <c r="U1012" s="242">
        <f t="shared" si="37"/>
        <v>0</v>
      </c>
      <c r="V1012" s="778"/>
      <c r="W1012" s="778"/>
      <c r="X1012" s="774"/>
      <c r="Y1012" s="186"/>
      <c r="Z1012" s="359"/>
      <c r="AA1012" s="359"/>
    </row>
    <row r="1013" spans="1:27">
      <c r="A1013" s="359"/>
      <c r="B1013" s="359"/>
      <c r="C1013" s="359"/>
      <c r="D1013" s="359"/>
      <c r="E1013" s="359"/>
      <c r="F1013" s="359"/>
      <c r="G1013" s="359"/>
      <c r="H1013" s="359"/>
      <c r="I1013" s="359"/>
      <c r="J1013" s="359"/>
      <c r="K1013" s="359"/>
      <c r="L1013" s="359"/>
      <c r="M1013" s="359"/>
      <c r="N1013" s="359"/>
      <c r="O1013" s="359"/>
      <c r="P1013" s="359"/>
      <c r="Q1013" s="359"/>
      <c r="S1013" s="774"/>
      <c r="T1013" s="404">
        <v>44938</v>
      </c>
      <c r="U1013" s="242">
        <f t="shared" si="37"/>
        <v>0</v>
      </c>
      <c r="V1013" s="778"/>
      <c r="W1013" s="778"/>
      <c r="X1013" s="774"/>
      <c r="Y1013" s="186"/>
      <c r="Z1013" s="359"/>
      <c r="AA1013" s="359"/>
    </row>
    <row r="1014" spans="1:27">
      <c r="A1014" s="359"/>
      <c r="B1014" s="359"/>
      <c r="C1014" s="359"/>
      <c r="D1014" s="359"/>
      <c r="E1014" s="359"/>
      <c r="F1014" s="359"/>
      <c r="G1014" s="359"/>
      <c r="H1014" s="359"/>
      <c r="I1014" s="359"/>
      <c r="J1014" s="359"/>
      <c r="K1014" s="359"/>
      <c r="L1014" s="359"/>
      <c r="M1014" s="359"/>
      <c r="N1014" s="359"/>
      <c r="O1014" s="359"/>
      <c r="P1014" s="359"/>
      <c r="Q1014" s="359"/>
      <c r="S1014" s="774"/>
      <c r="T1014" s="404">
        <v>44939</v>
      </c>
      <c r="U1014" s="242">
        <f t="shared" si="37"/>
        <v>15</v>
      </c>
      <c r="V1014" s="772"/>
      <c r="W1014" s="772"/>
      <c r="X1014" s="774"/>
      <c r="Y1014" s="186"/>
      <c r="Z1014" s="359"/>
      <c r="AA1014" s="359"/>
    </row>
    <row r="1015" spans="1:27">
      <c r="A1015" s="359"/>
      <c r="B1015" s="359"/>
      <c r="C1015" s="359"/>
      <c r="D1015" s="359"/>
      <c r="E1015" s="359"/>
      <c r="F1015" s="359"/>
      <c r="G1015" s="359"/>
      <c r="H1015" s="359"/>
      <c r="I1015" s="359"/>
      <c r="J1015" s="359"/>
      <c r="K1015" s="359"/>
      <c r="L1015" s="359"/>
      <c r="M1015" s="359"/>
      <c r="N1015" s="359"/>
      <c r="O1015" s="359"/>
      <c r="P1015" s="359"/>
      <c r="Q1015" s="359"/>
      <c r="S1015" s="774"/>
      <c r="T1015" s="404">
        <v>44942</v>
      </c>
      <c r="U1015" s="242">
        <f t="shared" si="37"/>
        <v>16</v>
      </c>
      <c r="V1015" s="729" t="s">
        <v>503</v>
      </c>
      <c r="W1015" s="729">
        <f>SUM(U1015:U1019)</f>
        <v>38</v>
      </c>
      <c r="X1015" s="774"/>
      <c r="Y1015" s="186"/>
      <c r="Z1015" s="359"/>
      <c r="AA1015" s="359"/>
    </row>
    <row r="1016" spans="1:27">
      <c r="A1016" s="359"/>
      <c r="B1016" s="359"/>
      <c r="C1016" s="359"/>
      <c r="D1016" s="359"/>
      <c r="E1016" s="359"/>
      <c r="F1016" s="359"/>
      <c r="G1016" s="359"/>
      <c r="H1016" s="359"/>
      <c r="I1016" s="359"/>
      <c r="J1016" s="359"/>
      <c r="K1016" s="359"/>
      <c r="L1016" s="359"/>
      <c r="M1016" s="359"/>
      <c r="N1016" s="359"/>
      <c r="O1016" s="359"/>
      <c r="P1016" s="359"/>
      <c r="Q1016" s="359"/>
      <c r="S1016" s="774"/>
      <c r="T1016" s="404">
        <v>44943</v>
      </c>
      <c r="U1016" s="242">
        <f t="shared" si="37"/>
        <v>0</v>
      </c>
      <c r="V1016" s="778"/>
      <c r="W1016" s="778"/>
      <c r="X1016" s="774"/>
      <c r="Y1016" s="186"/>
      <c r="Z1016" s="359"/>
      <c r="AA1016" s="359"/>
    </row>
    <row r="1017" spans="1:27">
      <c r="A1017" s="359"/>
      <c r="B1017" s="359"/>
      <c r="C1017" s="359"/>
      <c r="D1017" s="359"/>
      <c r="E1017" s="359"/>
      <c r="F1017" s="359"/>
      <c r="G1017" s="359"/>
      <c r="H1017" s="359"/>
      <c r="I1017" s="359"/>
      <c r="J1017" s="359"/>
      <c r="K1017" s="359"/>
      <c r="L1017" s="359"/>
      <c r="M1017" s="359"/>
      <c r="N1017" s="359"/>
      <c r="O1017" s="359"/>
      <c r="P1017" s="359"/>
      <c r="Q1017" s="359"/>
      <c r="S1017" s="774"/>
      <c r="T1017" s="404">
        <v>44944</v>
      </c>
      <c r="U1017" s="242">
        <f t="shared" si="37"/>
        <v>8</v>
      </c>
      <c r="V1017" s="778"/>
      <c r="W1017" s="778"/>
      <c r="X1017" s="774"/>
      <c r="Y1017" s="186"/>
      <c r="Z1017" s="359"/>
      <c r="AA1017" s="359"/>
    </row>
    <row r="1018" spans="1:27">
      <c r="A1018" s="359"/>
      <c r="B1018" s="359"/>
      <c r="C1018" s="359"/>
      <c r="D1018" s="359"/>
      <c r="E1018" s="359"/>
      <c r="F1018" s="359"/>
      <c r="G1018" s="359"/>
      <c r="H1018" s="359"/>
      <c r="I1018" s="359"/>
      <c r="J1018" s="359"/>
      <c r="K1018" s="359"/>
      <c r="L1018" s="359"/>
      <c r="M1018" s="359"/>
      <c r="N1018" s="359"/>
      <c r="O1018" s="359"/>
      <c r="P1018" s="359"/>
      <c r="Q1018" s="359"/>
      <c r="S1018" s="774"/>
      <c r="T1018" s="404">
        <v>44945</v>
      </c>
      <c r="U1018" s="242">
        <f t="shared" si="37"/>
        <v>6</v>
      </c>
      <c r="V1018" s="778"/>
      <c r="W1018" s="778"/>
      <c r="X1018" s="774"/>
      <c r="Y1018" s="186"/>
      <c r="Z1018" s="359"/>
      <c r="AA1018" s="359"/>
    </row>
    <row r="1019" spans="1:27">
      <c r="A1019" s="359"/>
      <c r="B1019" s="359"/>
      <c r="C1019" s="359"/>
      <c r="D1019" s="359"/>
      <c r="E1019" s="359"/>
      <c r="F1019" s="359"/>
      <c r="G1019" s="359"/>
      <c r="H1019" s="359"/>
      <c r="I1019" s="359"/>
      <c r="J1019" s="359"/>
      <c r="K1019" s="359"/>
      <c r="L1019" s="359"/>
      <c r="M1019" s="359"/>
      <c r="N1019" s="359"/>
      <c r="O1019" s="359"/>
      <c r="P1019" s="359"/>
      <c r="Q1019" s="359"/>
      <c r="S1019" s="774"/>
      <c r="T1019" s="404">
        <v>44946</v>
      </c>
      <c r="U1019" s="242">
        <f t="shared" si="37"/>
        <v>8</v>
      </c>
      <c r="V1019" s="772"/>
      <c r="W1019" s="772"/>
      <c r="X1019" s="774"/>
      <c r="Y1019" s="186"/>
      <c r="Z1019" s="359"/>
      <c r="AA1019" s="359"/>
    </row>
    <row r="1020" spans="1:27">
      <c r="A1020" s="359"/>
      <c r="B1020" s="359"/>
      <c r="C1020" s="359"/>
      <c r="D1020" s="359"/>
      <c r="E1020" s="359"/>
      <c r="F1020" s="359"/>
      <c r="G1020" s="359"/>
      <c r="H1020" s="359"/>
      <c r="I1020" s="359"/>
      <c r="J1020" s="359"/>
      <c r="K1020" s="359"/>
      <c r="L1020" s="359"/>
      <c r="M1020" s="359"/>
      <c r="N1020" s="359"/>
      <c r="O1020" s="359"/>
      <c r="P1020" s="359"/>
      <c r="Q1020" s="359"/>
      <c r="S1020" s="774"/>
      <c r="T1020" s="404">
        <v>44950</v>
      </c>
      <c r="U1020" s="242">
        <f t="shared" si="37"/>
        <v>0</v>
      </c>
      <c r="V1020" s="729" t="s">
        <v>504</v>
      </c>
      <c r="W1020" s="729">
        <f>SUM(U1020:U1023)</f>
        <v>14</v>
      </c>
      <c r="X1020" s="774"/>
      <c r="Y1020" s="186"/>
      <c r="Z1020" s="359"/>
      <c r="AA1020" s="359"/>
    </row>
    <row r="1021" spans="1:27">
      <c r="A1021" s="359"/>
      <c r="B1021" s="359"/>
      <c r="C1021" s="359"/>
      <c r="D1021" s="359"/>
      <c r="E1021" s="359"/>
      <c r="F1021" s="359"/>
      <c r="G1021" s="359"/>
      <c r="H1021" s="359"/>
      <c r="I1021" s="359"/>
      <c r="J1021" s="359"/>
      <c r="K1021" s="359"/>
      <c r="L1021" s="359"/>
      <c r="M1021" s="359"/>
      <c r="N1021" s="359"/>
      <c r="O1021" s="359"/>
      <c r="P1021" s="359"/>
      <c r="Q1021" s="359"/>
      <c r="S1021" s="774"/>
      <c r="T1021" s="404">
        <v>44951</v>
      </c>
      <c r="U1021" s="242">
        <f t="shared" si="37"/>
        <v>4</v>
      </c>
      <c r="V1021" s="778"/>
      <c r="W1021" s="778"/>
      <c r="X1021" s="774"/>
      <c r="Y1021" s="186"/>
      <c r="Z1021" s="359"/>
      <c r="AA1021" s="359"/>
    </row>
    <row r="1022" spans="1:27">
      <c r="A1022" s="359"/>
      <c r="B1022" s="359"/>
      <c r="C1022" s="359"/>
      <c r="D1022" s="359"/>
      <c r="E1022" s="359"/>
      <c r="F1022" s="359"/>
      <c r="G1022" s="359"/>
      <c r="H1022" s="359"/>
      <c r="I1022" s="359"/>
      <c r="J1022" s="359"/>
      <c r="K1022" s="359"/>
      <c r="L1022" s="359"/>
      <c r="M1022" s="359"/>
      <c r="N1022" s="359"/>
      <c r="O1022" s="359"/>
      <c r="P1022" s="359"/>
      <c r="Q1022" s="359"/>
      <c r="S1022" s="774"/>
      <c r="T1022" s="404">
        <v>44952</v>
      </c>
      <c r="U1022" s="242">
        <f t="shared" si="37"/>
        <v>10</v>
      </c>
      <c r="V1022" s="778"/>
      <c r="W1022" s="778"/>
      <c r="X1022" s="774"/>
      <c r="Y1022" s="186"/>
      <c r="Z1022" s="359"/>
      <c r="AA1022" s="359"/>
    </row>
    <row r="1023" spans="1:27">
      <c r="A1023" s="359"/>
      <c r="B1023" s="359"/>
      <c r="C1023" s="359"/>
      <c r="D1023" s="359"/>
      <c r="E1023" s="359"/>
      <c r="F1023" s="359"/>
      <c r="G1023" s="359"/>
      <c r="H1023" s="359"/>
      <c r="I1023" s="359"/>
      <c r="J1023" s="359"/>
      <c r="K1023" s="359"/>
      <c r="L1023" s="359"/>
      <c r="M1023" s="359"/>
      <c r="N1023" s="359"/>
      <c r="O1023" s="359"/>
      <c r="P1023" s="359"/>
      <c r="Q1023" s="359"/>
      <c r="S1023" s="773"/>
      <c r="T1023" s="404">
        <v>44953</v>
      </c>
      <c r="U1023" s="242">
        <f t="shared" si="37"/>
        <v>0</v>
      </c>
      <c r="V1023" s="772"/>
      <c r="W1023" s="772"/>
      <c r="X1023" s="774"/>
      <c r="Y1023" s="186"/>
      <c r="Z1023" s="359"/>
      <c r="AA1023" s="359"/>
    </row>
    <row r="1024" spans="1:27">
      <c r="A1024" s="359"/>
      <c r="B1024" s="359"/>
      <c r="C1024" s="359"/>
      <c r="D1024" s="359"/>
      <c r="E1024" s="359"/>
      <c r="F1024" s="359"/>
      <c r="G1024" s="359"/>
      <c r="H1024" s="359"/>
      <c r="I1024" s="359"/>
      <c r="J1024" s="359"/>
      <c r="K1024" s="359"/>
      <c r="L1024" s="359"/>
      <c r="M1024" s="359"/>
      <c r="N1024" s="359"/>
      <c r="O1024" s="359"/>
      <c r="P1024" s="359"/>
      <c r="Q1024" s="359"/>
      <c r="S1024" s="693" t="s">
        <v>467</v>
      </c>
      <c r="T1024" s="360">
        <v>44958</v>
      </c>
      <c r="U1024" s="242">
        <f t="shared" si="37"/>
        <v>0</v>
      </c>
      <c r="V1024" s="698" t="s">
        <v>506</v>
      </c>
      <c r="W1024" s="694">
        <f>SUM(U1024:U1026)</f>
        <v>0</v>
      </c>
      <c r="X1024" s="774"/>
      <c r="Y1024" s="186"/>
      <c r="Z1024" s="359"/>
      <c r="AA1024" s="359"/>
    </row>
    <row r="1025" spans="1:27">
      <c r="A1025" s="359"/>
      <c r="B1025" s="359"/>
      <c r="C1025" s="359"/>
      <c r="D1025" s="359"/>
      <c r="E1025" s="359"/>
      <c r="F1025" s="359"/>
      <c r="G1025" s="359"/>
      <c r="H1025" s="359"/>
      <c r="I1025" s="359"/>
      <c r="J1025" s="359"/>
      <c r="K1025" s="359"/>
      <c r="L1025" s="359"/>
      <c r="M1025" s="359"/>
      <c r="N1025" s="359"/>
      <c r="O1025" s="359"/>
      <c r="P1025" s="359"/>
      <c r="Q1025" s="359"/>
      <c r="S1025" s="774"/>
      <c r="T1025" s="360">
        <v>44959</v>
      </c>
      <c r="U1025" s="242">
        <f t="shared" si="37"/>
        <v>0</v>
      </c>
      <c r="V1025" s="774"/>
      <c r="W1025" s="774"/>
      <c r="X1025" s="774"/>
      <c r="Y1025" s="186"/>
      <c r="Z1025" s="359"/>
      <c r="AA1025" s="359"/>
    </row>
    <row r="1026" spans="1:27">
      <c r="A1026" s="359"/>
      <c r="B1026" s="359"/>
      <c r="C1026" s="359"/>
      <c r="D1026" s="359"/>
      <c r="E1026" s="359"/>
      <c r="F1026" s="359"/>
      <c r="G1026" s="359"/>
      <c r="H1026" s="359"/>
      <c r="I1026" s="359"/>
      <c r="J1026" s="359"/>
      <c r="K1026" s="359"/>
      <c r="L1026" s="359"/>
      <c r="M1026" s="359"/>
      <c r="N1026" s="359"/>
      <c r="O1026" s="359"/>
      <c r="P1026" s="359"/>
      <c r="Q1026" s="359"/>
      <c r="S1026" s="774"/>
      <c r="T1026" s="360">
        <v>44960</v>
      </c>
      <c r="U1026" s="242">
        <f t="shared" si="37"/>
        <v>0</v>
      </c>
      <c r="V1026" s="773"/>
      <c r="W1026" s="773"/>
      <c r="X1026" s="774"/>
      <c r="Y1026" s="186"/>
      <c r="Z1026" s="359"/>
      <c r="AA1026" s="359"/>
    </row>
    <row r="1027" spans="1:27">
      <c r="A1027" s="359"/>
      <c r="B1027" s="359"/>
      <c r="C1027" s="359"/>
      <c r="D1027" s="359"/>
      <c r="E1027" s="359"/>
      <c r="F1027" s="359"/>
      <c r="G1027" s="359"/>
      <c r="H1027" s="359"/>
      <c r="I1027" s="359"/>
      <c r="J1027" s="359"/>
      <c r="K1027" s="359"/>
      <c r="L1027" s="359"/>
      <c r="M1027" s="359"/>
      <c r="N1027" s="359"/>
      <c r="O1027" s="359"/>
      <c r="P1027" s="359"/>
      <c r="Q1027" s="359"/>
      <c r="S1027" s="774"/>
      <c r="T1027" s="360">
        <v>44963</v>
      </c>
      <c r="U1027" s="242">
        <f t="shared" si="37"/>
        <v>0</v>
      </c>
      <c r="V1027" s="698" t="s">
        <v>507</v>
      </c>
      <c r="W1027" s="694">
        <f>SUM(U1027:U1031)</f>
        <v>0</v>
      </c>
      <c r="X1027" s="774"/>
      <c r="Y1027" s="186"/>
      <c r="Z1027" s="359"/>
      <c r="AA1027" s="359"/>
    </row>
    <row r="1028" spans="1:27">
      <c r="A1028" s="359"/>
      <c r="B1028" s="359"/>
      <c r="C1028" s="359"/>
      <c r="D1028" s="359"/>
      <c r="E1028" s="359"/>
      <c r="F1028" s="359"/>
      <c r="G1028" s="359"/>
      <c r="H1028" s="359"/>
      <c r="I1028" s="359"/>
      <c r="J1028" s="359"/>
      <c r="K1028" s="359"/>
      <c r="L1028" s="359"/>
      <c r="M1028" s="359"/>
      <c r="N1028" s="359"/>
      <c r="O1028" s="359"/>
      <c r="P1028" s="359"/>
      <c r="Q1028" s="359"/>
      <c r="S1028" s="774"/>
      <c r="T1028" s="360">
        <v>44964</v>
      </c>
      <c r="U1028" s="242">
        <f t="shared" si="37"/>
        <v>0</v>
      </c>
      <c r="V1028" s="774"/>
      <c r="W1028" s="774"/>
      <c r="X1028" s="774"/>
      <c r="Y1028" s="186"/>
      <c r="Z1028" s="359"/>
      <c r="AA1028" s="359"/>
    </row>
    <row r="1029" spans="1:27">
      <c r="A1029" s="359"/>
      <c r="B1029" s="359"/>
      <c r="C1029" s="359"/>
      <c r="D1029" s="359"/>
      <c r="E1029" s="359"/>
      <c r="F1029" s="359"/>
      <c r="G1029" s="359"/>
      <c r="H1029" s="359"/>
      <c r="I1029" s="359"/>
      <c r="J1029" s="359"/>
      <c r="K1029" s="359"/>
      <c r="L1029" s="359"/>
      <c r="M1029" s="359"/>
      <c r="N1029" s="359"/>
      <c r="O1029" s="359"/>
      <c r="P1029" s="359"/>
      <c r="Q1029" s="359"/>
      <c r="S1029" s="774"/>
      <c r="T1029" s="360">
        <v>44965</v>
      </c>
      <c r="U1029" s="242">
        <f t="shared" si="37"/>
        <v>0</v>
      </c>
      <c r="V1029" s="774"/>
      <c r="W1029" s="774"/>
      <c r="X1029" s="774"/>
      <c r="Y1029" s="186"/>
      <c r="Z1029" s="359"/>
      <c r="AA1029" s="359"/>
    </row>
    <row r="1030" spans="1:27">
      <c r="A1030" s="359"/>
      <c r="B1030" s="359"/>
      <c r="C1030" s="359"/>
      <c r="D1030" s="359"/>
      <c r="E1030" s="359"/>
      <c r="F1030" s="359"/>
      <c r="G1030" s="359"/>
      <c r="H1030" s="359"/>
      <c r="I1030" s="359"/>
      <c r="J1030" s="359"/>
      <c r="K1030" s="359"/>
      <c r="L1030" s="359"/>
      <c r="M1030" s="359"/>
      <c r="N1030" s="359"/>
      <c r="O1030" s="359"/>
      <c r="P1030" s="359"/>
      <c r="Q1030" s="359"/>
      <c r="S1030" s="774"/>
      <c r="T1030" s="360">
        <v>44966</v>
      </c>
      <c r="U1030" s="242">
        <f t="shared" si="37"/>
        <v>0</v>
      </c>
      <c r="V1030" s="774"/>
      <c r="W1030" s="774"/>
      <c r="X1030" s="774"/>
      <c r="Y1030" s="186"/>
      <c r="Z1030" s="359"/>
      <c r="AA1030" s="359"/>
    </row>
    <row r="1031" spans="1:27">
      <c r="A1031" s="359"/>
      <c r="B1031" s="359"/>
      <c r="C1031" s="359"/>
      <c r="D1031" s="359"/>
      <c r="E1031" s="359"/>
      <c r="F1031" s="359"/>
      <c r="G1031" s="359"/>
      <c r="H1031" s="359"/>
      <c r="I1031" s="359"/>
      <c r="J1031" s="359"/>
      <c r="K1031" s="359"/>
      <c r="L1031" s="359"/>
      <c r="M1031" s="359"/>
      <c r="N1031" s="359"/>
      <c r="O1031" s="359"/>
      <c r="P1031" s="359"/>
      <c r="Q1031" s="359"/>
      <c r="S1031" s="774"/>
      <c r="T1031" s="360">
        <v>44967</v>
      </c>
      <c r="U1031" s="242">
        <f t="shared" si="37"/>
        <v>0</v>
      </c>
      <c r="V1031" s="773"/>
      <c r="W1031" s="773"/>
      <c r="X1031" s="774"/>
      <c r="Y1031" s="186"/>
      <c r="Z1031" s="359"/>
      <c r="AA1031" s="359"/>
    </row>
    <row r="1032" spans="1:27">
      <c r="A1032" s="359"/>
      <c r="B1032" s="359"/>
      <c r="C1032" s="359"/>
      <c r="D1032" s="359"/>
      <c r="E1032" s="359"/>
      <c r="F1032" s="359"/>
      <c r="G1032" s="359"/>
      <c r="H1032" s="359"/>
      <c r="I1032" s="359"/>
      <c r="J1032" s="359"/>
      <c r="K1032" s="359"/>
      <c r="L1032" s="359"/>
      <c r="M1032" s="359"/>
      <c r="N1032" s="359"/>
      <c r="O1032" s="359"/>
      <c r="P1032" s="359"/>
      <c r="Q1032" s="359"/>
      <c r="S1032" s="774"/>
      <c r="T1032" s="360">
        <v>44970</v>
      </c>
      <c r="U1032" s="242">
        <f t="shared" si="37"/>
        <v>0</v>
      </c>
      <c r="V1032" s="698" t="s">
        <v>508</v>
      </c>
      <c r="W1032" s="694">
        <f>SUM(U1032:U1036)</f>
        <v>0</v>
      </c>
      <c r="X1032" s="774"/>
      <c r="Y1032" s="186"/>
      <c r="Z1032" s="359"/>
      <c r="AA1032" s="359"/>
    </row>
    <row r="1033" spans="1:27">
      <c r="A1033" s="359"/>
      <c r="B1033" s="359"/>
      <c r="C1033" s="359"/>
      <c r="D1033" s="359"/>
      <c r="E1033" s="359"/>
      <c r="F1033" s="359"/>
      <c r="G1033" s="359"/>
      <c r="H1033" s="359"/>
      <c r="I1033" s="359"/>
      <c r="J1033" s="359"/>
      <c r="K1033" s="359"/>
      <c r="L1033" s="359"/>
      <c r="M1033" s="359"/>
      <c r="N1033" s="359"/>
      <c r="O1033" s="359"/>
      <c r="P1033" s="359"/>
      <c r="Q1033" s="359"/>
      <c r="S1033" s="774"/>
      <c r="T1033" s="360">
        <v>44971</v>
      </c>
      <c r="U1033" s="242">
        <f t="shared" si="37"/>
        <v>0</v>
      </c>
      <c r="V1033" s="774"/>
      <c r="W1033" s="774"/>
      <c r="X1033" s="774"/>
      <c r="Y1033" s="186"/>
      <c r="Z1033" s="359"/>
      <c r="AA1033" s="359"/>
    </row>
    <row r="1034" spans="1:27">
      <c r="A1034" s="359"/>
      <c r="B1034" s="359"/>
      <c r="C1034" s="359"/>
      <c r="D1034" s="359"/>
      <c r="E1034" s="359"/>
      <c r="F1034" s="359"/>
      <c r="G1034" s="359"/>
      <c r="H1034" s="359"/>
      <c r="I1034" s="359"/>
      <c r="J1034" s="359"/>
      <c r="K1034" s="359"/>
      <c r="L1034" s="359"/>
      <c r="M1034" s="359"/>
      <c r="N1034" s="359"/>
      <c r="O1034" s="359"/>
      <c r="P1034" s="359"/>
      <c r="Q1034" s="359"/>
      <c r="S1034" s="774"/>
      <c r="T1034" s="360">
        <v>44972</v>
      </c>
      <c r="U1034" s="242">
        <f t="shared" si="37"/>
        <v>0</v>
      </c>
      <c r="V1034" s="774"/>
      <c r="W1034" s="774"/>
      <c r="X1034" s="774"/>
      <c r="Y1034" s="186"/>
      <c r="Z1034" s="359"/>
      <c r="AA1034" s="359"/>
    </row>
    <row r="1035" spans="1:27">
      <c r="A1035" s="359"/>
      <c r="B1035" s="359"/>
      <c r="C1035" s="359"/>
      <c r="D1035" s="359"/>
      <c r="E1035" s="359"/>
      <c r="F1035" s="359"/>
      <c r="G1035" s="359"/>
      <c r="H1035" s="359"/>
      <c r="I1035" s="359"/>
      <c r="J1035" s="359"/>
      <c r="K1035" s="359"/>
      <c r="L1035" s="359"/>
      <c r="M1035" s="359"/>
      <c r="N1035" s="359"/>
      <c r="O1035" s="359"/>
      <c r="P1035" s="359"/>
      <c r="Q1035" s="359"/>
      <c r="S1035" s="774"/>
      <c r="T1035" s="360">
        <v>44973</v>
      </c>
      <c r="U1035" s="242">
        <f t="shared" si="37"/>
        <v>0</v>
      </c>
      <c r="V1035" s="774"/>
      <c r="W1035" s="774"/>
      <c r="X1035" s="774"/>
      <c r="Y1035" s="186"/>
      <c r="Z1035" s="359"/>
      <c r="AA1035" s="359"/>
    </row>
    <row r="1036" spans="1:27">
      <c r="A1036" s="359"/>
      <c r="B1036" s="359"/>
      <c r="C1036" s="359"/>
      <c r="D1036" s="359"/>
      <c r="E1036" s="359"/>
      <c r="F1036" s="359"/>
      <c r="G1036" s="359"/>
      <c r="H1036" s="359"/>
      <c r="I1036" s="359"/>
      <c r="J1036" s="359"/>
      <c r="K1036" s="359"/>
      <c r="L1036" s="359"/>
      <c r="M1036" s="359"/>
      <c r="N1036" s="359"/>
      <c r="O1036" s="359"/>
      <c r="P1036" s="359"/>
      <c r="Q1036" s="359"/>
      <c r="S1036" s="774"/>
      <c r="T1036" s="360">
        <v>44974</v>
      </c>
      <c r="U1036" s="242">
        <f t="shared" si="37"/>
        <v>0</v>
      </c>
      <c r="V1036" s="773"/>
      <c r="W1036" s="773"/>
      <c r="X1036" s="774"/>
      <c r="Y1036" s="186"/>
      <c r="Z1036" s="359"/>
      <c r="AA1036" s="359"/>
    </row>
    <row r="1037" spans="1:27">
      <c r="A1037" s="359"/>
      <c r="B1037" s="359"/>
      <c r="C1037" s="359"/>
      <c r="D1037" s="359"/>
      <c r="E1037" s="359"/>
      <c r="F1037" s="359"/>
      <c r="G1037" s="359"/>
      <c r="H1037" s="359"/>
      <c r="I1037" s="359"/>
      <c r="J1037" s="359"/>
      <c r="K1037" s="359"/>
      <c r="L1037" s="359"/>
      <c r="M1037" s="359"/>
      <c r="N1037" s="359"/>
      <c r="O1037" s="359"/>
      <c r="P1037" s="359"/>
      <c r="Q1037" s="359"/>
      <c r="S1037" s="774"/>
      <c r="T1037" s="360">
        <v>44977</v>
      </c>
      <c r="U1037" s="242">
        <f t="shared" si="37"/>
        <v>0</v>
      </c>
      <c r="V1037" s="694" t="s">
        <v>509</v>
      </c>
      <c r="W1037" s="694">
        <f>SUM(U1037:U1043)</f>
        <v>33</v>
      </c>
      <c r="X1037" s="774"/>
      <c r="Y1037" s="186"/>
      <c r="Z1037" s="359"/>
      <c r="AA1037" s="359"/>
    </row>
    <row r="1038" spans="1:27">
      <c r="A1038" s="359"/>
      <c r="B1038" s="359"/>
      <c r="C1038" s="359"/>
      <c r="D1038" s="359"/>
      <c r="E1038" s="359"/>
      <c r="F1038" s="359"/>
      <c r="G1038" s="359"/>
      <c r="H1038" s="359"/>
      <c r="I1038" s="359"/>
      <c r="J1038" s="359"/>
      <c r="K1038" s="359"/>
      <c r="L1038" s="359"/>
      <c r="M1038" s="359"/>
      <c r="N1038" s="359"/>
      <c r="O1038" s="359"/>
      <c r="P1038" s="359"/>
      <c r="Q1038" s="359"/>
      <c r="S1038" s="774"/>
      <c r="T1038" s="360">
        <v>44978</v>
      </c>
      <c r="U1038" s="242">
        <f t="shared" si="37"/>
        <v>13</v>
      </c>
      <c r="V1038" s="774"/>
      <c r="W1038" s="774"/>
      <c r="X1038" s="774"/>
      <c r="Y1038" s="186"/>
      <c r="Z1038" s="359"/>
      <c r="AA1038" s="359"/>
    </row>
    <row r="1039" spans="1:27">
      <c r="A1039" s="359"/>
      <c r="B1039" s="359"/>
      <c r="C1039" s="359"/>
      <c r="D1039" s="359"/>
      <c r="E1039" s="359"/>
      <c r="F1039" s="359"/>
      <c r="G1039" s="359"/>
      <c r="H1039" s="359"/>
      <c r="I1039" s="359"/>
      <c r="J1039" s="359"/>
      <c r="K1039" s="359"/>
      <c r="L1039" s="359"/>
      <c r="M1039" s="359"/>
      <c r="N1039" s="359"/>
      <c r="O1039" s="359"/>
      <c r="P1039" s="359"/>
      <c r="Q1039" s="359"/>
      <c r="S1039" s="774"/>
      <c r="T1039" s="360">
        <v>44979</v>
      </c>
      <c r="U1039" s="242">
        <f t="shared" si="37"/>
        <v>0</v>
      </c>
      <c r="V1039" s="774"/>
      <c r="W1039" s="774"/>
      <c r="X1039" s="774"/>
      <c r="Y1039" s="186"/>
      <c r="Z1039" s="359"/>
      <c r="AA1039" s="359"/>
    </row>
    <row r="1040" spans="1:27">
      <c r="A1040" s="359"/>
      <c r="B1040" s="359"/>
      <c r="C1040" s="359"/>
      <c r="D1040" s="359"/>
      <c r="E1040" s="359"/>
      <c r="F1040" s="359"/>
      <c r="G1040" s="359"/>
      <c r="H1040" s="359"/>
      <c r="I1040" s="359"/>
      <c r="J1040" s="359"/>
      <c r="K1040" s="359"/>
      <c r="L1040" s="359"/>
      <c r="M1040" s="359"/>
      <c r="N1040" s="359"/>
      <c r="O1040" s="359"/>
      <c r="P1040" s="359"/>
      <c r="Q1040" s="359"/>
      <c r="S1040" s="774"/>
      <c r="T1040" s="360">
        <v>44980</v>
      </c>
      <c r="U1040" s="242">
        <f t="shared" si="37"/>
        <v>0</v>
      </c>
      <c r="V1040" s="774"/>
      <c r="W1040" s="774"/>
      <c r="X1040" s="774"/>
      <c r="Y1040" s="186"/>
      <c r="Z1040" s="359"/>
      <c r="AA1040" s="359"/>
    </row>
    <row r="1041" spans="1:27">
      <c r="A1041" s="359"/>
      <c r="B1041" s="359"/>
      <c r="C1041" s="359"/>
      <c r="D1041" s="359"/>
      <c r="E1041" s="359"/>
      <c r="F1041" s="359"/>
      <c r="G1041" s="359"/>
      <c r="H1041" s="359"/>
      <c r="I1041" s="359"/>
      <c r="J1041" s="359"/>
      <c r="K1041" s="359"/>
      <c r="L1041" s="359"/>
      <c r="M1041" s="359"/>
      <c r="N1041" s="359"/>
      <c r="O1041" s="359"/>
      <c r="P1041" s="359"/>
      <c r="Q1041" s="359"/>
      <c r="S1041" s="774"/>
      <c r="T1041" s="360">
        <v>44981</v>
      </c>
      <c r="U1041" s="242">
        <f t="shared" si="37"/>
        <v>0</v>
      </c>
      <c r="V1041" s="774"/>
      <c r="W1041" s="774"/>
      <c r="X1041" s="774"/>
      <c r="Y1041" s="186"/>
      <c r="Z1041" s="359"/>
      <c r="AA1041" s="359"/>
    </row>
    <row r="1042" spans="1:27">
      <c r="A1042" s="359"/>
      <c r="B1042" s="359"/>
      <c r="C1042" s="359"/>
      <c r="D1042" s="359"/>
      <c r="E1042" s="359"/>
      <c r="F1042" s="359"/>
      <c r="G1042" s="359"/>
      <c r="H1042" s="359"/>
      <c r="I1042" s="359"/>
      <c r="J1042" s="359"/>
      <c r="K1042" s="359"/>
      <c r="L1042" s="359"/>
      <c r="M1042" s="359"/>
      <c r="N1042" s="359"/>
      <c r="O1042" s="359"/>
      <c r="P1042" s="359"/>
      <c r="Q1042" s="359"/>
      <c r="S1042" s="774"/>
      <c r="T1042" s="360">
        <v>44984</v>
      </c>
      <c r="U1042" s="242">
        <f t="shared" si="37"/>
        <v>0</v>
      </c>
      <c r="V1042" s="774"/>
      <c r="W1042" s="774"/>
      <c r="X1042" s="774"/>
      <c r="Y1042" s="186"/>
      <c r="Z1042" s="359"/>
      <c r="AA1042" s="359"/>
    </row>
    <row r="1043" spans="1:27">
      <c r="A1043" s="359"/>
      <c r="B1043" s="359"/>
      <c r="C1043" s="359"/>
      <c r="D1043" s="359"/>
      <c r="E1043" s="359"/>
      <c r="F1043" s="359"/>
      <c r="G1043" s="359"/>
      <c r="H1043" s="359"/>
      <c r="I1043" s="359"/>
      <c r="J1043" s="359"/>
      <c r="K1043" s="359"/>
      <c r="L1043" s="359"/>
      <c r="M1043" s="359"/>
      <c r="N1043" s="359"/>
      <c r="O1043" s="359"/>
      <c r="P1043" s="359"/>
      <c r="Q1043" s="359"/>
      <c r="S1043" s="773"/>
      <c r="T1043" s="360">
        <v>44985</v>
      </c>
      <c r="U1043" s="242">
        <f t="shared" si="37"/>
        <v>20</v>
      </c>
      <c r="V1043" s="773"/>
      <c r="W1043" s="773"/>
      <c r="X1043" s="774"/>
      <c r="Y1043" s="186"/>
      <c r="Z1043" s="359"/>
      <c r="AA1043" s="359"/>
    </row>
    <row r="1044" spans="1:27">
      <c r="A1044" s="359"/>
      <c r="B1044" s="359"/>
      <c r="C1044" s="359"/>
      <c r="D1044" s="359"/>
      <c r="E1044" s="359"/>
      <c r="F1044" s="359"/>
      <c r="G1044" s="359"/>
      <c r="H1044" s="359"/>
      <c r="I1044" s="359"/>
      <c r="J1044" s="359"/>
      <c r="K1044" s="359"/>
      <c r="L1044" s="359"/>
      <c r="M1044" s="359"/>
      <c r="N1044" s="359"/>
      <c r="O1044" s="359"/>
      <c r="P1044" s="359"/>
      <c r="Q1044" s="359"/>
      <c r="S1044" s="693" t="s">
        <v>468</v>
      </c>
      <c r="T1044" s="360">
        <v>44986</v>
      </c>
      <c r="U1044" s="242">
        <f t="shared" si="37"/>
        <v>20</v>
      </c>
      <c r="V1044" s="698" t="s">
        <v>510</v>
      </c>
      <c r="W1044" s="694">
        <f>SUM(U1044:U1046)</f>
        <v>60</v>
      </c>
      <c r="X1044" s="774"/>
      <c r="Y1044" s="186"/>
      <c r="Z1044" s="359"/>
      <c r="AA1044" s="359"/>
    </row>
    <row r="1045" spans="1:27">
      <c r="A1045" s="359"/>
      <c r="B1045" s="359"/>
      <c r="C1045" s="359"/>
      <c r="D1045" s="359"/>
      <c r="E1045" s="359"/>
      <c r="F1045" s="359"/>
      <c r="G1045" s="359"/>
      <c r="H1045" s="359"/>
      <c r="I1045" s="359"/>
      <c r="J1045" s="359"/>
      <c r="K1045" s="359"/>
      <c r="L1045" s="359"/>
      <c r="M1045" s="359"/>
      <c r="N1045" s="359"/>
      <c r="O1045" s="359"/>
      <c r="P1045" s="359"/>
      <c r="Q1045" s="359"/>
      <c r="S1045" s="774"/>
      <c r="T1045" s="360">
        <v>44987</v>
      </c>
      <c r="U1045" s="242">
        <f t="shared" si="37"/>
        <v>20</v>
      </c>
      <c r="V1045" s="774"/>
      <c r="W1045" s="774"/>
      <c r="X1045" s="774"/>
      <c r="Y1045" s="186"/>
      <c r="Z1045" s="359"/>
      <c r="AA1045" s="359"/>
    </row>
    <row r="1046" spans="1:27">
      <c r="A1046" s="359"/>
      <c r="B1046" s="359"/>
      <c r="C1046" s="359"/>
      <c r="D1046" s="359"/>
      <c r="E1046" s="359"/>
      <c r="F1046" s="359"/>
      <c r="G1046" s="359"/>
      <c r="H1046" s="359"/>
      <c r="I1046" s="359"/>
      <c r="J1046" s="359"/>
      <c r="K1046" s="359"/>
      <c r="L1046" s="359"/>
      <c r="M1046" s="359"/>
      <c r="N1046" s="359"/>
      <c r="O1046" s="359"/>
      <c r="P1046" s="359"/>
      <c r="Q1046" s="359"/>
      <c r="S1046" s="774"/>
      <c r="T1046" s="360">
        <v>44988</v>
      </c>
      <c r="U1046" s="242">
        <f t="shared" si="37"/>
        <v>20</v>
      </c>
      <c r="V1046" s="773"/>
      <c r="W1046" s="773"/>
      <c r="X1046" s="774"/>
      <c r="Y1046" s="186"/>
      <c r="Z1046" s="359"/>
      <c r="AA1046" s="359"/>
    </row>
    <row r="1047" spans="1:27">
      <c r="A1047" s="359"/>
      <c r="B1047" s="359"/>
      <c r="C1047" s="359"/>
      <c r="D1047" s="359"/>
      <c r="E1047" s="359"/>
      <c r="F1047" s="359"/>
      <c r="G1047" s="359"/>
      <c r="H1047" s="359"/>
      <c r="I1047" s="359"/>
      <c r="J1047" s="359"/>
      <c r="K1047" s="359"/>
      <c r="L1047" s="359"/>
      <c r="M1047" s="359"/>
      <c r="N1047" s="359"/>
      <c r="O1047" s="359"/>
      <c r="P1047" s="359"/>
      <c r="Q1047" s="359"/>
      <c r="S1047" s="774"/>
      <c r="T1047" s="360">
        <v>44991</v>
      </c>
      <c r="U1047" s="242">
        <f t="shared" si="37"/>
        <v>20</v>
      </c>
      <c r="V1047" s="698" t="s">
        <v>511</v>
      </c>
      <c r="W1047" s="694">
        <f>SUM(U1047:U1051)</f>
        <v>65</v>
      </c>
      <c r="X1047" s="774"/>
      <c r="Y1047" s="186"/>
      <c r="Z1047" s="359"/>
      <c r="AA1047" s="359"/>
    </row>
    <row r="1048" spans="1:27">
      <c r="A1048" s="359"/>
      <c r="B1048" s="359"/>
      <c r="C1048" s="359"/>
      <c r="D1048" s="359"/>
      <c r="E1048" s="359"/>
      <c r="F1048" s="359"/>
      <c r="G1048" s="359"/>
      <c r="H1048" s="359"/>
      <c r="I1048" s="359"/>
      <c r="J1048" s="359"/>
      <c r="K1048" s="359"/>
      <c r="L1048" s="359"/>
      <c r="M1048" s="359"/>
      <c r="N1048" s="359"/>
      <c r="O1048" s="359"/>
      <c r="P1048" s="359"/>
      <c r="Q1048" s="359"/>
      <c r="S1048" s="774"/>
      <c r="T1048" s="360">
        <v>44992</v>
      </c>
      <c r="U1048" s="242">
        <f t="shared" si="37"/>
        <v>19</v>
      </c>
      <c r="V1048" s="774"/>
      <c r="W1048" s="774"/>
      <c r="X1048" s="774"/>
      <c r="Y1048" s="186"/>
      <c r="Z1048" s="359"/>
      <c r="AA1048" s="359"/>
    </row>
    <row r="1049" spans="1:27">
      <c r="A1049" s="359"/>
      <c r="B1049" s="359"/>
      <c r="C1049" s="359"/>
      <c r="D1049" s="359"/>
      <c r="E1049" s="359"/>
      <c r="F1049" s="359"/>
      <c r="G1049" s="359"/>
      <c r="H1049" s="359"/>
      <c r="I1049" s="359"/>
      <c r="J1049" s="359"/>
      <c r="K1049" s="359"/>
      <c r="L1049" s="359"/>
      <c r="M1049" s="359"/>
      <c r="N1049" s="359"/>
      <c r="O1049" s="359"/>
      <c r="P1049" s="359"/>
      <c r="Q1049" s="359"/>
      <c r="S1049" s="774"/>
      <c r="T1049" s="360">
        <v>44993</v>
      </c>
      <c r="U1049" s="242">
        <f t="shared" si="37"/>
        <v>16</v>
      </c>
      <c r="V1049" s="774"/>
      <c r="W1049" s="774"/>
      <c r="X1049" s="774"/>
      <c r="Y1049" s="186"/>
      <c r="Z1049" s="359"/>
      <c r="AA1049" s="359"/>
    </row>
    <row r="1050" spans="1:27">
      <c r="A1050" s="359"/>
      <c r="B1050" s="359"/>
      <c r="C1050" s="359"/>
      <c r="D1050" s="359"/>
      <c r="E1050" s="359"/>
      <c r="F1050" s="359"/>
      <c r="G1050" s="359"/>
      <c r="H1050" s="359"/>
      <c r="I1050" s="359"/>
      <c r="J1050" s="359"/>
      <c r="K1050" s="359"/>
      <c r="L1050" s="359"/>
      <c r="M1050" s="359"/>
      <c r="N1050" s="359"/>
      <c r="O1050" s="359"/>
      <c r="P1050" s="359"/>
      <c r="Q1050" s="359"/>
      <c r="S1050" s="774"/>
      <c r="T1050" s="360">
        <v>44994</v>
      </c>
      <c r="U1050" s="242">
        <f t="shared" si="37"/>
        <v>10</v>
      </c>
      <c r="V1050" s="774"/>
      <c r="W1050" s="774"/>
      <c r="X1050" s="774"/>
      <c r="Y1050" s="186"/>
      <c r="Z1050" s="359"/>
      <c r="AA1050" s="359"/>
    </row>
    <row r="1051" spans="1:27">
      <c r="A1051" s="359"/>
      <c r="B1051" s="359"/>
      <c r="C1051" s="359"/>
      <c r="D1051" s="359"/>
      <c r="E1051" s="359"/>
      <c r="F1051" s="359"/>
      <c r="G1051" s="359"/>
      <c r="H1051" s="359"/>
      <c r="I1051" s="359"/>
      <c r="J1051" s="359"/>
      <c r="K1051" s="359"/>
      <c r="L1051" s="359"/>
      <c r="M1051" s="359"/>
      <c r="N1051" s="359"/>
      <c r="O1051" s="359"/>
      <c r="P1051" s="359"/>
      <c r="Q1051" s="359"/>
      <c r="S1051" s="774"/>
      <c r="T1051" s="360">
        <v>44995</v>
      </c>
      <c r="U1051" s="242">
        <f t="shared" si="37"/>
        <v>0</v>
      </c>
      <c r="V1051" s="773"/>
      <c r="W1051" s="773"/>
      <c r="X1051" s="774"/>
      <c r="Y1051" s="186"/>
      <c r="Z1051" s="359"/>
      <c r="AA1051" s="359"/>
    </row>
    <row r="1052" spans="1:27">
      <c r="A1052" s="359"/>
      <c r="B1052" s="359"/>
      <c r="C1052" s="359"/>
      <c r="D1052" s="359"/>
      <c r="E1052" s="359"/>
      <c r="F1052" s="359"/>
      <c r="G1052" s="359"/>
      <c r="H1052" s="359"/>
      <c r="I1052" s="359"/>
      <c r="J1052" s="359"/>
      <c r="K1052" s="359"/>
      <c r="L1052" s="359"/>
      <c r="M1052" s="359"/>
      <c r="N1052" s="359"/>
      <c r="O1052" s="359"/>
      <c r="P1052" s="359"/>
      <c r="Q1052" s="359"/>
      <c r="S1052" s="774"/>
      <c r="T1052" s="360">
        <v>44998</v>
      </c>
      <c r="U1052" s="242">
        <f t="shared" si="37"/>
        <v>0</v>
      </c>
      <c r="V1052" s="698" t="s">
        <v>512</v>
      </c>
      <c r="W1052" s="694">
        <f>SUM(U1052:U1056)</f>
        <v>0</v>
      </c>
      <c r="X1052" s="774"/>
      <c r="Y1052" s="186"/>
      <c r="Z1052" s="359"/>
      <c r="AA1052" s="359"/>
    </row>
    <row r="1053" spans="1:27">
      <c r="A1053" s="359"/>
      <c r="B1053" s="359"/>
      <c r="C1053" s="359"/>
      <c r="D1053" s="359"/>
      <c r="E1053" s="359"/>
      <c r="F1053" s="359"/>
      <c r="G1053" s="359"/>
      <c r="H1053" s="359"/>
      <c r="I1053" s="359"/>
      <c r="J1053" s="359"/>
      <c r="K1053" s="359"/>
      <c r="L1053" s="359"/>
      <c r="M1053" s="359"/>
      <c r="N1053" s="359"/>
      <c r="O1053" s="359"/>
      <c r="P1053" s="359"/>
      <c r="Q1053" s="359"/>
      <c r="S1053" s="774"/>
      <c r="T1053" s="360">
        <v>44999</v>
      </c>
      <c r="U1053" s="242">
        <f t="shared" si="37"/>
        <v>0</v>
      </c>
      <c r="V1053" s="774"/>
      <c r="W1053" s="774"/>
      <c r="X1053" s="774"/>
      <c r="Y1053" s="186"/>
      <c r="Z1053" s="359"/>
      <c r="AA1053" s="359"/>
    </row>
    <row r="1054" spans="1:27">
      <c r="A1054" s="359"/>
      <c r="B1054" s="359"/>
      <c r="C1054" s="359"/>
      <c r="D1054" s="359"/>
      <c r="E1054" s="359"/>
      <c r="F1054" s="359"/>
      <c r="G1054" s="359"/>
      <c r="H1054" s="359"/>
      <c r="I1054" s="359"/>
      <c r="J1054" s="359"/>
      <c r="K1054" s="359"/>
      <c r="L1054" s="359"/>
      <c r="M1054" s="359"/>
      <c r="N1054" s="359"/>
      <c r="O1054" s="359"/>
      <c r="P1054" s="359"/>
      <c r="Q1054" s="359"/>
      <c r="S1054" s="774"/>
      <c r="T1054" s="360">
        <v>45000</v>
      </c>
      <c r="U1054" s="242">
        <f t="shared" si="37"/>
        <v>0</v>
      </c>
      <c r="V1054" s="774"/>
      <c r="W1054" s="774"/>
      <c r="X1054" s="774"/>
      <c r="Y1054" s="186"/>
      <c r="Z1054" s="359"/>
      <c r="AA1054" s="359"/>
    </row>
    <row r="1055" spans="1:27">
      <c r="A1055" s="359"/>
      <c r="B1055" s="359"/>
      <c r="C1055" s="359"/>
      <c r="D1055" s="359"/>
      <c r="E1055" s="359"/>
      <c r="F1055" s="359"/>
      <c r="G1055" s="359"/>
      <c r="H1055" s="359"/>
      <c r="I1055" s="359"/>
      <c r="J1055" s="359"/>
      <c r="K1055" s="359"/>
      <c r="L1055" s="359"/>
      <c r="M1055" s="359"/>
      <c r="N1055" s="359"/>
      <c r="O1055" s="359"/>
      <c r="P1055" s="359"/>
      <c r="Q1055" s="359"/>
      <c r="S1055" s="774"/>
      <c r="T1055" s="360">
        <v>45001</v>
      </c>
      <c r="U1055" s="242">
        <f t="shared" si="37"/>
        <v>0</v>
      </c>
      <c r="V1055" s="774"/>
      <c r="W1055" s="774"/>
      <c r="X1055" s="774"/>
      <c r="Y1055" s="186"/>
      <c r="Z1055" s="359"/>
      <c r="AA1055" s="359"/>
    </row>
    <row r="1056" spans="1:27">
      <c r="A1056" s="359"/>
      <c r="B1056" s="359"/>
      <c r="C1056" s="359"/>
      <c r="D1056" s="359"/>
      <c r="E1056" s="359"/>
      <c r="F1056" s="359"/>
      <c r="G1056" s="359"/>
      <c r="H1056" s="359"/>
      <c r="I1056" s="359"/>
      <c r="J1056" s="359"/>
      <c r="K1056" s="359"/>
      <c r="L1056" s="359"/>
      <c r="M1056" s="359"/>
      <c r="N1056" s="359"/>
      <c r="O1056" s="359"/>
      <c r="P1056" s="359"/>
      <c r="Q1056" s="359"/>
      <c r="S1056" s="774"/>
      <c r="T1056" s="360">
        <v>45002</v>
      </c>
      <c r="U1056" s="242">
        <f t="shared" si="37"/>
        <v>0</v>
      </c>
      <c r="V1056" s="773"/>
      <c r="W1056" s="773"/>
      <c r="X1056" s="774"/>
      <c r="Y1056" s="186"/>
      <c r="Z1056" s="359"/>
      <c r="AA1056" s="359"/>
    </row>
    <row r="1057" spans="1:27">
      <c r="A1057" s="359"/>
      <c r="B1057" s="359"/>
      <c r="C1057" s="359"/>
      <c r="D1057" s="359"/>
      <c r="E1057" s="359"/>
      <c r="F1057" s="359"/>
      <c r="G1057" s="359"/>
      <c r="H1057" s="359"/>
      <c r="I1057" s="359"/>
      <c r="J1057" s="359"/>
      <c r="K1057" s="359"/>
      <c r="L1057" s="359"/>
      <c r="M1057" s="359"/>
      <c r="N1057" s="359"/>
      <c r="O1057" s="359"/>
      <c r="P1057" s="359"/>
      <c r="Q1057" s="359"/>
      <c r="S1057" s="774"/>
      <c r="T1057" s="360">
        <v>45005</v>
      </c>
      <c r="U1057" s="242">
        <f t="shared" si="37"/>
        <v>0</v>
      </c>
      <c r="V1057" s="694" t="s">
        <v>513</v>
      </c>
      <c r="W1057" s="694">
        <f>SUM(U1057:U1062)</f>
        <v>0</v>
      </c>
      <c r="X1057" s="774"/>
      <c r="Y1057" s="186"/>
      <c r="Z1057" s="359"/>
      <c r="AA1057" s="359"/>
    </row>
    <row r="1058" spans="1:27">
      <c r="A1058" s="359"/>
      <c r="B1058" s="359"/>
      <c r="C1058" s="359"/>
      <c r="D1058" s="359"/>
      <c r="E1058" s="359"/>
      <c r="F1058" s="359"/>
      <c r="G1058" s="359"/>
      <c r="H1058" s="359"/>
      <c r="I1058" s="359"/>
      <c r="J1058" s="359"/>
      <c r="K1058" s="359"/>
      <c r="L1058" s="359"/>
      <c r="M1058" s="359"/>
      <c r="N1058" s="359"/>
      <c r="O1058" s="359"/>
      <c r="P1058" s="359"/>
      <c r="Q1058" s="359"/>
      <c r="S1058" s="774"/>
      <c r="T1058" s="360">
        <v>45006</v>
      </c>
      <c r="U1058" s="242">
        <f t="shared" si="37"/>
        <v>0</v>
      </c>
      <c r="V1058" s="774"/>
      <c r="W1058" s="774"/>
      <c r="X1058" s="774"/>
      <c r="Y1058" s="186"/>
      <c r="Z1058" s="359"/>
      <c r="AA1058" s="359"/>
    </row>
    <row r="1059" spans="1:27">
      <c r="A1059" s="359"/>
      <c r="B1059" s="359"/>
      <c r="C1059" s="359"/>
      <c r="D1059" s="359"/>
      <c r="E1059" s="359"/>
      <c r="F1059" s="359"/>
      <c r="G1059" s="359"/>
      <c r="H1059" s="359"/>
      <c r="I1059" s="359"/>
      <c r="J1059" s="359"/>
      <c r="K1059" s="359"/>
      <c r="L1059" s="359"/>
      <c r="M1059" s="359"/>
      <c r="N1059" s="359"/>
      <c r="O1059" s="359"/>
      <c r="P1059" s="359"/>
      <c r="Q1059" s="359"/>
      <c r="S1059" s="774"/>
      <c r="T1059" s="360">
        <v>45007</v>
      </c>
      <c r="U1059" s="242">
        <f t="shared" si="37"/>
        <v>0</v>
      </c>
      <c r="V1059" s="774"/>
      <c r="W1059" s="774"/>
      <c r="X1059" s="774"/>
      <c r="Y1059" s="186"/>
      <c r="Z1059" s="359"/>
      <c r="AA1059" s="359"/>
    </row>
    <row r="1060" spans="1:27">
      <c r="A1060" s="359"/>
      <c r="B1060" s="359"/>
      <c r="C1060" s="359"/>
      <c r="D1060" s="359"/>
      <c r="E1060" s="359"/>
      <c r="F1060" s="359"/>
      <c r="G1060" s="359"/>
      <c r="H1060" s="359"/>
      <c r="I1060" s="359"/>
      <c r="J1060" s="359"/>
      <c r="K1060" s="359"/>
      <c r="L1060" s="359"/>
      <c r="M1060" s="359"/>
      <c r="N1060" s="359"/>
      <c r="O1060" s="359"/>
      <c r="P1060" s="359"/>
      <c r="Q1060" s="359"/>
      <c r="S1060" s="774"/>
      <c r="T1060" s="360">
        <v>45009</v>
      </c>
      <c r="U1060" s="242">
        <f t="shared" si="37"/>
        <v>0</v>
      </c>
      <c r="V1060" s="774"/>
      <c r="W1060" s="774"/>
      <c r="X1060" s="774"/>
      <c r="Y1060" s="186"/>
      <c r="Z1060" s="359"/>
      <c r="AA1060" s="359"/>
    </row>
    <row r="1061" spans="1:27">
      <c r="A1061" s="359"/>
      <c r="B1061" s="359"/>
      <c r="C1061" s="359"/>
      <c r="D1061" s="359"/>
      <c r="E1061" s="359"/>
      <c r="F1061" s="359"/>
      <c r="G1061" s="359"/>
      <c r="H1061" s="359"/>
      <c r="I1061" s="359"/>
      <c r="J1061" s="359"/>
      <c r="K1061" s="359"/>
      <c r="L1061" s="359"/>
      <c r="M1061" s="359"/>
      <c r="N1061" s="359"/>
      <c r="O1061" s="359"/>
      <c r="P1061" s="359"/>
      <c r="Q1061" s="359"/>
      <c r="S1061" s="774"/>
      <c r="T1061" s="360">
        <v>45010</v>
      </c>
      <c r="U1061" s="242">
        <f t="shared" si="37"/>
        <v>0</v>
      </c>
      <c r="V1061" s="774"/>
      <c r="W1061" s="774"/>
      <c r="X1061" s="774"/>
      <c r="Y1061" s="186"/>
      <c r="Z1061" s="359"/>
      <c r="AA1061" s="359"/>
    </row>
    <row r="1062" spans="1:27">
      <c r="A1062" s="359"/>
      <c r="B1062" s="359"/>
      <c r="C1062" s="359"/>
      <c r="D1062" s="359"/>
      <c r="E1062" s="359"/>
      <c r="F1062" s="359"/>
      <c r="G1062" s="359"/>
      <c r="H1062" s="359"/>
      <c r="I1062" s="359"/>
      <c r="J1062" s="359"/>
      <c r="K1062" s="359"/>
      <c r="L1062" s="359"/>
      <c r="M1062" s="359"/>
      <c r="N1062" s="359"/>
      <c r="O1062" s="359"/>
      <c r="P1062" s="359"/>
      <c r="Q1062" s="359"/>
      <c r="S1062" s="774"/>
      <c r="T1062" s="360">
        <v>45011</v>
      </c>
      <c r="U1062" s="242">
        <f t="shared" si="37"/>
        <v>0</v>
      </c>
      <c r="V1062" s="773"/>
      <c r="W1062" s="773"/>
      <c r="X1062" s="774"/>
      <c r="Y1062" s="186"/>
      <c r="Z1062" s="359"/>
      <c r="AA1062" s="359"/>
    </row>
    <row r="1063" spans="1:27">
      <c r="A1063" s="359"/>
      <c r="B1063" s="359"/>
      <c r="C1063" s="359"/>
      <c r="D1063" s="359"/>
      <c r="E1063" s="359"/>
      <c r="F1063" s="359"/>
      <c r="G1063" s="359"/>
      <c r="H1063" s="359"/>
      <c r="I1063" s="359"/>
      <c r="J1063" s="359"/>
      <c r="K1063" s="359"/>
      <c r="L1063" s="359"/>
      <c r="M1063" s="359"/>
      <c r="N1063" s="359"/>
      <c r="O1063" s="359"/>
      <c r="P1063" s="359"/>
      <c r="Q1063" s="359"/>
      <c r="S1063" s="774"/>
      <c r="T1063" s="360">
        <v>45012</v>
      </c>
      <c r="U1063" s="242">
        <f t="shared" si="37"/>
        <v>0</v>
      </c>
      <c r="V1063" s="694" t="s">
        <v>3696</v>
      </c>
      <c r="W1063" s="694">
        <f>SUM(U1063:U1067)</f>
        <v>4</v>
      </c>
      <c r="X1063" s="774"/>
      <c r="Y1063" s="186"/>
      <c r="Z1063" s="359"/>
      <c r="AA1063" s="359"/>
    </row>
    <row r="1064" spans="1:27">
      <c r="A1064" s="359"/>
      <c r="B1064" s="359"/>
      <c r="C1064" s="359"/>
      <c r="D1064" s="359"/>
      <c r="E1064" s="359"/>
      <c r="F1064" s="359"/>
      <c r="G1064" s="359"/>
      <c r="H1064" s="359"/>
      <c r="I1064" s="359"/>
      <c r="J1064" s="359"/>
      <c r="K1064" s="359"/>
      <c r="L1064" s="359"/>
      <c r="M1064" s="359"/>
      <c r="N1064" s="359"/>
      <c r="O1064" s="359"/>
      <c r="P1064" s="359"/>
      <c r="Q1064" s="359"/>
      <c r="S1064" s="774"/>
      <c r="T1064" s="360">
        <v>45013</v>
      </c>
      <c r="U1064" s="242">
        <f t="shared" si="37"/>
        <v>3</v>
      </c>
      <c r="V1064" s="774"/>
      <c r="W1064" s="774"/>
      <c r="X1064" s="774"/>
      <c r="Y1064" s="186"/>
      <c r="Z1064" s="359"/>
      <c r="AA1064" s="359"/>
    </row>
    <row r="1065" spans="1:27">
      <c r="A1065" s="359"/>
      <c r="B1065" s="359"/>
      <c r="C1065" s="359"/>
      <c r="D1065" s="359"/>
      <c r="E1065" s="359"/>
      <c r="F1065" s="359"/>
      <c r="G1065" s="359"/>
      <c r="H1065" s="359"/>
      <c r="I1065" s="359"/>
      <c r="J1065" s="359"/>
      <c r="K1065" s="359"/>
      <c r="L1065" s="359"/>
      <c r="M1065" s="359"/>
      <c r="N1065" s="359"/>
      <c r="O1065" s="359"/>
      <c r="P1065" s="359"/>
      <c r="Q1065" s="359"/>
      <c r="S1065" s="774"/>
      <c r="T1065" s="360">
        <v>45014</v>
      </c>
      <c r="U1065" s="242">
        <f t="shared" si="37"/>
        <v>1</v>
      </c>
      <c r="V1065" s="774"/>
      <c r="W1065" s="774"/>
      <c r="X1065" s="774"/>
      <c r="Y1065" s="186"/>
      <c r="Z1065" s="359"/>
      <c r="AA1065" s="359"/>
    </row>
    <row r="1066" spans="1:27">
      <c r="A1066" s="359"/>
      <c r="B1066" s="359"/>
      <c r="C1066" s="359"/>
      <c r="D1066" s="359"/>
      <c r="E1066" s="359"/>
      <c r="F1066" s="359"/>
      <c r="G1066" s="359"/>
      <c r="H1066" s="359"/>
      <c r="I1066" s="359"/>
      <c r="J1066" s="359"/>
      <c r="K1066" s="359"/>
      <c r="L1066" s="359"/>
      <c r="M1066" s="359"/>
      <c r="N1066" s="359"/>
      <c r="O1066" s="359"/>
      <c r="P1066" s="359"/>
      <c r="Q1066" s="359"/>
      <c r="S1066" s="774"/>
      <c r="T1066" s="360">
        <v>45015</v>
      </c>
      <c r="U1066" s="242">
        <f t="shared" si="37"/>
        <v>0</v>
      </c>
      <c r="V1066" s="774"/>
      <c r="W1066" s="774"/>
      <c r="X1066" s="774"/>
      <c r="Y1066" s="186"/>
      <c r="Z1066" s="359"/>
      <c r="AA1066" s="359"/>
    </row>
    <row r="1067" spans="1:27">
      <c r="A1067" s="359"/>
      <c r="B1067" s="359"/>
      <c r="C1067" s="359"/>
      <c r="D1067" s="359"/>
      <c r="E1067" s="359"/>
      <c r="F1067" s="359"/>
      <c r="G1067" s="359"/>
      <c r="H1067" s="359"/>
      <c r="I1067" s="359"/>
      <c r="J1067" s="359"/>
      <c r="K1067" s="359"/>
      <c r="L1067" s="359"/>
      <c r="M1067" s="359"/>
      <c r="N1067" s="359"/>
      <c r="O1067" s="359"/>
      <c r="P1067" s="359"/>
      <c r="Q1067" s="359"/>
      <c r="S1067" s="773"/>
      <c r="T1067" s="360">
        <v>45016</v>
      </c>
      <c r="U1067" s="242">
        <f t="shared" si="37"/>
        <v>0</v>
      </c>
      <c r="V1067" s="773"/>
      <c r="W1067" s="773"/>
      <c r="X1067" s="773"/>
      <c r="Y1067" s="186"/>
      <c r="Z1067" s="359"/>
      <c r="AA1067" s="359"/>
    </row>
    <row r="1068" spans="1:27">
      <c r="A1068" s="359"/>
      <c r="B1068" s="359"/>
      <c r="C1068" s="359"/>
      <c r="D1068" s="359"/>
      <c r="E1068" s="359"/>
      <c r="F1068" s="359"/>
      <c r="G1068" s="359"/>
      <c r="H1068" s="359"/>
      <c r="I1068" s="359"/>
      <c r="J1068" s="359"/>
      <c r="K1068" s="359"/>
      <c r="L1068" s="359"/>
      <c r="M1068" s="359"/>
      <c r="N1068" s="359"/>
      <c r="O1068" s="359"/>
      <c r="P1068" s="359"/>
      <c r="Q1068" s="359"/>
      <c r="R1068" s="359"/>
      <c r="S1068" s="359"/>
      <c r="T1068" s="359"/>
      <c r="U1068" s="359"/>
      <c r="V1068" s="359"/>
      <c r="W1068" s="359"/>
      <c r="X1068" s="359"/>
      <c r="Y1068" s="359"/>
      <c r="Z1068" s="359"/>
      <c r="AA1068" s="359"/>
    </row>
    <row r="1069" spans="1:27">
      <c r="A1069" s="359"/>
      <c r="B1069" s="359"/>
      <c r="C1069" s="359"/>
      <c r="D1069" s="359"/>
      <c r="E1069" s="359"/>
      <c r="F1069" s="359"/>
      <c r="G1069" s="359"/>
      <c r="H1069" s="359"/>
      <c r="I1069" s="359"/>
      <c r="J1069" s="359"/>
      <c r="K1069" s="359"/>
      <c r="L1069" s="359"/>
      <c r="M1069" s="359"/>
      <c r="N1069" s="359"/>
      <c r="O1069" s="359"/>
      <c r="P1069" s="359"/>
      <c r="Q1069" s="359"/>
      <c r="R1069" s="359"/>
      <c r="S1069" s="359"/>
      <c r="T1069" s="359"/>
      <c r="U1069" s="359"/>
      <c r="V1069" s="359"/>
      <c r="W1069" s="359"/>
      <c r="X1069" s="359"/>
      <c r="Y1069" s="359"/>
      <c r="Z1069" s="359"/>
      <c r="AA1069" s="359"/>
    </row>
    <row r="1070" spans="1:27">
      <c r="A1070" s="359"/>
      <c r="B1070" s="359"/>
      <c r="C1070" s="359"/>
      <c r="D1070" s="359"/>
      <c r="E1070" s="359"/>
      <c r="F1070" s="359"/>
      <c r="G1070" s="359"/>
      <c r="H1070" s="359"/>
      <c r="I1070" s="359"/>
      <c r="J1070" s="359"/>
      <c r="K1070" s="359"/>
      <c r="L1070" s="359"/>
      <c r="M1070" s="359"/>
      <c r="N1070" s="359"/>
      <c r="O1070" s="359"/>
      <c r="P1070" s="359"/>
      <c r="Q1070" s="359"/>
      <c r="R1070" s="359"/>
      <c r="S1070" s="359"/>
      <c r="T1070" s="359"/>
      <c r="U1070" s="359"/>
      <c r="V1070" s="359"/>
      <c r="W1070" s="359"/>
      <c r="X1070" s="359"/>
      <c r="Y1070" s="359"/>
      <c r="Z1070" s="359"/>
      <c r="AA1070" s="359"/>
    </row>
    <row r="1071" spans="1:27">
      <c r="A1071" s="359"/>
      <c r="B1071" s="359"/>
      <c r="C1071" s="359"/>
      <c r="D1071" s="359"/>
      <c r="E1071" s="359"/>
      <c r="F1071" s="359"/>
      <c r="G1071" s="359"/>
      <c r="H1071" s="359"/>
      <c r="I1071" s="359"/>
      <c r="J1071" s="359"/>
      <c r="K1071" s="359"/>
      <c r="L1071" s="359"/>
      <c r="M1071" s="359"/>
      <c r="N1071" s="359"/>
      <c r="O1071" s="359"/>
      <c r="P1071" s="359"/>
      <c r="Q1071" s="359"/>
      <c r="R1071" s="359"/>
      <c r="S1071" s="359"/>
      <c r="T1071" s="359"/>
      <c r="U1071" s="359"/>
      <c r="V1071" s="359"/>
      <c r="W1071" s="359"/>
      <c r="X1071" s="359"/>
      <c r="Y1071" s="359"/>
      <c r="Z1071" s="359"/>
      <c r="AA1071" s="359"/>
    </row>
    <row r="1072" spans="1:27">
      <c r="A1072" s="359"/>
      <c r="B1072" s="359"/>
      <c r="C1072" s="359"/>
      <c r="D1072" s="359"/>
      <c r="E1072" s="359"/>
      <c r="F1072" s="359"/>
      <c r="G1072" s="359"/>
      <c r="H1072" s="359"/>
      <c r="I1072" s="359"/>
      <c r="J1072" s="359"/>
      <c r="K1072" s="359"/>
      <c r="L1072" s="359"/>
      <c r="M1072" s="359"/>
      <c r="N1072" s="359"/>
      <c r="O1072" s="359"/>
      <c r="P1072" s="359"/>
      <c r="Q1072" s="359"/>
      <c r="R1072" s="359"/>
      <c r="S1072" s="359"/>
      <c r="T1072" s="359"/>
      <c r="U1072" s="359"/>
      <c r="V1072" s="359"/>
      <c r="W1072" s="359"/>
      <c r="X1072" s="359"/>
      <c r="Y1072" s="359"/>
      <c r="Z1072" s="359"/>
      <c r="AA1072" s="359"/>
    </row>
    <row r="1073" spans="1:27">
      <c r="A1073" s="359"/>
      <c r="B1073" s="359"/>
      <c r="C1073" s="359"/>
      <c r="D1073" s="359"/>
      <c r="E1073" s="359"/>
      <c r="F1073" s="359"/>
      <c r="G1073" s="359"/>
      <c r="H1073" s="359"/>
      <c r="I1073" s="359"/>
      <c r="J1073" s="359"/>
      <c r="K1073" s="359"/>
      <c r="L1073" s="359"/>
      <c r="M1073" s="359"/>
      <c r="N1073" s="359"/>
      <c r="O1073" s="359"/>
      <c r="P1073" s="359"/>
      <c r="Q1073" s="359"/>
      <c r="R1073" s="359"/>
      <c r="S1073" s="359"/>
      <c r="T1073" s="359"/>
      <c r="U1073" s="359"/>
      <c r="V1073" s="359"/>
      <c r="W1073" s="359"/>
      <c r="X1073" s="359"/>
      <c r="Y1073" s="359"/>
      <c r="Z1073" s="359"/>
      <c r="AA1073" s="359"/>
    </row>
    <row r="1074" spans="1:27">
      <c r="A1074" s="359"/>
      <c r="B1074" s="359"/>
      <c r="C1074" s="359"/>
      <c r="D1074" s="359"/>
      <c r="E1074" s="359"/>
      <c r="F1074" s="359"/>
      <c r="G1074" s="359"/>
      <c r="H1074" s="359"/>
      <c r="I1074" s="359"/>
      <c r="J1074" s="359"/>
      <c r="K1074" s="359"/>
      <c r="L1074" s="359"/>
      <c r="M1074" s="359"/>
      <c r="N1074" s="359"/>
      <c r="O1074" s="359"/>
      <c r="P1074" s="359"/>
      <c r="Q1074" s="359"/>
      <c r="R1074" s="359"/>
      <c r="S1074" s="359"/>
      <c r="T1074" s="359"/>
      <c r="U1074" s="359"/>
      <c r="X1074" s="359"/>
      <c r="Y1074" s="359"/>
      <c r="Z1074" s="359"/>
      <c r="AA1074" s="359"/>
    </row>
    <row r="1075" spans="1:27">
      <c r="A1075" s="359"/>
      <c r="B1075" s="359"/>
      <c r="C1075" s="359"/>
      <c r="D1075" s="359"/>
      <c r="E1075" s="359"/>
      <c r="F1075" s="359"/>
      <c r="G1075" s="359"/>
      <c r="H1075" s="359"/>
      <c r="I1075" s="359"/>
      <c r="J1075" s="359"/>
      <c r="K1075" s="359"/>
      <c r="L1075" s="359"/>
      <c r="M1075" s="359"/>
      <c r="N1075" s="359"/>
      <c r="O1075" s="359"/>
      <c r="P1075" s="359"/>
      <c r="Q1075" s="359"/>
      <c r="R1075" s="359"/>
      <c r="S1075" s="359"/>
      <c r="T1075" s="359"/>
      <c r="U1075" s="359"/>
      <c r="X1075" s="359"/>
      <c r="Y1075" s="359"/>
      <c r="Z1075" s="359"/>
      <c r="AA1075" s="359"/>
    </row>
    <row r="1076" spans="1:27">
      <c r="A1076" s="359"/>
      <c r="B1076" s="359"/>
      <c r="C1076" s="359"/>
      <c r="D1076" s="359"/>
      <c r="E1076" s="359"/>
      <c r="F1076" s="359"/>
      <c r="G1076" s="359"/>
      <c r="H1076" s="359"/>
      <c r="I1076" s="359"/>
      <c r="J1076" s="359"/>
      <c r="K1076" s="359"/>
      <c r="L1076" s="359"/>
      <c r="M1076" s="359"/>
      <c r="N1076" s="359"/>
      <c r="O1076" s="359"/>
      <c r="P1076" s="359"/>
      <c r="Q1076" s="359"/>
      <c r="R1076" s="359"/>
      <c r="S1076" s="359"/>
      <c r="T1076" s="359"/>
      <c r="U1076" s="359"/>
      <c r="V1076" s="359"/>
      <c r="W1076" s="359"/>
      <c r="X1076" s="359"/>
      <c r="Y1076" s="359"/>
      <c r="Z1076" s="359"/>
      <c r="AA1076" s="359"/>
    </row>
    <row r="1077" spans="1:27">
      <c r="A1077" s="359"/>
      <c r="B1077" s="359"/>
      <c r="C1077" s="359"/>
      <c r="D1077" s="359"/>
      <c r="E1077" s="359"/>
      <c r="F1077" s="359"/>
      <c r="G1077" s="359"/>
      <c r="H1077" s="359"/>
      <c r="I1077" s="359"/>
      <c r="J1077" s="359"/>
      <c r="K1077" s="359"/>
      <c r="L1077" s="359"/>
      <c r="M1077" s="359"/>
      <c r="N1077" s="359"/>
      <c r="O1077" s="359"/>
      <c r="P1077" s="359"/>
      <c r="Q1077" s="359"/>
      <c r="R1077" s="359"/>
      <c r="S1077" s="359"/>
      <c r="T1077" s="359"/>
      <c r="U1077" s="359"/>
      <c r="X1077" s="359"/>
      <c r="Y1077" s="359"/>
      <c r="Z1077" s="359"/>
      <c r="AA1077" s="359"/>
    </row>
    <row r="1078" spans="1:27">
      <c r="A1078" s="359"/>
      <c r="B1078" s="359"/>
      <c r="C1078" s="359"/>
      <c r="D1078" s="359"/>
      <c r="E1078" s="359"/>
      <c r="F1078" s="359"/>
      <c r="G1078" s="359"/>
      <c r="H1078" s="359"/>
      <c r="I1078" s="359"/>
      <c r="J1078" s="359"/>
      <c r="K1078" s="359"/>
      <c r="L1078" s="359"/>
      <c r="M1078" s="359"/>
      <c r="N1078" s="359"/>
      <c r="O1078" s="359"/>
      <c r="P1078" s="359"/>
      <c r="Q1078" s="359"/>
      <c r="R1078" s="359"/>
      <c r="S1078" s="359"/>
      <c r="T1078" s="359"/>
      <c r="U1078" s="359"/>
      <c r="X1078" s="359"/>
      <c r="Y1078" s="359"/>
      <c r="Z1078" s="359"/>
      <c r="AA1078" s="359"/>
    </row>
    <row r="1079" spans="1:27">
      <c r="A1079" s="359"/>
      <c r="B1079" s="359"/>
      <c r="C1079" s="359"/>
      <c r="D1079" s="359"/>
      <c r="E1079" s="359"/>
      <c r="F1079" s="359"/>
      <c r="G1079" s="359"/>
      <c r="H1079" s="359"/>
      <c r="I1079" s="359"/>
      <c r="J1079" s="359"/>
      <c r="K1079" s="359"/>
      <c r="L1079" s="359"/>
      <c r="M1079" s="359"/>
      <c r="N1079" s="359"/>
      <c r="O1079" s="359"/>
      <c r="P1079" s="359"/>
      <c r="Q1079" s="359"/>
      <c r="R1079" s="359"/>
      <c r="S1079" s="359"/>
      <c r="T1079" s="359"/>
      <c r="U1079" s="359"/>
      <c r="V1079" s="359"/>
      <c r="W1079" s="359"/>
      <c r="X1079" s="359"/>
      <c r="Y1079" s="359"/>
      <c r="Z1079" s="359"/>
      <c r="AA1079" s="359"/>
    </row>
    <row r="1080" spans="1:27">
      <c r="A1080" s="359"/>
      <c r="B1080" s="359"/>
      <c r="C1080" s="359"/>
      <c r="D1080" s="359"/>
      <c r="E1080" s="359"/>
      <c r="F1080" s="359"/>
      <c r="G1080" s="359"/>
      <c r="H1080" s="359"/>
      <c r="I1080" s="359"/>
      <c r="J1080" s="359"/>
      <c r="K1080" s="359"/>
      <c r="L1080" s="359"/>
      <c r="M1080" s="359"/>
      <c r="N1080" s="359"/>
      <c r="O1080" s="359"/>
      <c r="P1080" s="359"/>
      <c r="Q1080" s="359"/>
      <c r="R1080" s="359"/>
      <c r="S1080" s="359"/>
      <c r="T1080" s="359"/>
      <c r="U1080" s="359"/>
      <c r="V1080" s="359"/>
      <c r="W1080" s="359"/>
      <c r="X1080" s="359"/>
      <c r="Y1080" s="359"/>
      <c r="Z1080" s="359"/>
      <c r="AA1080" s="359"/>
    </row>
    <row r="1081" spans="1:27">
      <c r="A1081" s="359"/>
      <c r="B1081" s="359"/>
      <c r="C1081" s="359"/>
      <c r="D1081" s="359"/>
      <c r="E1081" s="359"/>
      <c r="F1081" s="359"/>
      <c r="G1081" s="359"/>
      <c r="H1081" s="359"/>
      <c r="I1081" s="359"/>
      <c r="J1081" s="359"/>
      <c r="K1081" s="359"/>
      <c r="L1081" s="359"/>
      <c r="M1081" s="359"/>
      <c r="N1081" s="359"/>
      <c r="O1081" s="359"/>
      <c r="P1081" s="359"/>
      <c r="Q1081" s="359"/>
      <c r="R1081" s="359"/>
      <c r="S1081" s="359"/>
      <c r="T1081" s="359"/>
      <c r="U1081" s="359"/>
      <c r="V1081" s="359"/>
      <c r="W1081" s="359"/>
      <c r="X1081" s="359"/>
      <c r="Y1081" s="359"/>
      <c r="Z1081" s="359"/>
      <c r="AA1081" s="359"/>
    </row>
    <row r="1082" spans="1:27">
      <c r="A1082" s="359"/>
      <c r="B1082" s="359"/>
      <c r="C1082" s="359"/>
      <c r="D1082" s="359"/>
      <c r="E1082" s="359"/>
      <c r="F1082" s="359"/>
      <c r="G1082" s="359"/>
      <c r="H1082" s="359"/>
      <c r="I1082" s="359"/>
      <c r="J1082" s="359"/>
      <c r="K1082" s="359"/>
      <c r="L1082" s="359"/>
      <c r="M1082" s="359"/>
      <c r="N1082" s="359"/>
      <c r="O1082" s="359"/>
      <c r="P1082" s="359"/>
      <c r="Q1082" s="359"/>
      <c r="R1082" s="359"/>
      <c r="S1082" s="359"/>
      <c r="T1082" s="359"/>
      <c r="U1082" s="359"/>
      <c r="V1082" s="359"/>
      <c r="W1082" s="359"/>
      <c r="X1082" s="359"/>
      <c r="Y1082" s="359"/>
      <c r="Z1082" s="359"/>
      <c r="AA1082" s="359"/>
    </row>
    <row r="1083" spans="1:27">
      <c r="A1083" s="359"/>
      <c r="B1083" s="359"/>
      <c r="C1083" s="359"/>
      <c r="D1083" s="359"/>
      <c r="E1083" s="359"/>
      <c r="F1083" s="359"/>
      <c r="G1083" s="359"/>
      <c r="H1083" s="359"/>
      <c r="I1083" s="359"/>
      <c r="J1083" s="359"/>
      <c r="K1083" s="359"/>
      <c r="L1083" s="359"/>
      <c r="M1083" s="359"/>
      <c r="N1083" s="359"/>
      <c r="O1083" s="359"/>
      <c r="P1083" s="359"/>
      <c r="Q1083" s="359"/>
      <c r="R1083" s="359"/>
      <c r="S1083" s="359"/>
      <c r="T1083" s="359"/>
      <c r="U1083" s="359"/>
      <c r="V1083" s="359"/>
      <c r="W1083" s="359"/>
      <c r="X1083" s="359"/>
      <c r="Y1083" s="359"/>
      <c r="Z1083" s="359"/>
      <c r="AA1083" s="359"/>
    </row>
    <row r="1084" spans="1:27">
      <c r="A1084" s="359"/>
      <c r="B1084" s="359"/>
      <c r="C1084" s="359"/>
      <c r="D1084" s="359"/>
      <c r="E1084" s="359"/>
      <c r="F1084" s="359"/>
      <c r="G1084" s="359"/>
      <c r="H1084" s="359"/>
      <c r="I1084" s="359"/>
      <c r="J1084" s="359"/>
      <c r="K1084" s="359"/>
      <c r="L1084" s="359"/>
      <c r="M1084" s="359"/>
      <c r="N1084" s="359"/>
      <c r="O1084" s="359"/>
      <c r="P1084" s="359"/>
      <c r="Q1084" s="359"/>
      <c r="R1084" s="359"/>
      <c r="S1084" s="359"/>
      <c r="T1084" s="359"/>
      <c r="U1084" s="359"/>
      <c r="V1084" s="359"/>
      <c r="W1084" s="359"/>
      <c r="X1084" s="359"/>
      <c r="Y1084" s="359"/>
      <c r="Z1084" s="359"/>
      <c r="AA1084" s="359"/>
    </row>
    <row r="1085" spans="1:27">
      <c r="A1085" s="359"/>
      <c r="B1085" s="359"/>
      <c r="C1085" s="359"/>
      <c r="D1085" s="359"/>
      <c r="E1085" s="359"/>
      <c r="F1085" s="359"/>
      <c r="G1085" s="359"/>
      <c r="H1085" s="359"/>
      <c r="I1085" s="359"/>
      <c r="J1085" s="359"/>
      <c r="K1085" s="359"/>
      <c r="L1085" s="359"/>
      <c r="M1085" s="359"/>
      <c r="N1085" s="359"/>
      <c r="O1085" s="359"/>
      <c r="P1085" s="359"/>
      <c r="Q1085" s="359"/>
      <c r="R1085" s="359"/>
      <c r="S1085" s="359"/>
      <c r="T1085" s="359"/>
      <c r="U1085" s="359"/>
      <c r="V1085" s="359"/>
      <c r="W1085" s="359"/>
      <c r="X1085" s="359"/>
      <c r="Y1085" s="359"/>
      <c r="Z1085" s="359"/>
      <c r="AA1085" s="359"/>
    </row>
    <row r="1086" spans="1:27">
      <c r="A1086" s="359"/>
      <c r="B1086" s="359"/>
      <c r="C1086" s="359"/>
      <c r="D1086" s="359"/>
      <c r="E1086" s="359"/>
      <c r="F1086" s="359"/>
      <c r="G1086" s="359"/>
      <c r="H1086" s="359"/>
      <c r="I1086" s="359"/>
      <c r="J1086" s="359"/>
      <c r="K1086" s="359"/>
      <c r="L1086" s="359"/>
      <c r="M1086" s="359"/>
      <c r="N1086" s="359"/>
      <c r="O1086" s="359"/>
      <c r="P1086" s="359"/>
      <c r="Q1086" s="359"/>
      <c r="R1086" s="359"/>
      <c r="S1086" s="359"/>
      <c r="T1086" s="359"/>
      <c r="U1086" s="359"/>
      <c r="V1086" s="359"/>
      <c r="W1086" s="359"/>
      <c r="X1086" s="359"/>
      <c r="Y1086" s="359"/>
      <c r="Z1086" s="359"/>
      <c r="AA1086" s="359"/>
    </row>
    <row r="1087" spans="1:27">
      <c r="A1087" s="359"/>
      <c r="B1087" s="359"/>
      <c r="C1087" s="359"/>
      <c r="D1087" s="359"/>
      <c r="E1087" s="359"/>
      <c r="F1087" s="359"/>
      <c r="G1087" s="359"/>
      <c r="H1087" s="359"/>
      <c r="I1087" s="359"/>
      <c r="J1087" s="359"/>
      <c r="K1087" s="359"/>
      <c r="L1087" s="359"/>
      <c r="M1087" s="359"/>
      <c r="N1087" s="359"/>
      <c r="O1087" s="359"/>
      <c r="P1087" s="359"/>
      <c r="Q1087" s="359"/>
      <c r="R1087" s="359"/>
      <c r="S1087" s="359"/>
      <c r="T1087" s="359"/>
      <c r="U1087" s="359"/>
      <c r="V1087" s="359"/>
      <c r="W1087" s="359"/>
      <c r="X1087" s="359"/>
      <c r="Y1087" s="359"/>
      <c r="Z1087" s="359"/>
      <c r="AA1087" s="359"/>
    </row>
    <row r="1088" spans="1:27">
      <c r="A1088" s="359"/>
      <c r="B1088" s="359"/>
      <c r="C1088" s="359"/>
      <c r="D1088" s="359"/>
      <c r="E1088" s="359"/>
      <c r="F1088" s="359"/>
      <c r="G1088" s="359"/>
      <c r="H1088" s="359"/>
      <c r="I1088" s="359"/>
      <c r="J1088" s="359"/>
      <c r="K1088" s="359"/>
      <c r="L1088" s="359"/>
      <c r="M1088" s="359"/>
      <c r="N1088" s="359"/>
      <c r="O1088" s="359"/>
      <c r="P1088" s="359"/>
      <c r="Q1088" s="359"/>
      <c r="R1088" s="359"/>
      <c r="S1088" s="359"/>
      <c r="T1088" s="359"/>
      <c r="U1088" s="359"/>
      <c r="V1088" s="359"/>
      <c r="W1088" s="359"/>
      <c r="X1088" s="359"/>
      <c r="Y1088" s="359"/>
      <c r="Z1088" s="359"/>
      <c r="AA1088" s="359"/>
    </row>
    <row r="1089" spans="1:27">
      <c r="A1089" s="359"/>
      <c r="B1089" s="359"/>
      <c r="C1089" s="359"/>
      <c r="D1089" s="359"/>
      <c r="E1089" s="359"/>
      <c r="F1089" s="359"/>
      <c r="G1089" s="359"/>
      <c r="H1089" s="359"/>
      <c r="I1089" s="359"/>
      <c r="J1089" s="359"/>
      <c r="K1089" s="359"/>
      <c r="L1089" s="359"/>
      <c r="M1089" s="359"/>
      <c r="N1089" s="359"/>
      <c r="O1089" s="359"/>
      <c r="P1089" s="359"/>
      <c r="Q1089" s="359"/>
      <c r="R1089" s="359"/>
      <c r="S1089" s="359"/>
      <c r="T1089" s="359"/>
      <c r="U1089" s="359"/>
      <c r="V1089" s="359"/>
      <c r="W1089" s="359"/>
      <c r="X1089" s="359"/>
      <c r="Y1089" s="359"/>
      <c r="Z1089" s="359"/>
      <c r="AA1089" s="359"/>
    </row>
    <row r="1090" spans="1:27">
      <c r="A1090" s="359"/>
      <c r="B1090" s="359"/>
      <c r="C1090" s="359"/>
      <c r="D1090" s="359"/>
      <c r="E1090" s="359"/>
      <c r="F1090" s="359"/>
      <c r="G1090" s="359"/>
      <c r="H1090" s="359"/>
      <c r="I1090" s="359"/>
      <c r="J1090" s="359"/>
      <c r="K1090" s="359"/>
      <c r="L1090" s="359"/>
      <c r="M1090" s="359"/>
      <c r="N1090" s="359"/>
      <c r="O1090" s="359"/>
      <c r="P1090" s="359"/>
      <c r="Q1090" s="359"/>
      <c r="R1090" s="359"/>
      <c r="S1090" s="359"/>
      <c r="T1090" s="359"/>
      <c r="U1090" s="359"/>
      <c r="V1090" s="359"/>
      <c r="W1090" s="359"/>
      <c r="X1090" s="359"/>
      <c r="Y1090" s="359"/>
      <c r="Z1090" s="359"/>
      <c r="AA1090" s="359"/>
    </row>
    <row r="1091" spans="1:27">
      <c r="A1091" s="359"/>
      <c r="B1091" s="359"/>
      <c r="C1091" s="359"/>
      <c r="D1091" s="359"/>
      <c r="E1091" s="359"/>
      <c r="F1091" s="359"/>
      <c r="G1091" s="359"/>
      <c r="H1091" s="359"/>
      <c r="I1091" s="359"/>
      <c r="J1091" s="359"/>
      <c r="K1091" s="359"/>
      <c r="L1091" s="359"/>
      <c r="M1091" s="359"/>
      <c r="N1091" s="359"/>
      <c r="O1091" s="359"/>
      <c r="P1091" s="359"/>
      <c r="Q1091" s="359"/>
      <c r="R1091" s="359"/>
      <c r="S1091" s="359"/>
      <c r="T1091" s="359"/>
      <c r="U1091" s="359"/>
      <c r="V1091" s="359"/>
      <c r="W1091" s="359"/>
      <c r="X1091" s="359"/>
      <c r="Y1091" s="359"/>
      <c r="Z1091" s="359"/>
      <c r="AA1091" s="359"/>
    </row>
    <row r="1092" spans="1:27">
      <c r="A1092" s="359"/>
      <c r="B1092" s="359"/>
      <c r="C1092" s="359"/>
      <c r="D1092" s="359"/>
      <c r="E1092" s="359"/>
      <c r="F1092" s="359"/>
      <c r="G1092" s="359"/>
      <c r="H1092" s="359"/>
      <c r="I1092" s="359"/>
      <c r="J1092" s="359"/>
      <c r="K1092" s="359"/>
      <c r="L1092" s="359"/>
      <c r="M1092" s="359"/>
      <c r="N1092" s="359"/>
      <c r="O1092" s="359"/>
      <c r="P1092" s="359"/>
      <c r="Q1092" s="359"/>
      <c r="R1092" s="359"/>
      <c r="S1092" s="359"/>
      <c r="T1092" s="359"/>
      <c r="U1092" s="359"/>
      <c r="V1092" s="359"/>
      <c r="W1092" s="359"/>
      <c r="X1092" s="359"/>
      <c r="Y1092" s="359"/>
      <c r="Z1092" s="359"/>
      <c r="AA1092" s="359"/>
    </row>
    <row r="1093" spans="1:27">
      <c r="A1093" s="359"/>
      <c r="B1093" s="359"/>
      <c r="C1093" s="359"/>
      <c r="D1093" s="359"/>
      <c r="E1093" s="359"/>
      <c r="F1093" s="359"/>
      <c r="G1093" s="359"/>
      <c r="H1093" s="359"/>
      <c r="I1093" s="359"/>
      <c r="J1093" s="359"/>
      <c r="K1093" s="359"/>
      <c r="L1093" s="359"/>
      <c r="M1093" s="359"/>
      <c r="N1093" s="359"/>
      <c r="O1093" s="359"/>
      <c r="P1093" s="359"/>
      <c r="Q1093" s="359"/>
      <c r="R1093" s="359"/>
      <c r="S1093" s="359"/>
      <c r="T1093" s="359"/>
      <c r="U1093" s="359"/>
      <c r="V1093" s="359"/>
      <c r="W1093" s="359"/>
      <c r="X1093" s="359"/>
      <c r="Y1093" s="359"/>
      <c r="Z1093" s="359"/>
      <c r="AA1093" s="359"/>
    </row>
    <row r="1094" spans="1:27">
      <c r="A1094" s="359"/>
      <c r="B1094" s="359"/>
      <c r="C1094" s="359"/>
      <c r="D1094" s="359"/>
      <c r="E1094" s="359"/>
      <c r="F1094" s="359"/>
      <c r="G1094" s="359"/>
      <c r="H1094" s="359"/>
      <c r="I1094" s="359"/>
      <c r="J1094" s="359"/>
      <c r="K1094" s="359"/>
      <c r="L1094" s="359"/>
      <c r="M1094" s="359"/>
      <c r="N1094" s="359"/>
      <c r="O1094" s="359"/>
      <c r="P1094" s="359"/>
      <c r="Q1094" s="359"/>
      <c r="R1094" s="359"/>
      <c r="S1094" s="359"/>
      <c r="T1094" s="359"/>
      <c r="U1094" s="359"/>
      <c r="V1094" s="359"/>
      <c r="W1094" s="359"/>
      <c r="X1094" s="359"/>
      <c r="Y1094" s="359"/>
      <c r="Z1094" s="359"/>
      <c r="AA1094" s="359"/>
    </row>
    <row r="1095" spans="1:27">
      <c r="A1095" s="359"/>
      <c r="B1095" s="359"/>
      <c r="C1095" s="359"/>
      <c r="D1095" s="359"/>
      <c r="E1095" s="359"/>
      <c r="F1095" s="359"/>
      <c r="G1095" s="359"/>
      <c r="H1095" s="359"/>
      <c r="I1095" s="359"/>
      <c r="J1095" s="359"/>
      <c r="K1095" s="359"/>
      <c r="L1095" s="359"/>
      <c r="M1095" s="359"/>
      <c r="N1095" s="359"/>
      <c r="O1095" s="359"/>
      <c r="P1095" s="359"/>
      <c r="Q1095" s="359"/>
      <c r="R1095" s="359"/>
      <c r="S1095" s="359"/>
      <c r="T1095" s="359"/>
      <c r="U1095" s="359"/>
      <c r="V1095" s="359"/>
      <c r="W1095" s="359"/>
      <c r="X1095" s="359"/>
      <c r="Y1095" s="359"/>
      <c r="Z1095" s="359"/>
      <c r="AA1095" s="359"/>
    </row>
    <row r="1096" spans="1:27">
      <c r="A1096" s="359"/>
      <c r="B1096" s="359"/>
      <c r="C1096" s="359"/>
      <c r="D1096" s="359"/>
      <c r="E1096" s="359"/>
      <c r="F1096" s="359"/>
      <c r="G1096" s="359"/>
      <c r="H1096" s="359"/>
      <c r="I1096" s="359"/>
      <c r="J1096" s="359"/>
      <c r="K1096" s="359"/>
      <c r="L1096" s="359"/>
      <c r="M1096" s="359"/>
      <c r="N1096" s="359"/>
      <c r="O1096" s="359"/>
      <c r="P1096" s="359"/>
      <c r="Q1096" s="359"/>
      <c r="R1096" s="359"/>
      <c r="S1096" s="359"/>
      <c r="T1096" s="359"/>
      <c r="U1096" s="359"/>
      <c r="V1096" s="359"/>
      <c r="W1096" s="359"/>
      <c r="X1096" s="359"/>
      <c r="Y1096" s="359"/>
      <c r="Z1096" s="359"/>
      <c r="AA1096" s="359"/>
    </row>
    <row r="1097" spans="1:27">
      <c r="A1097" s="359"/>
      <c r="B1097" s="359"/>
      <c r="C1097" s="359"/>
      <c r="D1097" s="359"/>
      <c r="E1097" s="359"/>
      <c r="F1097" s="359"/>
      <c r="G1097" s="359"/>
      <c r="H1097" s="359"/>
      <c r="I1097" s="359"/>
      <c r="J1097" s="359"/>
      <c r="K1097" s="359"/>
      <c r="L1097" s="359"/>
      <c r="M1097" s="359"/>
      <c r="N1097" s="359"/>
      <c r="O1097" s="359"/>
      <c r="P1097" s="359"/>
      <c r="Q1097" s="359"/>
      <c r="R1097" s="359"/>
      <c r="S1097" s="359"/>
      <c r="T1097" s="359"/>
      <c r="U1097" s="359"/>
      <c r="V1097" s="359"/>
      <c r="W1097" s="359"/>
      <c r="X1097" s="359"/>
      <c r="Y1097" s="359"/>
      <c r="Z1097" s="359"/>
      <c r="AA1097" s="359"/>
    </row>
    <row r="1098" spans="1:27">
      <c r="A1098" s="359"/>
      <c r="B1098" s="359"/>
      <c r="C1098" s="359"/>
      <c r="D1098" s="359"/>
      <c r="E1098" s="359"/>
      <c r="F1098" s="359"/>
      <c r="G1098" s="359"/>
      <c r="H1098" s="359"/>
      <c r="I1098" s="359"/>
      <c r="J1098" s="359"/>
      <c r="K1098" s="359"/>
      <c r="L1098" s="359"/>
      <c r="M1098" s="359"/>
      <c r="N1098" s="359"/>
      <c r="O1098" s="359"/>
      <c r="P1098" s="359"/>
      <c r="Q1098" s="359"/>
      <c r="R1098" s="359"/>
      <c r="S1098" s="359"/>
      <c r="T1098" s="359"/>
      <c r="U1098" s="359"/>
      <c r="V1098" s="359"/>
      <c r="W1098" s="359"/>
      <c r="X1098" s="359"/>
      <c r="Y1098" s="359"/>
      <c r="Z1098" s="359"/>
      <c r="AA1098" s="359"/>
    </row>
    <row r="1099" spans="1:27">
      <c r="A1099" s="359"/>
      <c r="B1099" s="359"/>
      <c r="C1099" s="359"/>
      <c r="D1099" s="359"/>
      <c r="E1099" s="359"/>
      <c r="F1099" s="359"/>
      <c r="G1099" s="359"/>
      <c r="H1099" s="359"/>
      <c r="I1099" s="359"/>
      <c r="J1099" s="359"/>
      <c r="K1099" s="359"/>
      <c r="L1099" s="359"/>
      <c r="M1099" s="359"/>
      <c r="N1099" s="359"/>
      <c r="O1099" s="359"/>
      <c r="P1099" s="359"/>
      <c r="Q1099" s="359"/>
      <c r="R1099" s="359"/>
      <c r="S1099" s="359"/>
      <c r="T1099" s="359"/>
      <c r="U1099" s="359"/>
      <c r="V1099" s="359"/>
      <c r="W1099" s="359"/>
      <c r="X1099" s="359"/>
      <c r="Y1099" s="359"/>
      <c r="Z1099" s="359"/>
      <c r="AA1099" s="359"/>
    </row>
    <row r="1100" spans="1:27">
      <c r="A1100" s="359"/>
      <c r="B1100" s="359"/>
      <c r="C1100" s="359"/>
      <c r="D1100" s="359"/>
      <c r="E1100" s="359"/>
      <c r="F1100" s="359"/>
      <c r="G1100" s="359"/>
      <c r="H1100" s="359"/>
      <c r="I1100" s="359"/>
      <c r="J1100" s="359"/>
      <c r="K1100" s="359"/>
      <c r="L1100" s="359"/>
      <c r="M1100" s="359"/>
      <c r="N1100" s="359"/>
      <c r="O1100" s="359"/>
      <c r="P1100" s="359"/>
      <c r="Q1100" s="359"/>
      <c r="R1100" s="359"/>
      <c r="S1100" s="359"/>
      <c r="T1100" s="359"/>
      <c r="U1100" s="359"/>
      <c r="V1100" s="359"/>
      <c r="W1100" s="359"/>
      <c r="X1100" s="359"/>
      <c r="Y1100" s="359"/>
      <c r="Z1100" s="359"/>
      <c r="AA1100" s="359"/>
    </row>
    <row r="1101" spans="1:27">
      <c r="A1101" s="359"/>
      <c r="B1101" s="359"/>
      <c r="C1101" s="359"/>
      <c r="D1101" s="359"/>
      <c r="E1101" s="359"/>
      <c r="F1101" s="359"/>
      <c r="G1101" s="359"/>
      <c r="H1101" s="359"/>
      <c r="I1101" s="359"/>
      <c r="J1101" s="359"/>
      <c r="K1101" s="359"/>
      <c r="L1101" s="359"/>
      <c r="M1101" s="359"/>
      <c r="N1101" s="359"/>
      <c r="O1101" s="359"/>
      <c r="P1101" s="359"/>
      <c r="Q1101" s="359"/>
      <c r="R1101" s="359"/>
      <c r="S1101" s="359"/>
      <c r="T1101" s="359"/>
      <c r="U1101" s="359"/>
      <c r="V1101" s="359"/>
      <c r="W1101" s="359"/>
      <c r="X1101" s="359"/>
      <c r="Y1101" s="359"/>
      <c r="Z1101" s="359"/>
      <c r="AA1101" s="359"/>
    </row>
    <row r="1102" spans="1:27">
      <c r="A1102" s="359"/>
      <c r="B1102" s="359"/>
      <c r="C1102" s="359"/>
      <c r="D1102" s="359"/>
      <c r="E1102" s="359"/>
      <c r="F1102" s="359"/>
      <c r="G1102" s="359"/>
      <c r="H1102" s="359"/>
      <c r="I1102" s="359"/>
      <c r="J1102" s="359"/>
      <c r="K1102" s="359"/>
      <c r="L1102" s="359"/>
      <c r="M1102" s="359"/>
      <c r="N1102" s="359"/>
      <c r="O1102" s="359"/>
      <c r="P1102" s="359"/>
      <c r="Q1102" s="359"/>
      <c r="R1102" s="359"/>
      <c r="S1102" s="359"/>
      <c r="T1102" s="359"/>
      <c r="U1102" s="359"/>
      <c r="V1102" s="359"/>
      <c r="W1102" s="359"/>
      <c r="X1102" s="359"/>
      <c r="Y1102" s="359"/>
      <c r="Z1102" s="359"/>
      <c r="AA1102" s="359"/>
    </row>
    <row r="1103" spans="1:27">
      <c r="A1103" s="359"/>
      <c r="B1103" s="359"/>
      <c r="C1103" s="359"/>
      <c r="D1103" s="359"/>
      <c r="E1103" s="359"/>
      <c r="F1103" s="359"/>
      <c r="G1103" s="359"/>
      <c r="H1103" s="359"/>
      <c r="I1103" s="359"/>
      <c r="J1103" s="359"/>
      <c r="K1103" s="359"/>
      <c r="L1103" s="359"/>
      <c r="M1103" s="359"/>
      <c r="N1103" s="359"/>
      <c r="O1103" s="359"/>
      <c r="P1103" s="359"/>
      <c r="Q1103" s="359"/>
      <c r="R1103" s="359"/>
      <c r="S1103" s="359"/>
      <c r="T1103" s="359"/>
      <c r="U1103" s="359"/>
      <c r="V1103" s="359"/>
      <c r="W1103" s="359"/>
      <c r="X1103" s="359"/>
      <c r="Y1103" s="359"/>
      <c r="Z1103" s="359"/>
      <c r="AA1103" s="359"/>
    </row>
    <row r="1104" spans="1:27">
      <c r="A1104" s="359"/>
      <c r="B1104" s="359"/>
      <c r="C1104" s="359"/>
      <c r="D1104" s="359"/>
      <c r="E1104" s="359"/>
      <c r="F1104" s="359"/>
      <c r="G1104" s="359"/>
      <c r="H1104" s="359"/>
      <c r="I1104" s="359"/>
      <c r="J1104" s="359"/>
      <c r="K1104" s="359"/>
      <c r="L1104" s="359"/>
      <c r="M1104" s="359"/>
      <c r="N1104" s="359"/>
      <c r="O1104" s="359"/>
      <c r="P1104" s="359"/>
      <c r="Q1104" s="359"/>
      <c r="R1104" s="359"/>
      <c r="S1104" s="359"/>
      <c r="T1104" s="359"/>
      <c r="U1104" s="359"/>
      <c r="V1104" s="359"/>
      <c r="W1104" s="359"/>
      <c r="X1104" s="359"/>
      <c r="Y1104" s="359"/>
      <c r="Z1104" s="359"/>
      <c r="AA1104" s="359"/>
    </row>
    <row r="1105" spans="1:27">
      <c r="A1105" s="359"/>
      <c r="B1105" s="359"/>
      <c r="C1105" s="359"/>
      <c r="D1105" s="359"/>
      <c r="E1105" s="359"/>
      <c r="F1105" s="359"/>
      <c r="G1105" s="359"/>
      <c r="H1105" s="359"/>
      <c r="I1105" s="359"/>
      <c r="J1105" s="359"/>
      <c r="K1105" s="359"/>
      <c r="L1105" s="359"/>
      <c r="M1105" s="359"/>
      <c r="N1105" s="359"/>
      <c r="O1105" s="359"/>
      <c r="P1105" s="359"/>
      <c r="Q1105" s="359"/>
      <c r="R1105" s="359"/>
      <c r="S1105" s="359"/>
      <c r="T1105" s="359"/>
      <c r="U1105" s="359"/>
      <c r="V1105" s="359"/>
      <c r="W1105" s="359"/>
      <c r="X1105" s="359"/>
      <c r="Y1105" s="359"/>
      <c r="Z1105" s="359"/>
      <c r="AA1105" s="359"/>
    </row>
    <row r="1106" spans="1:27">
      <c r="A1106" s="359"/>
      <c r="B1106" s="359"/>
      <c r="C1106" s="359"/>
      <c r="D1106" s="359"/>
      <c r="E1106" s="359"/>
      <c r="F1106" s="359"/>
      <c r="G1106" s="359"/>
      <c r="H1106" s="359"/>
      <c r="I1106" s="359"/>
      <c r="J1106" s="359"/>
      <c r="K1106" s="359"/>
      <c r="L1106" s="359"/>
      <c r="M1106" s="359"/>
      <c r="N1106" s="359"/>
      <c r="O1106" s="359"/>
      <c r="P1106" s="359"/>
      <c r="Q1106" s="359"/>
      <c r="R1106" s="359"/>
      <c r="S1106" s="359"/>
      <c r="T1106" s="359"/>
      <c r="U1106" s="359"/>
      <c r="V1106" s="359"/>
      <c r="W1106" s="359"/>
      <c r="X1106" s="359"/>
      <c r="Y1106" s="359"/>
      <c r="Z1106" s="359"/>
      <c r="AA1106" s="359"/>
    </row>
    <row r="1107" spans="1:27">
      <c r="A1107" s="359"/>
      <c r="B1107" s="359"/>
      <c r="C1107" s="359"/>
      <c r="D1107" s="359"/>
      <c r="E1107" s="359"/>
      <c r="F1107" s="359"/>
      <c r="G1107" s="359"/>
      <c r="H1107" s="359"/>
      <c r="I1107" s="359"/>
      <c r="J1107" s="359"/>
      <c r="K1107" s="359"/>
      <c r="L1107" s="359"/>
      <c r="M1107" s="359"/>
      <c r="N1107" s="359"/>
      <c r="O1107" s="359"/>
      <c r="P1107" s="359"/>
      <c r="Q1107" s="359"/>
      <c r="R1107" s="359"/>
      <c r="S1107" s="359"/>
      <c r="T1107" s="359"/>
      <c r="U1107" s="359"/>
      <c r="V1107" s="359"/>
      <c r="W1107" s="359"/>
      <c r="X1107" s="359"/>
      <c r="Y1107" s="359"/>
      <c r="Z1107" s="359"/>
      <c r="AA1107" s="359"/>
    </row>
    <row r="1108" spans="1:27">
      <c r="A1108" s="359"/>
      <c r="B1108" s="359"/>
      <c r="C1108" s="359"/>
      <c r="D1108" s="359"/>
      <c r="E1108" s="359"/>
      <c r="F1108" s="359"/>
      <c r="G1108" s="359"/>
      <c r="H1108" s="359"/>
      <c r="I1108" s="359"/>
      <c r="J1108" s="359"/>
      <c r="K1108" s="359"/>
      <c r="L1108" s="359"/>
      <c r="M1108" s="359"/>
      <c r="N1108" s="359"/>
      <c r="O1108" s="359"/>
      <c r="P1108" s="359"/>
      <c r="Q1108" s="359"/>
      <c r="R1108" s="359"/>
      <c r="S1108" s="359"/>
      <c r="T1108" s="359"/>
      <c r="U1108" s="359"/>
      <c r="V1108" s="359"/>
      <c r="W1108" s="359"/>
      <c r="X1108" s="359"/>
      <c r="Y1108" s="359"/>
      <c r="Z1108" s="359"/>
      <c r="AA1108" s="359"/>
    </row>
    <row r="1109" spans="1:27">
      <c r="A1109" s="359"/>
      <c r="B1109" s="359"/>
      <c r="C1109" s="359"/>
      <c r="D1109" s="359"/>
      <c r="E1109" s="359"/>
      <c r="F1109" s="359"/>
      <c r="G1109" s="359"/>
      <c r="H1109" s="359"/>
      <c r="I1109" s="359"/>
      <c r="J1109" s="359"/>
      <c r="K1109" s="359"/>
      <c r="L1109" s="359"/>
      <c r="M1109" s="359"/>
      <c r="N1109" s="359"/>
      <c r="O1109" s="359"/>
      <c r="P1109" s="359"/>
      <c r="Q1109" s="359"/>
      <c r="R1109" s="359"/>
      <c r="S1109" s="359"/>
      <c r="T1109" s="359"/>
      <c r="U1109" s="359"/>
      <c r="V1109" s="359"/>
      <c r="W1109" s="359"/>
      <c r="X1109" s="359"/>
      <c r="Y1109" s="359"/>
      <c r="Z1109" s="359"/>
      <c r="AA1109" s="359"/>
    </row>
    <row r="1110" spans="1:27">
      <c r="A1110" s="359"/>
      <c r="B1110" s="359"/>
      <c r="C1110" s="359"/>
      <c r="D1110" s="359"/>
      <c r="E1110" s="359"/>
      <c r="F1110" s="359"/>
      <c r="G1110" s="359"/>
      <c r="H1110" s="359"/>
      <c r="I1110" s="359"/>
      <c r="J1110" s="359"/>
      <c r="K1110" s="359"/>
      <c r="L1110" s="359"/>
      <c r="M1110" s="359"/>
      <c r="N1110" s="359"/>
      <c r="O1110" s="359"/>
      <c r="P1110" s="359"/>
      <c r="Q1110" s="359"/>
      <c r="R1110" s="359"/>
      <c r="S1110" s="359"/>
      <c r="T1110" s="359"/>
      <c r="U1110" s="359"/>
      <c r="V1110" s="359"/>
      <c r="W1110" s="359"/>
      <c r="X1110" s="359"/>
      <c r="Y1110" s="359"/>
      <c r="Z1110" s="359"/>
      <c r="AA1110" s="359"/>
    </row>
    <row r="1111" spans="1:27">
      <c r="A1111" s="359"/>
      <c r="B1111" s="359"/>
      <c r="C1111" s="359"/>
      <c r="D1111" s="359"/>
      <c r="E1111" s="359"/>
      <c r="F1111" s="359"/>
      <c r="G1111" s="359"/>
      <c r="H1111" s="359"/>
      <c r="I1111" s="359"/>
      <c r="J1111" s="359"/>
      <c r="K1111" s="359"/>
      <c r="L1111" s="359"/>
      <c r="M1111" s="359"/>
      <c r="N1111" s="359"/>
      <c r="O1111" s="359"/>
      <c r="P1111" s="359"/>
      <c r="Q1111" s="359"/>
      <c r="R1111" s="359"/>
      <c r="S1111" s="359"/>
      <c r="T1111" s="359"/>
      <c r="U1111" s="359"/>
      <c r="V1111" s="359"/>
      <c r="W1111" s="359"/>
      <c r="X1111" s="359"/>
      <c r="Y1111" s="359"/>
      <c r="Z1111" s="359"/>
      <c r="AA1111" s="359"/>
    </row>
    <row r="1112" spans="1:27">
      <c r="A1112" s="359"/>
      <c r="B1112" s="359"/>
      <c r="C1112" s="359"/>
      <c r="D1112" s="359"/>
      <c r="E1112" s="359"/>
      <c r="F1112" s="359"/>
      <c r="G1112" s="359"/>
      <c r="H1112" s="359"/>
      <c r="I1112" s="359"/>
      <c r="J1112" s="359"/>
      <c r="K1112" s="359"/>
      <c r="L1112" s="359"/>
      <c r="M1112" s="359"/>
      <c r="N1112" s="359"/>
      <c r="O1112" s="359"/>
      <c r="P1112" s="359"/>
      <c r="Q1112" s="359"/>
      <c r="R1112" s="359"/>
      <c r="S1112" s="359"/>
      <c r="T1112" s="359"/>
      <c r="U1112" s="359"/>
      <c r="V1112" s="359"/>
      <c r="W1112" s="359"/>
      <c r="X1112" s="359"/>
      <c r="Y1112" s="359"/>
      <c r="Z1112" s="359"/>
      <c r="AA1112" s="359"/>
    </row>
    <row r="1113" spans="1:27">
      <c r="A1113" s="359"/>
      <c r="B1113" s="359"/>
      <c r="C1113" s="359"/>
      <c r="D1113" s="359"/>
      <c r="E1113" s="359"/>
      <c r="F1113" s="359"/>
      <c r="G1113" s="359"/>
      <c r="H1113" s="359"/>
      <c r="I1113" s="359"/>
      <c r="J1113" s="359"/>
      <c r="K1113" s="359"/>
      <c r="L1113" s="359"/>
      <c r="M1113" s="359"/>
      <c r="N1113" s="359"/>
      <c r="O1113" s="359"/>
      <c r="P1113" s="359"/>
      <c r="Q1113" s="359"/>
      <c r="R1113" s="359"/>
      <c r="S1113" s="359"/>
      <c r="T1113" s="359"/>
      <c r="U1113" s="359"/>
      <c r="V1113" s="359"/>
      <c r="W1113" s="359"/>
      <c r="X1113" s="359"/>
      <c r="Y1113" s="359"/>
      <c r="Z1113" s="359"/>
      <c r="AA1113" s="359"/>
    </row>
    <row r="1114" spans="1:27">
      <c r="A1114" s="359"/>
      <c r="B1114" s="359"/>
      <c r="C1114" s="359"/>
      <c r="D1114" s="359"/>
      <c r="E1114" s="359"/>
      <c r="F1114" s="359"/>
      <c r="G1114" s="359"/>
      <c r="H1114" s="359"/>
      <c r="I1114" s="359"/>
      <c r="J1114" s="359"/>
      <c r="K1114" s="359"/>
      <c r="L1114" s="359"/>
      <c r="M1114" s="359"/>
      <c r="N1114" s="359"/>
      <c r="O1114" s="359"/>
      <c r="P1114" s="359"/>
      <c r="Q1114" s="359"/>
      <c r="R1114" s="359"/>
      <c r="S1114" s="359"/>
      <c r="T1114" s="359"/>
      <c r="U1114" s="359"/>
      <c r="V1114" s="359"/>
      <c r="W1114" s="359"/>
      <c r="X1114" s="359"/>
      <c r="Y1114" s="359"/>
      <c r="Z1114" s="359"/>
      <c r="AA1114" s="359"/>
    </row>
    <row r="1115" spans="1:27">
      <c r="A1115" s="359"/>
      <c r="B1115" s="359"/>
      <c r="C1115" s="359"/>
      <c r="D1115" s="359"/>
      <c r="E1115" s="359"/>
      <c r="F1115" s="359"/>
      <c r="G1115" s="359"/>
      <c r="H1115" s="359"/>
      <c r="I1115" s="359"/>
      <c r="J1115" s="359"/>
      <c r="K1115" s="359"/>
      <c r="L1115" s="359"/>
      <c r="M1115" s="359"/>
      <c r="N1115" s="359"/>
      <c r="O1115" s="359"/>
      <c r="P1115" s="359"/>
      <c r="Q1115" s="359"/>
      <c r="R1115" s="359"/>
      <c r="S1115" s="359"/>
      <c r="T1115" s="359"/>
      <c r="U1115" s="359"/>
      <c r="V1115" s="359"/>
      <c r="W1115" s="359"/>
      <c r="X1115" s="359"/>
      <c r="Y1115" s="359"/>
      <c r="Z1115" s="359"/>
      <c r="AA1115" s="359"/>
    </row>
    <row r="1116" spans="1:27">
      <c r="A1116" s="359"/>
      <c r="B1116" s="359"/>
      <c r="C1116" s="359"/>
      <c r="D1116" s="359"/>
      <c r="E1116" s="359"/>
      <c r="F1116" s="359"/>
      <c r="G1116" s="359"/>
      <c r="H1116" s="359"/>
      <c r="I1116" s="359"/>
      <c r="J1116" s="359"/>
      <c r="K1116" s="359"/>
      <c r="L1116" s="359"/>
      <c r="M1116" s="359"/>
      <c r="N1116" s="359"/>
      <c r="O1116" s="359"/>
      <c r="P1116" s="359"/>
      <c r="Q1116" s="359"/>
      <c r="R1116" s="359"/>
      <c r="S1116" s="359"/>
      <c r="T1116" s="359"/>
      <c r="U1116" s="359"/>
      <c r="V1116" s="359"/>
      <c r="W1116" s="359"/>
      <c r="X1116" s="359"/>
      <c r="Y1116" s="359"/>
      <c r="Z1116" s="359"/>
      <c r="AA1116" s="359"/>
    </row>
    <row r="1117" spans="1:27">
      <c r="A1117" s="359"/>
      <c r="B1117" s="359"/>
      <c r="C1117" s="359"/>
      <c r="D1117" s="359"/>
      <c r="E1117" s="359"/>
      <c r="F1117" s="359"/>
      <c r="G1117" s="359"/>
      <c r="H1117" s="359"/>
      <c r="I1117" s="359"/>
      <c r="J1117" s="359"/>
      <c r="K1117" s="359"/>
      <c r="L1117" s="359"/>
      <c r="M1117" s="359"/>
      <c r="N1117" s="359"/>
      <c r="O1117" s="359"/>
      <c r="P1117" s="359"/>
      <c r="Q1117" s="359"/>
      <c r="R1117" s="359"/>
      <c r="S1117" s="359"/>
      <c r="T1117" s="359"/>
      <c r="U1117" s="359"/>
      <c r="V1117" s="359"/>
      <c r="W1117" s="359"/>
      <c r="X1117" s="359"/>
      <c r="Y1117" s="359"/>
      <c r="Z1117" s="359"/>
      <c r="AA1117" s="359"/>
    </row>
    <row r="1118" spans="1:27">
      <c r="A1118" s="359"/>
      <c r="B1118" s="359"/>
      <c r="C1118" s="359"/>
      <c r="D1118" s="359"/>
      <c r="E1118" s="359"/>
      <c r="F1118" s="359"/>
      <c r="G1118" s="359"/>
      <c r="H1118" s="359"/>
      <c r="I1118" s="359"/>
      <c r="J1118" s="359"/>
      <c r="K1118" s="359"/>
      <c r="L1118" s="359"/>
      <c r="M1118" s="359"/>
      <c r="N1118" s="359"/>
      <c r="O1118" s="359"/>
      <c r="P1118" s="359"/>
      <c r="Q1118" s="359"/>
      <c r="R1118" s="359"/>
      <c r="S1118" s="359"/>
      <c r="T1118" s="359"/>
      <c r="U1118" s="359"/>
      <c r="V1118" s="359"/>
      <c r="W1118" s="359"/>
      <c r="X1118" s="359"/>
      <c r="Y1118" s="359"/>
      <c r="Z1118" s="359"/>
      <c r="AA1118" s="359"/>
    </row>
    <row r="1119" spans="1:27">
      <c r="A1119" s="359"/>
      <c r="B1119" s="359"/>
      <c r="C1119" s="359"/>
      <c r="D1119" s="359"/>
      <c r="E1119" s="359"/>
      <c r="F1119" s="359"/>
      <c r="G1119" s="359"/>
      <c r="H1119" s="359"/>
      <c r="I1119" s="359"/>
      <c r="J1119" s="359"/>
      <c r="K1119" s="359"/>
      <c r="L1119" s="359"/>
      <c r="M1119" s="359"/>
      <c r="N1119" s="359"/>
      <c r="O1119" s="359"/>
      <c r="P1119" s="359"/>
      <c r="Q1119" s="359"/>
      <c r="R1119" s="359"/>
      <c r="S1119" s="359"/>
      <c r="T1119" s="359"/>
      <c r="U1119" s="359"/>
      <c r="V1119" s="359"/>
      <c r="W1119" s="359"/>
      <c r="X1119" s="359"/>
      <c r="Y1119" s="359"/>
      <c r="Z1119" s="359"/>
      <c r="AA1119" s="359"/>
    </row>
    <row r="1120" spans="1:27">
      <c r="A1120" s="359"/>
      <c r="B1120" s="359"/>
      <c r="C1120" s="359"/>
      <c r="D1120" s="359"/>
      <c r="E1120" s="359"/>
      <c r="F1120" s="359"/>
      <c r="G1120" s="359"/>
      <c r="H1120" s="359"/>
      <c r="I1120" s="359"/>
      <c r="J1120" s="359"/>
      <c r="K1120" s="359"/>
      <c r="L1120" s="359"/>
      <c r="M1120" s="359"/>
      <c r="N1120" s="359"/>
      <c r="O1120" s="359"/>
      <c r="P1120" s="359"/>
      <c r="Q1120" s="359"/>
      <c r="R1120" s="359"/>
      <c r="S1120" s="359"/>
      <c r="T1120" s="359"/>
      <c r="U1120" s="359"/>
      <c r="V1120" s="359"/>
      <c r="W1120" s="359"/>
      <c r="X1120" s="359"/>
      <c r="Y1120" s="359"/>
      <c r="Z1120" s="359"/>
      <c r="AA1120" s="359"/>
    </row>
    <row r="1121" spans="1:27">
      <c r="A1121" s="359"/>
      <c r="B1121" s="359"/>
      <c r="C1121" s="359"/>
      <c r="D1121" s="359"/>
      <c r="E1121" s="359"/>
      <c r="F1121" s="359"/>
      <c r="G1121" s="359"/>
      <c r="H1121" s="359"/>
      <c r="I1121" s="359"/>
      <c r="J1121" s="359"/>
      <c r="K1121" s="359"/>
      <c r="L1121" s="359"/>
      <c r="M1121" s="359"/>
      <c r="N1121" s="359"/>
      <c r="O1121" s="359"/>
      <c r="P1121" s="359"/>
      <c r="Q1121" s="359"/>
      <c r="R1121" s="359"/>
      <c r="S1121" s="359"/>
      <c r="T1121" s="359"/>
      <c r="U1121" s="359"/>
      <c r="V1121" s="359"/>
      <c r="W1121" s="359"/>
      <c r="X1121" s="359"/>
      <c r="Y1121" s="359"/>
      <c r="Z1121" s="359"/>
      <c r="AA1121" s="359"/>
    </row>
    <row r="1122" spans="1:27">
      <c r="A1122" s="359"/>
      <c r="B1122" s="359"/>
      <c r="C1122" s="359"/>
      <c r="D1122" s="359"/>
      <c r="E1122" s="359"/>
      <c r="F1122" s="359"/>
      <c r="G1122" s="359"/>
      <c r="H1122" s="359"/>
      <c r="I1122" s="359"/>
      <c r="J1122" s="359"/>
      <c r="K1122" s="359"/>
      <c r="L1122" s="359"/>
      <c r="M1122" s="359"/>
      <c r="N1122" s="359"/>
      <c r="O1122" s="359"/>
      <c r="P1122" s="359"/>
      <c r="Q1122" s="359"/>
      <c r="R1122" s="359"/>
      <c r="S1122" s="359"/>
      <c r="T1122" s="359"/>
      <c r="U1122" s="359"/>
      <c r="V1122" s="359"/>
      <c r="W1122" s="359"/>
      <c r="X1122" s="359"/>
      <c r="Y1122" s="359"/>
      <c r="Z1122" s="359"/>
      <c r="AA1122" s="359"/>
    </row>
    <row r="1123" spans="1:27">
      <c r="A1123" s="359"/>
      <c r="B1123" s="359"/>
      <c r="C1123" s="359"/>
      <c r="D1123" s="359"/>
      <c r="E1123" s="359"/>
      <c r="F1123" s="359"/>
      <c r="G1123" s="359"/>
      <c r="H1123" s="359"/>
      <c r="I1123" s="359"/>
      <c r="J1123" s="359"/>
      <c r="K1123" s="359"/>
      <c r="L1123" s="359"/>
      <c r="M1123" s="359"/>
      <c r="N1123" s="359"/>
      <c r="O1123" s="359"/>
      <c r="P1123" s="359"/>
      <c r="Q1123" s="359"/>
      <c r="R1123" s="359"/>
      <c r="S1123" s="359"/>
      <c r="T1123" s="359"/>
      <c r="U1123" s="359"/>
      <c r="V1123" s="359"/>
      <c r="W1123" s="359"/>
      <c r="X1123" s="359"/>
      <c r="Y1123" s="359"/>
      <c r="Z1123" s="359"/>
      <c r="AA1123" s="359"/>
    </row>
    <row r="1124" spans="1:27">
      <c r="A1124" s="359"/>
      <c r="B1124" s="359"/>
      <c r="C1124" s="359"/>
      <c r="D1124" s="359"/>
      <c r="E1124" s="359"/>
      <c r="F1124" s="359"/>
      <c r="G1124" s="359"/>
      <c r="H1124" s="359"/>
      <c r="I1124" s="359"/>
      <c r="J1124" s="359"/>
      <c r="K1124" s="359"/>
      <c r="L1124" s="359"/>
      <c r="M1124" s="359"/>
      <c r="N1124" s="359"/>
      <c r="O1124" s="359"/>
      <c r="P1124" s="359"/>
      <c r="Q1124" s="359"/>
      <c r="R1124" s="359"/>
      <c r="S1124" s="359"/>
      <c r="T1124" s="359"/>
      <c r="U1124" s="359"/>
      <c r="V1124" s="359"/>
      <c r="W1124" s="359"/>
      <c r="X1124" s="359"/>
      <c r="Y1124" s="359"/>
      <c r="Z1124" s="359"/>
      <c r="AA1124" s="359"/>
    </row>
    <row r="1125" spans="1:27">
      <c r="A1125" s="359"/>
      <c r="B1125" s="359"/>
      <c r="C1125" s="359"/>
      <c r="D1125" s="359"/>
      <c r="E1125" s="359"/>
      <c r="F1125" s="359"/>
      <c r="G1125" s="359"/>
      <c r="H1125" s="359"/>
      <c r="I1125" s="359"/>
      <c r="J1125" s="359"/>
      <c r="K1125" s="359"/>
      <c r="L1125" s="359"/>
      <c r="M1125" s="359"/>
      <c r="N1125" s="359"/>
      <c r="O1125" s="359"/>
      <c r="P1125" s="359"/>
      <c r="Q1125" s="359"/>
      <c r="R1125" s="359"/>
      <c r="S1125" s="359"/>
      <c r="T1125" s="359"/>
      <c r="U1125" s="359"/>
      <c r="V1125" s="359"/>
      <c r="W1125" s="359"/>
      <c r="X1125" s="359"/>
      <c r="Y1125" s="359"/>
      <c r="Z1125" s="359"/>
      <c r="AA1125" s="359"/>
    </row>
    <row r="1126" spans="1:27">
      <c r="A1126" s="359"/>
      <c r="B1126" s="359"/>
      <c r="C1126" s="359"/>
      <c r="D1126" s="359"/>
      <c r="E1126" s="359"/>
      <c r="F1126" s="359"/>
      <c r="G1126" s="359"/>
      <c r="H1126" s="359"/>
      <c r="I1126" s="359"/>
      <c r="J1126" s="359"/>
      <c r="K1126" s="359"/>
      <c r="L1126" s="359"/>
      <c r="M1126" s="359"/>
      <c r="N1126" s="359"/>
      <c r="O1126" s="359"/>
      <c r="P1126" s="359"/>
      <c r="Q1126" s="359"/>
      <c r="R1126" s="359"/>
      <c r="S1126" s="359"/>
      <c r="T1126" s="359"/>
      <c r="U1126" s="359"/>
      <c r="V1126" s="359"/>
      <c r="W1126" s="359"/>
      <c r="X1126" s="359"/>
      <c r="Y1126" s="359"/>
      <c r="Z1126" s="359"/>
      <c r="AA1126" s="359"/>
    </row>
    <row r="1127" spans="1:27">
      <c r="A1127" s="359"/>
      <c r="B1127" s="359"/>
      <c r="C1127" s="359"/>
      <c r="D1127" s="359"/>
      <c r="E1127" s="359"/>
      <c r="F1127" s="359"/>
      <c r="G1127" s="359"/>
      <c r="H1127" s="359"/>
      <c r="I1127" s="359"/>
      <c r="J1127" s="359"/>
      <c r="K1127" s="359"/>
      <c r="L1127" s="359"/>
      <c r="M1127" s="359"/>
      <c r="N1127" s="359"/>
      <c r="O1127" s="359"/>
      <c r="P1127" s="359"/>
      <c r="Q1127" s="359"/>
      <c r="R1127" s="359"/>
      <c r="S1127" s="359"/>
      <c r="T1127" s="359"/>
      <c r="U1127" s="359"/>
      <c r="V1127" s="359"/>
      <c r="W1127" s="359"/>
      <c r="X1127" s="359"/>
      <c r="Y1127" s="359"/>
      <c r="Z1127" s="359"/>
      <c r="AA1127" s="359"/>
    </row>
    <row r="1128" spans="1:27">
      <c r="A1128" s="359"/>
      <c r="B1128" s="359"/>
      <c r="C1128" s="359"/>
      <c r="D1128" s="359"/>
      <c r="E1128" s="359"/>
      <c r="F1128" s="359"/>
      <c r="G1128" s="359"/>
      <c r="H1128" s="359"/>
      <c r="I1128" s="359"/>
      <c r="J1128" s="359"/>
      <c r="K1128" s="359"/>
      <c r="L1128" s="359"/>
      <c r="M1128" s="359"/>
      <c r="N1128" s="359"/>
      <c r="O1128" s="359"/>
      <c r="P1128" s="359"/>
      <c r="Q1128" s="359"/>
      <c r="R1128" s="359"/>
      <c r="S1128" s="359"/>
      <c r="T1128" s="359"/>
      <c r="U1128" s="359"/>
      <c r="V1128" s="359"/>
      <c r="W1128" s="359"/>
      <c r="X1128" s="359"/>
      <c r="Y1128" s="359"/>
      <c r="Z1128" s="359"/>
      <c r="AA1128" s="359"/>
    </row>
    <row r="1129" spans="1:27">
      <c r="A1129" s="359"/>
      <c r="B1129" s="359"/>
      <c r="C1129" s="359"/>
      <c r="D1129" s="359"/>
      <c r="E1129" s="359"/>
      <c r="F1129" s="359"/>
      <c r="G1129" s="359"/>
      <c r="H1129" s="359"/>
      <c r="I1129" s="359"/>
      <c r="J1129" s="359"/>
      <c r="K1129" s="359"/>
      <c r="L1129" s="359"/>
      <c r="M1129" s="359"/>
      <c r="N1129" s="359"/>
      <c r="O1129" s="359"/>
      <c r="P1129" s="359"/>
      <c r="Q1129" s="359"/>
      <c r="R1129" s="359"/>
      <c r="S1129" s="359"/>
      <c r="T1129" s="359"/>
      <c r="U1129" s="359"/>
      <c r="V1129" s="359"/>
      <c r="W1129" s="359"/>
      <c r="X1129" s="359"/>
      <c r="Y1129" s="359"/>
      <c r="Z1129" s="359"/>
      <c r="AA1129" s="359"/>
    </row>
    <row r="1130" spans="1:27">
      <c r="A1130" s="359"/>
      <c r="B1130" s="359"/>
      <c r="C1130" s="359"/>
      <c r="D1130" s="359"/>
      <c r="E1130" s="359"/>
      <c r="F1130" s="359"/>
      <c r="G1130" s="359"/>
      <c r="H1130" s="359"/>
      <c r="I1130" s="359"/>
      <c r="J1130" s="359"/>
      <c r="K1130" s="359"/>
      <c r="L1130" s="359"/>
      <c r="M1130" s="359"/>
      <c r="N1130" s="359"/>
      <c r="O1130" s="359"/>
      <c r="P1130" s="359"/>
      <c r="Q1130" s="359"/>
      <c r="R1130" s="359"/>
      <c r="S1130" s="359"/>
      <c r="T1130" s="359"/>
      <c r="U1130" s="359"/>
      <c r="V1130" s="359"/>
      <c r="W1130" s="359"/>
      <c r="X1130" s="359"/>
      <c r="Y1130" s="359"/>
      <c r="Z1130" s="359"/>
      <c r="AA1130" s="359"/>
    </row>
    <row r="1131" spans="1:27">
      <c r="A1131" s="359"/>
      <c r="B1131" s="359"/>
      <c r="C1131" s="359"/>
      <c r="D1131" s="359"/>
      <c r="E1131" s="359"/>
      <c r="F1131" s="359"/>
      <c r="G1131" s="359"/>
      <c r="H1131" s="359"/>
      <c r="I1131" s="359"/>
      <c r="J1131" s="359"/>
      <c r="K1131" s="359"/>
      <c r="L1131" s="359"/>
      <c r="M1131" s="359"/>
      <c r="N1131" s="359"/>
      <c r="O1131" s="359"/>
      <c r="P1131" s="359"/>
      <c r="Q1131" s="359"/>
      <c r="R1131" s="359"/>
      <c r="S1131" s="359"/>
      <c r="T1131" s="359"/>
      <c r="U1131" s="359"/>
      <c r="V1131" s="359"/>
      <c r="W1131" s="359"/>
      <c r="X1131" s="359"/>
      <c r="Y1131" s="359"/>
      <c r="Z1131" s="359"/>
      <c r="AA1131" s="359"/>
    </row>
    <row r="1132" spans="1:27">
      <c r="A1132" s="359"/>
      <c r="B1132" s="359"/>
      <c r="C1132" s="359"/>
      <c r="D1132" s="359"/>
      <c r="E1132" s="359"/>
      <c r="F1132" s="359"/>
      <c r="G1132" s="359"/>
      <c r="H1132" s="359"/>
      <c r="I1132" s="359"/>
      <c r="J1132" s="359"/>
      <c r="K1132" s="359"/>
      <c r="L1132" s="359"/>
      <c r="M1132" s="359"/>
      <c r="N1132" s="359"/>
      <c r="O1132" s="359"/>
      <c r="P1132" s="359"/>
      <c r="Q1132" s="359"/>
      <c r="R1132" s="359"/>
      <c r="S1132" s="359"/>
      <c r="T1132" s="359"/>
      <c r="U1132" s="359"/>
      <c r="V1132" s="359"/>
      <c r="W1132" s="359"/>
      <c r="X1132" s="359"/>
      <c r="Y1132" s="359"/>
      <c r="Z1132" s="359"/>
      <c r="AA1132" s="359"/>
    </row>
    <row r="1133" spans="1:27">
      <c r="A1133" s="359"/>
      <c r="B1133" s="359"/>
      <c r="C1133" s="359"/>
      <c r="D1133" s="359"/>
      <c r="E1133" s="359"/>
      <c r="F1133" s="359"/>
      <c r="G1133" s="359"/>
      <c r="H1133" s="359"/>
      <c r="I1133" s="359"/>
      <c r="J1133" s="359"/>
      <c r="K1133" s="359"/>
      <c r="L1133" s="359"/>
      <c r="M1133" s="359"/>
      <c r="N1133" s="359"/>
      <c r="O1133" s="359"/>
      <c r="P1133" s="359"/>
      <c r="Q1133" s="359"/>
      <c r="R1133" s="359"/>
      <c r="S1133" s="359"/>
      <c r="T1133" s="359"/>
      <c r="U1133" s="359"/>
      <c r="V1133" s="359"/>
      <c r="W1133" s="359"/>
      <c r="X1133" s="359"/>
      <c r="Y1133" s="359"/>
      <c r="Z1133" s="359"/>
      <c r="AA1133" s="359"/>
    </row>
    <row r="1134" spans="1:27">
      <c r="A1134" s="359"/>
      <c r="B1134" s="359"/>
      <c r="C1134" s="359"/>
      <c r="D1134" s="359"/>
      <c r="E1134" s="359"/>
      <c r="F1134" s="359"/>
      <c r="G1134" s="359"/>
      <c r="H1134" s="359"/>
      <c r="I1134" s="359"/>
      <c r="J1134" s="359"/>
      <c r="K1134" s="359"/>
      <c r="L1134" s="359"/>
      <c r="M1134" s="359"/>
      <c r="N1134" s="359"/>
      <c r="O1134" s="359"/>
      <c r="P1134" s="359"/>
      <c r="Q1134" s="359"/>
      <c r="R1134" s="359"/>
      <c r="S1134" s="359"/>
      <c r="T1134" s="359"/>
      <c r="U1134" s="359"/>
      <c r="V1134" s="359"/>
      <c r="W1134" s="359"/>
      <c r="X1134" s="359"/>
      <c r="Y1134" s="359"/>
      <c r="Z1134" s="359"/>
      <c r="AA1134" s="359"/>
    </row>
    <row r="1135" spans="1:27">
      <c r="A1135" s="359"/>
      <c r="B1135" s="359"/>
      <c r="C1135" s="359"/>
      <c r="D1135" s="359"/>
      <c r="E1135" s="359"/>
      <c r="F1135" s="359"/>
      <c r="G1135" s="359"/>
      <c r="H1135" s="359"/>
      <c r="I1135" s="359"/>
      <c r="J1135" s="359"/>
      <c r="K1135" s="359"/>
      <c r="L1135" s="359"/>
      <c r="M1135" s="359"/>
      <c r="N1135" s="359"/>
      <c r="O1135" s="359"/>
      <c r="P1135" s="359"/>
      <c r="Q1135" s="359"/>
      <c r="R1135" s="359"/>
      <c r="S1135" s="359"/>
      <c r="T1135" s="359"/>
      <c r="U1135" s="359"/>
      <c r="V1135" s="359"/>
      <c r="W1135" s="359"/>
      <c r="X1135" s="359"/>
      <c r="Y1135" s="359"/>
      <c r="Z1135" s="359"/>
      <c r="AA1135" s="359"/>
    </row>
    <row r="1136" spans="1:27">
      <c r="A1136" s="359"/>
      <c r="B1136" s="359"/>
      <c r="C1136" s="359"/>
      <c r="D1136" s="359"/>
      <c r="E1136" s="359"/>
      <c r="F1136" s="359"/>
      <c r="G1136" s="359"/>
      <c r="H1136" s="359"/>
      <c r="I1136" s="359"/>
      <c r="J1136" s="359"/>
      <c r="K1136" s="359"/>
      <c r="L1136" s="359"/>
      <c r="M1136" s="359"/>
      <c r="N1136" s="359"/>
      <c r="O1136" s="359"/>
      <c r="P1136" s="359"/>
      <c r="Q1136" s="359"/>
      <c r="R1136" s="359"/>
      <c r="S1136" s="359"/>
      <c r="T1136" s="359"/>
      <c r="U1136" s="359"/>
      <c r="V1136" s="359"/>
      <c r="W1136" s="359"/>
      <c r="X1136" s="359"/>
      <c r="Y1136" s="359"/>
      <c r="Z1136" s="359"/>
      <c r="AA1136" s="359"/>
    </row>
    <row r="1137" spans="1:27">
      <c r="A1137" s="359"/>
      <c r="B1137" s="359"/>
      <c r="C1137" s="359"/>
      <c r="D1137" s="359"/>
      <c r="E1137" s="359"/>
      <c r="F1137" s="359"/>
      <c r="G1137" s="359"/>
      <c r="H1137" s="359"/>
      <c r="I1137" s="359"/>
      <c r="J1137" s="359"/>
      <c r="K1137" s="359"/>
      <c r="L1137" s="359"/>
      <c r="M1137" s="359"/>
      <c r="N1137" s="359"/>
      <c r="O1137" s="359"/>
      <c r="P1137" s="359"/>
      <c r="Q1137" s="359"/>
      <c r="R1137" s="359"/>
      <c r="S1137" s="359"/>
      <c r="T1137" s="359"/>
      <c r="U1137" s="359"/>
      <c r="V1137" s="359"/>
      <c r="W1137" s="359"/>
      <c r="X1137" s="359"/>
      <c r="Y1137" s="359"/>
      <c r="Z1137" s="359"/>
      <c r="AA1137" s="359"/>
    </row>
    <row r="1138" spans="1:27">
      <c r="A1138" s="359"/>
      <c r="B1138" s="359"/>
      <c r="C1138" s="359"/>
      <c r="D1138" s="359"/>
      <c r="E1138" s="359"/>
      <c r="F1138" s="359"/>
      <c r="G1138" s="359"/>
      <c r="H1138" s="359"/>
      <c r="I1138" s="359"/>
      <c r="J1138" s="359"/>
      <c r="K1138" s="359"/>
      <c r="L1138" s="359"/>
      <c r="M1138" s="359"/>
      <c r="N1138" s="359"/>
      <c r="O1138" s="359"/>
      <c r="P1138" s="359"/>
      <c r="Q1138" s="359"/>
      <c r="R1138" s="359"/>
      <c r="S1138" s="359"/>
      <c r="T1138" s="359"/>
      <c r="U1138" s="359"/>
      <c r="V1138" s="359"/>
      <c r="W1138" s="359"/>
      <c r="X1138" s="359"/>
      <c r="Y1138" s="359"/>
      <c r="Z1138" s="359"/>
      <c r="AA1138" s="359"/>
    </row>
    <row r="1139" spans="1:27">
      <c r="A1139" s="359"/>
      <c r="B1139" s="359"/>
      <c r="C1139" s="359"/>
      <c r="D1139" s="359"/>
      <c r="E1139" s="359"/>
      <c r="F1139" s="359"/>
      <c r="G1139" s="359"/>
      <c r="H1139" s="359"/>
      <c r="I1139" s="359"/>
      <c r="J1139" s="359"/>
      <c r="K1139" s="359"/>
      <c r="L1139" s="359"/>
      <c r="M1139" s="359"/>
      <c r="N1139" s="359"/>
      <c r="O1139" s="359"/>
      <c r="P1139" s="359"/>
      <c r="Q1139" s="359"/>
      <c r="R1139" s="359"/>
      <c r="S1139" s="359"/>
      <c r="T1139" s="359"/>
      <c r="U1139" s="359"/>
      <c r="V1139" s="359"/>
      <c r="W1139" s="359"/>
      <c r="X1139" s="359"/>
      <c r="Y1139" s="359"/>
      <c r="Z1139" s="359"/>
      <c r="AA1139" s="359"/>
    </row>
    <row r="1140" spans="1:27">
      <c r="A1140" s="359"/>
      <c r="B1140" s="359"/>
      <c r="C1140" s="359"/>
      <c r="D1140" s="359"/>
      <c r="E1140" s="359"/>
      <c r="F1140" s="359"/>
      <c r="G1140" s="359"/>
      <c r="H1140" s="359"/>
      <c r="I1140" s="359"/>
      <c r="J1140" s="359"/>
      <c r="K1140" s="359"/>
      <c r="L1140" s="359"/>
      <c r="M1140" s="359"/>
      <c r="N1140" s="359"/>
      <c r="O1140" s="359"/>
      <c r="P1140" s="359"/>
      <c r="Q1140" s="359"/>
      <c r="R1140" s="359"/>
      <c r="S1140" s="359"/>
      <c r="T1140" s="359"/>
      <c r="U1140" s="359"/>
      <c r="V1140" s="359"/>
      <c r="W1140" s="359"/>
      <c r="X1140" s="359"/>
      <c r="Y1140" s="359"/>
      <c r="Z1140" s="359"/>
      <c r="AA1140" s="359"/>
    </row>
    <row r="1141" spans="1:27">
      <c r="A1141" s="359"/>
      <c r="B1141" s="359"/>
      <c r="C1141" s="359"/>
      <c r="D1141" s="359"/>
      <c r="E1141" s="359"/>
      <c r="F1141" s="359"/>
      <c r="G1141" s="359"/>
      <c r="H1141" s="359"/>
      <c r="I1141" s="359"/>
      <c r="J1141" s="359"/>
      <c r="K1141" s="359"/>
      <c r="L1141" s="359"/>
      <c r="M1141" s="359"/>
      <c r="N1141" s="359"/>
      <c r="O1141" s="359"/>
      <c r="P1141" s="359"/>
      <c r="Q1141" s="359"/>
      <c r="R1141" s="359"/>
      <c r="S1141" s="359"/>
      <c r="T1141" s="359"/>
      <c r="U1141" s="359"/>
      <c r="V1141" s="359"/>
      <c r="W1141" s="359"/>
      <c r="X1141" s="359"/>
      <c r="Y1141" s="359"/>
      <c r="Z1141" s="359"/>
      <c r="AA1141" s="359"/>
    </row>
    <row r="1142" spans="1:27">
      <c r="A1142" s="359"/>
      <c r="B1142" s="359"/>
      <c r="C1142" s="359"/>
      <c r="D1142" s="359"/>
      <c r="E1142" s="359"/>
      <c r="F1142" s="359"/>
      <c r="G1142" s="359"/>
      <c r="H1142" s="359"/>
      <c r="I1142" s="359"/>
      <c r="J1142" s="359"/>
      <c r="K1142" s="359"/>
      <c r="L1142" s="359"/>
      <c r="M1142" s="359"/>
      <c r="N1142" s="359"/>
      <c r="O1142" s="359"/>
      <c r="P1142" s="359"/>
      <c r="Q1142" s="359"/>
      <c r="R1142" s="359"/>
      <c r="S1142" s="359"/>
      <c r="T1142" s="359"/>
      <c r="U1142" s="359"/>
      <c r="V1142" s="359"/>
      <c r="W1142" s="359"/>
      <c r="X1142" s="359"/>
      <c r="Y1142" s="359"/>
      <c r="Z1142" s="359"/>
      <c r="AA1142" s="359"/>
    </row>
    <row r="1143" spans="1:27">
      <c r="A1143" s="359"/>
      <c r="B1143" s="359"/>
      <c r="C1143" s="359"/>
      <c r="D1143" s="359"/>
      <c r="E1143" s="359"/>
      <c r="F1143" s="359"/>
      <c r="G1143" s="359"/>
      <c r="H1143" s="359"/>
      <c r="I1143" s="359"/>
      <c r="J1143" s="359"/>
      <c r="K1143" s="359"/>
      <c r="L1143" s="359"/>
      <c r="M1143" s="359"/>
      <c r="N1143" s="359"/>
      <c r="O1143" s="359"/>
      <c r="P1143" s="359"/>
      <c r="Q1143" s="359"/>
      <c r="R1143" s="359"/>
      <c r="S1143" s="359"/>
      <c r="T1143" s="359"/>
      <c r="U1143" s="359"/>
      <c r="V1143" s="359"/>
      <c r="W1143" s="359"/>
      <c r="X1143" s="359"/>
      <c r="Y1143" s="359"/>
      <c r="Z1143" s="359"/>
      <c r="AA1143" s="359"/>
    </row>
    <row r="1144" spans="1:27">
      <c r="A1144" s="359"/>
      <c r="B1144" s="359"/>
      <c r="C1144" s="359"/>
      <c r="D1144" s="359"/>
      <c r="E1144" s="359"/>
      <c r="F1144" s="359"/>
      <c r="G1144" s="359"/>
      <c r="H1144" s="359"/>
      <c r="I1144" s="359"/>
      <c r="J1144" s="359"/>
      <c r="K1144" s="359"/>
      <c r="L1144" s="359"/>
      <c r="M1144" s="359"/>
      <c r="N1144" s="359"/>
      <c r="O1144" s="359"/>
      <c r="P1144" s="359"/>
      <c r="Q1144" s="359"/>
      <c r="R1144" s="359"/>
      <c r="S1144" s="359"/>
      <c r="T1144" s="359"/>
      <c r="U1144" s="359"/>
      <c r="V1144" s="359"/>
      <c r="W1144" s="359"/>
      <c r="X1144" s="359"/>
      <c r="Y1144" s="359"/>
      <c r="Z1144" s="359"/>
      <c r="AA1144" s="359"/>
    </row>
    <row r="1145" spans="1:27">
      <c r="A1145" s="359"/>
      <c r="B1145" s="359"/>
      <c r="C1145" s="359"/>
      <c r="D1145" s="359"/>
      <c r="E1145" s="359"/>
      <c r="F1145" s="359"/>
      <c r="G1145" s="359"/>
      <c r="H1145" s="359"/>
      <c r="I1145" s="359"/>
      <c r="J1145" s="359"/>
      <c r="K1145" s="359"/>
      <c r="L1145" s="359"/>
      <c r="M1145" s="359"/>
      <c r="N1145" s="359"/>
      <c r="O1145" s="359"/>
      <c r="P1145" s="359"/>
      <c r="Q1145" s="359"/>
      <c r="R1145" s="359"/>
      <c r="S1145" s="359"/>
      <c r="T1145" s="359"/>
      <c r="U1145" s="359"/>
      <c r="V1145" s="359"/>
      <c r="W1145" s="359"/>
      <c r="X1145" s="359"/>
      <c r="Y1145" s="359"/>
      <c r="Z1145" s="359"/>
      <c r="AA1145" s="359"/>
    </row>
    <row r="1146" spans="1:27">
      <c r="A1146" s="359"/>
      <c r="B1146" s="359"/>
      <c r="C1146" s="359"/>
      <c r="D1146" s="359"/>
      <c r="E1146" s="359"/>
      <c r="F1146" s="359"/>
      <c r="G1146" s="359"/>
      <c r="H1146" s="359"/>
      <c r="I1146" s="359"/>
      <c r="J1146" s="359"/>
      <c r="K1146" s="359"/>
      <c r="L1146" s="359"/>
      <c r="M1146" s="359"/>
      <c r="N1146" s="359"/>
      <c r="O1146" s="359"/>
      <c r="P1146" s="359"/>
      <c r="Q1146" s="359"/>
      <c r="R1146" s="359"/>
      <c r="S1146" s="359"/>
      <c r="T1146" s="359"/>
      <c r="U1146" s="359"/>
      <c r="V1146" s="359"/>
      <c r="W1146" s="359"/>
      <c r="X1146" s="359"/>
      <c r="Y1146" s="359"/>
      <c r="Z1146" s="359"/>
      <c r="AA1146" s="359"/>
    </row>
    <row r="1147" spans="1:27">
      <c r="A1147" s="359"/>
      <c r="B1147" s="359"/>
      <c r="C1147" s="359"/>
      <c r="D1147" s="359"/>
      <c r="E1147" s="359"/>
      <c r="F1147" s="359"/>
      <c r="G1147" s="359"/>
      <c r="H1147" s="359"/>
      <c r="I1147" s="359"/>
      <c r="J1147" s="359"/>
      <c r="K1147" s="359"/>
      <c r="L1147" s="359"/>
      <c r="M1147" s="359"/>
      <c r="N1147" s="359"/>
      <c r="O1147" s="359"/>
      <c r="P1147" s="359"/>
      <c r="Q1147" s="359"/>
      <c r="R1147" s="359"/>
      <c r="S1147" s="359"/>
      <c r="T1147" s="359"/>
      <c r="U1147" s="359"/>
      <c r="V1147" s="359"/>
      <c r="W1147" s="359"/>
      <c r="X1147" s="359"/>
      <c r="Y1147" s="359"/>
      <c r="Z1147" s="359"/>
      <c r="AA1147" s="359"/>
    </row>
    <row r="1148" spans="1:27">
      <c r="A1148" s="359"/>
      <c r="B1148" s="359"/>
      <c r="C1148" s="359"/>
      <c r="D1148" s="359"/>
      <c r="E1148" s="359"/>
      <c r="F1148" s="359"/>
      <c r="G1148" s="359"/>
      <c r="H1148" s="359"/>
      <c r="I1148" s="359"/>
      <c r="J1148" s="359"/>
      <c r="K1148" s="359"/>
      <c r="L1148" s="359"/>
      <c r="M1148" s="359"/>
      <c r="N1148" s="359"/>
      <c r="O1148" s="359"/>
      <c r="P1148" s="359"/>
      <c r="Q1148" s="359"/>
      <c r="R1148" s="359"/>
      <c r="S1148" s="359"/>
      <c r="T1148" s="359"/>
      <c r="U1148" s="359"/>
      <c r="V1148" s="359"/>
      <c r="W1148" s="359"/>
      <c r="X1148" s="359"/>
      <c r="Y1148" s="359"/>
      <c r="Z1148" s="359"/>
      <c r="AA1148" s="359"/>
    </row>
    <row r="1149" spans="1:27">
      <c r="A1149" s="359"/>
      <c r="B1149" s="359"/>
      <c r="C1149" s="359"/>
      <c r="D1149" s="359"/>
      <c r="E1149" s="359"/>
      <c r="F1149" s="359"/>
      <c r="G1149" s="359"/>
      <c r="H1149" s="359"/>
      <c r="I1149" s="359"/>
      <c r="J1149" s="359"/>
      <c r="K1149" s="359"/>
      <c r="L1149" s="359"/>
      <c r="M1149" s="359"/>
      <c r="N1149" s="359"/>
      <c r="O1149" s="359"/>
      <c r="P1149" s="359"/>
      <c r="Q1149" s="359"/>
      <c r="R1149" s="359"/>
      <c r="S1149" s="359"/>
      <c r="T1149" s="359"/>
      <c r="U1149" s="359"/>
      <c r="V1149" s="359"/>
      <c r="W1149" s="359"/>
      <c r="X1149" s="359"/>
      <c r="Y1149" s="359"/>
      <c r="Z1149" s="359"/>
      <c r="AA1149" s="359"/>
    </row>
    <row r="1150" spans="1:27">
      <c r="A1150" s="359"/>
      <c r="B1150" s="359"/>
      <c r="C1150" s="359"/>
      <c r="D1150" s="359"/>
      <c r="E1150" s="359"/>
      <c r="F1150" s="359"/>
      <c r="G1150" s="359"/>
      <c r="H1150" s="359"/>
      <c r="I1150" s="359"/>
      <c r="J1150" s="359"/>
      <c r="K1150" s="359"/>
      <c r="L1150" s="359"/>
      <c r="M1150" s="359"/>
      <c r="N1150" s="359"/>
      <c r="O1150" s="359"/>
      <c r="P1150" s="359"/>
      <c r="Q1150" s="359"/>
      <c r="R1150" s="359"/>
      <c r="S1150" s="359"/>
      <c r="T1150" s="359"/>
      <c r="U1150" s="359"/>
      <c r="V1150" s="359"/>
      <c r="W1150" s="359"/>
      <c r="X1150" s="359"/>
      <c r="Y1150" s="359"/>
      <c r="Z1150" s="359"/>
      <c r="AA1150" s="359"/>
    </row>
    <row r="1151" spans="1:27">
      <c r="A1151" s="359"/>
      <c r="B1151" s="359"/>
      <c r="C1151" s="359"/>
      <c r="D1151" s="359"/>
      <c r="E1151" s="359"/>
      <c r="F1151" s="359"/>
      <c r="G1151" s="359"/>
      <c r="H1151" s="359"/>
      <c r="I1151" s="359"/>
      <c r="J1151" s="359"/>
      <c r="K1151" s="359"/>
      <c r="L1151" s="359"/>
      <c r="M1151" s="359"/>
      <c r="N1151" s="359"/>
      <c r="O1151" s="359"/>
      <c r="P1151" s="359"/>
      <c r="Q1151" s="359"/>
      <c r="R1151" s="359"/>
      <c r="S1151" s="359"/>
      <c r="T1151" s="359"/>
      <c r="U1151" s="359"/>
      <c r="V1151" s="359"/>
      <c r="W1151" s="359"/>
      <c r="X1151" s="359"/>
      <c r="Y1151" s="359"/>
      <c r="Z1151" s="359"/>
      <c r="AA1151" s="359"/>
    </row>
    <row r="1152" spans="1:27">
      <c r="A1152" s="359"/>
      <c r="B1152" s="359"/>
      <c r="C1152" s="359"/>
      <c r="D1152" s="359"/>
      <c r="E1152" s="359"/>
      <c r="F1152" s="359"/>
      <c r="G1152" s="359"/>
      <c r="H1152" s="359"/>
      <c r="I1152" s="359"/>
      <c r="J1152" s="359"/>
      <c r="K1152" s="359"/>
      <c r="L1152" s="359"/>
      <c r="M1152" s="359"/>
      <c r="N1152" s="359"/>
      <c r="O1152" s="359"/>
      <c r="P1152" s="359"/>
      <c r="Q1152" s="359"/>
      <c r="R1152" s="359"/>
      <c r="S1152" s="359"/>
      <c r="T1152" s="359"/>
      <c r="U1152" s="359"/>
      <c r="V1152" s="359"/>
      <c r="W1152" s="359"/>
      <c r="X1152" s="359"/>
      <c r="Y1152" s="359"/>
      <c r="Z1152" s="359"/>
      <c r="AA1152" s="359"/>
    </row>
    <row r="1153" spans="1:27">
      <c r="A1153" s="359"/>
      <c r="B1153" s="359"/>
      <c r="C1153" s="359"/>
      <c r="D1153" s="359"/>
      <c r="E1153" s="359"/>
      <c r="F1153" s="359"/>
      <c r="G1153" s="359"/>
      <c r="H1153" s="359"/>
      <c r="I1153" s="359"/>
      <c r="J1153" s="359"/>
      <c r="K1153" s="359"/>
      <c r="L1153" s="359"/>
      <c r="M1153" s="359"/>
      <c r="N1153" s="359"/>
      <c r="O1153" s="359"/>
      <c r="P1153" s="359"/>
      <c r="Q1153" s="359"/>
      <c r="R1153" s="359"/>
      <c r="S1153" s="359"/>
      <c r="T1153" s="359"/>
      <c r="U1153" s="359"/>
      <c r="V1153" s="359"/>
      <c r="W1153" s="359"/>
      <c r="X1153" s="359"/>
      <c r="Y1153" s="359"/>
      <c r="Z1153" s="359"/>
      <c r="AA1153" s="359"/>
    </row>
    <row r="1154" spans="1:27">
      <c r="A1154" s="359"/>
      <c r="B1154" s="359"/>
      <c r="C1154" s="359"/>
      <c r="D1154" s="359"/>
      <c r="E1154" s="359"/>
      <c r="F1154" s="359"/>
      <c r="G1154" s="359"/>
      <c r="H1154" s="359"/>
      <c r="I1154" s="359"/>
      <c r="J1154" s="359"/>
      <c r="K1154" s="359"/>
      <c r="L1154" s="359"/>
      <c r="M1154" s="359"/>
      <c r="N1154" s="359"/>
      <c r="O1154" s="359"/>
      <c r="P1154" s="359"/>
      <c r="Q1154" s="359"/>
      <c r="R1154" s="359"/>
      <c r="S1154" s="359"/>
      <c r="T1154" s="359"/>
      <c r="U1154" s="359"/>
      <c r="V1154" s="359"/>
      <c r="W1154" s="359"/>
      <c r="X1154" s="359"/>
      <c r="Y1154" s="359"/>
      <c r="Z1154" s="359"/>
      <c r="AA1154" s="359"/>
    </row>
    <row r="1155" spans="1:27">
      <c r="A1155" s="359"/>
      <c r="B1155" s="359"/>
      <c r="C1155" s="359"/>
      <c r="D1155" s="359"/>
      <c r="E1155" s="359"/>
      <c r="F1155" s="359"/>
      <c r="G1155" s="359"/>
      <c r="H1155" s="359"/>
      <c r="I1155" s="359"/>
      <c r="J1155" s="359"/>
      <c r="K1155" s="359"/>
      <c r="L1155" s="359"/>
      <c r="M1155" s="359"/>
      <c r="N1155" s="359"/>
      <c r="O1155" s="359"/>
      <c r="P1155" s="359"/>
      <c r="Q1155" s="359"/>
      <c r="R1155" s="359"/>
      <c r="S1155" s="359"/>
      <c r="T1155" s="359"/>
      <c r="U1155" s="359"/>
      <c r="V1155" s="359"/>
      <c r="W1155" s="359"/>
      <c r="X1155" s="359"/>
      <c r="Y1155" s="359"/>
      <c r="Z1155" s="359"/>
      <c r="AA1155" s="359"/>
    </row>
    <row r="1156" spans="1:27">
      <c r="A1156" s="359"/>
      <c r="B1156" s="359"/>
      <c r="C1156" s="359"/>
      <c r="D1156" s="359"/>
      <c r="E1156" s="359"/>
      <c r="F1156" s="359"/>
      <c r="G1156" s="359"/>
      <c r="H1156" s="359"/>
      <c r="I1156" s="359"/>
      <c r="J1156" s="359"/>
      <c r="K1156" s="359"/>
      <c r="L1156" s="359"/>
      <c r="M1156" s="359"/>
      <c r="N1156" s="359"/>
      <c r="O1156" s="359"/>
      <c r="P1156" s="359"/>
      <c r="Q1156" s="359"/>
      <c r="R1156" s="359"/>
      <c r="S1156" s="359"/>
      <c r="T1156" s="359"/>
      <c r="U1156" s="359"/>
      <c r="V1156" s="359"/>
      <c r="W1156" s="359"/>
      <c r="X1156" s="359"/>
      <c r="Y1156" s="359"/>
      <c r="Z1156" s="359"/>
      <c r="AA1156" s="359"/>
    </row>
    <row r="1157" spans="1:27">
      <c r="A1157" s="359"/>
      <c r="B1157" s="359"/>
      <c r="C1157" s="359"/>
      <c r="D1157" s="359"/>
      <c r="E1157" s="359"/>
      <c r="F1157" s="359"/>
      <c r="G1157" s="359"/>
      <c r="H1157" s="359"/>
      <c r="I1157" s="359"/>
      <c r="J1157" s="359"/>
      <c r="K1157" s="359"/>
      <c r="L1157" s="359"/>
      <c r="M1157" s="359"/>
      <c r="N1157" s="359"/>
      <c r="O1157" s="359"/>
      <c r="P1157" s="359"/>
      <c r="Q1157" s="359"/>
      <c r="R1157" s="359"/>
      <c r="S1157" s="359"/>
      <c r="T1157" s="359"/>
      <c r="U1157" s="359"/>
      <c r="V1157" s="359"/>
      <c r="W1157" s="359"/>
      <c r="X1157" s="359"/>
      <c r="Y1157" s="359"/>
      <c r="Z1157" s="359"/>
      <c r="AA1157" s="359"/>
    </row>
    <row r="1158" spans="1:27">
      <c r="A1158" s="359"/>
      <c r="B1158" s="359"/>
      <c r="C1158" s="359"/>
      <c r="D1158" s="359"/>
      <c r="E1158" s="359"/>
      <c r="F1158" s="359"/>
      <c r="G1158" s="359"/>
      <c r="H1158" s="359"/>
      <c r="I1158" s="359"/>
      <c r="J1158" s="359"/>
      <c r="K1158" s="359"/>
      <c r="L1158" s="359"/>
      <c r="M1158" s="359"/>
      <c r="N1158" s="359"/>
      <c r="O1158" s="359"/>
      <c r="P1158" s="359"/>
      <c r="Q1158" s="359"/>
      <c r="R1158" s="359"/>
      <c r="S1158" s="359"/>
      <c r="T1158" s="359"/>
      <c r="U1158" s="359"/>
      <c r="V1158" s="359"/>
      <c r="W1158" s="359"/>
      <c r="X1158" s="359"/>
      <c r="Y1158" s="359"/>
      <c r="Z1158" s="359"/>
      <c r="AA1158" s="359"/>
    </row>
    <row r="1159" spans="1:27">
      <c r="A1159" s="359"/>
      <c r="B1159" s="359"/>
      <c r="C1159" s="359"/>
      <c r="D1159" s="359"/>
      <c r="E1159" s="359"/>
      <c r="F1159" s="359"/>
      <c r="G1159" s="359"/>
      <c r="H1159" s="359"/>
      <c r="I1159" s="359"/>
      <c r="J1159" s="359"/>
      <c r="K1159" s="359"/>
      <c r="L1159" s="359"/>
      <c r="M1159" s="359"/>
      <c r="N1159" s="359"/>
      <c r="O1159" s="359"/>
      <c r="P1159" s="359"/>
      <c r="Q1159" s="359"/>
      <c r="R1159" s="359"/>
      <c r="S1159" s="359"/>
      <c r="T1159" s="359"/>
      <c r="U1159" s="359"/>
      <c r="V1159" s="359"/>
      <c r="W1159" s="359"/>
      <c r="X1159" s="359"/>
      <c r="Y1159" s="359"/>
      <c r="Z1159" s="359"/>
      <c r="AA1159" s="359"/>
    </row>
    <row r="1160" spans="1:27">
      <c r="A1160" s="359"/>
      <c r="B1160" s="359"/>
      <c r="C1160" s="359"/>
      <c r="D1160" s="359"/>
      <c r="E1160" s="359"/>
      <c r="F1160" s="359"/>
      <c r="G1160" s="359"/>
      <c r="H1160" s="359"/>
      <c r="I1160" s="359"/>
      <c r="J1160" s="359"/>
      <c r="K1160" s="359"/>
      <c r="L1160" s="359"/>
      <c r="M1160" s="359"/>
      <c r="N1160" s="359"/>
      <c r="O1160" s="359"/>
      <c r="P1160" s="359"/>
      <c r="Q1160" s="359"/>
      <c r="R1160" s="359"/>
      <c r="S1160" s="359"/>
      <c r="T1160" s="359"/>
      <c r="U1160" s="359"/>
      <c r="V1160" s="359"/>
      <c r="W1160" s="359"/>
      <c r="X1160" s="359"/>
      <c r="Y1160" s="359"/>
      <c r="Z1160" s="359"/>
      <c r="AA1160" s="359"/>
    </row>
    <row r="1161" spans="1:27">
      <c r="A1161" s="359"/>
      <c r="B1161" s="359"/>
      <c r="C1161" s="359"/>
      <c r="D1161" s="359"/>
      <c r="E1161" s="359"/>
      <c r="F1161" s="359"/>
      <c r="G1161" s="359"/>
      <c r="H1161" s="359"/>
      <c r="I1161" s="359"/>
      <c r="J1161" s="359"/>
      <c r="K1161" s="359"/>
      <c r="L1161" s="359"/>
      <c r="M1161" s="359"/>
      <c r="N1161" s="359"/>
      <c r="O1161" s="359"/>
      <c r="P1161" s="359"/>
      <c r="Q1161" s="359"/>
      <c r="R1161" s="359"/>
      <c r="S1161" s="359"/>
      <c r="T1161" s="359"/>
      <c r="U1161" s="359"/>
      <c r="V1161" s="359"/>
      <c r="W1161" s="359"/>
      <c r="X1161" s="359"/>
      <c r="Y1161" s="359"/>
      <c r="Z1161" s="359"/>
      <c r="AA1161" s="359"/>
    </row>
    <row r="1162" spans="1:27">
      <c r="A1162" s="359"/>
      <c r="B1162" s="359"/>
      <c r="C1162" s="359"/>
      <c r="D1162" s="359"/>
      <c r="E1162" s="359"/>
      <c r="F1162" s="359"/>
      <c r="G1162" s="359"/>
      <c r="H1162" s="359"/>
      <c r="I1162" s="359"/>
      <c r="J1162" s="359"/>
      <c r="K1162" s="359"/>
      <c r="L1162" s="359"/>
      <c r="M1162" s="359"/>
      <c r="N1162" s="359"/>
      <c r="O1162" s="359"/>
      <c r="P1162" s="359"/>
      <c r="Q1162" s="359"/>
      <c r="R1162" s="359"/>
      <c r="S1162" s="359"/>
      <c r="T1162" s="359"/>
      <c r="U1162" s="359"/>
      <c r="V1162" s="359"/>
      <c r="W1162" s="359"/>
      <c r="X1162" s="359"/>
      <c r="Y1162" s="359"/>
      <c r="Z1162" s="359"/>
      <c r="AA1162" s="359"/>
    </row>
    <row r="1163" spans="1:27">
      <c r="A1163" s="359"/>
      <c r="B1163" s="359"/>
      <c r="C1163" s="359"/>
      <c r="D1163" s="359"/>
      <c r="E1163" s="359"/>
      <c r="F1163" s="359"/>
      <c r="G1163" s="359"/>
      <c r="H1163" s="359"/>
      <c r="I1163" s="359"/>
      <c r="J1163" s="359"/>
      <c r="K1163" s="359"/>
      <c r="L1163" s="359"/>
      <c r="M1163" s="359"/>
      <c r="N1163" s="359"/>
      <c r="O1163" s="359"/>
      <c r="P1163" s="359"/>
      <c r="Q1163" s="359"/>
      <c r="R1163" s="359"/>
      <c r="S1163" s="359"/>
      <c r="T1163" s="359"/>
      <c r="U1163" s="359"/>
      <c r="V1163" s="359"/>
      <c r="W1163" s="359"/>
      <c r="X1163" s="359"/>
      <c r="Y1163" s="359"/>
      <c r="Z1163" s="359"/>
      <c r="AA1163" s="359"/>
    </row>
    <row r="1164" spans="1:27">
      <c r="A1164" s="359"/>
      <c r="B1164" s="359"/>
      <c r="C1164" s="359"/>
      <c r="D1164" s="359"/>
      <c r="E1164" s="359"/>
      <c r="F1164" s="359"/>
      <c r="G1164" s="359"/>
      <c r="H1164" s="359"/>
      <c r="I1164" s="359"/>
      <c r="J1164" s="359"/>
      <c r="K1164" s="359"/>
      <c r="L1164" s="359"/>
      <c r="M1164" s="359"/>
      <c r="N1164" s="359"/>
      <c r="O1164" s="359"/>
      <c r="P1164" s="359"/>
      <c r="Q1164" s="359"/>
      <c r="R1164" s="359"/>
      <c r="S1164" s="359"/>
      <c r="T1164" s="359"/>
      <c r="U1164" s="359"/>
      <c r="V1164" s="359"/>
      <c r="W1164" s="359"/>
      <c r="X1164" s="359"/>
      <c r="Y1164" s="359"/>
      <c r="Z1164" s="359"/>
      <c r="AA1164" s="359"/>
    </row>
    <row r="1165" spans="1:27">
      <c r="A1165" s="359"/>
      <c r="B1165" s="359"/>
      <c r="C1165" s="359"/>
      <c r="D1165" s="359"/>
      <c r="E1165" s="359"/>
      <c r="F1165" s="359"/>
      <c r="G1165" s="359"/>
      <c r="H1165" s="359"/>
      <c r="I1165" s="359"/>
      <c r="J1165" s="359"/>
      <c r="K1165" s="359"/>
      <c r="L1165" s="359"/>
      <c r="M1165" s="359"/>
      <c r="N1165" s="359"/>
      <c r="O1165" s="359"/>
      <c r="P1165" s="359"/>
      <c r="Q1165" s="359"/>
      <c r="R1165" s="359"/>
      <c r="S1165" s="359"/>
      <c r="T1165" s="359"/>
      <c r="U1165" s="359"/>
      <c r="V1165" s="359"/>
      <c r="W1165" s="359"/>
      <c r="X1165" s="359"/>
      <c r="Y1165" s="359"/>
      <c r="Z1165" s="359"/>
      <c r="AA1165" s="359"/>
    </row>
    <row r="1166" spans="1:27">
      <c r="A1166" s="359"/>
      <c r="B1166" s="359"/>
      <c r="C1166" s="359"/>
      <c r="D1166" s="359"/>
      <c r="E1166" s="359"/>
      <c r="F1166" s="359"/>
      <c r="G1166" s="359"/>
      <c r="H1166" s="359"/>
      <c r="I1166" s="359"/>
      <c r="J1166" s="359"/>
      <c r="K1166" s="359"/>
      <c r="L1166" s="359"/>
      <c r="M1166" s="359"/>
      <c r="N1166" s="359"/>
      <c r="O1166" s="359"/>
      <c r="P1166" s="359"/>
      <c r="Q1166" s="359"/>
      <c r="R1166" s="359"/>
      <c r="S1166" s="359"/>
      <c r="T1166" s="359"/>
      <c r="U1166" s="359"/>
      <c r="V1166" s="359"/>
      <c r="W1166" s="359"/>
      <c r="X1166" s="359"/>
      <c r="Y1166" s="359"/>
      <c r="Z1166" s="359"/>
      <c r="AA1166" s="359"/>
    </row>
    <row r="1167" spans="1:27">
      <c r="A1167" s="359"/>
      <c r="B1167" s="359"/>
      <c r="C1167" s="359"/>
      <c r="D1167" s="359"/>
      <c r="E1167" s="359"/>
      <c r="F1167" s="359"/>
      <c r="G1167" s="359"/>
      <c r="H1167" s="359"/>
      <c r="I1167" s="359"/>
      <c r="J1167" s="359"/>
      <c r="K1167" s="359"/>
      <c r="L1167" s="359"/>
      <c r="M1167" s="359"/>
      <c r="N1167" s="359"/>
      <c r="O1167" s="359"/>
      <c r="P1167" s="359"/>
      <c r="Q1167" s="359"/>
      <c r="R1167" s="359"/>
      <c r="S1167" s="359"/>
      <c r="T1167" s="359"/>
      <c r="U1167" s="359"/>
      <c r="V1167" s="359"/>
      <c r="W1167" s="359"/>
      <c r="X1167" s="359"/>
      <c r="Y1167" s="359"/>
      <c r="Z1167" s="359"/>
      <c r="AA1167" s="359"/>
    </row>
    <row r="1168" spans="1:27">
      <c r="A1168" s="359"/>
      <c r="B1168" s="359"/>
      <c r="C1168" s="359"/>
      <c r="D1168" s="359"/>
      <c r="E1168" s="359"/>
      <c r="F1168" s="359"/>
      <c r="G1168" s="359"/>
      <c r="H1168" s="359"/>
      <c r="I1168" s="359"/>
      <c r="J1168" s="359"/>
      <c r="K1168" s="359"/>
      <c r="L1168" s="359"/>
      <c r="M1168" s="359"/>
      <c r="N1168" s="359"/>
      <c r="O1168" s="359"/>
      <c r="P1168" s="359"/>
      <c r="Q1168" s="359"/>
      <c r="R1168" s="359"/>
      <c r="S1168" s="359"/>
      <c r="T1168" s="359"/>
      <c r="U1168" s="359"/>
      <c r="V1168" s="359"/>
      <c r="W1168" s="359"/>
      <c r="X1168" s="359"/>
      <c r="Y1168" s="359"/>
      <c r="Z1168" s="359"/>
      <c r="AA1168" s="359"/>
    </row>
    <row r="1169" spans="1:27">
      <c r="A1169" s="359"/>
      <c r="B1169" s="359"/>
      <c r="C1169" s="359"/>
      <c r="D1169" s="359"/>
      <c r="E1169" s="359"/>
      <c r="F1169" s="359"/>
      <c r="G1169" s="359"/>
      <c r="H1169" s="359"/>
      <c r="I1169" s="359"/>
      <c r="J1169" s="359"/>
      <c r="K1169" s="359"/>
      <c r="L1169" s="359"/>
      <c r="M1169" s="359"/>
      <c r="N1169" s="359"/>
      <c r="O1169" s="359"/>
      <c r="P1169" s="359"/>
      <c r="Q1169" s="359"/>
      <c r="R1169" s="359"/>
      <c r="S1169" s="359"/>
      <c r="T1169" s="359"/>
      <c r="U1169" s="359"/>
      <c r="V1169" s="359"/>
      <c r="W1169" s="359"/>
      <c r="X1169" s="359"/>
      <c r="Y1169" s="359"/>
      <c r="Z1169" s="359"/>
      <c r="AA1169" s="359"/>
    </row>
    <row r="1170" spans="1:27">
      <c r="A1170" s="359"/>
      <c r="B1170" s="359"/>
      <c r="C1170" s="359"/>
      <c r="D1170" s="359"/>
      <c r="E1170" s="359"/>
      <c r="F1170" s="359"/>
      <c r="G1170" s="359"/>
      <c r="H1170" s="359"/>
      <c r="I1170" s="359"/>
      <c r="J1170" s="359"/>
      <c r="K1170" s="359"/>
      <c r="L1170" s="359"/>
      <c r="M1170" s="359"/>
      <c r="N1170" s="359"/>
      <c r="O1170" s="359"/>
      <c r="P1170" s="359"/>
      <c r="Q1170" s="359"/>
      <c r="R1170" s="359"/>
      <c r="S1170" s="359"/>
      <c r="T1170" s="359"/>
      <c r="U1170" s="359"/>
      <c r="V1170" s="359"/>
      <c r="W1170" s="359"/>
      <c r="X1170" s="359"/>
      <c r="Y1170" s="359"/>
      <c r="Z1170" s="359"/>
      <c r="AA1170" s="359"/>
    </row>
    <row r="1171" spans="1:27">
      <c r="A1171" s="359"/>
      <c r="B1171" s="359"/>
      <c r="C1171" s="359"/>
      <c r="D1171" s="359"/>
      <c r="E1171" s="359"/>
      <c r="F1171" s="359"/>
      <c r="G1171" s="359"/>
      <c r="H1171" s="359"/>
      <c r="I1171" s="359"/>
      <c r="J1171" s="359"/>
      <c r="K1171" s="359"/>
      <c r="L1171" s="359"/>
      <c r="M1171" s="359"/>
      <c r="N1171" s="359"/>
      <c r="O1171" s="359"/>
      <c r="P1171" s="359"/>
      <c r="Q1171" s="359"/>
      <c r="R1171" s="359"/>
      <c r="S1171" s="359"/>
      <c r="T1171" s="359"/>
      <c r="U1171" s="359"/>
      <c r="V1171" s="359"/>
      <c r="W1171" s="359"/>
      <c r="X1171" s="359"/>
      <c r="Y1171" s="359"/>
      <c r="Z1171" s="359"/>
      <c r="AA1171" s="359"/>
    </row>
    <row r="1172" spans="1:27">
      <c r="A1172" s="359"/>
      <c r="B1172" s="359"/>
      <c r="C1172" s="359"/>
      <c r="D1172" s="359"/>
      <c r="E1172" s="359"/>
      <c r="F1172" s="359"/>
      <c r="G1172" s="359"/>
      <c r="H1172" s="359"/>
      <c r="I1172" s="359"/>
      <c r="J1172" s="359"/>
      <c r="K1172" s="359"/>
      <c r="L1172" s="359"/>
      <c r="M1172" s="359"/>
      <c r="N1172" s="359"/>
      <c r="O1172" s="359"/>
      <c r="P1172" s="359"/>
      <c r="Q1172" s="359"/>
      <c r="R1172" s="359"/>
      <c r="S1172" s="359"/>
      <c r="T1172" s="359"/>
      <c r="U1172" s="359"/>
      <c r="V1172" s="359"/>
      <c r="W1172" s="359"/>
      <c r="X1172" s="359"/>
      <c r="Y1172" s="359"/>
      <c r="Z1172" s="359"/>
      <c r="AA1172" s="359"/>
    </row>
    <row r="1173" spans="1:27">
      <c r="A1173" s="359"/>
      <c r="B1173" s="359"/>
      <c r="C1173" s="359"/>
      <c r="D1173" s="359"/>
      <c r="E1173" s="359"/>
      <c r="F1173" s="359"/>
      <c r="G1173" s="359"/>
      <c r="H1173" s="359"/>
      <c r="I1173" s="359"/>
      <c r="J1173" s="359"/>
      <c r="K1173" s="359"/>
      <c r="L1173" s="359"/>
      <c r="M1173" s="359"/>
      <c r="N1173" s="359"/>
      <c r="O1173" s="359"/>
      <c r="P1173" s="359"/>
      <c r="Q1173" s="359"/>
      <c r="R1173" s="359"/>
      <c r="S1173" s="359"/>
      <c r="T1173" s="359"/>
      <c r="U1173" s="359"/>
      <c r="V1173" s="359"/>
      <c r="W1173" s="359"/>
      <c r="X1173" s="359"/>
      <c r="Y1173" s="359"/>
      <c r="Z1173" s="359"/>
      <c r="AA1173" s="359"/>
    </row>
    <row r="1174" spans="1:27">
      <c r="A1174" s="359"/>
      <c r="B1174" s="359"/>
      <c r="C1174" s="359"/>
      <c r="D1174" s="359"/>
      <c r="E1174" s="359"/>
      <c r="F1174" s="359"/>
      <c r="G1174" s="359"/>
      <c r="H1174" s="359"/>
      <c r="I1174" s="359"/>
      <c r="J1174" s="359"/>
      <c r="K1174" s="359"/>
      <c r="L1174" s="359"/>
      <c r="M1174" s="359"/>
      <c r="N1174" s="359"/>
      <c r="O1174" s="359"/>
      <c r="P1174" s="359"/>
      <c r="Q1174" s="359"/>
      <c r="R1174" s="359"/>
      <c r="S1174" s="359"/>
      <c r="T1174" s="359"/>
      <c r="U1174" s="359"/>
      <c r="V1174" s="359"/>
      <c r="W1174" s="359"/>
      <c r="X1174" s="359"/>
      <c r="Y1174" s="359"/>
      <c r="Z1174" s="359"/>
      <c r="AA1174" s="359"/>
    </row>
    <row r="1175" spans="1:27">
      <c r="A1175" s="359"/>
      <c r="B1175" s="359"/>
      <c r="C1175" s="359"/>
      <c r="D1175" s="359"/>
      <c r="E1175" s="359"/>
      <c r="F1175" s="359"/>
      <c r="G1175" s="359"/>
      <c r="H1175" s="359"/>
      <c r="I1175" s="359"/>
      <c r="J1175" s="359"/>
      <c r="K1175" s="359"/>
      <c r="L1175" s="359"/>
      <c r="M1175" s="359"/>
      <c r="N1175" s="359"/>
      <c r="O1175" s="359"/>
      <c r="P1175" s="359"/>
      <c r="Q1175" s="359"/>
      <c r="R1175" s="359"/>
      <c r="S1175" s="359"/>
      <c r="T1175" s="359"/>
      <c r="U1175" s="359"/>
      <c r="V1175" s="359"/>
      <c r="W1175" s="359"/>
      <c r="X1175" s="359"/>
      <c r="Y1175" s="359"/>
      <c r="Z1175" s="359"/>
      <c r="AA1175" s="359"/>
    </row>
    <row r="1176" spans="1:27">
      <c r="A1176" s="359"/>
      <c r="B1176" s="359"/>
      <c r="C1176" s="359"/>
      <c r="D1176" s="359"/>
      <c r="E1176" s="359"/>
      <c r="F1176" s="359"/>
      <c r="G1176" s="359"/>
      <c r="H1176" s="359"/>
      <c r="I1176" s="359"/>
      <c r="J1176" s="359"/>
      <c r="K1176" s="359"/>
      <c r="L1176" s="359"/>
      <c r="M1176" s="359"/>
      <c r="N1176" s="359"/>
      <c r="O1176" s="359"/>
      <c r="P1176" s="359"/>
      <c r="Q1176" s="359"/>
      <c r="R1176" s="359"/>
      <c r="S1176" s="359"/>
      <c r="T1176" s="359"/>
      <c r="U1176" s="359"/>
      <c r="V1176" s="359"/>
      <c r="W1176" s="359"/>
      <c r="X1176" s="359"/>
      <c r="Y1176" s="359"/>
      <c r="Z1176" s="359"/>
      <c r="AA1176" s="359"/>
    </row>
    <row r="1177" spans="1:27">
      <c r="A1177" s="359"/>
      <c r="B1177" s="359"/>
      <c r="C1177" s="359"/>
      <c r="D1177" s="359"/>
      <c r="E1177" s="359"/>
      <c r="F1177" s="359"/>
      <c r="G1177" s="359"/>
      <c r="H1177" s="359"/>
      <c r="I1177" s="359"/>
      <c r="J1177" s="359"/>
      <c r="K1177" s="359"/>
      <c r="L1177" s="359"/>
      <c r="M1177" s="359"/>
      <c r="N1177" s="359"/>
      <c r="O1177" s="359"/>
      <c r="P1177" s="359"/>
      <c r="Q1177" s="359"/>
      <c r="R1177" s="359"/>
      <c r="S1177" s="359"/>
      <c r="T1177" s="359"/>
      <c r="U1177" s="359"/>
      <c r="V1177" s="359"/>
      <c r="W1177" s="359"/>
      <c r="X1177" s="359"/>
      <c r="Y1177" s="359"/>
      <c r="Z1177" s="359"/>
      <c r="AA1177" s="359"/>
    </row>
    <row r="1178" spans="1:27">
      <c r="A1178" s="359"/>
      <c r="B1178" s="359"/>
      <c r="C1178" s="359"/>
      <c r="D1178" s="359"/>
      <c r="E1178" s="359"/>
      <c r="F1178" s="359"/>
      <c r="G1178" s="359"/>
      <c r="H1178" s="359"/>
      <c r="I1178" s="359"/>
      <c r="J1178" s="359"/>
      <c r="K1178" s="359"/>
      <c r="L1178" s="359"/>
      <c r="M1178" s="359"/>
      <c r="N1178" s="359"/>
      <c r="O1178" s="359"/>
      <c r="P1178" s="359"/>
      <c r="Q1178" s="359"/>
      <c r="R1178" s="359"/>
      <c r="S1178" s="359"/>
      <c r="T1178" s="359"/>
      <c r="U1178" s="359"/>
      <c r="V1178" s="359"/>
      <c r="W1178" s="359"/>
      <c r="X1178" s="359"/>
      <c r="Y1178" s="359"/>
      <c r="Z1178" s="359"/>
      <c r="AA1178" s="359"/>
    </row>
    <row r="1179" spans="1:27">
      <c r="A1179" s="359"/>
      <c r="B1179" s="359"/>
      <c r="C1179" s="359"/>
      <c r="D1179" s="359"/>
      <c r="E1179" s="359"/>
      <c r="F1179" s="359"/>
      <c r="G1179" s="359"/>
      <c r="H1179" s="359"/>
      <c r="I1179" s="359"/>
      <c r="J1179" s="359"/>
      <c r="K1179" s="359"/>
      <c r="L1179" s="359"/>
      <c r="M1179" s="359"/>
      <c r="N1179" s="359"/>
      <c r="O1179" s="359"/>
      <c r="P1179" s="359"/>
      <c r="Q1179" s="359"/>
      <c r="R1179" s="359"/>
      <c r="S1179" s="359"/>
      <c r="T1179" s="359"/>
      <c r="U1179" s="359"/>
      <c r="V1179" s="359"/>
      <c r="W1179" s="359"/>
      <c r="X1179" s="359"/>
      <c r="Y1179" s="359"/>
      <c r="Z1179" s="359"/>
      <c r="AA1179" s="359"/>
    </row>
    <row r="1180" spans="1:27">
      <c r="A1180" s="359"/>
      <c r="B1180" s="359"/>
      <c r="C1180" s="359"/>
      <c r="D1180" s="359"/>
      <c r="E1180" s="359"/>
      <c r="F1180" s="359"/>
      <c r="G1180" s="359"/>
      <c r="H1180" s="359"/>
      <c r="I1180" s="359"/>
      <c r="J1180" s="359"/>
      <c r="K1180" s="359"/>
      <c r="L1180" s="359"/>
      <c r="M1180" s="359"/>
      <c r="N1180" s="359"/>
      <c r="O1180" s="359"/>
      <c r="P1180" s="359"/>
      <c r="Q1180" s="359"/>
      <c r="R1180" s="359"/>
      <c r="S1180" s="359"/>
      <c r="T1180" s="359"/>
      <c r="U1180" s="359"/>
      <c r="V1180" s="359"/>
      <c r="W1180" s="359"/>
      <c r="X1180" s="359"/>
      <c r="Y1180" s="359"/>
      <c r="Z1180" s="359"/>
      <c r="AA1180" s="359"/>
    </row>
    <row r="1181" spans="1:27">
      <c r="A1181" s="359"/>
      <c r="B1181" s="359"/>
      <c r="C1181" s="359"/>
      <c r="D1181" s="359"/>
      <c r="E1181" s="359"/>
      <c r="F1181" s="359"/>
      <c r="G1181" s="359"/>
      <c r="H1181" s="359"/>
      <c r="I1181" s="359"/>
      <c r="J1181" s="359"/>
      <c r="K1181" s="359"/>
      <c r="L1181" s="359"/>
      <c r="M1181" s="359"/>
      <c r="N1181" s="359"/>
      <c r="O1181" s="359"/>
      <c r="P1181" s="359"/>
      <c r="Q1181" s="359"/>
      <c r="R1181" s="359"/>
      <c r="S1181" s="359"/>
      <c r="T1181" s="359"/>
      <c r="U1181" s="359"/>
      <c r="V1181" s="359"/>
      <c r="W1181" s="359"/>
      <c r="X1181" s="359"/>
      <c r="Y1181" s="359"/>
      <c r="Z1181" s="359"/>
      <c r="AA1181" s="359"/>
    </row>
    <row r="1182" spans="1:27">
      <c r="A1182" s="359"/>
      <c r="B1182" s="359"/>
      <c r="C1182" s="359"/>
      <c r="D1182" s="359"/>
      <c r="E1182" s="359"/>
      <c r="F1182" s="359"/>
      <c r="G1182" s="359"/>
      <c r="H1182" s="359"/>
      <c r="I1182" s="359"/>
      <c r="J1182" s="359"/>
      <c r="K1182" s="359"/>
      <c r="L1182" s="359"/>
      <c r="M1182" s="359"/>
      <c r="N1182" s="359"/>
      <c r="O1182" s="359"/>
      <c r="P1182" s="359"/>
      <c r="Q1182" s="359"/>
      <c r="R1182" s="359"/>
      <c r="S1182" s="359"/>
      <c r="T1182" s="359"/>
      <c r="U1182" s="359"/>
      <c r="V1182" s="359"/>
      <c r="W1182" s="359"/>
      <c r="X1182" s="359"/>
      <c r="Y1182" s="359"/>
      <c r="Z1182" s="359"/>
      <c r="AA1182" s="359"/>
    </row>
    <row r="1183" spans="1:27">
      <c r="A1183" s="359"/>
      <c r="B1183" s="359"/>
      <c r="C1183" s="359"/>
      <c r="D1183" s="359"/>
      <c r="E1183" s="359"/>
      <c r="F1183" s="359"/>
      <c r="G1183" s="359"/>
      <c r="H1183" s="359"/>
      <c r="I1183" s="359"/>
      <c r="J1183" s="359"/>
      <c r="K1183" s="359"/>
      <c r="L1183" s="359"/>
      <c r="M1183" s="359"/>
      <c r="N1183" s="359"/>
      <c r="O1183" s="359"/>
      <c r="P1183" s="359"/>
      <c r="Q1183" s="359"/>
      <c r="R1183" s="359"/>
      <c r="S1183" s="359"/>
      <c r="T1183" s="359"/>
      <c r="U1183" s="359"/>
      <c r="V1183" s="359"/>
      <c r="W1183" s="359"/>
      <c r="X1183" s="359"/>
      <c r="Y1183" s="359"/>
      <c r="Z1183" s="359"/>
      <c r="AA1183" s="359"/>
    </row>
    <row r="1184" spans="1:27">
      <c r="A1184" s="359"/>
      <c r="B1184" s="359"/>
      <c r="C1184" s="359"/>
      <c r="D1184" s="359"/>
      <c r="E1184" s="359"/>
      <c r="F1184" s="359"/>
      <c r="G1184" s="359"/>
      <c r="H1184" s="359"/>
      <c r="I1184" s="359"/>
      <c r="J1184" s="359"/>
      <c r="K1184" s="359"/>
      <c r="L1184" s="359"/>
      <c r="M1184" s="359"/>
      <c r="N1184" s="359"/>
      <c r="O1184" s="359"/>
      <c r="P1184" s="359"/>
      <c r="Q1184" s="359"/>
      <c r="R1184" s="359"/>
      <c r="S1184" s="359"/>
      <c r="T1184" s="359"/>
      <c r="U1184" s="359"/>
      <c r="V1184" s="359"/>
      <c r="W1184" s="359"/>
      <c r="X1184" s="359"/>
      <c r="Y1184" s="359"/>
      <c r="Z1184" s="359"/>
      <c r="AA1184" s="359"/>
    </row>
    <row r="1185" spans="1:27">
      <c r="A1185" s="359"/>
      <c r="B1185" s="359"/>
      <c r="C1185" s="359"/>
      <c r="D1185" s="359"/>
      <c r="E1185" s="359"/>
      <c r="F1185" s="359"/>
      <c r="G1185" s="359"/>
      <c r="H1185" s="359"/>
      <c r="I1185" s="359"/>
      <c r="J1185" s="359"/>
      <c r="K1185" s="359"/>
      <c r="L1185" s="359"/>
      <c r="M1185" s="359"/>
      <c r="N1185" s="359"/>
      <c r="O1185" s="359"/>
      <c r="P1185" s="359"/>
      <c r="Q1185" s="359"/>
      <c r="R1185" s="359"/>
      <c r="S1185" s="359"/>
      <c r="T1185" s="359"/>
      <c r="U1185" s="359"/>
      <c r="V1185" s="359"/>
      <c r="W1185" s="359"/>
      <c r="X1185" s="359"/>
      <c r="Y1185" s="359"/>
      <c r="Z1185" s="359"/>
      <c r="AA1185" s="359"/>
    </row>
    <row r="1186" spans="1:27">
      <c r="A1186" s="359"/>
      <c r="B1186" s="359"/>
      <c r="C1186" s="359"/>
      <c r="D1186" s="359"/>
      <c r="E1186" s="359"/>
      <c r="F1186" s="359"/>
      <c r="G1186" s="359"/>
      <c r="H1186" s="359"/>
      <c r="I1186" s="359"/>
      <c r="J1186" s="359"/>
      <c r="K1186" s="359"/>
      <c r="L1186" s="359"/>
      <c r="M1186" s="359"/>
      <c r="N1186" s="359"/>
      <c r="O1186" s="359"/>
      <c r="P1186" s="359"/>
      <c r="Q1186" s="359"/>
      <c r="R1186" s="359"/>
      <c r="S1186" s="359"/>
      <c r="T1186" s="359"/>
      <c r="U1186" s="359"/>
      <c r="V1186" s="359"/>
      <c r="W1186" s="359"/>
      <c r="X1186" s="359"/>
      <c r="Y1186" s="359"/>
      <c r="Z1186" s="359"/>
      <c r="AA1186" s="359"/>
    </row>
    <row r="1187" spans="1:27">
      <c r="A1187" s="359"/>
      <c r="B1187" s="359"/>
      <c r="C1187" s="359"/>
      <c r="D1187" s="359"/>
      <c r="E1187" s="359"/>
      <c r="F1187" s="359"/>
      <c r="G1187" s="359"/>
      <c r="H1187" s="359"/>
      <c r="I1187" s="359"/>
      <c r="J1187" s="359"/>
      <c r="K1187" s="359"/>
      <c r="L1187" s="359"/>
      <c r="M1187" s="359"/>
      <c r="N1187" s="359"/>
      <c r="O1187" s="359"/>
      <c r="P1187" s="359"/>
      <c r="Q1187" s="359"/>
      <c r="R1187" s="359"/>
      <c r="S1187" s="359"/>
      <c r="T1187" s="359"/>
      <c r="U1187" s="359"/>
      <c r="V1187" s="359"/>
      <c r="W1187" s="359"/>
      <c r="X1187" s="359"/>
      <c r="Y1187" s="359"/>
      <c r="Z1187" s="359"/>
      <c r="AA1187" s="359"/>
    </row>
    <row r="1188" spans="1:27">
      <c r="A1188" s="359"/>
      <c r="B1188" s="359"/>
      <c r="C1188" s="359"/>
      <c r="D1188" s="359"/>
      <c r="E1188" s="359"/>
      <c r="F1188" s="359"/>
      <c r="G1188" s="359"/>
      <c r="H1188" s="359"/>
      <c r="I1188" s="359"/>
      <c r="J1188" s="359"/>
      <c r="K1188" s="359"/>
      <c r="L1188" s="359"/>
      <c r="M1188" s="359"/>
      <c r="N1188" s="359"/>
      <c r="O1188" s="359"/>
      <c r="P1188" s="359"/>
      <c r="Q1188" s="359"/>
      <c r="R1188" s="359"/>
      <c r="S1188" s="359"/>
      <c r="T1188" s="359"/>
      <c r="U1188" s="359"/>
      <c r="V1188" s="359"/>
      <c r="W1188" s="359"/>
      <c r="X1188" s="359"/>
      <c r="Y1188" s="359"/>
      <c r="Z1188" s="359"/>
      <c r="AA1188" s="359"/>
    </row>
    <row r="1189" spans="1:27">
      <c r="A1189" s="359"/>
      <c r="B1189" s="359"/>
      <c r="C1189" s="359"/>
      <c r="D1189" s="359"/>
      <c r="E1189" s="359"/>
      <c r="F1189" s="359"/>
      <c r="G1189" s="359"/>
      <c r="H1189" s="359"/>
      <c r="I1189" s="359"/>
      <c r="J1189" s="359"/>
      <c r="K1189" s="359"/>
      <c r="L1189" s="359"/>
      <c r="M1189" s="359"/>
      <c r="N1189" s="359"/>
      <c r="O1189" s="359"/>
      <c r="P1189" s="359"/>
      <c r="Q1189" s="359"/>
      <c r="R1189" s="359"/>
      <c r="S1189" s="359"/>
      <c r="T1189" s="359"/>
      <c r="U1189" s="359"/>
      <c r="V1189" s="359"/>
      <c r="W1189" s="359"/>
      <c r="X1189" s="359"/>
      <c r="Y1189" s="359"/>
      <c r="Z1189" s="359"/>
      <c r="AA1189" s="359"/>
    </row>
    <row r="1190" spans="1:27">
      <c r="A1190" s="359"/>
      <c r="B1190" s="359"/>
      <c r="C1190" s="359"/>
      <c r="D1190" s="359"/>
      <c r="E1190" s="359"/>
      <c r="F1190" s="359"/>
      <c r="G1190" s="359"/>
      <c r="H1190" s="359"/>
      <c r="I1190" s="359"/>
      <c r="J1190" s="359"/>
      <c r="K1190" s="359"/>
      <c r="L1190" s="359"/>
      <c r="M1190" s="359"/>
      <c r="N1190" s="359"/>
      <c r="O1190" s="359"/>
      <c r="P1190" s="359"/>
      <c r="Q1190" s="359"/>
      <c r="R1190" s="359"/>
      <c r="S1190" s="359"/>
      <c r="T1190" s="359"/>
      <c r="U1190" s="359"/>
      <c r="V1190" s="359"/>
      <c r="W1190" s="359"/>
      <c r="X1190" s="359"/>
      <c r="Y1190" s="359"/>
      <c r="Z1190" s="359"/>
      <c r="AA1190" s="359"/>
    </row>
    <row r="1191" spans="1:27">
      <c r="A1191" s="359"/>
      <c r="B1191" s="359"/>
      <c r="C1191" s="359"/>
      <c r="D1191" s="359"/>
      <c r="E1191" s="359"/>
      <c r="F1191" s="359"/>
      <c r="G1191" s="359"/>
      <c r="H1191" s="359"/>
      <c r="I1191" s="359"/>
      <c r="J1191" s="359"/>
      <c r="K1191" s="359"/>
      <c r="L1191" s="359"/>
      <c r="M1191" s="359"/>
      <c r="N1191" s="359"/>
      <c r="O1191" s="359"/>
      <c r="P1191" s="359"/>
      <c r="Q1191" s="359"/>
      <c r="R1191" s="359"/>
      <c r="S1191" s="359"/>
      <c r="T1191" s="359"/>
      <c r="U1191" s="359"/>
      <c r="V1191" s="359"/>
      <c r="W1191" s="359"/>
      <c r="X1191" s="359"/>
      <c r="Y1191" s="359"/>
      <c r="Z1191" s="359"/>
      <c r="AA1191" s="359"/>
    </row>
    <row r="1192" spans="1:27">
      <c r="A1192" s="359"/>
      <c r="B1192" s="359"/>
      <c r="C1192" s="359"/>
      <c r="D1192" s="359"/>
      <c r="E1192" s="359"/>
      <c r="F1192" s="359"/>
      <c r="G1192" s="359"/>
      <c r="H1192" s="359"/>
      <c r="I1192" s="359"/>
      <c r="J1192" s="359"/>
      <c r="K1192" s="359"/>
      <c r="L1192" s="359"/>
      <c r="M1192" s="359"/>
      <c r="N1192" s="359"/>
      <c r="O1192" s="359"/>
      <c r="P1192" s="359"/>
      <c r="Q1192" s="359"/>
      <c r="R1192" s="359"/>
      <c r="S1192" s="359"/>
      <c r="T1192" s="359"/>
      <c r="U1192" s="359"/>
      <c r="V1192" s="359"/>
      <c r="W1192" s="359"/>
      <c r="X1192" s="359"/>
      <c r="Y1192" s="359"/>
      <c r="Z1192" s="359"/>
      <c r="AA1192" s="359"/>
    </row>
    <row r="1193" spans="1:27">
      <c r="A1193" s="359"/>
      <c r="B1193" s="359"/>
      <c r="C1193" s="359"/>
      <c r="D1193" s="359"/>
      <c r="E1193" s="359"/>
      <c r="F1193" s="359"/>
      <c r="G1193" s="359"/>
      <c r="H1193" s="359"/>
      <c r="I1193" s="359"/>
      <c r="J1193" s="359"/>
      <c r="K1193" s="359"/>
      <c r="L1193" s="359"/>
      <c r="M1193" s="359"/>
      <c r="N1193" s="359"/>
      <c r="O1193" s="359"/>
      <c r="P1193" s="359"/>
      <c r="Q1193" s="359"/>
      <c r="R1193" s="359"/>
      <c r="S1193" s="359"/>
      <c r="T1193" s="359"/>
      <c r="U1193" s="359"/>
      <c r="V1193" s="359"/>
      <c r="W1193" s="359"/>
      <c r="X1193" s="359"/>
      <c r="Y1193" s="359"/>
      <c r="Z1193" s="359"/>
      <c r="AA1193" s="359"/>
    </row>
    <row r="1194" spans="1:27">
      <c r="A1194" s="359"/>
      <c r="B1194" s="359"/>
      <c r="C1194" s="359"/>
      <c r="D1194" s="359"/>
      <c r="E1194" s="359"/>
      <c r="F1194" s="359"/>
      <c r="G1194" s="359"/>
      <c r="H1194" s="359"/>
      <c r="I1194" s="359"/>
      <c r="J1194" s="359"/>
      <c r="K1194" s="359"/>
      <c r="L1194" s="359"/>
      <c r="M1194" s="359"/>
      <c r="N1194" s="359"/>
      <c r="O1194" s="359"/>
      <c r="P1194" s="359"/>
      <c r="Q1194" s="359"/>
      <c r="R1194" s="359"/>
      <c r="S1194" s="359"/>
      <c r="T1194" s="359"/>
      <c r="U1194" s="359"/>
      <c r="V1194" s="359"/>
      <c r="W1194" s="359"/>
      <c r="X1194" s="359"/>
      <c r="Y1194" s="359"/>
      <c r="Z1194" s="359"/>
      <c r="AA1194" s="359"/>
    </row>
    <row r="1195" spans="1:27">
      <c r="A1195" s="359"/>
      <c r="B1195" s="359"/>
      <c r="C1195" s="359"/>
      <c r="D1195" s="359"/>
      <c r="E1195" s="359"/>
      <c r="F1195" s="359"/>
      <c r="G1195" s="359"/>
      <c r="H1195" s="359"/>
      <c r="I1195" s="359"/>
      <c r="J1195" s="359"/>
      <c r="K1195" s="359"/>
      <c r="L1195" s="359"/>
      <c r="M1195" s="359"/>
      <c r="N1195" s="359"/>
      <c r="O1195" s="359"/>
      <c r="P1195" s="359"/>
      <c r="Q1195" s="359"/>
      <c r="R1195" s="359"/>
      <c r="S1195" s="359"/>
      <c r="T1195" s="359"/>
      <c r="U1195" s="359"/>
      <c r="V1195" s="359"/>
      <c r="W1195" s="359"/>
      <c r="X1195" s="359"/>
      <c r="Y1195" s="359"/>
      <c r="Z1195" s="359"/>
      <c r="AA1195" s="359"/>
    </row>
    <row r="1196" spans="1:27">
      <c r="A1196" s="359"/>
      <c r="B1196" s="359"/>
      <c r="C1196" s="359"/>
      <c r="D1196" s="359"/>
      <c r="E1196" s="359"/>
      <c r="F1196" s="359"/>
      <c r="G1196" s="359"/>
      <c r="H1196" s="359"/>
      <c r="I1196" s="359"/>
      <c r="J1196" s="359"/>
      <c r="K1196" s="359"/>
      <c r="L1196" s="359"/>
      <c r="M1196" s="359"/>
      <c r="N1196" s="359"/>
      <c r="O1196" s="359"/>
      <c r="P1196" s="359"/>
      <c r="Q1196" s="359"/>
      <c r="R1196" s="359"/>
      <c r="S1196" s="359"/>
      <c r="T1196" s="359"/>
      <c r="U1196" s="359"/>
      <c r="V1196" s="359"/>
      <c r="W1196" s="359"/>
      <c r="X1196" s="359"/>
      <c r="Y1196" s="359"/>
      <c r="Z1196" s="359"/>
      <c r="AA1196" s="359"/>
    </row>
    <row r="1197" spans="1:27">
      <c r="A1197" s="359"/>
      <c r="B1197" s="359"/>
      <c r="C1197" s="359"/>
      <c r="D1197" s="359"/>
      <c r="E1197" s="359"/>
      <c r="F1197" s="359"/>
      <c r="G1197" s="359"/>
      <c r="H1197" s="359"/>
      <c r="I1197" s="359"/>
      <c r="J1197" s="359"/>
      <c r="K1197" s="359"/>
      <c r="L1197" s="359"/>
      <c r="M1197" s="359"/>
      <c r="N1197" s="359"/>
      <c r="O1197" s="359"/>
      <c r="P1197" s="359"/>
      <c r="Q1197" s="359"/>
      <c r="R1197" s="359"/>
      <c r="S1197" s="359"/>
      <c r="T1197" s="359"/>
      <c r="U1197" s="359"/>
      <c r="V1197" s="359"/>
      <c r="W1197" s="359"/>
      <c r="X1197" s="359"/>
      <c r="Y1197" s="359"/>
      <c r="Z1197" s="359"/>
      <c r="AA1197" s="359"/>
    </row>
    <row r="1198" spans="1:27">
      <c r="A1198" s="359"/>
      <c r="B1198" s="359"/>
      <c r="C1198" s="359"/>
      <c r="D1198" s="359"/>
      <c r="E1198" s="359"/>
      <c r="F1198" s="359"/>
      <c r="G1198" s="359"/>
      <c r="H1198" s="359"/>
      <c r="I1198" s="359"/>
      <c r="J1198" s="359"/>
      <c r="K1198" s="359"/>
      <c r="L1198" s="359"/>
      <c r="M1198" s="359"/>
      <c r="N1198" s="359"/>
      <c r="O1198" s="359"/>
      <c r="P1198" s="359"/>
      <c r="Q1198" s="359"/>
      <c r="R1198" s="359"/>
      <c r="S1198" s="359"/>
      <c r="T1198" s="359"/>
      <c r="U1198" s="359"/>
      <c r="V1198" s="359"/>
      <c r="W1198" s="359"/>
      <c r="X1198" s="359"/>
      <c r="Y1198" s="359"/>
      <c r="Z1198" s="359"/>
      <c r="AA1198" s="359"/>
    </row>
    <row r="1199" spans="1:27">
      <c r="A1199" s="359"/>
      <c r="B1199" s="359"/>
      <c r="C1199" s="359"/>
      <c r="D1199" s="359"/>
      <c r="E1199" s="359"/>
      <c r="F1199" s="359"/>
      <c r="G1199" s="359"/>
      <c r="H1199" s="359"/>
      <c r="I1199" s="359"/>
      <c r="J1199" s="359"/>
      <c r="K1199" s="359"/>
      <c r="L1199" s="359"/>
      <c r="M1199" s="359"/>
      <c r="N1199" s="359"/>
      <c r="O1199" s="359"/>
      <c r="P1199" s="359"/>
      <c r="Q1199" s="359"/>
      <c r="R1199" s="359"/>
      <c r="S1199" s="359"/>
      <c r="T1199" s="359"/>
      <c r="U1199" s="359"/>
      <c r="V1199" s="359"/>
      <c r="W1199" s="359"/>
      <c r="X1199" s="359"/>
      <c r="Y1199" s="359"/>
      <c r="Z1199" s="359"/>
      <c r="AA1199" s="359"/>
    </row>
    <row r="1200" spans="1:27">
      <c r="A1200" s="359"/>
      <c r="B1200" s="359"/>
      <c r="C1200" s="359"/>
      <c r="D1200" s="359"/>
      <c r="E1200" s="359"/>
      <c r="F1200" s="359"/>
      <c r="G1200" s="359"/>
      <c r="H1200" s="359"/>
      <c r="I1200" s="359"/>
      <c r="J1200" s="359"/>
      <c r="K1200" s="359"/>
      <c r="L1200" s="359"/>
      <c r="M1200" s="359"/>
      <c r="N1200" s="359"/>
      <c r="O1200" s="359"/>
      <c r="P1200" s="359"/>
      <c r="Q1200" s="359"/>
      <c r="R1200" s="359"/>
      <c r="S1200" s="359"/>
      <c r="T1200" s="359"/>
      <c r="U1200" s="359"/>
      <c r="V1200" s="359"/>
      <c r="W1200" s="359"/>
      <c r="X1200" s="359"/>
      <c r="Y1200" s="359"/>
      <c r="Z1200" s="359"/>
      <c r="AA1200" s="359"/>
    </row>
    <row r="1201" spans="1:27">
      <c r="A1201" s="359"/>
      <c r="B1201" s="359"/>
      <c r="C1201" s="359"/>
      <c r="D1201" s="359"/>
      <c r="E1201" s="359"/>
      <c r="F1201" s="359"/>
      <c r="G1201" s="359"/>
      <c r="H1201" s="359"/>
      <c r="I1201" s="359"/>
      <c r="J1201" s="359"/>
      <c r="K1201" s="359"/>
      <c r="L1201" s="359"/>
      <c r="M1201" s="359"/>
      <c r="N1201" s="359"/>
      <c r="O1201" s="359"/>
      <c r="P1201" s="359"/>
      <c r="Q1201" s="359"/>
      <c r="R1201" s="359"/>
      <c r="S1201" s="359"/>
      <c r="T1201" s="359"/>
      <c r="U1201" s="359"/>
      <c r="V1201" s="359"/>
      <c r="W1201" s="359"/>
      <c r="X1201" s="359"/>
      <c r="Y1201" s="359"/>
      <c r="Z1201" s="359"/>
      <c r="AA1201" s="359"/>
    </row>
    <row r="1202" spans="1:27">
      <c r="A1202" s="359"/>
      <c r="B1202" s="359"/>
      <c r="C1202" s="359"/>
      <c r="D1202" s="359"/>
      <c r="E1202" s="359"/>
      <c r="F1202" s="359"/>
      <c r="G1202" s="359"/>
      <c r="H1202" s="359"/>
      <c r="I1202" s="359"/>
      <c r="J1202" s="359"/>
      <c r="K1202" s="359"/>
      <c r="L1202" s="359"/>
      <c r="M1202" s="359"/>
      <c r="N1202" s="359"/>
      <c r="O1202" s="359"/>
      <c r="P1202" s="359"/>
      <c r="Q1202" s="359"/>
      <c r="R1202" s="359"/>
      <c r="S1202" s="359"/>
      <c r="T1202" s="359"/>
      <c r="U1202" s="359"/>
      <c r="V1202" s="359"/>
      <c r="W1202" s="359"/>
      <c r="X1202" s="359"/>
      <c r="Y1202" s="359"/>
      <c r="Z1202" s="359"/>
      <c r="AA1202" s="359"/>
    </row>
    <row r="1203" spans="1:27">
      <c r="A1203" s="359"/>
      <c r="B1203" s="359"/>
      <c r="C1203" s="359"/>
      <c r="D1203" s="359"/>
      <c r="E1203" s="359"/>
      <c r="F1203" s="359"/>
      <c r="G1203" s="359"/>
      <c r="H1203" s="359"/>
      <c r="I1203" s="359"/>
      <c r="J1203" s="359"/>
      <c r="K1203" s="359"/>
      <c r="L1203" s="359"/>
      <c r="M1203" s="359"/>
      <c r="N1203" s="359"/>
      <c r="O1203" s="359"/>
      <c r="P1203" s="359"/>
      <c r="Q1203" s="359"/>
      <c r="R1203" s="359"/>
      <c r="S1203" s="359"/>
      <c r="T1203" s="359"/>
      <c r="U1203" s="359"/>
      <c r="V1203" s="359"/>
      <c r="W1203" s="359"/>
      <c r="X1203" s="359"/>
      <c r="Y1203" s="359"/>
      <c r="Z1203" s="359"/>
      <c r="AA1203" s="359"/>
    </row>
    <row r="1204" spans="1:27">
      <c r="A1204" s="359"/>
      <c r="B1204" s="359"/>
      <c r="C1204" s="359"/>
      <c r="D1204" s="359"/>
      <c r="E1204" s="359"/>
      <c r="F1204" s="359"/>
      <c r="G1204" s="359"/>
      <c r="H1204" s="359"/>
      <c r="I1204" s="359"/>
      <c r="J1204" s="359"/>
      <c r="K1204" s="359"/>
      <c r="L1204" s="359"/>
      <c r="M1204" s="359"/>
      <c r="N1204" s="359"/>
      <c r="O1204" s="359"/>
      <c r="P1204" s="359"/>
      <c r="Q1204" s="359"/>
      <c r="R1204" s="359"/>
      <c r="S1204" s="359"/>
      <c r="T1204" s="359"/>
      <c r="U1204" s="359"/>
      <c r="V1204" s="359"/>
      <c r="W1204" s="359"/>
      <c r="X1204" s="359"/>
      <c r="Y1204" s="359"/>
      <c r="Z1204" s="359"/>
      <c r="AA1204" s="359"/>
    </row>
    <row r="1205" spans="1:27">
      <c r="A1205" s="359"/>
      <c r="B1205" s="359"/>
      <c r="C1205" s="359"/>
      <c r="D1205" s="359"/>
      <c r="E1205" s="359"/>
      <c r="F1205" s="359"/>
      <c r="G1205" s="359"/>
      <c r="H1205" s="359"/>
      <c r="I1205" s="359"/>
      <c r="J1205" s="359"/>
      <c r="K1205" s="359"/>
      <c r="L1205" s="359"/>
      <c r="M1205" s="359"/>
      <c r="N1205" s="359"/>
      <c r="O1205" s="359"/>
      <c r="P1205" s="359"/>
      <c r="Q1205" s="359"/>
      <c r="R1205" s="359"/>
      <c r="S1205" s="359"/>
      <c r="T1205" s="359"/>
      <c r="U1205" s="359"/>
      <c r="V1205" s="359"/>
      <c r="W1205" s="359"/>
      <c r="X1205" s="359"/>
      <c r="Y1205" s="359"/>
      <c r="Z1205" s="359"/>
      <c r="AA1205" s="359"/>
    </row>
    <row r="1206" spans="1:27">
      <c r="A1206" s="359"/>
      <c r="B1206" s="359"/>
      <c r="C1206" s="359"/>
      <c r="D1206" s="359"/>
      <c r="E1206" s="359"/>
      <c r="F1206" s="359"/>
      <c r="G1206" s="359"/>
      <c r="H1206" s="359"/>
      <c r="I1206" s="359"/>
      <c r="J1206" s="359"/>
      <c r="K1206" s="359"/>
      <c r="L1206" s="359"/>
      <c r="M1206" s="359"/>
      <c r="N1206" s="359"/>
      <c r="O1206" s="359"/>
      <c r="P1206" s="359"/>
      <c r="Q1206" s="359"/>
      <c r="R1206" s="359"/>
      <c r="S1206" s="359"/>
      <c r="T1206" s="359"/>
      <c r="U1206" s="359"/>
      <c r="V1206" s="359"/>
      <c r="W1206" s="359"/>
      <c r="X1206" s="359"/>
      <c r="Y1206" s="359"/>
      <c r="Z1206" s="359"/>
      <c r="AA1206" s="359"/>
    </row>
    <row r="1207" spans="1:27">
      <c r="A1207" s="359"/>
      <c r="B1207" s="359"/>
      <c r="C1207" s="359"/>
      <c r="D1207" s="359"/>
      <c r="E1207" s="359"/>
      <c r="F1207" s="359"/>
      <c r="G1207" s="359"/>
      <c r="H1207" s="359"/>
      <c r="I1207" s="359"/>
      <c r="J1207" s="359"/>
      <c r="K1207" s="359"/>
      <c r="L1207" s="359"/>
      <c r="M1207" s="359"/>
      <c r="N1207" s="359"/>
      <c r="O1207" s="359"/>
      <c r="P1207" s="359"/>
      <c r="Q1207" s="359"/>
      <c r="R1207" s="359"/>
      <c r="S1207" s="359"/>
      <c r="T1207" s="359"/>
      <c r="U1207" s="359"/>
      <c r="V1207" s="359"/>
      <c r="W1207" s="359"/>
      <c r="X1207" s="359"/>
      <c r="Y1207" s="359"/>
      <c r="Z1207" s="359"/>
      <c r="AA1207" s="359"/>
    </row>
    <row r="1208" spans="1:27">
      <c r="A1208" s="359"/>
      <c r="B1208" s="359"/>
      <c r="C1208" s="359"/>
      <c r="D1208" s="359"/>
      <c r="E1208" s="359"/>
      <c r="F1208" s="359"/>
      <c r="G1208" s="359"/>
      <c r="H1208" s="359"/>
      <c r="I1208" s="359"/>
      <c r="J1208" s="359"/>
      <c r="K1208" s="359"/>
      <c r="L1208" s="359"/>
      <c r="M1208" s="359"/>
      <c r="N1208" s="359"/>
      <c r="O1208" s="359"/>
      <c r="P1208" s="359"/>
      <c r="Q1208" s="359"/>
      <c r="R1208" s="359"/>
      <c r="S1208" s="359"/>
      <c r="T1208" s="359"/>
      <c r="U1208" s="359"/>
      <c r="V1208" s="359"/>
      <c r="W1208" s="359"/>
      <c r="X1208" s="359"/>
      <c r="Y1208" s="359"/>
      <c r="Z1208" s="359"/>
      <c r="AA1208" s="359"/>
    </row>
    <row r="1209" spans="1:27">
      <c r="A1209" s="359"/>
      <c r="B1209" s="359"/>
      <c r="C1209" s="359"/>
      <c r="D1209" s="359"/>
      <c r="E1209" s="359"/>
      <c r="F1209" s="359"/>
      <c r="G1209" s="359"/>
      <c r="H1209" s="359"/>
      <c r="I1209" s="359"/>
      <c r="J1209" s="359"/>
      <c r="K1209" s="359"/>
      <c r="L1209" s="359"/>
      <c r="M1209" s="359"/>
      <c r="N1209" s="359"/>
      <c r="O1209" s="359"/>
      <c r="P1209" s="359"/>
      <c r="Q1209" s="359"/>
      <c r="R1209" s="359"/>
      <c r="S1209" s="359"/>
      <c r="T1209" s="359"/>
      <c r="U1209" s="359"/>
      <c r="V1209" s="359"/>
      <c r="W1209" s="359"/>
      <c r="X1209" s="359"/>
      <c r="Y1209" s="359"/>
      <c r="Z1209" s="359"/>
      <c r="AA1209" s="359"/>
    </row>
    <row r="1210" spans="1:27">
      <c r="A1210" s="359"/>
      <c r="B1210" s="359"/>
      <c r="C1210" s="359"/>
      <c r="D1210" s="359"/>
      <c r="E1210" s="359"/>
      <c r="F1210" s="359"/>
      <c r="G1210" s="359"/>
      <c r="H1210" s="359"/>
      <c r="I1210" s="359"/>
      <c r="J1210" s="359"/>
      <c r="K1210" s="359"/>
      <c r="L1210" s="359"/>
      <c r="M1210" s="359"/>
      <c r="N1210" s="359"/>
      <c r="O1210" s="359"/>
      <c r="P1210" s="359"/>
      <c r="Q1210" s="359"/>
      <c r="R1210" s="359"/>
      <c r="S1210" s="359"/>
      <c r="T1210" s="359"/>
      <c r="U1210" s="359"/>
      <c r="V1210" s="359"/>
      <c r="W1210" s="359"/>
      <c r="X1210" s="359"/>
      <c r="Y1210" s="359"/>
      <c r="Z1210" s="359"/>
      <c r="AA1210" s="359"/>
    </row>
    <row r="1211" spans="1:27">
      <c r="A1211" s="359"/>
      <c r="B1211" s="359"/>
      <c r="C1211" s="359"/>
      <c r="D1211" s="359"/>
      <c r="E1211" s="359"/>
      <c r="F1211" s="359"/>
      <c r="G1211" s="359"/>
      <c r="H1211" s="359"/>
      <c r="I1211" s="359"/>
      <c r="J1211" s="359"/>
      <c r="K1211" s="359"/>
      <c r="L1211" s="359"/>
      <c r="M1211" s="359"/>
      <c r="N1211" s="359"/>
      <c r="O1211" s="359"/>
      <c r="P1211" s="359"/>
      <c r="Q1211" s="359"/>
      <c r="R1211" s="359"/>
      <c r="S1211" s="359"/>
      <c r="T1211" s="359"/>
      <c r="U1211" s="359"/>
      <c r="V1211" s="359"/>
      <c r="W1211" s="359"/>
      <c r="X1211" s="359"/>
      <c r="Y1211" s="359"/>
      <c r="Z1211" s="359"/>
      <c r="AA1211" s="359"/>
    </row>
    <row r="1212" spans="1:27">
      <c r="A1212" s="359"/>
      <c r="B1212" s="359"/>
      <c r="C1212" s="359"/>
      <c r="D1212" s="359"/>
      <c r="E1212" s="359"/>
      <c r="F1212" s="359"/>
      <c r="G1212" s="359"/>
      <c r="H1212" s="359"/>
      <c r="I1212" s="359"/>
      <c r="J1212" s="359"/>
      <c r="K1212" s="359"/>
      <c r="L1212" s="359"/>
      <c r="M1212" s="359"/>
      <c r="N1212" s="359"/>
      <c r="O1212" s="359"/>
      <c r="P1212" s="359"/>
      <c r="Q1212" s="359"/>
      <c r="R1212" s="359"/>
      <c r="S1212" s="359"/>
      <c r="T1212" s="359"/>
      <c r="U1212" s="359"/>
      <c r="V1212" s="359"/>
      <c r="W1212" s="359"/>
      <c r="X1212" s="359"/>
      <c r="Y1212" s="359"/>
      <c r="Z1212" s="359"/>
      <c r="AA1212" s="359"/>
    </row>
    <row r="1213" spans="1:27">
      <c r="A1213" s="359"/>
      <c r="B1213" s="359"/>
      <c r="C1213" s="359"/>
      <c r="D1213" s="359"/>
      <c r="E1213" s="359"/>
      <c r="F1213" s="359"/>
      <c r="G1213" s="359"/>
      <c r="H1213" s="359"/>
      <c r="I1213" s="359"/>
      <c r="J1213" s="359"/>
      <c r="K1213" s="359"/>
      <c r="L1213" s="359"/>
      <c r="M1213" s="359"/>
      <c r="N1213" s="359"/>
      <c r="O1213" s="359"/>
      <c r="P1213" s="359"/>
      <c r="Q1213" s="359"/>
      <c r="R1213" s="359"/>
      <c r="S1213" s="359"/>
      <c r="T1213" s="359"/>
      <c r="U1213" s="359"/>
      <c r="V1213" s="359"/>
      <c r="W1213" s="359"/>
      <c r="X1213" s="359"/>
      <c r="Y1213" s="359"/>
      <c r="Z1213" s="359"/>
      <c r="AA1213" s="359"/>
    </row>
    <row r="1214" spans="1:27">
      <c r="A1214" s="359"/>
      <c r="B1214" s="359"/>
      <c r="C1214" s="359"/>
      <c r="D1214" s="359"/>
      <c r="E1214" s="359"/>
      <c r="F1214" s="359"/>
      <c r="G1214" s="359"/>
      <c r="H1214" s="359"/>
      <c r="I1214" s="359"/>
      <c r="J1214" s="359"/>
      <c r="K1214" s="359"/>
      <c r="L1214" s="359"/>
      <c r="M1214" s="359"/>
      <c r="N1214" s="359"/>
      <c r="O1214" s="359"/>
      <c r="P1214" s="359"/>
      <c r="Q1214" s="359"/>
      <c r="R1214" s="359"/>
      <c r="S1214" s="359"/>
      <c r="T1214" s="359"/>
      <c r="U1214" s="359"/>
      <c r="V1214" s="359"/>
      <c r="W1214" s="359"/>
      <c r="X1214" s="359"/>
      <c r="Y1214" s="359"/>
      <c r="Z1214" s="359"/>
      <c r="AA1214" s="359"/>
    </row>
    <row r="1215" spans="1:27">
      <c r="A1215" s="359"/>
      <c r="B1215" s="359"/>
      <c r="C1215" s="359"/>
      <c r="D1215" s="359"/>
      <c r="E1215" s="359"/>
      <c r="F1215" s="359"/>
      <c r="G1215" s="359"/>
      <c r="H1215" s="359"/>
      <c r="I1215" s="359"/>
      <c r="J1215" s="359"/>
      <c r="K1215" s="359"/>
      <c r="L1215" s="359"/>
      <c r="M1215" s="359"/>
      <c r="N1215" s="359"/>
      <c r="O1215" s="359"/>
      <c r="P1215" s="359"/>
      <c r="Q1215" s="359"/>
      <c r="R1215" s="359"/>
      <c r="S1215" s="359"/>
      <c r="T1215" s="359"/>
      <c r="U1215" s="359"/>
      <c r="V1215" s="359"/>
      <c r="W1215" s="359"/>
      <c r="X1215" s="359"/>
      <c r="Y1215" s="359"/>
      <c r="Z1215" s="359"/>
      <c r="AA1215" s="359"/>
    </row>
    <row r="1216" spans="1:27">
      <c r="A1216" s="359"/>
      <c r="B1216" s="359"/>
      <c r="C1216" s="359"/>
      <c r="D1216" s="359"/>
      <c r="E1216" s="359"/>
      <c r="F1216" s="359"/>
      <c r="G1216" s="359"/>
      <c r="H1216" s="359"/>
      <c r="I1216" s="359"/>
      <c r="J1216" s="359"/>
      <c r="K1216" s="359"/>
      <c r="L1216" s="359"/>
      <c r="M1216" s="359"/>
      <c r="N1216" s="359"/>
      <c r="O1216" s="359"/>
      <c r="P1216" s="359"/>
      <c r="Q1216" s="359"/>
      <c r="R1216" s="359"/>
      <c r="S1216" s="359"/>
      <c r="T1216" s="359"/>
      <c r="U1216" s="359"/>
      <c r="V1216" s="359"/>
      <c r="W1216" s="359"/>
      <c r="X1216" s="359"/>
      <c r="Y1216" s="359"/>
      <c r="Z1216" s="359"/>
      <c r="AA1216" s="359"/>
    </row>
    <row r="1217" spans="1:27">
      <c r="A1217" s="359"/>
      <c r="B1217" s="359"/>
      <c r="C1217" s="359"/>
      <c r="D1217" s="359"/>
      <c r="E1217" s="359"/>
      <c r="F1217" s="359"/>
      <c r="G1217" s="359"/>
      <c r="H1217" s="359"/>
      <c r="I1217" s="359"/>
      <c r="J1217" s="359"/>
      <c r="K1217" s="359"/>
      <c r="L1217" s="359"/>
      <c r="M1217" s="359"/>
      <c r="N1217" s="359"/>
      <c r="O1217" s="359"/>
      <c r="P1217" s="359"/>
      <c r="Q1217" s="359"/>
      <c r="R1217" s="359"/>
      <c r="S1217" s="359"/>
      <c r="T1217" s="359"/>
      <c r="U1217" s="359"/>
      <c r="V1217" s="359"/>
      <c r="W1217" s="359"/>
      <c r="X1217" s="359"/>
      <c r="Y1217" s="359"/>
      <c r="Z1217" s="359"/>
      <c r="AA1217" s="359"/>
    </row>
    <row r="1218" spans="1:27">
      <c r="A1218" s="359"/>
      <c r="B1218" s="359"/>
      <c r="C1218" s="359"/>
      <c r="D1218" s="359"/>
      <c r="E1218" s="359"/>
      <c r="F1218" s="359"/>
      <c r="G1218" s="359"/>
      <c r="H1218" s="359"/>
      <c r="I1218" s="359"/>
      <c r="J1218" s="359"/>
      <c r="K1218" s="359"/>
      <c r="L1218" s="359"/>
      <c r="M1218" s="359"/>
      <c r="N1218" s="359"/>
      <c r="O1218" s="359"/>
      <c r="P1218" s="359"/>
      <c r="Q1218" s="359"/>
      <c r="R1218" s="359"/>
      <c r="S1218" s="359"/>
      <c r="T1218" s="359"/>
      <c r="U1218" s="359"/>
      <c r="V1218" s="359"/>
      <c r="W1218" s="359"/>
      <c r="X1218" s="359"/>
      <c r="Y1218" s="359"/>
      <c r="Z1218" s="359"/>
      <c r="AA1218" s="359"/>
    </row>
    <row r="1219" spans="1:27">
      <c r="A1219" s="359"/>
      <c r="B1219" s="359"/>
      <c r="C1219" s="359"/>
      <c r="D1219" s="359"/>
      <c r="E1219" s="359"/>
      <c r="F1219" s="359"/>
      <c r="G1219" s="359"/>
      <c r="H1219" s="359"/>
      <c r="I1219" s="359"/>
      <c r="J1219" s="359"/>
      <c r="K1219" s="359"/>
      <c r="L1219" s="359"/>
      <c r="M1219" s="359"/>
      <c r="N1219" s="359"/>
      <c r="O1219" s="359"/>
      <c r="P1219" s="359"/>
      <c r="Q1219" s="359"/>
      <c r="R1219" s="359"/>
      <c r="S1219" s="359"/>
      <c r="T1219" s="359"/>
      <c r="U1219" s="359"/>
      <c r="V1219" s="359"/>
      <c r="W1219" s="359"/>
      <c r="X1219" s="359"/>
      <c r="Y1219" s="359"/>
      <c r="Z1219" s="359"/>
      <c r="AA1219" s="359"/>
    </row>
    <row r="1220" spans="1:27">
      <c r="A1220" s="359"/>
      <c r="B1220" s="359"/>
      <c r="C1220" s="359"/>
      <c r="D1220" s="359"/>
      <c r="E1220" s="359"/>
      <c r="F1220" s="359"/>
      <c r="G1220" s="359"/>
      <c r="H1220" s="359"/>
      <c r="I1220" s="359"/>
      <c r="J1220" s="359"/>
      <c r="K1220" s="359"/>
      <c r="L1220" s="359"/>
      <c r="M1220" s="359"/>
      <c r="N1220" s="359"/>
      <c r="O1220" s="359"/>
      <c r="P1220" s="359"/>
      <c r="Q1220" s="359"/>
      <c r="R1220" s="359"/>
      <c r="S1220" s="359"/>
      <c r="T1220" s="359"/>
      <c r="U1220" s="359"/>
      <c r="V1220" s="359"/>
      <c r="W1220" s="359"/>
      <c r="X1220" s="359"/>
      <c r="Y1220" s="359"/>
      <c r="Z1220" s="359"/>
      <c r="AA1220" s="359"/>
    </row>
    <row r="1221" spans="1:27">
      <c r="A1221" s="359"/>
      <c r="B1221" s="359"/>
      <c r="C1221" s="359"/>
      <c r="D1221" s="359"/>
      <c r="E1221" s="359"/>
      <c r="F1221" s="359"/>
      <c r="G1221" s="359"/>
      <c r="H1221" s="359"/>
      <c r="I1221" s="359"/>
      <c r="J1221" s="359"/>
      <c r="K1221" s="359"/>
      <c r="L1221" s="359"/>
      <c r="M1221" s="359"/>
      <c r="N1221" s="359"/>
      <c r="O1221" s="359"/>
      <c r="P1221" s="359"/>
      <c r="Q1221" s="359"/>
      <c r="R1221" s="359"/>
      <c r="S1221" s="359"/>
      <c r="T1221" s="359"/>
      <c r="U1221" s="359"/>
      <c r="V1221" s="359"/>
      <c r="W1221" s="359"/>
      <c r="X1221" s="359"/>
      <c r="Y1221" s="359"/>
      <c r="Z1221" s="359"/>
      <c r="AA1221" s="359"/>
    </row>
    <row r="1222" spans="1:27">
      <c r="A1222" s="359"/>
      <c r="B1222" s="359"/>
      <c r="C1222" s="359"/>
      <c r="D1222" s="359"/>
      <c r="E1222" s="359"/>
      <c r="F1222" s="359"/>
      <c r="G1222" s="359"/>
      <c r="H1222" s="359"/>
      <c r="I1222" s="359"/>
      <c r="J1222" s="359"/>
      <c r="K1222" s="359"/>
      <c r="L1222" s="359"/>
      <c r="M1222" s="359"/>
      <c r="N1222" s="359"/>
      <c r="O1222" s="359"/>
      <c r="P1222" s="359"/>
      <c r="Q1222" s="359"/>
      <c r="R1222" s="359"/>
      <c r="S1222" s="359"/>
      <c r="T1222" s="359"/>
      <c r="U1222" s="359"/>
      <c r="V1222" s="359"/>
      <c r="W1222" s="359"/>
      <c r="X1222" s="359"/>
      <c r="Y1222" s="359"/>
      <c r="Z1222" s="359"/>
      <c r="AA1222" s="359"/>
    </row>
    <row r="1223" spans="1:27">
      <c r="A1223" s="359"/>
      <c r="B1223" s="359"/>
      <c r="C1223" s="359"/>
      <c r="D1223" s="359"/>
      <c r="E1223" s="359"/>
      <c r="F1223" s="359"/>
      <c r="G1223" s="359"/>
      <c r="H1223" s="359"/>
      <c r="I1223" s="359"/>
      <c r="J1223" s="359"/>
      <c r="K1223" s="359"/>
      <c r="L1223" s="359"/>
      <c r="M1223" s="359"/>
      <c r="N1223" s="359"/>
      <c r="O1223" s="359"/>
      <c r="P1223" s="359"/>
      <c r="Q1223" s="359"/>
      <c r="R1223" s="359"/>
      <c r="S1223" s="359"/>
      <c r="T1223" s="359"/>
      <c r="U1223" s="359"/>
      <c r="V1223" s="359"/>
      <c r="W1223" s="359"/>
      <c r="X1223" s="359"/>
      <c r="Y1223" s="359"/>
      <c r="Z1223" s="359"/>
      <c r="AA1223" s="359"/>
    </row>
    <row r="1224" spans="1:27">
      <c r="A1224" s="359"/>
      <c r="B1224" s="359"/>
      <c r="C1224" s="359"/>
      <c r="D1224" s="359"/>
      <c r="E1224" s="359"/>
      <c r="F1224" s="359"/>
      <c r="G1224" s="359"/>
      <c r="H1224" s="359"/>
      <c r="I1224" s="359"/>
      <c r="J1224" s="359"/>
      <c r="K1224" s="359"/>
      <c r="L1224" s="359"/>
      <c r="M1224" s="359"/>
      <c r="N1224" s="359"/>
      <c r="O1224" s="359"/>
      <c r="P1224" s="359"/>
      <c r="Q1224" s="359"/>
      <c r="R1224" s="359"/>
      <c r="S1224" s="359"/>
      <c r="T1224" s="359"/>
      <c r="U1224" s="359"/>
      <c r="V1224" s="359"/>
      <c r="W1224" s="359"/>
      <c r="X1224" s="359"/>
      <c r="Y1224" s="359"/>
      <c r="Z1224" s="359"/>
      <c r="AA1224" s="359"/>
    </row>
    <row r="1225" spans="1:27">
      <c r="A1225" s="359"/>
      <c r="B1225" s="359"/>
      <c r="C1225" s="359"/>
      <c r="D1225" s="359"/>
      <c r="E1225" s="359"/>
      <c r="F1225" s="359"/>
      <c r="G1225" s="359"/>
      <c r="H1225" s="359"/>
      <c r="I1225" s="359"/>
      <c r="J1225" s="359"/>
      <c r="K1225" s="359"/>
      <c r="L1225" s="359"/>
      <c r="M1225" s="359"/>
      <c r="N1225" s="359"/>
      <c r="O1225" s="359"/>
      <c r="P1225" s="359"/>
      <c r="Q1225" s="359"/>
      <c r="R1225" s="359"/>
      <c r="S1225" s="359"/>
      <c r="T1225" s="359"/>
      <c r="U1225" s="359"/>
      <c r="V1225" s="359"/>
      <c r="W1225" s="359"/>
      <c r="X1225" s="359"/>
      <c r="Y1225" s="359"/>
      <c r="Z1225" s="359"/>
      <c r="AA1225" s="359"/>
    </row>
    <row r="1226" spans="1:27">
      <c r="A1226" s="359"/>
      <c r="B1226" s="359"/>
      <c r="C1226" s="359"/>
      <c r="D1226" s="359"/>
      <c r="E1226" s="359"/>
      <c r="F1226" s="359"/>
      <c r="G1226" s="359"/>
      <c r="H1226" s="359"/>
      <c r="I1226" s="359"/>
      <c r="J1226" s="359"/>
      <c r="K1226" s="359"/>
      <c r="L1226" s="359"/>
      <c r="M1226" s="359"/>
      <c r="N1226" s="359"/>
      <c r="O1226" s="359"/>
      <c r="P1226" s="359"/>
      <c r="Q1226" s="359"/>
      <c r="R1226" s="359"/>
      <c r="S1226" s="359"/>
      <c r="T1226" s="359"/>
      <c r="U1226" s="359"/>
      <c r="V1226" s="359"/>
      <c r="W1226" s="359"/>
      <c r="X1226" s="359"/>
      <c r="Y1226" s="359"/>
      <c r="Z1226" s="359"/>
      <c r="AA1226" s="359"/>
    </row>
    <row r="1227" spans="1:27">
      <c r="A1227" s="359"/>
      <c r="B1227" s="359"/>
      <c r="C1227" s="359"/>
      <c r="D1227" s="359"/>
      <c r="E1227" s="359"/>
      <c r="F1227" s="359"/>
      <c r="G1227" s="359"/>
      <c r="H1227" s="359"/>
      <c r="I1227" s="359"/>
      <c r="J1227" s="359"/>
      <c r="K1227" s="359"/>
      <c r="L1227" s="359"/>
      <c r="M1227" s="359"/>
      <c r="N1227" s="359"/>
      <c r="O1227" s="359"/>
      <c r="P1227" s="359"/>
      <c r="Q1227" s="359"/>
      <c r="R1227" s="359"/>
      <c r="S1227" s="359"/>
      <c r="T1227" s="359"/>
      <c r="U1227" s="359"/>
      <c r="V1227" s="359"/>
      <c r="W1227" s="359"/>
      <c r="X1227" s="359"/>
      <c r="Y1227" s="359"/>
      <c r="Z1227" s="359"/>
      <c r="AA1227" s="359"/>
    </row>
    <row r="1228" spans="1:27">
      <c r="A1228" s="359"/>
      <c r="B1228" s="359"/>
      <c r="C1228" s="359"/>
      <c r="D1228" s="359"/>
      <c r="E1228" s="359"/>
      <c r="F1228" s="359"/>
      <c r="G1228" s="359"/>
      <c r="H1228" s="359"/>
      <c r="I1228" s="359"/>
      <c r="J1228" s="359"/>
      <c r="K1228" s="359"/>
      <c r="L1228" s="359"/>
      <c r="M1228" s="359"/>
      <c r="N1228" s="359"/>
      <c r="O1228" s="359"/>
      <c r="P1228" s="359"/>
      <c r="Q1228" s="359"/>
      <c r="R1228" s="359"/>
      <c r="S1228" s="359"/>
      <c r="T1228" s="359"/>
      <c r="U1228" s="359"/>
      <c r="V1228" s="359"/>
      <c r="W1228" s="359"/>
      <c r="X1228" s="359"/>
      <c r="Y1228" s="359"/>
      <c r="Z1228" s="359"/>
      <c r="AA1228" s="359"/>
    </row>
    <row r="1229" spans="1:27">
      <c r="A1229" s="359"/>
      <c r="B1229" s="359"/>
      <c r="C1229" s="359"/>
      <c r="D1229" s="359"/>
      <c r="E1229" s="359"/>
      <c r="F1229" s="359"/>
      <c r="G1229" s="359"/>
      <c r="H1229" s="359"/>
      <c r="I1229" s="359"/>
      <c r="J1229" s="359"/>
      <c r="K1229" s="359"/>
      <c r="L1229" s="359"/>
      <c r="M1229" s="359"/>
      <c r="N1229" s="359"/>
      <c r="O1229" s="359"/>
      <c r="P1229" s="359"/>
      <c r="Q1229" s="359"/>
      <c r="R1229" s="359"/>
      <c r="S1229" s="359"/>
      <c r="T1229" s="359"/>
      <c r="U1229" s="359"/>
      <c r="V1229" s="359"/>
      <c r="W1229" s="359"/>
      <c r="X1229" s="359"/>
      <c r="Y1229" s="359"/>
      <c r="Z1229" s="359"/>
      <c r="AA1229" s="359"/>
    </row>
    <row r="1230" spans="1:27">
      <c r="A1230" s="359"/>
      <c r="B1230" s="359"/>
      <c r="C1230" s="359"/>
      <c r="D1230" s="359"/>
      <c r="E1230" s="359"/>
      <c r="F1230" s="359"/>
      <c r="G1230" s="359"/>
      <c r="H1230" s="359"/>
      <c r="I1230" s="359"/>
      <c r="J1230" s="359"/>
      <c r="K1230" s="359"/>
      <c r="L1230" s="359"/>
      <c r="M1230" s="359"/>
      <c r="N1230" s="359"/>
      <c r="O1230" s="359"/>
      <c r="P1230" s="359"/>
      <c r="Q1230" s="359"/>
      <c r="R1230" s="359"/>
      <c r="S1230" s="359"/>
      <c r="T1230" s="359"/>
      <c r="U1230" s="359"/>
      <c r="V1230" s="359"/>
      <c r="W1230" s="359"/>
      <c r="X1230" s="359"/>
      <c r="Y1230" s="359"/>
      <c r="Z1230" s="359"/>
      <c r="AA1230" s="359"/>
    </row>
    <row r="1231" spans="1:27">
      <c r="A1231" s="359"/>
      <c r="B1231" s="359"/>
      <c r="C1231" s="359"/>
      <c r="D1231" s="359"/>
      <c r="E1231" s="359"/>
      <c r="F1231" s="359"/>
      <c r="G1231" s="359"/>
      <c r="H1231" s="359"/>
      <c r="I1231" s="359"/>
      <c r="J1231" s="359"/>
      <c r="K1231" s="359"/>
      <c r="L1231" s="359"/>
      <c r="M1231" s="359"/>
      <c r="N1231" s="359"/>
      <c r="O1231" s="359"/>
      <c r="P1231" s="359"/>
      <c r="Q1231" s="359"/>
      <c r="R1231" s="359"/>
      <c r="S1231" s="359"/>
      <c r="T1231" s="359"/>
      <c r="U1231" s="359"/>
      <c r="V1231" s="359"/>
      <c r="W1231" s="359"/>
      <c r="X1231" s="359"/>
      <c r="Y1231" s="359"/>
      <c r="Z1231" s="359"/>
      <c r="AA1231" s="359"/>
    </row>
    <row r="1232" spans="1:27">
      <c r="A1232" s="359"/>
      <c r="B1232" s="359"/>
      <c r="C1232" s="359"/>
      <c r="D1232" s="359"/>
      <c r="E1232" s="359"/>
      <c r="F1232" s="359"/>
      <c r="G1232" s="359"/>
      <c r="H1232" s="359"/>
      <c r="I1232" s="359"/>
      <c r="J1232" s="359"/>
      <c r="K1232" s="359"/>
      <c r="L1232" s="359"/>
      <c r="M1232" s="359"/>
      <c r="N1232" s="359"/>
      <c r="O1232" s="359"/>
      <c r="P1232" s="359"/>
      <c r="Q1232" s="359"/>
      <c r="R1232" s="359"/>
      <c r="S1232" s="359"/>
      <c r="T1232" s="359"/>
      <c r="U1232" s="359"/>
      <c r="V1232" s="359"/>
      <c r="W1232" s="359"/>
      <c r="X1232" s="359"/>
      <c r="Y1232" s="359"/>
      <c r="Z1232" s="359"/>
      <c r="AA1232" s="359"/>
    </row>
    <row r="1233" spans="1:27">
      <c r="A1233" s="359"/>
      <c r="B1233" s="359"/>
      <c r="C1233" s="359"/>
      <c r="D1233" s="359"/>
      <c r="E1233" s="359"/>
      <c r="F1233" s="359"/>
      <c r="G1233" s="359"/>
      <c r="H1233" s="359"/>
      <c r="I1233" s="359"/>
      <c r="J1233" s="359"/>
      <c r="K1233" s="359"/>
      <c r="L1233" s="359"/>
      <c r="M1233" s="359"/>
      <c r="N1233" s="359"/>
      <c r="O1233" s="359"/>
      <c r="P1233" s="359"/>
      <c r="Q1233" s="359"/>
      <c r="R1233" s="359"/>
      <c r="S1233" s="359"/>
      <c r="T1233" s="359"/>
      <c r="U1233" s="359"/>
      <c r="V1233" s="359"/>
      <c r="W1233" s="359"/>
      <c r="X1233" s="359"/>
      <c r="Y1233" s="359"/>
      <c r="Z1233" s="359"/>
      <c r="AA1233" s="359"/>
    </row>
    <row r="1234" spans="1:27">
      <c r="A1234" s="359"/>
      <c r="B1234" s="359"/>
      <c r="C1234" s="359"/>
      <c r="D1234" s="359"/>
      <c r="E1234" s="359"/>
      <c r="F1234" s="359"/>
      <c r="G1234" s="359"/>
      <c r="H1234" s="359"/>
      <c r="I1234" s="359"/>
      <c r="J1234" s="359"/>
      <c r="K1234" s="359"/>
      <c r="L1234" s="359"/>
      <c r="M1234" s="359"/>
      <c r="N1234" s="359"/>
      <c r="O1234" s="359"/>
      <c r="P1234" s="359"/>
      <c r="Q1234" s="359"/>
      <c r="R1234" s="359"/>
      <c r="S1234" s="359"/>
      <c r="T1234" s="359"/>
      <c r="U1234" s="359"/>
      <c r="V1234" s="359"/>
      <c r="W1234" s="359"/>
      <c r="X1234" s="359"/>
      <c r="Y1234" s="359"/>
      <c r="Z1234" s="359"/>
      <c r="AA1234" s="359"/>
    </row>
    <row r="1235" spans="1:27">
      <c r="A1235" s="359"/>
      <c r="B1235" s="359"/>
      <c r="C1235" s="359"/>
      <c r="D1235" s="359"/>
      <c r="E1235" s="359"/>
      <c r="F1235" s="359"/>
      <c r="G1235" s="359"/>
      <c r="H1235" s="359"/>
      <c r="I1235" s="359"/>
      <c r="J1235" s="359"/>
      <c r="K1235" s="359"/>
      <c r="L1235" s="359"/>
      <c r="M1235" s="359"/>
      <c r="N1235" s="359"/>
      <c r="O1235" s="359"/>
      <c r="P1235" s="359"/>
      <c r="Q1235" s="359"/>
      <c r="R1235" s="359"/>
      <c r="S1235" s="359"/>
      <c r="T1235" s="359"/>
      <c r="U1235" s="359"/>
      <c r="V1235" s="359"/>
      <c r="W1235" s="359"/>
      <c r="X1235" s="359"/>
      <c r="Y1235" s="359"/>
      <c r="Z1235" s="359"/>
      <c r="AA1235" s="359"/>
    </row>
    <row r="1236" spans="1:27">
      <c r="A1236" s="359"/>
      <c r="B1236" s="359"/>
      <c r="C1236" s="359"/>
      <c r="D1236" s="359"/>
      <c r="E1236" s="359"/>
      <c r="F1236" s="359"/>
      <c r="G1236" s="359"/>
      <c r="H1236" s="359"/>
      <c r="I1236" s="359"/>
      <c r="J1236" s="359"/>
      <c r="K1236" s="359"/>
      <c r="L1236" s="359"/>
      <c r="M1236" s="359"/>
      <c r="N1236" s="359"/>
      <c r="O1236" s="359"/>
      <c r="P1236" s="359"/>
      <c r="Q1236" s="359"/>
      <c r="R1236" s="359"/>
      <c r="S1236" s="359"/>
      <c r="T1236" s="359"/>
      <c r="U1236" s="359"/>
      <c r="V1236" s="359"/>
      <c r="W1236" s="359"/>
      <c r="X1236" s="359"/>
      <c r="Y1236" s="359"/>
      <c r="Z1236" s="359"/>
      <c r="AA1236" s="359"/>
    </row>
    <row r="1237" spans="1:27">
      <c r="A1237" s="359"/>
      <c r="B1237" s="359"/>
      <c r="C1237" s="359"/>
      <c r="D1237" s="359"/>
      <c r="E1237" s="359"/>
      <c r="F1237" s="359"/>
      <c r="G1237" s="359"/>
      <c r="H1237" s="359"/>
      <c r="I1237" s="359"/>
      <c r="J1237" s="359"/>
      <c r="K1237" s="359"/>
      <c r="L1237" s="359"/>
      <c r="M1237" s="359"/>
      <c r="N1237" s="359"/>
      <c r="O1237" s="359"/>
      <c r="P1237" s="359"/>
      <c r="Q1237" s="359"/>
      <c r="R1237" s="359"/>
      <c r="S1237" s="359"/>
      <c r="T1237" s="359"/>
      <c r="U1237" s="359"/>
      <c r="V1237" s="359"/>
      <c r="W1237" s="359"/>
      <c r="X1237" s="359"/>
      <c r="Y1237" s="359"/>
      <c r="Z1237" s="359"/>
      <c r="AA1237" s="359"/>
    </row>
    <row r="1238" spans="1:27">
      <c r="A1238" s="359"/>
      <c r="B1238" s="359"/>
      <c r="C1238" s="359"/>
      <c r="D1238" s="359"/>
      <c r="E1238" s="359"/>
      <c r="F1238" s="359"/>
      <c r="G1238" s="359"/>
      <c r="H1238" s="359"/>
      <c r="I1238" s="359"/>
      <c r="J1238" s="359"/>
      <c r="K1238" s="359"/>
      <c r="L1238" s="359"/>
      <c r="M1238" s="359"/>
      <c r="N1238" s="359"/>
      <c r="O1238" s="359"/>
      <c r="P1238" s="359"/>
      <c r="Q1238" s="359"/>
      <c r="R1238" s="359"/>
      <c r="S1238" s="359"/>
      <c r="T1238" s="359"/>
      <c r="U1238" s="359"/>
      <c r="V1238" s="359"/>
      <c r="W1238" s="359"/>
      <c r="X1238" s="359"/>
      <c r="Y1238" s="359"/>
      <c r="Z1238" s="359"/>
      <c r="AA1238" s="359"/>
    </row>
    <row r="1239" spans="1:27">
      <c r="A1239" s="359"/>
      <c r="B1239" s="359"/>
      <c r="C1239" s="359"/>
      <c r="D1239" s="359"/>
      <c r="E1239" s="359"/>
      <c r="F1239" s="359"/>
      <c r="G1239" s="359"/>
      <c r="H1239" s="359"/>
      <c r="I1239" s="359"/>
      <c r="J1239" s="359"/>
      <c r="K1239" s="359"/>
      <c r="L1239" s="359"/>
      <c r="M1239" s="359"/>
      <c r="N1239" s="359"/>
      <c r="O1239" s="359"/>
      <c r="P1239" s="359"/>
      <c r="Q1239" s="359"/>
      <c r="R1239" s="359"/>
      <c r="S1239" s="359"/>
      <c r="T1239" s="359"/>
      <c r="U1239" s="359"/>
      <c r="V1239" s="359"/>
      <c r="W1239" s="359"/>
      <c r="X1239" s="359"/>
      <c r="Y1239" s="359"/>
      <c r="Z1239" s="359"/>
      <c r="AA1239" s="359"/>
    </row>
    <row r="1240" spans="1:27">
      <c r="A1240" s="359"/>
      <c r="B1240" s="359"/>
      <c r="C1240" s="359"/>
      <c r="D1240" s="359"/>
      <c r="E1240" s="359"/>
      <c r="F1240" s="359"/>
      <c r="G1240" s="359"/>
      <c r="H1240" s="359"/>
      <c r="I1240" s="359"/>
      <c r="J1240" s="359"/>
      <c r="K1240" s="359"/>
      <c r="L1240" s="359"/>
      <c r="M1240" s="359"/>
      <c r="N1240" s="359"/>
      <c r="O1240" s="359"/>
      <c r="P1240" s="359"/>
      <c r="Q1240" s="359"/>
      <c r="R1240" s="359"/>
      <c r="S1240" s="359"/>
      <c r="T1240" s="359"/>
      <c r="U1240" s="359"/>
      <c r="V1240" s="359"/>
      <c r="W1240" s="359"/>
      <c r="X1240" s="359"/>
      <c r="Y1240" s="359"/>
      <c r="Z1240" s="359"/>
      <c r="AA1240" s="359"/>
    </row>
    <row r="1241" spans="1:27">
      <c r="A1241" s="359"/>
      <c r="B1241" s="359"/>
      <c r="C1241" s="359"/>
      <c r="D1241" s="359"/>
      <c r="E1241" s="359"/>
      <c r="F1241" s="359"/>
      <c r="G1241" s="359"/>
      <c r="H1241" s="359"/>
      <c r="I1241" s="359"/>
      <c r="J1241" s="359"/>
      <c r="K1241" s="359"/>
      <c r="L1241" s="359"/>
      <c r="M1241" s="359"/>
      <c r="N1241" s="359"/>
      <c r="O1241" s="359"/>
      <c r="P1241" s="359"/>
      <c r="Q1241" s="359"/>
      <c r="R1241" s="359"/>
      <c r="S1241" s="359"/>
      <c r="T1241" s="359"/>
      <c r="U1241" s="359"/>
      <c r="V1241" s="359"/>
      <c r="W1241" s="359"/>
      <c r="X1241" s="359"/>
      <c r="Y1241" s="359"/>
      <c r="Z1241" s="359"/>
      <c r="AA1241" s="359"/>
    </row>
    <row r="1242" spans="1:27">
      <c r="A1242" s="359"/>
      <c r="B1242" s="359"/>
      <c r="C1242" s="359"/>
      <c r="D1242" s="359"/>
      <c r="E1242" s="359"/>
      <c r="F1242" s="359"/>
      <c r="G1242" s="359"/>
      <c r="H1242" s="359"/>
      <c r="I1242" s="359"/>
      <c r="J1242" s="359"/>
      <c r="K1242" s="359"/>
      <c r="L1242" s="359"/>
      <c r="M1242" s="359"/>
      <c r="N1242" s="359"/>
      <c r="O1242" s="359"/>
      <c r="P1242" s="359"/>
      <c r="Q1242" s="359"/>
      <c r="R1242" s="359"/>
      <c r="S1242" s="359"/>
      <c r="T1242" s="359"/>
      <c r="U1242" s="359"/>
      <c r="V1242" s="359"/>
      <c r="W1242" s="359"/>
      <c r="X1242" s="359"/>
      <c r="Y1242" s="359"/>
      <c r="Z1242" s="359"/>
      <c r="AA1242" s="359"/>
    </row>
    <row r="1243" spans="1:27">
      <c r="A1243" s="359"/>
      <c r="B1243" s="359"/>
      <c r="C1243" s="359"/>
      <c r="D1243" s="359"/>
      <c r="E1243" s="359"/>
      <c r="F1243" s="359"/>
      <c r="G1243" s="359"/>
      <c r="H1243" s="359"/>
      <c r="I1243" s="359"/>
      <c r="J1243" s="359"/>
      <c r="K1243" s="359"/>
      <c r="L1243" s="359"/>
      <c r="M1243" s="359"/>
      <c r="N1243" s="359"/>
      <c r="O1243" s="359"/>
      <c r="P1243" s="359"/>
      <c r="Q1243" s="359"/>
      <c r="R1243" s="359"/>
      <c r="S1243" s="359"/>
      <c r="T1243" s="359"/>
      <c r="U1243" s="359"/>
      <c r="V1243" s="359"/>
      <c r="W1243" s="359"/>
      <c r="X1243" s="359"/>
      <c r="Y1243" s="359"/>
      <c r="Z1243" s="359"/>
      <c r="AA1243" s="359"/>
    </row>
    <row r="1244" spans="1:27">
      <c r="A1244" s="359"/>
      <c r="B1244" s="359"/>
      <c r="C1244" s="359"/>
      <c r="D1244" s="359"/>
      <c r="E1244" s="359"/>
      <c r="F1244" s="359"/>
      <c r="G1244" s="359"/>
      <c r="H1244" s="359"/>
      <c r="I1244" s="359"/>
      <c r="J1244" s="359"/>
      <c r="K1244" s="359"/>
      <c r="L1244" s="359"/>
      <c r="M1244" s="359"/>
      <c r="N1244" s="359"/>
      <c r="O1244" s="359"/>
      <c r="P1244" s="359"/>
      <c r="Q1244" s="359"/>
      <c r="R1244" s="359"/>
      <c r="S1244" s="359"/>
      <c r="T1244" s="359"/>
      <c r="U1244" s="359"/>
      <c r="V1244" s="359"/>
      <c r="W1244" s="359"/>
      <c r="X1244" s="359"/>
      <c r="Y1244" s="359"/>
      <c r="Z1244" s="359"/>
      <c r="AA1244" s="359"/>
    </row>
    <row r="1245" spans="1:27">
      <c r="A1245" s="359"/>
      <c r="B1245" s="359"/>
      <c r="C1245" s="359"/>
      <c r="D1245" s="359"/>
      <c r="E1245" s="359"/>
      <c r="F1245" s="359"/>
      <c r="G1245" s="359"/>
      <c r="H1245" s="359"/>
      <c r="I1245" s="359"/>
      <c r="J1245" s="359"/>
      <c r="K1245" s="359"/>
      <c r="L1245" s="359"/>
      <c r="M1245" s="359"/>
      <c r="N1245" s="359"/>
      <c r="O1245" s="359"/>
      <c r="P1245" s="359"/>
      <c r="Q1245" s="359"/>
      <c r="R1245" s="359"/>
      <c r="S1245" s="359"/>
      <c r="T1245" s="359"/>
      <c r="U1245" s="359"/>
      <c r="V1245" s="359"/>
      <c r="W1245" s="359"/>
      <c r="X1245" s="359"/>
      <c r="Y1245" s="359"/>
      <c r="Z1245" s="359"/>
      <c r="AA1245" s="359"/>
    </row>
    <row r="1246" spans="1:27">
      <c r="A1246" s="359"/>
      <c r="B1246" s="359"/>
      <c r="C1246" s="359"/>
      <c r="D1246" s="359"/>
      <c r="E1246" s="359"/>
      <c r="F1246" s="359"/>
      <c r="G1246" s="359"/>
      <c r="H1246" s="359"/>
      <c r="I1246" s="359"/>
      <c r="J1246" s="359"/>
      <c r="K1246" s="359"/>
      <c r="L1246" s="359"/>
      <c r="M1246" s="359"/>
      <c r="N1246" s="359"/>
      <c r="O1246" s="359"/>
      <c r="P1246" s="359"/>
      <c r="Q1246" s="359"/>
      <c r="R1246" s="359"/>
      <c r="S1246" s="359"/>
      <c r="T1246" s="359"/>
      <c r="U1246" s="359"/>
      <c r="V1246" s="359"/>
      <c r="W1246" s="359"/>
      <c r="X1246" s="359"/>
      <c r="Y1246" s="359"/>
      <c r="Z1246" s="359"/>
      <c r="AA1246" s="359"/>
    </row>
    <row r="1247" spans="1:27">
      <c r="A1247" s="359"/>
      <c r="B1247" s="359"/>
      <c r="C1247" s="359"/>
      <c r="D1247" s="359"/>
      <c r="E1247" s="359"/>
      <c r="F1247" s="359"/>
      <c r="G1247" s="359"/>
      <c r="H1247" s="359"/>
      <c r="I1247" s="359"/>
      <c r="J1247" s="359"/>
      <c r="K1247" s="359"/>
      <c r="L1247" s="359"/>
      <c r="M1247" s="359"/>
      <c r="N1247" s="359"/>
      <c r="O1247" s="359"/>
      <c r="P1247" s="359"/>
      <c r="Q1247" s="359"/>
      <c r="R1247" s="359"/>
      <c r="S1247" s="359"/>
      <c r="T1247" s="359"/>
      <c r="U1247" s="359"/>
      <c r="V1247" s="359"/>
      <c r="W1247" s="359"/>
      <c r="X1247" s="359"/>
      <c r="Y1247" s="359"/>
      <c r="Z1247" s="359"/>
      <c r="AA1247" s="359"/>
    </row>
    <row r="1248" spans="1:27">
      <c r="A1248" s="359"/>
      <c r="B1248" s="359"/>
      <c r="C1248" s="359"/>
      <c r="D1248" s="359"/>
      <c r="E1248" s="359"/>
      <c r="F1248" s="359"/>
      <c r="G1248" s="359"/>
      <c r="H1248" s="359"/>
      <c r="I1248" s="359"/>
      <c r="J1248" s="359"/>
      <c r="K1248" s="359"/>
      <c r="L1248" s="359"/>
      <c r="M1248" s="359"/>
      <c r="N1248" s="359"/>
      <c r="O1248" s="359"/>
      <c r="P1248" s="359"/>
      <c r="Q1248" s="359"/>
      <c r="R1248" s="359"/>
      <c r="S1248" s="359"/>
      <c r="T1248" s="359"/>
      <c r="U1248" s="359"/>
      <c r="V1248" s="359"/>
      <c r="W1248" s="359"/>
      <c r="X1248" s="359"/>
      <c r="Y1248" s="359"/>
      <c r="Z1248" s="359"/>
      <c r="AA1248" s="359"/>
    </row>
    <row r="1249" spans="1:27">
      <c r="A1249" s="359"/>
      <c r="B1249" s="359"/>
      <c r="C1249" s="359"/>
      <c r="D1249" s="359"/>
      <c r="E1249" s="359"/>
      <c r="F1249" s="359"/>
      <c r="G1249" s="359"/>
      <c r="H1249" s="359"/>
      <c r="I1249" s="359"/>
      <c r="J1249" s="359"/>
      <c r="K1249" s="359"/>
      <c r="L1249" s="359"/>
      <c r="M1249" s="359"/>
      <c r="N1249" s="359"/>
      <c r="O1249" s="359"/>
      <c r="P1249" s="359"/>
      <c r="Q1249" s="359"/>
      <c r="R1249" s="359"/>
      <c r="S1249" s="359"/>
      <c r="T1249" s="359"/>
      <c r="U1249" s="359"/>
      <c r="V1249" s="359"/>
      <c r="W1249" s="359"/>
      <c r="X1249" s="359"/>
      <c r="Y1249" s="359"/>
      <c r="Z1249" s="359"/>
      <c r="AA1249" s="359"/>
    </row>
    <row r="1250" spans="1:27">
      <c r="A1250" s="359"/>
      <c r="B1250" s="359"/>
      <c r="C1250" s="359"/>
      <c r="D1250" s="359"/>
      <c r="E1250" s="359"/>
      <c r="F1250" s="359"/>
      <c r="G1250" s="359"/>
      <c r="H1250" s="359"/>
      <c r="I1250" s="359"/>
      <c r="J1250" s="359"/>
      <c r="K1250" s="359"/>
      <c r="L1250" s="359"/>
      <c r="M1250" s="359"/>
      <c r="N1250" s="359"/>
      <c r="O1250" s="359"/>
      <c r="P1250" s="359"/>
      <c r="Q1250" s="359"/>
      <c r="R1250" s="359"/>
      <c r="S1250" s="359"/>
      <c r="T1250" s="359"/>
      <c r="U1250" s="359"/>
      <c r="V1250" s="359"/>
      <c r="W1250" s="359"/>
      <c r="X1250" s="359"/>
      <c r="Y1250" s="359"/>
      <c r="Z1250" s="359"/>
      <c r="AA1250" s="359"/>
    </row>
    <row r="1251" spans="1:27">
      <c r="A1251" s="359"/>
      <c r="B1251" s="359"/>
      <c r="C1251" s="359"/>
      <c r="D1251" s="359"/>
      <c r="E1251" s="359"/>
      <c r="F1251" s="359"/>
      <c r="G1251" s="359"/>
      <c r="H1251" s="359"/>
      <c r="I1251" s="359"/>
      <c r="J1251" s="359"/>
      <c r="K1251" s="359"/>
      <c r="L1251" s="359"/>
      <c r="M1251" s="359"/>
      <c r="N1251" s="359"/>
      <c r="O1251" s="359"/>
      <c r="P1251" s="359"/>
      <c r="Q1251" s="359"/>
      <c r="R1251" s="359"/>
      <c r="S1251" s="359"/>
      <c r="T1251" s="359"/>
      <c r="U1251" s="359"/>
      <c r="V1251" s="359"/>
      <c r="W1251" s="359"/>
      <c r="X1251" s="359"/>
      <c r="Y1251" s="359"/>
      <c r="Z1251" s="359"/>
      <c r="AA1251" s="359"/>
    </row>
    <row r="1252" spans="1:27">
      <c r="A1252" s="359"/>
      <c r="B1252" s="359"/>
      <c r="C1252" s="359"/>
      <c r="D1252" s="359"/>
      <c r="E1252" s="359"/>
      <c r="F1252" s="359"/>
      <c r="G1252" s="359"/>
      <c r="H1252" s="359"/>
      <c r="I1252" s="359"/>
      <c r="J1252" s="359"/>
      <c r="K1252" s="359"/>
      <c r="L1252" s="359"/>
      <c r="M1252" s="359"/>
      <c r="N1252" s="359"/>
      <c r="O1252" s="359"/>
      <c r="P1252" s="359"/>
      <c r="Q1252" s="359"/>
      <c r="R1252" s="359"/>
      <c r="S1252" s="359"/>
      <c r="T1252" s="359"/>
      <c r="U1252" s="359"/>
      <c r="V1252" s="359"/>
      <c r="W1252" s="359"/>
      <c r="X1252" s="359"/>
      <c r="Y1252" s="359"/>
      <c r="Z1252" s="359"/>
      <c r="AA1252" s="359"/>
    </row>
    <row r="1253" spans="1:27">
      <c r="A1253" s="359"/>
      <c r="B1253" s="359"/>
      <c r="C1253" s="359"/>
      <c r="D1253" s="359"/>
      <c r="E1253" s="359"/>
      <c r="F1253" s="359"/>
      <c r="G1253" s="359"/>
      <c r="H1253" s="359"/>
      <c r="I1253" s="359"/>
      <c r="J1253" s="359"/>
      <c r="K1253" s="359"/>
      <c r="L1253" s="359"/>
      <c r="M1253" s="359"/>
      <c r="N1253" s="359"/>
      <c r="O1253" s="359"/>
      <c r="P1253" s="359"/>
      <c r="Q1253" s="359"/>
      <c r="R1253" s="359"/>
      <c r="S1253" s="359"/>
      <c r="T1253" s="359"/>
      <c r="U1253" s="359"/>
      <c r="V1253" s="359"/>
      <c r="W1253" s="359"/>
      <c r="X1253" s="359"/>
      <c r="Y1253" s="359"/>
      <c r="Z1253" s="359"/>
      <c r="AA1253" s="359"/>
    </row>
    <row r="1254" spans="1:27">
      <c r="A1254" s="359"/>
      <c r="B1254" s="359"/>
      <c r="C1254" s="359"/>
      <c r="D1254" s="359"/>
      <c r="E1254" s="359"/>
      <c r="F1254" s="359"/>
      <c r="G1254" s="359"/>
      <c r="H1254" s="359"/>
      <c r="I1254" s="359"/>
      <c r="J1254" s="359"/>
      <c r="K1254" s="359"/>
      <c r="L1254" s="359"/>
      <c r="M1254" s="359"/>
      <c r="N1254" s="359"/>
      <c r="O1254" s="359"/>
      <c r="P1254" s="359"/>
      <c r="Q1254" s="359"/>
      <c r="R1254" s="359"/>
      <c r="S1254" s="359"/>
      <c r="T1254" s="359"/>
      <c r="U1254" s="359"/>
      <c r="V1254" s="359"/>
      <c r="W1254" s="359"/>
      <c r="X1254" s="359"/>
      <c r="Y1254" s="359"/>
      <c r="Z1254" s="359"/>
      <c r="AA1254" s="359"/>
    </row>
    <row r="1255" spans="1:27">
      <c r="A1255" s="359"/>
      <c r="B1255" s="359"/>
      <c r="C1255" s="359"/>
      <c r="D1255" s="359"/>
      <c r="E1255" s="359"/>
      <c r="F1255" s="359"/>
      <c r="G1255" s="359"/>
      <c r="H1255" s="359"/>
      <c r="I1255" s="359"/>
      <c r="J1255" s="359"/>
      <c r="K1255" s="359"/>
      <c r="L1255" s="359"/>
      <c r="M1255" s="359"/>
      <c r="N1255" s="359"/>
      <c r="O1255" s="359"/>
      <c r="P1255" s="359"/>
      <c r="Q1255" s="359"/>
      <c r="R1255" s="359"/>
      <c r="S1255" s="359"/>
      <c r="T1255" s="359"/>
      <c r="U1255" s="359"/>
      <c r="V1255" s="359"/>
      <c r="W1255" s="359"/>
      <c r="X1255" s="359"/>
      <c r="Y1255" s="359"/>
      <c r="Z1255" s="359"/>
      <c r="AA1255" s="359"/>
    </row>
    <row r="1256" spans="1:27">
      <c r="A1256" s="359"/>
      <c r="B1256" s="359"/>
      <c r="C1256" s="359"/>
      <c r="D1256" s="359"/>
      <c r="E1256" s="359"/>
      <c r="F1256" s="359"/>
      <c r="G1256" s="359"/>
      <c r="H1256" s="359"/>
      <c r="I1256" s="359"/>
      <c r="J1256" s="359"/>
      <c r="K1256" s="359"/>
      <c r="L1256" s="359"/>
      <c r="M1256" s="359"/>
      <c r="N1256" s="359"/>
      <c r="O1256" s="359"/>
      <c r="P1256" s="359"/>
      <c r="Q1256" s="359"/>
      <c r="R1256" s="359"/>
      <c r="S1256" s="359"/>
      <c r="T1256" s="359"/>
      <c r="U1256" s="359"/>
      <c r="V1256" s="359"/>
      <c r="W1256" s="359"/>
      <c r="X1256" s="359"/>
      <c r="Y1256" s="359"/>
      <c r="Z1256" s="359"/>
      <c r="AA1256" s="359"/>
    </row>
    <row r="1257" spans="1:27">
      <c r="A1257" s="359"/>
      <c r="B1257" s="359"/>
      <c r="C1257" s="359"/>
      <c r="D1257" s="359"/>
      <c r="E1257" s="359"/>
      <c r="F1257" s="359"/>
      <c r="G1257" s="359"/>
      <c r="H1257" s="359"/>
      <c r="I1257" s="359"/>
      <c r="J1257" s="359"/>
      <c r="K1257" s="359"/>
      <c r="L1257" s="359"/>
      <c r="M1257" s="359"/>
      <c r="N1257" s="359"/>
      <c r="O1257" s="359"/>
      <c r="P1257" s="359"/>
      <c r="Q1257" s="359"/>
      <c r="R1257" s="359"/>
      <c r="S1257" s="359"/>
      <c r="T1257" s="359"/>
      <c r="U1257" s="359"/>
      <c r="V1257" s="359"/>
      <c r="W1257" s="359"/>
      <c r="X1257" s="359"/>
      <c r="Y1257" s="359"/>
      <c r="Z1257" s="359"/>
      <c r="AA1257" s="359"/>
    </row>
    <row r="1258" spans="1:27">
      <c r="A1258" s="359"/>
      <c r="B1258" s="359"/>
      <c r="C1258" s="359"/>
      <c r="D1258" s="359"/>
      <c r="E1258" s="359"/>
      <c r="F1258" s="359"/>
      <c r="G1258" s="359"/>
      <c r="H1258" s="359"/>
      <c r="I1258" s="359"/>
      <c r="J1258" s="359"/>
      <c r="K1258" s="359"/>
      <c r="L1258" s="359"/>
      <c r="M1258" s="359"/>
      <c r="N1258" s="359"/>
      <c r="O1258" s="359"/>
      <c r="P1258" s="359"/>
      <c r="Q1258" s="359"/>
      <c r="R1258" s="359"/>
      <c r="S1258" s="359"/>
      <c r="T1258" s="359"/>
      <c r="U1258" s="359"/>
      <c r="V1258" s="359"/>
      <c r="W1258" s="359"/>
      <c r="X1258" s="359"/>
      <c r="Y1258" s="359"/>
      <c r="Z1258" s="359"/>
      <c r="AA1258" s="359"/>
    </row>
    <row r="1259" spans="1:27">
      <c r="A1259" s="359"/>
      <c r="B1259" s="359"/>
      <c r="C1259" s="359"/>
      <c r="D1259" s="359"/>
      <c r="E1259" s="359"/>
      <c r="F1259" s="359"/>
      <c r="G1259" s="359"/>
      <c r="H1259" s="359"/>
      <c r="I1259" s="359"/>
      <c r="J1259" s="359"/>
      <c r="K1259" s="359"/>
      <c r="L1259" s="359"/>
      <c r="M1259" s="359"/>
      <c r="N1259" s="359"/>
      <c r="O1259" s="359"/>
      <c r="P1259" s="359"/>
      <c r="Q1259" s="359"/>
      <c r="R1259" s="359"/>
      <c r="S1259" s="359"/>
      <c r="T1259" s="359"/>
      <c r="U1259" s="359"/>
      <c r="V1259" s="359"/>
      <c r="W1259" s="359"/>
      <c r="X1259" s="359"/>
      <c r="Y1259" s="359"/>
      <c r="Z1259" s="359"/>
      <c r="AA1259" s="359"/>
    </row>
    <row r="1260" spans="1:27">
      <c r="A1260" s="359"/>
      <c r="B1260" s="359"/>
      <c r="C1260" s="359"/>
      <c r="D1260" s="359"/>
      <c r="E1260" s="359"/>
      <c r="F1260" s="359"/>
      <c r="G1260" s="359"/>
      <c r="H1260" s="359"/>
      <c r="I1260" s="359"/>
      <c r="J1260" s="359"/>
      <c r="K1260" s="359"/>
      <c r="L1260" s="359"/>
      <c r="M1260" s="359"/>
      <c r="N1260" s="359"/>
      <c r="O1260" s="359"/>
      <c r="P1260" s="359"/>
      <c r="Q1260" s="359"/>
      <c r="R1260" s="359"/>
      <c r="S1260" s="359"/>
      <c r="T1260" s="359"/>
      <c r="U1260" s="359"/>
      <c r="V1260" s="359"/>
      <c r="W1260" s="359"/>
      <c r="X1260" s="359"/>
      <c r="Y1260" s="359"/>
      <c r="Z1260" s="359"/>
      <c r="AA1260" s="359"/>
    </row>
    <row r="1261" spans="1:27">
      <c r="A1261" s="359"/>
      <c r="B1261" s="359"/>
      <c r="C1261" s="359"/>
      <c r="D1261" s="359"/>
      <c r="E1261" s="359"/>
      <c r="F1261" s="359"/>
      <c r="G1261" s="359"/>
      <c r="H1261" s="359"/>
      <c r="I1261" s="359"/>
      <c r="J1261" s="359"/>
      <c r="K1261" s="359"/>
      <c r="L1261" s="359"/>
      <c r="M1261" s="359"/>
      <c r="N1261" s="359"/>
      <c r="O1261" s="359"/>
      <c r="P1261" s="359"/>
      <c r="Q1261" s="359"/>
      <c r="R1261" s="359"/>
      <c r="S1261" s="359"/>
      <c r="T1261" s="359"/>
      <c r="U1261" s="359"/>
      <c r="V1261" s="359"/>
      <c r="W1261" s="359"/>
      <c r="X1261" s="359"/>
      <c r="Y1261" s="359"/>
      <c r="Z1261" s="359"/>
      <c r="AA1261" s="359"/>
    </row>
    <row r="1262" spans="1:27">
      <c r="A1262" s="359"/>
      <c r="B1262" s="359"/>
      <c r="C1262" s="359"/>
      <c r="D1262" s="359"/>
      <c r="E1262" s="359"/>
      <c r="F1262" s="359"/>
      <c r="G1262" s="359"/>
      <c r="H1262" s="359"/>
      <c r="I1262" s="359"/>
      <c r="J1262" s="359"/>
      <c r="K1262" s="359"/>
      <c r="L1262" s="359"/>
      <c r="M1262" s="359"/>
      <c r="N1262" s="359"/>
      <c r="O1262" s="359"/>
      <c r="P1262" s="359"/>
      <c r="Q1262" s="359"/>
      <c r="R1262" s="359"/>
      <c r="S1262" s="359"/>
      <c r="T1262" s="359"/>
      <c r="U1262" s="359"/>
      <c r="V1262" s="359"/>
      <c r="W1262" s="359"/>
      <c r="X1262" s="359"/>
      <c r="Y1262" s="359"/>
      <c r="Z1262" s="359"/>
      <c r="AA1262" s="359"/>
    </row>
    <row r="1263" spans="1:27">
      <c r="A1263" s="359"/>
      <c r="B1263" s="359"/>
      <c r="C1263" s="359"/>
      <c r="D1263" s="359"/>
      <c r="E1263" s="359"/>
      <c r="F1263" s="359"/>
      <c r="G1263" s="359"/>
      <c r="H1263" s="359"/>
      <c r="I1263" s="359"/>
      <c r="J1263" s="359"/>
      <c r="K1263" s="359"/>
      <c r="L1263" s="359"/>
      <c r="M1263" s="359"/>
      <c r="N1263" s="359"/>
      <c r="O1263" s="359"/>
      <c r="P1263" s="359"/>
      <c r="Q1263" s="359"/>
      <c r="R1263" s="359"/>
      <c r="S1263" s="359"/>
      <c r="T1263" s="359"/>
      <c r="U1263" s="359"/>
      <c r="V1263" s="359"/>
      <c r="W1263" s="359"/>
      <c r="X1263" s="359"/>
      <c r="Y1263" s="359"/>
      <c r="Z1263" s="359"/>
      <c r="AA1263" s="359"/>
    </row>
    <row r="1264" spans="1:27">
      <c r="A1264" s="359"/>
      <c r="B1264" s="359"/>
      <c r="C1264" s="359"/>
      <c r="D1264" s="359"/>
      <c r="E1264" s="359"/>
      <c r="F1264" s="359"/>
      <c r="G1264" s="359"/>
      <c r="H1264" s="359"/>
      <c r="I1264" s="359"/>
      <c r="J1264" s="359"/>
      <c r="K1264" s="359"/>
      <c r="L1264" s="359"/>
      <c r="M1264" s="359"/>
      <c r="N1264" s="359"/>
      <c r="O1264" s="359"/>
      <c r="P1264" s="359"/>
      <c r="Q1264" s="359"/>
      <c r="R1264" s="359"/>
      <c r="S1264" s="359"/>
      <c r="T1264" s="359"/>
      <c r="U1264" s="359"/>
      <c r="V1264" s="359"/>
      <c r="W1264" s="359"/>
      <c r="X1264" s="359"/>
      <c r="Y1264" s="359"/>
      <c r="Z1264" s="359"/>
      <c r="AA1264" s="359"/>
    </row>
    <row r="1265" spans="1:27">
      <c r="A1265" s="359"/>
      <c r="B1265" s="359"/>
      <c r="C1265" s="359"/>
      <c r="D1265" s="359"/>
      <c r="E1265" s="359"/>
      <c r="F1265" s="359"/>
      <c r="G1265" s="359"/>
      <c r="H1265" s="359"/>
      <c r="I1265" s="359"/>
      <c r="J1265" s="359"/>
      <c r="K1265" s="359"/>
      <c r="L1265" s="359"/>
      <c r="M1265" s="359"/>
      <c r="N1265" s="359"/>
      <c r="O1265" s="359"/>
      <c r="P1265" s="359"/>
      <c r="Q1265" s="359"/>
      <c r="R1265" s="359"/>
      <c r="S1265" s="359"/>
      <c r="T1265" s="359"/>
      <c r="U1265" s="359"/>
      <c r="V1265" s="359"/>
      <c r="W1265" s="359"/>
      <c r="X1265" s="359"/>
      <c r="Y1265" s="359"/>
      <c r="Z1265" s="359"/>
      <c r="AA1265" s="359"/>
    </row>
    <row r="1266" spans="1:27">
      <c r="A1266" s="359"/>
      <c r="B1266" s="359"/>
      <c r="C1266" s="359"/>
      <c r="D1266" s="359"/>
      <c r="E1266" s="359"/>
      <c r="F1266" s="359"/>
      <c r="G1266" s="359"/>
      <c r="H1266" s="359"/>
      <c r="I1266" s="359"/>
      <c r="J1266" s="359"/>
      <c r="K1266" s="359"/>
      <c r="L1266" s="359"/>
      <c r="M1266" s="359"/>
      <c r="N1266" s="359"/>
      <c r="O1266" s="359"/>
      <c r="P1266" s="359"/>
      <c r="Q1266" s="359"/>
      <c r="R1266" s="359"/>
      <c r="S1266" s="359"/>
      <c r="T1266" s="359"/>
      <c r="U1266" s="359"/>
      <c r="V1266" s="359"/>
      <c r="W1266" s="359"/>
      <c r="X1266" s="359"/>
      <c r="Y1266" s="359"/>
      <c r="Z1266" s="359"/>
      <c r="AA1266" s="359"/>
    </row>
    <row r="1267" spans="1:27">
      <c r="A1267" s="359"/>
      <c r="B1267" s="359"/>
      <c r="C1267" s="359"/>
      <c r="D1267" s="359"/>
      <c r="E1267" s="359"/>
      <c r="F1267" s="359"/>
      <c r="G1267" s="359"/>
      <c r="H1267" s="359"/>
      <c r="I1267" s="359"/>
      <c r="J1267" s="359"/>
      <c r="K1267" s="359"/>
      <c r="L1267" s="359"/>
      <c r="M1267" s="359"/>
      <c r="N1267" s="359"/>
      <c r="O1267" s="359"/>
      <c r="P1267" s="359"/>
      <c r="Q1267" s="359"/>
      <c r="R1267" s="359"/>
      <c r="S1267" s="359"/>
      <c r="T1267" s="359"/>
      <c r="U1267" s="359"/>
      <c r="V1267" s="359"/>
      <c r="W1267" s="359"/>
      <c r="X1267" s="359"/>
      <c r="Y1267" s="359"/>
      <c r="Z1267" s="359"/>
      <c r="AA1267" s="359"/>
    </row>
    <row r="1268" spans="1:27">
      <c r="A1268" s="359"/>
      <c r="B1268" s="359"/>
      <c r="C1268" s="359"/>
      <c r="D1268" s="359"/>
      <c r="E1268" s="359"/>
      <c r="F1268" s="359"/>
      <c r="G1268" s="359"/>
      <c r="H1268" s="359"/>
      <c r="I1268" s="359"/>
      <c r="J1268" s="359"/>
      <c r="K1268" s="359"/>
      <c r="L1268" s="359"/>
      <c r="M1268" s="359"/>
      <c r="N1268" s="359"/>
      <c r="O1268" s="359"/>
      <c r="P1268" s="359"/>
      <c r="Q1268" s="359"/>
      <c r="R1268" s="359"/>
      <c r="S1268" s="359"/>
      <c r="T1268" s="359"/>
      <c r="U1268" s="359"/>
      <c r="V1268" s="359"/>
      <c r="W1268" s="359"/>
      <c r="X1268" s="359"/>
      <c r="Y1268" s="359"/>
      <c r="Z1268" s="359"/>
      <c r="AA1268" s="359"/>
    </row>
    <row r="1269" spans="1:27">
      <c r="A1269" s="359"/>
      <c r="B1269" s="359"/>
      <c r="C1269" s="359"/>
      <c r="D1269" s="359"/>
      <c r="E1269" s="359"/>
      <c r="F1269" s="359"/>
      <c r="G1269" s="359"/>
      <c r="H1269" s="359"/>
      <c r="I1269" s="359"/>
      <c r="J1269" s="359"/>
      <c r="K1269" s="359"/>
      <c r="L1269" s="359"/>
      <c r="M1269" s="359"/>
      <c r="N1269" s="359"/>
      <c r="O1269" s="359"/>
      <c r="P1269" s="359"/>
      <c r="Q1269" s="359"/>
      <c r="R1269" s="359"/>
      <c r="S1269" s="359"/>
      <c r="T1269" s="359"/>
      <c r="U1269" s="359"/>
      <c r="V1269" s="359"/>
      <c r="W1269" s="359"/>
      <c r="X1269" s="359"/>
      <c r="Y1269" s="359"/>
      <c r="Z1269" s="359"/>
      <c r="AA1269" s="359"/>
    </row>
    <row r="1270" spans="1:27">
      <c r="A1270" s="359"/>
      <c r="B1270" s="359"/>
      <c r="C1270" s="359"/>
      <c r="D1270" s="359"/>
      <c r="E1270" s="359"/>
      <c r="F1270" s="359"/>
      <c r="G1270" s="359"/>
      <c r="H1270" s="359"/>
      <c r="I1270" s="359"/>
      <c r="J1270" s="359"/>
      <c r="K1270" s="359"/>
      <c r="L1270" s="359"/>
      <c r="M1270" s="359"/>
      <c r="N1270" s="359"/>
      <c r="O1270" s="359"/>
      <c r="P1270" s="359"/>
      <c r="Q1270" s="359"/>
      <c r="R1270" s="359"/>
      <c r="S1270" s="359"/>
      <c r="T1270" s="359"/>
      <c r="U1270" s="359"/>
      <c r="V1270" s="359"/>
      <c r="W1270" s="359"/>
      <c r="X1270" s="359"/>
      <c r="Y1270" s="359"/>
      <c r="Z1270" s="359"/>
      <c r="AA1270" s="359"/>
    </row>
    <row r="1271" spans="1:27">
      <c r="A1271" s="359"/>
      <c r="B1271" s="359"/>
      <c r="C1271" s="359"/>
      <c r="D1271" s="359"/>
      <c r="E1271" s="359"/>
      <c r="F1271" s="359"/>
      <c r="G1271" s="359"/>
      <c r="H1271" s="359"/>
      <c r="I1271" s="359"/>
      <c r="J1271" s="359"/>
      <c r="K1271" s="359"/>
      <c r="L1271" s="359"/>
      <c r="M1271" s="359"/>
      <c r="N1271" s="359"/>
      <c r="O1271" s="359"/>
      <c r="P1271" s="359"/>
      <c r="Q1271" s="359"/>
      <c r="R1271" s="359"/>
      <c r="S1271" s="359"/>
      <c r="T1271" s="359"/>
      <c r="U1271" s="359"/>
      <c r="V1271" s="359"/>
      <c r="W1271" s="359"/>
      <c r="X1271" s="359"/>
      <c r="Y1271" s="359"/>
      <c r="Z1271" s="359"/>
      <c r="AA1271" s="359"/>
    </row>
    <row r="1272" spans="1:27">
      <c r="A1272" s="359"/>
      <c r="B1272" s="359"/>
      <c r="C1272" s="359"/>
      <c r="D1272" s="359"/>
      <c r="E1272" s="359"/>
      <c r="F1272" s="359"/>
      <c r="G1272" s="359"/>
      <c r="H1272" s="359"/>
      <c r="I1272" s="359"/>
      <c r="J1272" s="359"/>
      <c r="K1272" s="359"/>
      <c r="L1272" s="359"/>
      <c r="M1272" s="359"/>
      <c r="N1272" s="359"/>
      <c r="O1272" s="359"/>
      <c r="P1272" s="359"/>
      <c r="Q1272" s="359"/>
      <c r="R1272" s="359"/>
      <c r="S1272" s="359"/>
      <c r="T1272" s="359"/>
      <c r="U1272" s="359"/>
      <c r="V1272" s="359"/>
      <c r="W1272" s="359"/>
      <c r="X1272" s="359"/>
      <c r="Y1272" s="359"/>
      <c r="Z1272" s="359"/>
      <c r="AA1272" s="359"/>
    </row>
    <row r="1273" spans="1:27">
      <c r="A1273" s="359"/>
      <c r="B1273" s="359"/>
      <c r="C1273" s="359"/>
      <c r="D1273" s="359"/>
      <c r="E1273" s="359"/>
      <c r="F1273" s="359"/>
      <c r="G1273" s="359"/>
      <c r="H1273" s="359"/>
      <c r="I1273" s="359"/>
      <c r="J1273" s="359"/>
      <c r="K1273" s="359"/>
      <c r="L1273" s="359"/>
      <c r="M1273" s="359"/>
      <c r="N1273" s="359"/>
      <c r="O1273" s="359"/>
      <c r="P1273" s="359"/>
      <c r="Q1273" s="359"/>
      <c r="R1273" s="359"/>
      <c r="S1273" s="359"/>
      <c r="T1273" s="359"/>
      <c r="U1273" s="359"/>
      <c r="V1273" s="359"/>
      <c r="W1273" s="359"/>
      <c r="X1273" s="359"/>
      <c r="Y1273" s="359"/>
      <c r="Z1273" s="359"/>
      <c r="AA1273" s="359"/>
    </row>
    <row r="1274" spans="1:27">
      <c r="A1274" s="359"/>
      <c r="B1274" s="359"/>
      <c r="C1274" s="359"/>
      <c r="D1274" s="359"/>
      <c r="E1274" s="359"/>
      <c r="F1274" s="359"/>
      <c r="G1274" s="359"/>
      <c r="H1274" s="359"/>
      <c r="I1274" s="359"/>
      <c r="J1274" s="359"/>
      <c r="K1274" s="359"/>
      <c r="L1274" s="359"/>
      <c r="M1274" s="359"/>
      <c r="N1274" s="359"/>
      <c r="O1274" s="359"/>
      <c r="P1274" s="359"/>
      <c r="Q1274" s="359"/>
      <c r="R1274" s="359"/>
      <c r="S1274" s="359"/>
      <c r="T1274" s="359"/>
      <c r="U1274" s="359"/>
      <c r="V1274" s="359"/>
      <c r="W1274" s="359"/>
      <c r="X1274" s="359"/>
      <c r="Y1274" s="359"/>
      <c r="Z1274" s="359"/>
      <c r="AA1274" s="359"/>
    </row>
    <row r="1275" spans="1:27">
      <c r="A1275" s="359"/>
      <c r="B1275" s="359"/>
      <c r="C1275" s="359"/>
      <c r="D1275" s="359"/>
      <c r="E1275" s="359"/>
      <c r="F1275" s="359"/>
      <c r="G1275" s="359"/>
      <c r="H1275" s="359"/>
      <c r="I1275" s="359"/>
      <c r="J1275" s="359"/>
      <c r="K1275" s="359"/>
      <c r="L1275" s="359"/>
      <c r="M1275" s="359"/>
      <c r="N1275" s="359"/>
      <c r="O1275" s="359"/>
      <c r="P1275" s="359"/>
      <c r="Q1275" s="359"/>
      <c r="R1275" s="359"/>
      <c r="S1275" s="359"/>
      <c r="T1275" s="359"/>
      <c r="U1275" s="359"/>
      <c r="V1275" s="359"/>
      <c r="W1275" s="359"/>
      <c r="X1275" s="359"/>
      <c r="Y1275" s="359"/>
      <c r="Z1275" s="359"/>
      <c r="AA1275" s="359"/>
    </row>
    <row r="1276" spans="1:27">
      <c r="A1276" s="359"/>
      <c r="B1276" s="359"/>
      <c r="C1276" s="359"/>
      <c r="D1276" s="359"/>
      <c r="E1276" s="359"/>
      <c r="F1276" s="359"/>
      <c r="G1276" s="359"/>
      <c r="H1276" s="359"/>
      <c r="I1276" s="359"/>
      <c r="J1276" s="359"/>
      <c r="K1276" s="359"/>
      <c r="L1276" s="359"/>
      <c r="M1276" s="359"/>
      <c r="N1276" s="359"/>
      <c r="O1276" s="359"/>
      <c r="P1276" s="359"/>
      <c r="Q1276" s="359"/>
      <c r="R1276" s="359"/>
      <c r="S1276" s="359"/>
      <c r="T1276" s="359"/>
      <c r="U1276" s="359"/>
      <c r="V1276" s="359"/>
      <c r="W1276" s="359"/>
      <c r="X1276" s="359"/>
      <c r="Y1276" s="359"/>
      <c r="Z1276" s="359"/>
      <c r="AA1276" s="359"/>
    </row>
    <row r="1277" spans="1:27">
      <c r="A1277" s="359"/>
      <c r="B1277" s="359"/>
      <c r="C1277" s="359"/>
      <c r="D1277" s="359"/>
      <c r="E1277" s="359"/>
      <c r="F1277" s="359"/>
      <c r="G1277" s="359"/>
      <c r="H1277" s="359"/>
      <c r="I1277" s="359"/>
      <c r="J1277" s="359"/>
      <c r="K1277" s="359"/>
      <c r="L1277" s="359"/>
      <c r="M1277" s="359"/>
      <c r="N1277" s="359"/>
      <c r="O1277" s="359"/>
      <c r="P1277" s="359"/>
      <c r="Q1277" s="359"/>
      <c r="R1277" s="359"/>
      <c r="S1277" s="359"/>
      <c r="T1277" s="359"/>
      <c r="U1277" s="359"/>
      <c r="V1277" s="359"/>
      <c r="W1277" s="359"/>
      <c r="X1277" s="359"/>
      <c r="Y1277" s="359"/>
      <c r="Z1277" s="359"/>
      <c r="AA1277" s="359"/>
    </row>
    <row r="1278" spans="1:27">
      <c r="A1278" s="359"/>
      <c r="B1278" s="359"/>
      <c r="C1278" s="359"/>
      <c r="D1278" s="359"/>
      <c r="E1278" s="359"/>
      <c r="F1278" s="359"/>
      <c r="G1278" s="359"/>
      <c r="H1278" s="359"/>
      <c r="I1278" s="359"/>
      <c r="J1278" s="359"/>
      <c r="K1278" s="359"/>
      <c r="L1278" s="359"/>
      <c r="M1278" s="359"/>
      <c r="N1278" s="359"/>
      <c r="O1278" s="359"/>
      <c r="P1278" s="359"/>
      <c r="Q1278" s="359"/>
      <c r="R1278" s="359"/>
      <c r="S1278" s="359"/>
      <c r="T1278" s="359"/>
      <c r="U1278" s="359"/>
      <c r="V1278" s="359"/>
      <c r="W1278" s="359"/>
      <c r="X1278" s="359"/>
      <c r="Y1278" s="359"/>
      <c r="Z1278" s="359"/>
      <c r="AA1278" s="359"/>
    </row>
    <row r="1279" spans="1:27">
      <c r="A1279" s="359"/>
      <c r="B1279" s="359"/>
      <c r="C1279" s="359"/>
      <c r="D1279" s="359"/>
      <c r="E1279" s="359"/>
      <c r="F1279" s="359"/>
      <c r="G1279" s="359"/>
      <c r="H1279" s="359"/>
      <c r="I1279" s="359"/>
      <c r="J1279" s="359"/>
      <c r="K1279" s="359"/>
      <c r="L1279" s="359"/>
      <c r="M1279" s="359"/>
      <c r="N1279" s="359"/>
      <c r="O1279" s="359"/>
      <c r="P1279" s="359"/>
      <c r="Q1279" s="359"/>
      <c r="R1279" s="359"/>
      <c r="S1279" s="359"/>
      <c r="T1279" s="359"/>
      <c r="U1279" s="359"/>
      <c r="V1279" s="359"/>
      <c r="W1279" s="359"/>
      <c r="X1279" s="359"/>
      <c r="Y1279" s="359"/>
      <c r="Z1279" s="359"/>
      <c r="AA1279" s="359"/>
    </row>
    <row r="1280" spans="1:27">
      <c r="A1280" s="359"/>
      <c r="B1280" s="359"/>
      <c r="C1280" s="359"/>
      <c r="D1280" s="359"/>
      <c r="E1280" s="359"/>
      <c r="F1280" s="359"/>
      <c r="G1280" s="359"/>
      <c r="H1280" s="359"/>
      <c r="I1280" s="359"/>
      <c r="J1280" s="359"/>
      <c r="K1280" s="359"/>
      <c r="L1280" s="359"/>
      <c r="M1280" s="359"/>
      <c r="N1280" s="359"/>
      <c r="O1280" s="359"/>
      <c r="P1280" s="359"/>
      <c r="Q1280" s="359"/>
      <c r="R1280" s="359"/>
      <c r="S1280" s="359"/>
      <c r="T1280" s="359"/>
      <c r="U1280" s="359"/>
      <c r="V1280" s="359"/>
      <c r="W1280" s="359"/>
      <c r="X1280" s="359"/>
      <c r="Y1280" s="359"/>
      <c r="Z1280" s="359"/>
      <c r="AA1280" s="359"/>
    </row>
    <row r="1281" spans="1:27">
      <c r="A1281" s="359"/>
      <c r="B1281" s="359"/>
      <c r="C1281" s="359"/>
      <c r="D1281" s="359"/>
      <c r="E1281" s="359"/>
      <c r="F1281" s="359"/>
      <c r="G1281" s="359"/>
      <c r="H1281" s="359"/>
      <c r="I1281" s="359"/>
      <c r="J1281" s="359"/>
      <c r="K1281" s="359"/>
      <c r="L1281" s="359"/>
      <c r="M1281" s="359"/>
      <c r="N1281" s="359"/>
      <c r="O1281" s="359"/>
      <c r="P1281" s="359"/>
      <c r="Q1281" s="359"/>
      <c r="R1281" s="359"/>
      <c r="S1281" s="359"/>
      <c r="T1281" s="359"/>
      <c r="U1281" s="359"/>
      <c r="V1281" s="359"/>
      <c r="W1281" s="359"/>
      <c r="X1281" s="359"/>
      <c r="Y1281" s="359"/>
      <c r="Z1281" s="359"/>
      <c r="AA1281" s="359"/>
    </row>
    <row r="1282" spans="1:27">
      <c r="A1282" s="359"/>
      <c r="B1282" s="359"/>
      <c r="C1282" s="359"/>
      <c r="D1282" s="359"/>
      <c r="E1282" s="359"/>
      <c r="F1282" s="359"/>
      <c r="G1282" s="359"/>
      <c r="H1282" s="359"/>
      <c r="I1282" s="359"/>
      <c r="J1282" s="359"/>
      <c r="K1282" s="359"/>
      <c r="L1282" s="359"/>
      <c r="M1282" s="359"/>
      <c r="N1282" s="359"/>
      <c r="O1282" s="359"/>
      <c r="P1282" s="359"/>
      <c r="Q1282" s="359"/>
      <c r="R1282" s="359"/>
      <c r="S1282" s="359"/>
      <c r="T1282" s="359"/>
      <c r="U1282" s="359"/>
      <c r="V1282" s="359"/>
      <c r="W1282" s="359"/>
      <c r="X1282" s="359"/>
      <c r="Y1282" s="359"/>
      <c r="Z1282" s="359"/>
      <c r="AA1282" s="359"/>
    </row>
    <row r="1283" spans="1:27">
      <c r="A1283" s="359"/>
      <c r="B1283" s="359"/>
      <c r="C1283" s="359"/>
      <c r="D1283" s="359"/>
      <c r="E1283" s="359"/>
      <c r="F1283" s="359"/>
      <c r="G1283" s="359"/>
      <c r="H1283" s="359"/>
      <c r="I1283" s="359"/>
      <c r="J1283" s="359"/>
      <c r="K1283" s="359"/>
      <c r="L1283" s="359"/>
      <c r="M1283" s="359"/>
      <c r="N1283" s="359"/>
      <c r="O1283" s="359"/>
      <c r="P1283" s="359"/>
      <c r="Q1283" s="359"/>
      <c r="R1283" s="359"/>
      <c r="S1283" s="359"/>
      <c r="T1283" s="359"/>
      <c r="U1283" s="359"/>
      <c r="V1283" s="359"/>
      <c r="W1283" s="359"/>
      <c r="X1283" s="359"/>
      <c r="Y1283" s="359"/>
      <c r="Z1283" s="359"/>
      <c r="AA1283" s="359"/>
    </row>
    <row r="1284" spans="1:27">
      <c r="A1284" s="359"/>
      <c r="B1284" s="359"/>
      <c r="C1284" s="359"/>
      <c r="D1284" s="359"/>
      <c r="E1284" s="359"/>
      <c r="F1284" s="359"/>
      <c r="G1284" s="359"/>
      <c r="H1284" s="359"/>
      <c r="I1284" s="359"/>
      <c r="J1284" s="359"/>
      <c r="K1284" s="359"/>
      <c r="L1284" s="359"/>
      <c r="M1284" s="359"/>
      <c r="N1284" s="359"/>
      <c r="O1284" s="359"/>
      <c r="P1284" s="359"/>
      <c r="Q1284" s="359"/>
      <c r="R1284" s="359"/>
      <c r="S1284" s="359"/>
      <c r="T1284" s="359"/>
      <c r="U1284" s="359"/>
      <c r="V1284" s="359"/>
      <c r="W1284" s="359"/>
      <c r="X1284" s="359"/>
      <c r="Y1284" s="359"/>
      <c r="Z1284" s="359"/>
      <c r="AA1284" s="359"/>
    </row>
    <row r="1285" spans="1:27">
      <c r="A1285" s="359"/>
      <c r="B1285" s="359"/>
      <c r="C1285" s="359"/>
      <c r="D1285" s="359"/>
      <c r="E1285" s="359"/>
      <c r="F1285" s="359"/>
      <c r="G1285" s="359"/>
      <c r="H1285" s="359"/>
      <c r="I1285" s="359"/>
      <c r="J1285" s="359"/>
      <c r="K1285" s="359"/>
      <c r="L1285" s="359"/>
      <c r="M1285" s="359"/>
      <c r="N1285" s="359"/>
      <c r="O1285" s="359"/>
      <c r="P1285" s="359"/>
      <c r="Q1285" s="359"/>
      <c r="R1285" s="359"/>
      <c r="S1285" s="359"/>
      <c r="T1285" s="359"/>
      <c r="U1285" s="359"/>
      <c r="V1285" s="359"/>
      <c r="W1285" s="359"/>
      <c r="X1285" s="359"/>
      <c r="Y1285" s="359"/>
      <c r="Z1285" s="359"/>
      <c r="AA1285" s="359"/>
    </row>
    <row r="1286" spans="1:27">
      <c r="A1286" s="359"/>
      <c r="B1286" s="359"/>
      <c r="C1286" s="359"/>
      <c r="D1286" s="359"/>
      <c r="E1286" s="359"/>
      <c r="F1286" s="359"/>
      <c r="G1286" s="359"/>
      <c r="H1286" s="359"/>
      <c r="I1286" s="359"/>
      <c r="J1286" s="359"/>
      <c r="K1286" s="359"/>
      <c r="L1286" s="359"/>
      <c r="M1286" s="359"/>
      <c r="N1286" s="359"/>
      <c r="O1286" s="359"/>
      <c r="P1286" s="359"/>
      <c r="Q1286" s="359"/>
      <c r="R1286" s="359"/>
      <c r="S1286" s="359"/>
      <c r="T1286" s="359"/>
      <c r="U1286" s="359"/>
      <c r="V1286" s="359"/>
      <c r="W1286" s="359"/>
      <c r="X1286" s="359"/>
      <c r="Y1286" s="359"/>
      <c r="Z1286" s="359"/>
      <c r="AA1286" s="359"/>
    </row>
    <row r="1287" spans="1:27">
      <c r="A1287" s="359"/>
      <c r="B1287" s="359"/>
      <c r="C1287" s="359"/>
      <c r="D1287" s="359"/>
      <c r="E1287" s="359"/>
      <c r="F1287" s="359"/>
      <c r="G1287" s="359"/>
      <c r="H1287" s="359"/>
      <c r="I1287" s="359"/>
      <c r="J1287" s="359"/>
      <c r="K1287" s="359"/>
      <c r="L1287" s="359"/>
      <c r="M1287" s="359"/>
      <c r="N1287" s="359"/>
      <c r="O1287" s="359"/>
      <c r="P1287" s="359"/>
      <c r="Q1287" s="359"/>
      <c r="R1287" s="359"/>
      <c r="S1287" s="359"/>
      <c r="T1287" s="359"/>
      <c r="U1287" s="359"/>
      <c r="V1287" s="359"/>
      <c r="W1287" s="359"/>
      <c r="X1287" s="359"/>
      <c r="Y1287" s="359"/>
      <c r="Z1287" s="359"/>
      <c r="AA1287" s="359"/>
    </row>
    <row r="1288" spans="1:27">
      <c r="A1288" s="359"/>
      <c r="B1288" s="359"/>
      <c r="C1288" s="359"/>
      <c r="D1288" s="359"/>
      <c r="E1288" s="359"/>
      <c r="F1288" s="359"/>
      <c r="G1288" s="359"/>
      <c r="H1288" s="359"/>
      <c r="I1288" s="359"/>
      <c r="J1288" s="359"/>
      <c r="K1288" s="359"/>
      <c r="L1288" s="359"/>
      <c r="M1288" s="359"/>
      <c r="N1288" s="359"/>
      <c r="O1288" s="359"/>
      <c r="P1288" s="359"/>
      <c r="Q1288" s="359"/>
      <c r="R1288" s="359"/>
      <c r="S1288" s="359"/>
      <c r="T1288" s="359"/>
      <c r="U1288" s="359"/>
      <c r="V1288" s="359"/>
      <c r="W1288" s="359"/>
      <c r="X1288" s="359"/>
      <c r="Y1288" s="359"/>
      <c r="Z1288" s="359"/>
      <c r="AA1288" s="359"/>
    </row>
    <row r="1289" spans="1:27">
      <c r="A1289" s="359"/>
      <c r="B1289" s="359"/>
      <c r="C1289" s="359"/>
      <c r="D1289" s="359"/>
      <c r="E1289" s="359"/>
      <c r="F1289" s="359"/>
      <c r="G1289" s="359"/>
      <c r="H1289" s="359"/>
      <c r="I1289" s="359"/>
      <c r="J1289" s="359"/>
      <c r="K1289" s="359"/>
      <c r="L1289" s="359"/>
      <c r="M1289" s="359"/>
      <c r="N1289" s="359"/>
      <c r="O1289" s="359"/>
      <c r="P1289" s="359"/>
      <c r="Q1289" s="359"/>
      <c r="R1289" s="359"/>
      <c r="S1289" s="359"/>
      <c r="T1289" s="359"/>
      <c r="U1289" s="359"/>
      <c r="V1289" s="359"/>
      <c r="W1289" s="359"/>
      <c r="X1289" s="359"/>
      <c r="Y1289" s="359"/>
      <c r="Z1289" s="359"/>
      <c r="AA1289" s="359"/>
    </row>
    <row r="1290" spans="1:27">
      <c r="A1290" s="359"/>
      <c r="B1290" s="359"/>
      <c r="C1290" s="359"/>
      <c r="D1290" s="359"/>
      <c r="E1290" s="359"/>
      <c r="F1290" s="359"/>
      <c r="G1290" s="359"/>
      <c r="H1290" s="359"/>
      <c r="I1290" s="359"/>
      <c r="J1290" s="359"/>
      <c r="K1290" s="359"/>
      <c r="L1290" s="359"/>
      <c r="M1290" s="359"/>
      <c r="N1290" s="359"/>
      <c r="O1290" s="359"/>
      <c r="P1290" s="359"/>
      <c r="Q1290" s="359"/>
      <c r="R1290" s="359"/>
      <c r="S1290" s="359"/>
      <c r="T1290" s="359"/>
      <c r="U1290" s="359"/>
      <c r="V1290" s="359"/>
      <c r="W1290" s="359"/>
      <c r="X1290" s="359"/>
      <c r="Y1290" s="359"/>
      <c r="Z1290" s="359"/>
      <c r="AA1290" s="359"/>
    </row>
    <row r="1291" spans="1:27">
      <c r="A1291" s="359"/>
      <c r="B1291" s="359"/>
      <c r="C1291" s="359"/>
      <c r="D1291" s="359"/>
      <c r="E1291" s="359"/>
      <c r="F1291" s="359"/>
      <c r="G1291" s="359"/>
      <c r="H1291" s="359"/>
      <c r="I1291" s="359"/>
      <c r="J1291" s="359"/>
      <c r="K1291" s="359"/>
      <c r="L1291" s="359"/>
      <c r="M1291" s="359"/>
      <c r="N1291" s="359"/>
      <c r="O1291" s="359"/>
      <c r="P1291" s="359"/>
      <c r="Q1291" s="359"/>
      <c r="R1291" s="359"/>
      <c r="S1291" s="359"/>
      <c r="T1291" s="359"/>
      <c r="U1291" s="359"/>
      <c r="V1291" s="359"/>
      <c r="W1291" s="359"/>
      <c r="X1291" s="359"/>
      <c r="Y1291" s="359"/>
      <c r="Z1291" s="359"/>
      <c r="AA1291" s="359"/>
    </row>
    <row r="1292" spans="1:27">
      <c r="A1292" s="359"/>
      <c r="B1292" s="359"/>
      <c r="C1292" s="359"/>
      <c r="D1292" s="359"/>
      <c r="E1292" s="359"/>
      <c r="F1292" s="359"/>
      <c r="G1292" s="359"/>
      <c r="H1292" s="359"/>
      <c r="I1292" s="359"/>
      <c r="J1292" s="359"/>
      <c r="K1292" s="359"/>
      <c r="L1292" s="359"/>
      <c r="M1292" s="359"/>
      <c r="N1292" s="359"/>
      <c r="O1292" s="359"/>
      <c r="P1292" s="359"/>
      <c r="Q1292" s="359"/>
      <c r="R1292" s="359"/>
      <c r="S1292" s="359"/>
      <c r="T1292" s="359"/>
      <c r="U1292" s="359"/>
      <c r="V1292" s="359"/>
      <c r="W1292" s="359"/>
      <c r="X1292" s="359"/>
      <c r="Y1292" s="359"/>
      <c r="Z1292" s="359"/>
      <c r="AA1292" s="359"/>
    </row>
    <row r="1293" spans="1:27">
      <c r="A1293" s="359"/>
      <c r="B1293" s="359"/>
      <c r="C1293" s="359"/>
      <c r="D1293" s="359"/>
      <c r="E1293" s="359"/>
      <c r="F1293" s="359"/>
      <c r="G1293" s="359"/>
      <c r="H1293" s="359"/>
      <c r="I1293" s="359"/>
      <c r="J1293" s="359"/>
      <c r="K1293" s="359"/>
      <c r="L1293" s="359"/>
      <c r="M1293" s="359"/>
      <c r="N1293" s="359"/>
      <c r="O1293" s="359"/>
      <c r="P1293" s="359"/>
      <c r="Q1293" s="359"/>
      <c r="R1293" s="359"/>
      <c r="S1293" s="359"/>
      <c r="T1293" s="359"/>
      <c r="U1293" s="359"/>
      <c r="V1293" s="359"/>
      <c r="W1293" s="359"/>
      <c r="X1293" s="359"/>
      <c r="Y1293" s="359"/>
      <c r="Z1293" s="359"/>
      <c r="AA1293" s="359"/>
    </row>
    <row r="1294" spans="1:27">
      <c r="A1294" s="359"/>
      <c r="B1294" s="359"/>
      <c r="C1294" s="359"/>
      <c r="D1294" s="359"/>
      <c r="E1294" s="359"/>
      <c r="F1294" s="359"/>
      <c r="G1294" s="359"/>
      <c r="H1294" s="359"/>
      <c r="I1294" s="359"/>
      <c r="J1294" s="359"/>
      <c r="K1294" s="359"/>
      <c r="L1294" s="359"/>
      <c r="M1294" s="359"/>
      <c r="N1294" s="359"/>
      <c r="O1294" s="359"/>
      <c r="P1294" s="359"/>
      <c r="Q1294" s="359"/>
      <c r="R1294" s="359"/>
      <c r="S1294" s="359"/>
      <c r="T1294" s="359"/>
      <c r="U1294" s="359"/>
      <c r="V1294" s="359"/>
      <c r="W1294" s="359"/>
      <c r="X1294" s="359"/>
      <c r="Y1294" s="359"/>
      <c r="Z1294" s="359"/>
      <c r="AA1294" s="359"/>
    </row>
    <row r="1295" spans="1:27">
      <c r="A1295" s="359"/>
      <c r="B1295" s="359"/>
      <c r="C1295" s="359"/>
      <c r="D1295" s="359"/>
      <c r="E1295" s="359"/>
      <c r="F1295" s="359"/>
      <c r="G1295" s="359"/>
      <c r="H1295" s="359"/>
      <c r="I1295" s="359"/>
      <c r="J1295" s="359"/>
      <c r="K1295" s="359"/>
      <c r="L1295" s="359"/>
      <c r="M1295" s="359"/>
      <c r="N1295" s="359"/>
      <c r="O1295" s="359"/>
      <c r="P1295" s="359"/>
      <c r="Q1295" s="359"/>
      <c r="R1295" s="359"/>
      <c r="S1295" s="359"/>
      <c r="T1295" s="359"/>
      <c r="U1295" s="359"/>
      <c r="V1295" s="359"/>
      <c r="W1295" s="359"/>
      <c r="X1295" s="359"/>
      <c r="Y1295" s="359"/>
      <c r="Z1295" s="359"/>
      <c r="AA1295" s="359"/>
    </row>
    <row r="1296" spans="1:27">
      <c r="A1296" s="359"/>
      <c r="B1296" s="359"/>
      <c r="C1296" s="359"/>
      <c r="D1296" s="359"/>
      <c r="E1296" s="359"/>
      <c r="F1296" s="359"/>
      <c r="G1296" s="359"/>
      <c r="H1296" s="359"/>
      <c r="I1296" s="359"/>
      <c r="J1296" s="359"/>
      <c r="K1296" s="359"/>
      <c r="L1296" s="359"/>
      <c r="M1296" s="359"/>
      <c r="N1296" s="359"/>
      <c r="O1296" s="359"/>
      <c r="P1296" s="359"/>
      <c r="Q1296" s="359"/>
      <c r="R1296" s="359"/>
      <c r="S1296" s="359"/>
      <c r="T1296" s="359"/>
      <c r="U1296" s="359"/>
      <c r="V1296" s="359"/>
      <c r="W1296" s="359"/>
      <c r="X1296" s="359"/>
      <c r="Y1296" s="359"/>
      <c r="Z1296" s="359"/>
      <c r="AA1296" s="359"/>
    </row>
    <row r="1297" spans="1:27">
      <c r="A1297" s="359"/>
      <c r="B1297" s="359"/>
      <c r="C1297" s="359"/>
      <c r="D1297" s="359"/>
      <c r="E1297" s="359"/>
      <c r="F1297" s="359"/>
      <c r="G1297" s="359"/>
      <c r="H1297" s="359"/>
      <c r="I1297" s="359"/>
      <c r="J1297" s="359"/>
      <c r="K1297" s="359"/>
      <c r="L1297" s="359"/>
      <c r="M1297" s="359"/>
      <c r="N1297" s="359"/>
      <c r="O1297" s="359"/>
      <c r="P1297" s="359"/>
      <c r="Q1297" s="359"/>
      <c r="R1297" s="359"/>
      <c r="S1297" s="359"/>
      <c r="T1297" s="359"/>
      <c r="U1297" s="359"/>
      <c r="V1297" s="359"/>
      <c r="W1297" s="359"/>
      <c r="X1297" s="359"/>
      <c r="Y1297" s="359"/>
      <c r="Z1297" s="359"/>
      <c r="AA1297" s="359"/>
    </row>
    <row r="1298" spans="1:27">
      <c r="A1298" s="359"/>
      <c r="B1298" s="359"/>
      <c r="C1298" s="359"/>
      <c r="D1298" s="359"/>
      <c r="E1298" s="359"/>
      <c r="F1298" s="359"/>
      <c r="G1298" s="359"/>
      <c r="H1298" s="359"/>
      <c r="I1298" s="359"/>
      <c r="J1298" s="359"/>
      <c r="K1298" s="359"/>
      <c r="L1298" s="359"/>
      <c r="M1298" s="359"/>
      <c r="N1298" s="359"/>
      <c r="O1298" s="359"/>
      <c r="P1298" s="359"/>
      <c r="Q1298" s="359"/>
      <c r="R1298" s="359"/>
      <c r="S1298" s="359"/>
      <c r="T1298" s="359"/>
      <c r="U1298" s="359"/>
      <c r="V1298" s="359"/>
      <c r="W1298" s="359"/>
      <c r="X1298" s="359"/>
      <c r="Y1298" s="359"/>
      <c r="Z1298" s="359"/>
      <c r="AA1298" s="359"/>
    </row>
    <row r="1299" spans="1:27">
      <c r="A1299" s="359"/>
      <c r="B1299" s="359"/>
      <c r="C1299" s="359"/>
      <c r="D1299" s="359"/>
      <c r="E1299" s="359"/>
      <c r="F1299" s="359"/>
      <c r="G1299" s="359"/>
      <c r="H1299" s="359"/>
      <c r="I1299" s="359"/>
      <c r="J1299" s="359"/>
      <c r="K1299" s="359"/>
      <c r="L1299" s="359"/>
      <c r="M1299" s="359"/>
      <c r="N1299" s="359"/>
      <c r="O1299" s="359"/>
      <c r="P1299" s="359"/>
      <c r="Q1299" s="359"/>
      <c r="R1299" s="359"/>
      <c r="S1299" s="359"/>
      <c r="T1299" s="359"/>
      <c r="U1299" s="359"/>
      <c r="V1299" s="359"/>
      <c r="W1299" s="359"/>
      <c r="X1299" s="359"/>
      <c r="Y1299" s="359"/>
      <c r="Z1299" s="359"/>
      <c r="AA1299" s="359"/>
    </row>
    <row r="1300" spans="1:27">
      <c r="A1300" s="359"/>
      <c r="B1300" s="359"/>
      <c r="C1300" s="359"/>
      <c r="D1300" s="359"/>
      <c r="E1300" s="359"/>
      <c r="F1300" s="359"/>
      <c r="G1300" s="359"/>
      <c r="H1300" s="359"/>
      <c r="I1300" s="359"/>
      <c r="J1300" s="359"/>
      <c r="K1300" s="359"/>
      <c r="L1300" s="359"/>
      <c r="M1300" s="359"/>
      <c r="N1300" s="359"/>
      <c r="O1300" s="359"/>
      <c r="P1300" s="359"/>
      <c r="Q1300" s="359"/>
      <c r="R1300" s="359"/>
      <c r="S1300" s="359"/>
      <c r="T1300" s="359"/>
      <c r="U1300" s="359"/>
      <c r="V1300" s="359"/>
      <c r="W1300" s="359"/>
      <c r="X1300" s="359"/>
      <c r="Y1300" s="359"/>
      <c r="Z1300" s="359"/>
      <c r="AA1300" s="359"/>
    </row>
    <row r="1301" spans="1:27">
      <c r="A1301" s="359"/>
      <c r="B1301" s="359"/>
      <c r="C1301" s="359"/>
      <c r="D1301" s="359"/>
      <c r="E1301" s="359"/>
      <c r="F1301" s="359"/>
      <c r="G1301" s="359"/>
      <c r="H1301" s="359"/>
      <c r="I1301" s="359"/>
      <c r="J1301" s="359"/>
      <c r="K1301" s="359"/>
      <c r="L1301" s="359"/>
      <c r="M1301" s="359"/>
      <c r="N1301" s="359"/>
      <c r="O1301" s="359"/>
      <c r="P1301" s="359"/>
      <c r="Q1301" s="359"/>
      <c r="R1301" s="359"/>
      <c r="S1301" s="359"/>
      <c r="T1301" s="359"/>
      <c r="U1301" s="359"/>
      <c r="V1301" s="359"/>
      <c r="W1301" s="359"/>
      <c r="X1301" s="359"/>
      <c r="Y1301" s="359"/>
      <c r="Z1301" s="359"/>
      <c r="AA1301" s="359"/>
    </row>
    <row r="1302" spans="1:27">
      <c r="A1302" s="359"/>
      <c r="B1302" s="359"/>
      <c r="C1302" s="359"/>
      <c r="D1302" s="359"/>
      <c r="E1302" s="359"/>
      <c r="F1302" s="359"/>
      <c r="G1302" s="359"/>
      <c r="H1302" s="359"/>
      <c r="I1302" s="359"/>
      <c r="J1302" s="359"/>
      <c r="K1302" s="359"/>
      <c r="L1302" s="359"/>
      <c r="M1302" s="359"/>
      <c r="N1302" s="359"/>
      <c r="O1302" s="359"/>
      <c r="P1302" s="359"/>
      <c r="Q1302" s="359"/>
      <c r="R1302" s="359"/>
      <c r="S1302" s="359"/>
      <c r="T1302" s="359"/>
      <c r="U1302" s="359"/>
      <c r="V1302" s="359"/>
      <c r="W1302" s="359"/>
      <c r="X1302" s="359"/>
      <c r="Y1302" s="359"/>
      <c r="Z1302" s="359"/>
      <c r="AA1302" s="359"/>
    </row>
    <row r="1303" spans="1:27">
      <c r="A1303" s="359"/>
      <c r="B1303" s="359"/>
      <c r="C1303" s="359"/>
      <c r="D1303" s="359"/>
      <c r="E1303" s="359"/>
      <c r="F1303" s="359"/>
      <c r="G1303" s="359"/>
      <c r="H1303" s="359"/>
      <c r="I1303" s="359"/>
      <c r="J1303" s="359"/>
      <c r="K1303" s="359"/>
      <c r="L1303" s="359"/>
      <c r="M1303" s="359"/>
      <c r="N1303" s="359"/>
      <c r="O1303" s="359"/>
      <c r="P1303" s="359"/>
      <c r="Q1303" s="359"/>
      <c r="R1303" s="359"/>
      <c r="S1303" s="359"/>
      <c r="T1303" s="359"/>
      <c r="U1303" s="359"/>
      <c r="V1303" s="359"/>
      <c r="W1303" s="359"/>
      <c r="X1303" s="359"/>
      <c r="Y1303" s="359"/>
      <c r="Z1303" s="359"/>
      <c r="AA1303" s="359"/>
    </row>
    <row r="1304" spans="1:27">
      <c r="A1304" s="359"/>
      <c r="B1304" s="359"/>
      <c r="C1304" s="359"/>
      <c r="D1304" s="359"/>
      <c r="E1304" s="359"/>
      <c r="F1304" s="359"/>
      <c r="G1304" s="359"/>
      <c r="H1304" s="359"/>
      <c r="I1304" s="359"/>
      <c r="J1304" s="359"/>
      <c r="K1304" s="359"/>
      <c r="L1304" s="359"/>
      <c r="M1304" s="359"/>
      <c r="N1304" s="359"/>
      <c r="O1304" s="359"/>
      <c r="P1304" s="359"/>
      <c r="Q1304" s="359"/>
      <c r="R1304" s="359"/>
      <c r="S1304" s="359"/>
      <c r="T1304" s="359"/>
      <c r="U1304" s="359"/>
      <c r="V1304" s="359"/>
      <c r="W1304" s="359"/>
      <c r="X1304" s="359"/>
      <c r="Y1304" s="359"/>
      <c r="Z1304" s="359"/>
      <c r="AA1304" s="359"/>
    </row>
    <row r="1305" spans="1:27">
      <c r="A1305" s="359"/>
      <c r="B1305" s="359"/>
      <c r="C1305" s="359"/>
      <c r="D1305" s="359"/>
      <c r="E1305" s="359"/>
      <c r="F1305" s="359"/>
      <c r="G1305" s="359"/>
      <c r="H1305" s="359"/>
      <c r="I1305" s="359"/>
      <c r="J1305" s="359"/>
      <c r="K1305" s="359"/>
      <c r="L1305" s="359"/>
      <c r="M1305" s="359"/>
      <c r="N1305" s="359"/>
      <c r="O1305" s="359"/>
      <c r="P1305" s="359"/>
      <c r="Q1305" s="359"/>
      <c r="R1305" s="359"/>
      <c r="S1305" s="359"/>
      <c r="T1305" s="359"/>
      <c r="U1305" s="359"/>
      <c r="V1305" s="359"/>
      <c r="W1305" s="359"/>
      <c r="X1305" s="359"/>
      <c r="Y1305" s="359"/>
      <c r="Z1305" s="359"/>
      <c r="AA1305" s="359"/>
    </row>
    <row r="1306" spans="1:27">
      <c r="A1306" s="359"/>
      <c r="B1306" s="359"/>
      <c r="C1306" s="359"/>
      <c r="D1306" s="359"/>
      <c r="E1306" s="359"/>
      <c r="F1306" s="359"/>
      <c r="G1306" s="359"/>
      <c r="H1306" s="359"/>
      <c r="I1306" s="359"/>
      <c r="J1306" s="359"/>
      <c r="K1306" s="359"/>
      <c r="L1306" s="359"/>
      <c r="M1306" s="359"/>
      <c r="N1306" s="359"/>
      <c r="O1306" s="359"/>
      <c r="P1306" s="359"/>
      <c r="Q1306" s="359"/>
      <c r="R1306" s="359"/>
      <c r="S1306" s="359"/>
      <c r="T1306" s="359"/>
      <c r="U1306" s="359"/>
      <c r="V1306" s="359"/>
      <c r="W1306" s="359"/>
      <c r="X1306" s="359"/>
      <c r="Y1306" s="359"/>
      <c r="Z1306" s="359"/>
      <c r="AA1306" s="359"/>
    </row>
    <row r="1307" spans="1:27">
      <c r="A1307" s="359"/>
      <c r="B1307" s="359"/>
      <c r="C1307" s="359"/>
      <c r="D1307" s="359"/>
      <c r="E1307" s="359"/>
      <c r="F1307" s="359"/>
      <c r="G1307" s="359"/>
      <c r="H1307" s="359"/>
      <c r="I1307" s="359"/>
      <c r="J1307" s="359"/>
      <c r="K1307" s="359"/>
      <c r="L1307" s="359"/>
      <c r="M1307" s="359"/>
      <c r="N1307" s="359"/>
      <c r="O1307" s="359"/>
      <c r="P1307" s="359"/>
      <c r="Q1307" s="359"/>
      <c r="R1307" s="359"/>
      <c r="S1307" s="359"/>
      <c r="T1307" s="359"/>
      <c r="U1307" s="359"/>
      <c r="V1307" s="359"/>
      <c r="W1307" s="359"/>
      <c r="X1307" s="359"/>
      <c r="Y1307" s="359"/>
      <c r="Z1307" s="359"/>
      <c r="AA1307" s="359"/>
    </row>
    <row r="1308" spans="1:27">
      <c r="A1308" s="359"/>
      <c r="B1308" s="359"/>
      <c r="C1308" s="359"/>
      <c r="D1308" s="359"/>
      <c r="E1308" s="359"/>
      <c r="F1308" s="359"/>
      <c r="G1308" s="359"/>
      <c r="H1308" s="359"/>
      <c r="I1308" s="359"/>
      <c r="J1308" s="359"/>
      <c r="K1308" s="359"/>
      <c r="L1308" s="359"/>
      <c r="M1308" s="359"/>
      <c r="N1308" s="359"/>
      <c r="O1308" s="359"/>
      <c r="P1308" s="359"/>
      <c r="Q1308" s="359"/>
      <c r="R1308" s="359"/>
      <c r="S1308" s="359"/>
      <c r="T1308" s="359"/>
      <c r="U1308" s="359"/>
      <c r="V1308" s="359"/>
      <c r="W1308" s="359"/>
      <c r="X1308" s="359"/>
      <c r="Y1308" s="359"/>
      <c r="Z1308" s="359"/>
      <c r="AA1308" s="359"/>
    </row>
    <row r="1309" spans="1:27">
      <c r="A1309" s="359"/>
      <c r="B1309" s="359"/>
      <c r="C1309" s="359"/>
      <c r="D1309" s="359"/>
      <c r="E1309" s="359"/>
      <c r="F1309" s="359"/>
      <c r="G1309" s="359"/>
      <c r="H1309" s="359"/>
      <c r="I1309" s="359"/>
      <c r="J1309" s="359"/>
      <c r="K1309" s="359"/>
      <c r="L1309" s="359"/>
      <c r="M1309" s="359"/>
      <c r="N1309" s="359"/>
      <c r="O1309" s="359"/>
      <c r="P1309" s="359"/>
      <c r="Q1309" s="359"/>
      <c r="R1309" s="359"/>
      <c r="S1309" s="359"/>
      <c r="T1309" s="359"/>
      <c r="U1309" s="359"/>
      <c r="V1309" s="359"/>
      <c r="W1309" s="359"/>
      <c r="X1309" s="359"/>
      <c r="Y1309" s="359"/>
      <c r="Z1309" s="359"/>
      <c r="AA1309" s="359"/>
    </row>
    <row r="1310" spans="1:27">
      <c r="A1310" s="359"/>
      <c r="B1310" s="359"/>
      <c r="C1310" s="359"/>
      <c r="D1310" s="359"/>
      <c r="E1310" s="359"/>
      <c r="F1310" s="359"/>
      <c r="G1310" s="359"/>
      <c r="H1310" s="359"/>
      <c r="I1310" s="359"/>
      <c r="J1310" s="359"/>
      <c r="K1310" s="359"/>
      <c r="L1310" s="359"/>
      <c r="M1310" s="359"/>
      <c r="N1310" s="359"/>
      <c r="O1310" s="359"/>
      <c r="P1310" s="359"/>
      <c r="Q1310" s="359"/>
      <c r="R1310" s="359"/>
      <c r="S1310" s="359"/>
      <c r="T1310" s="359"/>
      <c r="U1310" s="359"/>
      <c r="V1310" s="359"/>
      <c r="W1310" s="359"/>
      <c r="X1310" s="359"/>
      <c r="Y1310" s="359"/>
      <c r="Z1310" s="359"/>
      <c r="AA1310" s="359"/>
    </row>
    <row r="1311" spans="1:27">
      <c r="A1311" s="359"/>
      <c r="B1311" s="359"/>
      <c r="C1311" s="359"/>
      <c r="D1311" s="359"/>
      <c r="E1311" s="359"/>
      <c r="F1311" s="359"/>
      <c r="G1311" s="359"/>
      <c r="H1311" s="359"/>
      <c r="I1311" s="359"/>
      <c r="J1311" s="359"/>
      <c r="K1311" s="359"/>
      <c r="L1311" s="359"/>
      <c r="M1311" s="359"/>
      <c r="N1311" s="359"/>
      <c r="O1311" s="359"/>
      <c r="P1311" s="359"/>
      <c r="Q1311" s="359"/>
      <c r="R1311" s="359"/>
      <c r="S1311" s="359"/>
      <c r="T1311" s="359"/>
      <c r="U1311" s="359"/>
      <c r="V1311" s="359"/>
      <c r="W1311" s="359"/>
      <c r="X1311" s="359"/>
      <c r="Y1311" s="359"/>
      <c r="Z1311" s="359"/>
      <c r="AA1311" s="359"/>
    </row>
    <row r="1312" spans="1:27">
      <c r="A1312" s="359"/>
      <c r="B1312" s="359"/>
      <c r="C1312" s="359"/>
      <c r="D1312" s="359"/>
      <c r="E1312" s="359"/>
      <c r="F1312" s="359"/>
      <c r="G1312" s="359"/>
      <c r="H1312" s="359"/>
      <c r="I1312" s="359"/>
      <c r="J1312" s="359"/>
      <c r="K1312" s="359"/>
      <c r="L1312" s="359"/>
      <c r="M1312" s="359"/>
      <c r="N1312" s="359"/>
      <c r="O1312" s="359"/>
      <c r="P1312" s="359"/>
      <c r="Q1312" s="359"/>
      <c r="R1312" s="359"/>
      <c r="S1312" s="359"/>
      <c r="T1312" s="359"/>
      <c r="U1312" s="359"/>
      <c r="V1312" s="359"/>
      <c r="W1312" s="359"/>
      <c r="X1312" s="359"/>
      <c r="Y1312" s="359"/>
      <c r="Z1312" s="359"/>
      <c r="AA1312" s="359"/>
    </row>
    <row r="1313" spans="1:27">
      <c r="A1313" s="359"/>
      <c r="B1313" s="359"/>
      <c r="C1313" s="359"/>
      <c r="D1313" s="359"/>
      <c r="E1313" s="359"/>
      <c r="F1313" s="359"/>
      <c r="G1313" s="359"/>
      <c r="H1313" s="359"/>
      <c r="I1313" s="359"/>
      <c r="J1313" s="359"/>
      <c r="K1313" s="359"/>
      <c r="L1313" s="359"/>
      <c r="M1313" s="359"/>
      <c r="N1313" s="359"/>
      <c r="O1313" s="359"/>
      <c r="P1313" s="359"/>
      <c r="Q1313" s="359"/>
      <c r="R1313" s="359"/>
      <c r="S1313" s="359"/>
      <c r="T1313" s="359"/>
      <c r="U1313" s="359"/>
      <c r="V1313" s="359"/>
      <c r="W1313" s="359"/>
      <c r="X1313" s="359"/>
      <c r="Y1313" s="359"/>
      <c r="Z1313" s="359"/>
      <c r="AA1313" s="359"/>
    </row>
    <row r="1314" spans="1:27">
      <c r="A1314" s="359"/>
      <c r="B1314" s="359"/>
      <c r="C1314" s="359"/>
      <c r="D1314" s="359"/>
      <c r="E1314" s="359"/>
      <c r="F1314" s="359"/>
      <c r="G1314" s="359"/>
      <c r="H1314" s="359"/>
      <c r="I1314" s="359"/>
      <c r="J1314" s="359"/>
      <c r="K1314" s="359"/>
      <c r="L1314" s="359"/>
      <c r="M1314" s="359"/>
      <c r="N1314" s="359"/>
      <c r="O1314" s="359"/>
      <c r="P1314" s="359"/>
      <c r="Q1314" s="359"/>
      <c r="R1314" s="359"/>
      <c r="S1314" s="359"/>
      <c r="T1314" s="359"/>
      <c r="U1314" s="359"/>
      <c r="V1314" s="359"/>
      <c r="W1314" s="359"/>
      <c r="X1314" s="359"/>
      <c r="Y1314" s="359"/>
      <c r="Z1314" s="359"/>
      <c r="AA1314" s="359"/>
    </row>
    <row r="1315" spans="1:27">
      <c r="A1315" s="359"/>
      <c r="B1315" s="359"/>
      <c r="C1315" s="359"/>
      <c r="D1315" s="359"/>
      <c r="E1315" s="359"/>
      <c r="F1315" s="359"/>
      <c r="G1315" s="359"/>
      <c r="H1315" s="359"/>
      <c r="I1315" s="359"/>
      <c r="J1315" s="359"/>
      <c r="K1315" s="359"/>
      <c r="L1315" s="359"/>
      <c r="M1315" s="359"/>
      <c r="N1315" s="359"/>
      <c r="O1315" s="359"/>
      <c r="P1315" s="359"/>
      <c r="Q1315" s="359"/>
      <c r="R1315" s="359"/>
      <c r="S1315" s="359"/>
      <c r="T1315" s="359"/>
      <c r="U1315" s="359"/>
      <c r="V1315" s="359"/>
      <c r="W1315" s="359"/>
      <c r="X1315" s="359"/>
      <c r="Y1315" s="359"/>
      <c r="Z1315" s="359"/>
      <c r="AA1315" s="359"/>
    </row>
    <row r="1316" spans="1:27">
      <c r="A1316" s="359"/>
      <c r="B1316" s="359"/>
      <c r="C1316" s="359"/>
      <c r="D1316" s="359"/>
      <c r="E1316" s="359"/>
      <c r="F1316" s="359"/>
      <c r="G1316" s="359"/>
      <c r="H1316" s="359"/>
      <c r="I1316" s="359"/>
      <c r="J1316" s="359"/>
      <c r="K1316" s="359"/>
      <c r="L1316" s="359"/>
      <c r="M1316" s="359"/>
      <c r="N1316" s="359"/>
      <c r="O1316" s="359"/>
      <c r="P1316" s="359"/>
      <c r="Q1316" s="359"/>
      <c r="R1316" s="359"/>
      <c r="S1316" s="359"/>
      <c r="T1316" s="359"/>
      <c r="U1316" s="359"/>
      <c r="V1316" s="359"/>
      <c r="W1316" s="359"/>
      <c r="X1316" s="359"/>
      <c r="Y1316" s="359"/>
      <c r="Z1316" s="359"/>
      <c r="AA1316" s="359"/>
    </row>
    <row r="1317" spans="1:27">
      <c r="A1317" s="359"/>
      <c r="B1317" s="359"/>
      <c r="C1317" s="359"/>
      <c r="D1317" s="359"/>
      <c r="E1317" s="359"/>
      <c r="F1317" s="359"/>
      <c r="G1317" s="359"/>
      <c r="H1317" s="359"/>
      <c r="I1317" s="359"/>
      <c r="J1317" s="359"/>
      <c r="K1317" s="359"/>
      <c r="L1317" s="359"/>
      <c r="M1317" s="359"/>
      <c r="N1317" s="359"/>
      <c r="O1317" s="359"/>
      <c r="P1317" s="359"/>
      <c r="Q1317" s="359"/>
      <c r="R1317" s="359"/>
      <c r="S1317" s="359"/>
      <c r="T1317" s="359"/>
      <c r="U1317" s="359"/>
      <c r="V1317" s="359"/>
      <c r="W1317" s="359"/>
      <c r="X1317" s="359"/>
      <c r="Y1317" s="359"/>
      <c r="Z1317" s="359"/>
      <c r="AA1317" s="359"/>
    </row>
    <row r="1318" spans="1:27">
      <c r="A1318" s="359"/>
      <c r="B1318" s="359"/>
      <c r="C1318" s="359"/>
      <c r="D1318" s="359"/>
      <c r="E1318" s="359"/>
      <c r="F1318" s="359"/>
      <c r="G1318" s="359"/>
      <c r="H1318" s="359"/>
      <c r="I1318" s="359"/>
      <c r="J1318" s="359"/>
      <c r="K1318" s="359"/>
      <c r="L1318" s="359"/>
      <c r="M1318" s="359"/>
      <c r="N1318" s="359"/>
      <c r="O1318" s="359"/>
      <c r="P1318" s="359"/>
      <c r="Q1318" s="359"/>
      <c r="R1318" s="359"/>
      <c r="S1318" s="359"/>
      <c r="T1318" s="359"/>
      <c r="U1318" s="359"/>
      <c r="V1318" s="359"/>
      <c r="W1318" s="359"/>
      <c r="X1318" s="359"/>
      <c r="Y1318" s="359"/>
      <c r="Z1318" s="359"/>
      <c r="AA1318" s="359"/>
    </row>
    <row r="1319" spans="1:27">
      <c r="A1319" s="359"/>
      <c r="B1319" s="359"/>
      <c r="C1319" s="359"/>
      <c r="D1319" s="359"/>
      <c r="E1319" s="359"/>
      <c r="F1319" s="359"/>
      <c r="G1319" s="359"/>
      <c r="H1319" s="359"/>
      <c r="I1319" s="359"/>
      <c r="J1319" s="359"/>
      <c r="K1319" s="359"/>
      <c r="L1319" s="359"/>
      <c r="M1319" s="359"/>
      <c r="N1319" s="359"/>
      <c r="O1319" s="359"/>
      <c r="P1319" s="359"/>
      <c r="Q1319" s="359"/>
      <c r="R1319" s="359"/>
      <c r="S1319" s="359"/>
      <c r="T1319" s="359"/>
      <c r="U1319" s="359"/>
      <c r="V1319" s="359"/>
      <c r="W1319" s="359"/>
      <c r="X1319" s="359"/>
      <c r="Y1319" s="359"/>
      <c r="Z1319" s="359"/>
      <c r="AA1319" s="359"/>
    </row>
    <row r="1320" spans="1:27">
      <c r="A1320" s="359"/>
      <c r="B1320" s="359"/>
      <c r="C1320" s="359"/>
      <c r="D1320" s="359"/>
      <c r="E1320" s="359"/>
      <c r="F1320" s="359"/>
      <c r="G1320" s="359"/>
      <c r="H1320" s="359"/>
      <c r="I1320" s="359"/>
      <c r="J1320" s="359"/>
      <c r="K1320" s="359"/>
      <c r="L1320" s="359"/>
      <c r="M1320" s="359"/>
      <c r="N1320" s="359"/>
      <c r="O1320" s="359"/>
      <c r="P1320" s="359"/>
      <c r="Q1320" s="359"/>
      <c r="R1320" s="359"/>
      <c r="S1320" s="359"/>
      <c r="T1320" s="359"/>
      <c r="U1320" s="359"/>
      <c r="V1320" s="359"/>
      <c r="W1320" s="359"/>
      <c r="X1320" s="359"/>
      <c r="Y1320" s="359"/>
      <c r="Z1320" s="359"/>
      <c r="AA1320" s="359"/>
    </row>
    <row r="1321" spans="1:27">
      <c r="A1321" s="359"/>
      <c r="B1321" s="359"/>
      <c r="C1321" s="359"/>
      <c r="D1321" s="359"/>
      <c r="E1321" s="359"/>
      <c r="F1321" s="359"/>
      <c r="G1321" s="359"/>
      <c r="H1321" s="359"/>
      <c r="I1321" s="359"/>
      <c r="J1321" s="359"/>
      <c r="K1321" s="359"/>
      <c r="L1321" s="359"/>
      <c r="M1321" s="359"/>
      <c r="N1321" s="359"/>
      <c r="O1321" s="359"/>
      <c r="P1321" s="359"/>
      <c r="Q1321" s="359"/>
      <c r="R1321" s="359"/>
      <c r="S1321" s="359"/>
      <c r="T1321" s="359"/>
      <c r="U1321" s="359"/>
      <c r="V1321" s="359"/>
      <c r="W1321" s="359"/>
      <c r="X1321" s="359"/>
      <c r="Y1321" s="359"/>
      <c r="Z1321" s="359"/>
      <c r="AA1321" s="359"/>
    </row>
    <row r="1322" spans="1:27">
      <c r="A1322" s="359"/>
      <c r="B1322" s="359"/>
      <c r="C1322" s="359"/>
      <c r="D1322" s="359"/>
      <c r="E1322" s="359"/>
      <c r="F1322" s="359"/>
      <c r="G1322" s="359"/>
      <c r="H1322" s="359"/>
      <c r="I1322" s="359"/>
      <c r="J1322" s="359"/>
      <c r="K1322" s="359"/>
      <c r="L1322" s="359"/>
      <c r="M1322" s="359"/>
      <c r="N1322" s="359"/>
      <c r="O1322" s="359"/>
      <c r="P1322" s="359"/>
      <c r="Q1322" s="359"/>
      <c r="R1322" s="359"/>
      <c r="S1322" s="359"/>
      <c r="T1322" s="359"/>
      <c r="U1322" s="359"/>
      <c r="V1322" s="359"/>
      <c r="W1322" s="359"/>
      <c r="X1322" s="359"/>
      <c r="Y1322" s="359"/>
      <c r="Z1322" s="359"/>
      <c r="AA1322" s="359"/>
    </row>
    <row r="1323" spans="1:27">
      <c r="A1323" s="359"/>
      <c r="B1323" s="359"/>
      <c r="C1323" s="359"/>
      <c r="D1323" s="359"/>
      <c r="E1323" s="359"/>
      <c r="F1323" s="359"/>
      <c r="G1323" s="359"/>
      <c r="H1323" s="359"/>
      <c r="I1323" s="359"/>
      <c r="J1323" s="359"/>
      <c r="K1323" s="359"/>
      <c r="L1323" s="359"/>
      <c r="M1323" s="359"/>
      <c r="N1323" s="359"/>
      <c r="O1323" s="359"/>
      <c r="P1323" s="359"/>
      <c r="Q1323" s="359"/>
      <c r="R1323" s="359"/>
      <c r="S1323" s="359"/>
      <c r="T1323" s="359"/>
      <c r="U1323" s="359"/>
      <c r="V1323" s="359"/>
      <c r="W1323" s="359"/>
      <c r="X1323" s="359"/>
      <c r="Y1323" s="359"/>
      <c r="Z1323" s="359"/>
      <c r="AA1323" s="359"/>
    </row>
    <row r="1324" spans="1:27">
      <c r="A1324" s="359"/>
      <c r="B1324" s="359"/>
      <c r="C1324" s="359"/>
      <c r="D1324" s="359"/>
      <c r="E1324" s="359"/>
      <c r="F1324" s="359"/>
      <c r="G1324" s="359"/>
      <c r="H1324" s="359"/>
      <c r="I1324" s="359"/>
      <c r="J1324" s="359"/>
      <c r="K1324" s="359"/>
      <c r="L1324" s="359"/>
      <c r="M1324" s="359"/>
      <c r="N1324" s="359"/>
      <c r="O1324" s="359"/>
      <c r="P1324" s="359"/>
      <c r="Q1324" s="359"/>
      <c r="R1324" s="359"/>
      <c r="S1324" s="359"/>
      <c r="T1324" s="359"/>
      <c r="U1324" s="359"/>
      <c r="V1324" s="359"/>
      <c r="W1324" s="359"/>
      <c r="X1324" s="359"/>
      <c r="Y1324" s="359"/>
      <c r="Z1324" s="359"/>
      <c r="AA1324" s="359"/>
    </row>
    <row r="1325" spans="1:27">
      <c r="A1325" s="359"/>
      <c r="B1325" s="359"/>
      <c r="C1325" s="359"/>
      <c r="D1325" s="359"/>
      <c r="E1325" s="359"/>
      <c r="F1325" s="359"/>
      <c r="G1325" s="359"/>
      <c r="H1325" s="359"/>
      <c r="I1325" s="359"/>
      <c r="J1325" s="359"/>
      <c r="K1325" s="359"/>
      <c r="L1325" s="359"/>
      <c r="M1325" s="359"/>
      <c r="N1325" s="359"/>
      <c r="O1325" s="359"/>
      <c r="P1325" s="359"/>
      <c r="Q1325" s="359"/>
      <c r="R1325" s="359"/>
      <c r="S1325" s="359"/>
      <c r="T1325" s="359"/>
      <c r="U1325" s="359"/>
      <c r="V1325" s="359"/>
      <c r="W1325" s="359"/>
      <c r="X1325" s="359"/>
      <c r="Y1325" s="359"/>
      <c r="Z1325" s="359"/>
      <c r="AA1325" s="359"/>
    </row>
    <row r="1326" spans="1:27">
      <c r="A1326" s="359"/>
      <c r="B1326" s="359"/>
      <c r="C1326" s="359"/>
      <c r="D1326" s="359"/>
      <c r="E1326" s="359"/>
      <c r="F1326" s="359"/>
      <c r="G1326" s="359"/>
      <c r="H1326" s="359"/>
      <c r="I1326" s="359"/>
      <c r="J1326" s="359"/>
      <c r="K1326" s="359"/>
      <c r="L1326" s="359"/>
      <c r="M1326" s="359"/>
      <c r="N1326" s="359"/>
      <c r="O1326" s="359"/>
      <c r="P1326" s="359"/>
      <c r="Q1326" s="359"/>
      <c r="R1326" s="359"/>
      <c r="S1326" s="359"/>
      <c r="T1326" s="359"/>
      <c r="U1326" s="359"/>
      <c r="V1326" s="359"/>
      <c r="W1326" s="359"/>
      <c r="X1326" s="359"/>
      <c r="Y1326" s="359"/>
      <c r="Z1326" s="359"/>
      <c r="AA1326" s="359"/>
    </row>
    <row r="1327" spans="1:27">
      <c r="A1327" s="359"/>
      <c r="B1327" s="359"/>
      <c r="C1327" s="359"/>
      <c r="D1327" s="359"/>
      <c r="E1327" s="359"/>
      <c r="F1327" s="359"/>
      <c r="G1327" s="359"/>
      <c r="H1327" s="359"/>
      <c r="I1327" s="359"/>
      <c r="J1327" s="359"/>
      <c r="K1327" s="359"/>
      <c r="L1327" s="359"/>
      <c r="M1327" s="359"/>
      <c r="N1327" s="359"/>
      <c r="O1327" s="359"/>
      <c r="P1327" s="359"/>
      <c r="Q1327" s="359"/>
      <c r="R1327" s="359"/>
      <c r="S1327" s="359"/>
      <c r="T1327" s="359"/>
      <c r="U1327" s="359"/>
      <c r="V1327" s="359"/>
      <c r="W1327" s="359"/>
      <c r="X1327" s="359"/>
      <c r="Y1327" s="359"/>
      <c r="Z1327" s="359"/>
      <c r="AA1327" s="359"/>
    </row>
    <row r="1328" spans="1:27">
      <c r="A1328" s="359"/>
      <c r="B1328" s="359"/>
      <c r="C1328" s="359"/>
      <c r="D1328" s="359"/>
      <c r="E1328" s="359"/>
      <c r="F1328" s="359"/>
      <c r="G1328" s="359"/>
      <c r="H1328" s="359"/>
      <c r="I1328" s="359"/>
      <c r="J1328" s="359"/>
      <c r="K1328" s="359"/>
      <c r="L1328" s="359"/>
      <c r="M1328" s="359"/>
      <c r="N1328" s="359"/>
      <c r="O1328" s="359"/>
      <c r="P1328" s="359"/>
      <c r="Q1328" s="359"/>
      <c r="R1328" s="359"/>
      <c r="S1328" s="359"/>
      <c r="T1328" s="359"/>
      <c r="U1328" s="359"/>
      <c r="V1328" s="359"/>
      <c r="W1328" s="359"/>
      <c r="X1328" s="359"/>
      <c r="Y1328" s="359"/>
      <c r="Z1328" s="359"/>
      <c r="AA1328" s="359"/>
    </row>
    <row r="1329" spans="1:27">
      <c r="A1329" s="359"/>
      <c r="B1329" s="359"/>
      <c r="C1329" s="359"/>
      <c r="D1329" s="359"/>
      <c r="E1329" s="359"/>
      <c r="F1329" s="359"/>
      <c r="G1329" s="359"/>
      <c r="H1329" s="359"/>
      <c r="I1329" s="359"/>
      <c r="J1329" s="359"/>
      <c r="K1329" s="359"/>
      <c r="L1329" s="359"/>
      <c r="M1329" s="359"/>
      <c r="N1329" s="359"/>
      <c r="O1329" s="359"/>
      <c r="P1329" s="359"/>
      <c r="Q1329" s="359"/>
      <c r="R1329" s="359"/>
      <c r="S1329" s="359"/>
      <c r="T1329" s="359"/>
      <c r="U1329" s="359"/>
      <c r="V1329" s="359"/>
      <c r="W1329" s="359"/>
      <c r="X1329" s="359"/>
      <c r="Y1329" s="359"/>
      <c r="Z1329" s="359"/>
      <c r="AA1329" s="359"/>
    </row>
    <row r="1330" spans="1:27">
      <c r="A1330" s="359"/>
      <c r="B1330" s="359"/>
      <c r="C1330" s="359"/>
      <c r="D1330" s="359"/>
      <c r="E1330" s="359"/>
      <c r="F1330" s="359"/>
      <c r="G1330" s="359"/>
      <c r="H1330" s="359"/>
      <c r="I1330" s="359"/>
      <c r="J1330" s="359"/>
      <c r="K1330" s="359"/>
      <c r="L1330" s="359"/>
      <c r="M1330" s="359"/>
      <c r="N1330" s="359"/>
      <c r="O1330" s="359"/>
      <c r="P1330" s="359"/>
      <c r="Q1330" s="359"/>
      <c r="R1330" s="359"/>
      <c r="S1330" s="359"/>
      <c r="T1330" s="359"/>
      <c r="U1330" s="359"/>
      <c r="V1330" s="359"/>
      <c r="W1330" s="359"/>
      <c r="X1330" s="359"/>
      <c r="Y1330" s="359"/>
      <c r="Z1330" s="359"/>
      <c r="AA1330" s="359"/>
    </row>
    <row r="1331" spans="1:27">
      <c r="A1331" s="359"/>
      <c r="B1331" s="359"/>
      <c r="C1331" s="359"/>
      <c r="D1331" s="359"/>
      <c r="E1331" s="359"/>
      <c r="F1331" s="359"/>
      <c r="G1331" s="359"/>
      <c r="H1331" s="359"/>
      <c r="I1331" s="359"/>
      <c r="J1331" s="359"/>
      <c r="K1331" s="359"/>
      <c r="L1331" s="359"/>
      <c r="M1331" s="359"/>
      <c r="N1331" s="359"/>
      <c r="O1331" s="359"/>
      <c r="P1331" s="359"/>
      <c r="Q1331" s="359"/>
      <c r="R1331" s="359"/>
      <c r="S1331" s="359"/>
      <c r="T1331" s="359"/>
      <c r="U1331" s="359"/>
      <c r="V1331" s="359"/>
      <c r="W1331" s="359"/>
      <c r="X1331" s="359"/>
      <c r="Y1331" s="359"/>
      <c r="Z1331" s="359"/>
      <c r="AA1331" s="359"/>
    </row>
    <row r="1332" spans="1:27">
      <c r="A1332" s="359"/>
      <c r="B1332" s="359"/>
      <c r="C1332" s="359"/>
      <c r="D1332" s="359"/>
      <c r="E1332" s="359"/>
      <c r="F1332" s="359"/>
      <c r="G1332" s="359"/>
      <c r="H1332" s="359"/>
      <c r="I1332" s="359"/>
      <c r="J1332" s="359"/>
      <c r="K1332" s="359"/>
      <c r="L1332" s="359"/>
      <c r="M1332" s="359"/>
      <c r="N1332" s="359"/>
      <c r="O1332" s="359"/>
      <c r="P1332" s="359"/>
      <c r="Q1332" s="359"/>
      <c r="R1332" s="359"/>
      <c r="S1332" s="359"/>
      <c r="T1332" s="359"/>
      <c r="U1332" s="359"/>
      <c r="V1332" s="359"/>
      <c r="W1332" s="359"/>
      <c r="X1332" s="359"/>
      <c r="Y1332" s="359"/>
      <c r="Z1332" s="359"/>
      <c r="AA1332" s="359"/>
    </row>
    <row r="1333" spans="1:27">
      <c r="A1333" s="359"/>
      <c r="B1333" s="359"/>
      <c r="C1333" s="359"/>
      <c r="D1333" s="359"/>
      <c r="E1333" s="359"/>
      <c r="F1333" s="359"/>
      <c r="G1333" s="359"/>
      <c r="H1333" s="359"/>
      <c r="I1333" s="359"/>
      <c r="J1333" s="359"/>
      <c r="K1333" s="359"/>
      <c r="L1333" s="359"/>
      <c r="M1333" s="359"/>
      <c r="N1333" s="359"/>
      <c r="O1333" s="359"/>
      <c r="P1333" s="359"/>
      <c r="Q1333" s="359"/>
      <c r="R1333" s="359"/>
      <c r="S1333" s="359"/>
      <c r="T1333" s="359"/>
      <c r="U1333" s="359"/>
      <c r="V1333" s="359"/>
      <c r="W1333" s="359"/>
      <c r="X1333" s="359"/>
      <c r="Y1333" s="359"/>
      <c r="Z1333" s="359"/>
      <c r="AA1333" s="359"/>
    </row>
    <row r="1334" spans="1:27">
      <c r="A1334" s="359"/>
      <c r="B1334" s="359"/>
      <c r="C1334" s="359"/>
      <c r="D1334" s="359"/>
      <c r="E1334" s="359"/>
      <c r="F1334" s="359"/>
      <c r="G1334" s="359"/>
      <c r="H1334" s="359"/>
      <c r="I1334" s="359"/>
      <c r="J1334" s="359"/>
      <c r="K1334" s="359"/>
      <c r="L1334" s="359"/>
      <c r="M1334" s="359"/>
      <c r="N1334" s="359"/>
      <c r="O1334" s="359"/>
      <c r="P1334" s="359"/>
      <c r="Q1334" s="359"/>
      <c r="R1334" s="359"/>
      <c r="S1334" s="359"/>
      <c r="T1334" s="359"/>
      <c r="U1334" s="359"/>
      <c r="V1334" s="359"/>
      <c r="W1334" s="359"/>
      <c r="X1334" s="359"/>
      <c r="Y1334" s="359"/>
      <c r="Z1334" s="359"/>
      <c r="AA1334" s="359"/>
    </row>
    <row r="1335" spans="1:27">
      <c r="A1335" s="359"/>
      <c r="B1335" s="359"/>
      <c r="C1335" s="359"/>
      <c r="D1335" s="359"/>
      <c r="E1335" s="359"/>
      <c r="F1335" s="359"/>
      <c r="G1335" s="359"/>
      <c r="H1335" s="359"/>
      <c r="I1335" s="359"/>
      <c r="J1335" s="359"/>
      <c r="K1335" s="359"/>
      <c r="L1335" s="359"/>
      <c r="M1335" s="359"/>
      <c r="N1335" s="359"/>
      <c r="O1335" s="359"/>
      <c r="P1335" s="359"/>
      <c r="Q1335" s="359"/>
      <c r="R1335" s="359"/>
      <c r="S1335" s="359"/>
      <c r="T1335" s="359"/>
      <c r="U1335" s="359"/>
      <c r="V1335" s="359"/>
      <c r="W1335" s="359"/>
      <c r="X1335" s="359"/>
      <c r="Y1335" s="359"/>
      <c r="Z1335" s="359"/>
      <c r="AA1335" s="359"/>
    </row>
    <row r="1336" spans="1:27">
      <c r="A1336" s="359"/>
      <c r="B1336" s="359"/>
      <c r="C1336" s="359"/>
      <c r="D1336" s="359"/>
      <c r="E1336" s="359"/>
      <c r="F1336" s="359"/>
      <c r="G1336" s="359"/>
      <c r="H1336" s="359"/>
      <c r="I1336" s="359"/>
      <c r="J1336" s="359"/>
      <c r="K1336" s="359"/>
      <c r="L1336" s="359"/>
      <c r="M1336" s="359"/>
      <c r="N1336" s="359"/>
      <c r="O1336" s="359"/>
      <c r="P1336" s="359"/>
      <c r="Q1336" s="359"/>
      <c r="R1336" s="359"/>
      <c r="S1336" s="359"/>
      <c r="T1336" s="359"/>
      <c r="U1336" s="359"/>
      <c r="V1336" s="359"/>
      <c r="W1336" s="359"/>
      <c r="X1336" s="359"/>
      <c r="Y1336" s="359"/>
      <c r="Z1336" s="359"/>
      <c r="AA1336" s="359"/>
    </row>
    <row r="1337" spans="1:27">
      <c r="A1337" s="359"/>
      <c r="B1337" s="359"/>
      <c r="C1337" s="359"/>
      <c r="D1337" s="359"/>
      <c r="E1337" s="359"/>
      <c r="F1337" s="359"/>
      <c r="G1337" s="359"/>
      <c r="H1337" s="359"/>
      <c r="I1337" s="359"/>
      <c r="J1337" s="359"/>
      <c r="K1337" s="359"/>
      <c r="L1337" s="359"/>
      <c r="M1337" s="359"/>
      <c r="N1337" s="359"/>
      <c r="O1337" s="359"/>
      <c r="P1337" s="359"/>
      <c r="Q1337" s="359"/>
      <c r="R1337" s="359"/>
      <c r="S1337" s="359"/>
      <c r="T1337" s="359"/>
      <c r="U1337" s="359"/>
      <c r="V1337" s="359"/>
      <c r="W1337" s="359"/>
      <c r="X1337" s="359"/>
      <c r="Y1337" s="359"/>
      <c r="Z1337" s="359"/>
      <c r="AA1337" s="359"/>
    </row>
    <row r="1338" spans="1:27">
      <c r="A1338" s="359"/>
      <c r="B1338" s="359"/>
      <c r="C1338" s="359"/>
      <c r="D1338" s="359"/>
      <c r="E1338" s="359"/>
      <c r="F1338" s="359"/>
      <c r="G1338" s="359"/>
      <c r="H1338" s="359"/>
      <c r="I1338" s="359"/>
      <c r="J1338" s="359"/>
      <c r="K1338" s="359"/>
      <c r="L1338" s="359"/>
      <c r="M1338" s="359"/>
      <c r="N1338" s="359"/>
      <c r="O1338" s="359"/>
      <c r="P1338" s="359"/>
      <c r="Q1338" s="359"/>
      <c r="R1338" s="359"/>
      <c r="S1338" s="359"/>
      <c r="T1338" s="359"/>
      <c r="U1338" s="359"/>
      <c r="V1338" s="359"/>
      <c r="W1338" s="359"/>
      <c r="X1338" s="359"/>
      <c r="Y1338" s="359"/>
      <c r="Z1338" s="359"/>
      <c r="AA1338" s="359"/>
    </row>
    <row r="1339" spans="1:27">
      <c r="A1339" s="359"/>
      <c r="B1339" s="359"/>
      <c r="C1339" s="359"/>
      <c r="D1339" s="359"/>
      <c r="E1339" s="359"/>
      <c r="F1339" s="359"/>
      <c r="G1339" s="359"/>
      <c r="H1339" s="359"/>
      <c r="I1339" s="359"/>
      <c r="J1339" s="359"/>
      <c r="K1339" s="359"/>
      <c r="L1339" s="359"/>
      <c r="M1339" s="359"/>
      <c r="N1339" s="359"/>
      <c r="O1339" s="359"/>
      <c r="P1339" s="359"/>
      <c r="Q1339" s="359"/>
      <c r="R1339" s="359"/>
      <c r="S1339" s="359"/>
      <c r="T1339" s="359"/>
      <c r="U1339" s="359"/>
      <c r="V1339" s="359"/>
      <c r="W1339" s="359"/>
      <c r="X1339" s="359"/>
      <c r="Y1339" s="359"/>
      <c r="Z1339" s="359"/>
      <c r="AA1339" s="359"/>
    </row>
    <row r="1340" spans="1:27">
      <c r="A1340" s="359"/>
      <c r="B1340" s="359"/>
      <c r="C1340" s="359"/>
      <c r="D1340" s="359"/>
      <c r="E1340" s="359"/>
      <c r="F1340" s="359"/>
      <c r="G1340" s="359"/>
      <c r="H1340" s="359"/>
      <c r="I1340" s="359"/>
      <c r="J1340" s="359"/>
      <c r="K1340" s="359"/>
      <c r="L1340" s="359"/>
      <c r="M1340" s="359"/>
      <c r="N1340" s="359"/>
      <c r="O1340" s="359"/>
      <c r="P1340" s="359"/>
      <c r="Q1340" s="359"/>
      <c r="R1340" s="359"/>
      <c r="S1340" s="359"/>
      <c r="T1340" s="359"/>
      <c r="U1340" s="359"/>
      <c r="V1340" s="359"/>
      <c r="W1340" s="359"/>
      <c r="X1340" s="359"/>
      <c r="Y1340" s="359"/>
      <c r="Z1340" s="359"/>
      <c r="AA1340" s="359"/>
    </row>
    <row r="1341" spans="1:27">
      <c r="A1341" s="359"/>
      <c r="B1341" s="359"/>
      <c r="C1341" s="359"/>
      <c r="D1341" s="359"/>
      <c r="E1341" s="359"/>
      <c r="F1341" s="359"/>
      <c r="G1341" s="359"/>
      <c r="H1341" s="359"/>
      <c r="I1341" s="359"/>
      <c r="J1341" s="359"/>
      <c r="K1341" s="359"/>
      <c r="L1341" s="359"/>
      <c r="M1341" s="359"/>
      <c r="N1341" s="359"/>
      <c r="O1341" s="359"/>
      <c r="P1341" s="359"/>
      <c r="Q1341" s="359"/>
      <c r="R1341" s="359"/>
      <c r="S1341" s="359"/>
      <c r="T1341" s="359"/>
      <c r="U1341" s="359"/>
      <c r="V1341" s="359"/>
      <c r="W1341" s="359"/>
      <c r="X1341" s="359"/>
      <c r="Y1341" s="359"/>
      <c r="Z1341" s="359"/>
      <c r="AA1341" s="359"/>
    </row>
    <row r="1342" spans="1:27">
      <c r="A1342" s="359"/>
      <c r="B1342" s="359"/>
      <c r="C1342" s="359"/>
      <c r="D1342" s="359"/>
      <c r="E1342" s="359"/>
      <c r="F1342" s="359"/>
      <c r="G1342" s="359"/>
      <c r="H1342" s="359"/>
      <c r="I1342" s="359"/>
      <c r="J1342" s="359"/>
      <c r="K1342" s="359"/>
      <c r="L1342" s="359"/>
      <c r="M1342" s="359"/>
      <c r="N1342" s="359"/>
      <c r="O1342" s="359"/>
      <c r="P1342" s="359"/>
      <c r="Q1342" s="359"/>
      <c r="R1342" s="359"/>
      <c r="S1342" s="359"/>
      <c r="T1342" s="359"/>
      <c r="U1342" s="359"/>
      <c r="V1342" s="359"/>
      <c r="W1342" s="359"/>
      <c r="X1342" s="359"/>
      <c r="Y1342" s="359"/>
      <c r="Z1342" s="359"/>
      <c r="AA1342" s="359"/>
    </row>
    <row r="1343" spans="1:27">
      <c r="A1343" s="359"/>
      <c r="B1343" s="359"/>
      <c r="C1343" s="359"/>
      <c r="D1343" s="359"/>
      <c r="E1343" s="359"/>
      <c r="F1343" s="359"/>
      <c r="G1343" s="359"/>
      <c r="H1343" s="359"/>
      <c r="I1343" s="359"/>
      <c r="J1343" s="359"/>
      <c r="K1343" s="359"/>
      <c r="L1343" s="359"/>
      <c r="M1343" s="359"/>
      <c r="N1343" s="359"/>
      <c r="O1343" s="359"/>
      <c r="P1343" s="359"/>
      <c r="Q1343" s="359"/>
      <c r="R1343" s="359"/>
      <c r="S1343" s="359"/>
      <c r="T1343" s="359"/>
      <c r="U1343" s="359"/>
      <c r="V1343" s="359"/>
      <c r="W1343" s="359"/>
      <c r="X1343" s="359"/>
      <c r="Y1343" s="359"/>
      <c r="Z1343" s="359"/>
      <c r="AA1343" s="359"/>
    </row>
    <row r="1344" spans="1:27">
      <c r="A1344" s="359"/>
      <c r="B1344" s="359"/>
      <c r="C1344" s="359"/>
      <c r="D1344" s="359"/>
      <c r="E1344" s="359"/>
      <c r="F1344" s="359"/>
      <c r="G1344" s="359"/>
      <c r="H1344" s="359"/>
      <c r="I1344" s="359"/>
      <c r="J1344" s="359"/>
      <c r="K1344" s="359"/>
      <c r="L1344" s="359"/>
      <c r="M1344" s="359"/>
      <c r="N1344" s="359"/>
      <c r="O1344" s="359"/>
      <c r="P1344" s="359"/>
      <c r="Q1344" s="359"/>
      <c r="R1344" s="359"/>
      <c r="S1344" s="359"/>
      <c r="T1344" s="359"/>
      <c r="U1344" s="359"/>
      <c r="V1344" s="359"/>
      <c r="W1344" s="359"/>
      <c r="X1344" s="359"/>
      <c r="Y1344" s="359"/>
      <c r="Z1344" s="359"/>
      <c r="AA1344" s="359"/>
    </row>
    <row r="1345" spans="1:27">
      <c r="A1345" s="359"/>
      <c r="B1345" s="359"/>
      <c r="C1345" s="359"/>
      <c r="D1345" s="359"/>
      <c r="E1345" s="359"/>
      <c r="F1345" s="359"/>
      <c r="G1345" s="359"/>
      <c r="H1345" s="359"/>
      <c r="I1345" s="359"/>
      <c r="J1345" s="359"/>
      <c r="K1345" s="359"/>
      <c r="L1345" s="359"/>
      <c r="M1345" s="359"/>
      <c r="N1345" s="359"/>
      <c r="O1345" s="359"/>
      <c r="P1345" s="359"/>
      <c r="Q1345" s="359"/>
      <c r="R1345" s="359"/>
      <c r="S1345" s="359"/>
      <c r="T1345" s="359"/>
      <c r="U1345" s="359"/>
      <c r="V1345" s="359"/>
      <c r="W1345" s="359"/>
      <c r="X1345" s="359"/>
      <c r="Y1345" s="359"/>
      <c r="Z1345" s="359"/>
      <c r="AA1345" s="359"/>
    </row>
    <row r="1346" spans="1:27">
      <c r="A1346" s="359"/>
      <c r="B1346" s="359"/>
      <c r="C1346" s="359"/>
      <c r="D1346" s="359"/>
      <c r="E1346" s="359"/>
      <c r="F1346" s="359"/>
      <c r="G1346" s="359"/>
      <c r="H1346" s="359"/>
      <c r="I1346" s="359"/>
      <c r="J1346" s="359"/>
      <c r="K1346" s="359"/>
      <c r="L1346" s="359"/>
      <c r="M1346" s="359"/>
      <c r="N1346" s="359"/>
      <c r="O1346" s="359"/>
      <c r="P1346" s="359"/>
      <c r="Q1346" s="359"/>
      <c r="R1346" s="359"/>
      <c r="S1346" s="359"/>
      <c r="T1346" s="359"/>
      <c r="U1346" s="359"/>
      <c r="V1346" s="359"/>
      <c r="W1346" s="359"/>
      <c r="X1346" s="359"/>
      <c r="Y1346" s="359"/>
      <c r="Z1346" s="359"/>
      <c r="AA1346" s="359"/>
    </row>
    <row r="1347" spans="1:27">
      <c r="A1347" s="359"/>
      <c r="B1347" s="359"/>
      <c r="C1347" s="359"/>
      <c r="D1347" s="359"/>
      <c r="E1347" s="359"/>
      <c r="F1347" s="359"/>
      <c r="G1347" s="359"/>
      <c r="H1347" s="359"/>
      <c r="I1347" s="359"/>
      <c r="J1347" s="359"/>
      <c r="K1347" s="359"/>
      <c r="L1347" s="359"/>
      <c r="M1347" s="359"/>
      <c r="N1347" s="359"/>
      <c r="O1347" s="359"/>
      <c r="P1347" s="359"/>
      <c r="Q1347" s="359"/>
      <c r="R1347" s="359"/>
      <c r="S1347" s="359"/>
      <c r="T1347" s="359"/>
      <c r="U1347" s="359"/>
      <c r="V1347" s="359"/>
      <c r="W1347" s="359"/>
      <c r="X1347" s="359"/>
      <c r="Y1347" s="359"/>
      <c r="Z1347" s="359"/>
      <c r="AA1347" s="359"/>
    </row>
    <row r="1348" spans="1:27">
      <c r="A1348" s="359"/>
      <c r="B1348" s="359"/>
      <c r="C1348" s="359"/>
      <c r="D1348" s="359"/>
      <c r="E1348" s="359"/>
      <c r="F1348" s="359"/>
      <c r="G1348" s="359"/>
      <c r="H1348" s="359"/>
      <c r="I1348" s="359"/>
      <c r="J1348" s="359"/>
      <c r="K1348" s="359"/>
      <c r="L1348" s="359"/>
      <c r="M1348" s="359"/>
      <c r="N1348" s="359"/>
      <c r="O1348" s="359"/>
      <c r="P1348" s="359"/>
      <c r="Q1348" s="359"/>
      <c r="R1348" s="359"/>
      <c r="S1348" s="359"/>
      <c r="T1348" s="359"/>
      <c r="U1348" s="359"/>
      <c r="V1348" s="359"/>
      <c r="W1348" s="359"/>
      <c r="X1348" s="359"/>
      <c r="Y1348" s="359"/>
      <c r="Z1348" s="359"/>
      <c r="AA1348" s="359"/>
    </row>
    <row r="1349" spans="1:27">
      <c r="A1349" s="359"/>
      <c r="B1349" s="359"/>
      <c r="C1349" s="359"/>
      <c r="D1349" s="359"/>
      <c r="E1349" s="359"/>
      <c r="F1349" s="359"/>
      <c r="G1349" s="359"/>
      <c r="H1349" s="359"/>
      <c r="I1349" s="359"/>
      <c r="J1349" s="359"/>
      <c r="K1349" s="359"/>
      <c r="L1349" s="359"/>
      <c r="M1349" s="359"/>
      <c r="N1349" s="359"/>
      <c r="O1349" s="359"/>
      <c r="P1349" s="359"/>
      <c r="Q1349" s="359"/>
      <c r="R1349" s="359"/>
      <c r="S1349" s="359"/>
      <c r="T1349" s="359"/>
      <c r="U1349" s="359"/>
      <c r="V1349" s="359"/>
      <c r="W1349" s="359"/>
      <c r="X1349" s="359"/>
      <c r="Y1349" s="359"/>
      <c r="Z1349" s="359"/>
      <c r="AA1349" s="359"/>
    </row>
    <row r="1350" spans="1:27">
      <c r="A1350" s="359"/>
      <c r="B1350" s="359"/>
      <c r="C1350" s="359"/>
      <c r="D1350" s="359"/>
      <c r="E1350" s="359"/>
      <c r="F1350" s="359"/>
      <c r="G1350" s="359"/>
      <c r="H1350" s="359"/>
      <c r="I1350" s="359"/>
      <c r="J1350" s="359"/>
      <c r="K1350" s="359"/>
      <c r="L1350" s="359"/>
      <c r="M1350" s="359"/>
      <c r="N1350" s="359"/>
      <c r="O1350" s="359"/>
      <c r="P1350" s="359"/>
      <c r="Q1350" s="359"/>
      <c r="R1350" s="359"/>
      <c r="S1350" s="359"/>
      <c r="T1350" s="359"/>
      <c r="U1350" s="359"/>
      <c r="V1350" s="359"/>
      <c r="W1350" s="359"/>
      <c r="X1350" s="359"/>
      <c r="Y1350" s="359"/>
      <c r="Z1350" s="359"/>
      <c r="AA1350" s="359"/>
    </row>
    <row r="1351" spans="1:27">
      <c r="A1351" s="359"/>
      <c r="B1351" s="359"/>
      <c r="C1351" s="359"/>
      <c r="D1351" s="359"/>
      <c r="E1351" s="359"/>
      <c r="F1351" s="359"/>
      <c r="G1351" s="359"/>
      <c r="H1351" s="359"/>
      <c r="I1351" s="359"/>
      <c r="J1351" s="359"/>
      <c r="K1351" s="359"/>
      <c r="L1351" s="359"/>
      <c r="M1351" s="359"/>
      <c r="N1351" s="359"/>
      <c r="O1351" s="359"/>
      <c r="P1351" s="359"/>
      <c r="Q1351" s="359"/>
      <c r="R1351" s="359"/>
      <c r="S1351" s="359"/>
      <c r="T1351" s="359"/>
      <c r="U1351" s="359"/>
      <c r="V1351" s="359"/>
      <c r="W1351" s="359"/>
      <c r="X1351" s="359"/>
      <c r="Y1351" s="359"/>
      <c r="Z1351" s="359"/>
      <c r="AA1351" s="359"/>
    </row>
    <row r="1352" spans="1:27">
      <c r="A1352" s="359"/>
      <c r="B1352" s="359"/>
      <c r="C1352" s="359"/>
      <c r="D1352" s="359"/>
      <c r="E1352" s="359"/>
      <c r="F1352" s="359"/>
      <c r="G1352" s="359"/>
      <c r="H1352" s="359"/>
      <c r="I1352" s="359"/>
      <c r="J1352" s="359"/>
      <c r="K1352" s="359"/>
      <c r="L1352" s="359"/>
      <c r="M1352" s="359"/>
      <c r="N1352" s="359"/>
      <c r="O1352" s="359"/>
      <c r="P1352" s="359"/>
      <c r="Q1352" s="359"/>
      <c r="R1352" s="359"/>
      <c r="S1352" s="359"/>
      <c r="T1352" s="359"/>
      <c r="U1352" s="359"/>
      <c r="V1352" s="359"/>
      <c r="W1352" s="359"/>
      <c r="X1352" s="359"/>
      <c r="Y1352" s="359"/>
      <c r="Z1352" s="359"/>
      <c r="AA1352" s="359"/>
    </row>
    <row r="1353" spans="1:27">
      <c r="A1353" s="359"/>
      <c r="B1353" s="359"/>
      <c r="C1353" s="359"/>
      <c r="D1353" s="359"/>
      <c r="E1353" s="359"/>
      <c r="F1353" s="359"/>
      <c r="G1353" s="359"/>
      <c r="H1353" s="359"/>
      <c r="I1353" s="359"/>
      <c r="J1353" s="359"/>
      <c r="K1353" s="359"/>
      <c r="L1353" s="359"/>
      <c r="M1353" s="359"/>
      <c r="N1353" s="359"/>
      <c r="O1353" s="359"/>
      <c r="P1353" s="359"/>
      <c r="Q1353" s="359"/>
      <c r="R1353" s="359"/>
      <c r="S1353" s="359"/>
      <c r="T1353" s="359"/>
      <c r="U1353" s="359"/>
      <c r="V1353" s="359"/>
      <c r="W1353" s="359"/>
      <c r="X1353" s="359"/>
      <c r="Y1353" s="359"/>
      <c r="Z1353" s="359"/>
      <c r="AA1353" s="359"/>
    </row>
    <row r="1354" spans="1:27">
      <c r="A1354" s="359"/>
      <c r="B1354" s="359"/>
      <c r="C1354" s="359"/>
      <c r="D1354" s="359"/>
      <c r="E1354" s="359"/>
      <c r="F1354" s="359"/>
      <c r="G1354" s="359"/>
      <c r="H1354" s="359"/>
      <c r="I1354" s="359"/>
      <c r="J1354" s="359"/>
      <c r="K1354" s="359"/>
      <c r="L1354" s="359"/>
      <c r="M1354" s="359"/>
      <c r="N1354" s="359"/>
      <c r="O1354" s="359"/>
      <c r="P1354" s="359"/>
      <c r="Q1354" s="359"/>
      <c r="R1354" s="359"/>
      <c r="S1354" s="359"/>
      <c r="T1354" s="359"/>
      <c r="U1354" s="359"/>
      <c r="V1354" s="359"/>
      <c r="W1354" s="359"/>
      <c r="X1354" s="359"/>
      <c r="Y1354" s="359"/>
      <c r="Z1354" s="359"/>
      <c r="AA1354" s="359"/>
    </row>
    <row r="1355" spans="1:27">
      <c r="A1355" s="359"/>
      <c r="B1355" s="359"/>
      <c r="C1355" s="359"/>
      <c r="D1355" s="359"/>
      <c r="E1355" s="359"/>
      <c r="F1355" s="359"/>
      <c r="G1355" s="359"/>
      <c r="H1355" s="359"/>
      <c r="I1355" s="359"/>
      <c r="J1355" s="359"/>
      <c r="K1355" s="359"/>
      <c r="L1355" s="359"/>
      <c r="M1355" s="359"/>
      <c r="N1355" s="359"/>
      <c r="O1355" s="359"/>
      <c r="P1355" s="359"/>
      <c r="Q1355" s="359"/>
      <c r="R1355" s="359"/>
      <c r="S1355" s="359"/>
      <c r="T1355" s="359"/>
      <c r="U1355" s="359"/>
      <c r="V1355" s="359"/>
      <c r="W1355" s="359"/>
      <c r="X1355" s="359"/>
      <c r="Y1355" s="359"/>
      <c r="Z1355" s="359"/>
      <c r="AA1355" s="359"/>
    </row>
    <row r="1356" spans="1:27">
      <c r="A1356" s="359"/>
      <c r="B1356" s="359"/>
      <c r="C1356" s="359"/>
      <c r="D1356" s="359"/>
      <c r="E1356" s="359"/>
      <c r="F1356" s="359"/>
      <c r="G1356" s="359"/>
      <c r="H1356" s="359"/>
      <c r="I1356" s="359"/>
      <c r="J1356" s="359"/>
      <c r="K1356" s="359"/>
      <c r="L1356" s="359"/>
      <c r="M1356" s="359"/>
      <c r="N1356" s="359"/>
      <c r="O1356" s="359"/>
      <c r="P1356" s="359"/>
      <c r="Q1356" s="359"/>
      <c r="R1356" s="359"/>
      <c r="S1356" s="359"/>
      <c r="T1356" s="359"/>
      <c r="U1356" s="359"/>
      <c r="V1356" s="359"/>
      <c r="W1356" s="359"/>
      <c r="X1356" s="359"/>
      <c r="Y1356" s="359"/>
      <c r="Z1356" s="359"/>
      <c r="AA1356" s="359"/>
    </row>
    <row r="1357" spans="1:27">
      <c r="A1357" s="359"/>
      <c r="B1357" s="359"/>
      <c r="C1357" s="359"/>
      <c r="D1357" s="359"/>
      <c r="E1357" s="359"/>
      <c r="F1357" s="359"/>
      <c r="G1357" s="359"/>
      <c r="H1357" s="359"/>
      <c r="I1357" s="359"/>
      <c r="J1357" s="359"/>
      <c r="K1357" s="359"/>
      <c r="L1357" s="359"/>
      <c r="M1357" s="359"/>
      <c r="N1357" s="359"/>
      <c r="O1357" s="359"/>
      <c r="P1357" s="359"/>
      <c r="Q1357" s="359"/>
      <c r="R1357" s="359"/>
      <c r="S1357" s="359"/>
      <c r="T1357" s="359"/>
      <c r="U1357" s="359"/>
      <c r="V1357" s="359"/>
      <c r="W1357" s="359"/>
      <c r="X1357" s="359"/>
      <c r="Y1357" s="359"/>
      <c r="Z1357" s="359"/>
      <c r="AA1357" s="359"/>
    </row>
    <row r="1358" spans="1:27">
      <c r="A1358" s="359"/>
      <c r="B1358" s="359"/>
      <c r="C1358" s="359"/>
      <c r="D1358" s="359"/>
      <c r="E1358" s="359"/>
      <c r="F1358" s="359"/>
      <c r="G1358" s="359"/>
      <c r="H1358" s="359"/>
      <c r="I1358" s="359"/>
      <c r="J1358" s="359"/>
      <c r="K1358" s="359"/>
      <c r="L1358" s="359"/>
      <c r="M1358" s="359"/>
      <c r="N1358" s="359"/>
      <c r="O1358" s="359"/>
      <c r="P1358" s="359"/>
      <c r="Q1358" s="359"/>
      <c r="R1358" s="359"/>
      <c r="S1358" s="359"/>
      <c r="T1358" s="359"/>
      <c r="U1358" s="359"/>
      <c r="V1358" s="359"/>
      <c r="W1358" s="359"/>
      <c r="X1358" s="359"/>
      <c r="Y1358" s="359"/>
      <c r="Z1358" s="359"/>
      <c r="AA1358" s="359"/>
    </row>
    <row r="1359" spans="1:27">
      <c r="A1359" s="359"/>
      <c r="B1359" s="359"/>
      <c r="C1359" s="359"/>
      <c r="D1359" s="359"/>
      <c r="E1359" s="359"/>
      <c r="F1359" s="359"/>
      <c r="G1359" s="359"/>
      <c r="H1359" s="359"/>
      <c r="I1359" s="359"/>
      <c r="J1359" s="359"/>
      <c r="K1359" s="359"/>
      <c r="L1359" s="359"/>
      <c r="M1359" s="359"/>
      <c r="N1359" s="359"/>
      <c r="O1359" s="359"/>
      <c r="P1359" s="359"/>
      <c r="Q1359" s="359"/>
      <c r="R1359" s="359"/>
      <c r="S1359" s="359"/>
      <c r="T1359" s="359"/>
      <c r="U1359" s="359"/>
      <c r="V1359" s="359"/>
      <c r="W1359" s="359"/>
      <c r="X1359" s="359"/>
      <c r="Y1359" s="359"/>
      <c r="Z1359" s="359"/>
      <c r="AA1359" s="359"/>
    </row>
    <row r="1360" spans="1:27">
      <c r="A1360" s="359"/>
      <c r="B1360" s="359"/>
      <c r="C1360" s="359"/>
      <c r="D1360" s="359"/>
      <c r="E1360" s="359"/>
      <c r="F1360" s="359"/>
      <c r="G1360" s="359"/>
      <c r="H1360" s="359"/>
      <c r="I1360" s="359"/>
      <c r="J1360" s="359"/>
      <c r="K1360" s="359"/>
      <c r="L1360" s="359"/>
      <c r="M1360" s="359"/>
      <c r="N1360" s="359"/>
      <c r="O1360" s="359"/>
      <c r="P1360" s="359"/>
      <c r="Q1360" s="359"/>
      <c r="R1360" s="359"/>
      <c r="S1360" s="359"/>
      <c r="T1360" s="359"/>
      <c r="U1360" s="359"/>
      <c r="V1360" s="359"/>
      <c r="W1360" s="359"/>
      <c r="X1360" s="359"/>
      <c r="Y1360" s="359"/>
      <c r="Z1360" s="359"/>
      <c r="AA1360" s="359"/>
    </row>
    <row r="1361" spans="1:27">
      <c r="A1361" s="359"/>
      <c r="B1361" s="359"/>
      <c r="C1361" s="359"/>
      <c r="D1361" s="359"/>
      <c r="E1361" s="359"/>
      <c r="F1361" s="359"/>
      <c r="G1361" s="359"/>
      <c r="H1361" s="359"/>
      <c r="I1361" s="359"/>
      <c r="J1361" s="359"/>
      <c r="K1361" s="359"/>
      <c r="L1361" s="359"/>
      <c r="M1361" s="359"/>
      <c r="N1361" s="359"/>
      <c r="O1361" s="359"/>
      <c r="P1361" s="359"/>
      <c r="Q1361" s="359"/>
      <c r="R1361" s="359"/>
      <c r="S1361" s="359"/>
      <c r="T1361" s="359"/>
      <c r="U1361" s="359"/>
      <c r="V1361" s="359"/>
      <c r="W1361" s="359"/>
      <c r="X1361" s="359"/>
      <c r="Y1361" s="359"/>
      <c r="Z1361" s="359"/>
      <c r="AA1361" s="359"/>
    </row>
    <row r="1362" spans="1:27">
      <c r="A1362" s="359"/>
      <c r="B1362" s="359"/>
      <c r="C1362" s="359"/>
      <c r="D1362" s="359"/>
      <c r="E1362" s="359"/>
      <c r="F1362" s="359"/>
      <c r="G1362" s="359"/>
      <c r="H1362" s="359"/>
      <c r="I1362" s="359"/>
      <c r="J1362" s="359"/>
      <c r="K1362" s="359"/>
      <c r="L1362" s="359"/>
      <c r="M1362" s="359"/>
      <c r="N1362" s="359"/>
      <c r="O1362" s="359"/>
      <c r="P1362" s="359"/>
      <c r="Q1362" s="359"/>
      <c r="R1362" s="359"/>
      <c r="S1362" s="359"/>
      <c r="T1362" s="359"/>
      <c r="U1362" s="359"/>
      <c r="V1362" s="359"/>
      <c r="W1362" s="359"/>
      <c r="X1362" s="359"/>
      <c r="Y1362" s="359"/>
      <c r="Z1362" s="359"/>
      <c r="AA1362" s="359"/>
    </row>
    <row r="1363" spans="1:27">
      <c r="A1363" s="359"/>
      <c r="B1363" s="359"/>
      <c r="C1363" s="359"/>
      <c r="D1363" s="359"/>
      <c r="E1363" s="359"/>
      <c r="F1363" s="359"/>
      <c r="G1363" s="359"/>
      <c r="H1363" s="359"/>
      <c r="I1363" s="359"/>
      <c r="J1363" s="359"/>
      <c r="K1363" s="359"/>
      <c r="L1363" s="359"/>
      <c r="M1363" s="359"/>
      <c r="N1363" s="359"/>
      <c r="O1363" s="359"/>
      <c r="P1363" s="359"/>
      <c r="Q1363" s="359"/>
      <c r="R1363" s="359"/>
      <c r="S1363" s="359"/>
      <c r="T1363" s="359"/>
      <c r="U1363" s="359"/>
      <c r="V1363" s="359"/>
      <c r="W1363" s="359"/>
      <c r="X1363" s="359"/>
      <c r="Y1363" s="359"/>
      <c r="Z1363" s="359"/>
      <c r="AA1363" s="359"/>
    </row>
    <row r="1364" spans="1:27">
      <c r="A1364" s="359"/>
      <c r="B1364" s="359"/>
      <c r="C1364" s="359"/>
      <c r="D1364" s="359"/>
      <c r="E1364" s="359"/>
      <c r="F1364" s="359"/>
      <c r="G1364" s="359"/>
      <c r="H1364" s="359"/>
      <c r="I1364" s="359"/>
      <c r="J1364" s="359"/>
      <c r="K1364" s="359"/>
      <c r="L1364" s="359"/>
      <c r="M1364" s="359"/>
      <c r="N1364" s="359"/>
      <c r="O1364" s="359"/>
      <c r="P1364" s="359"/>
      <c r="Q1364" s="359"/>
      <c r="R1364" s="359"/>
      <c r="S1364" s="359"/>
      <c r="T1364" s="359"/>
      <c r="U1364" s="359"/>
      <c r="V1364" s="359"/>
      <c r="W1364" s="359"/>
      <c r="X1364" s="359"/>
      <c r="Y1364" s="359"/>
      <c r="Z1364" s="359"/>
      <c r="AA1364" s="359"/>
    </row>
    <row r="1365" spans="1:27">
      <c r="A1365" s="359"/>
      <c r="B1365" s="359"/>
      <c r="C1365" s="359"/>
      <c r="D1365" s="359"/>
      <c r="E1365" s="359"/>
      <c r="F1365" s="359"/>
      <c r="G1365" s="359"/>
      <c r="H1365" s="359"/>
      <c r="I1365" s="359"/>
      <c r="J1365" s="359"/>
      <c r="K1365" s="359"/>
      <c r="L1365" s="359"/>
      <c r="M1365" s="359"/>
      <c r="N1365" s="359"/>
      <c r="O1365" s="359"/>
      <c r="P1365" s="359"/>
      <c r="Q1365" s="359"/>
      <c r="R1365" s="359"/>
      <c r="S1365" s="359"/>
      <c r="T1365" s="359"/>
      <c r="U1365" s="359"/>
      <c r="V1365" s="359"/>
      <c r="W1365" s="359"/>
      <c r="X1365" s="359"/>
      <c r="Y1365" s="359"/>
      <c r="Z1365" s="359"/>
      <c r="AA1365" s="359"/>
    </row>
    <row r="1366" spans="1:27">
      <c r="A1366" s="359"/>
      <c r="B1366" s="359"/>
      <c r="C1366" s="359"/>
      <c r="D1366" s="359"/>
      <c r="E1366" s="359"/>
      <c r="F1366" s="359"/>
      <c r="G1366" s="359"/>
      <c r="H1366" s="359"/>
      <c r="I1366" s="359"/>
      <c r="J1366" s="359"/>
      <c r="K1366" s="359"/>
      <c r="L1366" s="359"/>
      <c r="M1366" s="359"/>
      <c r="N1366" s="359"/>
      <c r="O1366" s="359"/>
      <c r="P1366" s="359"/>
      <c r="Q1366" s="359"/>
      <c r="R1366" s="359"/>
      <c r="S1366" s="359"/>
      <c r="T1366" s="359"/>
      <c r="U1366" s="359"/>
      <c r="V1366" s="359"/>
      <c r="W1366" s="359"/>
      <c r="X1366" s="359"/>
      <c r="Y1366" s="359"/>
      <c r="Z1366" s="359"/>
      <c r="AA1366" s="359"/>
    </row>
    <row r="1367" spans="1:27">
      <c r="A1367" s="359"/>
      <c r="B1367" s="359"/>
      <c r="C1367" s="359"/>
      <c r="D1367" s="359"/>
      <c r="E1367" s="359"/>
      <c r="F1367" s="359"/>
      <c r="G1367" s="359"/>
      <c r="H1367" s="359"/>
      <c r="I1367" s="359"/>
      <c r="J1367" s="359"/>
      <c r="K1367" s="359"/>
      <c r="L1367" s="359"/>
      <c r="M1367" s="359"/>
      <c r="N1367" s="359"/>
      <c r="O1367" s="359"/>
      <c r="P1367" s="359"/>
      <c r="Q1367" s="359"/>
      <c r="R1367" s="359"/>
      <c r="S1367" s="359"/>
      <c r="T1367" s="359"/>
      <c r="U1367" s="359"/>
      <c r="V1367" s="359"/>
      <c r="W1367" s="359"/>
      <c r="X1367" s="359"/>
      <c r="Y1367" s="359"/>
      <c r="Z1367" s="359"/>
      <c r="AA1367" s="359"/>
    </row>
    <row r="1368" spans="1:27">
      <c r="A1368" s="359"/>
      <c r="B1368" s="359"/>
      <c r="C1368" s="359"/>
      <c r="D1368" s="359"/>
      <c r="E1368" s="359"/>
      <c r="F1368" s="359"/>
      <c r="G1368" s="359"/>
      <c r="H1368" s="359"/>
      <c r="I1368" s="359"/>
      <c r="J1368" s="359"/>
      <c r="K1368" s="359"/>
      <c r="L1368" s="359"/>
      <c r="M1368" s="359"/>
      <c r="N1368" s="359"/>
      <c r="O1368" s="359"/>
      <c r="P1368" s="359"/>
      <c r="Q1368" s="359"/>
      <c r="R1368" s="359"/>
      <c r="S1368" s="359"/>
      <c r="T1368" s="359"/>
      <c r="U1368" s="359"/>
      <c r="V1368" s="359"/>
      <c r="W1368" s="359"/>
      <c r="X1368" s="359"/>
      <c r="Y1368" s="359"/>
      <c r="Z1368" s="359"/>
      <c r="AA1368" s="359"/>
    </row>
    <row r="1369" spans="1:27">
      <c r="A1369" s="359"/>
      <c r="B1369" s="359"/>
      <c r="C1369" s="359"/>
      <c r="D1369" s="359"/>
      <c r="E1369" s="359"/>
      <c r="F1369" s="359"/>
      <c r="G1369" s="359"/>
      <c r="H1369" s="359"/>
      <c r="I1369" s="359"/>
      <c r="J1369" s="359"/>
      <c r="K1369" s="359"/>
      <c r="L1369" s="359"/>
      <c r="M1369" s="359"/>
      <c r="N1369" s="359"/>
      <c r="O1369" s="359"/>
      <c r="P1369" s="359"/>
      <c r="Q1369" s="359"/>
      <c r="R1369" s="359"/>
      <c r="S1369" s="359"/>
      <c r="T1369" s="359"/>
      <c r="U1369" s="359"/>
      <c r="V1369" s="359"/>
      <c r="W1369" s="359"/>
      <c r="X1369" s="359"/>
      <c r="Y1369" s="359"/>
      <c r="Z1369" s="359"/>
      <c r="AA1369" s="359"/>
    </row>
    <row r="1370" spans="1:27">
      <c r="A1370" s="359"/>
      <c r="B1370" s="359"/>
      <c r="C1370" s="359"/>
      <c r="D1370" s="359"/>
      <c r="E1370" s="359"/>
      <c r="F1370" s="359"/>
      <c r="G1370" s="359"/>
      <c r="H1370" s="359"/>
      <c r="I1370" s="359"/>
      <c r="J1370" s="359"/>
      <c r="K1370" s="359"/>
      <c r="L1370" s="359"/>
      <c r="M1370" s="359"/>
      <c r="N1370" s="359"/>
      <c r="O1370" s="359"/>
      <c r="P1370" s="359"/>
      <c r="Q1370" s="359"/>
      <c r="R1370" s="359"/>
      <c r="S1370" s="359"/>
      <c r="T1370" s="359"/>
      <c r="U1370" s="359"/>
      <c r="V1370" s="359"/>
      <c r="W1370" s="359"/>
      <c r="X1370" s="359"/>
      <c r="Y1370" s="359"/>
      <c r="Z1370" s="359"/>
      <c r="AA1370" s="359"/>
    </row>
    <row r="1371" spans="1:27">
      <c r="A1371" s="359"/>
      <c r="B1371" s="359"/>
      <c r="C1371" s="359"/>
      <c r="D1371" s="359"/>
      <c r="E1371" s="359"/>
      <c r="F1371" s="359"/>
      <c r="G1371" s="359"/>
      <c r="H1371" s="359"/>
      <c r="I1371" s="359"/>
      <c r="J1371" s="359"/>
      <c r="K1371" s="359"/>
      <c r="L1371" s="359"/>
      <c r="M1371" s="359"/>
      <c r="N1371" s="359"/>
      <c r="O1371" s="359"/>
      <c r="P1371" s="359"/>
      <c r="Q1371" s="359"/>
      <c r="R1371" s="359"/>
      <c r="S1371" s="359"/>
      <c r="T1371" s="359"/>
      <c r="U1371" s="359"/>
      <c r="V1371" s="359"/>
      <c r="W1371" s="359"/>
      <c r="X1371" s="359"/>
      <c r="Y1371" s="359"/>
      <c r="Z1371" s="359"/>
      <c r="AA1371" s="359"/>
    </row>
    <row r="1372" spans="1:27">
      <c r="A1372" s="359"/>
      <c r="B1372" s="359"/>
      <c r="C1372" s="359"/>
      <c r="D1372" s="359"/>
      <c r="E1372" s="359"/>
      <c r="F1372" s="359"/>
      <c r="G1372" s="359"/>
      <c r="H1372" s="359"/>
      <c r="I1372" s="359"/>
      <c r="J1372" s="359"/>
      <c r="K1372" s="359"/>
      <c r="L1372" s="359"/>
      <c r="M1372" s="359"/>
      <c r="N1372" s="359"/>
      <c r="O1372" s="359"/>
      <c r="P1372" s="359"/>
      <c r="Q1372" s="359"/>
      <c r="R1372" s="359"/>
      <c r="S1372" s="359"/>
      <c r="T1372" s="359"/>
      <c r="U1372" s="359"/>
      <c r="V1372" s="359"/>
      <c r="W1372" s="359"/>
      <c r="X1372" s="359"/>
      <c r="Y1372" s="359"/>
      <c r="Z1372" s="359"/>
      <c r="AA1372" s="359"/>
    </row>
    <row r="1373" spans="1:27">
      <c r="A1373" s="359"/>
      <c r="B1373" s="359"/>
      <c r="C1373" s="359"/>
      <c r="D1373" s="359"/>
      <c r="E1373" s="359"/>
      <c r="F1373" s="359"/>
      <c r="G1373" s="359"/>
      <c r="H1373" s="359"/>
      <c r="I1373" s="359"/>
      <c r="J1373" s="359"/>
      <c r="K1373" s="359"/>
      <c r="L1373" s="359"/>
      <c r="M1373" s="359"/>
      <c r="N1373" s="359"/>
      <c r="O1373" s="359"/>
      <c r="P1373" s="359"/>
      <c r="Q1373" s="359"/>
      <c r="R1373" s="359"/>
      <c r="S1373" s="359"/>
      <c r="T1373" s="359"/>
      <c r="U1373" s="359"/>
      <c r="V1373" s="359"/>
      <c r="W1373" s="359"/>
      <c r="X1373" s="359"/>
      <c r="Y1373" s="359"/>
      <c r="Z1373" s="359"/>
      <c r="AA1373" s="359"/>
    </row>
    <row r="1374" spans="1:27">
      <c r="A1374" s="359"/>
      <c r="B1374" s="359"/>
      <c r="C1374" s="359"/>
      <c r="D1374" s="359"/>
      <c r="E1374" s="359"/>
      <c r="F1374" s="359"/>
      <c r="G1374" s="359"/>
      <c r="H1374" s="359"/>
      <c r="I1374" s="359"/>
      <c r="J1374" s="359"/>
      <c r="K1374" s="359"/>
      <c r="L1374" s="359"/>
      <c r="M1374" s="359"/>
      <c r="N1374" s="359"/>
      <c r="O1374" s="359"/>
      <c r="P1374" s="359"/>
      <c r="Q1374" s="359"/>
      <c r="R1374" s="359"/>
      <c r="S1374" s="359"/>
      <c r="T1374" s="359"/>
      <c r="U1374" s="359"/>
      <c r="V1374" s="359"/>
      <c r="W1374" s="359"/>
      <c r="X1374" s="359"/>
      <c r="Y1374" s="359"/>
      <c r="Z1374" s="359"/>
      <c r="AA1374" s="359"/>
    </row>
    <row r="1375" spans="1:27">
      <c r="A1375" s="359"/>
      <c r="B1375" s="359"/>
      <c r="C1375" s="359"/>
      <c r="D1375" s="359"/>
      <c r="E1375" s="359"/>
      <c r="F1375" s="359"/>
      <c r="G1375" s="359"/>
      <c r="H1375" s="359"/>
      <c r="I1375" s="359"/>
      <c r="J1375" s="359"/>
      <c r="K1375" s="359"/>
      <c r="L1375" s="359"/>
      <c r="M1375" s="359"/>
      <c r="N1375" s="359"/>
      <c r="O1375" s="359"/>
      <c r="P1375" s="359"/>
      <c r="Q1375" s="359"/>
      <c r="R1375" s="359"/>
      <c r="S1375" s="359"/>
      <c r="T1375" s="359"/>
      <c r="U1375" s="359"/>
      <c r="V1375" s="359"/>
      <c r="W1375" s="359"/>
      <c r="X1375" s="359"/>
      <c r="Y1375" s="359"/>
      <c r="Z1375" s="359"/>
      <c r="AA1375" s="359"/>
    </row>
    <row r="1376" spans="1:27">
      <c r="A1376" s="359"/>
      <c r="B1376" s="359"/>
      <c r="C1376" s="359"/>
      <c r="D1376" s="359"/>
      <c r="E1376" s="359"/>
      <c r="F1376" s="359"/>
      <c r="G1376" s="359"/>
      <c r="H1376" s="359"/>
      <c r="I1376" s="359"/>
      <c r="J1376" s="359"/>
      <c r="K1376" s="359"/>
      <c r="L1376" s="359"/>
      <c r="M1376" s="359"/>
      <c r="N1376" s="359"/>
      <c r="O1376" s="359"/>
      <c r="P1376" s="359"/>
      <c r="Q1376" s="359"/>
      <c r="R1376" s="359"/>
      <c r="S1376" s="359"/>
      <c r="T1376" s="359"/>
      <c r="U1376" s="359"/>
      <c r="V1376" s="359"/>
      <c r="W1376" s="359"/>
      <c r="X1376" s="359"/>
      <c r="Y1376" s="359"/>
      <c r="Z1376" s="359"/>
      <c r="AA1376" s="359"/>
    </row>
    <row r="1377" spans="1:27">
      <c r="A1377" s="359"/>
      <c r="B1377" s="359"/>
      <c r="C1377" s="359"/>
      <c r="D1377" s="359"/>
      <c r="E1377" s="359"/>
      <c r="F1377" s="359"/>
      <c r="G1377" s="359"/>
      <c r="H1377" s="359"/>
      <c r="I1377" s="359"/>
      <c r="J1377" s="359"/>
      <c r="K1377" s="359"/>
      <c r="L1377" s="359"/>
      <c r="M1377" s="359"/>
      <c r="N1377" s="359"/>
      <c r="O1377" s="359"/>
      <c r="P1377" s="359"/>
      <c r="Q1377" s="359"/>
      <c r="R1377" s="359"/>
      <c r="S1377" s="359"/>
      <c r="T1377" s="359"/>
      <c r="U1377" s="359"/>
      <c r="V1377" s="359"/>
      <c r="W1377" s="359"/>
      <c r="X1377" s="359"/>
      <c r="Y1377" s="359"/>
      <c r="Z1377" s="359"/>
      <c r="AA1377" s="359"/>
    </row>
    <row r="1378" spans="1:27">
      <c r="A1378" s="359"/>
      <c r="B1378" s="359"/>
      <c r="C1378" s="359"/>
      <c r="D1378" s="359"/>
      <c r="E1378" s="359"/>
      <c r="F1378" s="359"/>
      <c r="G1378" s="359"/>
      <c r="H1378" s="359"/>
      <c r="I1378" s="359"/>
      <c r="J1378" s="359"/>
      <c r="K1378" s="359"/>
      <c r="L1378" s="359"/>
      <c r="M1378" s="359"/>
      <c r="N1378" s="359"/>
      <c r="O1378" s="359"/>
      <c r="P1378" s="359"/>
      <c r="Q1378" s="359"/>
      <c r="R1378" s="359"/>
      <c r="S1378" s="359"/>
      <c r="T1378" s="359"/>
      <c r="U1378" s="359"/>
      <c r="V1378" s="359"/>
      <c r="W1378" s="359"/>
      <c r="X1378" s="359"/>
      <c r="Y1378" s="359"/>
      <c r="Z1378" s="359"/>
      <c r="AA1378" s="359"/>
    </row>
    <row r="1379" spans="1:27">
      <c r="A1379" s="359"/>
      <c r="B1379" s="359"/>
      <c r="C1379" s="359"/>
      <c r="D1379" s="359"/>
      <c r="E1379" s="359"/>
      <c r="F1379" s="359"/>
      <c r="G1379" s="359"/>
      <c r="H1379" s="359"/>
      <c r="I1379" s="359"/>
      <c r="J1379" s="359"/>
      <c r="K1379" s="359"/>
      <c r="L1379" s="359"/>
      <c r="M1379" s="359"/>
      <c r="N1379" s="359"/>
      <c r="O1379" s="359"/>
      <c r="P1379" s="359"/>
      <c r="Q1379" s="359"/>
      <c r="R1379" s="359"/>
      <c r="S1379" s="359"/>
      <c r="T1379" s="359"/>
      <c r="U1379" s="359"/>
      <c r="V1379" s="359"/>
      <c r="W1379" s="359"/>
      <c r="X1379" s="359"/>
      <c r="Y1379" s="359"/>
      <c r="Z1379" s="359"/>
      <c r="AA1379" s="359"/>
    </row>
    <row r="1380" spans="1:27">
      <c r="A1380" s="359"/>
      <c r="B1380" s="359"/>
      <c r="C1380" s="359"/>
      <c r="D1380" s="359"/>
      <c r="E1380" s="359"/>
      <c r="F1380" s="359"/>
      <c r="G1380" s="359"/>
      <c r="H1380" s="359"/>
      <c r="I1380" s="359"/>
      <c r="J1380" s="359"/>
      <c r="K1380" s="359"/>
      <c r="L1380" s="359"/>
      <c r="M1380" s="359"/>
      <c r="N1380" s="359"/>
      <c r="O1380" s="359"/>
      <c r="P1380" s="359"/>
      <c r="Q1380" s="359"/>
      <c r="R1380" s="359"/>
      <c r="S1380" s="359"/>
      <c r="T1380" s="359"/>
      <c r="U1380" s="359"/>
      <c r="V1380" s="359"/>
      <c r="W1380" s="359"/>
      <c r="X1380" s="359"/>
      <c r="Y1380" s="359"/>
      <c r="Z1380" s="359"/>
      <c r="AA1380" s="359"/>
    </row>
    <row r="1381" spans="1:27">
      <c r="A1381" s="359"/>
      <c r="B1381" s="359"/>
      <c r="C1381" s="359"/>
      <c r="D1381" s="359"/>
      <c r="E1381" s="359"/>
      <c r="F1381" s="359"/>
      <c r="G1381" s="359"/>
      <c r="H1381" s="359"/>
      <c r="I1381" s="359"/>
      <c r="J1381" s="359"/>
      <c r="K1381" s="359"/>
      <c r="L1381" s="359"/>
      <c r="M1381" s="359"/>
      <c r="N1381" s="359"/>
      <c r="O1381" s="359"/>
      <c r="P1381" s="359"/>
      <c r="Q1381" s="359"/>
      <c r="R1381" s="359"/>
      <c r="S1381" s="359"/>
      <c r="T1381" s="359"/>
      <c r="U1381" s="359"/>
      <c r="V1381" s="359"/>
      <c r="W1381" s="359"/>
      <c r="X1381" s="359"/>
      <c r="Y1381" s="359"/>
      <c r="Z1381" s="359"/>
      <c r="AA1381" s="359"/>
    </row>
    <row r="1382" spans="1:27">
      <c r="A1382" s="359"/>
      <c r="B1382" s="359"/>
      <c r="C1382" s="359"/>
      <c r="D1382" s="359"/>
      <c r="E1382" s="359"/>
      <c r="F1382" s="359"/>
      <c r="G1382" s="359"/>
      <c r="H1382" s="359"/>
      <c r="I1382" s="359"/>
      <c r="J1382" s="359"/>
      <c r="K1382" s="359"/>
      <c r="L1382" s="359"/>
      <c r="M1382" s="359"/>
      <c r="N1382" s="359"/>
      <c r="O1382" s="359"/>
      <c r="P1382" s="359"/>
      <c r="Q1382" s="359"/>
      <c r="R1382" s="359"/>
      <c r="S1382" s="359"/>
      <c r="T1382" s="359"/>
      <c r="U1382" s="359"/>
      <c r="V1382" s="359"/>
      <c r="W1382" s="359"/>
      <c r="X1382" s="359"/>
      <c r="Y1382" s="359"/>
      <c r="Z1382" s="359"/>
      <c r="AA1382" s="359"/>
    </row>
    <row r="1383" spans="1:27">
      <c r="A1383" s="359"/>
      <c r="B1383" s="359"/>
      <c r="C1383" s="359"/>
      <c r="D1383" s="359"/>
      <c r="E1383" s="359"/>
      <c r="F1383" s="359"/>
      <c r="G1383" s="359"/>
      <c r="H1383" s="359"/>
      <c r="I1383" s="359"/>
      <c r="J1383" s="359"/>
      <c r="K1383" s="359"/>
      <c r="L1383" s="359"/>
      <c r="M1383" s="359"/>
      <c r="N1383" s="359"/>
      <c r="O1383" s="359"/>
      <c r="P1383" s="359"/>
      <c r="Q1383" s="359"/>
      <c r="R1383" s="359"/>
      <c r="S1383" s="359"/>
      <c r="T1383" s="359"/>
      <c r="U1383" s="359"/>
      <c r="V1383" s="359"/>
      <c r="W1383" s="359"/>
      <c r="X1383" s="359"/>
      <c r="Y1383" s="359"/>
      <c r="Z1383" s="359"/>
      <c r="AA1383" s="359"/>
    </row>
    <row r="1384" spans="1:27">
      <c r="A1384" s="359"/>
      <c r="B1384" s="359"/>
      <c r="C1384" s="359"/>
      <c r="D1384" s="359"/>
      <c r="E1384" s="359"/>
      <c r="F1384" s="359"/>
      <c r="G1384" s="359"/>
      <c r="H1384" s="359"/>
      <c r="I1384" s="359"/>
      <c r="J1384" s="359"/>
      <c r="K1384" s="359"/>
      <c r="L1384" s="359"/>
      <c r="M1384" s="359"/>
      <c r="N1384" s="359"/>
      <c r="O1384" s="359"/>
      <c r="P1384" s="359"/>
      <c r="Q1384" s="359"/>
      <c r="R1384" s="359"/>
      <c r="S1384" s="359"/>
      <c r="T1384" s="359"/>
      <c r="U1384" s="359"/>
      <c r="V1384" s="359"/>
      <c r="W1384" s="359"/>
      <c r="X1384" s="359"/>
      <c r="Y1384" s="359"/>
      <c r="Z1384" s="359"/>
      <c r="AA1384" s="359"/>
    </row>
    <row r="1385" spans="1:27">
      <c r="A1385" s="359"/>
      <c r="B1385" s="359"/>
      <c r="C1385" s="359"/>
      <c r="D1385" s="359"/>
      <c r="E1385" s="359"/>
      <c r="F1385" s="359"/>
      <c r="G1385" s="359"/>
      <c r="H1385" s="359"/>
      <c r="I1385" s="359"/>
      <c r="J1385" s="359"/>
      <c r="K1385" s="359"/>
      <c r="L1385" s="359"/>
      <c r="M1385" s="359"/>
      <c r="N1385" s="359"/>
      <c r="O1385" s="359"/>
      <c r="P1385" s="359"/>
      <c r="Q1385" s="359"/>
      <c r="R1385" s="359"/>
      <c r="S1385" s="359"/>
      <c r="T1385" s="359"/>
      <c r="U1385" s="359"/>
      <c r="V1385" s="359"/>
      <c r="W1385" s="359"/>
      <c r="X1385" s="359"/>
      <c r="Y1385" s="359"/>
      <c r="Z1385" s="359"/>
      <c r="AA1385" s="359"/>
    </row>
    <row r="1386" spans="1:27">
      <c r="A1386" s="359"/>
      <c r="B1386" s="359"/>
      <c r="C1386" s="359"/>
      <c r="D1386" s="359"/>
      <c r="E1386" s="359"/>
      <c r="F1386" s="359"/>
      <c r="G1386" s="359"/>
      <c r="H1386" s="359"/>
      <c r="I1386" s="359"/>
      <c r="J1386" s="359"/>
      <c r="K1386" s="359"/>
      <c r="L1386" s="359"/>
      <c r="M1386" s="359"/>
      <c r="N1386" s="359"/>
      <c r="O1386" s="359"/>
      <c r="P1386" s="359"/>
      <c r="Q1386" s="359"/>
      <c r="R1386" s="359"/>
      <c r="S1386" s="359"/>
      <c r="T1386" s="359"/>
      <c r="U1386" s="359"/>
      <c r="V1386" s="359"/>
      <c r="W1386" s="359"/>
      <c r="X1386" s="359"/>
      <c r="Y1386" s="359"/>
      <c r="Z1386" s="359"/>
      <c r="AA1386" s="359"/>
    </row>
    <row r="1387" spans="1:27">
      <c r="A1387" s="359"/>
      <c r="B1387" s="359"/>
      <c r="C1387" s="359"/>
      <c r="D1387" s="359"/>
      <c r="E1387" s="359"/>
      <c r="F1387" s="359"/>
      <c r="G1387" s="359"/>
      <c r="H1387" s="359"/>
      <c r="I1387" s="359"/>
      <c r="J1387" s="359"/>
      <c r="K1387" s="359"/>
      <c r="L1387" s="359"/>
      <c r="M1387" s="359"/>
      <c r="N1387" s="359"/>
      <c r="O1387" s="359"/>
      <c r="P1387" s="359"/>
      <c r="Q1387" s="359"/>
      <c r="R1387" s="359"/>
      <c r="S1387" s="359"/>
      <c r="T1387" s="359"/>
      <c r="U1387" s="359"/>
      <c r="V1387" s="359"/>
      <c r="W1387" s="359"/>
      <c r="X1387" s="359"/>
      <c r="Y1387" s="359"/>
      <c r="Z1387" s="359"/>
      <c r="AA1387" s="359"/>
    </row>
    <row r="1388" spans="1:27">
      <c r="A1388" s="359"/>
      <c r="B1388" s="359"/>
      <c r="C1388" s="359"/>
      <c r="D1388" s="359"/>
      <c r="E1388" s="359"/>
      <c r="F1388" s="359"/>
      <c r="G1388" s="359"/>
      <c r="H1388" s="359"/>
      <c r="I1388" s="359"/>
      <c r="J1388" s="359"/>
      <c r="K1388" s="359"/>
      <c r="L1388" s="359"/>
      <c r="M1388" s="359"/>
      <c r="N1388" s="359"/>
      <c r="O1388" s="359"/>
      <c r="P1388" s="359"/>
      <c r="Q1388" s="359"/>
      <c r="R1388" s="359"/>
      <c r="S1388" s="359"/>
      <c r="T1388" s="359"/>
      <c r="U1388" s="359"/>
      <c r="V1388" s="359"/>
      <c r="W1388" s="359"/>
      <c r="X1388" s="359"/>
      <c r="Y1388" s="359"/>
      <c r="Z1388" s="359"/>
      <c r="AA1388" s="359"/>
    </row>
    <row r="1389" spans="1:27">
      <c r="A1389" s="359"/>
      <c r="B1389" s="359"/>
      <c r="C1389" s="359"/>
      <c r="D1389" s="359"/>
      <c r="E1389" s="359"/>
      <c r="F1389" s="359"/>
      <c r="G1389" s="359"/>
      <c r="H1389" s="359"/>
      <c r="I1389" s="359"/>
      <c r="J1389" s="359"/>
      <c r="K1389" s="359"/>
      <c r="L1389" s="359"/>
      <c r="M1389" s="359"/>
      <c r="N1389" s="359"/>
      <c r="O1389" s="359"/>
      <c r="P1389" s="359"/>
      <c r="Q1389" s="359"/>
      <c r="R1389" s="359"/>
      <c r="S1389" s="359"/>
      <c r="T1389" s="359"/>
      <c r="U1389" s="359"/>
      <c r="V1389" s="359"/>
      <c r="W1389" s="359"/>
      <c r="X1389" s="359"/>
      <c r="Y1389" s="359"/>
      <c r="Z1389" s="359"/>
      <c r="AA1389" s="359"/>
    </row>
    <row r="1390" spans="1:27">
      <c r="A1390" s="359"/>
      <c r="B1390" s="359"/>
      <c r="C1390" s="359"/>
      <c r="D1390" s="359"/>
      <c r="E1390" s="359"/>
      <c r="F1390" s="359"/>
      <c r="G1390" s="359"/>
      <c r="H1390" s="359"/>
      <c r="I1390" s="359"/>
      <c r="J1390" s="359"/>
      <c r="K1390" s="359"/>
      <c r="L1390" s="359"/>
      <c r="M1390" s="359"/>
      <c r="N1390" s="359"/>
      <c r="O1390" s="359"/>
      <c r="P1390" s="359"/>
      <c r="Q1390" s="359"/>
      <c r="R1390" s="359"/>
      <c r="S1390" s="359"/>
      <c r="T1390" s="359"/>
      <c r="U1390" s="359"/>
      <c r="V1390" s="359"/>
      <c r="W1390" s="359"/>
      <c r="X1390" s="359"/>
      <c r="Y1390" s="359"/>
      <c r="Z1390" s="359"/>
      <c r="AA1390" s="359"/>
    </row>
    <row r="1391" spans="1:27">
      <c r="A1391" s="359"/>
      <c r="B1391" s="359"/>
      <c r="C1391" s="359"/>
      <c r="D1391" s="359"/>
      <c r="E1391" s="359"/>
      <c r="F1391" s="359"/>
      <c r="G1391" s="359"/>
      <c r="H1391" s="359"/>
      <c r="I1391" s="359"/>
      <c r="J1391" s="359"/>
      <c r="K1391" s="359"/>
      <c r="L1391" s="359"/>
      <c r="M1391" s="359"/>
      <c r="N1391" s="359"/>
      <c r="O1391" s="359"/>
      <c r="P1391" s="359"/>
      <c r="Q1391" s="359"/>
      <c r="R1391" s="359"/>
      <c r="S1391" s="359"/>
      <c r="T1391" s="359"/>
      <c r="U1391" s="359"/>
      <c r="V1391" s="359"/>
      <c r="W1391" s="359"/>
      <c r="X1391" s="359"/>
      <c r="Y1391" s="359"/>
      <c r="Z1391" s="359"/>
      <c r="AA1391" s="359"/>
    </row>
    <row r="1392" spans="1:27">
      <c r="A1392" s="359"/>
      <c r="B1392" s="359"/>
      <c r="C1392" s="359"/>
      <c r="D1392" s="359"/>
      <c r="E1392" s="359"/>
      <c r="F1392" s="359"/>
      <c r="G1392" s="359"/>
      <c r="H1392" s="359"/>
      <c r="I1392" s="359"/>
      <c r="J1392" s="359"/>
      <c r="K1392" s="359"/>
      <c r="L1392" s="359"/>
      <c r="M1392" s="359"/>
      <c r="N1392" s="359"/>
      <c r="O1392" s="359"/>
      <c r="P1392" s="359"/>
      <c r="Q1392" s="359"/>
      <c r="R1392" s="359"/>
      <c r="S1392" s="359"/>
      <c r="T1392" s="359"/>
      <c r="U1392" s="359"/>
      <c r="V1392" s="359"/>
      <c r="W1392" s="359"/>
      <c r="X1392" s="359"/>
      <c r="Y1392" s="359"/>
      <c r="Z1392" s="359"/>
      <c r="AA1392" s="359"/>
    </row>
    <row r="1393" spans="1:27">
      <c r="A1393" s="359"/>
      <c r="B1393" s="359"/>
      <c r="C1393" s="359"/>
      <c r="D1393" s="359"/>
      <c r="E1393" s="359"/>
      <c r="F1393" s="359"/>
      <c r="G1393" s="359"/>
      <c r="H1393" s="359"/>
      <c r="I1393" s="359"/>
      <c r="J1393" s="359"/>
      <c r="K1393" s="359"/>
      <c r="L1393" s="359"/>
      <c r="M1393" s="359"/>
      <c r="N1393" s="359"/>
      <c r="O1393" s="359"/>
      <c r="P1393" s="359"/>
      <c r="Q1393" s="359"/>
      <c r="R1393" s="359"/>
      <c r="S1393" s="359"/>
      <c r="T1393" s="359"/>
      <c r="U1393" s="359"/>
      <c r="V1393" s="359"/>
      <c r="W1393" s="359"/>
      <c r="X1393" s="359"/>
      <c r="Y1393" s="359"/>
      <c r="Z1393" s="359"/>
      <c r="AA1393" s="359"/>
    </row>
    <row r="1394" spans="1:27">
      <c r="A1394" s="359"/>
      <c r="B1394" s="359"/>
      <c r="C1394" s="359"/>
      <c r="D1394" s="359"/>
      <c r="E1394" s="359"/>
      <c r="F1394" s="359"/>
      <c r="G1394" s="359"/>
      <c r="H1394" s="359"/>
      <c r="I1394" s="359"/>
      <c r="J1394" s="359"/>
      <c r="K1394" s="359"/>
      <c r="L1394" s="359"/>
      <c r="M1394" s="359"/>
      <c r="N1394" s="359"/>
      <c r="O1394" s="359"/>
      <c r="P1394" s="359"/>
      <c r="Q1394" s="359"/>
      <c r="R1394" s="359"/>
      <c r="S1394" s="359"/>
      <c r="T1394" s="359"/>
      <c r="U1394" s="359"/>
      <c r="V1394" s="359"/>
      <c r="W1394" s="359"/>
      <c r="X1394" s="359"/>
      <c r="Y1394" s="359"/>
      <c r="Z1394" s="359"/>
      <c r="AA1394" s="359"/>
    </row>
    <row r="1395" spans="1:27">
      <c r="A1395" s="359"/>
      <c r="B1395" s="359"/>
      <c r="C1395" s="359"/>
      <c r="D1395" s="359"/>
      <c r="E1395" s="359"/>
      <c r="F1395" s="359"/>
      <c r="G1395" s="359"/>
      <c r="H1395" s="359"/>
      <c r="I1395" s="359"/>
      <c r="J1395" s="359"/>
      <c r="K1395" s="359"/>
      <c r="L1395" s="359"/>
      <c r="M1395" s="359"/>
      <c r="N1395" s="359"/>
      <c r="O1395" s="359"/>
      <c r="P1395" s="359"/>
      <c r="Q1395" s="359"/>
      <c r="R1395" s="359"/>
      <c r="S1395" s="359"/>
      <c r="T1395" s="359"/>
      <c r="U1395" s="359"/>
      <c r="V1395" s="359"/>
      <c r="W1395" s="359"/>
      <c r="X1395" s="359"/>
      <c r="Y1395" s="359"/>
      <c r="Z1395" s="359"/>
      <c r="AA1395" s="359"/>
    </row>
    <row r="1396" spans="1:27">
      <c r="A1396" s="359"/>
      <c r="B1396" s="359"/>
      <c r="C1396" s="359"/>
      <c r="D1396" s="359"/>
      <c r="E1396" s="359"/>
      <c r="F1396" s="359"/>
      <c r="G1396" s="359"/>
      <c r="H1396" s="359"/>
      <c r="I1396" s="359"/>
      <c r="J1396" s="359"/>
      <c r="K1396" s="359"/>
      <c r="L1396" s="359"/>
      <c r="M1396" s="359"/>
      <c r="N1396" s="359"/>
      <c r="O1396" s="359"/>
      <c r="P1396" s="359"/>
      <c r="Q1396" s="359"/>
      <c r="R1396" s="359"/>
      <c r="S1396" s="359"/>
      <c r="T1396" s="359"/>
      <c r="U1396" s="359"/>
      <c r="V1396" s="359"/>
      <c r="W1396" s="359"/>
      <c r="X1396" s="359"/>
      <c r="Y1396" s="359"/>
      <c r="Z1396" s="359"/>
      <c r="AA1396" s="359"/>
    </row>
    <row r="1397" spans="1:27">
      <c r="A1397" s="359"/>
      <c r="B1397" s="359"/>
      <c r="C1397" s="359"/>
      <c r="D1397" s="359"/>
      <c r="E1397" s="359"/>
      <c r="F1397" s="359"/>
      <c r="G1397" s="359"/>
      <c r="H1397" s="359"/>
      <c r="I1397" s="359"/>
      <c r="J1397" s="359"/>
      <c r="K1397" s="359"/>
      <c r="L1397" s="359"/>
      <c r="M1397" s="359"/>
      <c r="N1397" s="359"/>
      <c r="O1397" s="359"/>
      <c r="P1397" s="359"/>
      <c r="Q1397" s="359"/>
      <c r="R1397" s="359"/>
      <c r="S1397" s="359"/>
      <c r="T1397" s="359"/>
      <c r="U1397" s="359"/>
      <c r="V1397" s="359"/>
      <c r="W1397" s="359"/>
      <c r="X1397" s="359"/>
      <c r="Y1397" s="359"/>
      <c r="Z1397" s="359"/>
      <c r="AA1397" s="359"/>
    </row>
    <row r="1398" spans="1:27">
      <c r="A1398" s="359"/>
      <c r="B1398" s="359"/>
      <c r="C1398" s="359"/>
      <c r="D1398" s="359"/>
      <c r="E1398" s="359"/>
      <c r="F1398" s="359"/>
      <c r="G1398" s="359"/>
      <c r="H1398" s="359"/>
      <c r="I1398" s="359"/>
      <c r="J1398" s="359"/>
      <c r="K1398" s="359"/>
      <c r="L1398" s="359"/>
      <c r="M1398" s="359"/>
      <c r="N1398" s="359"/>
      <c r="O1398" s="359"/>
      <c r="P1398" s="359"/>
      <c r="Q1398" s="359"/>
      <c r="R1398" s="359"/>
      <c r="S1398" s="359"/>
      <c r="T1398" s="359"/>
      <c r="U1398" s="359"/>
      <c r="V1398" s="359"/>
      <c r="W1398" s="359"/>
      <c r="X1398" s="359"/>
      <c r="Y1398" s="359"/>
      <c r="Z1398" s="359"/>
      <c r="AA1398" s="359"/>
    </row>
    <row r="1399" spans="1:27">
      <c r="A1399" s="359"/>
      <c r="B1399" s="359"/>
      <c r="C1399" s="359"/>
      <c r="D1399" s="359"/>
      <c r="E1399" s="359"/>
      <c r="F1399" s="359"/>
      <c r="G1399" s="359"/>
      <c r="H1399" s="359"/>
      <c r="I1399" s="359"/>
      <c r="J1399" s="359"/>
      <c r="K1399" s="359"/>
      <c r="L1399" s="359"/>
      <c r="M1399" s="359"/>
      <c r="N1399" s="359"/>
      <c r="O1399" s="359"/>
      <c r="P1399" s="359"/>
      <c r="Q1399" s="359"/>
      <c r="R1399" s="359"/>
      <c r="S1399" s="359"/>
      <c r="T1399" s="359"/>
      <c r="U1399" s="359"/>
      <c r="V1399" s="359"/>
      <c r="W1399" s="359"/>
      <c r="X1399" s="359"/>
      <c r="Y1399" s="359"/>
      <c r="Z1399" s="359"/>
      <c r="AA1399" s="359"/>
    </row>
    <row r="1400" spans="1:27">
      <c r="A1400" s="359"/>
      <c r="B1400" s="359"/>
      <c r="C1400" s="359"/>
      <c r="D1400" s="359"/>
      <c r="E1400" s="359"/>
      <c r="F1400" s="359"/>
      <c r="G1400" s="359"/>
      <c r="H1400" s="359"/>
      <c r="I1400" s="359"/>
      <c r="J1400" s="359"/>
      <c r="K1400" s="359"/>
      <c r="L1400" s="359"/>
      <c r="M1400" s="359"/>
      <c r="N1400" s="359"/>
      <c r="O1400" s="359"/>
      <c r="P1400" s="359"/>
      <c r="Q1400" s="359"/>
      <c r="R1400" s="359"/>
      <c r="S1400" s="359"/>
      <c r="T1400" s="359"/>
      <c r="U1400" s="359"/>
      <c r="V1400" s="359"/>
      <c r="W1400" s="359"/>
      <c r="X1400" s="359"/>
      <c r="Y1400" s="359"/>
      <c r="Z1400" s="359"/>
      <c r="AA1400" s="359"/>
    </row>
    <row r="1401" spans="1:27">
      <c r="A1401" s="359"/>
      <c r="B1401" s="359"/>
      <c r="C1401" s="359"/>
      <c r="D1401" s="359"/>
      <c r="E1401" s="359"/>
      <c r="F1401" s="359"/>
      <c r="G1401" s="359"/>
      <c r="H1401" s="359"/>
      <c r="I1401" s="359"/>
      <c r="J1401" s="359"/>
      <c r="K1401" s="359"/>
      <c r="L1401" s="359"/>
      <c r="M1401" s="359"/>
      <c r="N1401" s="359"/>
      <c r="O1401" s="359"/>
      <c r="P1401" s="359"/>
      <c r="Q1401" s="359"/>
      <c r="R1401" s="359"/>
      <c r="S1401" s="359"/>
      <c r="T1401" s="359"/>
      <c r="U1401" s="359"/>
      <c r="V1401" s="359"/>
      <c r="W1401" s="359"/>
      <c r="X1401" s="359"/>
      <c r="Y1401" s="359"/>
      <c r="Z1401" s="359"/>
      <c r="AA1401" s="359"/>
    </row>
    <row r="1402" spans="1:27">
      <c r="A1402" s="359"/>
      <c r="B1402" s="359"/>
      <c r="C1402" s="359"/>
      <c r="D1402" s="359"/>
      <c r="E1402" s="359"/>
      <c r="F1402" s="359"/>
      <c r="G1402" s="359"/>
      <c r="H1402" s="359"/>
      <c r="I1402" s="359"/>
      <c r="J1402" s="359"/>
      <c r="K1402" s="359"/>
      <c r="L1402" s="359"/>
      <c r="M1402" s="359"/>
      <c r="N1402" s="359"/>
      <c r="O1402" s="359"/>
      <c r="P1402" s="359"/>
      <c r="Q1402" s="359"/>
      <c r="R1402" s="359"/>
      <c r="S1402" s="359"/>
      <c r="T1402" s="359"/>
      <c r="U1402" s="359"/>
      <c r="V1402" s="359"/>
      <c r="W1402" s="359"/>
      <c r="X1402" s="359"/>
      <c r="Y1402" s="359"/>
      <c r="Z1402" s="359"/>
      <c r="AA1402" s="359"/>
    </row>
    <row r="1403" spans="1:27">
      <c r="A1403" s="359"/>
      <c r="B1403" s="359"/>
      <c r="C1403" s="359"/>
      <c r="D1403" s="359"/>
      <c r="E1403" s="359"/>
      <c r="F1403" s="359"/>
      <c r="G1403" s="359"/>
      <c r="H1403" s="359"/>
      <c r="I1403" s="359"/>
      <c r="J1403" s="359"/>
      <c r="K1403" s="359"/>
      <c r="L1403" s="359"/>
      <c r="M1403" s="359"/>
      <c r="N1403" s="359"/>
      <c r="O1403" s="359"/>
      <c r="P1403" s="359"/>
      <c r="Q1403" s="359"/>
      <c r="R1403" s="359"/>
      <c r="S1403" s="359"/>
      <c r="T1403" s="359"/>
      <c r="U1403" s="359"/>
      <c r="V1403" s="359"/>
      <c r="W1403" s="359"/>
      <c r="X1403" s="359"/>
      <c r="Y1403" s="359"/>
      <c r="Z1403" s="359"/>
      <c r="AA1403" s="359"/>
    </row>
    <row r="1404" spans="1:27">
      <c r="A1404" s="359"/>
      <c r="B1404" s="359"/>
      <c r="C1404" s="359"/>
      <c r="D1404" s="359"/>
      <c r="E1404" s="359"/>
      <c r="F1404" s="359"/>
      <c r="G1404" s="359"/>
      <c r="H1404" s="359"/>
      <c r="I1404" s="359"/>
      <c r="J1404" s="359"/>
      <c r="K1404" s="359"/>
      <c r="L1404" s="359"/>
      <c r="M1404" s="359"/>
      <c r="N1404" s="359"/>
      <c r="O1404" s="359"/>
      <c r="P1404" s="359"/>
      <c r="Q1404" s="359"/>
      <c r="R1404" s="359"/>
      <c r="S1404" s="359"/>
      <c r="T1404" s="359"/>
      <c r="U1404" s="359"/>
      <c r="V1404" s="359"/>
      <c r="W1404" s="359"/>
      <c r="X1404" s="359"/>
      <c r="Y1404" s="359"/>
      <c r="Z1404" s="359"/>
      <c r="AA1404" s="359"/>
    </row>
    <row r="1405" spans="1:27">
      <c r="A1405" s="359"/>
      <c r="B1405" s="359"/>
      <c r="C1405" s="359"/>
      <c r="D1405" s="359"/>
      <c r="E1405" s="359"/>
      <c r="F1405" s="359"/>
      <c r="G1405" s="359"/>
      <c r="H1405" s="359"/>
      <c r="I1405" s="359"/>
      <c r="J1405" s="359"/>
      <c r="K1405" s="359"/>
      <c r="L1405" s="359"/>
      <c r="M1405" s="359"/>
      <c r="N1405" s="359"/>
      <c r="O1405" s="359"/>
      <c r="P1405" s="359"/>
      <c r="Q1405" s="359"/>
      <c r="R1405" s="359"/>
      <c r="S1405" s="359"/>
      <c r="T1405" s="359"/>
      <c r="U1405" s="359"/>
      <c r="V1405" s="359"/>
      <c r="W1405" s="359"/>
      <c r="X1405" s="359"/>
      <c r="Y1405" s="359"/>
      <c r="Z1405" s="359"/>
      <c r="AA1405" s="359"/>
    </row>
    <row r="1406" spans="1:27">
      <c r="A1406" s="359"/>
      <c r="B1406" s="359"/>
      <c r="C1406" s="359"/>
      <c r="D1406" s="359"/>
      <c r="E1406" s="359"/>
      <c r="F1406" s="359"/>
      <c r="G1406" s="359"/>
      <c r="H1406" s="359"/>
      <c r="I1406" s="359"/>
      <c r="J1406" s="359"/>
      <c r="K1406" s="359"/>
      <c r="L1406" s="359"/>
      <c r="M1406" s="359"/>
      <c r="N1406" s="359"/>
      <c r="O1406" s="359"/>
      <c r="P1406" s="359"/>
      <c r="Q1406" s="359"/>
      <c r="R1406" s="359"/>
      <c r="S1406" s="359"/>
      <c r="T1406" s="359"/>
      <c r="U1406" s="359"/>
      <c r="V1406" s="359"/>
      <c r="W1406" s="359"/>
      <c r="X1406" s="359"/>
      <c r="Y1406" s="359"/>
      <c r="Z1406" s="359"/>
      <c r="AA1406" s="359"/>
    </row>
    <row r="1407" spans="1:27">
      <c r="A1407" s="359"/>
      <c r="B1407" s="359"/>
      <c r="C1407" s="359"/>
      <c r="D1407" s="359"/>
      <c r="E1407" s="359"/>
      <c r="F1407" s="359"/>
      <c r="G1407" s="359"/>
      <c r="H1407" s="359"/>
      <c r="I1407" s="359"/>
      <c r="J1407" s="359"/>
      <c r="K1407" s="359"/>
      <c r="L1407" s="359"/>
      <c r="M1407" s="359"/>
      <c r="N1407" s="359"/>
      <c r="O1407" s="359"/>
      <c r="P1407" s="359"/>
      <c r="Q1407" s="359"/>
      <c r="R1407" s="359"/>
      <c r="S1407" s="359"/>
      <c r="T1407" s="359"/>
      <c r="U1407" s="359"/>
      <c r="V1407" s="359"/>
      <c r="W1407" s="359"/>
      <c r="X1407" s="359"/>
      <c r="Y1407" s="359"/>
      <c r="Z1407" s="359"/>
      <c r="AA1407" s="359"/>
    </row>
    <row r="1408" spans="1:27">
      <c r="A1408" s="359"/>
      <c r="B1408" s="359"/>
      <c r="C1408" s="359"/>
      <c r="D1408" s="359"/>
      <c r="E1408" s="359"/>
      <c r="F1408" s="359"/>
      <c r="G1408" s="359"/>
      <c r="H1408" s="359"/>
      <c r="I1408" s="359"/>
      <c r="J1408" s="359"/>
      <c r="K1408" s="359"/>
      <c r="L1408" s="359"/>
      <c r="M1408" s="359"/>
      <c r="N1408" s="359"/>
      <c r="O1408" s="359"/>
      <c r="P1408" s="359"/>
      <c r="Q1408" s="359"/>
      <c r="R1408" s="359"/>
      <c r="S1408" s="359"/>
      <c r="T1408" s="359"/>
      <c r="U1408" s="359"/>
      <c r="V1408" s="359"/>
      <c r="W1408" s="359"/>
      <c r="X1408" s="359"/>
      <c r="Y1408" s="359"/>
      <c r="Z1408" s="359"/>
      <c r="AA1408" s="359"/>
    </row>
    <row r="1409" spans="1:27">
      <c r="A1409" s="359"/>
      <c r="B1409" s="359"/>
      <c r="C1409" s="359"/>
      <c r="D1409" s="359"/>
      <c r="E1409" s="359"/>
      <c r="F1409" s="359"/>
      <c r="G1409" s="359"/>
      <c r="H1409" s="359"/>
      <c r="I1409" s="359"/>
      <c r="J1409" s="359"/>
      <c r="K1409" s="359"/>
      <c r="L1409" s="359"/>
      <c r="M1409" s="359"/>
      <c r="N1409" s="359"/>
      <c r="O1409" s="359"/>
      <c r="P1409" s="359"/>
      <c r="Q1409" s="359"/>
      <c r="R1409" s="359"/>
      <c r="S1409" s="359"/>
      <c r="T1409" s="359"/>
      <c r="U1409" s="359"/>
      <c r="V1409" s="359"/>
      <c r="W1409" s="359"/>
      <c r="X1409" s="359"/>
      <c r="Y1409" s="359"/>
      <c r="Z1409" s="359"/>
      <c r="AA1409" s="359"/>
    </row>
    <row r="1410" spans="1:27">
      <c r="A1410" s="359"/>
      <c r="B1410" s="359"/>
      <c r="C1410" s="359"/>
      <c r="D1410" s="359"/>
      <c r="E1410" s="359"/>
      <c r="F1410" s="359"/>
      <c r="G1410" s="359"/>
      <c r="H1410" s="359"/>
      <c r="I1410" s="359"/>
      <c r="J1410" s="359"/>
      <c r="K1410" s="359"/>
      <c r="L1410" s="359"/>
      <c r="M1410" s="359"/>
      <c r="N1410" s="359"/>
      <c r="O1410" s="359"/>
      <c r="P1410" s="359"/>
      <c r="Q1410" s="359"/>
      <c r="R1410" s="359"/>
      <c r="S1410" s="359"/>
      <c r="T1410" s="359"/>
      <c r="U1410" s="359"/>
      <c r="V1410" s="359"/>
      <c r="W1410" s="359"/>
      <c r="X1410" s="359"/>
      <c r="Y1410" s="359"/>
      <c r="Z1410" s="359"/>
      <c r="AA1410" s="359"/>
    </row>
    <row r="1411" spans="1:27">
      <c r="A1411" s="359"/>
      <c r="B1411" s="359"/>
      <c r="C1411" s="359"/>
      <c r="D1411" s="359"/>
      <c r="E1411" s="359"/>
      <c r="F1411" s="359"/>
      <c r="G1411" s="359"/>
      <c r="H1411" s="359"/>
      <c r="I1411" s="359"/>
      <c r="J1411" s="359"/>
      <c r="K1411" s="359"/>
      <c r="L1411" s="359"/>
      <c r="M1411" s="359"/>
      <c r="N1411" s="359"/>
      <c r="O1411" s="359"/>
      <c r="P1411" s="359"/>
      <c r="Q1411" s="359"/>
      <c r="R1411" s="359"/>
      <c r="S1411" s="359"/>
      <c r="T1411" s="359"/>
      <c r="U1411" s="359"/>
      <c r="V1411" s="359"/>
      <c r="W1411" s="359"/>
      <c r="X1411" s="359"/>
      <c r="Y1411" s="359"/>
      <c r="Z1411" s="359"/>
      <c r="AA1411" s="359"/>
    </row>
    <row r="1412" spans="1:27">
      <c r="A1412" s="359"/>
      <c r="B1412" s="359"/>
      <c r="C1412" s="359"/>
      <c r="D1412" s="359"/>
      <c r="E1412" s="359"/>
      <c r="F1412" s="359"/>
      <c r="G1412" s="359"/>
      <c r="H1412" s="359"/>
      <c r="I1412" s="359"/>
      <c r="J1412" s="359"/>
      <c r="K1412" s="359"/>
      <c r="L1412" s="359"/>
      <c r="M1412" s="359"/>
      <c r="N1412" s="359"/>
      <c r="O1412" s="359"/>
      <c r="P1412" s="359"/>
      <c r="Q1412" s="359"/>
      <c r="R1412" s="359"/>
      <c r="S1412" s="359"/>
      <c r="T1412" s="359"/>
      <c r="U1412" s="359"/>
      <c r="V1412" s="359"/>
      <c r="W1412" s="359"/>
      <c r="X1412" s="359"/>
      <c r="Y1412" s="359"/>
      <c r="Z1412" s="359"/>
      <c r="AA1412" s="359"/>
    </row>
    <row r="1413" spans="1:27">
      <c r="A1413" s="359"/>
      <c r="B1413" s="359"/>
      <c r="C1413" s="359"/>
      <c r="D1413" s="359"/>
      <c r="E1413" s="359"/>
      <c r="F1413" s="359"/>
      <c r="G1413" s="359"/>
      <c r="H1413" s="359"/>
      <c r="I1413" s="359"/>
      <c r="J1413" s="359"/>
      <c r="K1413" s="359"/>
      <c r="L1413" s="359"/>
      <c r="M1413" s="359"/>
      <c r="N1413" s="359"/>
      <c r="O1413" s="359"/>
      <c r="P1413" s="359"/>
      <c r="Q1413" s="359"/>
      <c r="R1413" s="359"/>
      <c r="S1413" s="359"/>
      <c r="T1413" s="359"/>
      <c r="U1413" s="359"/>
      <c r="V1413" s="359"/>
      <c r="W1413" s="359"/>
      <c r="X1413" s="359"/>
      <c r="Y1413" s="359"/>
      <c r="Z1413" s="359"/>
      <c r="AA1413" s="359"/>
    </row>
    <row r="1414" spans="1:27">
      <c r="A1414" s="359"/>
      <c r="B1414" s="359"/>
      <c r="C1414" s="359"/>
      <c r="D1414" s="359"/>
      <c r="E1414" s="359"/>
      <c r="F1414" s="359"/>
      <c r="G1414" s="359"/>
      <c r="H1414" s="359"/>
      <c r="I1414" s="359"/>
      <c r="J1414" s="359"/>
      <c r="K1414" s="359"/>
      <c r="L1414" s="359"/>
      <c r="M1414" s="359"/>
      <c r="N1414" s="359"/>
      <c r="O1414" s="359"/>
      <c r="P1414" s="359"/>
      <c r="Q1414" s="359"/>
      <c r="R1414" s="359"/>
      <c r="S1414" s="359"/>
      <c r="T1414" s="359"/>
      <c r="U1414" s="359"/>
      <c r="V1414" s="359"/>
      <c r="W1414" s="359"/>
      <c r="X1414" s="359"/>
      <c r="Y1414" s="359"/>
      <c r="Z1414" s="359"/>
      <c r="AA1414" s="359"/>
    </row>
    <row r="1415" spans="1:27">
      <c r="A1415" s="359"/>
      <c r="B1415" s="359"/>
      <c r="C1415" s="359"/>
      <c r="D1415" s="359"/>
      <c r="E1415" s="359"/>
      <c r="F1415" s="359"/>
      <c r="G1415" s="359"/>
      <c r="H1415" s="359"/>
      <c r="I1415" s="359"/>
      <c r="J1415" s="359"/>
      <c r="K1415" s="359"/>
      <c r="L1415" s="359"/>
      <c r="M1415" s="359"/>
      <c r="N1415" s="359"/>
      <c r="O1415" s="359"/>
      <c r="P1415" s="359"/>
      <c r="Q1415" s="359"/>
      <c r="R1415" s="359"/>
      <c r="S1415" s="359"/>
      <c r="T1415" s="359"/>
      <c r="U1415" s="359"/>
      <c r="V1415" s="359"/>
      <c r="W1415" s="359"/>
      <c r="X1415" s="359"/>
      <c r="Y1415" s="359"/>
      <c r="Z1415" s="359"/>
      <c r="AA1415" s="359"/>
    </row>
    <row r="1416" spans="1:27">
      <c r="A1416" s="359"/>
      <c r="B1416" s="359"/>
      <c r="C1416" s="359"/>
      <c r="D1416" s="359"/>
      <c r="E1416" s="359"/>
      <c r="F1416" s="359"/>
      <c r="G1416" s="359"/>
      <c r="H1416" s="359"/>
      <c r="I1416" s="359"/>
      <c r="J1416" s="359"/>
      <c r="K1416" s="359"/>
      <c r="L1416" s="359"/>
      <c r="M1416" s="359"/>
      <c r="N1416" s="359"/>
      <c r="O1416" s="359"/>
      <c r="P1416" s="359"/>
      <c r="Q1416" s="359"/>
      <c r="R1416" s="359"/>
      <c r="S1416" s="359"/>
      <c r="T1416" s="359"/>
      <c r="U1416" s="359"/>
      <c r="V1416" s="359"/>
      <c r="W1416" s="359"/>
      <c r="X1416" s="359"/>
      <c r="Y1416" s="359"/>
      <c r="Z1416" s="359"/>
      <c r="AA1416" s="359"/>
    </row>
    <row r="1417" spans="1:27">
      <c r="A1417" s="359"/>
      <c r="B1417" s="359"/>
      <c r="C1417" s="359"/>
      <c r="D1417" s="359"/>
      <c r="E1417" s="359"/>
      <c r="F1417" s="359"/>
      <c r="G1417" s="359"/>
      <c r="H1417" s="359"/>
      <c r="I1417" s="359"/>
      <c r="J1417" s="359"/>
      <c r="K1417" s="359"/>
      <c r="L1417" s="359"/>
      <c r="M1417" s="359"/>
      <c r="N1417" s="359"/>
      <c r="O1417" s="359"/>
      <c r="P1417" s="359"/>
      <c r="Q1417" s="359"/>
      <c r="R1417" s="359"/>
      <c r="S1417" s="359"/>
      <c r="T1417" s="359"/>
      <c r="U1417" s="359"/>
      <c r="V1417" s="359"/>
      <c r="W1417" s="359"/>
      <c r="X1417" s="359"/>
      <c r="Y1417" s="359"/>
      <c r="Z1417" s="359"/>
      <c r="AA1417" s="359"/>
    </row>
    <row r="1418" spans="1:27">
      <c r="A1418" s="359"/>
      <c r="B1418" s="359"/>
      <c r="C1418" s="359"/>
      <c r="D1418" s="359"/>
      <c r="E1418" s="359"/>
      <c r="F1418" s="359"/>
      <c r="G1418" s="359"/>
      <c r="H1418" s="359"/>
      <c r="I1418" s="359"/>
      <c r="J1418" s="359"/>
      <c r="K1418" s="359"/>
      <c r="L1418" s="359"/>
      <c r="M1418" s="359"/>
      <c r="N1418" s="359"/>
      <c r="O1418" s="359"/>
      <c r="P1418" s="359"/>
      <c r="Q1418" s="359"/>
      <c r="R1418" s="359"/>
      <c r="S1418" s="359"/>
      <c r="T1418" s="359"/>
      <c r="U1418" s="359"/>
      <c r="V1418" s="359"/>
      <c r="W1418" s="359"/>
      <c r="X1418" s="359"/>
      <c r="Y1418" s="359"/>
      <c r="Z1418" s="359"/>
      <c r="AA1418" s="359"/>
    </row>
    <row r="1419" spans="1:27">
      <c r="A1419" s="359"/>
      <c r="B1419" s="359"/>
      <c r="C1419" s="359"/>
      <c r="D1419" s="359"/>
      <c r="E1419" s="359"/>
      <c r="F1419" s="359"/>
      <c r="G1419" s="359"/>
      <c r="H1419" s="359"/>
      <c r="I1419" s="359"/>
      <c r="J1419" s="359"/>
      <c r="K1419" s="359"/>
      <c r="L1419" s="359"/>
      <c r="M1419" s="359"/>
      <c r="N1419" s="359"/>
      <c r="O1419" s="359"/>
      <c r="P1419" s="359"/>
      <c r="Q1419" s="359"/>
      <c r="R1419" s="359"/>
      <c r="S1419" s="359"/>
      <c r="T1419" s="359"/>
      <c r="U1419" s="359"/>
      <c r="V1419" s="359"/>
      <c r="W1419" s="359"/>
      <c r="X1419" s="359"/>
      <c r="Y1419" s="359"/>
      <c r="Z1419" s="359"/>
      <c r="AA1419" s="359"/>
    </row>
    <row r="1420" spans="1:27">
      <c r="A1420" s="359"/>
      <c r="B1420" s="359"/>
      <c r="C1420" s="359"/>
      <c r="D1420" s="359"/>
      <c r="E1420" s="359"/>
      <c r="F1420" s="359"/>
      <c r="G1420" s="359"/>
      <c r="H1420" s="359"/>
      <c r="I1420" s="359"/>
      <c r="J1420" s="359"/>
      <c r="K1420" s="359"/>
      <c r="L1420" s="359"/>
      <c r="M1420" s="359"/>
      <c r="N1420" s="359"/>
      <c r="O1420" s="359"/>
      <c r="P1420" s="359"/>
      <c r="Q1420" s="359"/>
      <c r="R1420" s="359"/>
      <c r="S1420" s="359"/>
      <c r="T1420" s="359"/>
      <c r="U1420" s="359"/>
      <c r="V1420" s="359"/>
      <c r="W1420" s="359"/>
      <c r="X1420" s="359"/>
      <c r="Y1420" s="359"/>
      <c r="Z1420" s="359"/>
      <c r="AA1420" s="359"/>
    </row>
    <row r="1421" spans="1:27">
      <c r="A1421" s="359"/>
      <c r="B1421" s="359"/>
      <c r="C1421" s="359"/>
      <c r="D1421" s="359"/>
      <c r="E1421" s="359"/>
      <c r="F1421" s="359"/>
      <c r="G1421" s="359"/>
      <c r="H1421" s="359"/>
      <c r="I1421" s="359"/>
      <c r="J1421" s="359"/>
      <c r="K1421" s="359"/>
      <c r="L1421" s="359"/>
      <c r="M1421" s="359"/>
      <c r="N1421" s="359"/>
      <c r="O1421" s="359"/>
      <c r="P1421" s="359"/>
      <c r="Q1421" s="359"/>
      <c r="R1421" s="359"/>
      <c r="S1421" s="359"/>
      <c r="T1421" s="359"/>
      <c r="U1421" s="359"/>
      <c r="V1421" s="359"/>
      <c r="W1421" s="359"/>
      <c r="X1421" s="359"/>
      <c r="Y1421" s="359"/>
      <c r="Z1421" s="359"/>
      <c r="AA1421" s="359"/>
    </row>
    <row r="1422" spans="1:27">
      <c r="A1422" s="359"/>
      <c r="B1422" s="359"/>
      <c r="C1422" s="359"/>
      <c r="D1422" s="359"/>
      <c r="E1422" s="359"/>
      <c r="F1422" s="359"/>
      <c r="G1422" s="359"/>
      <c r="H1422" s="359"/>
      <c r="I1422" s="359"/>
      <c r="J1422" s="359"/>
      <c r="K1422" s="359"/>
      <c r="L1422" s="359"/>
      <c r="M1422" s="359"/>
      <c r="N1422" s="359"/>
      <c r="O1422" s="359"/>
      <c r="P1422" s="359"/>
      <c r="Q1422" s="359"/>
      <c r="R1422" s="359"/>
      <c r="S1422" s="359"/>
      <c r="T1422" s="359"/>
      <c r="U1422" s="359"/>
      <c r="V1422" s="359"/>
      <c r="W1422" s="359"/>
      <c r="X1422" s="359"/>
      <c r="Y1422" s="359"/>
      <c r="Z1422" s="359"/>
      <c r="AA1422" s="359"/>
    </row>
    <row r="1423" spans="1:27">
      <c r="A1423" s="359"/>
      <c r="B1423" s="359"/>
      <c r="C1423" s="359"/>
      <c r="D1423" s="359"/>
      <c r="E1423" s="359"/>
      <c r="F1423" s="359"/>
      <c r="G1423" s="359"/>
      <c r="H1423" s="359"/>
      <c r="I1423" s="359"/>
      <c r="J1423" s="359"/>
      <c r="K1423" s="359"/>
      <c r="L1423" s="359"/>
      <c r="M1423" s="359"/>
      <c r="N1423" s="359"/>
      <c r="O1423" s="359"/>
      <c r="P1423" s="359"/>
      <c r="Q1423" s="359"/>
      <c r="R1423" s="359"/>
      <c r="S1423" s="359"/>
      <c r="T1423" s="359"/>
      <c r="U1423" s="359"/>
      <c r="V1423" s="359"/>
      <c r="W1423" s="359"/>
      <c r="X1423" s="359"/>
      <c r="Y1423" s="359"/>
      <c r="Z1423" s="359"/>
      <c r="AA1423" s="359"/>
    </row>
    <row r="1424" spans="1:27">
      <c r="A1424" s="359"/>
      <c r="B1424" s="359"/>
      <c r="C1424" s="359"/>
      <c r="D1424" s="359"/>
      <c r="E1424" s="359"/>
      <c r="F1424" s="359"/>
      <c r="G1424" s="359"/>
      <c r="H1424" s="359"/>
      <c r="I1424" s="359"/>
      <c r="J1424" s="359"/>
      <c r="K1424" s="359"/>
      <c r="L1424" s="359"/>
      <c r="M1424" s="359"/>
      <c r="N1424" s="359"/>
      <c r="O1424" s="359"/>
      <c r="P1424" s="359"/>
      <c r="Q1424" s="359"/>
      <c r="R1424" s="359"/>
      <c r="S1424" s="359"/>
      <c r="T1424" s="359"/>
      <c r="U1424" s="359"/>
      <c r="V1424" s="359"/>
      <c r="W1424" s="359"/>
      <c r="X1424" s="359"/>
      <c r="Y1424" s="359"/>
      <c r="Z1424" s="359"/>
      <c r="AA1424" s="359"/>
    </row>
    <row r="1425" spans="1:27">
      <c r="A1425" s="359"/>
      <c r="B1425" s="359"/>
      <c r="C1425" s="359"/>
      <c r="D1425" s="359"/>
      <c r="E1425" s="359"/>
      <c r="F1425" s="359"/>
      <c r="G1425" s="359"/>
      <c r="H1425" s="359"/>
      <c r="I1425" s="359"/>
      <c r="J1425" s="359"/>
      <c r="K1425" s="359"/>
      <c r="L1425" s="359"/>
      <c r="M1425" s="359"/>
      <c r="N1425" s="359"/>
      <c r="O1425" s="359"/>
      <c r="P1425" s="359"/>
      <c r="Q1425" s="359"/>
      <c r="R1425" s="359"/>
      <c r="S1425" s="359"/>
      <c r="T1425" s="359"/>
      <c r="U1425" s="359"/>
      <c r="V1425" s="359"/>
      <c r="W1425" s="359"/>
      <c r="X1425" s="359"/>
      <c r="Y1425" s="359"/>
      <c r="Z1425" s="359"/>
      <c r="AA1425" s="359"/>
    </row>
    <row r="1426" spans="1:27">
      <c r="A1426" s="359"/>
      <c r="B1426" s="359"/>
      <c r="C1426" s="359"/>
      <c r="D1426" s="359"/>
      <c r="E1426" s="359"/>
      <c r="F1426" s="359"/>
      <c r="G1426" s="359"/>
      <c r="H1426" s="359"/>
      <c r="I1426" s="359"/>
      <c r="J1426" s="359"/>
      <c r="K1426" s="359"/>
      <c r="L1426" s="359"/>
      <c r="M1426" s="359"/>
      <c r="N1426" s="359"/>
      <c r="O1426" s="359"/>
      <c r="P1426" s="359"/>
      <c r="Q1426" s="359"/>
      <c r="R1426" s="359"/>
      <c r="S1426" s="359"/>
      <c r="T1426" s="359"/>
      <c r="U1426" s="359"/>
      <c r="V1426" s="359"/>
      <c r="W1426" s="359"/>
      <c r="X1426" s="359"/>
      <c r="Y1426" s="359"/>
      <c r="Z1426" s="359"/>
      <c r="AA1426" s="359"/>
    </row>
    <row r="1427" spans="1:27">
      <c r="A1427" s="359"/>
      <c r="B1427" s="359"/>
      <c r="C1427" s="359"/>
      <c r="D1427" s="359"/>
      <c r="E1427" s="359"/>
      <c r="F1427" s="359"/>
      <c r="G1427" s="359"/>
      <c r="H1427" s="359"/>
      <c r="I1427" s="359"/>
      <c r="J1427" s="359"/>
      <c r="K1427" s="359"/>
      <c r="L1427" s="359"/>
      <c r="M1427" s="359"/>
      <c r="N1427" s="359"/>
      <c r="O1427" s="359"/>
      <c r="P1427" s="359"/>
      <c r="Q1427" s="359"/>
      <c r="R1427" s="359"/>
      <c r="S1427" s="359"/>
      <c r="T1427" s="359"/>
      <c r="U1427" s="359"/>
      <c r="V1427" s="359"/>
      <c r="W1427" s="359"/>
      <c r="X1427" s="359"/>
      <c r="Y1427" s="359"/>
      <c r="Z1427" s="359"/>
      <c r="AA1427" s="359"/>
    </row>
    <row r="1428" spans="1:27">
      <c r="A1428" s="359"/>
      <c r="B1428" s="359"/>
      <c r="C1428" s="359"/>
      <c r="D1428" s="359"/>
      <c r="E1428" s="359"/>
      <c r="F1428" s="359"/>
      <c r="G1428" s="359"/>
      <c r="H1428" s="359"/>
      <c r="I1428" s="359"/>
      <c r="J1428" s="359"/>
      <c r="K1428" s="359"/>
      <c r="L1428" s="359"/>
      <c r="M1428" s="359"/>
      <c r="N1428" s="359"/>
      <c r="O1428" s="359"/>
      <c r="P1428" s="359"/>
      <c r="Q1428" s="359"/>
      <c r="R1428" s="359"/>
      <c r="S1428" s="359"/>
      <c r="T1428" s="359"/>
      <c r="U1428" s="359"/>
      <c r="V1428" s="359"/>
      <c r="W1428" s="359"/>
      <c r="X1428" s="359"/>
      <c r="Y1428" s="359"/>
      <c r="Z1428" s="359"/>
      <c r="AA1428" s="359"/>
    </row>
    <row r="1429" spans="1:27">
      <c r="A1429" s="359"/>
      <c r="B1429" s="359"/>
      <c r="C1429" s="359"/>
      <c r="D1429" s="359"/>
      <c r="E1429" s="359"/>
      <c r="F1429" s="359"/>
      <c r="G1429" s="359"/>
      <c r="H1429" s="359"/>
      <c r="I1429" s="359"/>
      <c r="J1429" s="359"/>
      <c r="K1429" s="359"/>
      <c r="L1429" s="359"/>
      <c r="M1429" s="359"/>
      <c r="N1429" s="359"/>
      <c r="O1429" s="359"/>
      <c r="P1429" s="359"/>
      <c r="Q1429" s="359"/>
      <c r="R1429" s="359"/>
      <c r="S1429" s="359"/>
      <c r="T1429" s="359"/>
      <c r="U1429" s="359"/>
      <c r="V1429" s="359"/>
      <c r="W1429" s="359"/>
      <c r="X1429" s="359"/>
      <c r="Y1429" s="359"/>
      <c r="Z1429" s="359"/>
      <c r="AA1429" s="359"/>
    </row>
    <row r="1430" spans="1:27">
      <c r="A1430" s="359"/>
      <c r="B1430" s="359"/>
      <c r="C1430" s="359"/>
      <c r="D1430" s="359"/>
      <c r="E1430" s="359"/>
      <c r="F1430" s="359"/>
      <c r="G1430" s="359"/>
      <c r="H1430" s="359"/>
      <c r="I1430" s="359"/>
      <c r="J1430" s="359"/>
      <c r="K1430" s="359"/>
      <c r="L1430" s="359"/>
      <c r="M1430" s="359"/>
      <c r="N1430" s="359"/>
      <c r="O1430" s="359"/>
      <c r="P1430" s="359"/>
      <c r="Q1430" s="359"/>
      <c r="R1430" s="359"/>
      <c r="S1430" s="359"/>
      <c r="T1430" s="359"/>
      <c r="U1430" s="359"/>
      <c r="V1430" s="359"/>
      <c r="W1430" s="359"/>
      <c r="X1430" s="359"/>
      <c r="Y1430" s="359"/>
      <c r="Z1430" s="359"/>
      <c r="AA1430" s="359"/>
    </row>
    <row r="1431" spans="1:27">
      <c r="A1431" s="359"/>
      <c r="B1431" s="359"/>
      <c r="C1431" s="359"/>
      <c r="D1431" s="359"/>
      <c r="E1431" s="359"/>
      <c r="F1431" s="359"/>
      <c r="G1431" s="359"/>
      <c r="H1431" s="359"/>
      <c r="I1431" s="359"/>
      <c r="J1431" s="359"/>
      <c r="K1431" s="359"/>
      <c r="L1431" s="359"/>
      <c r="M1431" s="359"/>
      <c r="N1431" s="359"/>
      <c r="O1431" s="359"/>
      <c r="P1431" s="359"/>
      <c r="Q1431" s="359"/>
      <c r="R1431" s="359"/>
      <c r="S1431" s="359"/>
      <c r="T1431" s="359"/>
      <c r="U1431" s="359"/>
      <c r="V1431" s="359"/>
      <c r="W1431" s="359"/>
      <c r="X1431" s="359"/>
      <c r="Y1431" s="359"/>
      <c r="Z1431" s="359"/>
      <c r="AA1431" s="359"/>
    </row>
    <row r="1432" spans="1:27">
      <c r="A1432" s="359"/>
      <c r="B1432" s="359"/>
      <c r="C1432" s="359"/>
      <c r="D1432" s="359"/>
      <c r="E1432" s="359"/>
      <c r="F1432" s="359"/>
      <c r="G1432" s="359"/>
      <c r="H1432" s="359"/>
      <c r="I1432" s="359"/>
      <c r="J1432" s="359"/>
      <c r="K1432" s="359"/>
      <c r="L1432" s="359"/>
      <c r="M1432" s="359"/>
      <c r="N1432" s="359"/>
      <c r="O1432" s="359"/>
      <c r="P1432" s="359"/>
      <c r="Q1432" s="359"/>
      <c r="R1432" s="359"/>
      <c r="S1432" s="359"/>
      <c r="T1432" s="359"/>
      <c r="U1432" s="359"/>
      <c r="V1432" s="359"/>
      <c r="W1432" s="359"/>
      <c r="X1432" s="359"/>
      <c r="Y1432" s="359"/>
      <c r="Z1432" s="359"/>
      <c r="AA1432" s="359"/>
    </row>
    <row r="1433" spans="1:27">
      <c r="A1433" s="359"/>
      <c r="B1433" s="359"/>
      <c r="C1433" s="359"/>
      <c r="D1433" s="359"/>
      <c r="E1433" s="359"/>
      <c r="F1433" s="359"/>
      <c r="G1433" s="359"/>
      <c r="H1433" s="359"/>
      <c r="I1433" s="359"/>
      <c r="J1433" s="359"/>
      <c r="K1433" s="359"/>
      <c r="L1433" s="359"/>
      <c r="M1433" s="359"/>
      <c r="N1433" s="359"/>
      <c r="O1433" s="359"/>
      <c r="P1433" s="359"/>
      <c r="Q1433" s="359"/>
      <c r="R1433" s="359"/>
      <c r="S1433" s="359"/>
      <c r="T1433" s="359"/>
      <c r="U1433" s="359"/>
      <c r="V1433" s="359"/>
      <c r="W1433" s="359"/>
      <c r="X1433" s="359"/>
      <c r="Y1433" s="359"/>
      <c r="Z1433" s="359"/>
      <c r="AA1433" s="359"/>
    </row>
    <row r="1434" spans="1:27">
      <c r="A1434" s="359"/>
      <c r="B1434" s="359"/>
      <c r="C1434" s="359"/>
      <c r="D1434" s="359"/>
      <c r="E1434" s="359"/>
      <c r="F1434" s="359"/>
      <c r="G1434" s="359"/>
      <c r="H1434" s="359"/>
      <c r="I1434" s="359"/>
      <c r="J1434" s="359"/>
      <c r="K1434" s="359"/>
      <c r="L1434" s="359"/>
      <c r="M1434" s="359"/>
      <c r="N1434" s="359"/>
      <c r="O1434" s="359"/>
      <c r="P1434" s="359"/>
      <c r="Q1434" s="359"/>
      <c r="R1434" s="359"/>
      <c r="S1434" s="359"/>
      <c r="T1434" s="359"/>
      <c r="U1434" s="359"/>
      <c r="V1434" s="359"/>
      <c r="W1434" s="359"/>
      <c r="X1434" s="359"/>
      <c r="Y1434" s="359"/>
      <c r="Z1434" s="359"/>
      <c r="AA1434" s="359"/>
    </row>
    <row r="1435" spans="1:27">
      <c r="A1435" s="359"/>
      <c r="B1435" s="359"/>
      <c r="C1435" s="359"/>
      <c r="D1435" s="359"/>
      <c r="E1435" s="359"/>
      <c r="F1435" s="359"/>
      <c r="G1435" s="359"/>
      <c r="H1435" s="359"/>
      <c r="I1435" s="359"/>
      <c r="J1435" s="359"/>
      <c r="K1435" s="359"/>
      <c r="L1435" s="359"/>
      <c r="M1435" s="359"/>
      <c r="N1435" s="359"/>
      <c r="O1435" s="359"/>
      <c r="P1435" s="359"/>
      <c r="Q1435" s="359"/>
      <c r="R1435" s="359"/>
      <c r="S1435" s="359"/>
      <c r="T1435" s="359"/>
      <c r="U1435" s="359"/>
      <c r="V1435" s="359"/>
      <c r="W1435" s="359"/>
      <c r="X1435" s="359"/>
      <c r="Y1435" s="359"/>
      <c r="Z1435" s="359"/>
      <c r="AA1435" s="359"/>
    </row>
    <row r="1436" spans="1:27">
      <c r="A1436" s="359"/>
      <c r="B1436" s="359"/>
      <c r="C1436" s="359"/>
      <c r="D1436" s="359"/>
      <c r="E1436" s="359"/>
      <c r="F1436" s="359"/>
      <c r="G1436" s="359"/>
      <c r="H1436" s="359"/>
      <c r="I1436" s="359"/>
      <c r="J1436" s="359"/>
      <c r="K1436" s="359"/>
      <c r="L1436" s="359"/>
      <c r="M1436" s="359"/>
      <c r="N1436" s="359"/>
      <c r="O1436" s="359"/>
      <c r="P1436" s="359"/>
      <c r="Q1436" s="359"/>
      <c r="R1436" s="359"/>
      <c r="S1436" s="359"/>
      <c r="T1436" s="359"/>
      <c r="U1436" s="359"/>
      <c r="V1436" s="359"/>
      <c r="W1436" s="359"/>
      <c r="X1436" s="359"/>
      <c r="Y1436" s="359"/>
      <c r="Z1436" s="359"/>
      <c r="AA1436" s="359"/>
    </row>
    <row r="1437" spans="1:27">
      <c r="A1437" s="359"/>
      <c r="B1437" s="359"/>
      <c r="C1437" s="359"/>
      <c r="D1437" s="359"/>
      <c r="E1437" s="359"/>
      <c r="F1437" s="359"/>
      <c r="G1437" s="359"/>
      <c r="H1437" s="359"/>
      <c r="I1437" s="359"/>
      <c r="J1437" s="359"/>
      <c r="K1437" s="359"/>
      <c r="L1437" s="359"/>
      <c r="M1437" s="359"/>
      <c r="N1437" s="359"/>
      <c r="O1437" s="359"/>
      <c r="P1437" s="359"/>
      <c r="Q1437" s="359"/>
      <c r="R1437" s="359"/>
      <c r="S1437" s="359"/>
      <c r="T1437" s="359"/>
      <c r="U1437" s="359"/>
      <c r="V1437" s="359"/>
      <c r="W1437" s="359"/>
      <c r="X1437" s="359"/>
      <c r="Y1437" s="359"/>
      <c r="Z1437" s="359"/>
      <c r="AA1437" s="359"/>
    </row>
    <row r="1438" spans="1:27">
      <c r="A1438" s="359"/>
      <c r="B1438" s="359"/>
      <c r="C1438" s="359"/>
      <c r="D1438" s="359"/>
      <c r="E1438" s="359"/>
      <c r="F1438" s="359"/>
      <c r="G1438" s="359"/>
      <c r="H1438" s="359"/>
      <c r="I1438" s="359"/>
      <c r="J1438" s="359"/>
      <c r="K1438" s="359"/>
      <c r="L1438" s="359"/>
      <c r="M1438" s="359"/>
      <c r="N1438" s="359"/>
      <c r="O1438" s="359"/>
      <c r="P1438" s="359"/>
      <c r="Q1438" s="359"/>
      <c r="R1438" s="359"/>
      <c r="S1438" s="359"/>
      <c r="T1438" s="359"/>
      <c r="U1438" s="359"/>
      <c r="V1438" s="359"/>
      <c r="W1438" s="359"/>
      <c r="X1438" s="359"/>
      <c r="Y1438" s="359"/>
      <c r="Z1438" s="359"/>
      <c r="AA1438" s="359"/>
    </row>
    <row r="1439" spans="1:27">
      <c r="A1439" s="359"/>
      <c r="B1439" s="359"/>
      <c r="C1439" s="359"/>
      <c r="D1439" s="359"/>
      <c r="E1439" s="359"/>
      <c r="F1439" s="359"/>
      <c r="G1439" s="359"/>
      <c r="H1439" s="359"/>
      <c r="I1439" s="359"/>
      <c r="J1439" s="359"/>
      <c r="K1439" s="359"/>
      <c r="L1439" s="359"/>
      <c r="M1439" s="359"/>
      <c r="N1439" s="359"/>
      <c r="O1439" s="359"/>
      <c r="P1439" s="359"/>
      <c r="Q1439" s="359"/>
      <c r="R1439" s="359"/>
      <c r="S1439" s="359"/>
      <c r="T1439" s="359"/>
      <c r="U1439" s="359"/>
      <c r="V1439" s="359"/>
      <c r="W1439" s="359"/>
      <c r="X1439" s="359"/>
      <c r="Y1439" s="359"/>
      <c r="Z1439" s="359"/>
      <c r="AA1439" s="359"/>
    </row>
    <row r="1440" spans="1:27">
      <c r="A1440" s="359"/>
      <c r="B1440" s="359"/>
      <c r="C1440" s="359"/>
      <c r="D1440" s="359"/>
      <c r="E1440" s="359"/>
      <c r="F1440" s="359"/>
      <c r="G1440" s="359"/>
      <c r="H1440" s="359"/>
      <c r="I1440" s="359"/>
      <c r="J1440" s="359"/>
      <c r="K1440" s="359"/>
      <c r="L1440" s="359"/>
      <c r="M1440" s="359"/>
      <c r="N1440" s="359"/>
      <c r="O1440" s="359"/>
      <c r="P1440" s="359"/>
      <c r="Q1440" s="359"/>
      <c r="R1440" s="359"/>
      <c r="S1440" s="359"/>
      <c r="T1440" s="359"/>
      <c r="U1440" s="359"/>
      <c r="V1440" s="359"/>
      <c r="W1440" s="359"/>
      <c r="X1440" s="359"/>
      <c r="Y1440" s="359"/>
      <c r="Z1440" s="359"/>
      <c r="AA1440" s="359"/>
    </row>
    <row r="1441" spans="1:27">
      <c r="A1441" s="359"/>
      <c r="B1441" s="359"/>
      <c r="C1441" s="359"/>
      <c r="D1441" s="359"/>
      <c r="E1441" s="359"/>
      <c r="F1441" s="359"/>
      <c r="G1441" s="359"/>
      <c r="H1441" s="359"/>
      <c r="I1441" s="359"/>
      <c r="J1441" s="359"/>
      <c r="K1441" s="359"/>
      <c r="L1441" s="359"/>
      <c r="M1441" s="359"/>
      <c r="N1441" s="359"/>
      <c r="O1441" s="359"/>
      <c r="P1441" s="359"/>
      <c r="Q1441" s="359"/>
      <c r="R1441" s="359"/>
      <c r="S1441" s="359"/>
      <c r="T1441" s="359"/>
      <c r="U1441" s="359"/>
      <c r="V1441" s="359"/>
      <c r="W1441" s="359"/>
      <c r="X1441" s="359"/>
      <c r="Y1441" s="359"/>
      <c r="Z1441" s="359"/>
      <c r="AA1441" s="359"/>
    </row>
    <row r="1442" spans="1:27">
      <c r="A1442" s="359"/>
      <c r="B1442" s="359"/>
      <c r="C1442" s="359"/>
      <c r="D1442" s="359"/>
      <c r="E1442" s="359"/>
      <c r="F1442" s="359"/>
      <c r="G1442" s="359"/>
      <c r="H1442" s="359"/>
      <c r="I1442" s="359"/>
      <c r="J1442" s="359"/>
      <c r="K1442" s="359"/>
      <c r="L1442" s="359"/>
      <c r="M1442" s="359"/>
      <c r="N1442" s="359"/>
      <c r="O1442" s="359"/>
      <c r="P1442" s="359"/>
      <c r="Q1442" s="359"/>
      <c r="R1442" s="359"/>
      <c r="S1442" s="359"/>
      <c r="T1442" s="359"/>
      <c r="U1442" s="359"/>
      <c r="V1442" s="359"/>
      <c r="W1442" s="359"/>
      <c r="X1442" s="359"/>
      <c r="Y1442" s="359"/>
      <c r="Z1442" s="359"/>
      <c r="AA1442" s="359"/>
    </row>
    <row r="1443" spans="1:27">
      <c r="A1443" s="359"/>
      <c r="B1443" s="359"/>
      <c r="C1443" s="359"/>
      <c r="D1443" s="359"/>
      <c r="E1443" s="359"/>
      <c r="F1443" s="359"/>
      <c r="G1443" s="359"/>
      <c r="H1443" s="359"/>
      <c r="I1443" s="359"/>
      <c r="J1443" s="359"/>
      <c r="K1443" s="359"/>
      <c r="L1443" s="359"/>
      <c r="M1443" s="359"/>
      <c r="N1443" s="359"/>
      <c r="O1443" s="359"/>
      <c r="P1443" s="359"/>
      <c r="Q1443" s="359"/>
      <c r="R1443" s="359"/>
      <c r="S1443" s="359"/>
      <c r="T1443" s="359"/>
      <c r="U1443" s="359"/>
      <c r="V1443" s="359"/>
      <c r="W1443" s="359"/>
      <c r="X1443" s="359"/>
      <c r="Y1443" s="359"/>
      <c r="Z1443" s="359"/>
      <c r="AA1443" s="359"/>
    </row>
    <row r="1444" spans="1:27">
      <c r="A1444" s="359"/>
      <c r="B1444" s="359"/>
      <c r="C1444" s="359"/>
      <c r="D1444" s="359"/>
      <c r="E1444" s="359"/>
      <c r="F1444" s="359"/>
      <c r="G1444" s="359"/>
      <c r="H1444" s="359"/>
      <c r="I1444" s="359"/>
      <c r="J1444" s="359"/>
      <c r="K1444" s="359"/>
      <c r="L1444" s="359"/>
      <c r="M1444" s="359"/>
      <c r="N1444" s="359"/>
      <c r="O1444" s="359"/>
      <c r="P1444" s="359"/>
      <c r="Q1444" s="359"/>
      <c r="R1444" s="359"/>
      <c r="S1444" s="359"/>
      <c r="T1444" s="359"/>
      <c r="U1444" s="359"/>
      <c r="V1444" s="359"/>
      <c r="W1444" s="359"/>
      <c r="X1444" s="359"/>
      <c r="Y1444" s="359"/>
      <c r="Z1444" s="359"/>
      <c r="AA1444" s="359"/>
    </row>
    <row r="1445" spans="1:27">
      <c r="A1445" s="359"/>
      <c r="B1445" s="359"/>
      <c r="C1445" s="359"/>
      <c r="D1445" s="359"/>
      <c r="E1445" s="359"/>
      <c r="F1445" s="359"/>
      <c r="G1445" s="359"/>
      <c r="H1445" s="359"/>
      <c r="I1445" s="359"/>
      <c r="J1445" s="359"/>
      <c r="K1445" s="359"/>
      <c r="L1445" s="359"/>
      <c r="M1445" s="359"/>
      <c r="N1445" s="359"/>
      <c r="O1445" s="359"/>
      <c r="P1445" s="359"/>
      <c r="Q1445" s="359"/>
      <c r="R1445" s="359"/>
      <c r="S1445" s="359"/>
      <c r="T1445" s="359"/>
      <c r="U1445" s="359"/>
      <c r="V1445" s="359"/>
      <c r="W1445" s="359"/>
      <c r="X1445" s="359"/>
      <c r="Y1445" s="359"/>
      <c r="Z1445" s="359"/>
      <c r="AA1445" s="359"/>
    </row>
    <row r="1446" spans="1:27">
      <c r="A1446" s="359"/>
      <c r="B1446" s="359"/>
      <c r="C1446" s="359"/>
      <c r="D1446" s="359"/>
      <c r="E1446" s="359"/>
      <c r="F1446" s="359"/>
      <c r="G1446" s="359"/>
      <c r="H1446" s="359"/>
      <c r="I1446" s="359"/>
      <c r="J1446" s="359"/>
      <c r="K1446" s="359"/>
      <c r="L1446" s="359"/>
      <c r="M1446" s="359"/>
      <c r="N1446" s="359"/>
      <c r="O1446" s="359"/>
      <c r="P1446" s="359"/>
      <c r="Q1446" s="359"/>
      <c r="R1446" s="359"/>
      <c r="S1446" s="359"/>
      <c r="T1446" s="359"/>
      <c r="U1446" s="359"/>
      <c r="V1446" s="359"/>
      <c r="W1446" s="359"/>
      <c r="X1446" s="359"/>
      <c r="Y1446" s="359"/>
      <c r="Z1446" s="359"/>
      <c r="AA1446" s="359"/>
    </row>
    <row r="1447" spans="1:27">
      <c r="A1447" s="359"/>
      <c r="B1447" s="359"/>
      <c r="C1447" s="359"/>
      <c r="D1447" s="359"/>
      <c r="E1447" s="359"/>
      <c r="F1447" s="359"/>
      <c r="G1447" s="359"/>
      <c r="H1447" s="359"/>
      <c r="I1447" s="359"/>
      <c r="J1447" s="359"/>
      <c r="K1447" s="359"/>
      <c r="L1447" s="359"/>
      <c r="M1447" s="359"/>
      <c r="N1447" s="359"/>
      <c r="O1447" s="359"/>
      <c r="P1447" s="359"/>
      <c r="Q1447" s="359"/>
      <c r="R1447" s="359"/>
      <c r="S1447" s="359"/>
      <c r="T1447" s="359"/>
      <c r="U1447" s="359"/>
      <c r="V1447" s="359"/>
      <c r="W1447" s="359"/>
      <c r="X1447" s="359"/>
      <c r="Y1447" s="359"/>
      <c r="Z1447" s="359"/>
      <c r="AA1447" s="359"/>
    </row>
    <row r="1448" spans="1:27">
      <c r="A1448" s="359"/>
      <c r="B1448" s="359"/>
      <c r="C1448" s="359"/>
      <c r="D1448" s="359"/>
      <c r="E1448" s="359"/>
      <c r="F1448" s="359"/>
      <c r="G1448" s="359"/>
      <c r="H1448" s="359"/>
      <c r="I1448" s="359"/>
      <c r="J1448" s="359"/>
      <c r="K1448" s="359"/>
      <c r="L1448" s="359"/>
      <c r="M1448" s="359"/>
      <c r="N1448" s="359"/>
      <c r="O1448" s="359"/>
      <c r="P1448" s="359"/>
      <c r="Q1448" s="359"/>
      <c r="R1448" s="359"/>
      <c r="S1448" s="359"/>
      <c r="T1448" s="359"/>
      <c r="U1448" s="359"/>
      <c r="V1448" s="359"/>
      <c r="W1448" s="359"/>
      <c r="X1448" s="359"/>
      <c r="Y1448" s="359"/>
      <c r="Z1448" s="359"/>
      <c r="AA1448" s="359"/>
    </row>
    <row r="1449" spans="1:27">
      <c r="A1449" s="359"/>
      <c r="B1449" s="359"/>
      <c r="C1449" s="359"/>
      <c r="D1449" s="359"/>
      <c r="E1449" s="359"/>
      <c r="F1449" s="359"/>
      <c r="G1449" s="359"/>
      <c r="H1449" s="359"/>
      <c r="I1449" s="359"/>
      <c r="J1449" s="359"/>
      <c r="K1449" s="359"/>
      <c r="L1449" s="359"/>
      <c r="M1449" s="359"/>
      <c r="N1449" s="359"/>
      <c r="O1449" s="359"/>
      <c r="P1449" s="359"/>
      <c r="Q1449" s="359"/>
      <c r="R1449" s="359"/>
      <c r="S1449" s="359"/>
      <c r="T1449" s="359"/>
      <c r="U1449" s="359"/>
      <c r="V1449" s="359"/>
      <c r="W1449" s="359"/>
      <c r="X1449" s="359"/>
      <c r="Y1449" s="359"/>
      <c r="Z1449" s="359"/>
      <c r="AA1449" s="359"/>
    </row>
    <row r="1450" spans="1:27">
      <c r="A1450" s="359"/>
      <c r="B1450" s="359"/>
      <c r="C1450" s="359"/>
      <c r="D1450" s="359"/>
      <c r="E1450" s="359"/>
      <c r="F1450" s="359"/>
      <c r="G1450" s="359"/>
      <c r="H1450" s="359"/>
      <c r="I1450" s="359"/>
      <c r="J1450" s="359"/>
      <c r="K1450" s="359"/>
      <c r="L1450" s="359"/>
      <c r="M1450" s="359"/>
      <c r="N1450" s="359"/>
      <c r="O1450" s="359"/>
      <c r="P1450" s="359"/>
      <c r="Q1450" s="359"/>
      <c r="R1450" s="359"/>
      <c r="S1450" s="359"/>
      <c r="T1450" s="359"/>
      <c r="U1450" s="359"/>
      <c r="V1450" s="359"/>
      <c r="W1450" s="359"/>
      <c r="X1450" s="359"/>
      <c r="Y1450" s="359"/>
      <c r="Z1450" s="359"/>
      <c r="AA1450" s="359"/>
    </row>
    <row r="1451" spans="1:27">
      <c r="A1451" s="359"/>
      <c r="B1451" s="359"/>
      <c r="C1451" s="359"/>
      <c r="D1451" s="359"/>
      <c r="E1451" s="359"/>
      <c r="F1451" s="359"/>
      <c r="G1451" s="359"/>
      <c r="H1451" s="359"/>
      <c r="I1451" s="359"/>
      <c r="J1451" s="359"/>
      <c r="K1451" s="359"/>
      <c r="L1451" s="359"/>
      <c r="M1451" s="359"/>
      <c r="N1451" s="359"/>
      <c r="O1451" s="359"/>
      <c r="P1451" s="359"/>
      <c r="Q1451" s="359"/>
      <c r="R1451" s="359"/>
      <c r="S1451" s="359"/>
      <c r="T1451" s="359"/>
      <c r="U1451" s="359"/>
      <c r="V1451" s="359"/>
      <c r="W1451" s="359"/>
      <c r="X1451" s="359"/>
      <c r="Y1451" s="359"/>
      <c r="Z1451" s="359"/>
      <c r="AA1451" s="359"/>
    </row>
    <row r="1452" spans="1:27">
      <c r="A1452" s="359"/>
      <c r="B1452" s="359"/>
      <c r="C1452" s="359"/>
      <c r="D1452" s="359"/>
      <c r="E1452" s="359"/>
      <c r="F1452" s="359"/>
      <c r="G1452" s="359"/>
      <c r="H1452" s="359"/>
      <c r="I1452" s="359"/>
      <c r="J1452" s="359"/>
      <c r="K1452" s="359"/>
      <c r="L1452" s="359"/>
      <c r="M1452" s="359"/>
      <c r="N1452" s="359"/>
      <c r="O1452" s="359"/>
      <c r="P1452" s="359"/>
      <c r="Q1452" s="359"/>
      <c r="R1452" s="359"/>
      <c r="S1452" s="359"/>
      <c r="T1452" s="359"/>
      <c r="U1452" s="359"/>
      <c r="V1452" s="359"/>
      <c r="W1452" s="359"/>
      <c r="X1452" s="359"/>
      <c r="Y1452" s="359"/>
      <c r="Z1452" s="359"/>
      <c r="AA1452" s="359"/>
    </row>
    <row r="1453" spans="1:27">
      <c r="A1453" s="359"/>
      <c r="B1453" s="359"/>
      <c r="C1453" s="359"/>
      <c r="D1453" s="359"/>
      <c r="E1453" s="359"/>
      <c r="F1453" s="359"/>
      <c r="G1453" s="359"/>
      <c r="H1453" s="359"/>
      <c r="I1453" s="359"/>
      <c r="J1453" s="359"/>
      <c r="K1453" s="359"/>
      <c r="L1453" s="359"/>
      <c r="M1453" s="359"/>
      <c r="N1453" s="359"/>
      <c r="O1453" s="359"/>
      <c r="P1453" s="359"/>
      <c r="Q1453" s="359"/>
      <c r="R1453" s="359"/>
      <c r="S1453" s="359"/>
      <c r="T1453" s="359"/>
      <c r="U1453" s="359"/>
      <c r="V1453" s="359"/>
      <c r="W1453" s="359"/>
      <c r="X1453" s="359"/>
      <c r="Y1453" s="359"/>
      <c r="Z1453" s="359"/>
      <c r="AA1453" s="359"/>
    </row>
    <row r="1454" spans="1:27">
      <c r="A1454" s="359"/>
      <c r="B1454" s="359"/>
      <c r="C1454" s="359"/>
      <c r="D1454" s="359"/>
      <c r="E1454" s="359"/>
      <c r="F1454" s="359"/>
      <c r="G1454" s="359"/>
      <c r="H1454" s="359"/>
      <c r="I1454" s="359"/>
      <c r="J1454" s="359"/>
      <c r="K1454" s="359"/>
      <c r="L1454" s="359"/>
      <c r="M1454" s="359"/>
      <c r="N1454" s="359"/>
      <c r="O1454" s="359"/>
      <c r="P1454" s="359"/>
      <c r="Q1454" s="359"/>
      <c r="R1454" s="359"/>
      <c r="S1454" s="359"/>
      <c r="T1454" s="359"/>
      <c r="U1454" s="359"/>
      <c r="V1454" s="359"/>
      <c r="W1454" s="359"/>
      <c r="X1454" s="359"/>
      <c r="Y1454" s="359"/>
      <c r="Z1454" s="359"/>
      <c r="AA1454" s="359"/>
    </row>
    <row r="1455" spans="1:27">
      <c r="A1455" s="359"/>
      <c r="B1455" s="359"/>
      <c r="C1455" s="359"/>
      <c r="D1455" s="359"/>
      <c r="E1455" s="359"/>
      <c r="F1455" s="359"/>
      <c r="G1455" s="359"/>
      <c r="H1455" s="359"/>
      <c r="I1455" s="359"/>
      <c r="J1455" s="359"/>
      <c r="K1455" s="359"/>
      <c r="L1455" s="359"/>
      <c r="M1455" s="359"/>
      <c r="N1455" s="359"/>
      <c r="O1455" s="359"/>
      <c r="P1455" s="359"/>
      <c r="Q1455" s="359"/>
      <c r="R1455" s="359"/>
      <c r="S1455" s="359"/>
      <c r="T1455" s="359"/>
      <c r="U1455" s="359"/>
      <c r="V1455" s="359"/>
      <c r="W1455" s="359"/>
      <c r="X1455" s="359"/>
      <c r="Y1455" s="359"/>
      <c r="Z1455" s="359"/>
      <c r="AA1455" s="359"/>
    </row>
    <row r="1456" spans="1:27">
      <c r="A1456" s="359"/>
      <c r="B1456" s="359"/>
      <c r="C1456" s="359"/>
      <c r="D1456" s="359"/>
      <c r="E1456" s="359"/>
      <c r="F1456" s="359"/>
      <c r="G1456" s="359"/>
      <c r="H1456" s="359"/>
      <c r="I1456" s="359"/>
      <c r="J1456" s="359"/>
      <c r="K1456" s="359"/>
      <c r="L1456" s="359"/>
      <c r="M1456" s="359"/>
      <c r="N1456" s="359"/>
      <c r="O1456" s="359"/>
      <c r="P1456" s="359"/>
      <c r="Q1456" s="359"/>
      <c r="R1456" s="359"/>
      <c r="S1456" s="359"/>
      <c r="T1456" s="359"/>
      <c r="U1456" s="359"/>
      <c r="V1456" s="359"/>
      <c r="W1456" s="359"/>
      <c r="X1456" s="359"/>
      <c r="Y1456" s="359"/>
      <c r="Z1456" s="359"/>
      <c r="AA1456" s="359"/>
    </row>
    <row r="1457" spans="1:27">
      <c r="A1457" s="359"/>
      <c r="B1457" s="359"/>
      <c r="C1457" s="359"/>
      <c r="D1457" s="359"/>
      <c r="E1457" s="359"/>
      <c r="F1457" s="359"/>
      <c r="G1457" s="359"/>
      <c r="H1457" s="359"/>
      <c r="I1457" s="359"/>
      <c r="J1457" s="359"/>
      <c r="K1457" s="359"/>
      <c r="L1457" s="359"/>
      <c r="M1457" s="359"/>
      <c r="N1457" s="359"/>
      <c r="O1457" s="359"/>
      <c r="P1457" s="359"/>
      <c r="Q1457" s="359"/>
      <c r="R1457" s="359"/>
      <c r="S1457" s="359"/>
      <c r="T1457" s="359"/>
      <c r="U1457" s="359"/>
      <c r="V1457" s="359"/>
      <c r="W1457" s="359"/>
      <c r="X1457" s="359"/>
      <c r="Y1457" s="359"/>
      <c r="Z1457" s="359"/>
      <c r="AA1457" s="359"/>
    </row>
    <row r="1458" spans="1:27">
      <c r="A1458" s="359"/>
      <c r="B1458" s="359"/>
      <c r="C1458" s="359"/>
      <c r="D1458" s="359"/>
      <c r="E1458" s="359"/>
      <c r="F1458" s="359"/>
      <c r="G1458" s="359"/>
      <c r="H1458" s="359"/>
      <c r="I1458" s="359"/>
      <c r="J1458" s="359"/>
      <c r="K1458" s="359"/>
      <c r="L1458" s="359"/>
      <c r="M1458" s="359"/>
      <c r="N1458" s="359"/>
      <c r="O1458" s="359"/>
      <c r="P1458" s="359"/>
      <c r="Q1458" s="359"/>
      <c r="R1458" s="359"/>
      <c r="S1458" s="359"/>
      <c r="T1458" s="359"/>
      <c r="U1458" s="359"/>
      <c r="V1458" s="359"/>
      <c r="W1458" s="359"/>
      <c r="X1458" s="359"/>
      <c r="Y1458" s="359"/>
      <c r="Z1458" s="359"/>
      <c r="AA1458" s="359"/>
    </row>
    <row r="1459" spans="1:27">
      <c r="A1459" s="359"/>
      <c r="B1459" s="359"/>
      <c r="C1459" s="359"/>
      <c r="D1459" s="359"/>
      <c r="E1459" s="359"/>
      <c r="F1459" s="359"/>
      <c r="G1459" s="359"/>
      <c r="H1459" s="359"/>
      <c r="I1459" s="359"/>
      <c r="J1459" s="359"/>
      <c r="K1459" s="359"/>
      <c r="L1459" s="359"/>
      <c r="M1459" s="359"/>
      <c r="N1459" s="359"/>
      <c r="O1459" s="359"/>
      <c r="P1459" s="359"/>
      <c r="Q1459" s="359"/>
      <c r="R1459" s="359"/>
      <c r="S1459" s="359"/>
      <c r="T1459" s="359"/>
      <c r="U1459" s="359"/>
      <c r="V1459" s="359"/>
      <c r="W1459" s="359"/>
      <c r="X1459" s="359"/>
      <c r="Y1459" s="359"/>
      <c r="Z1459" s="359"/>
      <c r="AA1459" s="359"/>
    </row>
    <row r="1460" spans="1:27">
      <c r="A1460" s="359"/>
      <c r="B1460" s="359"/>
      <c r="C1460" s="359"/>
      <c r="D1460" s="359"/>
      <c r="E1460" s="359"/>
      <c r="F1460" s="359"/>
      <c r="G1460" s="359"/>
      <c r="H1460" s="359"/>
      <c r="I1460" s="359"/>
      <c r="J1460" s="359"/>
      <c r="K1460" s="359"/>
      <c r="L1460" s="359"/>
      <c r="M1460" s="359"/>
      <c r="N1460" s="359"/>
      <c r="O1460" s="359"/>
      <c r="P1460" s="359"/>
      <c r="Q1460" s="359"/>
      <c r="R1460" s="359"/>
      <c r="S1460" s="359"/>
      <c r="T1460" s="359"/>
      <c r="U1460" s="359"/>
      <c r="V1460" s="359"/>
      <c r="W1460" s="359"/>
      <c r="X1460" s="359"/>
      <c r="Y1460" s="359"/>
      <c r="Z1460" s="359"/>
      <c r="AA1460" s="359"/>
    </row>
    <row r="1461" spans="1:27">
      <c r="A1461" s="359"/>
      <c r="B1461" s="359"/>
      <c r="C1461" s="359"/>
      <c r="D1461" s="359"/>
      <c r="E1461" s="359"/>
      <c r="F1461" s="359"/>
      <c r="G1461" s="359"/>
      <c r="H1461" s="359"/>
      <c r="I1461" s="359"/>
      <c r="J1461" s="359"/>
      <c r="K1461" s="359"/>
      <c r="L1461" s="359"/>
      <c r="M1461" s="359"/>
      <c r="N1461" s="359"/>
      <c r="O1461" s="359"/>
      <c r="P1461" s="359"/>
      <c r="Q1461" s="359"/>
      <c r="R1461" s="359"/>
      <c r="S1461" s="359"/>
      <c r="T1461" s="359"/>
      <c r="U1461" s="359"/>
      <c r="V1461" s="359"/>
      <c r="W1461" s="359"/>
      <c r="X1461" s="359"/>
      <c r="Y1461" s="359"/>
      <c r="Z1461" s="359"/>
      <c r="AA1461" s="359"/>
    </row>
    <row r="1462" spans="1:27">
      <c r="A1462" s="359"/>
      <c r="B1462" s="359"/>
      <c r="C1462" s="359"/>
      <c r="D1462" s="359"/>
      <c r="E1462" s="359"/>
      <c r="F1462" s="359"/>
      <c r="G1462" s="359"/>
      <c r="H1462" s="359"/>
      <c r="I1462" s="359"/>
      <c r="J1462" s="359"/>
      <c r="K1462" s="359"/>
      <c r="L1462" s="359"/>
      <c r="M1462" s="359"/>
      <c r="N1462" s="359"/>
      <c r="O1462" s="359"/>
      <c r="P1462" s="359"/>
      <c r="Q1462" s="359"/>
      <c r="R1462" s="359"/>
      <c r="S1462" s="359"/>
      <c r="T1462" s="359"/>
      <c r="U1462" s="359"/>
      <c r="V1462" s="359"/>
      <c r="W1462" s="359"/>
      <c r="X1462" s="359"/>
      <c r="Y1462" s="359"/>
      <c r="Z1462" s="359"/>
      <c r="AA1462" s="359"/>
    </row>
    <row r="1463" spans="1:27">
      <c r="A1463" s="359"/>
      <c r="B1463" s="359"/>
      <c r="C1463" s="359"/>
      <c r="D1463" s="359"/>
      <c r="E1463" s="359"/>
      <c r="F1463" s="359"/>
      <c r="G1463" s="359"/>
      <c r="H1463" s="359"/>
      <c r="I1463" s="359"/>
      <c r="J1463" s="359"/>
      <c r="K1463" s="359"/>
      <c r="L1463" s="359"/>
      <c r="M1463" s="359"/>
      <c r="N1463" s="359"/>
      <c r="O1463" s="359"/>
      <c r="P1463" s="359"/>
      <c r="Q1463" s="359"/>
      <c r="R1463" s="359"/>
      <c r="S1463" s="359"/>
      <c r="T1463" s="359"/>
      <c r="U1463" s="359"/>
      <c r="V1463" s="359"/>
      <c r="W1463" s="359"/>
      <c r="X1463" s="359"/>
      <c r="Y1463" s="359"/>
      <c r="Z1463" s="359"/>
      <c r="AA1463" s="359"/>
    </row>
    <row r="1464" spans="1:27">
      <c r="A1464" s="359"/>
      <c r="B1464" s="359"/>
      <c r="C1464" s="359"/>
      <c r="D1464" s="359"/>
      <c r="E1464" s="359"/>
      <c r="F1464" s="359"/>
      <c r="G1464" s="359"/>
      <c r="H1464" s="359"/>
      <c r="I1464" s="359"/>
      <c r="J1464" s="359"/>
      <c r="K1464" s="359"/>
      <c r="L1464" s="359"/>
      <c r="M1464" s="359"/>
      <c r="N1464" s="359"/>
      <c r="O1464" s="359"/>
      <c r="P1464" s="359"/>
      <c r="Q1464" s="359"/>
      <c r="R1464" s="359"/>
      <c r="S1464" s="359"/>
      <c r="T1464" s="359"/>
      <c r="U1464" s="359"/>
      <c r="V1464" s="359"/>
      <c r="W1464" s="359"/>
      <c r="X1464" s="359"/>
      <c r="Y1464" s="359"/>
      <c r="Z1464" s="359"/>
      <c r="AA1464" s="359"/>
    </row>
    <row r="1465" spans="1:27">
      <c r="A1465" s="359"/>
      <c r="B1465" s="359"/>
      <c r="C1465" s="359"/>
      <c r="D1465" s="359"/>
      <c r="E1465" s="359"/>
      <c r="F1465" s="359"/>
      <c r="G1465" s="359"/>
      <c r="H1465" s="359"/>
      <c r="I1465" s="359"/>
      <c r="J1465" s="359"/>
      <c r="K1465" s="359"/>
      <c r="L1465" s="359"/>
      <c r="M1465" s="359"/>
      <c r="N1465" s="359"/>
      <c r="O1465" s="359"/>
      <c r="P1465" s="359"/>
      <c r="Q1465" s="359"/>
      <c r="R1465" s="359"/>
      <c r="S1465" s="359"/>
      <c r="T1465" s="359"/>
      <c r="U1465" s="359"/>
      <c r="V1465" s="359"/>
      <c r="W1465" s="359"/>
      <c r="X1465" s="359"/>
      <c r="Y1465" s="359"/>
      <c r="Z1465" s="359"/>
      <c r="AA1465" s="359"/>
    </row>
    <row r="1466" spans="1:27">
      <c r="A1466" s="359"/>
      <c r="B1466" s="359"/>
      <c r="C1466" s="359"/>
      <c r="D1466" s="359"/>
      <c r="E1466" s="359"/>
      <c r="F1466" s="359"/>
      <c r="G1466" s="359"/>
      <c r="H1466" s="359"/>
      <c r="I1466" s="359"/>
      <c r="J1466" s="359"/>
      <c r="K1466" s="359"/>
      <c r="L1466" s="359"/>
      <c r="M1466" s="359"/>
      <c r="N1466" s="359"/>
      <c r="O1466" s="359"/>
      <c r="P1466" s="359"/>
      <c r="Q1466" s="359"/>
      <c r="R1466" s="359"/>
      <c r="S1466" s="359"/>
      <c r="T1466" s="359"/>
      <c r="U1466" s="359"/>
      <c r="V1466" s="359"/>
      <c r="W1466" s="359"/>
      <c r="X1466" s="359"/>
      <c r="Y1466" s="359"/>
      <c r="Z1466" s="359"/>
      <c r="AA1466" s="359"/>
    </row>
    <row r="1467" spans="1:27">
      <c r="A1467" s="359"/>
      <c r="B1467" s="359"/>
      <c r="C1467" s="359"/>
      <c r="D1467" s="359"/>
      <c r="E1467" s="359"/>
      <c r="F1467" s="359"/>
      <c r="G1467" s="359"/>
      <c r="H1467" s="359"/>
      <c r="I1467" s="359"/>
      <c r="J1467" s="359"/>
      <c r="K1467" s="359"/>
      <c r="L1467" s="359"/>
      <c r="M1467" s="359"/>
      <c r="N1467" s="359"/>
      <c r="O1467" s="359"/>
      <c r="P1467" s="359"/>
      <c r="Q1467" s="359"/>
      <c r="R1467" s="359"/>
      <c r="S1467" s="359"/>
      <c r="T1467" s="359"/>
      <c r="U1467" s="359"/>
      <c r="V1467" s="359"/>
      <c r="W1467" s="359"/>
      <c r="X1467" s="359"/>
      <c r="Y1467" s="359"/>
      <c r="Z1467" s="359"/>
      <c r="AA1467" s="359"/>
    </row>
    <row r="1468" spans="1:27">
      <c r="A1468" s="359"/>
      <c r="B1468" s="359"/>
      <c r="C1468" s="359"/>
      <c r="D1468" s="359"/>
      <c r="E1468" s="359"/>
      <c r="F1468" s="359"/>
      <c r="G1468" s="359"/>
      <c r="H1468" s="359"/>
      <c r="I1468" s="359"/>
      <c r="J1468" s="359"/>
      <c r="K1468" s="359"/>
      <c r="L1468" s="359"/>
      <c r="M1468" s="359"/>
      <c r="N1468" s="359"/>
      <c r="O1468" s="359"/>
      <c r="P1468" s="359"/>
      <c r="Q1468" s="359"/>
      <c r="R1468" s="359"/>
      <c r="S1468" s="359"/>
      <c r="T1468" s="359"/>
      <c r="U1468" s="359"/>
      <c r="V1468" s="359"/>
      <c r="W1468" s="359"/>
      <c r="X1468" s="359"/>
      <c r="Y1468" s="359"/>
      <c r="Z1468" s="359"/>
      <c r="AA1468" s="359"/>
    </row>
    <row r="1469" spans="1:27">
      <c r="A1469" s="359"/>
      <c r="B1469" s="359"/>
      <c r="C1469" s="359"/>
      <c r="D1469" s="359"/>
      <c r="E1469" s="359"/>
      <c r="F1469" s="359"/>
      <c r="G1469" s="359"/>
      <c r="H1469" s="359"/>
      <c r="I1469" s="359"/>
      <c r="J1469" s="359"/>
      <c r="K1469" s="359"/>
      <c r="L1469" s="359"/>
      <c r="M1469" s="359"/>
      <c r="N1469" s="359"/>
      <c r="O1469" s="359"/>
      <c r="P1469" s="359"/>
      <c r="Q1469" s="359"/>
      <c r="R1469" s="359"/>
      <c r="S1469" s="359"/>
      <c r="T1469" s="359"/>
      <c r="U1469" s="359"/>
      <c r="V1469" s="359"/>
      <c r="W1469" s="359"/>
      <c r="X1469" s="359"/>
      <c r="Y1469" s="359"/>
      <c r="Z1469" s="359"/>
      <c r="AA1469" s="359"/>
    </row>
    <row r="1470" spans="1:27">
      <c r="A1470" s="359"/>
      <c r="B1470" s="359"/>
      <c r="C1470" s="359"/>
      <c r="D1470" s="359"/>
      <c r="E1470" s="359"/>
      <c r="F1470" s="359"/>
      <c r="G1470" s="359"/>
      <c r="H1470" s="359"/>
      <c r="I1470" s="359"/>
      <c r="J1470" s="359"/>
      <c r="K1470" s="359"/>
      <c r="L1470" s="359"/>
      <c r="M1470" s="359"/>
      <c r="N1470" s="359"/>
      <c r="O1470" s="359"/>
      <c r="P1470" s="359"/>
      <c r="Q1470" s="359"/>
      <c r="R1470" s="359"/>
      <c r="S1470" s="359"/>
      <c r="T1470" s="359"/>
      <c r="U1470" s="359"/>
      <c r="V1470" s="359"/>
      <c r="W1470" s="359"/>
      <c r="X1470" s="359"/>
      <c r="Y1470" s="359"/>
      <c r="Z1470" s="359"/>
      <c r="AA1470" s="359"/>
    </row>
    <row r="1471" spans="1:27">
      <c r="A1471" s="359"/>
      <c r="B1471" s="359"/>
      <c r="C1471" s="359"/>
      <c r="D1471" s="359"/>
      <c r="E1471" s="359"/>
      <c r="F1471" s="359"/>
      <c r="G1471" s="359"/>
      <c r="H1471" s="359"/>
      <c r="I1471" s="359"/>
      <c r="J1471" s="359"/>
      <c r="K1471" s="359"/>
      <c r="L1471" s="359"/>
      <c r="M1471" s="359"/>
      <c r="N1471" s="359"/>
      <c r="O1471" s="359"/>
      <c r="P1471" s="359"/>
      <c r="Q1471" s="359"/>
      <c r="R1471" s="359"/>
      <c r="S1471" s="359"/>
      <c r="T1471" s="359"/>
      <c r="U1471" s="359"/>
      <c r="V1471" s="359"/>
      <c r="W1471" s="359"/>
      <c r="X1471" s="359"/>
      <c r="Y1471" s="359"/>
      <c r="Z1471" s="359"/>
      <c r="AA1471" s="359"/>
    </row>
    <row r="1472" spans="1:27">
      <c r="A1472" s="359"/>
      <c r="B1472" s="359"/>
      <c r="C1472" s="359"/>
      <c r="D1472" s="359"/>
      <c r="E1472" s="359"/>
      <c r="F1472" s="359"/>
      <c r="G1472" s="359"/>
      <c r="H1472" s="359"/>
      <c r="I1472" s="359"/>
      <c r="J1472" s="359"/>
      <c r="K1472" s="359"/>
      <c r="L1472" s="359"/>
      <c r="M1472" s="359"/>
      <c r="N1472" s="359"/>
      <c r="O1472" s="359"/>
      <c r="P1472" s="359"/>
      <c r="Q1472" s="359"/>
      <c r="R1472" s="359"/>
      <c r="S1472" s="359"/>
      <c r="T1472" s="359"/>
      <c r="U1472" s="359"/>
      <c r="V1472" s="359"/>
      <c r="W1472" s="359"/>
      <c r="X1472" s="359"/>
      <c r="Y1472" s="359"/>
      <c r="Z1472" s="359"/>
      <c r="AA1472" s="359"/>
    </row>
    <row r="1473" spans="1:27">
      <c r="A1473" s="359"/>
      <c r="B1473" s="359"/>
      <c r="C1473" s="359"/>
      <c r="D1473" s="359"/>
      <c r="E1473" s="359"/>
      <c r="F1473" s="359"/>
      <c r="G1473" s="359"/>
      <c r="H1473" s="359"/>
      <c r="I1473" s="359"/>
      <c r="J1473" s="359"/>
      <c r="K1473" s="359"/>
      <c r="L1473" s="359"/>
      <c r="M1473" s="359"/>
      <c r="N1473" s="359"/>
      <c r="O1473" s="359"/>
      <c r="P1473" s="359"/>
      <c r="Q1473" s="359"/>
      <c r="R1473" s="359"/>
      <c r="S1473" s="359"/>
      <c r="T1473" s="359"/>
      <c r="U1473" s="359"/>
      <c r="V1473" s="359"/>
      <c r="W1473" s="359"/>
      <c r="X1473" s="359"/>
      <c r="Y1473" s="359"/>
      <c r="Z1473" s="359"/>
      <c r="AA1473" s="359"/>
    </row>
    <row r="1474" spans="1:27">
      <c r="A1474" s="359"/>
      <c r="B1474" s="359"/>
      <c r="C1474" s="359"/>
      <c r="D1474" s="359"/>
      <c r="E1474" s="359"/>
      <c r="F1474" s="359"/>
      <c r="G1474" s="359"/>
      <c r="H1474" s="359"/>
      <c r="I1474" s="359"/>
      <c r="J1474" s="359"/>
      <c r="K1474" s="359"/>
      <c r="L1474" s="359"/>
      <c r="M1474" s="359"/>
      <c r="N1474" s="359"/>
      <c r="O1474" s="359"/>
      <c r="P1474" s="359"/>
      <c r="Q1474" s="359"/>
      <c r="R1474" s="359"/>
      <c r="S1474" s="359"/>
      <c r="T1474" s="359"/>
      <c r="U1474" s="359"/>
      <c r="V1474" s="359"/>
      <c r="W1474" s="359"/>
      <c r="X1474" s="359"/>
      <c r="Y1474" s="359"/>
      <c r="Z1474" s="359"/>
      <c r="AA1474" s="359"/>
    </row>
    <row r="1475" spans="1:27">
      <c r="A1475" s="359"/>
      <c r="B1475" s="359"/>
      <c r="C1475" s="359"/>
      <c r="D1475" s="359"/>
      <c r="E1475" s="359"/>
      <c r="F1475" s="359"/>
      <c r="G1475" s="359"/>
      <c r="H1475" s="359"/>
      <c r="I1475" s="359"/>
      <c r="J1475" s="359"/>
      <c r="K1475" s="359"/>
      <c r="L1475" s="359"/>
      <c r="M1475" s="359"/>
      <c r="N1475" s="359"/>
      <c r="O1475" s="359"/>
      <c r="P1475" s="359"/>
      <c r="Q1475" s="359"/>
      <c r="R1475" s="359"/>
      <c r="S1475" s="359"/>
      <c r="T1475" s="359"/>
      <c r="U1475" s="359"/>
      <c r="V1475" s="359"/>
      <c r="W1475" s="359"/>
      <c r="X1475" s="359"/>
      <c r="Y1475" s="359"/>
      <c r="Z1475" s="359"/>
      <c r="AA1475" s="359"/>
    </row>
    <row r="1476" spans="1:27">
      <c r="A1476" s="359"/>
      <c r="B1476" s="359"/>
      <c r="C1476" s="359"/>
      <c r="D1476" s="359"/>
      <c r="E1476" s="359"/>
      <c r="F1476" s="359"/>
      <c r="G1476" s="359"/>
      <c r="H1476" s="359"/>
      <c r="I1476" s="359"/>
      <c r="J1476" s="359"/>
      <c r="K1476" s="359"/>
      <c r="L1476" s="359"/>
      <c r="M1476" s="359"/>
      <c r="N1476" s="359"/>
      <c r="O1476" s="359"/>
      <c r="P1476" s="359"/>
      <c r="Q1476" s="359"/>
      <c r="R1476" s="359"/>
      <c r="S1476" s="359"/>
      <c r="T1476" s="359"/>
      <c r="U1476" s="359"/>
      <c r="V1476" s="359"/>
      <c r="W1476" s="359"/>
      <c r="X1476" s="359"/>
      <c r="Y1476" s="359"/>
      <c r="Z1476" s="359"/>
      <c r="AA1476" s="359"/>
    </row>
    <row r="1477" spans="1:27">
      <c r="A1477" s="359"/>
      <c r="B1477" s="359"/>
      <c r="C1477" s="359"/>
      <c r="D1477" s="359"/>
      <c r="E1477" s="359"/>
      <c r="F1477" s="359"/>
      <c r="G1477" s="359"/>
      <c r="H1477" s="359"/>
      <c r="I1477" s="359"/>
      <c r="J1477" s="359"/>
      <c r="K1477" s="359"/>
      <c r="L1477" s="359"/>
      <c r="M1477" s="359"/>
      <c r="N1477" s="359"/>
      <c r="O1477" s="359"/>
      <c r="P1477" s="359"/>
      <c r="Q1477" s="359"/>
      <c r="R1477" s="359"/>
      <c r="S1477" s="359"/>
      <c r="T1477" s="359"/>
      <c r="U1477" s="359"/>
      <c r="V1477" s="359"/>
      <c r="W1477" s="359"/>
      <c r="X1477" s="359"/>
      <c r="Y1477" s="359"/>
      <c r="Z1477" s="359"/>
      <c r="AA1477" s="359"/>
    </row>
    <row r="1478" spans="1:27">
      <c r="A1478" s="359"/>
      <c r="B1478" s="359"/>
      <c r="C1478" s="359"/>
      <c r="D1478" s="359"/>
      <c r="E1478" s="359"/>
      <c r="F1478" s="359"/>
      <c r="G1478" s="359"/>
      <c r="H1478" s="359"/>
      <c r="I1478" s="359"/>
      <c r="J1478" s="359"/>
      <c r="K1478" s="359"/>
      <c r="L1478" s="359"/>
      <c r="M1478" s="359"/>
      <c r="N1478" s="359"/>
      <c r="O1478" s="359"/>
      <c r="P1478" s="359"/>
      <c r="Q1478" s="359"/>
      <c r="R1478" s="359"/>
      <c r="S1478" s="359"/>
      <c r="T1478" s="359"/>
      <c r="U1478" s="359"/>
      <c r="V1478" s="359"/>
      <c r="W1478" s="359"/>
      <c r="X1478" s="359"/>
      <c r="Y1478" s="359"/>
      <c r="Z1478" s="359"/>
      <c r="AA1478" s="359"/>
    </row>
    <row r="1479" spans="1:27">
      <c r="A1479" s="359"/>
      <c r="B1479" s="359"/>
      <c r="C1479" s="359"/>
      <c r="D1479" s="359"/>
      <c r="E1479" s="359"/>
      <c r="F1479" s="359"/>
      <c r="G1479" s="359"/>
      <c r="H1479" s="359"/>
      <c r="I1479" s="359"/>
      <c r="J1479" s="359"/>
      <c r="K1479" s="359"/>
      <c r="L1479" s="359"/>
      <c r="M1479" s="359"/>
      <c r="N1479" s="359"/>
      <c r="O1479" s="359"/>
      <c r="P1479" s="359"/>
      <c r="Q1479" s="359"/>
      <c r="R1479" s="359"/>
      <c r="S1479" s="359"/>
      <c r="T1479" s="359"/>
      <c r="U1479" s="359"/>
      <c r="V1479" s="359"/>
      <c r="W1479" s="359"/>
      <c r="X1479" s="359"/>
      <c r="Y1479" s="359"/>
      <c r="Z1479" s="359"/>
      <c r="AA1479" s="359"/>
    </row>
    <row r="1480" spans="1:27">
      <c r="A1480" s="359"/>
      <c r="B1480" s="359"/>
      <c r="C1480" s="359"/>
      <c r="D1480" s="359"/>
      <c r="E1480" s="359"/>
      <c r="F1480" s="359"/>
      <c r="G1480" s="359"/>
      <c r="H1480" s="359"/>
      <c r="I1480" s="359"/>
      <c r="J1480" s="359"/>
      <c r="K1480" s="359"/>
      <c r="L1480" s="359"/>
      <c r="M1480" s="359"/>
      <c r="N1480" s="359"/>
      <c r="O1480" s="359"/>
      <c r="P1480" s="359"/>
      <c r="Q1480" s="359"/>
      <c r="R1480" s="359"/>
      <c r="S1480" s="359"/>
      <c r="T1480" s="359"/>
      <c r="U1480" s="359"/>
      <c r="V1480" s="359"/>
      <c r="W1480" s="359"/>
      <c r="X1480" s="359"/>
      <c r="Y1480" s="359"/>
      <c r="Z1480" s="359"/>
      <c r="AA1480" s="359"/>
    </row>
    <row r="1481" spans="1:27">
      <c r="A1481" s="359"/>
      <c r="B1481" s="359"/>
      <c r="C1481" s="359"/>
      <c r="D1481" s="359"/>
      <c r="E1481" s="359"/>
      <c r="F1481" s="359"/>
      <c r="G1481" s="359"/>
      <c r="H1481" s="359"/>
      <c r="I1481" s="359"/>
      <c r="J1481" s="359"/>
      <c r="K1481" s="359"/>
      <c r="L1481" s="359"/>
      <c r="M1481" s="359"/>
      <c r="N1481" s="359"/>
      <c r="O1481" s="359"/>
      <c r="P1481" s="359"/>
      <c r="Q1481" s="359"/>
      <c r="R1481" s="359"/>
      <c r="S1481" s="359"/>
      <c r="T1481" s="359"/>
      <c r="U1481" s="359"/>
      <c r="V1481" s="359"/>
      <c r="W1481" s="359"/>
      <c r="X1481" s="359"/>
      <c r="Y1481" s="359"/>
      <c r="Z1481" s="359"/>
      <c r="AA1481" s="359"/>
    </row>
    <row r="1482" spans="1:27">
      <c r="A1482" s="359"/>
      <c r="B1482" s="359"/>
      <c r="C1482" s="359"/>
      <c r="D1482" s="359"/>
      <c r="E1482" s="359"/>
      <c r="F1482" s="359"/>
      <c r="G1482" s="359"/>
      <c r="H1482" s="359"/>
      <c r="I1482" s="359"/>
      <c r="J1482" s="359"/>
      <c r="K1482" s="359"/>
      <c r="L1482" s="359"/>
      <c r="M1482" s="359"/>
      <c r="N1482" s="359"/>
      <c r="O1482" s="359"/>
      <c r="P1482" s="359"/>
      <c r="Q1482" s="359"/>
      <c r="R1482" s="359"/>
      <c r="S1482" s="359"/>
      <c r="T1482" s="359"/>
      <c r="U1482" s="359"/>
      <c r="V1482" s="359"/>
      <c r="W1482" s="359"/>
      <c r="X1482" s="359"/>
      <c r="Y1482" s="359"/>
      <c r="Z1482" s="359"/>
      <c r="AA1482" s="359"/>
    </row>
    <row r="1483" spans="1:27">
      <c r="A1483" s="359"/>
      <c r="B1483" s="359"/>
      <c r="C1483" s="359"/>
      <c r="D1483" s="359"/>
      <c r="E1483" s="359"/>
      <c r="F1483" s="359"/>
      <c r="G1483" s="359"/>
      <c r="H1483" s="359"/>
      <c r="I1483" s="359"/>
      <c r="J1483" s="359"/>
      <c r="K1483" s="359"/>
      <c r="L1483" s="359"/>
      <c r="M1483" s="359"/>
      <c r="N1483" s="359"/>
      <c r="O1483" s="359"/>
      <c r="P1483" s="359"/>
      <c r="Q1483" s="359"/>
      <c r="R1483" s="359"/>
      <c r="S1483" s="359"/>
      <c r="T1483" s="359"/>
      <c r="U1483" s="359"/>
      <c r="V1483" s="359"/>
      <c r="W1483" s="359"/>
      <c r="X1483" s="359"/>
      <c r="Y1483" s="359"/>
      <c r="Z1483" s="359"/>
      <c r="AA1483" s="359"/>
    </row>
    <row r="1484" spans="1:27">
      <c r="A1484" s="359"/>
      <c r="B1484" s="359"/>
      <c r="C1484" s="359"/>
      <c r="D1484" s="359"/>
      <c r="E1484" s="359"/>
      <c r="F1484" s="359"/>
      <c r="G1484" s="359"/>
      <c r="H1484" s="359"/>
      <c r="I1484" s="359"/>
      <c r="J1484" s="359"/>
      <c r="K1484" s="359"/>
      <c r="L1484" s="359"/>
      <c r="M1484" s="359"/>
      <c r="N1484" s="359"/>
      <c r="O1484" s="359"/>
      <c r="P1484" s="359"/>
      <c r="Q1484" s="359"/>
      <c r="R1484" s="359"/>
      <c r="S1484" s="359"/>
      <c r="T1484" s="359"/>
      <c r="U1484" s="359"/>
      <c r="V1484" s="359"/>
      <c r="W1484" s="359"/>
      <c r="X1484" s="359"/>
      <c r="Y1484" s="359"/>
      <c r="Z1484" s="359"/>
      <c r="AA1484" s="359"/>
    </row>
    <row r="1485" spans="1:27">
      <c r="A1485" s="359"/>
      <c r="B1485" s="359"/>
      <c r="C1485" s="359"/>
      <c r="D1485" s="359"/>
      <c r="E1485" s="359"/>
      <c r="F1485" s="359"/>
      <c r="G1485" s="359"/>
      <c r="H1485" s="359"/>
      <c r="I1485" s="359"/>
      <c r="J1485" s="359"/>
      <c r="K1485" s="359"/>
      <c r="L1485" s="359"/>
      <c r="M1485" s="359"/>
      <c r="N1485" s="359"/>
      <c r="O1485" s="359"/>
      <c r="P1485" s="359"/>
      <c r="Q1485" s="359"/>
      <c r="R1485" s="359"/>
      <c r="S1485" s="359"/>
      <c r="T1485" s="359"/>
      <c r="U1485" s="359"/>
      <c r="V1485" s="359"/>
      <c r="W1485" s="359"/>
      <c r="X1485" s="359"/>
      <c r="Y1485" s="359"/>
      <c r="Z1485" s="359"/>
      <c r="AA1485" s="359"/>
    </row>
    <row r="1486" spans="1:27">
      <c r="A1486" s="359"/>
      <c r="B1486" s="359"/>
      <c r="C1486" s="359"/>
      <c r="D1486" s="359"/>
      <c r="E1486" s="359"/>
      <c r="F1486" s="359"/>
      <c r="G1486" s="359"/>
      <c r="H1486" s="359"/>
      <c r="I1486" s="359"/>
      <c r="J1486" s="359"/>
      <c r="K1486" s="359"/>
      <c r="L1486" s="359"/>
      <c r="M1486" s="359"/>
      <c r="N1486" s="359"/>
      <c r="O1486" s="359"/>
      <c r="P1486" s="359"/>
      <c r="Q1486" s="359"/>
      <c r="R1486" s="359"/>
      <c r="S1486" s="359"/>
      <c r="T1486" s="359"/>
      <c r="U1486" s="359"/>
      <c r="V1486" s="359"/>
      <c r="W1486" s="359"/>
      <c r="X1486" s="359"/>
      <c r="Y1486" s="359"/>
      <c r="Z1486" s="359"/>
      <c r="AA1486" s="359"/>
    </row>
    <row r="1487" spans="1:27">
      <c r="A1487" s="359"/>
      <c r="B1487" s="359"/>
      <c r="C1487" s="359"/>
      <c r="D1487" s="359"/>
      <c r="E1487" s="359"/>
      <c r="F1487" s="359"/>
      <c r="G1487" s="359"/>
      <c r="H1487" s="359"/>
      <c r="I1487" s="359"/>
      <c r="J1487" s="359"/>
      <c r="K1487" s="359"/>
      <c r="L1487" s="359"/>
      <c r="M1487" s="359"/>
      <c r="N1487" s="359"/>
      <c r="O1487" s="359"/>
      <c r="P1487" s="359"/>
      <c r="Q1487" s="359"/>
      <c r="R1487" s="359"/>
      <c r="S1487" s="359"/>
      <c r="T1487" s="359"/>
      <c r="U1487" s="359"/>
      <c r="V1487" s="359"/>
      <c r="W1487" s="359"/>
      <c r="X1487" s="359"/>
      <c r="Y1487" s="359"/>
      <c r="Z1487" s="359"/>
      <c r="AA1487" s="359"/>
    </row>
    <row r="1488" spans="1:27">
      <c r="A1488" s="359"/>
      <c r="B1488" s="359"/>
      <c r="C1488" s="359"/>
      <c r="D1488" s="359"/>
      <c r="E1488" s="359"/>
      <c r="F1488" s="359"/>
      <c r="G1488" s="359"/>
      <c r="H1488" s="359"/>
      <c r="I1488" s="359"/>
      <c r="J1488" s="359"/>
      <c r="K1488" s="359"/>
      <c r="L1488" s="359"/>
      <c r="M1488" s="359"/>
      <c r="N1488" s="359"/>
      <c r="O1488" s="359"/>
      <c r="P1488" s="359"/>
      <c r="Q1488" s="359"/>
      <c r="R1488" s="359"/>
      <c r="S1488" s="359"/>
      <c r="T1488" s="359"/>
      <c r="U1488" s="359"/>
      <c r="V1488" s="359"/>
      <c r="W1488" s="359"/>
      <c r="X1488" s="359"/>
      <c r="Y1488" s="359"/>
      <c r="Z1488" s="359"/>
      <c r="AA1488" s="359"/>
    </row>
    <row r="1489" spans="1:27">
      <c r="A1489" s="359"/>
      <c r="B1489" s="359"/>
      <c r="C1489" s="359"/>
      <c r="D1489" s="359"/>
      <c r="E1489" s="359"/>
      <c r="F1489" s="359"/>
      <c r="G1489" s="359"/>
      <c r="H1489" s="359"/>
      <c r="I1489" s="359"/>
      <c r="J1489" s="359"/>
      <c r="K1489" s="359"/>
      <c r="L1489" s="359"/>
      <c r="M1489" s="359"/>
      <c r="N1489" s="359"/>
      <c r="O1489" s="359"/>
      <c r="P1489" s="359"/>
      <c r="Q1489" s="359"/>
      <c r="R1489" s="359"/>
      <c r="S1489" s="359"/>
      <c r="T1489" s="359"/>
      <c r="U1489" s="359"/>
      <c r="V1489" s="359"/>
      <c r="W1489" s="359"/>
      <c r="X1489" s="359"/>
      <c r="Y1489" s="359"/>
      <c r="Z1489" s="359"/>
      <c r="AA1489" s="359"/>
    </row>
    <row r="1490" spans="1:27">
      <c r="A1490" s="359"/>
      <c r="B1490" s="359"/>
      <c r="C1490" s="359"/>
      <c r="D1490" s="359"/>
      <c r="E1490" s="359"/>
      <c r="F1490" s="359"/>
      <c r="G1490" s="359"/>
      <c r="H1490" s="359"/>
      <c r="I1490" s="359"/>
      <c r="J1490" s="359"/>
      <c r="K1490" s="359"/>
      <c r="L1490" s="359"/>
      <c r="M1490" s="359"/>
      <c r="N1490" s="359"/>
      <c r="O1490" s="359"/>
      <c r="P1490" s="359"/>
      <c r="Q1490" s="359"/>
      <c r="R1490" s="359"/>
      <c r="S1490" s="359"/>
      <c r="T1490" s="359"/>
      <c r="U1490" s="359"/>
      <c r="V1490" s="359"/>
      <c r="W1490" s="359"/>
      <c r="X1490" s="359"/>
      <c r="Y1490" s="359"/>
      <c r="Z1490" s="359"/>
      <c r="AA1490" s="359"/>
    </row>
    <row r="1491" spans="1:27">
      <c r="A1491" s="359"/>
      <c r="B1491" s="359"/>
      <c r="C1491" s="359"/>
      <c r="D1491" s="359"/>
      <c r="E1491" s="359"/>
      <c r="F1491" s="359"/>
      <c r="G1491" s="359"/>
      <c r="H1491" s="359"/>
      <c r="I1491" s="359"/>
      <c r="J1491" s="359"/>
      <c r="K1491" s="359"/>
      <c r="L1491" s="359"/>
      <c r="M1491" s="359"/>
      <c r="N1491" s="359"/>
      <c r="O1491" s="359"/>
      <c r="P1491" s="359"/>
      <c r="Q1491" s="359"/>
      <c r="R1491" s="359"/>
      <c r="S1491" s="359"/>
      <c r="T1491" s="359"/>
      <c r="U1491" s="359"/>
      <c r="V1491" s="359"/>
      <c r="W1491" s="359"/>
      <c r="X1491" s="359"/>
      <c r="Y1491" s="359"/>
      <c r="Z1491" s="359"/>
      <c r="AA1491" s="359"/>
    </row>
    <row r="1492" spans="1:27">
      <c r="A1492" s="359"/>
      <c r="B1492" s="359"/>
      <c r="C1492" s="359"/>
      <c r="D1492" s="359"/>
      <c r="E1492" s="359"/>
      <c r="F1492" s="359"/>
      <c r="G1492" s="359"/>
      <c r="H1492" s="359"/>
      <c r="I1492" s="359"/>
      <c r="J1492" s="359"/>
      <c r="K1492" s="359"/>
      <c r="L1492" s="359"/>
      <c r="M1492" s="359"/>
      <c r="N1492" s="359"/>
      <c r="O1492" s="359"/>
      <c r="P1492" s="359"/>
      <c r="Q1492" s="359"/>
      <c r="R1492" s="359"/>
      <c r="S1492" s="359"/>
      <c r="T1492" s="359"/>
      <c r="U1492" s="359"/>
      <c r="V1492" s="359"/>
      <c r="W1492" s="359"/>
      <c r="X1492" s="359"/>
      <c r="Y1492" s="359"/>
      <c r="Z1492" s="359"/>
      <c r="AA1492" s="359"/>
    </row>
    <row r="1493" spans="1:27">
      <c r="A1493" s="359"/>
      <c r="B1493" s="359"/>
      <c r="C1493" s="359"/>
      <c r="D1493" s="359"/>
      <c r="E1493" s="359"/>
      <c r="F1493" s="359"/>
      <c r="G1493" s="359"/>
      <c r="H1493" s="359"/>
      <c r="I1493" s="359"/>
      <c r="J1493" s="359"/>
      <c r="K1493" s="359"/>
      <c r="L1493" s="359"/>
      <c r="M1493" s="359"/>
      <c r="N1493" s="359"/>
      <c r="O1493" s="359"/>
      <c r="P1493" s="359"/>
      <c r="Q1493" s="359"/>
      <c r="R1493" s="359"/>
      <c r="S1493" s="359"/>
      <c r="T1493" s="359"/>
      <c r="U1493" s="359"/>
      <c r="V1493" s="359"/>
      <c r="W1493" s="359"/>
      <c r="X1493" s="359"/>
      <c r="Y1493" s="359"/>
      <c r="Z1493" s="359"/>
      <c r="AA1493" s="359"/>
    </row>
    <row r="1494" spans="1:27">
      <c r="A1494" s="359"/>
      <c r="B1494" s="359"/>
      <c r="C1494" s="359"/>
      <c r="D1494" s="359"/>
      <c r="E1494" s="359"/>
      <c r="F1494" s="359"/>
      <c r="G1494" s="359"/>
      <c r="H1494" s="359"/>
      <c r="I1494" s="359"/>
      <c r="J1494" s="359"/>
      <c r="K1494" s="359"/>
      <c r="L1494" s="359"/>
      <c r="M1494" s="359"/>
      <c r="N1494" s="359"/>
      <c r="O1494" s="359"/>
      <c r="P1494" s="359"/>
      <c r="Q1494" s="359"/>
      <c r="R1494" s="359"/>
      <c r="S1494" s="359"/>
      <c r="T1494" s="359"/>
      <c r="U1494" s="359"/>
      <c r="V1494" s="359"/>
      <c r="W1494" s="359"/>
      <c r="X1494" s="359"/>
      <c r="Y1494" s="359"/>
      <c r="Z1494" s="359"/>
      <c r="AA1494" s="359"/>
    </row>
    <row r="1495" spans="1:27">
      <c r="A1495" s="359"/>
      <c r="B1495" s="359"/>
      <c r="C1495" s="359"/>
      <c r="D1495" s="359"/>
      <c r="E1495" s="359"/>
      <c r="F1495" s="359"/>
      <c r="G1495" s="359"/>
      <c r="H1495" s="359"/>
      <c r="I1495" s="359"/>
      <c r="J1495" s="359"/>
      <c r="K1495" s="359"/>
      <c r="L1495" s="359"/>
      <c r="M1495" s="359"/>
      <c r="N1495" s="359"/>
      <c r="O1495" s="359"/>
      <c r="P1495" s="359"/>
      <c r="Q1495" s="359"/>
      <c r="R1495" s="359"/>
      <c r="S1495" s="359"/>
      <c r="T1495" s="359"/>
      <c r="U1495" s="359"/>
      <c r="V1495" s="359"/>
      <c r="W1495" s="359"/>
      <c r="X1495" s="359"/>
      <c r="Y1495" s="359"/>
      <c r="Z1495" s="359"/>
      <c r="AA1495" s="359"/>
    </row>
    <row r="1496" spans="1:27">
      <c r="A1496" s="359"/>
      <c r="B1496" s="359"/>
      <c r="C1496" s="359"/>
      <c r="D1496" s="359"/>
      <c r="E1496" s="359"/>
      <c r="F1496" s="359"/>
      <c r="G1496" s="359"/>
      <c r="H1496" s="359"/>
      <c r="I1496" s="359"/>
      <c r="J1496" s="359"/>
      <c r="K1496" s="359"/>
      <c r="L1496" s="359"/>
      <c r="M1496" s="359"/>
      <c r="N1496" s="359"/>
      <c r="O1496" s="359"/>
      <c r="P1496" s="359"/>
      <c r="Q1496" s="359"/>
      <c r="R1496" s="359"/>
      <c r="S1496" s="359"/>
      <c r="T1496" s="359"/>
      <c r="U1496" s="359"/>
      <c r="V1496" s="359"/>
      <c r="W1496" s="359"/>
      <c r="X1496" s="359"/>
      <c r="Y1496" s="359"/>
      <c r="Z1496" s="359"/>
      <c r="AA1496" s="359"/>
    </row>
    <row r="1497" spans="1:27">
      <c r="A1497" s="359"/>
      <c r="B1497" s="359"/>
      <c r="C1497" s="359"/>
      <c r="D1497" s="359"/>
      <c r="E1497" s="359"/>
      <c r="F1497" s="359"/>
      <c r="G1497" s="359"/>
      <c r="H1497" s="359"/>
      <c r="I1497" s="359"/>
      <c r="J1497" s="359"/>
      <c r="K1497" s="359"/>
      <c r="L1497" s="359"/>
      <c r="M1497" s="359"/>
      <c r="N1497" s="359"/>
      <c r="O1497" s="359"/>
      <c r="P1497" s="359"/>
      <c r="Q1497" s="359"/>
      <c r="R1497" s="359"/>
      <c r="S1497" s="359"/>
      <c r="T1497" s="359"/>
      <c r="U1497" s="359"/>
      <c r="V1497" s="359"/>
      <c r="W1497" s="359"/>
      <c r="X1497" s="359"/>
      <c r="Y1497" s="359"/>
      <c r="Z1497" s="359"/>
      <c r="AA1497" s="359"/>
    </row>
    <row r="1498" spans="1:27">
      <c r="A1498" s="359"/>
      <c r="B1498" s="359"/>
      <c r="C1498" s="359"/>
      <c r="D1498" s="359"/>
      <c r="E1498" s="359"/>
      <c r="F1498" s="359"/>
      <c r="G1498" s="359"/>
      <c r="H1498" s="359"/>
      <c r="I1498" s="359"/>
      <c r="J1498" s="359"/>
      <c r="K1498" s="359"/>
      <c r="L1498" s="359"/>
      <c r="M1498" s="359"/>
      <c r="N1498" s="359"/>
      <c r="O1498" s="359"/>
      <c r="P1498" s="359"/>
      <c r="Q1498" s="359"/>
      <c r="R1498" s="359"/>
      <c r="S1498" s="359"/>
      <c r="T1498" s="359"/>
      <c r="U1498" s="359"/>
      <c r="V1498" s="359"/>
      <c r="W1498" s="359"/>
      <c r="X1498" s="359"/>
      <c r="Y1498" s="359"/>
      <c r="Z1498" s="359"/>
      <c r="AA1498" s="359"/>
    </row>
    <row r="1499" spans="1:27">
      <c r="A1499" s="359"/>
      <c r="B1499" s="359"/>
      <c r="C1499" s="359"/>
      <c r="D1499" s="359"/>
      <c r="E1499" s="359"/>
      <c r="F1499" s="359"/>
      <c r="G1499" s="359"/>
      <c r="H1499" s="359"/>
      <c r="I1499" s="359"/>
      <c r="J1499" s="359"/>
      <c r="K1499" s="359"/>
      <c r="L1499" s="359"/>
      <c r="M1499" s="359"/>
      <c r="N1499" s="359"/>
      <c r="O1499" s="359"/>
      <c r="P1499" s="359"/>
      <c r="Q1499" s="359"/>
      <c r="R1499" s="359"/>
      <c r="S1499" s="359"/>
      <c r="T1499" s="359"/>
      <c r="U1499" s="359"/>
      <c r="V1499" s="359"/>
      <c r="W1499" s="359"/>
      <c r="X1499" s="359"/>
      <c r="Y1499" s="359"/>
      <c r="Z1499" s="359"/>
      <c r="AA1499" s="359"/>
    </row>
    <row r="1500" spans="1:27">
      <c r="A1500" s="359"/>
      <c r="B1500" s="359"/>
      <c r="C1500" s="359"/>
      <c r="D1500" s="359"/>
      <c r="E1500" s="359"/>
      <c r="F1500" s="359"/>
      <c r="G1500" s="359"/>
      <c r="H1500" s="359"/>
      <c r="I1500" s="359"/>
      <c r="J1500" s="359"/>
      <c r="K1500" s="359"/>
      <c r="L1500" s="359"/>
      <c r="M1500" s="359"/>
      <c r="N1500" s="359"/>
      <c r="O1500" s="359"/>
      <c r="P1500" s="359"/>
      <c r="Q1500" s="359"/>
      <c r="R1500" s="359"/>
      <c r="S1500" s="359"/>
      <c r="T1500" s="359"/>
      <c r="U1500" s="359"/>
      <c r="V1500" s="359"/>
      <c r="W1500" s="359"/>
      <c r="X1500" s="359"/>
      <c r="Y1500" s="359"/>
      <c r="Z1500" s="359"/>
      <c r="AA1500" s="359"/>
    </row>
    <row r="1501" spans="1:27">
      <c r="A1501" s="359"/>
      <c r="B1501" s="359"/>
      <c r="C1501" s="359"/>
      <c r="D1501" s="359"/>
      <c r="E1501" s="359"/>
      <c r="F1501" s="359"/>
      <c r="G1501" s="359"/>
      <c r="H1501" s="359"/>
      <c r="I1501" s="359"/>
      <c r="J1501" s="359"/>
      <c r="K1501" s="359"/>
      <c r="L1501" s="359"/>
      <c r="M1501" s="359"/>
      <c r="N1501" s="359"/>
      <c r="O1501" s="359"/>
      <c r="P1501" s="359"/>
      <c r="Q1501" s="359"/>
      <c r="R1501" s="359"/>
      <c r="S1501" s="359"/>
      <c r="T1501" s="359"/>
      <c r="U1501" s="359"/>
      <c r="V1501" s="359"/>
      <c r="W1501" s="359"/>
      <c r="X1501" s="359"/>
      <c r="Y1501" s="359"/>
      <c r="Z1501" s="359"/>
      <c r="AA1501" s="359"/>
    </row>
    <row r="1502" spans="1:27">
      <c r="A1502" s="359"/>
      <c r="B1502" s="359"/>
      <c r="C1502" s="359"/>
      <c r="D1502" s="359"/>
      <c r="E1502" s="359"/>
      <c r="F1502" s="359"/>
      <c r="G1502" s="359"/>
      <c r="H1502" s="359"/>
      <c r="I1502" s="359"/>
      <c r="J1502" s="359"/>
      <c r="K1502" s="359"/>
      <c r="L1502" s="359"/>
      <c r="M1502" s="359"/>
      <c r="N1502" s="359"/>
      <c r="O1502" s="359"/>
      <c r="P1502" s="359"/>
      <c r="Q1502" s="359"/>
      <c r="R1502" s="359"/>
      <c r="S1502" s="359"/>
      <c r="T1502" s="359"/>
      <c r="U1502" s="359"/>
      <c r="V1502" s="359"/>
      <c r="W1502" s="359"/>
      <c r="X1502" s="359"/>
      <c r="Y1502" s="359"/>
      <c r="Z1502" s="359"/>
      <c r="AA1502" s="359"/>
    </row>
    <row r="1503" spans="1:27">
      <c r="A1503" s="359"/>
      <c r="B1503" s="359"/>
      <c r="C1503" s="359"/>
      <c r="D1503" s="359"/>
      <c r="E1503" s="359"/>
      <c r="F1503" s="359"/>
      <c r="G1503" s="359"/>
      <c r="H1503" s="359"/>
      <c r="I1503" s="359"/>
      <c r="J1503" s="359"/>
      <c r="K1503" s="359"/>
      <c r="L1503" s="359"/>
      <c r="M1503" s="359"/>
      <c r="N1503" s="359"/>
      <c r="O1503" s="359"/>
      <c r="P1503" s="359"/>
      <c r="Q1503" s="359"/>
      <c r="R1503" s="359"/>
      <c r="S1503" s="359"/>
      <c r="T1503" s="359"/>
      <c r="U1503" s="359"/>
      <c r="V1503" s="359"/>
      <c r="W1503" s="359"/>
      <c r="X1503" s="359"/>
      <c r="Y1503" s="359"/>
      <c r="Z1503" s="359"/>
      <c r="AA1503" s="359"/>
    </row>
    <row r="1504" spans="1:27">
      <c r="A1504" s="359"/>
      <c r="B1504" s="359"/>
      <c r="C1504" s="359"/>
      <c r="D1504" s="359"/>
      <c r="E1504" s="359"/>
      <c r="F1504" s="359"/>
      <c r="G1504" s="359"/>
      <c r="H1504" s="359"/>
      <c r="I1504" s="359"/>
      <c r="J1504" s="359"/>
      <c r="K1504" s="359"/>
      <c r="L1504" s="359"/>
      <c r="M1504" s="359"/>
      <c r="N1504" s="359"/>
      <c r="O1504" s="359"/>
      <c r="P1504" s="359"/>
      <c r="Q1504" s="359"/>
      <c r="R1504" s="359"/>
      <c r="S1504" s="359"/>
      <c r="T1504" s="359"/>
      <c r="U1504" s="359"/>
      <c r="V1504" s="359"/>
      <c r="W1504" s="359"/>
      <c r="X1504" s="359"/>
      <c r="Y1504" s="359"/>
      <c r="Z1504" s="359"/>
      <c r="AA1504" s="359"/>
    </row>
    <row r="1505" spans="1:27">
      <c r="A1505" s="359"/>
      <c r="B1505" s="359"/>
      <c r="C1505" s="359"/>
      <c r="D1505" s="359"/>
      <c r="E1505" s="359"/>
      <c r="F1505" s="359"/>
      <c r="G1505" s="359"/>
      <c r="H1505" s="359"/>
      <c r="I1505" s="359"/>
      <c r="J1505" s="359"/>
      <c r="K1505" s="359"/>
      <c r="L1505" s="359"/>
      <c r="M1505" s="359"/>
      <c r="N1505" s="359"/>
      <c r="O1505" s="359"/>
      <c r="P1505" s="359"/>
      <c r="Q1505" s="359"/>
      <c r="R1505" s="359"/>
      <c r="S1505" s="359"/>
      <c r="T1505" s="359"/>
      <c r="U1505" s="359"/>
      <c r="V1505" s="359"/>
      <c r="W1505" s="359"/>
      <c r="X1505" s="359"/>
      <c r="Y1505" s="359"/>
      <c r="Z1505" s="359"/>
      <c r="AA1505" s="359"/>
    </row>
    <row r="1506" spans="1:27">
      <c r="A1506" s="359"/>
      <c r="B1506" s="359"/>
      <c r="C1506" s="359"/>
      <c r="D1506" s="359"/>
      <c r="E1506" s="359"/>
      <c r="F1506" s="359"/>
      <c r="G1506" s="359"/>
      <c r="H1506" s="359"/>
      <c r="I1506" s="359"/>
      <c r="J1506" s="359"/>
      <c r="K1506" s="359"/>
      <c r="L1506" s="359"/>
      <c r="M1506" s="359"/>
      <c r="N1506" s="359"/>
      <c r="O1506" s="359"/>
      <c r="P1506" s="359"/>
      <c r="Q1506" s="359"/>
      <c r="R1506" s="359"/>
      <c r="S1506" s="359"/>
      <c r="T1506" s="359"/>
      <c r="U1506" s="359"/>
      <c r="V1506" s="359"/>
      <c r="W1506" s="359"/>
      <c r="X1506" s="359"/>
      <c r="Y1506" s="359"/>
      <c r="Z1506" s="359"/>
      <c r="AA1506" s="359"/>
    </row>
    <row r="1507" spans="1:27">
      <c r="A1507" s="359"/>
      <c r="B1507" s="359"/>
      <c r="C1507" s="359"/>
      <c r="D1507" s="359"/>
      <c r="E1507" s="359"/>
      <c r="F1507" s="359"/>
      <c r="G1507" s="359"/>
      <c r="H1507" s="359"/>
      <c r="I1507" s="359"/>
      <c r="J1507" s="359"/>
      <c r="K1507" s="359"/>
      <c r="L1507" s="359"/>
      <c r="M1507" s="359"/>
      <c r="N1507" s="359"/>
      <c r="O1507" s="359"/>
      <c r="P1507" s="359"/>
      <c r="Q1507" s="359"/>
      <c r="R1507" s="359"/>
      <c r="S1507" s="359"/>
      <c r="T1507" s="359"/>
      <c r="U1507" s="359"/>
      <c r="V1507" s="359"/>
      <c r="W1507" s="359"/>
      <c r="X1507" s="359"/>
      <c r="Y1507" s="359"/>
      <c r="Z1507" s="359"/>
      <c r="AA1507" s="359"/>
    </row>
    <row r="1508" spans="1:27">
      <c r="A1508" s="359"/>
      <c r="B1508" s="359"/>
      <c r="C1508" s="359"/>
      <c r="D1508" s="359"/>
      <c r="E1508" s="359"/>
      <c r="F1508" s="359"/>
      <c r="G1508" s="359"/>
      <c r="H1508" s="359"/>
      <c r="I1508" s="359"/>
      <c r="J1508" s="359"/>
      <c r="K1508" s="359"/>
      <c r="L1508" s="359"/>
      <c r="M1508" s="359"/>
      <c r="N1508" s="359"/>
      <c r="O1508" s="359"/>
      <c r="P1508" s="359"/>
      <c r="Q1508" s="359"/>
      <c r="R1508" s="359"/>
      <c r="S1508" s="359"/>
      <c r="T1508" s="359"/>
      <c r="U1508" s="359"/>
      <c r="V1508" s="359"/>
      <c r="W1508" s="359"/>
      <c r="X1508" s="359"/>
      <c r="Y1508" s="359"/>
      <c r="Z1508" s="359"/>
      <c r="AA1508" s="359"/>
    </row>
    <row r="1509" spans="1:27">
      <c r="A1509" s="359"/>
      <c r="B1509" s="359"/>
      <c r="C1509" s="359"/>
      <c r="D1509" s="359"/>
      <c r="E1509" s="359"/>
      <c r="F1509" s="359"/>
      <c r="G1509" s="359"/>
      <c r="H1509" s="359"/>
      <c r="I1509" s="359"/>
      <c r="J1509" s="359"/>
      <c r="K1509" s="359"/>
      <c r="L1509" s="359"/>
      <c r="M1509" s="359"/>
      <c r="N1509" s="359"/>
      <c r="O1509" s="359"/>
      <c r="P1509" s="359"/>
      <c r="Q1509" s="359"/>
      <c r="R1509" s="359"/>
      <c r="S1509" s="359"/>
      <c r="T1509" s="359"/>
      <c r="U1509" s="359"/>
      <c r="V1509" s="359"/>
      <c r="W1509" s="359"/>
      <c r="X1509" s="359"/>
      <c r="Y1509" s="359"/>
      <c r="Z1509" s="359"/>
      <c r="AA1509" s="359"/>
    </row>
    <row r="1510" spans="1:27">
      <c r="A1510" s="359"/>
      <c r="B1510" s="359"/>
      <c r="C1510" s="359"/>
      <c r="D1510" s="359"/>
      <c r="E1510" s="359"/>
      <c r="F1510" s="359"/>
      <c r="G1510" s="359"/>
      <c r="H1510" s="359"/>
      <c r="I1510" s="359"/>
      <c r="J1510" s="359"/>
      <c r="K1510" s="359"/>
      <c r="L1510" s="359"/>
      <c r="M1510" s="359"/>
      <c r="N1510" s="359"/>
      <c r="O1510" s="359"/>
      <c r="P1510" s="359"/>
      <c r="Q1510" s="359"/>
      <c r="R1510" s="359"/>
      <c r="S1510" s="359"/>
      <c r="T1510" s="359"/>
      <c r="U1510" s="359"/>
      <c r="V1510" s="359"/>
      <c r="W1510" s="359"/>
      <c r="X1510" s="359"/>
      <c r="Y1510" s="359"/>
      <c r="Z1510" s="359"/>
      <c r="AA1510" s="359"/>
    </row>
    <row r="1511" spans="1:27">
      <c r="A1511" s="359"/>
      <c r="B1511" s="359"/>
      <c r="C1511" s="359"/>
      <c r="D1511" s="359"/>
      <c r="E1511" s="359"/>
      <c r="F1511" s="359"/>
      <c r="G1511" s="359"/>
      <c r="H1511" s="359"/>
      <c r="I1511" s="359"/>
      <c r="J1511" s="359"/>
      <c r="K1511" s="359"/>
      <c r="L1511" s="359"/>
      <c r="M1511" s="359"/>
      <c r="N1511" s="359"/>
      <c r="O1511" s="359"/>
      <c r="P1511" s="359"/>
      <c r="Q1511" s="359"/>
      <c r="R1511" s="359"/>
      <c r="S1511" s="359"/>
      <c r="T1511" s="359"/>
      <c r="U1511" s="359"/>
      <c r="V1511" s="359"/>
      <c r="W1511" s="359"/>
      <c r="X1511" s="359"/>
      <c r="Y1511" s="359"/>
      <c r="Z1511" s="359"/>
      <c r="AA1511" s="359"/>
    </row>
    <row r="1512" spans="1:27">
      <c r="A1512" s="359"/>
      <c r="B1512" s="359"/>
      <c r="C1512" s="359"/>
      <c r="D1512" s="359"/>
      <c r="E1512" s="359"/>
      <c r="F1512" s="359"/>
      <c r="G1512" s="359"/>
      <c r="H1512" s="359"/>
      <c r="I1512" s="359"/>
      <c r="J1512" s="359"/>
      <c r="K1512" s="359"/>
      <c r="L1512" s="359"/>
      <c r="M1512" s="359"/>
      <c r="N1512" s="359"/>
      <c r="O1512" s="359"/>
      <c r="P1512" s="359"/>
      <c r="Q1512" s="359"/>
      <c r="R1512" s="359"/>
      <c r="S1512" s="359"/>
      <c r="T1512" s="359"/>
      <c r="U1512" s="359"/>
      <c r="V1512" s="359"/>
      <c r="W1512" s="359"/>
      <c r="X1512" s="359"/>
      <c r="Y1512" s="359"/>
      <c r="Z1512" s="359"/>
      <c r="AA1512" s="359"/>
    </row>
    <row r="1513" spans="1:27">
      <c r="A1513" s="359"/>
      <c r="B1513" s="359"/>
      <c r="C1513" s="359"/>
      <c r="D1513" s="359"/>
      <c r="E1513" s="359"/>
      <c r="F1513" s="359"/>
      <c r="G1513" s="359"/>
      <c r="H1513" s="359"/>
      <c r="I1513" s="359"/>
      <c r="J1513" s="359"/>
      <c r="K1513" s="359"/>
      <c r="L1513" s="359"/>
      <c r="M1513" s="359"/>
      <c r="N1513" s="359"/>
      <c r="O1513" s="359"/>
      <c r="P1513" s="359"/>
      <c r="Q1513" s="359"/>
      <c r="R1513" s="359"/>
      <c r="S1513" s="359"/>
      <c r="T1513" s="359"/>
      <c r="U1513" s="359"/>
      <c r="V1513" s="359"/>
      <c r="W1513" s="359"/>
      <c r="X1513" s="359"/>
      <c r="Y1513" s="359"/>
      <c r="Z1513" s="359"/>
      <c r="AA1513" s="359"/>
    </row>
    <row r="1514" spans="1:27">
      <c r="A1514" s="359"/>
      <c r="B1514" s="359"/>
      <c r="C1514" s="359"/>
      <c r="D1514" s="359"/>
      <c r="E1514" s="359"/>
      <c r="F1514" s="359"/>
      <c r="G1514" s="359"/>
      <c r="H1514" s="359"/>
      <c r="I1514" s="359"/>
      <c r="J1514" s="359"/>
      <c r="K1514" s="359"/>
      <c r="L1514" s="359"/>
      <c r="M1514" s="359"/>
      <c r="N1514" s="359"/>
      <c r="O1514" s="359"/>
      <c r="P1514" s="359"/>
      <c r="Q1514" s="359"/>
      <c r="R1514" s="359"/>
      <c r="S1514" s="359"/>
      <c r="T1514" s="359"/>
      <c r="U1514" s="359"/>
      <c r="V1514" s="359"/>
      <c r="W1514" s="359"/>
      <c r="X1514" s="359"/>
      <c r="Y1514" s="359"/>
      <c r="Z1514" s="359"/>
      <c r="AA1514" s="359"/>
    </row>
    <row r="1515" spans="1:27">
      <c r="A1515" s="359"/>
      <c r="B1515" s="359"/>
      <c r="C1515" s="359"/>
      <c r="D1515" s="359"/>
      <c r="E1515" s="359"/>
      <c r="F1515" s="359"/>
      <c r="G1515" s="359"/>
      <c r="H1515" s="359"/>
      <c r="I1515" s="359"/>
      <c r="J1515" s="359"/>
      <c r="K1515" s="359"/>
      <c r="L1515" s="359"/>
      <c r="M1515" s="359"/>
      <c r="N1515" s="359"/>
      <c r="O1515" s="359"/>
      <c r="P1515" s="359"/>
      <c r="Q1515" s="359"/>
      <c r="R1515" s="359"/>
      <c r="S1515" s="359"/>
      <c r="T1515" s="359"/>
      <c r="U1515" s="359"/>
      <c r="V1515" s="359"/>
      <c r="W1515" s="359"/>
      <c r="X1515" s="359"/>
      <c r="Y1515" s="359"/>
      <c r="Z1515" s="359"/>
      <c r="AA1515" s="359"/>
    </row>
    <row r="1516" spans="1:27">
      <c r="A1516" s="359"/>
      <c r="B1516" s="359"/>
      <c r="C1516" s="359"/>
      <c r="D1516" s="359"/>
      <c r="E1516" s="359"/>
      <c r="F1516" s="359"/>
      <c r="G1516" s="359"/>
      <c r="H1516" s="359"/>
      <c r="I1516" s="359"/>
      <c r="J1516" s="359"/>
      <c r="K1516" s="359"/>
      <c r="L1516" s="359"/>
      <c r="M1516" s="359"/>
      <c r="N1516" s="359"/>
      <c r="O1516" s="359"/>
      <c r="P1516" s="359"/>
      <c r="Q1516" s="359"/>
      <c r="R1516" s="359"/>
      <c r="S1516" s="359"/>
      <c r="T1516" s="359"/>
      <c r="U1516" s="359"/>
      <c r="V1516" s="359"/>
      <c r="W1516" s="359"/>
      <c r="X1516" s="359"/>
      <c r="Y1516" s="359"/>
      <c r="Z1516" s="359"/>
      <c r="AA1516" s="359"/>
    </row>
    <row r="1517" spans="1:27">
      <c r="A1517" s="359"/>
      <c r="B1517" s="359"/>
      <c r="C1517" s="359"/>
      <c r="D1517" s="359"/>
      <c r="E1517" s="359"/>
      <c r="F1517" s="359"/>
      <c r="G1517" s="359"/>
      <c r="H1517" s="359"/>
      <c r="I1517" s="359"/>
      <c r="J1517" s="359"/>
      <c r="K1517" s="359"/>
      <c r="L1517" s="359"/>
      <c r="M1517" s="359"/>
      <c r="N1517" s="359"/>
      <c r="O1517" s="359"/>
      <c r="P1517" s="359"/>
      <c r="Q1517" s="359"/>
      <c r="R1517" s="359"/>
      <c r="S1517" s="359"/>
      <c r="T1517" s="359"/>
      <c r="U1517" s="359"/>
      <c r="V1517" s="359"/>
      <c r="W1517" s="359"/>
      <c r="X1517" s="359"/>
      <c r="Y1517" s="359"/>
      <c r="Z1517" s="359"/>
      <c r="AA1517" s="359"/>
    </row>
    <row r="1518" spans="1:27">
      <c r="A1518" s="359"/>
      <c r="B1518" s="359"/>
      <c r="C1518" s="359"/>
      <c r="D1518" s="359"/>
      <c r="E1518" s="359"/>
      <c r="F1518" s="359"/>
      <c r="G1518" s="359"/>
      <c r="H1518" s="359"/>
      <c r="I1518" s="359"/>
      <c r="J1518" s="359"/>
      <c r="K1518" s="359"/>
      <c r="L1518" s="359"/>
      <c r="M1518" s="359"/>
      <c r="N1518" s="359"/>
      <c r="O1518" s="359"/>
      <c r="P1518" s="359"/>
      <c r="Q1518" s="359"/>
      <c r="R1518" s="359"/>
      <c r="S1518" s="359"/>
      <c r="T1518" s="359"/>
      <c r="U1518" s="359"/>
      <c r="V1518" s="359"/>
      <c r="W1518" s="359"/>
      <c r="X1518" s="359"/>
      <c r="Y1518" s="359"/>
      <c r="Z1518" s="359"/>
      <c r="AA1518" s="359"/>
    </row>
    <row r="1519" spans="1:27">
      <c r="A1519" s="359"/>
      <c r="B1519" s="359"/>
      <c r="C1519" s="359"/>
      <c r="D1519" s="359"/>
      <c r="E1519" s="359"/>
      <c r="F1519" s="359"/>
      <c r="G1519" s="359"/>
      <c r="H1519" s="359"/>
      <c r="I1519" s="359"/>
      <c r="J1519" s="359"/>
      <c r="K1519" s="359"/>
      <c r="L1519" s="359"/>
      <c r="M1519" s="359"/>
      <c r="N1519" s="359"/>
      <c r="O1519" s="359"/>
      <c r="P1519" s="359"/>
      <c r="Q1519" s="359"/>
      <c r="R1519" s="359"/>
      <c r="S1519" s="359"/>
      <c r="T1519" s="359"/>
      <c r="U1519" s="359"/>
      <c r="V1519" s="359"/>
      <c r="W1519" s="359"/>
      <c r="X1519" s="359"/>
      <c r="Y1519" s="359"/>
      <c r="Z1519" s="359"/>
      <c r="AA1519" s="359"/>
    </row>
    <row r="1520" spans="1:27">
      <c r="A1520" s="359"/>
      <c r="B1520" s="359"/>
      <c r="C1520" s="359"/>
      <c r="D1520" s="359"/>
      <c r="E1520" s="359"/>
      <c r="F1520" s="359"/>
      <c r="G1520" s="359"/>
      <c r="H1520" s="359"/>
      <c r="I1520" s="359"/>
      <c r="J1520" s="359"/>
      <c r="K1520" s="359"/>
      <c r="L1520" s="359"/>
      <c r="M1520" s="359"/>
      <c r="N1520" s="359"/>
      <c r="O1520" s="359"/>
      <c r="P1520" s="359"/>
      <c r="Q1520" s="359"/>
      <c r="R1520" s="359"/>
      <c r="S1520" s="359"/>
      <c r="T1520" s="359"/>
      <c r="U1520" s="359"/>
      <c r="V1520" s="359"/>
      <c r="W1520" s="359"/>
      <c r="X1520" s="359"/>
      <c r="Y1520" s="359"/>
      <c r="Z1520" s="359"/>
      <c r="AA1520" s="359"/>
    </row>
    <row r="1521" spans="1:27">
      <c r="A1521" s="359"/>
      <c r="B1521" s="359"/>
      <c r="C1521" s="359"/>
      <c r="D1521" s="359"/>
      <c r="E1521" s="359"/>
      <c r="F1521" s="359"/>
      <c r="G1521" s="359"/>
      <c r="H1521" s="359"/>
      <c r="I1521" s="359"/>
      <c r="J1521" s="359"/>
      <c r="K1521" s="359"/>
      <c r="L1521" s="359"/>
      <c r="M1521" s="359"/>
      <c r="N1521" s="359"/>
      <c r="O1521" s="359"/>
      <c r="P1521" s="359"/>
      <c r="Q1521" s="359"/>
      <c r="R1521" s="359"/>
      <c r="S1521" s="359"/>
      <c r="T1521" s="359"/>
      <c r="U1521" s="359"/>
      <c r="V1521" s="359"/>
      <c r="W1521" s="359"/>
      <c r="X1521" s="359"/>
      <c r="Y1521" s="359"/>
      <c r="Z1521" s="359"/>
      <c r="AA1521" s="359"/>
    </row>
    <row r="1522" spans="1:27">
      <c r="A1522" s="359"/>
      <c r="B1522" s="359"/>
      <c r="C1522" s="359"/>
      <c r="D1522" s="359"/>
      <c r="E1522" s="359"/>
      <c r="F1522" s="359"/>
      <c r="G1522" s="359"/>
      <c r="H1522" s="359"/>
      <c r="I1522" s="359"/>
      <c r="J1522" s="359"/>
      <c r="K1522" s="359"/>
      <c r="L1522" s="359"/>
      <c r="M1522" s="359"/>
      <c r="N1522" s="359"/>
      <c r="O1522" s="359"/>
      <c r="P1522" s="359"/>
      <c r="Q1522" s="359"/>
      <c r="R1522" s="359"/>
      <c r="S1522" s="359"/>
      <c r="T1522" s="359"/>
      <c r="U1522" s="359"/>
      <c r="V1522" s="359"/>
      <c r="W1522" s="359"/>
      <c r="X1522" s="359"/>
      <c r="Y1522" s="359"/>
      <c r="Z1522" s="359"/>
      <c r="AA1522" s="359"/>
    </row>
    <row r="1523" spans="1:27">
      <c r="A1523" s="359"/>
      <c r="B1523" s="359"/>
      <c r="C1523" s="359"/>
      <c r="D1523" s="359"/>
      <c r="E1523" s="359"/>
      <c r="F1523" s="359"/>
      <c r="G1523" s="359"/>
      <c r="H1523" s="359"/>
      <c r="I1523" s="359"/>
      <c r="J1523" s="359"/>
      <c r="K1523" s="359"/>
      <c r="L1523" s="359"/>
      <c r="M1523" s="359"/>
      <c r="N1523" s="359"/>
      <c r="O1523" s="359"/>
      <c r="P1523" s="359"/>
      <c r="Q1523" s="359"/>
      <c r="R1523" s="359"/>
      <c r="S1523" s="359"/>
      <c r="T1523" s="359"/>
      <c r="U1523" s="359"/>
      <c r="V1523" s="359"/>
      <c r="W1523" s="359"/>
      <c r="X1523" s="359"/>
      <c r="Y1523" s="359"/>
      <c r="Z1523" s="359"/>
      <c r="AA1523" s="359"/>
    </row>
    <row r="1524" spans="1:27">
      <c r="A1524" s="359"/>
      <c r="B1524" s="359"/>
      <c r="C1524" s="359"/>
      <c r="D1524" s="359"/>
      <c r="E1524" s="359"/>
      <c r="F1524" s="359"/>
      <c r="G1524" s="359"/>
      <c r="H1524" s="359"/>
      <c r="I1524" s="359"/>
      <c r="J1524" s="359"/>
      <c r="K1524" s="359"/>
      <c r="L1524" s="359"/>
      <c r="M1524" s="359"/>
      <c r="N1524" s="359"/>
      <c r="O1524" s="359"/>
      <c r="P1524" s="359"/>
      <c r="Q1524" s="359"/>
      <c r="R1524" s="359"/>
      <c r="S1524" s="359"/>
      <c r="T1524" s="359"/>
      <c r="U1524" s="359"/>
      <c r="V1524" s="359"/>
      <c r="W1524" s="359"/>
      <c r="X1524" s="359"/>
      <c r="Y1524" s="359"/>
      <c r="Z1524" s="359"/>
      <c r="AA1524" s="359"/>
    </row>
    <row r="1525" spans="1:27">
      <c r="A1525" s="359"/>
      <c r="B1525" s="359"/>
      <c r="C1525" s="359"/>
      <c r="D1525" s="359"/>
      <c r="E1525" s="359"/>
      <c r="F1525" s="359"/>
      <c r="G1525" s="359"/>
      <c r="H1525" s="359"/>
      <c r="I1525" s="359"/>
      <c r="J1525" s="359"/>
      <c r="K1525" s="359"/>
      <c r="L1525" s="359"/>
      <c r="M1525" s="359"/>
      <c r="N1525" s="359"/>
      <c r="O1525" s="359"/>
      <c r="P1525" s="359"/>
      <c r="Q1525" s="359"/>
      <c r="R1525" s="359"/>
      <c r="S1525" s="359"/>
      <c r="T1525" s="359"/>
      <c r="U1525" s="359"/>
      <c r="V1525" s="359"/>
      <c r="W1525" s="359"/>
      <c r="X1525" s="359"/>
      <c r="Y1525" s="359"/>
      <c r="Z1525" s="359"/>
      <c r="AA1525" s="359"/>
    </row>
    <row r="1526" spans="1:27">
      <c r="A1526" s="359"/>
      <c r="B1526" s="359"/>
      <c r="C1526" s="359"/>
      <c r="D1526" s="359"/>
      <c r="E1526" s="359"/>
      <c r="F1526" s="359"/>
      <c r="G1526" s="359"/>
      <c r="H1526" s="359"/>
      <c r="I1526" s="359"/>
      <c r="J1526" s="359"/>
      <c r="K1526" s="359"/>
      <c r="L1526" s="359"/>
      <c r="M1526" s="359"/>
      <c r="N1526" s="359"/>
      <c r="O1526" s="359"/>
      <c r="P1526" s="359"/>
      <c r="Q1526" s="359"/>
      <c r="R1526" s="359"/>
      <c r="S1526" s="359"/>
      <c r="T1526" s="359"/>
      <c r="U1526" s="359"/>
      <c r="V1526" s="359"/>
      <c r="W1526" s="359"/>
      <c r="X1526" s="359"/>
      <c r="Y1526" s="359"/>
      <c r="Z1526" s="359"/>
      <c r="AA1526" s="359"/>
    </row>
    <row r="1527" spans="1:27">
      <c r="A1527" s="359"/>
      <c r="B1527" s="359"/>
      <c r="C1527" s="359"/>
      <c r="D1527" s="359"/>
      <c r="E1527" s="359"/>
      <c r="F1527" s="359"/>
      <c r="G1527" s="359"/>
      <c r="H1527" s="359"/>
      <c r="I1527" s="359"/>
      <c r="J1527" s="359"/>
      <c r="K1527" s="359"/>
      <c r="L1527" s="359"/>
      <c r="M1527" s="359"/>
      <c r="N1527" s="359"/>
      <c r="O1527" s="359"/>
      <c r="P1527" s="359"/>
      <c r="Q1527" s="359"/>
      <c r="R1527" s="359"/>
      <c r="S1527" s="359"/>
      <c r="T1527" s="359"/>
      <c r="U1527" s="359"/>
      <c r="V1527" s="359"/>
      <c r="W1527" s="359"/>
      <c r="X1527" s="359"/>
      <c r="Y1527" s="359"/>
      <c r="Z1527" s="359"/>
      <c r="AA1527" s="359"/>
    </row>
    <row r="1528" spans="1:27">
      <c r="A1528" s="359"/>
      <c r="B1528" s="359"/>
      <c r="C1528" s="359"/>
      <c r="D1528" s="359"/>
      <c r="E1528" s="359"/>
      <c r="F1528" s="359"/>
      <c r="G1528" s="359"/>
      <c r="H1528" s="359"/>
      <c r="I1528" s="359"/>
      <c r="J1528" s="359"/>
      <c r="K1528" s="359"/>
      <c r="L1528" s="359"/>
      <c r="M1528" s="359"/>
      <c r="N1528" s="359"/>
      <c r="O1528" s="359"/>
      <c r="P1528" s="359"/>
      <c r="Q1528" s="359"/>
      <c r="R1528" s="359"/>
      <c r="S1528" s="359"/>
      <c r="T1528" s="359"/>
      <c r="U1528" s="359"/>
      <c r="V1528" s="359"/>
      <c r="W1528" s="359"/>
      <c r="X1528" s="359"/>
      <c r="Y1528" s="359"/>
      <c r="Z1528" s="359"/>
      <c r="AA1528" s="359"/>
    </row>
    <row r="1529" spans="1:27">
      <c r="A1529" s="359"/>
      <c r="B1529" s="359"/>
      <c r="C1529" s="359"/>
      <c r="D1529" s="359"/>
      <c r="E1529" s="359"/>
      <c r="F1529" s="359"/>
      <c r="G1529" s="359"/>
      <c r="H1529" s="359"/>
      <c r="I1529" s="359"/>
      <c r="J1529" s="359"/>
      <c r="K1529" s="359"/>
      <c r="L1529" s="359"/>
      <c r="M1529" s="359"/>
      <c r="N1529" s="359"/>
      <c r="O1529" s="359"/>
      <c r="P1529" s="359"/>
      <c r="Q1529" s="359"/>
      <c r="R1529" s="359"/>
      <c r="S1529" s="359"/>
      <c r="T1529" s="359"/>
      <c r="U1529" s="359"/>
      <c r="V1529" s="359"/>
      <c r="W1529" s="359"/>
      <c r="X1529" s="359"/>
      <c r="Y1529" s="359"/>
      <c r="Z1529" s="359"/>
      <c r="AA1529" s="359"/>
    </row>
    <row r="1530" spans="1:27">
      <c r="A1530" s="359"/>
      <c r="B1530" s="359"/>
      <c r="C1530" s="359"/>
      <c r="D1530" s="359"/>
      <c r="E1530" s="359"/>
      <c r="F1530" s="359"/>
      <c r="G1530" s="359"/>
      <c r="H1530" s="359"/>
      <c r="I1530" s="359"/>
      <c r="J1530" s="359"/>
      <c r="K1530" s="359"/>
      <c r="L1530" s="359"/>
      <c r="M1530" s="359"/>
      <c r="N1530" s="359"/>
      <c r="O1530" s="359"/>
      <c r="P1530" s="359"/>
      <c r="Q1530" s="359"/>
      <c r="R1530" s="359"/>
      <c r="S1530" s="359"/>
      <c r="T1530" s="359"/>
      <c r="U1530" s="359"/>
      <c r="V1530" s="359"/>
      <c r="W1530" s="359"/>
      <c r="X1530" s="359"/>
      <c r="Y1530" s="359"/>
      <c r="Z1530" s="359"/>
      <c r="AA1530" s="359"/>
    </row>
    <row r="1531" spans="1:27">
      <c r="A1531" s="359"/>
      <c r="B1531" s="359"/>
      <c r="C1531" s="359"/>
      <c r="D1531" s="359"/>
      <c r="E1531" s="359"/>
      <c r="F1531" s="359"/>
      <c r="G1531" s="359"/>
      <c r="H1531" s="359"/>
      <c r="I1531" s="359"/>
      <c r="J1531" s="359"/>
      <c r="K1531" s="359"/>
      <c r="L1531" s="359"/>
      <c r="M1531" s="359"/>
      <c r="N1531" s="359"/>
      <c r="O1531" s="359"/>
      <c r="P1531" s="359"/>
      <c r="Q1531" s="359"/>
      <c r="R1531" s="359"/>
      <c r="S1531" s="359"/>
      <c r="T1531" s="359"/>
      <c r="U1531" s="359"/>
      <c r="V1531" s="359"/>
      <c r="W1531" s="359"/>
      <c r="X1531" s="359"/>
      <c r="Y1531" s="359"/>
      <c r="Z1531" s="359"/>
      <c r="AA1531" s="359"/>
    </row>
    <row r="1532" spans="1:27">
      <c r="A1532" s="359"/>
      <c r="B1532" s="359"/>
      <c r="C1532" s="359"/>
      <c r="D1532" s="359"/>
      <c r="E1532" s="359"/>
      <c r="F1532" s="359"/>
      <c r="G1532" s="359"/>
      <c r="H1532" s="359"/>
      <c r="I1532" s="359"/>
      <c r="J1532" s="359"/>
      <c r="K1532" s="359"/>
      <c r="L1532" s="359"/>
      <c r="M1532" s="359"/>
      <c r="N1532" s="359"/>
      <c r="O1532" s="359"/>
      <c r="P1532" s="359"/>
      <c r="Q1532" s="359"/>
      <c r="R1532" s="359"/>
      <c r="S1532" s="359"/>
      <c r="T1532" s="359"/>
      <c r="U1532" s="359"/>
      <c r="V1532" s="359"/>
      <c r="W1532" s="359"/>
      <c r="X1532" s="359"/>
      <c r="Y1532" s="359"/>
      <c r="Z1532" s="359"/>
      <c r="AA1532" s="359"/>
    </row>
    <row r="1533" spans="1:27">
      <c r="A1533" s="359"/>
      <c r="B1533" s="359"/>
      <c r="C1533" s="359"/>
      <c r="D1533" s="359"/>
      <c r="E1533" s="359"/>
      <c r="F1533" s="359"/>
      <c r="G1533" s="359"/>
      <c r="H1533" s="359"/>
      <c r="I1533" s="359"/>
      <c r="J1533" s="359"/>
      <c r="K1533" s="359"/>
      <c r="L1533" s="359"/>
      <c r="M1533" s="359"/>
      <c r="N1533" s="359"/>
      <c r="O1533" s="359"/>
      <c r="P1533" s="359"/>
      <c r="Q1533" s="359"/>
      <c r="R1533" s="359"/>
      <c r="S1533" s="359"/>
      <c r="T1533" s="359"/>
      <c r="U1533" s="359"/>
      <c r="V1533" s="359"/>
      <c r="W1533" s="359"/>
      <c r="X1533" s="359"/>
      <c r="Y1533" s="359"/>
      <c r="Z1533" s="359"/>
      <c r="AA1533" s="359"/>
    </row>
    <row r="1534" spans="1:27">
      <c r="A1534" s="359"/>
      <c r="B1534" s="359"/>
      <c r="C1534" s="359"/>
      <c r="D1534" s="359"/>
      <c r="E1534" s="359"/>
      <c r="F1534" s="359"/>
      <c r="G1534" s="359"/>
      <c r="H1534" s="359"/>
      <c r="I1534" s="359"/>
      <c r="J1534" s="359"/>
      <c r="K1534" s="359"/>
      <c r="L1534" s="359"/>
      <c r="M1534" s="359"/>
      <c r="N1534" s="359"/>
      <c r="O1534" s="359"/>
      <c r="P1534" s="359"/>
      <c r="Q1534" s="359"/>
      <c r="R1534" s="359"/>
      <c r="S1534" s="359"/>
      <c r="T1534" s="359"/>
      <c r="U1534" s="359"/>
      <c r="V1534" s="359"/>
      <c r="W1534" s="359"/>
      <c r="X1534" s="359"/>
      <c r="Y1534" s="359"/>
      <c r="Z1534" s="359"/>
      <c r="AA1534" s="359"/>
    </row>
    <row r="1535" spans="1:27">
      <c r="A1535" s="359"/>
      <c r="B1535" s="359"/>
      <c r="C1535" s="359"/>
      <c r="D1535" s="359"/>
      <c r="E1535" s="359"/>
      <c r="F1535" s="359"/>
      <c r="G1535" s="359"/>
      <c r="H1535" s="359"/>
      <c r="I1535" s="359"/>
      <c r="J1535" s="359"/>
      <c r="K1535" s="359"/>
      <c r="L1535" s="359"/>
      <c r="M1535" s="359"/>
      <c r="N1535" s="359"/>
      <c r="O1535" s="359"/>
      <c r="P1535" s="359"/>
      <c r="Q1535" s="359"/>
      <c r="R1535" s="359"/>
      <c r="S1535" s="359"/>
      <c r="T1535" s="359"/>
      <c r="U1535" s="359"/>
      <c r="V1535" s="359"/>
      <c r="W1535" s="359"/>
      <c r="X1535" s="359"/>
      <c r="Y1535" s="359"/>
      <c r="Z1535" s="359"/>
      <c r="AA1535" s="359"/>
    </row>
    <row r="1536" spans="1:27">
      <c r="A1536" s="359"/>
      <c r="B1536" s="359"/>
      <c r="C1536" s="359"/>
      <c r="D1536" s="359"/>
      <c r="E1536" s="359"/>
      <c r="F1536" s="359"/>
      <c r="G1536" s="359"/>
      <c r="H1536" s="359"/>
      <c r="I1536" s="359"/>
      <c r="J1536" s="359"/>
      <c r="K1536" s="359"/>
      <c r="L1536" s="359"/>
      <c r="M1536" s="359"/>
      <c r="N1536" s="359"/>
      <c r="O1536" s="359"/>
      <c r="P1536" s="359"/>
      <c r="Q1536" s="359"/>
      <c r="R1536" s="359"/>
      <c r="S1536" s="359"/>
      <c r="T1536" s="359"/>
      <c r="U1536" s="359"/>
      <c r="V1536" s="359"/>
      <c r="W1536" s="359"/>
      <c r="X1536" s="359"/>
      <c r="Y1536" s="359"/>
      <c r="Z1536" s="359"/>
      <c r="AA1536" s="359"/>
    </row>
    <row r="1537" spans="1:27">
      <c r="A1537" s="359"/>
      <c r="B1537" s="359"/>
      <c r="C1537" s="359"/>
      <c r="D1537" s="359"/>
      <c r="E1537" s="359"/>
      <c r="F1537" s="359"/>
      <c r="G1537" s="359"/>
      <c r="H1537" s="359"/>
      <c r="I1537" s="359"/>
      <c r="J1537" s="359"/>
      <c r="K1537" s="359"/>
      <c r="L1537" s="359"/>
      <c r="M1537" s="359"/>
      <c r="N1537" s="359"/>
      <c r="O1537" s="359"/>
      <c r="P1537" s="359"/>
      <c r="Q1537" s="359"/>
      <c r="R1537" s="359"/>
      <c r="S1537" s="359"/>
      <c r="T1537" s="359"/>
      <c r="U1537" s="359"/>
      <c r="V1537" s="359"/>
      <c r="W1537" s="359"/>
      <c r="X1537" s="359"/>
      <c r="Y1537" s="359"/>
      <c r="Z1537" s="359"/>
      <c r="AA1537" s="359"/>
    </row>
    <row r="1538" spans="1:27">
      <c r="A1538" s="359"/>
      <c r="B1538" s="359"/>
      <c r="C1538" s="359"/>
      <c r="D1538" s="359"/>
      <c r="E1538" s="359"/>
      <c r="F1538" s="359"/>
      <c r="G1538" s="359"/>
      <c r="H1538" s="359"/>
      <c r="I1538" s="359"/>
      <c r="J1538" s="359"/>
      <c r="K1538" s="359"/>
      <c r="L1538" s="359"/>
      <c r="M1538" s="359"/>
      <c r="N1538" s="359"/>
      <c r="O1538" s="359"/>
      <c r="P1538" s="359"/>
      <c r="Q1538" s="359"/>
      <c r="R1538" s="359"/>
      <c r="S1538" s="359"/>
      <c r="T1538" s="359"/>
      <c r="U1538" s="359"/>
      <c r="V1538" s="359"/>
      <c r="W1538" s="359"/>
      <c r="X1538" s="359"/>
      <c r="Y1538" s="359"/>
      <c r="Z1538" s="359"/>
      <c r="AA1538" s="359"/>
    </row>
    <row r="1539" spans="1:27">
      <c r="A1539" s="359"/>
      <c r="B1539" s="359"/>
      <c r="C1539" s="359"/>
      <c r="D1539" s="359"/>
      <c r="E1539" s="359"/>
      <c r="F1539" s="359"/>
      <c r="G1539" s="359"/>
      <c r="H1539" s="359"/>
      <c r="I1539" s="359"/>
      <c r="J1539" s="359"/>
      <c r="K1539" s="359"/>
      <c r="L1539" s="359"/>
      <c r="M1539" s="359"/>
      <c r="N1539" s="359"/>
      <c r="O1539" s="359"/>
      <c r="P1539" s="359"/>
      <c r="Q1539" s="359"/>
      <c r="R1539" s="359"/>
      <c r="S1539" s="359"/>
      <c r="T1539" s="359"/>
      <c r="U1539" s="359"/>
      <c r="V1539" s="359"/>
      <c r="W1539" s="359"/>
      <c r="X1539" s="359"/>
      <c r="Y1539" s="359"/>
      <c r="Z1539" s="359"/>
      <c r="AA1539" s="359"/>
    </row>
    <row r="1540" spans="1:27">
      <c r="A1540" s="359"/>
      <c r="B1540" s="359"/>
      <c r="C1540" s="359"/>
      <c r="D1540" s="359"/>
      <c r="E1540" s="359"/>
      <c r="F1540" s="359"/>
      <c r="G1540" s="359"/>
      <c r="H1540" s="359"/>
      <c r="I1540" s="359"/>
      <c r="J1540" s="359"/>
      <c r="K1540" s="359"/>
      <c r="L1540" s="359"/>
      <c r="M1540" s="359"/>
      <c r="N1540" s="359"/>
      <c r="O1540" s="359"/>
      <c r="P1540" s="359"/>
      <c r="Q1540" s="359"/>
      <c r="R1540" s="359"/>
      <c r="S1540" s="359"/>
      <c r="T1540" s="359"/>
      <c r="U1540" s="359"/>
      <c r="V1540" s="359"/>
      <c r="W1540" s="359"/>
      <c r="X1540" s="359"/>
      <c r="Y1540" s="359"/>
      <c r="Z1540" s="359"/>
      <c r="AA1540" s="359"/>
    </row>
    <row r="1541" spans="1:27">
      <c r="A1541" s="359"/>
      <c r="B1541" s="359"/>
      <c r="C1541" s="359"/>
      <c r="D1541" s="359"/>
      <c r="E1541" s="359"/>
      <c r="F1541" s="359"/>
      <c r="G1541" s="359"/>
      <c r="H1541" s="359"/>
      <c r="I1541" s="359"/>
      <c r="J1541" s="359"/>
      <c r="K1541" s="359"/>
      <c r="L1541" s="359"/>
      <c r="M1541" s="359"/>
      <c r="N1541" s="359"/>
      <c r="O1541" s="359"/>
      <c r="P1541" s="359"/>
      <c r="Q1541" s="359"/>
      <c r="R1541" s="359"/>
      <c r="S1541" s="359"/>
      <c r="T1541" s="359"/>
      <c r="U1541" s="359"/>
      <c r="V1541" s="359"/>
      <c r="W1541" s="359"/>
      <c r="X1541" s="359"/>
      <c r="Y1541" s="359"/>
      <c r="Z1541" s="359"/>
      <c r="AA1541" s="359"/>
    </row>
    <row r="1542" spans="1:27">
      <c r="A1542" s="359"/>
      <c r="B1542" s="359"/>
      <c r="C1542" s="359"/>
      <c r="D1542" s="359"/>
      <c r="E1542" s="359"/>
      <c r="F1542" s="359"/>
      <c r="G1542" s="359"/>
      <c r="H1542" s="359"/>
      <c r="I1542" s="359"/>
      <c r="J1542" s="359"/>
      <c r="K1542" s="359"/>
      <c r="L1542" s="359"/>
      <c r="M1542" s="359"/>
      <c r="N1542" s="359"/>
      <c r="O1542" s="359"/>
      <c r="P1542" s="359"/>
      <c r="Q1542" s="359"/>
      <c r="R1542" s="359"/>
      <c r="S1542" s="359"/>
      <c r="T1542" s="359"/>
      <c r="U1542" s="359"/>
      <c r="V1542" s="359"/>
      <c r="W1542" s="359"/>
      <c r="X1542" s="359"/>
      <c r="Y1542" s="359"/>
      <c r="Z1542" s="359"/>
      <c r="AA1542" s="359"/>
    </row>
    <row r="1543" spans="1:27">
      <c r="A1543" s="359"/>
      <c r="B1543" s="359"/>
      <c r="C1543" s="359"/>
      <c r="D1543" s="359"/>
      <c r="E1543" s="359"/>
      <c r="F1543" s="359"/>
      <c r="G1543" s="359"/>
      <c r="H1543" s="359"/>
      <c r="I1543" s="359"/>
      <c r="J1543" s="359"/>
      <c r="K1543" s="359"/>
      <c r="L1543" s="359"/>
      <c r="M1543" s="359"/>
      <c r="N1543" s="359"/>
      <c r="O1543" s="359"/>
      <c r="P1543" s="359"/>
      <c r="Q1543" s="359"/>
      <c r="R1543" s="359"/>
      <c r="S1543" s="359"/>
      <c r="T1543" s="359"/>
      <c r="U1543" s="359"/>
      <c r="V1543" s="359"/>
      <c r="W1543" s="359"/>
      <c r="X1543" s="359"/>
      <c r="Y1543" s="359"/>
      <c r="Z1543" s="359"/>
      <c r="AA1543" s="359"/>
    </row>
    <row r="1544" spans="1:27">
      <c r="A1544" s="359"/>
      <c r="B1544" s="359"/>
      <c r="C1544" s="359"/>
      <c r="D1544" s="359"/>
      <c r="E1544" s="359"/>
      <c r="F1544" s="359"/>
      <c r="G1544" s="359"/>
      <c r="H1544" s="359"/>
      <c r="I1544" s="359"/>
      <c r="J1544" s="359"/>
      <c r="K1544" s="359"/>
      <c r="L1544" s="359"/>
      <c r="M1544" s="359"/>
      <c r="N1544" s="359"/>
      <c r="O1544" s="359"/>
      <c r="P1544" s="359"/>
      <c r="Q1544" s="359"/>
      <c r="R1544" s="359"/>
      <c r="S1544" s="359"/>
      <c r="T1544" s="359"/>
      <c r="U1544" s="359"/>
      <c r="V1544" s="359"/>
      <c r="W1544" s="359"/>
      <c r="X1544" s="359"/>
      <c r="Y1544" s="359"/>
      <c r="Z1544" s="359"/>
      <c r="AA1544" s="359"/>
    </row>
    <row r="1545" spans="1:27">
      <c r="A1545" s="359"/>
      <c r="B1545" s="359"/>
      <c r="C1545" s="359"/>
      <c r="D1545" s="359"/>
      <c r="E1545" s="359"/>
      <c r="F1545" s="359"/>
      <c r="G1545" s="359"/>
      <c r="H1545" s="359"/>
      <c r="I1545" s="359"/>
      <c r="J1545" s="359"/>
      <c r="K1545" s="359"/>
      <c r="L1545" s="359"/>
      <c r="M1545" s="359"/>
      <c r="N1545" s="359"/>
      <c r="O1545" s="359"/>
      <c r="P1545" s="359"/>
      <c r="Q1545" s="359"/>
      <c r="R1545" s="359"/>
      <c r="S1545" s="359"/>
      <c r="T1545" s="359"/>
      <c r="U1545" s="359"/>
      <c r="V1545" s="359"/>
      <c r="W1545" s="359"/>
      <c r="X1545" s="359"/>
      <c r="Y1545" s="359"/>
      <c r="Z1545" s="359"/>
      <c r="AA1545" s="359"/>
    </row>
    <row r="1546" spans="1:27">
      <c r="A1546" s="359"/>
      <c r="B1546" s="359"/>
      <c r="C1546" s="359"/>
      <c r="D1546" s="359"/>
      <c r="E1546" s="359"/>
      <c r="F1546" s="359"/>
      <c r="G1546" s="359"/>
      <c r="H1546" s="359"/>
      <c r="I1546" s="359"/>
      <c r="J1546" s="359"/>
      <c r="K1546" s="359"/>
      <c r="L1546" s="359"/>
      <c r="M1546" s="359"/>
      <c r="N1546" s="359"/>
      <c r="O1546" s="359"/>
      <c r="P1546" s="359"/>
      <c r="Q1546" s="359"/>
      <c r="R1546" s="359"/>
      <c r="S1546" s="359"/>
      <c r="T1546" s="359"/>
      <c r="U1546" s="359"/>
      <c r="V1546" s="359"/>
      <c r="W1546" s="359"/>
      <c r="X1546" s="359"/>
      <c r="Y1546" s="359"/>
      <c r="Z1546" s="359"/>
      <c r="AA1546" s="359"/>
    </row>
    <row r="1547" spans="1:27">
      <c r="A1547" s="359"/>
      <c r="B1547" s="359"/>
      <c r="C1547" s="359"/>
      <c r="D1547" s="359"/>
      <c r="E1547" s="359"/>
      <c r="F1547" s="359"/>
      <c r="G1547" s="359"/>
      <c r="H1547" s="359"/>
      <c r="I1547" s="359"/>
      <c r="J1547" s="359"/>
      <c r="K1547" s="359"/>
      <c r="L1547" s="359"/>
      <c r="M1547" s="359"/>
      <c r="N1547" s="359"/>
      <c r="O1547" s="359"/>
      <c r="P1547" s="359"/>
      <c r="Q1547" s="359"/>
      <c r="R1547" s="359"/>
      <c r="S1547" s="359"/>
      <c r="T1547" s="359"/>
      <c r="U1547" s="359"/>
      <c r="V1547" s="359"/>
      <c r="W1547" s="359"/>
      <c r="X1547" s="359"/>
      <c r="Y1547" s="359"/>
      <c r="Z1547" s="359"/>
      <c r="AA1547" s="359"/>
    </row>
    <row r="1548" spans="1:27">
      <c r="A1548" s="359"/>
      <c r="B1548" s="359"/>
      <c r="C1548" s="359"/>
      <c r="D1548" s="359"/>
      <c r="E1548" s="359"/>
      <c r="F1548" s="359"/>
      <c r="G1548" s="359"/>
      <c r="H1548" s="359"/>
      <c r="I1548" s="359"/>
      <c r="J1548" s="359"/>
      <c r="K1548" s="359"/>
      <c r="L1548" s="359"/>
      <c r="M1548" s="359"/>
      <c r="N1548" s="359"/>
      <c r="O1548" s="359"/>
      <c r="P1548" s="359"/>
      <c r="Q1548" s="359"/>
      <c r="R1548" s="359"/>
      <c r="S1548" s="359"/>
      <c r="T1548" s="359"/>
      <c r="U1548" s="359"/>
      <c r="V1548" s="359"/>
      <c r="W1548" s="359"/>
      <c r="X1548" s="359"/>
      <c r="Y1548" s="359"/>
      <c r="Z1548" s="359"/>
      <c r="AA1548" s="359"/>
    </row>
    <row r="1549" spans="1:27">
      <c r="A1549" s="359"/>
      <c r="B1549" s="359"/>
      <c r="C1549" s="359"/>
      <c r="D1549" s="359"/>
      <c r="E1549" s="359"/>
      <c r="F1549" s="359"/>
      <c r="G1549" s="359"/>
      <c r="H1549" s="359"/>
      <c r="I1549" s="359"/>
      <c r="J1549" s="359"/>
      <c r="K1549" s="359"/>
      <c r="L1549" s="359"/>
      <c r="M1549" s="359"/>
      <c r="N1549" s="359"/>
      <c r="O1549" s="359"/>
      <c r="P1549" s="359"/>
      <c r="Q1549" s="359"/>
      <c r="R1549" s="359"/>
      <c r="S1549" s="359"/>
      <c r="T1549" s="359"/>
      <c r="U1549" s="359"/>
      <c r="V1549" s="359"/>
      <c r="W1549" s="359"/>
      <c r="X1549" s="359"/>
      <c r="Y1549" s="359"/>
      <c r="Z1549" s="359"/>
      <c r="AA1549" s="359"/>
    </row>
    <row r="1550" spans="1:27">
      <c r="A1550" s="359"/>
      <c r="B1550" s="359"/>
      <c r="C1550" s="359"/>
      <c r="D1550" s="359"/>
      <c r="E1550" s="359"/>
      <c r="F1550" s="359"/>
      <c r="G1550" s="359"/>
      <c r="H1550" s="359"/>
      <c r="I1550" s="359"/>
      <c r="J1550" s="359"/>
      <c r="K1550" s="359"/>
      <c r="L1550" s="359"/>
      <c r="M1550" s="359"/>
      <c r="N1550" s="359"/>
      <c r="O1550" s="359"/>
      <c r="P1550" s="359"/>
      <c r="Q1550" s="359"/>
      <c r="R1550" s="359"/>
      <c r="S1550" s="359"/>
      <c r="T1550" s="359"/>
      <c r="U1550" s="359"/>
      <c r="V1550" s="359"/>
      <c r="W1550" s="359"/>
      <c r="X1550" s="359"/>
      <c r="Y1550" s="359"/>
      <c r="Z1550" s="359"/>
      <c r="AA1550" s="359"/>
    </row>
    <row r="1551" spans="1:27">
      <c r="A1551" s="359"/>
      <c r="B1551" s="359"/>
      <c r="C1551" s="359"/>
      <c r="D1551" s="359"/>
      <c r="E1551" s="359"/>
      <c r="F1551" s="359"/>
      <c r="G1551" s="359"/>
      <c r="H1551" s="359"/>
      <c r="I1551" s="359"/>
      <c r="J1551" s="359"/>
      <c r="K1551" s="359"/>
      <c r="L1551" s="359"/>
      <c r="M1551" s="359"/>
      <c r="N1551" s="359"/>
      <c r="O1551" s="359"/>
      <c r="P1551" s="359"/>
      <c r="Q1551" s="359"/>
      <c r="R1551" s="359"/>
      <c r="S1551" s="359"/>
      <c r="T1551" s="359"/>
      <c r="U1551" s="359"/>
      <c r="V1551" s="359"/>
      <c r="W1551" s="359"/>
      <c r="X1551" s="359"/>
      <c r="Y1551" s="359"/>
      <c r="Z1551" s="359"/>
      <c r="AA1551" s="359"/>
    </row>
    <row r="1552" spans="1:27">
      <c r="A1552" s="359"/>
      <c r="B1552" s="359"/>
      <c r="C1552" s="359"/>
      <c r="D1552" s="359"/>
      <c r="E1552" s="359"/>
      <c r="F1552" s="359"/>
      <c r="G1552" s="359"/>
      <c r="H1552" s="359"/>
      <c r="I1552" s="359"/>
      <c r="J1552" s="359"/>
      <c r="K1552" s="359"/>
      <c r="L1552" s="359"/>
      <c r="M1552" s="359"/>
      <c r="N1552" s="359"/>
      <c r="O1552" s="359"/>
      <c r="P1552" s="359"/>
      <c r="Q1552" s="359"/>
      <c r="R1552" s="359"/>
      <c r="S1552" s="359"/>
      <c r="T1552" s="359"/>
      <c r="U1552" s="359"/>
      <c r="V1552" s="359"/>
      <c r="W1552" s="359"/>
      <c r="X1552" s="359"/>
      <c r="Y1552" s="359"/>
      <c r="Z1552" s="359"/>
      <c r="AA1552" s="359"/>
    </row>
    <row r="1553" spans="1:27">
      <c r="A1553" s="359"/>
      <c r="B1553" s="359"/>
      <c r="C1553" s="359"/>
      <c r="D1553" s="359"/>
      <c r="E1553" s="359"/>
      <c r="F1553" s="359"/>
      <c r="G1553" s="359"/>
      <c r="H1553" s="359"/>
      <c r="I1553" s="359"/>
      <c r="J1553" s="359"/>
      <c r="K1553" s="359"/>
      <c r="L1553" s="359"/>
      <c r="M1553" s="359"/>
      <c r="N1553" s="359"/>
      <c r="O1553" s="359"/>
      <c r="P1553" s="359"/>
      <c r="Q1553" s="359"/>
      <c r="R1553" s="359"/>
      <c r="S1553" s="359"/>
      <c r="T1553" s="359"/>
      <c r="U1553" s="359"/>
      <c r="V1553" s="359"/>
      <c r="W1553" s="359"/>
      <c r="X1553" s="359"/>
      <c r="Y1553" s="359"/>
      <c r="Z1553" s="359"/>
      <c r="AA1553" s="359"/>
    </row>
    <row r="1554" spans="1:27">
      <c r="A1554" s="359"/>
      <c r="B1554" s="359"/>
      <c r="C1554" s="359"/>
      <c r="D1554" s="359"/>
      <c r="E1554" s="359"/>
      <c r="F1554" s="359"/>
      <c r="G1554" s="359"/>
      <c r="H1554" s="359"/>
      <c r="I1554" s="359"/>
      <c r="J1554" s="359"/>
      <c r="K1554" s="359"/>
      <c r="L1554" s="359"/>
      <c r="M1554" s="359"/>
      <c r="N1554" s="359"/>
      <c r="O1554" s="359"/>
      <c r="P1554" s="359"/>
      <c r="Q1554" s="359"/>
      <c r="R1554" s="359"/>
      <c r="S1554" s="359"/>
      <c r="T1554" s="359"/>
      <c r="U1554" s="359"/>
      <c r="V1554" s="359"/>
      <c r="W1554" s="359"/>
      <c r="X1554" s="359"/>
      <c r="Y1554" s="359"/>
      <c r="Z1554" s="359"/>
      <c r="AA1554" s="359"/>
    </row>
    <row r="1555" spans="1:27">
      <c r="A1555" s="359"/>
      <c r="B1555" s="359"/>
      <c r="C1555" s="359"/>
      <c r="D1555" s="359"/>
      <c r="E1555" s="359"/>
      <c r="F1555" s="359"/>
      <c r="G1555" s="359"/>
      <c r="H1555" s="359"/>
      <c r="I1555" s="359"/>
      <c r="J1555" s="359"/>
      <c r="K1555" s="359"/>
      <c r="L1555" s="359"/>
      <c r="M1555" s="359"/>
      <c r="N1555" s="359"/>
      <c r="O1555" s="359"/>
      <c r="P1555" s="359"/>
      <c r="Q1555" s="359"/>
      <c r="R1555" s="359"/>
      <c r="S1555" s="359"/>
      <c r="T1555" s="359"/>
      <c r="U1555" s="359"/>
      <c r="V1555" s="359"/>
      <c r="W1555" s="359"/>
      <c r="X1555" s="359"/>
      <c r="Y1555" s="359"/>
      <c r="Z1555" s="359"/>
      <c r="AA1555" s="359"/>
    </row>
    <row r="1556" spans="1:27">
      <c r="A1556" s="359"/>
      <c r="B1556" s="359"/>
      <c r="C1556" s="359"/>
      <c r="D1556" s="359"/>
      <c r="E1556" s="359"/>
      <c r="F1556" s="359"/>
      <c r="G1556" s="359"/>
      <c r="H1556" s="359"/>
      <c r="I1556" s="359"/>
      <c r="J1556" s="359"/>
      <c r="K1556" s="359"/>
      <c r="L1556" s="359"/>
      <c r="M1556" s="359"/>
      <c r="N1556" s="359"/>
      <c r="O1556" s="359"/>
      <c r="P1556" s="359"/>
      <c r="Q1556" s="359"/>
      <c r="R1556" s="359"/>
      <c r="S1556" s="359"/>
      <c r="T1556" s="359"/>
      <c r="U1556" s="359"/>
      <c r="V1556" s="359"/>
      <c r="W1556" s="359"/>
      <c r="X1556" s="359"/>
      <c r="Y1556" s="359"/>
      <c r="Z1556" s="359"/>
      <c r="AA1556" s="359"/>
    </row>
    <row r="1557" spans="1:27">
      <c r="A1557" s="359"/>
      <c r="B1557" s="359"/>
      <c r="C1557" s="359"/>
      <c r="D1557" s="359"/>
      <c r="E1557" s="359"/>
      <c r="F1557" s="359"/>
      <c r="G1557" s="359"/>
      <c r="H1557" s="359"/>
      <c r="I1557" s="359"/>
      <c r="J1557" s="359"/>
      <c r="K1557" s="359"/>
      <c r="L1557" s="359"/>
      <c r="M1557" s="359"/>
      <c r="N1557" s="359"/>
      <c r="O1557" s="359"/>
      <c r="P1557" s="359"/>
      <c r="Q1557" s="359"/>
      <c r="R1557" s="359"/>
      <c r="S1557" s="359"/>
      <c r="T1557" s="359"/>
      <c r="U1557" s="359"/>
      <c r="V1557" s="359"/>
      <c r="W1557" s="359"/>
      <c r="X1557" s="359"/>
      <c r="Y1557" s="359"/>
      <c r="Z1557" s="359"/>
      <c r="AA1557" s="359"/>
    </row>
    <row r="1558" spans="1:27">
      <c r="A1558" s="359"/>
      <c r="B1558" s="359"/>
      <c r="C1558" s="359"/>
      <c r="D1558" s="359"/>
      <c r="E1558" s="359"/>
      <c r="F1558" s="359"/>
      <c r="G1558" s="359"/>
      <c r="H1558" s="359"/>
      <c r="I1558" s="359"/>
      <c r="J1558" s="359"/>
      <c r="K1558" s="359"/>
      <c r="L1558" s="359"/>
      <c r="M1558" s="359"/>
      <c r="N1558" s="359"/>
      <c r="O1558" s="359"/>
      <c r="P1558" s="359"/>
      <c r="Q1558" s="359"/>
      <c r="R1558" s="359"/>
      <c r="S1558" s="359"/>
      <c r="T1558" s="359"/>
      <c r="U1558" s="359"/>
      <c r="V1558" s="359"/>
      <c r="W1558" s="359"/>
      <c r="X1558" s="359"/>
      <c r="Y1558" s="359"/>
      <c r="Z1558" s="359"/>
      <c r="AA1558" s="359"/>
    </row>
    <row r="1559" spans="1:27">
      <c r="A1559" s="359"/>
      <c r="B1559" s="359"/>
      <c r="C1559" s="359"/>
      <c r="D1559" s="359"/>
      <c r="E1559" s="359"/>
      <c r="F1559" s="359"/>
      <c r="G1559" s="359"/>
      <c r="H1559" s="359"/>
      <c r="I1559" s="359"/>
      <c r="J1559" s="359"/>
      <c r="K1559" s="359"/>
      <c r="L1559" s="359"/>
      <c r="M1559" s="359"/>
      <c r="N1559" s="359"/>
      <c r="O1559" s="359"/>
      <c r="P1559" s="359"/>
      <c r="Q1559" s="359"/>
      <c r="R1559" s="359"/>
      <c r="S1559" s="359"/>
      <c r="T1559" s="359"/>
      <c r="U1559" s="359"/>
      <c r="V1559" s="359"/>
      <c r="W1559" s="359"/>
      <c r="X1559" s="359"/>
      <c r="Y1559" s="359"/>
      <c r="Z1559" s="359"/>
      <c r="AA1559" s="359"/>
    </row>
    <row r="1560" spans="1:27">
      <c r="A1560" s="359"/>
      <c r="B1560" s="359"/>
      <c r="C1560" s="359"/>
      <c r="D1560" s="359"/>
      <c r="E1560" s="359"/>
      <c r="F1560" s="359"/>
      <c r="G1560" s="359"/>
      <c r="H1560" s="359"/>
      <c r="I1560" s="359"/>
      <c r="J1560" s="359"/>
      <c r="K1560" s="359"/>
      <c r="L1560" s="359"/>
      <c r="M1560" s="359"/>
      <c r="N1560" s="359"/>
      <c r="O1560" s="359"/>
      <c r="P1560" s="359"/>
      <c r="Q1560" s="359"/>
      <c r="R1560" s="359"/>
      <c r="S1560" s="359"/>
      <c r="T1560" s="359"/>
      <c r="U1560" s="359"/>
      <c r="V1560" s="359"/>
      <c r="W1560" s="359"/>
      <c r="X1560" s="359"/>
      <c r="Y1560" s="359"/>
      <c r="Z1560" s="359"/>
      <c r="AA1560" s="359"/>
    </row>
    <row r="1561" spans="1:27">
      <c r="A1561" s="359"/>
      <c r="B1561" s="359"/>
      <c r="C1561" s="359"/>
      <c r="D1561" s="359"/>
      <c r="E1561" s="359"/>
      <c r="F1561" s="359"/>
      <c r="G1561" s="359"/>
      <c r="H1561" s="359"/>
      <c r="I1561" s="359"/>
      <c r="J1561" s="359"/>
      <c r="K1561" s="359"/>
      <c r="L1561" s="359"/>
      <c r="M1561" s="359"/>
      <c r="N1561" s="359"/>
      <c r="O1561" s="359"/>
      <c r="P1561" s="359"/>
      <c r="Q1561" s="359"/>
      <c r="R1561" s="359"/>
      <c r="S1561" s="359"/>
      <c r="T1561" s="359"/>
      <c r="U1561" s="359"/>
      <c r="V1561" s="359"/>
      <c r="W1561" s="359"/>
      <c r="X1561" s="359"/>
      <c r="Y1561" s="359"/>
      <c r="Z1561" s="359"/>
      <c r="AA1561" s="359"/>
    </row>
    <row r="1562" spans="1:27">
      <c r="A1562" s="359"/>
      <c r="B1562" s="359"/>
      <c r="C1562" s="359"/>
      <c r="D1562" s="359"/>
      <c r="E1562" s="359"/>
      <c r="F1562" s="359"/>
      <c r="G1562" s="359"/>
      <c r="H1562" s="359"/>
      <c r="I1562" s="359"/>
      <c r="J1562" s="359"/>
      <c r="K1562" s="359"/>
      <c r="L1562" s="359"/>
      <c r="M1562" s="359"/>
      <c r="N1562" s="359"/>
      <c r="O1562" s="359"/>
      <c r="P1562" s="359"/>
      <c r="Q1562" s="359"/>
      <c r="R1562" s="359"/>
      <c r="S1562" s="359"/>
      <c r="T1562" s="359"/>
      <c r="U1562" s="359"/>
      <c r="V1562" s="359"/>
      <c r="W1562" s="359"/>
      <c r="X1562" s="359"/>
      <c r="Y1562" s="359"/>
      <c r="Z1562" s="359"/>
      <c r="AA1562" s="359"/>
    </row>
    <row r="1563" spans="1:27">
      <c r="A1563" s="359"/>
      <c r="B1563" s="359"/>
      <c r="C1563" s="359"/>
      <c r="D1563" s="359"/>
      <c r="E1563" s="359"/>
      <c r="F1563" s="359"/>
      <c r="G1563" s="359"/>
      <c r="H1563" s="359"/>
      <c r="I1563" s="359"/>
      <c r="J1563" s="359"/>
      <c r="K1563" s="359"/>
      <c r="L1563" s="359"/>
      <c r="M1563" s="359"/>
      <c r="N1563" s="359"/>
      <c r="O1563" s="359"/>
      <c r="P1563" s="359"/>
      <c r="Q1563" s="359"/>
      <c r="R1563" s="359"/>
      <c r="S1563" s="359"/>
      <c r="T1563" s="359"/>
      <c r="U1563" s="359"/>
      <c r="V1563" s="359"/>
      <c r="W1563" s="359"/>
      <c r="X1563" s="359"/>
      <c r="Y1563" s="359"/>
      <c r="Z1563" s="359"/>
      <c r="AA1563" s="359"/>
    </row>
    <row r="1564" spans="1:27">
      <c r="A1564" s="359"/>
      <c r="B1564" s="359"/>
      <c r="C1564" s="359"/>
      <c r="D1564" s="359"/>
      <c r="E1564" s="359"/>
      <c r="F1564" s="359"/>
      <c r="G1564" s="359"/>
      <c r="H1564" s="359"/>
      <c r="I1564" s="359"/>
      <c r="J1564" s="359"/>
      <c r="K1564" s="359"/>
      <c r="L1564" s="359"/>
      <c r="M1564" s="359"/>
      <c r="N1564" s="359"/>
      <c r="O1564" s="359"/>
      <c r="P1564" s="359"/>
      <c r="Q1564" s="359"/>
      <c r="R1564" s="359"/>
      <c r="S1564" s="359"/>
      <c r="T1564" s="359"/>
      <c r="U1564" s="359"/>
      <c r="V1564" s="359"/>
      <c r="W1564" s="359"/>
      <c r="X1564" s="359"/>
      <c r="Y1564" s="359"/>
      <c r="Z1564" s="359"/>
      <c r="AA1564" s="359"/>
    </row>
    <row r="1565" spans="1:27">
      <c r="A1565" s="359"/>
      <c r="B1565" s="359"/>
      <c r="C1565" s="359"/>
      <c r="D1565" s="359"/>
      <c r="E1565" s="359"/>
      <c r="F1565" s="359"/>
      <c r="G1565" s="359"/>
      <c r="H1565" s="359"/>
      <c r="I1565" s="359"/>
      <c r="J1565" s="359"/>
      <c r="K1565" s="359"/>
      <c r="L1565" s="359"/>
      <c r="M1565" s="359"/>
      <c r="N1565" s="359"/>
      <c r="O1565" s="359"/>
      <c r="P1565" s="359"/>
      <c r="Q1565" s="359"/>
      <c r="R1565" s="359"/>
      <c r="S1565" s="359"/>
      <c r="T1565" s="359"/>
      <c r="U1565" s="359"/>
      <c r="V1565" s="359"/>
      <c r="W1565" s="359"/>
      <c r="X1565" s="359"/>
      <c r="Y1565" s="359"/>
      <c r="Z1565" s="359"/>
      <c r="AA1565" s="359"/>
    </row>
    <row r="1566" spans="1:27">
      <c r="A1566" s="359"/>
      <c r="B1566" s="359"/>
      <c r="C1566" s="359"/>
      <c r="D1566" s="359"/>
      <c r="E1566" s="359"/>
      <c r="F1566" s="359"/>
      <c r="G1566" s="359"/>
      <c r="H1566" s="359"/>
      <c r="I1566" s="359"/>
      <c r="J1566" s="359"/>
      <c r="K1566" s="359"/>
      <c r="L1566" s="359"/>
      <c r="M1566" s="359"/>
      <c r="N1566" s="359"/>
      <c r="O1566" s="359"/>
      <c r="P1566" s="359"/>
      <c r="Q1566" s="359"/>
      <c r="R1566" s="359"/>
      <c r="S1566" s="359"/>
      <c r="T1566" s="359"/>
      <c r="U1566" s="359"/>
      <c r="V1566" s="359"/>
      <c r="W1566" s="359"/>
      <c r="X1566" s="359"/>
      <c r="Y1566" s="359"/>
      <c r="Z1566" s="359"/>
      <c r="AA1566" s="359"/>
    </row>
    <row r="1567" spans="1:27">
      <c r="A1567" s="359"/>
      <c r="B1567" s="359"/>
      <c r="C1567" s="359"/>
      <c r="D1567" s="359"/>
      <c r="E1567" s="359"/>
      <c r="F1567" s="359"/>
      <c r="G1567" s="359"/>
      <c r="H1567" s="359"/>
      <c r="I1567" s="359"/>
      <c r="J1567" s="359"/>
      <c r="K1567" s="359"/>
      <c r="L1567" s="359"/>
      <c r="M1567" s="359"/>
      <c r="N1567" s="359"/>
      <c r="O1567" s="359"/>
      <c r="P1567" s="359"/>
      <c r="Q1567" s="359"/>
      <c r="R1567" s="359"/>
      <c r="S1567" s="359"/>
      <c r="T1567" s="359"/>
      <c r="U1567" s="359"/>
      <c r="V1567" s="359"/>
      <c r="W1567" s="359"/>
      <c r="X1567" s="359"/>
      <c r="Y1567" s="359"/>
      <c r="Z1567" s="359"/>
      <c r="AA1567" s="359"/>
    </row>
    <row r="1568" spans="1:27">
      <c r="A1568" s="359"/>
      <c r="B1568" s="359"/>
      <c r="C1568" s="359"/>
      <c r="D1568" s="359"/>
      <c r="E1568" s="359"/>
      <c r="F1568" s="359"/>
      <c r="G1568" s="359"/>
      <c r="H1568" s="359"/>
      <c r="I1568" s="359"/>
      <c r="J1568" s="359"/>
      <c r="K1568" s="359"/>
      <c r="L1568" s="359"/>
      <c r="M1568" s="359"/>
      <c r="N1568" s="359"/>
      <c r="O1568" s="359"/>
      <c r="P1568" s="359"/>
      <c r="Q1568" s="359"/>
      <c r="R1568" s="359"/>
      <c r="S1568" s="359"/>
      <c r="T1568" s="359"/>
      <c r="U1568" s="359"/>
      <c r="V1568" s="359"/>
      <c r="W1568" s="359"/>
      <c r="X1568" s="359"/>
      <c r="Y1568" s="359"/>
      <c r="Z1568" s="359"/>
      <c r="AA1568" s="359"/>
    </row>
    <row r="1569" spans="1:27">
      <c r="A1569" s="359"/>
      <c r="B1569" s="359"/>
      <c r="C1569" s="359"/>
      <c r="D1569" s="359"/>
      <c r="E1569" s="359"/>
      <c r="F1569" s="359"/>
      <c r="G1569" s="359"/>
      <c r="H1569" s="359"/>
      <c r="I1569" s="359"/>
      <c r="J1569" s="359"/>
      <c r="K1569" s="359"/>
      <c r="L1569" s="359"/>
      <c r="M1569" s="359"/>
      <c r="N1569" s="359"/>
      <c r="O1569" s="359"/>
      <c r="P1569" s="359"/>
      <c r="Q1569" s="359"/>
      <c r="R1569" s="359"/>
      <c r="S1569" s="359"/>
      <c r="T1569" s="359"/>
      <c r="U1569" s="359"/>
      <c r="V1569" s="359"/>
      <c r="W1569" s="359"/>
      <c r="X1569" s="359"/>
      <c r="Y1569" s="359"/>
      <c r="Z1569" s="359"/>
      <c r="AA1569" s="359"/>
    </row>
    <row r="1570" spans="1:27">
      <c r="A1570" s="359"/>
      <c r="B1570" s="359"/>
      <c r="C1570" s="359"/>
      <c r="D1570" s="359"/>
      <c r="E1570" s="359"/>
      <c r="F1570" s="359"/>
      <c r="G1570" s="359"/>
      <c r="H1570" s="359"/>
      <c r="I1570" s="359"/>
      <c r="J1570" s="359"/>
      <c r="K1570" s="359"/>
      <c r="L1570" s="359"/>
      <c r="M1570" s="359"/>
      <c r="N1570" s="359"/>
      <c r="O1570" s="359"/>
      <c r="P1570" s="359"/>
      <c r="Q1570" s="359"/>
      <c r="R1570" s="359"/>
      <c r="S1570" s="359"/>
      <c r="T1570" s="359"/>
      <c r="U1570" s="359"/>
      <c r="V1570" s="359"/>
      <c r="W1570" s="359"/>
      <c r="X1570" s="359"/>
      <c r="Y1570" s="359"/>
      <c r="Z1570" s="359"/>
      <c r="AA1570" s="359"/>
    </row>
    <row r="1571" spans="1:27">
      <c r="A1571" s="359"/>
      <c r="B1571" s="359"/>
      <c r="C1571" s="359"/>
      <c r="D1571" s="359"/>
      <c r="E1571" s="359"/>
      <c r="F1571" s="359"/>
      <c r="G1571" s="359"/>
      <c r="H1571" s="359"/>
      <c r="I1571" s="359"/>
      <c r="J1571" s="359"/>
      <c r="K1571" s="359"/>
      <c r="L1571" s="359"/>
      <c r="M1571" s="359"/>
      <c r="N1571" s="359"/>
      <c r="O1571" s="359"/>
      <c r="P1571" s="359"/>
      <c r="Q1571" s="359"/>
      <c r="R1571" s="359"/>
      <c r="S1571" s="359"/>
      <c r="T1571" s="359"/>
      <c r="U1571" s="359"/>
      <c r="V1571" s="359"/>
      <c r="W1571" s="359"/>
      <c r="X1571" s="359"/>
      <c r="Y1571" s="359"/>
      <c r="Z1571" s="359"/>
      <c r="AA1571" s="359"/>
    </row>
    <row r="1572" spans="1:27">
      <c r="A1572" s="359"/>
      <c r="B1572" s="359"/>
      <c r="C1572" s="359"/>
      <c r="D1572" s="359"/>
      <c r="E1572" s="359"/>
      <c r="F1572" s="359"/>
      <c r="G1572" s="359"/>
      <c r="H1572" s="359"/>
      <c r="I1572" s="359"/>
      <c r="J1572" s="359"/>
      <c r="K1572" s="359"/>
      <c r="L1572" s="359"/>
      <c r="M1572" s="359"/>
      <c r="N1572" s="359"/>
      <c r="O1572" s="359"/>
      <c r="P1572" s="359"/>
      <c r="Q1572" s="359"/>
      <c r="R1572" s="359"/>
      <c r="S1572" s="359"/>
      <c r="T1572" s="359"/>
      <c r="U1572" s="359"/>
      <c r="V1572" s="359"/>
      <c r="W1572" s="359"/>
      <c r="X1572" s="359"/>
      <c r="Y1572" s="359"/>
      <c r="Z1572" s="359"/>
      <c r="AA1572" s="359"/>
    </row>
    <row r="1573" spans="1:27">
      <c r="A1573" s="359"/>
      <c r="B1573" s="359"/>
      <c r="C1573" s="359"/>
      <c r="D1573" s="359"/>
      <c r="E1573" s="359"/>
      <c r="F1573" s="359"/>
      <c r="G1573" s="359"/>
      <c r="H1573" s="359"/>
      <c r="I1573" s="359"/>
      <c r="J1573" s="359"/>
      <c r="K1573" s="359"/>
      <c r="L1573" s="359"/>
      <c r="M1573" s="359"/>
      <c r="N1573" s="359"/>
      <c r="O1573" s="359"/>
      <c r="P1573" s="359"/>
      <c r="Q1573" s="359"/>
      <c r="R1573" s="359"/>
      <c r="S1573" s="359"/>
      <c r="T1573" s="359"/>
      <c r="U1573" s="359"/>
      <c r="V1573" s="359"/>
      <c r="W1573" s="359"/>
      <c r="X1573" s="359"/>
      <c r="Y1573" s="359"/>
      <c r="Z1573" s="359"/>
      <c r="AA1573" s="359"/>
    </row>
    <row r="1574" spans="1:27">
      <c r="A1574" s="359"/>
      <c r="B1574" s="359"/>
      <c r="C1574" s="359"/>
      <c r="D1574" s="359"/>
      <c r="E1574" s="359"/>
      <c r="F1574" s="359"/>
      <c r="G1574" s="359"/>
      <c r="H1574" s="359"/>
      <c r="I1574" s="359"/>
      <c r="J1574" s="359"/>
      <c r="K1574" s="359"/>
      <c r="L1574" s="359"/>
      <c r="M1574" s="359"/>
      <c r="N1574" s="359"/>
      <c r="O1574" s="359"/>
      <c r="P1574" s="359"/>
      <c r="Q1574" s="359"/>
      <c r="R1574" s="359"/>
      <c r="S1574" s="359"/>
      <c r="T1574" s="359"/>
      <c r="U1574" s="359"/>
      <c r="V1574" s="359"/>
      <c r="W1574" s="359"/>
      <c r="X1574" s="359"/>
      <c r="Y1574" s="359"/>
      <c r="Z1574" s="359"/>
      <c r="AA1574" s="359"/>
    </row>
    <row r="1575" spans="1:27">
      <c r="A1575" s="359"/>
      <c r="B1575" s="359"/>
      <c r="C1575" s="359"/>
      <c r="D1575" s="359"/>
      <c r="E1575" s="359"/>
      <c r="F1575" s="359"/>
      <c r="G1575" s="359"/>
      <c r="H1575" s="359"/>
      <c r="I1575" s="359"/>
      <c r="J1575" s="359"/>
      <c r="K1575" s="359"/>
      <c r="L1575" s="359"/>
      <c r="M1575" s="359"/>
      <c r="N1575" s="359"/>
      <c r="O1575" s="359"/>
      <c r="P1575" s="359"/>
      <c r="Q1575" s="359"/>
      <c r="R1575" s="359"/>
      <c r="S1575" s="359"/>
      <c r="T1575" s="359"/>
      <c r="U1575" s="359"/>
      <c r="V1575" s="359"/>
      <c r="W1575" s="359"/>
      <c r="X1575" s="359"/>
      <c r="Y1575" s="359"/>
      <c r="Z1575" s="359"/>
      <c r="AA1575" s="359"/>
    </row>
    <row r="1576" spans="1:27">
      <c r="A1576" s="359"/>
      <c r="B1576" s="359"/>
      <c r="C1576" s="359"/>
      <c r="D1576" s="359"/>
      <c r="E1576" s="359"/>
      <c r="F1576" s="359"/>
      <c r="G1576" s="359"/>
      <c r="H1576" s="359"/>
      <c r="I1576" s="359"/>
      <c r="J1576" s="359"/>
      <c r="K1576" s="359"/>
      <c r="L1576" s="359"/>
      <c r="M1576" s="359"/>
      <c r="N1576" s="359"/>
      <c r="O1576" s="359"/>
      <c r="P1576" s="359"/>
      <c r="Q1576" s="359"/>
      <c r="R1576" s="359"/>
      <c r="S1576" s="359"/>
      <c r="T1576" s="359"/>
      <c r="U1576" s="359"/>
      <c r="V1576" s="359"/>
      <c r="W1576" s="359"/>
      <c r="X1576" s="359"/>
      <c r="Y1576" s="359"/>
      <c r="Z1576" s="359"/>
      <c r="AA1576" s="359"/>
    </row>
    <row r="1577" spans="1:27">
      <c r="A1577" s="359"/>
      <c r="B1577" s="359"/>
      <c r="C1577" s="359"/>
      <c r="D1577" s="359"/>
      <c r="E1577" s="359"/>
      <c r="F1577" s="359"/>
      <c r="G1577" s="359"/>
      <c r="H1577" s="359"/>
      <c r="I1577" s="359"/>
      <c r="J1577" s="359"/>
      <c r="K1577" s="359"/>
      <c r="L1577" s="359"/>
      <c r="M1577" s="359"/>
      <c r="N1577" s="359"/>
      <c r="O1577" s="359"/>
      <c r="P1577" s="359"/>
      <c r="Q1577" s="359"/>
      <c r="R1577" s="359"/>
      <c r="S1577" s="359"/>
      <c r="T1577" s="359"/>
      <c r="U1577" s="359"/>
      <c r="V1577" s="359"/>
      <c r="W1577" s="359"/>
      <c r="X1577" s="359"/>
      <c r="Y1577" s="359"/>
      <c r="Z1577" s="359"/>
      <c r="AA1577" s="359"/>
    </row>
    <row r="1578" spans="1:27">
      <c r="A1578" s="359"/>
      <c r="B1578" s="359"/>
      <c r="C1578" s="359"/>
      <c r="D1578" s="359"/>
      <c r="E1578" s="359"/>
      <c r="F1578" s="359"/>
      <c r="G1578" s="359"/>
      <c r="H1578" s="359"/>
      <c r="I1578" s="359"/>
      <c r="J1578" s="359"/>
      <c r="K1578" s="359"/>
      <c r="L1578" s="359"/>
      <c r="M1578" s="359"/>
      <c r="N1578" s="359"/>
      <c r="O1578" s="359"/>
      <c r="P1578" s="359"/>
      <c r="Q1578" s="359"/>
      <c r="R1578" s="359"/>
      <c r="S1578" s="359"/>
      <c r="T1578" s="359"/>
      <c r="U1578" s="359"/>
      <c r="V1578" s="359"/>
      <c r="W1578" s="359"/>
      <c r="X1578" s="359"/>
      <c r="Y1578" s="359"/>
      <c r="Z1578" s="359"/>
      <c r="AA1578" s="359"/>
    </row>
    <row r="1579" spans="1:27">
      <c r="A1579" s="359"/>
      <c r="B1579" s="359"/>
      <c r="C1579" s="359"/>
      <c r="D1579" s="359"/>
      <c r="E1579" s="359"/>
      <c r="F1579" s="359"/>
      <c r="G1579" s="359"/>
      <c r="H1579" s="359"/>
      <c r="I1579" s="359"/>
      <c r="J1579" s="359"/>
      <c r="K1579" s="359"/>
      <c r="L1579" s="359"/>
      <c r="M1579" s="359"/>
      <c r="N1579" s="359"/>
      <c r="O1579" s="359"/>
      <c r="P1579" s="359"/>
      <c r="Q1579" s="359"/>
      <c r="R1579" s="359"/>
      <c r="S1579" s="359"/>
      <c r="T1579" s="359"/>
      <c r="U1579" s="359"/>
      <c r="V1579" s="359"/>
      <c r="W1579" s="359"/>
      <c r="X1579" s="359"/>
      <c r="Y1579" s="359"/>
      <c r="Z1579" s="359"/>
      <c r="AA1579" s="359"/>
    </row>
    <row r="1580" spans="1:27">
      <c r="A1580" s="359"/>
      <c r="B1580" s="359"/>
      <c r="C1580" s="359"/>
      <c r="D1580" s="359"/>
      <c r="E1580" s="359"/>
      <c r="F1580" s="359"/>
      <c r="G1580" s="359"/>
      <c r="H1580" s="359"/>
      <c r="I1580" s="359"/>
      <c r="J1580" s="359"/>
      <c r="K1580" s="359"/>
      <c r="L1580" s="359"/>
      <c r="M1580" s="359"/>
      <c r="N1580" s="359"/>
      <c r="O1580" s="359"/>
      <c r="P1580" s="359"/>
      <c r="Q1580" s="359"/>
      <c r="R1580" s="359"/>
      <c r="S1580" s="359"/>
      <c r="T1580" s="359"/>
      <c r="U1580" s="359"/>
      <c r="V1580" s="359"/>
      <c r="W1580" s="359"/>
      <c r="X1580" s="359"/>
      <c r="Y1580" s="359"/>
      <c r="Z1580" s="359"/>
      <c r="AA1580" s="359"/>
    </row>
    <row r="1581" spans="1:27">
      <c r="A1581" s="359"/>
      <c r="B1581" s="359"/>
      <c r="C1581" s="359"/>
      <c r="D1581" s="359"/>
      <c r="E1581" s="359"/>
      <c r="F1581" s="359"/>
      <c r="G1581" s="359"/>
      <c r="H1581" s="359"/>
      <c r="I1581" s="359"/>
      <c r="J1581" s="359"/>
      <c r="K1581" s="359"/>
      <c r="L1581" s="359"/>
      <c r="M1581" s="359"/>
      <c r="N1581" s="359"/>
      <c r="O1581" s="359"/>
      <c r="P1581" s="359"/>
      <c r="Q1581" s="359"/>
      <c r="R1581" s="359"/>
      <c r="S1581" s="359"/>
      <c r="T1581" s="359"/>
      <c r="U1581" s="359"/>
      <c r="V1581" s="359"/>
      <c r="W1581" s="359"/>
      <c r="X1581" s="359"/>
      <c r="Y1581" s="359"/>
      <c r="Z1581" s="359"/>
      <c r="AA1581" s="359"/>
    </row>
    <row r="1582" spans="1:27">
      <c r="A1582" s="359"/>
      <c r="B1582" s="359"/>
      <c r="C1582" s="359"/>
      <c r="D1582" s="359"/>
      <c r="E1582" s="359"/>
      <c r="F1582" s="359"/>
      <c r="G1582" s="359"/>
      <c r="H1582" s="359"/>
      <c r="I1582" s="359"/>
      <c r="J1582" s="359"/>
      <c r="K1582" s="359"/>
      <c r="L1582" s="359"/>
      <c r="M1582" s="359"/>
      <c r="N1582" s="359"/>
      <c r="O1582" s="359"/>
      <c r="P1582" s="359"/>
      <c r="Q1582" s="359"/>
      <c r="R1582" s="359"/>
      <c r="S1582" s="359"/>
      <c r="T1582" s="359"/>
      <c r="U1582" s="359"/>
      <c r="V1582" s="359"/>
      <c r="W1582" s="359"/>
      <c r="X1582" s="359"/>
      <c r="Y1582" s="359"/>
      <c r="Z1582" s="359"/>
      <c r="AA1582" s="359"/>
    </row>
    <row r="1583" spans="1:27">
      <c r="A1583" s="359"/>
      <c r="B1583" s="359"/>
      <c r="C1583" s="359"/>
      <c r="D1583" s="359"/>
      <c r="E1583" s="359"/>
      <c r="F1583" s="359"/>
      <c r="G1583" s="359"/>
      <c r="H1583" s="359"/>
      <c r="I1583" s="359"/>
      <c r="J1583" s="359"/>
      <c r="K1583" s="359"/>
      <c r="L1583" s="359"/>
      <c r="M1583" s="359"/>
      <c r="N1583" s="359"/>
      <c r="O1583" s="359"/>
      <c r="P1583" s="359"/>
      <c r="Q1583" s="359"/>
      <c r="R1583" s="359"/>
      <c r="S1583" s="359"/>
      <c r="T1583" s="359"/>
      <c r="U1583" s="359"/>
      <c r="V1583" s="359"/>
      <c r="W1583" s="359"/>
      <c r="X1583" s="359"/>
      <c r="Y1583" s="359"/>
      <c r="Z1583" s="359"/>
      <c r="AA1583" s="359"/>
    </row>
    <row r="1584" spans="1:27">
      <c r="A1584" s="359"/>
      <c r="B1584" s="359"/>
      <c r="C1584" s="359"/>
      <c r="D1584" s="359"/>
      <c r="E1584" s="359"/>
      <c r="F1584" s="359"/>
      <c r="G1584" s="359"/>
      <c r="H1584" s="359"/>
      <c r="I1584" s="359"/>
      <c r="J1584" s="359"/>
      <c r="K1584" s="359"/>
      <c r="L1584" s="359"/>
      <c r="M1584" s="359"/>
      <c r="N1584" s="359"/>
      <c r="O1584" s="359"/>
      <c r="P1584" s="359"/>
      <c r="Q1584" s="359"/>
      <c r="R1584" s="359"/>
      <c r="S1584" s="359"/>
      <c r="T1584" s="359"/>
      <c r="U1584" s="359"/>
      <c r="V1584" s="359"/>
      <c r="W1584" s="359"/>
      <c r="X1584" s="359"/>
      <c r="Y1584" s="359"/>
      <c r="Z1584" s="359"/>
      <c r="AA1584" s="359"/>
    </row>
    <row r="1585" spans="1:27">
      <c r="A1585" s="359"/>
      <c r="B1585" s="359"/>
      <c r="C1585" s="359"/>
      <c r="D1585" s="359"/>
      <c r="E1585" s="359"/>
      <c r="F1585" s="359"/>
      <c r="G1585" s="359"/>
      <c r="H1585" s="359"/>
      <c r="I1585" s="359"/>
      <c r="J1585" s="359"/>
      <c r="K1585" s="359"/>
      <c r="L1585" s="359"/>
      <c r="M1585" s="359"/>
      <c r="N1585" s="359"/>
      <c r="O1585" s="359"/>
      <c r="P1585" s="359"/>
      <c r="Q1585" s="359"/>
      <c r="R1585" s="359"/>
      <c r="S1585" s="359"/>
      <c r="T1585" s="359"/>
      <c r="U1585" s="359"/>
      <c r="V1585" s="359"/>
      <c r="W1585" s="359"/>
      <c r="X1585" s="359"/>
      <c r="Y1585" s="359"/>
      <c r="Z1585" s="359"/>
      <c r="AA1585" s="359"/>
    </row>
    <row r="1586" spans="1:27">
      <c r="A1586" s="359"/>
      <c r="B1586" s="359"/>
      <c r="C1586" s="359"/>
      <c r="D1586" s="359"/>
      <c r="E1586" s="359"/>
      <c r="F1586" s="359"/>
      <c r="G1586" s="359"/>
      <c r="H1586" s="359"/>
      <c r="I1586" s="359"/>
      <c r="J1586" s="359"/>
      <c r="K1586" s="359"/>
      <c r="L1586" s="359"/>
      <c r="M1586" s="359"/>
      <c r="N1586" s="359"/>
      <c r="O1586" s="359"/>
      <c r="P1586" s="359"/>
      <c r="Q1586" s="359"/>
      <c r="R1586" s="359"/>
      <c r="S1586" s="359"/>
      <c r="T1586" s="359"/>
      <c r="U1586" s="359"/>
      <c r="V1586" s="359"/>
      <c r="W1586" s="359"/>
      <c r="X1586" s="359"/>
      <c r="Y1586" s="359"/>
      <c r="Z1586" s="359"/>
      <c r="AA1586" s="359"/>
    </row>
    <row r="1587" spans="1:27">
      <c r="A1587" s="359"/>
      <c r="B1587" s="359"/>
      <c r="C1587" s="359"/>
      <c r="D1587" s="359"/>
      <c r="E1587" s="359"/>
      <c r="F1587" s="359"/>
      <c r="G1587" s="359"/>
      <c r="H1587" s="359"/>
      <c r="I1587" s="359"/>
      <c r="J1587" s="359"/>
      <c r="K1587" s="359"/>
      <c r="L1587" s="359"/>
      <c r="M1587" s="359"/>
      <c r="N1587" s="359"/>
      <c r="O1587" s="359"/>
      <c r="P1587" s="359"/>
      <c r="Q1587" s="359"/>
      <c r="R1587" s="359"/>
      <c r="S1587" s="359"/>
      <c r="T1587" s="359"/>
      <c r="U1587" s="359"/>
      <c r="V1587" s="359"/>
      <c r="W1587" s="359"/>
      <c r="X1587" s="359"/>
      <c r="Y1587" s="359"/>
      <c r="Z1587" s="359"/>
      <c r="AA1587" s="359"/>
    </row>
    <row r="1588" spans="1:27">
      <c r="A1588" s="359"/>
      <c r="B1588" s="359"/>
      <c r="C1588" s="359"/>
      <c r="D1588" s="359"/>
      <c r="E1588" s="359"/>
      <c r="F1588" s="359"/>
      <c r="G1588" s="359"/>
      <c r="H1588" s="359"/>
      <c r="I1588" s="359"/>
      <c r="J1588" s="359"/>
      <c r="K1588" s="359"/>
      <c r="L1588" s="359"/>
      <c r="M1588" s="359"/>
      <c r="N1588" s="359"/>
      <c r="O1588" s="359"/>
      <c r="P1588" s="359"/>
      <c r="Q1588" s="359"/>
      <c r="R1588" s="359"/>
      <c r="S1588" s="359"/>
      <c r="T1588" s="359"/>
      <c r="U1588" s="359"/>
      <c r="V1588" s="359"/>
      <c r="W1588" s="359"/>
      <c r="X1588" s="359"/>
      <c r="Y1588" s="359"/>
      <c r="Z1588" s="359"/>
      <c r="AA1588" s="359"/>
    </row>
    <row r="1589" spans="1:27">
      <c r="A1589" s="359"/>
      <c r="B1589" s="359"/>
      <c r="C1589" s="359"/>
      <c r="D1589" s="359"/>
      <c r="E1589" s="359"/>
      <c r="F1589" s="359"/>
      <c r="G1589" s="359"/>
      <c r="H1589" s="359"/>
      <c r="I1589" s="359"/>
      <c r="J1589" s="359"/>
      <c r="K1589" s="359"/>
      <c r="L1589" s="359"/>
      <c r="M1589" s="359"/>
      <c r="N1589" s="359"/>
      <c r="O1589" s="359"/>
      <c r="P1589" s="359"/>
      <c r="Q1589" s="359"/>
      <c r="R1589" s="359"/>
      <c r="S1589" s="359"/>
      <c r="T1589" s="359"/>
      <c r="U1589" s="359"/>
      <c r="V1589" s="359"/>
      <c r="W1589" s="359"/>
      <c r="X1589" s="359"/>
      <c r="Y1589" s="359"/>
      <c r="Z1589" s="359"/>
      <c r="AA1589" s="359"/>
    </row>
    <row r="1590" spans="1:27">
      <c r="A1590" s="359"/>
      <c r="B1590" s="359"/>
      <c r="C1590" s="359"/>
      <c r="D1590" s="359"/>
      <c r="E1590" s="359"/>
      <c r="F1590" s="359"/>
      <c r="G1590" s="359"/>
      <c r="H1590" s="359"/>
      <c r="I1590" s="359"/>
      <c r="J1590" s="359"/>
      <c r="K1590" s="359"/>
      <c r="L1590" s="359"/>
      <c r="M1590" s="359"/>
      <c r="N1590" s="359"/>
      <c r="O1590" s="359"/>
      <c r="P1590" s="359"/>
      <c r="Q1590" s="359"/>
      <c r="R1590" s="359"/>
      <c r="S1590" s="359"/>
      <c r="T1590" s="359"/>
      <c r="U1590" s="359"/>
      <c r="V1590" s="359"/>
      <c r="W1590" s="359"/>
      <c r="X1590" s="359"/>
      <c r="Y1590" s="359"/>
      <c r="Z1590" s="359"/>
      <c r="AA1590" s="359"/>
    </row>
    <row r="1591" spans="1:27">
      <c r="A1591" s="359"/>
      <c r="B1591" s="359"/>
      <c r="C1591" s="359"/>
      <c r="D1591" s="359"/>
      <c r="E1591" s="359"/>
      <c r="F1591" s="359"/>
      <c r="G1591" s="359"/>
      <c r="H1591" s="359"/>
      <c r="I1591" s="359"/>
      <c r="J1591" s="359"/>
      <c r="K1591" s="359"/>
      <c r="L1591" s="359"/>
      <c r="M1591" s="359"/>
      <c r="N1591" s="359"/>
      <c r="O1591" s="359"/>
      <c r="P1591" s="359"/>
      <c r="Q1591" s="359"/>
      <c r="R1591" s="359"/>
      <c r="S1591" s="359"/>
      <c r="T1591" s="359"/>
      <c r="U1591" s="359"/>
      <c r="V1591" s="359"/>
      <c r="W1591" s="359"/>
      <c r="X1591" s="359"/>
      <c r="Y1591" s="359"/>
      <c r="Z1591" s="359"/>
      <c r="AA1591" s="359"/>
    </row>
    <row r="1592" spans="1:27">
      <c r="A1592" s="359"/>
      <c r="B1592" s="359"/>
      <c r="C1592" s="359"/>
      <c r="D1592" s="359"/>
      <c r="E1592" s="359"/>
      <c r="F1592" s="359"/>
      <c r="G1592" s="359"/>
      <c r="H1592" s="359"/>
      <c r="I1592" s="359"/>
      <c r="J1592" s="359"/>
      <c r="K1592" s="359"/>
      <c r="L1592" s="359"/>
      <c r="M1592" s="359"/>
      <c r="N1592" s="359"/>
      <c r="O1592" s="359"/>
      <c r="P1592" s="359"/>
      <c r="Q1592" s="359"/>
      <c r="R1592" s="359"/>
      <c r="S1592" s="359"/>
      <c r="T1592" s="359"/>
      <c r="U1592" s="359"/>
      <c r="V1592" s="359"/>
      <c r="W1592" s="359"/>
      <c r="X1592" s="359"/>
      <c r="Y1592" s="359"/>
      <c r="Z1592" s="359"/>
      <c r="AA1592" s="359"/>
    </row>
    <row r="1593" spans="1:27">
      <c r="A1593" s="359"/>
      <c r="B1593" s="359"/>
      <c r="C1593" s="359"/>
      <c r="D1593" s="359"/>
      <c r="E1593" s="359"/>
      <c r="F1593" s="359"/>
      <c r="G1593" s="359"/>
      <c r="H1593" s="359"/>
      <c r="I1593" s="359"/>
      <c r="J1593" s="359"/>
      <c r="K1593" s="359"/>
      <c r="L1593" s="359"/>
      <c r="M1593" s="359"/>
      <c r="N1593" s="359"/>
      <c r="O1593" s="359"/>
      <c r="P1593" s="359"/>
      <c r="Q1593" s="359"/>
      <c r="R1593" s="359"/>
      <c r="S1593" s="359"/>
      <c r="T1593" s="359"/>
      <c r="U1593" s="359"/>
      <c r="V1593" s="359"/>
      <c r="W1593" s="359"/>
      <c r="X1593" s="359"/>
      <c r="Y1593" s="359"/>
      <c r="Z1593" s="359"/>
      <c r="AA1593" s="359"/>
    </row>
    <row r="1594" spans="1:27">
      <c r="A1594" s="359"/>
      <c r="B1594" s="359"/>
      <c r="C1594" s="359"/>
      <c r="D1594" s="359"/>
      <c r="E1594" s="359"/>
      <c r="F1594" s="359"/>
      <c r="G1594" s="359"/>
      <c r="H1594" s="359"/>
      <c r="I1594" s="359"/>
      <c r="J1594" s="359"/>
      <c r="K1594" s="359"/>
      <c r="L1594" s="359"/>
      <c r="M1594" s="359"/>
      <c r="N1594" s="359"/>
      <c r="O1594" s="359"/>
      <c r="P1594" s="359"/>
      <c r="Q1594" s="359"/>
      <c r="R1594" s="359"/>
      <c r="S1594" s="359"/>
      <c r="T1594" s="359"/>
      <c r="U1594" s="359"/>
      <c r="V1594" s="359"/>
      <c r="W1594" s="359"/>
      <c r="X1594" s="359"/>
      <c r="Y1594" s="359"/>
      <c r="Z1594" s="359"/>
      <c r="AA1594" s="359"/>
    </row>
    <row r="1595" spans="1:27">
      <c r="A1595" s="359"/>
      <c r="B1595" s="359"/>
      <c r="C1595" s="359"/>
      <c r="D1595" s="359"/>
      <c r="E1595" s="359"/>
      <c r="F1595" s="359"/>
      <c r="G1595" s="359"/>
      <c r="H1595" s="359"/>
      <c r="I1595" s="359"/>
      <c r="J1595" s="359"/>
      <c r="K1595" s="359"/>
      <c r="L1595" s="359"/>
      <c r="M1595" s="359"/>
      <c r="N1595" s="359"/>
      <c r="O1595" s="359"/>
      <c r="P1595" s="359"/>
      <c r="Q1595" s="359"/>
      <c r="R1595" s="359"/>
      <c r="S1595" s="359"/>
      <c r="T1595" s="359"/>
      <c r="U1595" s="359"/>
      <c r="V1595" s="359"/>
      <c r="W1595" s="359"/>
      <c r="X1595" s="359"/>
      <c r="Y1595" s="359"/>
      <c r="Z1595" s="359"/>
      <c r="AA1595" s="359"/>
    </row>
    <row r="1596" spans="1:27">
      <c r="A1596" s="359"/>
      <c r="B1596" s="359"/>
      <c r="C1596" s="359"/>
      <c r="D1596" s="359"/>
      <c r="E1596" s="359"/>
      <c r="F1596" s="359"/>
      <c r="G1596" s="359"/>
      <c r="H1596" s="359"/>
      <c r="I1596" s="359"/>
      <c r="J1596" s="359"/>
      <c r="K1596" s="359"/>
      <c r="L1596" s="359"/>
      <c r="M1596" s="359"/>
      <c r="N1596" s="359"/>
      <c r="O1596" s="359"/>
      <c r="P1596" s="359"/>
      <c r="Q1596" s="359"/>
      <c r="R1596" s="359"/>
      <c r="S1596" s="359"/>
      <c r="T1596" s="359"/>
      <c r="U1596" s="359"/>
      <c r="V1596" s="359"/>
      <c r="W1596" s="359"/>
      <c r="X1596" s="359"/>
      <c r="Y1596" s="359"/>
      <c r="Z1596" s="359"/>
      <c r="AA1596" s="359"/>
    </row>
    <row r="1597" spans="1:27">
      <c r="A1597" s="359"/>
      <c r="B1597" s="359"/>
      <c r="C1597" s="359"/>
      <c r="D1597" s="359"/>
      <c r="E1597" s="359"/>
      <c r="F1597" s="359"/>
      <c r="G1597" s="359"/>
      <c r="H1597" s="359"/>
      <c r="I1597" s="359"/>
      <c r="J1597" s="359"/>
      <c r="K1597" s="359"/>
      <c r="L1597" s="359"/>
      <c r="M1597" s="359"/>
      <c r="N1597" s="359"/>
      <c r="O1597" s="359"/>
      <c r="P1597" s="359"/>
      <c r="Q1597" s="359"/>
      <c r="R1597" s="359"/>
      <c r="S1597" s="359"/>
      <c r="T1597" s="359"/>
      <c r="U1597" s="359"/>
      <c r="V1597" s="359"/>
      <c r="W1597" s="359"/>
      <c r="X1597" s="359"/>
      <c r="Y1597" s="359"/>
      <c r="Z1597" s="359"/>
      <c r="AA1597" s="359"/>
    </row>
    <row r="1598" spans="1:27">
      <c r="A1598" s="359"/>
      <c r="B1598" s="359"/>
      <c r="C1598" s="359"/>
      <c r="D1598" s="359"/>
      <c r="E1598" s="359"/>
      <c r="F1598" s="359"/>
      <c r="G1598" s="359"/>
      <c r="H1598" s="359"/>
      <c r="I1598" s="359"/>
      <c r="J1598" s="359"/>
      <c r="K1598" s="359"/>
      <c r="L1598" s="359"/>
      <c r="M1598" s="359"/>
      <c r="N1598" s="359"/>
      <c r="O1598" s="359"/>
      <c r="P1598" s="359"/>
      <c r="Q1598" s="359"/>
      <c r="R1598" s="359"/>
      <c r="S1598" s="359"/>
      <c r="T1598" s="359"/>
      <c r="U1598" s="359"/>
      <c r="V1598" s="359"/>
      <c r="W1598" s="359"/>
      <c r="X1598" s="359"/>
      <c r="Y1598" s="359"/>
      <c r="Z1598" s="359"/>
      <c r="AA1598" s="359"/>
    </row>
    <row r="1599" spans="1:27">
      <c r="A1599" s="359"/>
      <c r="B1599" s="359"/>
      <c r="C1599" s="359"/>
      <c r="D1599" s="359"/>
      <c r="E1599" s="359"/>
      <c r="F1599" s="359"/>
      <c r="G1599" s="359"/>
      <c r="H1599" s="359"/>
      <c r="I1599" s="359"/>
      <c r="J1599" s="359"/>
      <c r="K1599" s="359"/>
      <c r="L1599" s="359"/>
      <c r="M1599" s="359"/>
      <c r="N1599" s="359"/>
      <c r="O1599" s="359"/>
      <c r="P1599" s="359"/>
      <c r="Q1599" s="359"/>
      <c r="R1599" s="359"/>
      <c r="S1599" s="359"/>
      <c r="T1599" s="359"/>
      <c r="U1599" s="359"/>
      <c r="V1599" s="359"/>
      <c r="W1599" s="359"/>
      <c r="X1599" s="359"/>
      <c r="Y1599" s="359"/>
      <c r="Z1599" s="359"/>
      <c r="AA1599" s="359"/>
    </row>
    <row r="1600" spans="1:27">
      <c r="A1600" s="359"/>
      <c r="B1600" s="359"/>
      <c r="C1600" s="359"/>
      <c r="D1600" s="359"/>
      <c r="E1600" s="359"/>
      <c r="F1600" s="359"/>
      <c r="G1600" s="359"/>
      <c r="H1600" s="359"/>
      <c r="I1600" s="359"/>
      <c r="J1600" s="359"/>
      <c r="K1600" s="359"/>
      <c r="L1600" s="359"/>
      <c r="M1600" s="359"/>
      <c r="N1600" s="359"/>
      <c r="O1600" s="359"/>
      <c r="P1600" s="359"/>
      <c r="Q1600" s="359"/>
      <c r="R1600" s="359"/>
      <c r="S1600" s="359"/>
      <c r="T1600" s="359"/>
      <c r="U1600" s="359"/>
      <c r="V1600" s="359"/>
      <c r="W1600" s="359"/>
      <c r="X1600" s="359"/>
      <c r="Y1600" s="359"/>
      <c r="Z1600" s="359"/>
      <c r="AA1600" s="359"/>
    </row>
    <row r="1601" spans="1:27">
      <c r="A1601" s="359"/>
      <c r="B1601" s="359"/>
      <c r="C1601" s="359"/>
      <c r="D1601" s="359"/>
      <c r="E1601" s="359"/>
      <c r="F1601" s="359"/>
      <c r="G1601" s="359"/>
      <c r="H1601" s="359"/>
      <c r="I1601" s="359"/>
      <c r="J1601" s="359"/>
      <c r="K1601" s="359"/>
      <c r="L1601" s="359"/>
      <c r="M1601" s="359"/>
      <c r="N1601" s="359"/>
      <c r="O1601" s="359"/>
      <c r="P1601" s="359"/>
      <c r="Q1601" s="359"/>
      <c r="R1601" s="359"/>
      <c r="S1601" s="359"/>
      <c r="T1601" s="359"/>
      <c r="U1601" s="359"/>
      <c r="V1601" s="359"/>
      <c r="W1601" s="359"/>
      <c r="X1601" s="359"/>
      <c r="Y1601" s="359"/>
      <c r="Z1601" s="359"/>
      <c r="AA1601" s="359"/>
    </row>
    <row r="1602" spans="1:27">
      <c r="A1602" s="359"/>
      <c r="B1602" s="359"/>
      <c r="C1602" s="359"/>
      <c r="D1602" s="359"/>
      <c r="E1602" s="359"/>
      <c r="F1602" s="359"/>
      <c r="G1602" s="359"/>
      <c r="H1602" s="359"/>
      <c r="I1602" s="359"/>
      <c r="J1602" s="359"/>
      <c r="K1602" s="359"/>
      <c r="L1602" s="359"/>
      <c r="M1602" s="359"/>
      <c r="N1602" s="359"/>
      <c r="O1602" s="359"/>
      <c r="P1602" s="359"/>
      <c r="Q1602" s="359"/>
      <c r="R1602" s="359"/>
      <c r="S1602" s="359"/>
      <c r="T1602" s="359"/>
      <c r="U1602" s="359"/>
      <c r="V1602" s="359"/>
      <c r="W1602" s="359"/>
      <c r="X1602" s="359"/>
      <c r="Y1602" s="359"/>
      <c r="Z1602" s="359"/>
      <c r="AA1602" s="359"/>
    </row>
    <row r="1603" spans="1:27">
      <c r="A1603" s="359"/>
      <c r="B1603" s="359"/>
      <c r="C1603" s="359"/>
      <c r="D1603" s="359"/>
      <c r="E1603" s="359"/>
      <c r="F1603" s="359"/>
      <c r="G1603" s="359"/>
      <c r="H1603" s="359"/>
      <c r="I1603" s="359"/>
      <c r="J1603" s="359"/>
      <c r="K1603" s="359"/>
      <c r="L1603" s="359"/>
      <c r="M1603" s="359"/>
      <c r="N1603" s="359"/>
      <c r="O1603" s="359"/>
      <c r="P1603" s="359"/>
      <c r="Q1603" s="359"/>
      <c r="R1603" s="359"/>
      <c r="S1603" s="359"/>
      <c r="T1603" s="359"/>
      <c r="U1603" s="359"/>
      <c r="V1603" s="359"/>
      <c r="W1603" s="359"/>
      <c r="X1603" s="359"/>
      <c r="Y1603" s="359"/>
      <c r="Z1603" s="359"/>
      <c r="AA1603" s="359"/>
    </row>
    <row r="1604" spans="1:27">
      <c r="A1604" s="359"/>
      <c r="B1604" s="359"/>
      <c r="C1604" s="359"/>
      <c r="D1604" s="359"/>
      <c r="E1604" s="359"/>
      <c r="F1604" s="359"/>
      <c r="G1604" s="359"/>
      <c r="H1604" s="359"/>
      <c r="I1604" s="359"/>
      <c r="J1604" s="359"/>
      <c r="K1604" s="359"/>
      <c r="L1604" s="359"/>
      <c r="M1604" s="359"/>
      <c r="N1604" s="359"/>
      <c r="O1604" s="359"/>
      <c r="P1604" s="359"/>
      <c r="Q1604" s="359"/>
      <c r="R1604" s="359"/>
      <c r="S1604" s="359"/>
      <c r="T1604" s="359"/>
      <c r="U1604" s="359"/>
      <c r="V1604" s="359"/>
      <c r="W1604" s="359"/>
      <c r="X1604" s="359"/>
      <c r="Y1604" s="359"/>
      <c r="Z1604" s="359"/>
      <c r="AA1604" s="359"/>
    </row>
    <row r="1605" spans="1:27">
      <c r="A1605" s="359"/>
      <c r="B1605" s="359"/>
      <c r="C1605" s="359"/>
      <c r="D1605" s="359"/>
      <c r="E1605" s="359"/>
      <c r="F1605" s="359"/>
      <c r="G1605" s="359"/>
      <c r="H1605" s="359"/>
      <c r="I1605" s="359"/>
      <c r="J1605" s="359"/>
      <c r="K1605" s="359"/>
      <c r="L1605" s="359"/>
      <c r="M1605" s="359"/>
      <c r="N1605" s="359"/>
      <c r="O1605" s="359"/>
      <c r="P1605" s="359"/>
      <c r="Q1605" s="359"/>
      <c r="R1605" s="359"/>
      <c r="S1605" s="359"/>
      <c r="T1605" s="359"/>
      <c r="U1605" s="359"/>
      <c r="V1605" s="359"/>
      <c r="W1605" s="359"/>
      <c r="X1605" s="359"/>
      <c r="Y1605" s="359"/>
      <c r="Z1605" s="359"/>
      <c r="AA1605" s="359"/>
    </row>
    <row r="1606" spans="1:27">
      <c r="A1606" s="359"/>
      <c r="B1606" s="359"/>
      <c r="C1606" s="359"/>
      <c r="D1606" s="359"/>
      <c r="E1606" s="359"/>
      <c r="F1606" s="359"/>
      <c r="G1606" s="359"/>
      <c r="H1606" s="359"/>
      <c r="I1606" s="359"/>
      <c r="J1606" s="359"/>
      <c r="K1606" s="359"/>
      <c r="L1606" s="359"/>
      <c r="M1606" s="359"/>
      <c r="N1606" s="359"/>
      <c r="O1606" s="359"/>
      <c r="P1606" s="359"/>
      <c r="Q1606" s="359"/>
      <c r="R1606" s="359"/>
      <c r="S1606" s="359"/>
      <c r="T1606" s="359"/>
      <c r="U1606" s="359"/>
      <c r="V1606" s="359"/>
      <c r="W1606" s="359"/>
      <c r="X1606" s="359"/>
      <c r="Y1606" s="359"/>
      <c r="Z1606" s="359"/>
      <c r="AA1606" s="359"/>
    </row>
    <row r="1607" spans="1:27">
      <c r="A1607" s="359"/>
      <c r="B1607" s="359"/>
      <c r="C1607" s="359"/>
      <c r="D1607" s="359"/>
      <c r="E1607" s="359"/>
      <c r="F1607" s="359"/>
      <c r="G1607" s="359"/>
      <c r="H1607" s="359"/>
      <c r="I1607" s="359"/>
      <c r="J1607" s="359"/>
      <c r="K1607" s="359"/>
      <c r="L1607" s="359"/>
      <c r="M1607" s="359"/>
      <c r="N1607" s="359"/>
      <c r="O1607" s="359"/>
      <c r="P1607" s="359"/>
      <c r="Q1607" s="359"/>
      <c r="R1607" s="359"/>
      <c r="S1607" s="359"/>
      <c r="T1607" s="359"/>
      <c r="U1607" s="359"/>
      <c r="V1607" s="359"/>
      <c r="W1607" s="359"/>
      <c r="X1607" s="359"/>
      <c r="Y1607" s="359"/>
      <c r="Z1607" s="359"/>
      <c r="AA1607" s="359"/>
    </row>
    <row r="1608" spans="1:27">
      <c r="A1608" s="359"/>
      <c r="B1608" s="359"/>
      <c r="C1608" s="359"/>
      <c r="D1608" s="359"/>
      <c r="E1608" s="359"/>
      <c r="F1608" s="359"/>
      <c r="G1608" s="359"/>
      <c r="H1608" s="359"/>
      <c r="I1608" s="359"/>
      <c r="J1608" s="359"/>
      <c r="K1608" s="359"/>
      <c r="L1608" s="359"/>
      <c r="M1608" s="359"/>
      <c r="N1608" s="359"/>
      <c r="O1608" s="359"/>
      <c r="P1608" s="359"/>
      <c r="Q1608" s="359"/>
      <c r="R1608" s="359"/>
      <c r="S1608" s="359"/>
      <c r="T1608" s="359"/>
      <c r="U1608" s="359"/>
      <c r="V1608" s="359"/>
      <c r="W1608" s="359"/>
      <c r="X1608" s="359"/>
      <c r="Y1608" s="359"/>
      <c r="Z1608" s="359"/>
      <c r="AA1608" s="359"/>
    </row>
    <row r="1609" spans="1:27">
      <c r="A1609" s="359"/>
      <c r="B1609" s="359"/>
      <c r="C1609" s="359"/>
      <c r="D1609" s="359"/>
      <c r="E1609" s="359"/>
      <c r="F1609" s="359"/>
      <c r="G1609" s="359"/>
      <c r="H1609" s="359"/>
      <c r="I1609" s="359"/>
      <c r="J1609" s="359"/>
      <c r="K1609" s="359"/>
      <c r="L1609" s="359"/>
      <c r="M1609" s="359"/>
      <c r="N1609" s="359"/>
      <c r="O1609" s="359"/>
      <c r="P1609" s="359"/>
      <c r="Q1609" s="359"/>
      <c r="R1609" s="359"/>
      <c r="S1609" s="359"/>
      <c r="T1609" s="359"/>
      <c r="U1609" s="359"/>
      <c r="V1609" s="359"/>
      <c r="W1609" s="359"/>
      <c r="X1609" s="359"/>
      <c r="Y1609" s="359"/>
      <c r="Z1609" s="359"/>
      <c r="AA1609" s="359"/>
    </row>
    <row r="1610" spans="1:27">
      <c r="A1610" s="359"/>
      <c r="B1610" s="359"/>
      <c r="C1610" s="359"/>
      <c r="D1610" s="359"/>
      <c r="E1610" s="359"/>
      <c r="F1610" s="359"/>
      <c r="G1610" s="359"/>
      <c r="H1610" s="359"/>
      <c r="I1610" s="359"/>
      <c r="J1610" s="359"/>
      <c r="K1610" s="359"/>
      <c r="L1610" s="359"/>
      <c r="M1610" s="359"/>
      <c r="N1610" s="359"/>
      <c r="O1610" s="359"/>
      <c r="P1610" s="359"/>
      <c r="Q1610" s="359"/>
      <c r="R1610" s="359"/>
      <c r="S1610" s="359"/>
      <c r="T1610" s="359"/>
      <c r="U1610" s="359"/>
      <c r="V1610" s="359"/>
      <c r="W1610" s="359"/>
      <c r="X1610" s="359"/>
      <c r="Y1610" s="359"/>
      <c r="Z1610" s="359"/>
      <c r="AA1610" s="359"/>
    </row>
    <row r="1611" spans="1:27">
      <c r="A1611" s="359"/>
      <c r="B1611" s="359"/>
      <c r="C1611" s="359"/>
      <c r="D1611" s="359"/>
      <c r="E1611" s="359"/>
      <c r="F1611" s="359"/>
      <c r="G1611" s="359"/>
      <c r="H1611" s="359"/>
      <c r="I1611" s="359"/>
      <c r="J1611" s="359"/>
      <c r="K1611" s="359"/>
      <c r="L1611" s="359"/>
      <c r="M1611" s="359"/>
      <c r="N1611" s="359"/>
      <c r="O1611" s="359"/>
      <c r="P1611" s="359"/>
      <c r="Q1611" s="359"/>
      <c r="R1611" s="359"/>
      <c r="S1611" s="359"/>
      <c r="T1611" s="359"/>
      <c r="U1611" s="359"/>
      <c r="V1611" s="359"/>
      <c r="W1611" s="359"/>
      <c r="X1611" s="359"/>
      <c r="Y1611" s="359"/>
      <c r="Z1611" s="359"/>
      <c r="AA1611" s="359"/>
    </row>
    <row r="1612" spans="1:27">
      <c r="A1612" s="359"/>
      <c r="B1612" s="359"/>
      <c r="C1612" s="359"/>
      <c r="D1612" s="359"/>
      <c r="E1612" s="359"/>
      <c r="F1612" s="359"/>
      <c r="G1612" s="359"/>
      <c r="H1612" s="359"/>
      <c r="I1612" s="359"/>
      <c r="J1612" s="359"/>
      <c r="K1612" s="359"/>
      <c r="L1612" s="359"/>
      <c r="M1612" s="359"/>
      <c r="N1612" s="359"/>
      <c r="O1612" s="359"/>
      <c r="P1612" s="359"/>
      <c r="Q1612" s="359"/>
      <c r="R1612" s="359"/>
      <c r="S1612" s="359"/>
      <c r="T1612" s="359"/>
      <c r="U1612" s="359"/>
      <c r="V1612" s="359"/>
      <c r="W1612" s="359"/>
      <c r="X1612" s="359"/>
      <c r="Y1612" s="359"/>
      <c r="Z1612" s="359"/>
      <c r="AA1612" s="359"/>
    </row>
    <row r="1613" spans="1:27">
      <c r="A1613" s="359"/>
      <c r="B1613" s="359"/>
      <c r="C1613" s="359"/>
      <c r="D1613" s="359"/>
      <c r="E1613" s="359"/>
      <c r="F1613" s="359"/>
      <c r="G1613" s="359"/>
      <c r="H1613" s="359"/>
      <c r="I1613" s="359"/>
      <c r="J1613" s="359"/>
      <c r="K1613" s="359"/>
      <c r="L1613" s="359"/>
      <c r="M1613" s="359"/>
      <c r="N1613" s="359"/>
      <c r="O1613" s="359"/>
      <c r="P1613" s="359"/>
      <c r="Q1613" s="359"/>
      <c r="R1613" s="359"/>
      <c r="S1613" s="359"/>
      <c r="T1613" s="359"/>
      <c r="U1613" s="359"/>
      <c r="V1613" s="359"/>
      <c r="W1613" s="359"/>
      <c r="X1613" s="359"/>
      <c r="Y1613" s="359"/>
      <c r="Z1613" s="359"/>
      <c r="AA1613" s="359"/>
    </row>
    <row r="1614" spans="1:27">
      <c r="A1614" s="359"/>
      <c r="B1614" s="359"/>
      <c r="C1614" s="359"/>
      <c r="D1614" s="359"/>
      <c r="E1614" s="359"/>
      <c r="F1614" s="359"/>
      <c r="G1614" s="359"/>
      <c r="H1614" s="359"/>
      <c r="I1614" s="359"/>
      <c r="J1614" s="359"/>
      <c r="K1614" s="359"/>
      <c r="L1614" s="359"/>
      <c r="M1614" s="359"/>
      <c r="N1614" s="359"/>
      <c r="O1614" s="359"/>
      <c r="P1614" s="359"/>
      <c r="Q1614" s="359"/>
      <c r="R1614" s="359"/>
      <c r="S1614" s="359"/>
      <c r="T1614" s="359"/>
      <c r="U1614" s="359"/>
      <c r="V1614" s="359"/>
      <c r="W1614" s="359"/>
      <c r="X1614" s="359"/>
      <c r="Y1614" s="359"/>
      <c r="Z1614" s="359"/>
      <c r="AA1614" s="359"/>
    </row>
    <row r="1615" spans="1:27">
      <c r="A1615" s="359"/>
      <c r="B1615" s="359"/>
      <c r="C1615" s="359"/>
      <c r="D1615" s="359"/>
      <c r="E1615" s="359"/>
      <c r="F1615" s="359"/>
      <c r="G1615" s="359"/>
      <c r="H1615" s="359"/>
      <c r="I1615" s="359"/>
      <c r="J1615" s="359"/>
      <c r="K1615" s="359"/>
      <c r="L1615" s="359"/>
      <c r="M1615" s="359"/>
      <c r="N1615" s="359"/>
      <c r="O1615" s="359"/>
      <c r="P1615" s="359"/>
      <c r="Q1615" s="359"/>
      <c r="R1615" s="359"/>
      <c r="S1615" s="359"/>
      <c r="T1615" s="359"/>
      <c r="U1615" s="359"/>
      <c r="V1615" s="359"/>
      <c r="W1615" s="359"/>
      <c r="X1615" s="359"/>
      <c r="Y1615" s="359"/>
      <c r="Z1615" s="359"/>
      <c r="AA1615" s="359"/>
    </row>
    <row r="1616" spans="1:27">
      <c r="A1616" s="359"/>
      <c r="B1616" s="359"/>
      <c r="C1616" s="359"/>
      <c r="D1616" s="359"/>
      <c r="E1616" s="359"/>
      <c r="F1616" s="359"/>
      <c r="G1616" s="359"/>
      <c r="H1616" s="359"/>
      <c r="I1616" s="359"/>
      <c r="J1616" s="359"/>
      <c r="K1616" s="359"/>
      <c r="L1616" s="359"/>
      <c r="M1616" s="359"/>
      <c r="N1616" s="359"/>
      <c r="O1616" s="359"/>
      <c r="P1616" s="359"/>
      <c r="Q1616" s="359"/>
      <c r="R1616" s="359"/>
      <c r="S1616" s="359"/>
      <c r="T1616" s="359"/>
      <c r="U1616" s="359"/>
      <c r="V1616" s="359"/>
      <c r="W1616" s="359"/>
      <c r="X1616" s="359"/>
      <c r="Y1616" s="359"/>
      <c r="Z1616" s="359"/>
      <c r="AA1616" s="359"/>
    </row>
    <row r="1617" spans="1:27">
      <c r="A1617" s="359"/>
      <c r="B1617" s="359"/>
      <c r="C1617" s="359"/>
      <c r="D1617" s="359"/>
      <c r="E1617" s="359"/>
      <c r="F1617" s="359"/>
      <c r="G1617" s="359"/>
      <c r="H1617" s="359"/>
      <c r="I1617" s="359"/>
      <c r="J1617" s="359"/>
      <c r="K1617" s="359"/>
      <c r="L1617" s="359"/>
      <c r="M1617" s="359"/>
      <c r="N1617" s="359"/>
      <c r="O1617" s="359"/>
      <c r="P1617" s="359"/>
      <c r="Q1617" s="359"/>
      <c r="R1617" s="359"/>
      <c r="S1617" s="359"/>
      <c r="T1617" s="359"/>
      <c r="U1617" s="359"/>
      <c r="V1617" s="359"/>
      <c r="W1617" s="359"/>
      <c r="X1617" s="359"/>
      <c r="Y1617" s="359"/>
      <c r="Z1617" s="359"/>
      <c r="AA1617" s="359"/>
    </row>
    <row r="1618" spans="1:27">
      <c r="A1618" s="359"/>
      <c r="B1618" s="359"/>
      <c r="C1618" s="359"/>
      <c r="D1618" s="359"/>
      <c r="E1618" s="359"/>
      <c r="F1618" s="359"/>
      <c r="G1618" s="359"/>
      <c r="H1618" s="359"/>
      <c r="I1618" s="359"/>
      <c r="J1618" s="359"/>
      <c r="K1618" s="359"/>
      <c r="L1618" s="359"/>
      <c r="M1618" s="359"/>
      <c r="N1618" s="359"/>
      <c r="O1618" s="359"/>
      <c r="P1618" s="359"/>
      <c r="Q1618" s="359"/>
      <c r="R1618" s="359"/>
      <c r="S1618" s="359"/>
      <c r="T1618" s="359"/>
      <c r="U1618" s="359"/>
      <c r="V1618" s="359"/>
      <c r="W1618" s="359"/>
      <c r="X1618" s="359"/>
      <c r="Y1618" s="359"/>
      <c r="Z1618" s="359"/>
      <c r="AA1618" s="359"/>
    </row>
    <row r="1619" spans="1:27">
      <c r="A1619" s="359"/>
      <c r="B1619" s="359"/>
      <c r="C1619" s="359"/>
      <c r="D1619" s="359"/>
      <c r="E1619" s="359"/>
      <c r="F1619" s="359"/>
      <c r="G1619" s="359"/>
      <c r="H1619" s="359"/>
      <c r="I1619" s="359"/>
      <c r="J1619" s="359"/>
      <c r="K1619" s="359"/>
      <c r="L1619" s="359"/>
      <c r="M1619" s="359"/>
      <c r="N1619" s="359"/>
      <c r="O1619" s="359"/>
      <c r="P1619" s="359"/>
      <c r="Q1619" s="359"/>
      <c r="R1619" s="359"/>
      <c r="S1619" s="359"/>
      <c r="T1619" s="359"/>
      <c r="U1619" s="359"/>
      <c r="V1619" s="359"/>
      <c r="W1619" s="359"/>
      <c r="X1619" s="359"/>
      <c r="Y1619" s="359"/>
      <c r="Z1619" s="359"/>
      <c r="AA1619" s="359"/>
    </row>
    <row r="1620" spans="1:27">
      <c r="A1620" s="359"/>
      <c r="B1620" s="359"/>
      <c r="C1620" s="359"/>
      <c r="D1620" s="359"/>
      <c r="E1620" s="359"/>
      <c r="F1620" s="359"/>
      <c r="G1620" s="359"/>
      <c r="H1620" s="359"/>
      <c r="I1620" s="359"/>
      <c r="J1620" s="359"/>
      <c r="K1620" s="359"/>
      <c r="L1620" s="359"/>
      <c r="M1620" s="359"/>
      <c r="N1620" s="359"/>
      <c r="O1620" s="359"/>
      <c r="P1620" s="359"/>
      <c r="Q1620" s="359"/>
      <c r="R1620" s="359"/>
      <c r="S1620" s="359"/>
      <c r="T1620" s="359"/>
      <c r="U1620" s="359"/>
      <c r="V1620" s="359"/>
      <c r="W1620" s="359"/>
      <c r="X1620" s="359"/>
      <c r="Y1620" s="359"/>
      <c r="Z1620" s="359"/>
      <c r="AA1620" s="359"/>
    </row>
    <row r="1621" spans="1:27">
      <c r="A1621" s="359"/>
      <c r="B1621" s="359"/>
      <c r="C1621" s="359"/>
      <c r="D1621" s="359"/>
      <c r="E1621" s="359"/>
      <c r="F1621" s="359"/>
      <c r="G1621" s="359"/>
      <c r="H1621" s="359"/>
      <c r="I1621" s="359"/>
      <c r="J1621" s="359"/>
      <c r="K1621" s="359"/>
      <c r="L1621" s="359"/>
      <c r="M1621" s="359"/>
      <c r="N1621" s="359"/>
      <c r="O1621" s="359"/>
      <c r="P1621" s="359"/>
      <c r="Q1621" s="359"/>
      <c r="R1621" s="359"/>
      <c r="S1621" s="359"/>
      <c r="T1621" s="359"/>
      <c r="U1621" s="359"/>
      <c r="V1621" s="359"/>
      <c r="W1621" s="359"/>
      <c r="X1621" s="359"/>
      <c r="Y1621" s="359"/>
      <c r="Z1621" s="359"/>
      <c r="AA1621" s="359"/>
    </row>
    <row r="1622" spans="1:27">
      <c r="A1622" s="359"/>
      <c r="B1622" s="359"/>
      <c r="C1622" s="359"/>
      <c r="D1622" s="359"/>
      <c r="E1622" s="359"/>
      <c r="F1622" s="359"/>
      <c r="G1622" s="359"/>
      <c r="H1622" s="359"/>
      <c r="I1622" s="359"/>
      <c r="J1622" s="359"/>
      <c r="K1622" s="359"/>
      <c r="L1622" s="359"/>
      <c r="M1622" s="359"/>
      <c r="N1622" s="359"/>
      <c r="O1622" s="359"/>
      <c r="P1622" s="359"/>
      <c r="Q1622" s="359"/>
      <c r="R1622" s="359"/>
      <c r="S1622" s="359"/>
      <c r="T1622" s="359"/>
      <c r="U1622" s="359"/>
      <c r="V1622" s="359"/>
      <c r="W1622" s="359"/>
      <c r="X1622" s="359"/>
      <c r="Y1622" s="359"/>
      <c r="Z1622" s="359"/>
      <c r="AA1622" s="359"/>
    </row>
    <row r="1623" spans="1:27">
      <c r="A1623" s="359"/>
      <c r="B1623" s="359"/>
      <c r="C1623" s="359"/>
      <c r="D1623" s="359"/>
      <c r="E1623" s="359"/>
      <c r="F1623" s="359"/>
      <c r="G1623" s="359"/>
      <c r="H1623" s="359"/>
      <c r="I1623" s="359"/>
      <c r="J1623" s="359"/>
      <c r="K1623" s="359"/>
      <c r="L1623" s="359"/>
      <c r="M1623" s="359"/>
      <c r="N1623" s="359"/>
      <c r="O1623" s="359"/>
      <c r="P1623" s="359"/>
      <c r="Q1623" s="359"/>
      <c r="R1623" s="359"/>
      <c r="S1623" s="359"/>
      <c r="T1623" s="359"/>
      <c r="U1623" s="359"/>
      <c r="V1623" s="359"/>
      <c r="W1623" s="359"/>
      <c r="X1623" s="359"/>
      <c r="Y1623" s="359"/>
      <c r="Z1623" s="359"/>
      <c r="AA1623" s="359"/>
    </row>
    <row r="1624" spans="1:27">
      <c r="A1624" s="359"/>
      <c r="B1624" s="359"/>
      <c r="C1624" s="359"/>
      <c r="D1624" s="359"/>
      <c r="E1624" s="359"/>
      <c r="F1624" s="359"/>
      <c r="G1624" s="359"/>
      <c r="H1624" s="359"/>
      <c r="I1624" s="359"/>
      <c r="J1624" s="359"/>
      <c r="K1624" s="359"/>
      <c r="L1624" s="359"/>
      <c r="M1624" s="359"/>
      <c r="N1624" s="359"/>
      <c r="O1624" s="359"/>
      <c r="P1624" s="359"/>
      <c r="Q1624" s="359"/>
      <c r="R1624" s="359"/>
      <c r="S1624" s="359"/>
      <c r="T1624" s="359"/>
      <c r="U1624" s="359"/>
      <c r="V1624" s="359"/>
      <c r="W1624" s="359"/>
      <c r="X1624" s="359"/>
      <c r="Y1624" s="359"/>
      <c r="Z1624" s="359"/>
      <c r="AA1624" s="359"/>
    </row>
    <row r="1625" spans="1:27">
      <c r="A1625" s="359"/>
      <c r="B1625" s="359"/>
      <c r="C1625" s="359"/>
      <c r="D1625" s="359"/>
      <c r="E1625" s="359"/>
      <c r="F1625" s="359"/>
      <c r="G1625" s="359"/>
      <c r="H1625" s="359"/>
      <c r="I1625" s="359"/>
      <c r="J1625" s="359"/>
      <c r="K1625" s="359"/>
      <c r="L1625" s="359"/>
      <c r="M1625" s="359"/>
      <c r="N1625" s="359"/>
      <c r="O1625" s="359"/>
      <c r="P1625" s="359"/>
      <c r="Q1625" s="359"/>
      <c r="R1625" s="359"/>
      <c r="S1625" s="359"/>
      <c r="T1625" s="359"/>
      <c r="U1625" s="359"/>
      <c r="V1625" s="359"/>
      <c r="W1625" s="359"/>
      <c r="X1625" s="359"/>
      <c r="Y1625" s="359"/>
      <c r="Z1625" s="359"/>
      <c r="AA1625" s="359"/>
    </row>
    <row r="1626" spans="1:27">
      <c r="A1626" s="359"/>
      <c r="B1626" s="359"/>
      <c r="C1626" s="359"/>
      <c r="D1626" s="359"/>
      <c r="E1626" s="359"/>
      <c r="F1626" s="359"/>
      <c r="G1626" s="359"/>
      <c r="H1626" s="359"/>
      <c r="I1626" s="359"/>
      <c r="J1626" s="359"/>
      <c r="K1626" s="359"/>
      <c r="L1626" s="359"/>
      <c r="M1626" s="359"/>
      <c r="N1626" s="359"/>
      <c r="O1626" s="359"/>
      <c r="P1626" s="359"/>
      <c r="Q1626" s="359"/>
      <c r="R1626" s="359"/>
      <c r="S1626" s="359"/>
      <c r="T1626" s="359"/>
      <c r="U1626" s="359"/>
      <c r="V1626" s="359"/>
      <c r="W1626" s="359"/>
      <c r="X1626" s="359"/>
      <c r="Y1626" s="359"/>
      <c r="Z1626" s="359"/>
      <c r="AA1626" s="359"/>
    </row>
    <row r="1627" spans="1:27">
      <c r="A1627" s="359"/>
      <c r="B1627" s="359"/>
      <c r="C1627" s="359"/>
      <c r="D1627" s="359"/>
      <c r="E1627" s="359"/>
      <c r="F1627" s="359"/>
      <c r="G1627" s="359"/>
      <c r="H1627" s="359"/>
      <c r="I1627" s="359"/>
      <c r="J1627" s="359"/>
      <c r="K1627" s="359"/>
      <c r="L1627" s="359"/>
      <c r="M1627" s="359"/>
      <c r="N1627" s="359"/>
      <c r="O1627" s="359"/>
      <c r="P1627" s="359"/>
      <c r="Q1627" s="359"/>
      <c r="R1627" s="359"/>
      <c r="S1627" s="359"/>
      <c r="T1627" s="359"/>
      <c r="U1627" s="359"/>
      <c r="V1627" s="359"/>
      <c r="W1627" s="359"/>
      <c r="X1627" s="359"/>
      <c r="Y1627" s="359"/>
      <c r="Z1627" s="359"/>
      <c r="AA1627" s="359"/>
    </row>
    <row r="1628" spans="1:27">
      <c r="A1628" s="359"/>
      <c r="B1628" s="359"/>
      <c r="C1628" s="359"/>
      <c r="D1628" s="359"/>
      <c r="E1628" s="359"/>
      <c r="F1628" s="359"/>
      <c r="G1628" s="359"/>
      <c r="H1628" s="359"/>
      <c r="I1628" s="359"/>
      <c r="J1628" s="359"/>
      <c r="K1628" s="359"/>
      <c r="L1628" s="359"/>
      <c r="M1628" s="359"/>
      <c r="N1628" s="359"/>
      <c r="O1628" s="359"/>
      <c r="P1628" s="359"/>
      <c r="Q1628" s="359"/>
      <c r="R1628" s="359"/>
      <c r="S1628" s="359"/>
      <c r="T1628" s="359"/>
      <c r="U1628" s="359"/>
      <c r="V1628" s="359"/>
      <c r="W1628" s="359"/>
      <c r="X1628" s="359"/>
      <c r="Y1628" s="359"/>
      <c r="Z1628" s="359"/>
      <c r="AA1628" s="359"/>
    </row>
    <row r="1629" spans="1:27">
      <c r="A1629" s="359"/>
      <c r="B1629" s="359"/>
      <c r="C1629" s="359"/>
      <c r="D1629" s="359"/>
      <c r="E1629" s="359"/>
      <c r="F1629" s="359"/>
      <c r="G1629" s="359"/>
      <c r="H1629" s="359"/>
      <c r="I1629" s="359"/>
      <c r="J1629" s="359"/>
      <c r="K1629" s="359"/>
      <c r="L1629" s="359"/>
      <c r="M1629" s="359"/>
      <c r="N1629" s="359"/>
      <c r="O1629" s="359"/>
      <c r="P1629" s="359"/>
      <c r="Q1629" s="359"/>
      <c r="R1629" s="359"/>
      <c r="S1629" s="359"/>
      <c r="T1629" s="359"/>
      <c r="U1629" s="359"/>
      <c r="V1629" s="359"/>
      <c r="W1629" s="359"/>
      <c r="X1629" s="359"/>
      <c r="Y1629" s="359"/>
      <c r="Z1629" s="359"/>
      <c r="AA1629" s="359"/>
    </row>
    <row r="1630" spans="1:27">
      <c r="A1630" s="359"/>
      <c r="B1630" s="359"/>
      <c r="C1630" s="359"/>
      <c r="D1630" s="359"/>
      <c r="E1630" s="359"/>
      <c r="F1630" s="359"/>
      <c r="G1630" s="359"/>
      <c r="H1630" s="359"/>
      <c r="I1630" s="359"/>
      <c r="J1630" s="359"/>
      <c r="K1630" s="359"/>
      <c r="L1630" s="359"/>
      <c r="M1630" s="359"/>
      <c r="N1630" s="359"/>
      <c r="O1630" s="359"/>
      <c r="P1630" s="359"/>
      <c r="Q1630" s="359"/>
      <c r="R1630" s="359"/>
      <c r="S1630" s="359"/>
      <c r="T1630" s="359"/>
      <c r="U1630" s="359"/>
      <c r="V1630" s="359"/>
      <c r="W1630" s="359"/>
      <c r="X1630" s="359"/>
      <c r="Y1630" s="359"/>
      <c r="Z1630" s="359"/>
      <c r="AA1630" s="359"/>
    </row>
    <row r="1631" spans="1:27">
      <c r="A1631" s="359"/>
      <c r="B1631" s="359"/>
      <c r="C1631" s="359"/>
      <c r="D1631" s="359"/>
      <c r="E1631" s="359"/>
      <c r="F1631" s="359"/>
      <c r="G1631" s="359"/>
      <c r="H1631" s="359"/>
      <c r="I1631" s="359"/>
      <c r="J1631" s="359"/>
      <c r="K1631" s="359"/>
      <c r="L1631" s="359"/>
      <c r="M1631" s="359"/>
      <c r="N1631" s="359"/>
      <c r="O1631" s="359"/>
      <c r="P1631" s="359"/>
      <c r="Q1631" s="359"/>
      <c r="R1631" s="359"/>
      <c r="S1631" s="359"/>
      <c r="T1631" s="359"/>
      <c r="U1631" s="359"/>
      <c r="V1631" s="359"/>
      <c r="W1631" s="359"/>
      <c r="X1631" s="359"/>
      <c r="Y1631" s="359"/>
      <c r="Z1631" s="359"/>
      <c r="AA1631" s="359"/>
    </row>
    <row r="1632" spans="1:27">
      <c r="A1632" s="359"/>
      <c r="B1632" s="359"/>
      <c r="C1632" s="359"/>
      <c r="D1632" s="359"/>
      <c r="E1632" s="359"/>
      <c r="F1632" s="359"/>
      <c r="G1632" s="359"/>
      <c r="H1632" s="359"/>
      <c r="I1632" s="359"/>
      <c r="J1632" s="359"/>
      <c r="K1632" s="359"/>
      <c r="L1632" s="359"/>
      <c r="M1632" s="359"/>
      <c r="N1632" s="359"/>
      <c r="O1632" s="359"/>
      <c r="P1632" s="359"/>
      <c r="Q1632" s="359"/>
      <c r="R1632" s="359"/>
      <c r="S1632" s="359"/>
      <c r="T1632" s="359"/>
      <c r="U1632" s="359"/>
      <c r="V1632" s="359"/>
      <c r="W1632" s="359"/>
      <c r="X1632" s="359"/>
      <c r="Y1632" s="359"/>
      <c r="Z1632" s="359"/>
      <c r="AA1632" s="359"/>
    </row>
    <row r="1633" spans="1:27">
      <c r="A1633" s="359"/>
      <c r="B1633" s="359"/>
      <c r="C1633" s="359"/>
      <c r="D1633" s="359"/>
      <c r="E1633" s="359"/>
      <c r="F1633" s="359"/>
      <c r="G1633" s="359"/>
      <c r="H1633" s="359"/>
      <c r="I1633" s="359"/>
      <c r="J1633" s="359"/>
      <c r="K1633" s="359"/>
      <c r="L1633" s="359"/>
      <c r="M1633" s="359"/>
      <c r="N1633" s="359"/>
      <c r="O1633" s="359"/>
      <c r="P1633" s="359"/>
      <c r="Q1633" s="359"/>
      <c r="R1633" s="359"/>
      <c r="S1633" s="359"/>
      <c r="T1633" s="359"/>
      <c r="U1633" s="359"/>
      <c r="V1633" s="359"/>
      <c r="W1633" s="359"/>
      <c r="X1633" s="359"/>
      <c r="Y1633" s="359"/>
      <c r="Z1633" s="359"/>
      <c r="AA1633" s="359"/>
    </row>
    <row r="1634" spans="1:27">
      <c r="A1634" s="359"/>
      <c r="B1634" s="359"/>
      <c r="C1634" s="359"/>
      <c r="D1634" s="359"/>
      <c r="E1634" s="359"/>
      <c r="F1634" s="359"/>
      <c r="G1634" s="359"/>
      <c r="H1634" s="359"/>
      <c r="I1634" s="359"/>
      <c r="J1634" s="359"/>
      <c r="K1634" s="359"/>
      <c r="L1634" s="359"/>
      <c r="M1634" s="359"/>
      <c r="N1634" s="359"/>
      <c r="O1634" s="359"/>
      <c r="P1634" s="359"/>
      <c r="Q1634" s="359"/>
      <c r="R1634" s="359"/>
      <c r="S1634" s="359"/>
      <c r="T1634" s="359"/>
      <c r="U1634" s="359"/>
      <c r="V1634" s="359"/>
      <c r="W1634" s="359"/>
      <c r="X1634" s="359"/>
      <c r="Y1634" s="359"/>
      <c r="Z1634" s="359"/>
      <c r="AA1634" s="359"/>
    </row>
    <row r="1635" spans="1:27">
      <c r="A1635" s="359"/>
      <c r="B1635" s="359"/>
      <c r="C1635" s="359"/>
      <c r="D1635" s="359"/>
      <c r="E1635" s="359"/>
      <c r="F1635" s="359"/>
      <c r="G1635" s="359"/>
      <c r="H1635" s="359"/>
      <c r="I1635" s="359"/>
      <c r="J1635" s="359"/>
      <c r="K1635" s="359"/>
      <c r="L1635" s="359"/>
      <c r="M1635" s="359"/>
      <c r="N1635" s="359"/>
      <c r="O1635" s="359"/>
      <c r="P1635" s="359"/>
      <c r="Q1635" s="359"/>
      <c r="R1635" s="359"/>
      <c r="S1635" s="359"/>
      <c r="T1635" s="359"/>
      <c r="U1635" s="359"/>
      <c r="V1635" s="359"/>
      <c r="W1635" s="359"/>
      <c r="X1635" s="359"/>
      <c r="Y1635" s="359"/>
      <c r="Z1635" s="359"/>
      <c r="AA1635" s="359"/>
    </row>
    <row r="1636" spans="1:27">
      <c r="A1636" s="359"/>
      <c r="B1636" s="359"/>
      <c r="C1636" s="359"/>
      <c r="D1636" s="359"/>
      <c r="E1636" s="359"/>
      <c r="F1636" s="359"/>
      <c r="G1636" s="359"/>
      <c r="H1636" s="359"/>
      <c r="I1636" s="359"/>
      <c r="J1636" s="359"/>
      <c r="K1636" s="359"/>
      <c r="L1636" s="359"/>
      <c r="M1636" s="359"/>
      <c r="N1636" s="359"/>
      <c r="O1636" s="359"/>
      <c r="P1636" s="359"/>
      <c r="Q1636" s="359"/>
      <c r="R1636" s="359"/>
      <c r="S1636" s="359"/>
      <c r="T1636" s="359"/>
      <c r="U1636" s="359"/>
      <c r="V1636" s="359"/>
      <c r="W1636" s="359"/>
      <c r="X1636" s="359"/>
      <c r="Y1636" s="359"/>
      <c r="Z1636" s="359"/>
      <c r="AA1636" s="359"/>
    </row>
    <row r="1637" spans="1:27">
      <c r="A1637" s="359"/>
      <c r="B1637" s="359"/>
      <c r="C1637" s="359"/>
      <c r="D1637" s="359"/>
      <c r="E1637" s="359"/>
      <c r="F1637" s="359"/>
      <c r="G1637" s="359"/>
      <c r="H1637" s="359"/>
      <c r="I1637" s="359"/>
      <c r="J1637" s="359"/>
      <c r="K1637" s="359"/>
      <c r="L1637" s="359"/>
      <c r="M1637" s="359"/>
      <c r="N1637" s="359"/>
      <c r="O1637" s="359"/>
      <c r="P1637" s="359"/>
      <c r="Q1637" s="359"/>
      <c r="R1637" s="359"/>
      <c r="S1637" s="359"/>
      <c r="T1637" s="359"/>
      <c r="U1637" s="359"/>
      <c r="V1637" s="359"/>
      <c r="W1637" s="359"/>
      <c r="X1637" s="359"/>
      <c r="Y1637" s="359"/>
      <c r="Z1637" s="359"/>
      <c r="AA1637" s="359"/>
    </row>
    <row r="1638" spans="1:27">
      <c r="A1638" s="359"/>
      <c r="B1638" s="359"/>
      <c r="C1638" s="359"/>
      <c r="D1638" s="359"/>
      <c r="E1638" s="359"/>
      <c r="F1638" s="359"/>
      <c r="G1638" s="359"/>
      <c r="H1638" s="359"/>
      <c r="I1638" s="359"/>
      <c r="J1638" s="359"/>
      <c r="K1638" s="359"/>
      <c r="L1638" s="359"/>
      <c r="M1638" s="359"/>
      <c r="N1638" s="359"/>
      <c r="O1638" s="359"/>
      <c r="P1638" s="359"/>
      <c r="Q1638" s="359"/>
      <c r="R1638" s="359"/>
      <c r="S1638" s="359"/>
      <c r="T1638" s="359"/>
      <c r="U1638" s="359"/>
      <c r="V1638" s="359"/>
      <c r="W1638" s="359"/>
      <c r="X1638" s="359"/>
      <c r="Y1638" s="359"/>
      <c r="Z1638" s="359"/>
      <c r="AA1638" s="359"/>
    </row>
    <row r="1639" spans="1:27">
      <c r="A1639" s="359"/>
      <c r="B1639" s="359"/>
      <c r="C1639" s="359"/>
      <c r="D1639" s="359"/>
      <c r="E1639" s="359"/>
      <c r="F1639" s="359"/>
      <c r="G1639" s="359"/>
      <c r="H1639" s="359"/>
      <c r="I1639" s="359"/>
      <c r="J1639" s="359"/>
      <c r="K1639" s="359"/>
      <c r="L1639" s="359"/>
      <c r="M1639" s="359"/>
      <c r="N1639" s="359"/>
      <c r="O1639" s="359"/>
      <c r="P1639" s="359"/>
      <c r="Q1639" s="359"/>
      <c r="R1639" s="359"/>
      <c r="S1639" s="359"/>
      <c r="T1639" s="359"/>
      <c r="U1639" s="359"/>
      <c r="V1639" s="359"/>
      <c r="W1639" s="359"/>
      <c r="X1639" s="359"/>
      <c r="Y1639" s="359"/>
      <c r="Z1639" s="359"/>
      <c r="AA1639" s="359"/>
    </row>
    <row r="1640" spans="1:27">
      <c r="A1640" s="359"/>
      <c r="B1640" s="359"/>
      <c r="C1640" s="359"/>
      <c r="D1640" s="359"/>
      <c r="E1640" s="359"/>
      <c r="F1640" s="359"/>
      <c r="G1640" s="359"/>
      <c r="H1640" s="359"/>
      <c r="I1640" s="359"/>
      <c r="J1640" s="359"/>
      <c r="K1640" s="359"/>
      <c r="L1640" s="359"/>
      <c r="M1640" s="359"/>
      <c r="N1640" s="359"/>
      <c r="O1640" s="359"/>
      <c r="P1640" s="359"/>
      <c r="Q1640" s="359"/>
      <c r="R1640" s="359"/>
      <c r="S1640" s="359"/>
      <c r="T1640" s="359"/>
      <c r="U1640" s="359"/>
      <c r="V1640" s="359"/>
      <c r="W1640" s="359"/>
      <c r="X1640" s="359"/>
      <c r="Y1640" s="359"/>
      <c r="Z1640" s="359"/>
      <c r="AA1640" s="359"/>
    </row>
    <row r="1641" spans="1:27">
      <c r="A1641" s="359"/>
      <c r="B1641" s="359"/>
      <c r="C1641" s="359"/>
      <c r="D1641" s="359"/>
      <c r="E1641" s="359"/>
      <c r="F1641" s="359"/>
      <c r="G1641" s="359"/>
      <c r="H1641" s="359"/>
      <c r="I1641" s="359"/>
      <c r="J1641" s="359"/>
      <c r="K1641" s="359"/>
      <c r="L1641" s="359"/>
      <c r="M1641" s="359"/>
      <c r="N1641" s="359"/>
      <c r="O1641" s="359"/>
      <c r="P1641" s="359"/>
      <c r="Q1641" s="359"/>
      <c r="R1641" s="359"/>
      <c r="S1641" s="359"/>
      <c r="T1641" s="359"/>
      <c r="U1641" s="359"/>
      <c r="V1641" s="359"/>
      <c r="W1641" s="359"/>
      <c r="X1641" s="359"/>
      <c r="Y1641" s="359"/>
      <c r="Z1641" s="359"/>
      <c r="AA1641" s="359"/>
    </row>
    <row r="1642" spans="1:27">
      <c r="A1642" s="359"/>
      <c r="B1642" s="359"/>
      <c r="C1642" s="359"/>
      <c r="D1642" s="359"/>
      <c r="E1642" s="359"/>
      <c r="F1642" s="359"/>
      <c r="G1642" s="359"/>
      <c r="H1642" s="359"/>
      <c r="I1642" s="359"/>
      <c r="J1642" s="359"/>
      <c r="K1642" s="359"/>
      <c r="L1642" s="359"/>
      <c r="M1642" s="359"/>
      <c r="N1642" s="359"/>
      <c r="O1642" s="359"/>
      <c r="P1642" s="359"/>
      <c r="Q1642" s="359"/>
      <c r="R1642" s="359"/>
      <c r="S1642" s="359"/>
      <c r="T1642" s="359"/>
      <c r="U1642" s="359"/>
      <c r="V1642" s="359"/>
      <c r="W1642" s="359"/>
      <c r="X1642" s="359"/>
      <c r="Y1642" s="359"/>
      <c r="Z1642" s="359"/>
      <c r="AA1642" s="359"/>
    </row>
    <row r="1643" spans="1:27">
      <c r="A1643" s="359"/>
      <c r="B1643" s="359"/>
      <c r="C1643" s="359"/>
      <c r="D1643" s="359"/>
      <c r="E1643" s="359"/>
      <c r="F1643" s="359"/>
      <c r="G1643" s="359"/>
      <c r="H1643" s="359"/>
      <c r="I1643" s="359"/>
      <c r="J1643" s="359"/>
      <c r="K1643" s="359"/>
      <c r="L1643" s="359"/>
      <c r="M1643" s="359"/>
      <c r="N1643" s="359"/>
      <c r="O1643" s="359"/>
      <c r="P1643" s="359"/>
      <c r="Q1643" s="359"/>
      <c r="R1643" s="359"/>
      <c r="S1643" s="359"/>
      <c r="T1643" s="359"/>
      <c r="U1643" s="359"/>
      <c r="V1643" s="359"/>
      <c r="W1643" s="359"/>
      <c r="X1643" s="359"/>
      <c r="Y1643" s="359"/>
      <c r="Z1643" s="359"/>
      <c r="AA1643" s="359"/>
    </row>
    <row r="1644" spans="1:27">
      <c r="A1644" s="359"/>
      <c r="B1644" s="359"/>
      <c r="C1644" s="359"/>
      <c r="D1644" s="359"/>
      <c r="E1644" s="359"/>
      <c r="F1644" s="359"/>
      <c r="G1644" s="359"/>
      <c r="H1644" s="359"/>
      <c r="I1644" s="359"/>
      <c r="J1644" s="359"/>
      <c r="K1644" s="359"/>
      <c r="L1644" s="359"/>
      <c r="M1644" s="359"/>
      <c r="N1644" s="359"/>
      <c r="O1644" s="359"/>
      <c r="P1644" s="359"/>
      <c r="Q1644" s="359"/>
      <c r="R1644" s="359"/>
      <c r="S1644" s="359"/>
      <c r="T1644" s="359"/>
      <c r="U1644" s="359"/>
      <c r="V1644" s="359"/>
      <c r="W1644" s="359"/>
      <c r="X1644" s="359"/>
      <c r="Y1644" s="359"/>
      <c r="Z1644" s="359"/>
      <c r="AA1644" s="359"/>
    </row>
    <row r="1645" spans="1:27">
      <c r="A1645" s="359"/>
      <c r="B1645" s="359"/>
      <c r="C1645" s="359"/>
      <c r="D1645" s="359"/>
      <c r="E1645" s="359"/>
      <c r="F1645" s="359"/>
      <c r="G1645" s="359"/>
      <c r="H1645" s="359"/>
      <c r="I1645" s="359"/>
      <c r="J1645" s="359"/>
      <c r="K1645" s="359"/>
      <c r="L1645" s="359"/>
      <c r="M1645" s="359"/>
      <c r="N1645" s="359"/>
      <c r="O1645" s="359"/>
      <c r="P1645" s="359"/>
      <c r="Q1645" s="359"/>
      <c r="R1645" s="359"/>
      <c r="S1645" s="359"/>
      <c r="T1645" s="359"/>
      <c r="U1645" s="359"/>
      <c r="V1645" s="359"/>
      <c r="W1645" s="359"/>
      <c r="X1645" s="359"/>
      <c r="Y1645" s="359"/>
      <c r="Z1645" s="359"/>
      <c r="AA1645" s="359"/>
    </row>
    <row r="1646" spans="1:27">
      <c r="A1646" s="359"/>
      <c r="B1646" s="359"/>
      <c r="C1646" s="359"/>
      <c r="D1646" s="359"/>
      <c r="E1646" s="359"/>
      <c r="F1646" s="359"/>
      <c r="G1646" s="359"/>
      <c r="H1646" s="359"/>
      <c r="I1646" s="359"/>
      <c r="J1646" s="359"/>
      <c r="K1646" s="359"/>
      <c r="L1646" s="359"/>
      <c r="M1646" s="359"/>
      <c r="N1646" s="359"/>
      <c r="O1646" s="359"/>
      <c r="P1646" s="359"/>
      <c r="Q1646" s="359"/>
      <c r="R1646" s="359"/>
      <c r="S1646" s="359"/>
      <c r="T1646" s="359"/>
      <c r="U1646" s="359"/>
      <c r="V1646" s="359"/>
      <c r="W1646" s="359"/>
      <c r="X1646" s="359"/>
      <c r="Y1646" s="359"/>
      <c r="Z1646" s="359"/>
      <c r="AA1646" s="359"/>
    </row>
    <row r="1647" spans="1:27">
      <c r="A1647" s="359"/>
      <c r="B1647" s="359"/>
      <c r="C1647" s="359"/>
      <c r="D1647" s="359"/>
      <c r="E1647" s="359"/>
      <c r="F1647" s="359"/>
      <c r="G1647" s="359"/>
      <c r="H1647" s="359"/>
      <c r="I1647" s="359"/>
      <c r="J1647" s="359"/>
      <c r="K1647" s="359"/>
      <c r="L1647" s="359"/>
      <c r="M1647" s="359"/>
      <c r="N1647" s="359"/>
      <c r="O1647" s="359"/>
      <c r="P1647" s="359"/>
      <c r="Q1647" s="359"/>
      <c r="R1647" s="359"/>
      <c r="S1647" s="359"/>
      <c r="T1647" s="359"/>
      <c r="U1647" s="359"/>
      <c r="V1647" s="359"/>
      <c r="W1647" s="359"/>
      <c r="X1647" s="359"/>
      <c r="Y1647" s="359"/>
      <c r="Z1647" s="359"/>
      <c r="AA1647" s="359"/>
    </row>
    <row r="1648" spans="1:27">
      <c r="A1648" s="359"/>
      <c r="B1648" s="359"/>
      <c r="C1648" s="359"/>
      <c r="D1648" s="359"/>
      <c r="E1648" s="359"/>
      <c r="F1648" s="359"/>
      <c r="G1648" s="359"/>
      <c r="H1648" s="359"/>
      <c r="I1648" s="359"/>
      <c r="J1648" s="359"/>
      <c r="K1648" s="359"/>
      <c r="L1648" s="359"/>
      <c r="M1648" s="359"/>
      <c r="N1648" s="359"/>
      <c r="O1648" s="359"/>
      <c r="P1648" s="359"/>
      <c r="Q1648" s="359"/>
      <c r="R1648" s="359"/>
      <c r="S1648" s="359"/>
      <c r="T1648" s="359"/>
      <c r="U1648" s="359"/>
      <c r="V1648" s="359"/>
      <c r="W1648" s="359"/>
      <c r="X1648" s="359"/>
      <c r="Y1648" s="359"/>
      <c r="Z1648" s="359"/>
      <c r="AA1648" s="359"/>
    </row>
    <row r="1649" spans="1:27">
      <c r="A1649" s="359"/>
      <c r="B1649" s="359"/>
      <c r="C1649" s="359"/>
      <c r="D1649" s="359"/>
      <c r="E1649" s="359"/>
      <c r="F1649" s="359"/>
      <c r="G1649" s="359"/>
      <c r="H1649" s="359"/>
      <c r="I1649" s="359"/>
      <c r="J1649" s="359"/>
      <c r="K1649" s="359"/>
      <c r="L1649" s="359"/>
      <c r="M1649" s="359"/>
      <c r="N1649" s="359"/>
      <c r="O1649" s="359"/>
      <c r="P1649" s="359"/>
      <c r="Q1649" s="359"/>
      <c r="R1649" s="359"/>
      <c r="S1649" s="359"/>
      <c r="T1649" s="359"/>
      <c r="U1649" s="359"/>
      <c r="V1649" s="359"/>
      <c r="W1649" s="359"/>
      <c r="X1649" s="359"/>
      <c r="Y1649" s="359"/>
      <c r="Z1649" s="359"/>
      <c r="AA1649" s="359"/>
    </row>
    <row r="1650" spans="1:27">
      <c r="A1650" s="359"/>
      <c r="B1650" s="359"/>
      <c r="C1650" s="359"/>
      <c r="D1650" s="359"/>
      <c r="E1650" s="359"/>
      <c r="F1650" s="359"/>
      <c r="G1650" s="359"/>
      <c r="H1650" s="359"/>
      <c r="I1650" s="359"/>
      <c r="J1650" s="359"/>
      <c r="K1650" s="359"/>
      <c r="L1650" s="359"/>
      <c r="M1650" s="359"/>
      <c r="N1650" s="359"/>
      <c r="O1650" s="359"/>
      <c r="P1650" s="359"/>
      <c r="Q1650" s="359"/>
      <c r="R1650" s="359"/>
      <c r="S1650" s="359"/>
      <c r="T1650" s="359"/>
      <c r="U1650" s="359"/>
      <c r="V1650" s="359"/>
      <c r="W1650" s="359"/>
      <c r="X1650" s="359"/>
      <c r="Y1650" s="359"/>
      <c r="Z1650" s="359"/>
      <c r="AA1650" s="359"/>
    </row>
    <row r="1651" spans="1:27">
      <c r="A1651" s="359"/>
      <c r="B1651" s="359"/>
      <c r="C1651" s="359"/>
      <c r="D1651" s="359"/>
      <c r="E1651" s="359"/>
      <c r="F1651" s="359"/>
      <c r="G1651" s="359"/>
      <c r="H1651" s="359"/>
      <c r="I1651" s="359"/>
      <c r="J1651" s="359"/>
      <c r="K1651" s="359"/>
      <c r="L1651" s="359"/>
      <c r="M1651" s="359"/>
      <c r="N1651" s="359"/>
      <c r="O1651" s="359"/>
      <c r="P1651" s="359"/>
      <c r="Q1651" s="359"/>
      <c r="R1651" s="359"/>
      <c r="S1651" s="359"/>
      <c r="T1651" s="359"/>
      <c r="U1651" s="359"/>
      <c r="V1651" s="359"/>
      <c r="W1651" s="359"/>
      <c r="X1651" s="359"/>
      <c r="Y1651" s="359"/>
      <c r="Z1651" s="359"/>
      <c r="AA1651" s="359"/>
    </row>
    <row r="1652" spans="1:27">
      <c r="A1652" s="359"/>
      <c r="B1652" s="359"/>
      <c r="C1652" s="359"/>
      <c r="D1652" s="359"/>
      <c r="E1652" s="359"/>
      <c r="F1652" s="359"/>
      <c r="G1652" s="359"/>
      <c r="H1652" s="359"/>
      <c r="I1652" s="359"/>
      <c r="J1652" s="359"/>
      <c r="K1652" s="359"/>
      <c r="L1652" s="359"/>
      <c r="M1652" s="359"/>
      <c r="N1652" s="359"/>
      <c r="O1652" s="359"/>
      <c r="P1652" s="359"/>
      <c r="Q1652" s="359"/>
      <c r="R1652" s="359"/>
      <c r="S1652" s="359"/>
      <c r="T1652" s="359"/>
      <c r="U1652" s="359"/>
      <c r="V1652" s="359"/>
      <c r="W1652" s="359"/>
      <c r="X1652" s="359"/>
      <c r="Y1652" s="359"/>
      <c r="Z1652" s="359"/>
      <c r="AA1652" s="359"/>
    </row>
    <row r="1653" spans="1:27">
      <c r="A1653" s="359"/>
      <c r="B1653" s="359"/>
      <c r="C1653" s="359"/>
      <c r="D1653" s="359"/>
      <c r="E1653" s="359"/>
      <c r="F1653" s="359"/>
      <c r="G1653" s="359"/>
      <c r="H1653" s="359"/>
      <c r="I1653" s="359"/>
      <c r="J1653" s="359"/>
      <c r="K1653" s="359"/>
      <c r="L1653" s="359"/>
      <c r="M1653" s="359"/>
      <c r="N1653" s="359"/>
      <c r="O1653" s="359"/>
      <c r="P1653" s="359"/>
      <c r="Q1653" s="359"/>
      <c r="R1653" s="359"/>
      <c r="S1653" s="359"/>
      <c r="T1653" s="359"/>
      <c r="U1653" s="359"/>
      <c r="V1653" s="359"/>
      <c r="W1653" s="359"/>
      <c r="X1653" s="359"/>
      <c r="Y1653" s="359"/>
      <c r="Z1653" s="359"/>
      <c r="AA1653" s="359"/>
    </row>
    <row r="1654" spans="1:27">
      <c r="A1654" s="359"/>
      <c r="B1654" s="359"/>
      <c r="C1654" s="359"/>
      <c r="D1654" s="359"/>
      <c r="E1654" s="359"/>
      <c r="F1654" s="359"/>
      <c r="G1654" s="359"/>
      <c r="H1654" s="359"/>
      <c r="I1654" s="359"/>
      <c r="J1654" s="359"/>
      <c r="K1654" s="359"/>
      <c r="L1654" s="359"/>
      <c r="M1654" s="359"/>
      <c r="N1654" s="359"/>
      <c r="O1654" s="359"/>
      <c r="P1654" s="359"/>
      <c r="Q1654" s="359"/>
      <c r="R1654" s="359"/>
      <c r="S1654" s="359"/>
      <c r="T1654" s="359"/>
      <c r="U1654" s="359"/>
      <c r="V1654" s="359"/>
      <c r="W1654" s="359"/>
      <c r="X1654" s="359"/>
      <c r="Y1654" s="359"/>
      <c r="Z1654" s="359"/>
      <c r="AA1654" s="359"/>
    </row>
    <row r="1655" spans="1:27">
      <c r="A1655" s="359"/>
      <c r="B1655" s="359"/>
      <c r="C1655" s="359"/>
      <c r="D1655" s="359"/>
      <c r="E1655" s="359"/>
      <c r="F1655" s="359"/>
      <c r="G1655" s="359"/>
      <c r="H1655" s="359"/>
      <c r="I1655" s="359"/>
      <c r="J1655" s="359"/>
      <c r="K1655" s="359"/>
      <c r="L1655" s="359"/>
      <c r="M1655" s="359"/>
      <c r="N1655" s="359"/>
      <c r="O1655" s="359"/>
      <c r="P1655" s="359"/>
      <c r="Q1655" s="359"/>
      <c r="R1655" s="359"/>
      <c r="S1655" s="359"/>
      <c r="T1655" s="359"/>
      <c r="U1655" s="359"/>
      <c r="V1655" s="359"/>
      <c r="W1655" s="359"/>
      <c r="X1655" s="359"/>
      <c r="Y1655" s="359"/>
      <c r="Z1655" s="359"/>
      <c r="AA1655" s="359"/>
    </row>
    <row r="1656" spans="1:27">
      <c r="A1656" s="359"/>
      <c r="B1656" s="359"/>
      <c r="C1656" s="359"/>
      <c r="D1656" s="359"/>
      <c r="E1656" s="359"/>
      <c r="F1656" s="359"/>
      <c r="G1656" s="359"/>
      <c r="H1656" s="359"/>
      <c r="I1656" s="359"/>
      <c r="J1656" s="359"/>
      <c r="K1656" s="359"/>
      <c r="L1656" s="359"/>
      <c r="M1656" s="359"/>
      <c r="N1656" s="359"/>
      <c r="O1656" s="359"/>
      <c r="P1656" s="359"/>
      <c r="Q1656" s="359"/>
      <c r="R1656" s="359"/>
      <c r="S1656" s="359"/>
      <c r="T1656" s="359"/>
      <c r="U1656" s="359"/>
      <c r="V1656" s="359"/>
      <c r="W1656" s="359"/>
      <c r="X1656" s="359"/>
      <c r="Y1656" s="359"/>
      <c r="Z1656" s="359"/>
      <c r="AA1656" s="359"/>
    </row>
    <row r="1657" spans="1:27">
      <c r="A1657" s="359"/>
      <c r="B1657" s="359"/>
      <c r="C1657" s="359"/>
      <c r="D1657" s="359"/>
      <c r="E1657" s="359"/>
      <c r="F1657" s="359"/>
      <c r="G1657" s="359"/>
      <c r="H1657" s="359"/>
      <c r="I1657" s="359"/>
      <c r="J1657" s="359"/>
      <c r="K1657" s="359"/>
      <c r="L1657" s="359"/>
      <c r="M1657" s="359"/>
      <c r="N1657" s="359"/>
      <c r="O1657" s="359"/>
      <c r="P1657" s="359"/>
      <c r="Q1657" s="359"/>
      <c r="R1657" s="359"/>
      <c r="S1657" s="359"/>
      <c r="T1657" s="359"/>
      <c r="U1657" s="359"/>
      <c r="V1657" s="359"/>
      <c r="W1657" s="359"/>
      <c r="X1657" s="359"/>
      <c r="Y1657" s="359"/>
      <c r="Z1657" s="359"/>
      <c r="AA1657" s="359"/>
    </row>
    <row r="1658" spans="1:27">
      <c r="A1658" s="359"/>
      <c r="B1658" s="359"/>
      <c r="C1658" s="359"/>
      <c r="D1658" s="359"/>
      <c r="E1658" s="359"/>
      <c r="F1658" s="359"/>
      <c r="G1658" s="359"/>
      <c r="H1658" s="359"/>
      <c r="I1658" s="359"/>
      <c r="J1658" s="359"/>
      <c r="K1658" s="359"/>
      <c r="L1658" s="359"/>
      <c r="M1658" s="359"/>
      <c r="N1658" s="359"/>
      <c r="O1658" s="359"/>
      <c r="P1658" s="359"/>
      <c r="Q1658" s="359"/>
      <c r="R1658" s="359"/>
      <c r="S1658" s="359"/>
      <c r="T1658" s="359"/>
      <c r="U1658" s="359"/>
      <c r="V1658" s="359"/>
      <c r="W1658" s="359"/>
      <c r="X1658" s="359"/>
      <c r="Y1658" s="359"/>
      <c r="Z1658" s="359"/>
      <c r="AA1658" s="359"/>
    </row>
    <row r="1659" spans="1:27">
      <c r="A1659" s="359"/>
      <c r="B1659" s="359"/>
      <c r="C1659" s="359"/>
      <c r="D1659" s="359"/>
      <c r="E1659" s="359"/>
      <c r="F1659" s="359"/>
      <c r="G1659" s="359"/>
      <c r="H1659" s="359"/>
      <c r="I1659" s="359"/>
      <c r="J1659" s="359"/>
      <c r="K1659" s="359"/>
      <c r="L1659" s="359"/>
      <c r="M1659" s="359"/>
      <c r="N1659" s="359"/>
      <c r="O1659" s="359"/>
      <c r="P1659" s="359"/>
      <c r="Q1659" s="359"/>
      <c r="R1659" s="359"/>
      <c r="S1659" s="359"/>
      <c r="T1659" s="359"/>
      <c r="U1659" s="359"/>
      <c r="V1659" s="359"/>
      <c r="W1659" s="359"/>
      <c r="X1659" s="359"/>
      <c r="Y1659" s="359"/>
      <c r="Z1659" s="359"/>
      <c r="AA1659" s="359"/>
    </row>
    <row r="1660" spans="1:27">
      <c r="A1660" s="359"/>
      <c r="B1660" s="359"/>
      <c r="C1660" s="359"/>
      <c r="D1660" s="359"/>
      <c r="E1660" s="359"/>
      <c r="F1660" s="359"/>
      <c r="G1660" s="359"/>
      <c r="H1660" s="359"/>
      <c r="I1660" s="359"/>
      <c r="J1660" s="359"/>
      <c r="K1660" s="359"/>
      <c r="L1660" s="359"/>
      <c r="M1660" s="359"/>
      <c r="N1660" s="359"/>
      <c r="O1660" s="359"/>
      <c r="P1660" s="359"/>
      <c r="Q1660" s="359"/>
      <c r="R1660" s="359"/>
      <c r="S1660" s="359"/>
      <c r="T1660" s="359"/>
      <c r="U1660" s="359"/>
      <c r="V1660" s="359"/>
      <c r="W1660" s="359"/>
      <c r="X1660" s="359"/>
      <c r="Y1660" s="359"/>
      <c r="Z1660" s="359"/>
      <c r="AA1660" s="359"/>
    </row>
    <row r="1661" spans="1:27">
      <c r="A1661" s="359"/>
      <c r="B1661" s="359"/>
      <c r="C1661" s="359"/>
      <c r="D1661" s="359"/>
      <c r="E1661" s="359"/>
      <c r="F1661" s="359"/>
      <c r="G1661" s="359"/>
      <c r="H1661" s="359"/>
      <c r="I1661" s="359"/>
      <c r="J1661" s="359"/>
      <c r="K1661" s="359"/>
      <c r="L1661" s="359"/>
      <c r="M1661" s="359"/>
      <c r="N1661" s="359"/>
      <c r="O1661" s="359"/>
      <c r="P1661" s="359"/>
      <c r="Q1661" s="359"/>
      <c r="R1661" s="359"/>
      <c r="S1661" s="359"/>
      <c r="T1661" s="359"/>
      <c r="U1661" s="359"/>
      <c r="V1661" s="359"/>
      <c r="W1661" s="359"/>
      <c r="X1661" s="359"/>
      <c r="Y1661" s="359"/>
      <c r="Z1661" s="359"/>
      <c r="AA1661" s="359"/>
    </row>
    <row r="1662" spans="1:27">
      <c r="A1662" s="359"/>
      <c r="B1662" s="359"/>
      <c r="C1662" s="359"/>
      <c r="D1662" s="359"/>
      <c r="E1662" s="359"/>
      <c r="F1662" s="359"/>
      <c r="G1662" s="359"/>
      <c r="H1662" s="359"/>
      <c r="I1662" s="359"/>
      <c r="J1662" s="359"/>
      <c r="K1662" s="359"/>
      <c r="L1662" s="359"/>
      <c r="M1662" s="359"/>
      <c r="N1662" s="359"/>
      <c r="O1662" s="359"/>
      <c r="P1662" s="359"/>
      <c r="Q1662" s="359"/>
      <c r="R1662" s="359"/>
      <c r="S1662" s="359"/>
      <c r="T1662" s="359"/>
      <c r="U1662" s="359"/>
      <c r="V1662" s="359"/>
      <c r="W1662" s="359"/>
      <c r="X1662" s="359"/>
      <c r="Y1662" s="359"/>
      <c r="Z1662" s="359"/>
      <c r="AA1662" s="359"/>
    </row>
    <row r="1663" spans="1:27">
      <c r="A1663" s="359"/>
      <c r="B1663" s="359"/>
      <c r="C1663" s="359"/>
      <c r="D1663" s="359"/>
      <c r="E1663" s="359"/>
      <c r="F1663" s="359"/>
      <c r="G1663" s="359"/>
      <c r="H1663" s="359"/>
      <c r="I1663" s="359"/>
      <c r="J1663" s="359"/>
      <c r="K1663" s="359"/>
      <c r="L1663" s="359"/>
      <c r="M1663" s="359"/>
      <c r="N1663" s="359"/>
      <c r="O1663" s="359"/>
      <c r="P1663" s="359"/>
      <c r="Q1663" s="359"/>
      <c r="R1663" s="359"/>
      <c r="S1663" s="359"/>
      <c r="T1663" s="359"/>
      <c r="U1663" s="359"/>
      <c r="V1663" s="359"/>
      <c r="W1663" s="359"/>
      <c r="X1663" s="359"/>
      <c r="Y1663" s="359"/>
      <c r="Z1663" s="359"/>
      <c r="AA1663" s="359"/>
    </row>
    <row r="1664" spans="1:27">
      <c r="A1664" s="359"/>
      <c r="B1664" s="359"/>
      <c r="C1664" s="359"/>
      <c r="D1664" s="359"/>
      <c r="E1664" s="359"/>
      <c r="F1664" s="359"/>
      <c r="G1664" s="359"/>
      <c r="H1664" s="359"/>
      <c r="I1664" s="359"/>
      <c r="J1664" s="359"/>
      <c r="K1664" s="359"/>
      <c r="L1664" s="359"/>
      <c r="M1664" s="359"/>
      <c r="N1664" s="359"/>
      <c r="O1664" s="359"/>
      <c r="P1664" s="359"/>
      <c r="Q1664" s="359"/>
      <c r="R1664" s="359"/>
      <c r="S1664" s="359"/>
      <c r="T1664" s="359"/>
      <c r="U1664" s="359"/>
      <c r="V1664" s="359"/>
      <c r="W1664" s="359"/>
      <c r="X1664" s="359"/>
      <c r="Y1664" s="359"/>
      <c r="Z1664" s="359"/>
      <c r="AA1664" s="359"/>
    </row>
    <row r="1665" spans="1:27">
      <c r="A1665" s="359"/>
      <c r="B1665" s="359"/>
      <c r="C1665" s="359"/>
      <c r="D1665" s="359"/>
      <c r="E1665" s="359"/>
      <c r="F1665" s="359"/>
      <c r="G1665" s="359"/>
      <c r="H1665" s="359"/>
      <c r="I1665" s="359"/>
      <c r="J1665" s="359"/>
      <c r="K1665" s="359"/>
      <c r="L1665" s="359"/>
      <c r="M1665" s="359"/>
      <c r="N1665" s="359"/>
      <c r="O1665" s="359"/>
      <c r="P1665" s="359"/>
      <c r="Q1665" s="359"/>
      <c r="R1665" s="359"/>
      <c r="S1665" s="359"/>
      <c r="T1665" s="359"/>
      <c r="U1665" s="359"/>
      <c r="V1665" s="359"/>
      <c r="W1665" s="359"/>
      <c r="X1665" s="359"/>
      <c r="Y1665" s="359"/>
      <c r="Z1665" s="359"/>
      <c r="AA1665" s="359"/>
    </row>
    <row r="1666" spans="1:27">
      <c r="A1666" s="359"/>
      <c r="B1666" s="359"/>
      <c r="C1666" s="359"/>
      <c r="D1666" s="359"/>
      <c r="E1666" s="359"/>
      <c r="F1666" s="359"/>
      <c r="G1666" s="359"/>
      <c r="H1666" s="359"/>
      <c r="I1666" s="359"/>
      <c r="J1666" s="359"/>
      <c r="K1666" s="359"/>
      <c r="L1666" s="359"/>
      <c r="M1666" s="359"/>
      <c r="N1666" s="359"/>
      <c r="O1666" s="359"/>
      <c r="P1666" s="359"/>
      <c r="Q1666" s="359"/>
      <c r="R1666" s="359"/>
      <c r="S1666" s="359"/>
      <c r="T1666" s="359"/>
      <c r="U1666" s="359"/>
      <c r="V1666" s="359"/>
      <c r="W1666" s="359"/>
      <c r="X1666" s="359"/>
      <c r="Y1666" s="359"/>
      <c r="Z1666" s="359"/>
      <c r="AA1666" s="359"/>
    </row>
    <row r="1667" spans="1:27">
      <c r="A1667" s="359"/>
      <c r="B1667" s="359"/>
      <c r="C1667" s="359"/>
      <c r="D1667" s="359"/>
      <c r="E1667" s="359"/>
      <c r="F1667" s="359"/>
      <c r="G1667" s="359"/>
      <c r="H1667" s="359"/>
      <c r="I1667" s="359"/>
      <c r="J1667" s="359"/>
      <c r="K1667" s="359"/>
      <c r="L1667" s="359"/>
      <c r="M1667" s="359"/>
      <c r="N1667" s="359"/>
      <c r="O1667" s="359"/>
      <c r="P1667" s="359"/>
      <c r="Q1667" s="359"/>
      <c r="R1667" s="359"/>
      <c r="S1667" s="359"/>
      <c r="T1667" s="359"/>
      <c r="U1667" s="359"/>
      <c r="V1667" s="359"/>
      <c r="W1667" s="359"/>
      <c r="X1667" s="359"/>
      <c r="Y1667" s="359"/>
      <c r="Z1667" s="359"/>
      <c r="AA1667" s="359"/>
    </row>
    <row r="1668" spans="1:27">
      <c r="A1668" s="359"/>
      <c r="B1668" s="359"/>
      <c r="C1668" s="359"/>
      <c r="D1668" s="359"/>
      <c r="E1668" s="359"/>
      <c r="F1668" s="359"/>
      <c r="G1668" s="359"/>
      <c r="H1668" s="359"/>
      <c r="I1668" s="359"/>
      <c r="J1668" s="359"/>
      <c r="K1668" s="359"/>
      <c r="L1668" s="359"/>
      <c r="M1668" s="359"/>
      <c r="N1668" s="359"/>
      <c r="O1668" s="359"/>
      <c r="P1668" s="359"/>
      <c r="Q1668" s="359"/>
      <c r="R1668" s="359"/>
      <c r="S1668" s="359"/>
      <c r="T1668" s="359"/>
      <c r="U1668" s="359"/>
      <c r="V1668" s="359"/>
      <c r="W1668" s="359"/>
      <c r="X1668" s="359"/>
      <c r="Y1668" s="359"/>
      <c r="Z1668" s="359"/>
      <c r="AA1668" s="359"/>
    </row>
    <row r="1669" spans="1:27">
      <c r="A1669" s="359"/>
      <c r="B1669" s="359"/>
      <c r="C1669" s="359"/>
      <c r="D1669" s="359"/>
      <c r="E1669" s="359"/>
      <c r="F1669" s="359"/>
      <c r="G1669" s="359"/>
      <c r="H1669" s="359"/>
      <c r="I1669" s="359"/>
      <c r="J1669" s="359"/>
      <c r="K1669" s="359"/>
      <c r="L1669" s="359"/>
      <c r="M1669" s="359"/>
      <c r="N1669" s="359"/>
      <c r="O1669" s="359"/>
      <c r="P1669" s="359"/>
      <c r="Q1669" s="359"/>
      <c r="R1669" s="359"/>
      <c r="S1669" s="359"/>
      <c r="T1669" s="359"/>
      <c r="U1669" s="359"/>
      <c r="V1669" s="359"/>
      <c r="W1669" s="359"/>
      <c r="X1669" s="359"/>
      <c r="Y1669" s="359"/>
      <c r="Z1669" s="359"/>
      <c r="AA1669" s="359"/>
    </row>
    <row r="1670" spans="1:27">
      <c r="A1670" s="359"/>
      <c r="B1670" s="359"/>
      <c r="C1670" s="359"/>
      <c r="D1670" s="359"/>
      <c r="E1670" s="359"/>
      <c r="F1670" s="359"/>
      <c r="G1670" s="359"/>
      <c r="H1670" s="359"/>
      <c r="I1670" s="359"/>
      <c r="J1670" s="359"/>
      <c r="K1670" s="359"/>
      <c r="L1670" s="359"/>
      <c r="M1670" s="359"/>
      <c r="N1670" s="359"/>
      <c r="O1670" s="359"/>
      <c r="P1670" s="359"/>
      <c r="Q1670" s="359"/>
      <c r="R1670" s="359"/>
      <c r="S1670" s="359"/>
      <c r="T1670" s="359"/>
      <c r="U1670" s="359"/>
      <c r="V1670" s="359"/>
      <c r="W1670" s="359"/>
      <c r="X1670" s="359"/>
      <c r="Y1670" s="359"/>
      <c r="Z1670" s="359"/>
      <c r="AA1670" s="359"/>
    </row>
    <row r="1671" spans="1:27">
      <c r="A1671" s="359"/>
      <c r="B1671" s="359"/>
      <c r="C1671" s="359"/>
      <c r="D1671" s="359"/>
      <c r="E1671" s="359"/>
      <c r="F1671" s="359"/>
      <c r="G1671" s="359"/>
      <c r="H1671" s="359"/>
      <c r="I1671" s="359"/>
      <c r="J1671" s="359"/>
      <c r="K1671" s="359"/>
      <c r="L1671" s="359"/>
      <c r="M1671" s="359"/>
      <c r="N1671" s="359"/>
      <c r="O1671" s="359"/>
      <c r="P1671" s="359"/>
      <c r="Q1671" s="359"/>
      <c r="R1671" s="359"/>
      <c r="S1671" s="359"/>
      <c r="T1671" s="359"/>
      <c r="U1671" s="359"/>
      <c r="V1671" s="359"/>
      <c r="W1671" s="359"/>
      <c r="X1671" s="359"/>
      <c r="Y1671" s="359"/>
      <c r="Z1671" s="359"/>
      <c r="AA1671" s="359"/>
    </row>
    <row r="1672" spans="1:27">
      <c r="A1672" s="359"/>
      <c r="B1672" s="359"/>
      <c r="C1672" s="359"/>
      <c r="D1672" s="359"/>
      <c r="E1672" s="359"/>
      <c r="F1672" s="359"/>
      <c r="G1672" s="359"/>
      <c r="H1672" s="359"/>
      <c r="I1672" s="359"/>
      <c r="J1672" s="359"/>
      <c r="K1672" s="359"/>
      <c r="L1672" s="359"/>
      <c r="M1672" s="359"/>
      <c r="N1672" s="359"/>
      <c r="O1672" s="359"/>
      <c r="P1672" s="359"/>
      <c r="Q1672" s="359"/>
      <c r="R1672" s="359"/>
      <c r="S1672" s="359"/>
      <c r="T1672" s="359"/>
      <c r="U1672" s="359"/>
      <c r="V1672" s="359"/>
      <c r="W1672" s="359"/>
      <c r="X1672" s="359"/>
      <c r="Y1672" s="359"/>
      <c r="Z1672" s="359"/>
      <c r="AA1672" s="359"/>
    </row>
    <row r="1673" spans="1:27">
      <c r="A1673" s="359"/>
      <c r="B1673" s="359"/>
      <c r="C1673" s="359"/>
      <c r="D1673" s="359"/>
      <c r="E1673" s="359"/>
      <c r="F1673" s="359"/>
      <c r="G1673" s="359"/>
      <c r="H1673" s="359"/>
      <c r="I1673" s="359"/>
      <c r="J1673" s="359"/>
      <c r="K1673" s="359"/>
      <c r="L1673" s="359"/>
      <c r="M1673" s="359"/>
      <c r="N1673" s="359"/>
      <c r="O1673" s="359"/>
      <c r="P1673" s="359"/>
      <c r="Q1673" s="359"/>
      <c r="R1673" s="359"/>
      <c r="S1673" s="359"/>
      <c r="T1673" s="359"/>
      <c r="U1673" s="359"/>
      <c r="V1673" s="359"/>
      <c r="W1673" s="359"/>
      <c r="X1673" s="359"/>
      <c r="Y1673" s="359"/>
      <c r="Z1673" s="359"/>
      <c r="AA1673" s="359"/>
    </row>
    <row r="1674" spans="1:27">
      <c r="A1674" s="359"/>
      <c r="B1674" s="359"/>
      <c r="C1674" s="359"/>
      <c r="D1674" s="359"/>
      <c r="E1674" s="359"/>
      <c r="F1674" s="359"/>
      <c r="G1674" s="359"/>
      <c r="H1674" s="359"/>
      <c r="I1674" s="359"/>
      <c r="J1674" s="359"/>
      <c r="K1674" s="359"/>
      <c r="L1674" s="359"/>
      <c r="M1674" s="359"/>
      <c r="N1674" s="359"/>
      <c r="O1674" s="359"/>
      <c r="P1674" s="359"/>
      <c r="Q1674" s="359"/>
      <c r="R1674" s="359"/>
      <c r="S1674" s="359"/>
      <c r="T1674" s="359"/>
      <c r="U1674" s="359"/>
      <c r="V1674" s="359"/>
      <c r="W1674" s="359"/>
      <c r="X1674" s="359"/>
      <c r="Y1674" s="359"/>
      <c r="Z1674" s="359"/>
      <c r="AA1674" s="359"/>
    </row>
    <row r="1675" spans="1:27">
      <c r="A1675" s="359"/>
      <c r="B1675" s="359"/>
      <c r="C1675" s="359"/>
      <c r="D1675" s="359"/>
      <c r="E1675" s="359"/>
      <c r="F1675" s="359"/>
      <c r="G1675" s="359"/>
      <c r="H1675" s="359"/>
      <c r="I1675" s="359"/>
      <c r="J1675" s="359"/>
      <c r="K1675" s="359"/>
      <c r="L1675" s="359"/>
      <c r="M1675" s="359"/>
      <c r="N1675" s="359"/>
      <c r="O1675" s="359"/>
      <c r="P1675" s="359"/>
      <c r="Q1675" s="359"/>
      <c r="R1675" s="359"/>
      <c r="S1675" s="359"/>
      <c r="T1675" s="359"/>
      <c r="U1675" s="359"/>
      <c r="V1675" s="359"/>
      <c r="W1675" s="359"/>
      <c r="X1675" s="359"/>
      <c r="Y1675" s="359"/>
      <c r="Z1675" s="359"/>
      <c r="AA1675" s="359"/>
    </row>
    <row r="1676" spans="1:27">
      <c r="A1676" s="359"/>
      <c r="B1676" s="359"/>
      <c r="C1676" s="359"/>
      <c r="D1676" s="359"/>
      <c r="E1676" s="359"/>
      <c r="F1676" s="359"/>
      <c r="G1676" s="359"/>
      <c r="H1676" s="359"/>
      <c r="I1676" s="359"/>
      <c r="J1676" s="359"/>
      <c r="K1676" s="359"/>
      <c r="L1676" s="359"/>
      <c r="M1676" s="359"/>
      <c r="N1676" s="359"/>
      <c r="O1676" s="359"/>
      <c r="P1676" s="359"/>
      <c r="Q1676" s="359"/>
      <c r="R1676" s="359"/>
      <c r="S1676" s="359"/>
      <c r="T1676" s="359"/>
      <c r="U1676" s="359"/>
      <c r="V1676" s="359"/>
      <c r="W1676" s="359"/>
      <c r="X1676" s="359"/>
      <c r="Y1676" s="359"/>
      <c r="Z1676" s="359"/>
      <c r="AA1676" s="359"/>
    </row>
    <row r="1677" spans="1:27">
      <c r="A1677" s="359"/>
      <c r="B1677" s="359"/>
      <c r="C1677" s="359"/>
      <c r="D1677" s="359"/>
      <c r="E1677" s="359"/>
      <c r="F1677" s="359"/>
      <c r="G1677" s="359"/>
      <c r="H1677" s="359"/>
      <c r="I1677" s="359"/>
      <c r="J1677" s="359"/>
      <c r="K1677" s="359"/>
      <c r="L1677" s="359"/>
      <c r="M1677" s="359"/>
      <c r="N1677" s="359"/>
      <c r="O1677" s="359"/>
      <c r="P1677" s="359"/>
      <c r="Q1677" s="359"/>
      <c r="R1677" s="359"/>
      <c r="S1677" s="359"/>
      <c r="T1677" s="359"/>
      <c r="U1677" s="359"/>
      <c r="V1677" s="359"/>
      <c r="W1677" s="359"/>
      <c r="X1677" s="359"/>
      <c r="Y1677" s="359"/>
      <c r="Z1677" s="359"/>
      <c r="AA1677" s="359"/>
    </row>
    <row r="1678" spans="1:27">
      <c r="A1678" s="359"/>
      <c r="B1678" s="359"/>
      <c r="C1678" s="359"/>
      <c r="D1678" s="359"/>
      <c r="E1678" s="359"/>
      <c r="F1678" s="359"/>
      <c r="G1678" s="359"/>
      <c r="H1678" s="359"/>
      <c r="I1678" s="359"/>
      <c r="J1678" s="359"/>
      <c r="K1678" s="359"/>
      <c r="L1678" s="359"/>
      <c r="M1678" s="359"/>
      <c r="N1678" s="359"/>
      <c r="O1678" s="359"/>
      <c r="P1678" s="359"/>
      <c r="Q1678" s="359"/>
      <c r="R1678" s="359"/>
      <c r="S1678" s="359"/>
      <c r="T1678" s="359"/>
      <c r="U1678" s="359"/>
      <c r="V1678" s="359"/>
      <c r="W1678" s="359"/>
      <c r="X1678" s="359"/>
      <c r="Y1678" s="359"/>
      <c r="Z1678" s="359"/>
      <c r="AA1678" s="359"/>
    </row>
    <row r="1679" spans="1:27">
      <c r="A1679" s="359"/>
      <c r="B1679" s="359"/>
      <c r="C1679" s="359"/>
      <c r="D1679" s="359"/>
      <c r="E1679" s="359"/>
      <c r="F1679" s="359"/>
      <c r="G1679" s="359"/>
      <c r="H1679" s="359"/>
      <c r="I1679" s="359"/>
      <c r="J1679" s="359"/>
      <c r="K1679" s="359"/>
      <c r="L1679" s="359"/>
      <c r="M1679" s="359"/>
      <c r="N1679" s="359"/>
      <c r="O1679" s="359"/>
      <c r="P1679" s="359"/>
      <c r="Q1679" s="359"/>
      <c r="R1679" s="359"/>
      <c r="S1679" s="359"/>
      <c r="T1679" s="359"/>
      <c r="U1679" s="359"/>
      <c r="V1679" s="359"/>
      <c r="W1679" s="359"/>
      <c r="X1679" s="359"/>
      <c r="Y1679" s="359"/>
      <c r="Z1679" s="359"/>
      <c r="AA1679" s="359"/>
    </row>
    <row r="1680" spans="1:27">
      <c r="A1680" s="359"/>
      <c r="B1680" s="359"/>
      <c r="C1680" s="359"/>
      <c r="D1680" s="359"/>
      <c r="E1680" s="359"/>
      <c r="F1680" s="359"/>
      <c r="G1680" s="359"/>
      <c r="H1680" s="359"/>
      <c r="I1680" s="359"/>
      <c r="J1680" s="359"/>
      <c r="K1680" s="359"/>
      <c r="L1680" s="359"/>
      <c r="M1680" s="359"/>
      <c r="N1680" s="359"/>
      <c r="O1680" s="359"/>
      <c r="P1680" s="359"/>
      <c r="Q1680" s="359"/>
      <c r="R1680" s="359"/>
      <c r="S1680" s="359"/>
      <c r="T1680" s="359"/>
      <c r="U1680" s="359"/>
      <c r="V1680" s="359"/>
      <c r="W1680" s="359"/>
      <c r="X1680" s="359"/>
      <c r="Y1680" s="359"/>
      <c r="Z1680" s="359"/>
      <c r="AA1680" s="359"/>
    </row>
    <row r="1681" spans="1:27">
      <c r="A1681" s="359"/>
      <c r="B1681" s="359"/>
      <c r="C1681" s="359"/>
      <c r="D1681" s="359"/>
      <c r="E1681" s="359"/>
      <c r="F1681" s="359"/>
      <c r="G1681" s="359"/>
      <c r="H1681" s="359"/>
      <c r="I1681" s="359"/>
      <c r="J1681" s="359"/>
      <c r="K1681" s="359"/>
      <c r="L1681" s="359"/>
      <c r="M1681" s="359"/>
      <c r="N1681" s="359"/>
      <c r="O1681" s="359"/>
      <c r="P1681" s="359"/>
      <c r="Q1681" s="359"/>
      <c r="R1681" s="359"/>
      <c r="S1681" s="359"/>
      <c r="T1681" s="359"/>
      <c r="U1681" s="359"/>
      <c r="V1681" s="359"/>
      <c r="W1681" s="359"/>
      <c r="X1681" s="359"/>
      <c r="Y1681" s="359"/>
      <c r="Z1681" s="359"/>
      <c r="AA1681" s="359"/>
    </row>
    <row r="1682" spans="1:27">
      <c r="A1682" s="359"/>
      <c r="B1682" s="359"/>
      <c r="C1682" s="359"/>
      <c r="D1682" s="359"/>
      <c r="E1682" s="359"/>
      <c r="F1682" s="359"/>
      <c r="G1682" s="359"/>
      <c r="H1682" s="359"/>
      <c r="I1682" s="359"/>
      <c r="J1682" s="359"/>
      <c r="K1682" s="359"/>
      <c r="L1682" s="359"/>
      <c r="M1682" s="359"/>
      <c r="N1682" s="359"/>
      <c r="O1682" s="359"/>
      <c r="P1682" s="359"/>
      <c r="Q1682" s="359"/>
      <c r="R1682" s="359"/>
      <c r="S1682" s="359"/>
      <c r="T1682" s="359"/>
      <c r="U1682" s="359"/>
      <c r="V1682" s="359"/>
      <c r="W1682" s="359"/>
      <c r="X1682" s="359"/>
      <c r="Y1682" s="359"/>
      <c r="Z1682" s="359"/>
      <c r="AA1682" s="359"/>
    </row>
    <row r="1683" spans="1:27">
      <c r="A1683" s="359"/>
      <c r="B1683" s="359"/>
      <c r="C1683" s="359"/>
      <c r="D1683" s="359"/>
      <c r="E1683" s="359"/>
      <c r="F1683" s="359"/>
      <c r="G1683" s="359"/>
      <c r="H1683" s="359"/>
      <c r="I1683" s="359"/>
      <c r="J1683" s="359"/>
      <c r="K1683" s="359"/>
      <c r="L1683" s="359"/>
      <c r="M1683" s="359"/>
      <c r="N1683" s="359"/>
      <c r="O1683" s="359"/>
      <c r="P1683" s="359"/>
      <c r="Q1683" s="359"/>
      <c r="R1683" s="359"/>
      <c r="S1683" s="359"/>
      <c r="T1683" s="359"/>
      <c r="U1683" s="359"/>
      <c r="V1683" s="359"/>
      <c r="W1683" s="359"/>
      <c r="X1683" s="359"/>
      <c r="Y1683" s="359"/>
      <c r="Z1683" s="359"/>
      <c r="AA1683" s="359"/>
    </row>
    <row r="1684" spans="1:27">
      <c r="A1684" s="359"/>
      <c r="B1684" s="359"/>
      <c r="C1684" s="359"/>
      <c r="D1684" s="359"/>
      <c r="E1684" s="359"/>
      <c r="F1684" s="359"/>
      <c r="G1684" s="359"/>
      <c r="H1684" s="359"/>
      <c r="I1684" s="359"/>
      <c r="J1684" s="359"/>
      <c r="K1684" s="359"/>
      <c r="L1684" s="359"/>
      <c r="M1684" s="359"/>
      <c r="N1684" s="359"/>
      <c r="O1684" s="359"/>
      <c r="P1684" s="359"/>
      <c r="Q1684" s="359"/>
      <c r="R1684" s="359"/>
      <c r="S1684" s="359"/>
      <c r="T1684" s="359"/>
      <c r="U1684" s="359"/>
      <c r="V1684" s="359"/>
      <c r="W1684" s="359"/>
      <c r="X1684" s="359"/>
      <c r="Y1684" s="359"/>
      <c r="Z1684" s="359"/>
      <c r="AA1684" s="359"/>
    </row>
    <row r="1685" spans="1:27">
      <c r="A1685" s="359"/>
      <c r="B1685" s="359"/>
      <c r="C1685" s="359"/>
      <c r="D1685" s="359"/>
      <c r="E1685" s="359"/>
      <c r="F1685" s="359"/>
      <c r="G1685" s="359"/>
      <c r="H1685" s="359"/>
      <c r="I1685" s="359"/>
      <c r="J1685" s="359"/>
      <c r="K1685" s="359"/>
      <c r="L1685" s="359"/>
      <c r="M1685" s="359"/>
      <c r="N1685" s="359"/>
      <c r="O1685" s="359"/>
      <c r="P1685" s="359"/>
      <c r="Q1685" s="359"/>
      <c r="R1685" s="359"/>
      <c r="S1685" s="359"/>
      <c r="T1685" s="359"/>
      <c r="U1685" s="359"/>
      <c r="V1685" s="359"/>
      <c r="W1685" s="359"/>
      <c r="X1685" s="359"/>
      <c r="Y1685" s="359"/>
      <c r="Z1685" s="359"/>
      <c r="AA1685" s="359"/>
    </row>
    <row r="1686" spans="1:27">
      <c r="A1686" s="359"/>
      <c r="B1686" s="359"/>
      <c r="C1686" s="359"/>
      <c r="D1686" s="359"/>
      <c r="E1686" s="359"/>
      <c r="F1686" s="359"/>
      <c r="G1686" s="359"/>
      <c r="H1686" s="359"/>
      <c r="I1686" s="359"/>
      <c r="J1686" s="359"/>
      <c r="K1686" s="359"/>
      <c r="L1686" s="359"/>
      <c r="M1686" s="359"/>
      <c r="N1686" s="359"/>
      <c r="O1686" s="359"/>
      <c r="P1686" s="359"/>
      <c r="Q1686" s="359"/>
      <c r="R1686" s="359"/>
      <c r="S1686" s="359"/>
      <c r="T1686" s="359"/>
      <c r="U1686" s="359"/>
      <c r="V1686" s="359"/>
      <c r="W1686" s="359"/>
      <c r="X1686" s="359"/>
      <c r="Y1686" s="359"/>
      <c r="Z1686" s="359"/>
      <c r="AA1686" s="359"/>
    </row>
    <row r="1687" spans="1:27">
      <c r="A1687" s="359"/>
      <c r="B1687" s="359"/>
      <c r="C1687" s="359"/>
      <c r="D1687" s="359"/>
      <c r="E1687" s="359"/>
      <c r="F1687" s="359"/>
      <c r="G1687" s="359"/>
      <c r="H1687" s="359"/>
      <c r="I1687" s="359"/>
      <c r="J1687" s="359"/>
      <c r="K1687" s="359"/>
      <c r="L1687" s="359"/>
      <c r="M1687" s="359"/>
      <c r="N1687" s="359"/>
      <c r="O1687" s="359"/>
      <c r="P1687" s="359"/>
      <c r="Q1687" s="359"/>
      <c r="R1687" s="359"/>
      <c r="S1687" s="359"/>
      <c r="T1687" s="359"/>
      <c r="U1687" s="359"/>
      <c r="V1687" s="359"/>
      <c r="W1687" s="359"/>
      <c r="X1687" s="359"/>
      <c r="Y1687" s="359"/>
      <c r="Z1687" s="359"/>
      <c r="AA1687" s="359"/>
    </row>
    <row r="1688" spans="1:27">
      <c r="A1688" s="359"/>
      <c r="B1688" s="359"/>
      <c r="C1688" s="359"/>
      <c r="D1688" s="359"/>
      <c r="E1688" s="359"/>
      <c r="F1688" s="359"/>
      <c r="G1688" s="359"/>
      <c r="H1688" s="359"/>
      <c r="I1688" s="359"/>
      <c r="J1688" s="359"/>
      <c r="K1688" s="359"/>
      <c r="L1688" s="359"/>
      <c r="M1688" s="359"/>
      <c r="N1688" s="359"/>
      <c r="O1688" s="359"/>
      <c r="P1688" s="359"/>
      <c r="Q1688" s="359"/>
      <c r="R1688" s="359"/>
      <c r="S1688" s="359"/>
      <c r="T1688" s="359"/>
      <c r="U1688" s="359"/>
      <c r="V1688" s="359"/>
      <c r="W1688" s="359"/>
      <c r="X1688" s="359"/>
      <c r="Y1688" s="359"/>
      <c r="Z1688" s="359"/>
      <c r="AA1688" s="359"/>
    </row>
    <row r="1689" spans="1:27">
      <c r="A1689" s="359"/>
      <c r="B1689" s="359"/>
      <c r="C1689" s="359"/>
      <c r="D1689" s="359"/>
      <c r="E1689" s="359"/>
      <c r="F1689" s="359"/>
      <c r="G1689" s="359"/>
      <c r="H1689" s="359"/>
      <c r="I1689" s="359"/>
      <c r="J1689" s="359"/>
      <c r="K1689" s="359"/>
      <c r="L1689" s="359"/>
      <c r="M1689" s="359"/>
      <c r="N1689" s="359"/>
      <c r="O1689" s="359"/>
      <c r="P1689" s="359"/>
      <c r="Q1689" s="359"/>
      <c r="R1689" s="359"/>
      <c r="S1689" s="359"/>
      <c r="T1689" s="359"/>
      <c r="U1689" s="359"/>
      <c r="V1689" s="359"/>
      <c r="W1689" s="359"/>
      <c r="X1689" s="359"/>
      <c r="Y1689" s="359"/>
      <c r="Z1689" s="359"/>
      <c r="AA1689" s="359"/>
    </row>
    <row r="1690" spans="1:27">
      <c r="A1690" s="359"/>
      <c r="B1690" s="359"/>
      <c r="C1690" s="359"/>
      <c r="D1690" s="359"/>
      <c r="E1690" s="359"/>
      <c r="F1690" s="359"/>
      <c r="G1690" s="359"/>
      <c r="H1690" s="359"/>
      <c r="I1690" s="359"/>
      <c r="J1690" s="359"/>
      <c r="K1690" s="359"/>
      <c r="L1690" s="359"/>
      <c r="M1690" s="359"/>
      <c r="N1690" s="359"/>
      <c r="O1690" s="359"/>
      <c r="P1690" s="359"/>
      <c r="Q1690" s="359"/>
      <c r="R1690" s="359"/>
      <c r="S1690" s="359"/>
      <c r="T1690" s="359"/>
      <c r="U1690" s="359"/>
      <c r="V1690" s="359"/>
      <c r="W1690" s="359"/>
      <c r="X1690" s="359"/>
      <c r="Y1690" s="359"/>
      <c r="Z1690" s="359"/>
      <c r="AA1690" s="359"/>
    </row>
    <row r="1691" spans="1:27">
      <c r="A1691" s="359"/>
      <c r="B1691" s="359"/>
      <c r="C1691" s="359"/>
      <c r="D1691" s="359"/>
      <c r="E1691" s="359"/>
      <c r="F1691" s="359"/>
      <c r="G1691" s="359"/>
      <c r="H1691" s="359"/>
      <c r="I1691" s="359"/>
      <c r="J1691" s="359"/>
      <c r="K1691" s="359"/>
      <c r="L1691" s="359"/>
      <c r="M1691" s="359"/>
      <c r="N1691" s="359"/>
      <c r="O1691" s="359"/>
      <c r="P1691" s="359"/>
      <c r="Q1691" s="359"/>
      <c r="R1691" s="359"/>
      <c r="S1691" s="359"/>
      <c r="T1691" s="359"/>
      <c r="U1691" s="359"/>
      <c r="V1691" s="359"/>
      <c r="W1691" s="359"/>
      <c r="X1691" s="359"/>
      <c r="Y1691" s="359"/>
      <c r="Z1691" s="359"/>
      <c r="AA1691" s="359"/>
    </row>
    <row r="1692" spans="1:27">
      <c r="A1692" s="359"/>
      <c r="B1692" s="359"/>
      <c r="C1692" s="359"/>
      <c r="D1692" s="359"/>
      <c r="E1692" s="359"/>
      <c r="F1692" s="359"/>
      <c r="G1692" s="359"/>
      <c r="H1692" s="359"/>
      <c r="I1692" s="359"/>
      <c r="J1692" s="359"/>
      <c r="K1692" s="359"/>
      <c r="L1692" s="359"/>
      <c r="M1692" s="359"/>
      <c r="N1692" s="359"/>
      <c r="O1692" s="359"/>
      <c r="P1692" s="359"/>
      <c r="Q1692" s="359"/>
      <c r="R1692" s="359"/>
      <c r="S1692" s="359"/>
      <c r="T1692" s="359"/>
      <c r="U1692" s="359"/>
      <c r="V1692" s="359"/>
      <c r="W1692" s="359"/>
      <c r="X1692" s="359"/>
      <c r="Y1692" s="359"/>
      <c r="Z1692" s="359"/>
      <c r="AA1692" s="359"/>
    </row>
    <row r="1693" spans="1:27">
      <c r="A1693" s="359"/>
      <c r="B1693" s="359"/>
      <c r="C1693" s="359"/>
      <c r="D1693" s="359"/>
      <c r="E1693" s="359"/>
      <c r="F1693" s="359"/>
      <c r="G1693" s="359"/>
      <c r="H1693" s="359"/>
      <c r="I1693" s="359"/>
      <c r="J1693" s="359"/>
      <c r="K1693" s="359"/>
      <c r="L1693" s="359"/>
      <c r="M1693" s="359"/>
      <c r="N1693" s="359"/>
      <c r="O1693" s="359"/>
      <c r="P1693" s="359"/>
      <c r="Q1693" s="359"/>
      <c r="R1693" s="359"/>
      <c r="S1693" s="359"/>
      <c r="T1693" s="359"/>
      <c r="U1693" s="359"/>
      <c r="V1693" s="359"/>
      <c r="W1693" s="359"/>
      <c r="X1693" s="359"/>
      <c r="Y1693" s="359"/>
      <c r="Z1693" s="359"/>
      <c r="AA1693" s="359"/>
    </row>
    <row r="1694" spans="1:27">
      <c r="A1694" s="359"/>
      <c r="B1694" s="359"/>
      <c r="C1694" s="359"/>
      <c r="D1694" s="359"/>
      <c r="E1694" s="359"/>
      <c r="F1694" s="359"/>
      <c r="G1694" s="359"/>
      <c r="H1694" s="359"/>
      <c r="I1694" s="359"/>
      <c r="J1694" s="359"/>
      <c r="K1694" s="359"/>
      <c r="L1694" s="359"/>
      <c r="M1694" s="359"/>
      <c r="N1694" s="359"/>
      <c r="O1694" s="359"/>
      <c r="P1694" s="359"/>
      <c r="Q1694" s="359"/>
      <c r="R1694" s="359"/>
      <c r="S1694" s="359"/>
      <c r="T1694" s="359"/>
      <c r="U1694" s="359"/>
      <c r="V1694" s="359"/>
      <c r="W1694" s="359"/>
      <c r="X1694" s="359"/>
      <c r="Y1694" s="359"/>
      <c r="Z1694" s="359"/>
      <c r="AA1694" s="359"/>
    </row>
    <row r="1695" spans="1:27">
      <c r="A1695" s="359"/>
      <c r="B1695" s="359"/>
      <c r="C1695" s="359"/>
      <c r="D1695" s="359"/>
      <c r="E1695" s="359"/>
      <c r="F1695" s="359"/>
      <c r="G1695" s="359"/>
      <c r="H1695" s="359"/>
      <c r="I1695" s="359"/>
      <c r="J1695" s="359"/>
      <c r="K1695" s="359"/>
      <c r="L1695" s="359"/>
      <c r="M1695" s="359"/>
      <c r="N1695" s="359"/>
      <c r="O1695" s="359"/>
      <c r="P1695" s="359"/>
      <c r="Q1695" s="359"/>
      <c r="R1695" s="359"/>
      <c r="S1695" s="359"/>
      <c r="T1695" s="359"/>
      <c r="U1695" s="359"/>
      <c r="V1695" s="359"/>
      <c r="W1695" s="359"/>
      <c r="X1695" s="359"/>
      <c r="Y1695" s="359"/>
      <c r="Z1695" s="359"/>
      <c r="AA1695" s="359"/>
    </row>
    <row r="1696" spans="1:27">
      <c r="A1696" s="359"/>
      <c r="B1696" s="359"/>
      <c r="C1696" s="359"/>
      <c r="D1696" s="359"/>
      <c r="E1696" s="359"/>
      <c r="F1696" s="359"/>
      <c r="G1696" s="359"/>
      <c r="H1696" s="359"/>
      <c r="I1696" s="359"/>
      <c r="J1696" s="359"/>
      <c r="K1696" s="359"/>
      <c r="L1696" s="359"/>
      <c r="M1696" s="359"/>
      <c r="N1696" s="359"/>
      <c r="O1696" s="359"/>
      <c r="P1696" s="359"/>
      <c r="Q1696" s="359"/>
      <c r="R1696" s="359"/>
      <c r="S1696" s="359"/>
      <c r="T1696" s="359"/>
      <c r="U1696" s="359"/>
      <c r="V1696" s="359"/>
      <c r="W1696" s="359"/>
      <c r="X1696" s="359"/>
      <c r="Y1696" s="359"/>
      <c r="Z1696" s="359"/>
      <c r="AA1696" s="359"/>
    </row>
    <row r="1697" spans="1:27">
      <c r="A1697" s="359"/>
      <c r="B1697" s="359"/>
      <c r="C1697" s="359"/>
      <c r="D1697" s="359"/>
      <c r="E1697" s="359"/>
      <c r="F1697" s="359"/>
      <c r="G1697" s="359"/>
      <c r="H1697" s="359"/>
      <c r="I1697" s="359"/>
      <c r="J1697" s="359"/>
      <c r="K1697" s="359"/>
      <c r="L1697" s="359"/>
      <c r="M1697" s="359"/>
      <c r="N1697" s="359"/>
      <c r="O1697" s="359"/>
      <c r="P1697" s="359"/>
      <c r="Q1697" s="359"/>
      <c r="R1697" s="359"/>
      <c r="S1697" s="359"/>
      <c r="T1697" s="359"/>
      <c r="U1697" s="359"/>
      <c r="V1697" s="359"/>
      <c r="W1697" s="359"/>
      <c r="X1697" s="359"/>
      <c r="Y1697" s="359"/>
      <c r="Z1697" s="359"/>
      <c r="AA1697" s="359"/>
    </row>
    <row r="1698" spans="1:27">
      <c r="A1698" s="359"/>
      <c r="B1698" s="359"/>
      <c r="C1698" s="359"/>
      <c r="D1698" s="359"/>
      <c r="E1698" s="359"/>
      <c r="F1698" s="359"/>
      <c r="G1698" s="359"/>
      <c r="H1698" s="359"/>
      <c r="I1698" s="359"/>
      <c r="J1698" s="359"/>
      <c r="K1698" s="359"/>
      <c r="L1698" s="359"/>
      <c r="M1698" s="359"/>
      <c r="N1698" s="359"/>
      <c r="O1698" s="359"/>
      <c r="P1698" s="359"/>
      <c r="Q1698" s="359"/>
      <c r="R1698" s="359"/>
      <c r="S1698" s="359"/>
      <c r="T1698" s="359"/>
      <c r="U1698" s="359"/>
      <c r="V1698" s="359"/>
      <c r="W1698" s="359"/>
      <c r="X1698" s="359"/>
      <c r="Y1698" s="359"/>
      <c r="Z1698" s="359"/>
      <c r="AA1698" s="359"/>
    </row>
    <row r="1699" spans="1:27">
      <c r="A1699" s="359"/>
      <c r="B1699" s="359"/>
      <c r="C1699" s="359"/>
      <c r="D1699" s="359"/>
      <c r="E1699" s="359"/>
      <c r="F1699" s="359"/>
      <c r="G1699" s="359"/>
      <c r="H1699" s="359"/>
      <c r="I1699" s="359"/>
      <c r="J1699" s="359"/>
      <c r="K1699" s="359"/>
      <c r="L1699" s="359"/>
      <c r="M1699" s="359"/>
      <c r="N1699" s="359"/>
      <c r="O1699" s="359"/>
      <c r="P1699" s="359"/>
      <c r="Q1699" s="359"/>
      <c r="R1699" s="359"/>
      <c r="S1699" s="359"/>
      <c r="T1699" s="359"/>
      <c r="U1699" s="359"/>
      <c r="V1699" s="359"/>
      <c r="W1699" s="359"/>
      <c r="X1699" s="359"/>
      <c r="Y1699" s="359"/>
      <c r="Z1699" s="359"/>
      <c r="AA1699" s="359"/>
    </row>
    <row r="1700" spans="1:27">
      <c r="A1700" s="359"/>
      <c r="B1700" s="359"/>
      <c r="C1700" s="359"/>
      <c r="D1700" s="359"/>
      <c r="E1700" s="359"/>
      <c r="F1700" s="359"/>
      <c r="G1700" s="359"/>
      <c r="H1700" s="359"/>
      <c r="I1700" s="359"/>
      <c r="J1700" s="359"/>
      <c r="K1700" s="359"/>
      <c r="L1700" s="359"/>
      <c r="M1700" s="359"/>
      <c r="N1700" s="359"/>
      <c r="O1700" s="359"/>
      <c r="P1700" s="359"/>
      <c r="Q1700" s="359"/>
      <c r="R1700" s="359"/>
      <c r="S1700" s="359"/>
      <c r="T1700" s="359"/>
      <c r="U1700" s="359"/>
      <c r="V1700" s="359"/>
      <c r="W1700" s="359"/>
      <c r="X1700" s="359"/>
      <c r="Y1700" s="359"/>
      <c r="Z1700" s="359"/>
      <c r="AA1700" s="359"/>
    </row>
    <row r="1701" spans="1:27">
      <c r="A1701" s="359"/>
      <c r="B1701" s="359"/>
      <c r="C1701" s="359"/>
      <c r="D1701" s="359"/>
      <c r="E1701" s="359"/>
      <c r="F1701" s="359"/>
      <c r="G1701" s="359"/>
      <c r="H1701" s="359"/>
      <c r="I1701" s="359"/>
      <c r="J1701" s="359"/>
      <c r="K1701" s="359"/>
      <c r="L1701" s="359"/>
      <c r="M1701" s="359"/>
      <c r="N1701" s="359"/>
      <c r="O1701" s="359"/>
      <c r="P1701" s="359"/>
      <c r="Q1701" s="359"/>
      <c r="R1701" s="359"/>
      <c r="S1701" s="359"/>
      <c r="T1701" s="359"/>
      <c r="U1701" s="359"/>
      <c r="V1701" s="359"/>
      <c r="W1701" s="359"/>
      <c r="X1701" s="359"/>
      <c r="Y1701" s="359"/>
      <c r="Z1701" s="359"/>
      <c r="AA1701" s="359"/>
    </row>
    <row r="1702" spans="1:27">
      <c r="A1702" s="359"/>
      <c r="B1702" s="359"/>
      <c r="C1702" s="359"/>
      <c r="D1702" s="359"/>
      <c r="E1702" s="359"/>
      <c r="F1702" s="359"/>
      <c r="G1702" s="359"/>
      <c r="H1702" s="359"/>
      <c r="I1702" s="359"/>
      <c r="J1702" s="359"/>
      <c r="K1702" s="359"/>
      <c r="L1702" s="359"/>
      <c r="M1702" s="359"/>
      <c r="N1702" s="359"/>
      <c r="O1702" s="359"/>
      <c r="P1702" s="359"/>
      <c r="Q1702" s="359"/>
      <c r="R1702" s="359"/>
      <c r="S1702" s="359"/>
      <c r="T1702" s="359"/>
      <c r="U1702" s="359"/>
      <c r="V1702" s="359"/>
      <c r="W1702" s="359"/>
      <c r="X1702" s="359"/>
      <c r="Y1702" s="359"/>
      <c r="Z1702" s="359"/>
      <c r="AA1702" s="359"/>
    </row>
    <row r="1703" spans="1:27">
      <c r="A1703" s="359"/>
      <c r="B1703" s="359"/>
      <c r="C1703" s="359"/>
      <c r="D1703" s="359"/>
      <c r="E1703" s="359"/>
      <c r="F1703" s="359"/>
      <c r="G1703" s="359"/>
      <c r="H1703" s="359"/>
      <c r="I1703" s="359"/>
      <c r="J1703" s="359"/>
      <c r="K1703" s="359"/>
      <c r="L1703" s="359"/>
      <c r="M1703" s="359"/>
      <c r="N1703" s="359"/>
      <c r="O1703" s="359"/>
      <c r="P1703" s="359"/>
      <c r="Q1703" s="359"/>
      <c r="R1703" s="359"/>
      <c r="S1703" s="359"/>
      <c r="T1703" s="359"/>
      <c r="U1703" s="359"/>
      <c r="V1703" s="359"/>
      <c r="W1703" s="359"/>
      <c r="X1703" s="359"/>
      <c r="Y1703" s="359"/>
      <c r="Z1703" s="359"/>
      <c r="AA1703" s="359"/>
    </row>
    <row r="1704" spans="1:27">
      <c r="A1704" s="359"/>
      <c r="B1704" s="359"/>
      <c r="C1704" s="359"/>
      <c r="D1704" s="359"/>
      <c r="E1704" s="359"/>
      <c r="F1704" s="359"/>
      <c r="G1704" s="359"/>
      <c r="H1704" s="359"/>
      <c r="I1704" s="359"/>
      <c r="J1704" s="359"/>
      <c r="K1704" s="359"/>
      <c r="L1704" s="359"/>
      <c r="M1704" s="359"/>
      <c r="N1704" s="359"/>
      <c r="O1704" s="359"/>
      <c r="P1704" s="359"/>
      <c r="Q1704" s="359"/>
      <c r="R1704" s="359"/>
      <c r="S1704" s="359"/>
      <c r="T1704" s="359"/>
      <c r="U1704" s="359"/>
      <c r="V1704" s="359"/>
      <c r="W1704" s="359"/>
      <c r="X1704" s="359"/>
      <c r="Y1704" s="359"/>
      <c r="Z1704" s="359"/>
      <c r="AA1704" s="359"/>
    </row>
    <row r="1705" spans="1:27">
      <c r="A1705" s="359"/>
      <c r="B1705" s="359"/>
      <c r="C1705" s="359"/>
      <c r="D1705" s="359"/>
      <c r="E1705" s="359"/>
      <c r="F1705" s="359"/>
      <c r="G1705" s="359"/>
      <c r="H1705" s="359"/>
      <c r="I1705" s="359"/>
      <c r="J1705" s="359"/>
      <c r="K1705" s="359"/>
      <c r="L1705" s="359"/>
      <c r="M1705" s="359"/>
      <c r="N1705" s="359"/>
      <c r="O1705" s="359"/>
      <c r="P1705" s="359"/>
      <c r="Q1705" s="359"/>
      <c r="R1705" s="359"/>
      <c r="S1705" s="359"/>
      <c r="T1705" s="359"/>
      <c r="U1705" s="359"/>
      <c r="V1705" s="359"/>
      <c r="W1705" s="359"/>
      <c r="X1705" s="359"/>
      <c r="Y1705" s="359"/>
      <c r="Z1705" s="359"/>
      <c r="AA1705" s="359"/>
    </row>
    <row r="1706" spans="1:27">
      <c r="A1706" s="359"/>
      <c r="B1706" s="359"/>
      <c r="C1706" s="359"/>
      <c r="D1706" s="359"/>
      <c r="E1706" s="359"/>
      <c r="F1706" s="359"/>
      <c r="G1706" s="359"/>
      <c r="H1706" s="359"/>
      <c r="I1706" s="359"/>
      <c r="J1706" s="359"/>
      <c r="K1706" s="359"/>
      <c r="L1706" s="359"/>
      <c r="M1706" s="359"/>
      <c r="N1706" s="359"/>
      <c r="O1706" s="359"/>
      <c r="P1706" s="359"/>
      <c r="Q1706" s="359"/>
      <c r="R1706" s="359"/>
      <c r="S1706" s="359"/>
      <c r="T1706" s="359"/>
      <c r="U1706" s="359"/>
      <c r="V1706" s="359"/>
      <c r="W1706" s="359"/>
      <c r="X1706" s="359"/>
      <c r="Y1706" s="359"/>
      <c r="Z1706" s="359"/>
      <c r="AA1706" s="359"/>
    </row>
    <row r="1707" spans="1:27">
      <c r="A1707" s="359"/>
      <c r="B1707" s="359"/>
      <c r="C1707" s="359"/>
      <c r="D1707" s="359"/>
      <c r="E1707" s="359"/>
      <c r="F1707" s="359"/>
      <c r="G1707" s="359"/>
      <c r="H1707" s="359"/>
      <c r="I1707" s="359"/>
      <c r="J1707" s="359"/>
      <c r="K1707" s="359"/>
      <c r="L1707" s="359"/>
      <c r="M1707" s="359"/>
      <c r="N1707" s="359"/>
      <c r="O1707" s="359"/>
      <c r="P1707" s="359"/>
      <c r="Q1707" s="359"/>
      <c r="R1707" s="359"/>
      <c r="S1707" s="359"/>
      <c r="T1707" s="359"/>
      <c r="U1707" s="359"/>
      <c r="V1707" s="359"/>
      <c r="W1707" s="359"/>
      <c r="X1707" s="359"/>
      <c r="Y1707" s="359"/>
      <c r="Z1707" s="359"/>
      <c r="AA1707" s="359"/>
    </row>
    <row r="1708" spans="1:27">
      <c r="A1708" s="359"/>
      <c r="B1708" s="359"/>
      <c r="C1708" s="359"/>
      <c r="D1708" s="359"/>
      <c r="E1708" s="359"/>
      <c r="F1708" s="359"/>
      <c r="G1708" s="359"/>
      <c r="H1708" s="359"/>
      <c r="I1708" s="359"/>
      <c r="J1708" s="359"/>
      <c r="K1708" s="359"/>
      <c r="L1708" s="359"/>
      <c r="M1708" s="359"/>
      <c r="N1708" s="359"/>
      <c r="O1708" s="359"/>
      <c r="P1708" s="359"/>
      <c r="Q1708" s="359"/>
      <c r="R1708" s="359"/>
      <c r="S1708" s="359"/>
      <c r="T1708" s="359"/>
      <c r="U1708" s="359"/>
      <c r="V1708" s="359"/>
      <c r="W1708" s="359"/>
      <c r="X1708" s="359"/>
      <c r="Y1708" s="359"/>
      <c r="Z1708" s="359"/>
      <c r="AA1708" s="359"/>
    </row>
    <row r="1709" spans="1:27">
      <c r="A1709" s="359"/>
      <c r="B1709" s="359"/>
      <c r="C1709" s="359"/>
      <c r="D1709" s="359"/>
      <c r="E1709" s="359"/>
      <c r="F1709" s="359"/>
      <c r="G1709" s="359"/>
      <c r="H1709" s="359"/>
      <c r="I1709" s="359"/>
      <c r="J1709" s="359"/>
      <c r="K1709" s="359"/>
      <c r="L1709" s="359"/>
      <c r="M1709" s="359"/>
      <c r="N1709" s="359"/>
      <c r="O1709" s="359"/>
      <c r="P1709" s="359"/>
      <c r="Q1709" s="359"/>
      <c r="R1709" s="359"/>
      <c r="S1709" s="359"/>
      <c r="T1709" s="359"/>
      <c r="U1709" s="359"/>
      <c r="V1709" s="359"/>
      <c r="W1709" s="359"/>
      <c r="X1709" s="359"/>
      <c r="Y1709" s="359"/>
      <c r="Z1709" s="359"/>
      <c r="AA1709" s="359"/>
    </row>
    <row r="1710" spans="1:27">
      <c r="A1710" s="359"/>
      <c r="B1710" s="359"/>
      <c r="C1710" s="359"/>
      <c r="D1710" s="359"/>
      <c r="E1710" s="359"/>
      <c r="F1710" s="359"/>
      <c r="G1710" s="359"/>
      <c r="H1710" s="359"/>
      <c r="I1710" s="359"/>
      <c r="J1710" s="359"/>
      <c r="K1710" s="359"/>
      <c r="L1710" s="359"/>
      <c r="M1710" s="359"/>
      <c r="N1710" s="359"/>
      <c r="O1710" s="359"/>
      <c r="P1710" s="359"/>
      <c r="Q1710" s="359"/>
      <c r="R1710" s="359"/>
      <c r="S1710" s="359"/>
      <c r="T1710" s="359"/>
      <c r="U1710" s="359"/>
      <c r="V1710" s="359"/>
      <c r="W1710" s="359"/>
      <c r="X1710" s="359"/>
      <c r="Y1710" s="359"/>
      <c r="Z1710" s="359"/>
      <c r="AA1710" s="359"/>
    </row>
    <row r="1711" spans="1:27">
      <c r="A1711" s="359"/>
      <c r="B1711" s="359"/>
      <c r="C1711" s="359"/>
      <c r="D1711" s="359"/>
      <c r="E1711" s="359"/>
      <c r="F1711" s="359"/>
      <c r="G1711" s="359"/>
      <c r="H1711" s="359"/>
      <c r="I1711" s="359"/>
      <c r="J1711" s="359"/>
      <c r="K1711" s="359"/>
      <c r="L1711" s="359"/>
      <c r="M1711" s="359"/>
      <c r="N1711" s="359"/>
      <c r="O1711" s="359"/>
      <c r="P1711" s="359"/>
      <c r="Q1711" s="359"/>
      <c r="R1711" s="359"/>
      <c r="S1711" s="359"/>
      <c r="T1711" s="359"/>
      <c r="U1711" s="359"/>
      <c r="V1711" s="359"/>
      <c r="W1711" s="359"/>
      <c r="X1711" s="359"/>
      <c r="Y1711" s="359"/>
      <c r="Z1711" s="359"/>
      <c r="AA1711" s="359"/>
    </row>
    <row r="1712" spans="1:27">
      <c r="A1712" s="359"/>
      <c r="B1712" s="359"/>
      <c r="C1712" s="359"/>
      <c r="D1712" s="359"/>
      <c r="E1712" s="359"/>
      <c r="F1712" s="359"/>
      <c r="G1712" s="359"/>
      <c r="H1712" s="359"/>
      <c r="I1712" s="359"/>
      <c r="J1712" s="359"/>
      <c r="K1712" s="359"/>
      <c r="L1712" s="359"/>
      <c r="M1712" s="359"/>
      <c r="N1712" s="359"/>
      <c r="O1712" s="359"/>
      <c r="P1712" s="359"/>
      <c r="Q1712" s="359"/>
      <c r="R1712" s="359"/>
      <c r="S1712" s="359"/>
      <c r="T1712" s="359"/>
      <c r="U1712" s="359"/>
      <c r="V1712" s="359"/>
      <c r="W1712" s="359"/>
      <c r="X1712" s="359"/>
      <c r="Y1712" s="359"/>
      <c r="Z1712" s="359"/>
      <c r="AA1712" s="359"/>
    </row>
    <row r="1713" spans="1:27">
      <c r="A1713" s="359"/>
      <c r="B1713" s="359"/>
      <c r="C1713" s="359"/>
      <c r="D1713" s="359"/>
      <c r="E1713" s="359"/>
      <c r="F1713" s="359"/>
      <c r="G1713" s="359"/>
      <c r="H1713" s="359"/>
      <c r="I1713" s="359"/>
      <c r="J1713" s="359"/>
      <c r="K1713" s="359"/>
      <c r="L1713" s="359"/>
      <c r="M1713" s="359"/>
      <c r="N1713" s="359"/>
      <c r="O1713" s="359"/>
      <c r="P1713" s="359"/>
      <c r="Q1713" s="359"/>
      <c r="R1713" s="359"/>
      <c r="S1713" s="359"/>
      <c r="T1713" s="359"/>
      <c r="U1713" s="359"/>
      <c r="V1713" s="359"/>
      <c r="W1713" s="359"/>
      <c r="X1713" s="359"/>
      <c r="Y1713" s="359"/>
      <c r="Z1713" s="359"/>
      <c r="AA1713" s="359"/>
    </row>
    <row r="1714" spans="1:27">
      <c r="A1714" s="359"/>
      <c r="B1714" s="359"/>
      <c r="C1714" s="359"/>
      <c r="D1714" s="359"/>
      <c r="E1714" s="359"/>
      <c r="F1714" s="359"/>
      <c r="G1714" s="359"/>
      <c r="H1714" s="359"/>
      <c r="I1714" s="359"/>
      <c r="J1714" s="359"/>
      <c r="K1714" s="359"/>
      <c r="L1714" s="359"/>
      <c r="M1714" s="359"/>
      <c r="N1714" s="359"/>
      <c r="O1714" s="359"/>
      <c r="P1714" s="359"/>
      <c r="Q1714" s="359"/>
      <c r="R1714" s="359"/>
      <c r="S1714" s="359"/>
      <c r="T1714" s="359"/>
      <c r="U1714" s="359"/>
      <c r="V1714" s="359"/>
      <c r="W1714" s="359"/>
      <c r="X1714" s="359"/>
      <c r="Y1714" s="359"/>
      <c r="Z1714" s="359"/>
      <c r="AA1714" s="359"/>
    </row>
    <row r="1715" spans="1:27">
      <c r="A1715" s="359"/>
      <c r="B1715" s="359"/>
      <c r="C1715" s="359"/>
      <c r="D1715" s="359"/>
      <c r="E1715" s="359"/>
      <c r="F1715" s="359"/>
      <c r="G1715" s="359"/>
      <c r="H1715" s="359"/>
      <c r="I1715" s="359"/>
      <c r="J1715" s="359"/>
      <c r="K1715" s="359"/>
      <c r="L1715" s="359"/>
      <c r="M1715" s="359"/>
      <c r="N1715" s="359"/>
      <c r="O1715" s="359"/>
      <c r="P1715" s="359"/>
      <c r="Q1715" s="359"/>
      <c r="R1715" s="359"/>
      <c r="S1715" s="359"/>
      <c r="T1715" s="359"/>
      <c r="U1715" s="359"/>
      <c r="V1715" s="359"/>
      <c r="W1715" s="359"/>
      <c r="X1715" s="359"/>
      <c r="Y1715" s="359"/>
      <c r="Z1715" s="359"/>
      <c r="AA1715" s="359"/>
    </row>
    <row r="1716" spans="1:27">
      <c r="A1716" s="359"/>
      <c r="B1716" s="359"/>
      <c r="C1716" s="359"/>
      <c r="D1716" s="359"/>
      <c r="E1716" s="359"/>
      <c r="F1716" s="359"/>
      <c r="G1716" s="359"/>
      <c r="H1716" s="359"/>
      <c r="I1716" s="359"/>
      <c r="J1716" s="359"/>
      <c r="K1716" s="359"/>
      <c r="L1716" s="359"/>
      <c r="M1716" s="359"/>
      <c r="N1716" s="359"/>
      <c r="O1716" s="359"/>
      <c r="P1716" s="359"/>
      <c r="Q1716" s="359"/>
      <c r="R1716" s="359"/>
      <c r="S1716" s="359"/>
      <c r="T1716" s="359"/>
      <c r="U1716" s="359"/>
      <c r="V1716" s="359"/>
      <c r="W1716" s="359"/>
      <c r="X1716" s="359"/>
      <c r="Y1716" s="359"/>
      <c r="Z1716" s="359"/>
      <c r="AA1716" s="359"/>
    </row>
    <row r="1717" spans="1:27">
      <c r="A1717" s="359"/>
      <c r="B1717" s="359"/>
      <c r="C1717" s="359"/>
      <c r="D1717" s="359"/>
      <c r="E1717" s="359"/>
      <c r="F1717" s="359"/>
      <c r="G1717" s="359"/>
      <c r="H1717" s="359"/>
      <c r="I1717" s="359"/>
      <c r="J1717" s="359"/>
      <c r="K1717" s="359"/>
      <c r="L1717" s="359"/>
      <c r="M1717" s="359"/>
      <c r="N1717" s="359"/>
      <c r="O1717" s="359"/>
      <c r="P1717" s="359"/>
      <c r="Q1717" s="359"/>
      <c r="R1717" s="359"/>
      <c r="S1717" s="359"/>
      <c r="T1717" s="359"/>
      <c r="U1717" s="359"/>
      <c r="V1717" s="359"/>
      <c r="W1717" s="359"/>
      <c r="X1717" s="359"/>
      <c r="Y1717" s="359"/>
      <c r="Z1717" s="359"/>
      <c r="AA1717" s="359"/>
    </row>
    <row r="1718" spans="1:27">
      <c r="A1718" s="359"/>
      <c r="B1718" s="359"/>
      <c r="C1718" s="359"/>
      <c r="D1718" s="359"/>
      <c r="E1718" s="359"/>
      <c r="F1718" s="359"/>
      <c r="G1718" s="359"/>
      <c r="H1718" s="359"/>
      <c r="I1718" s="359"/>
      <c r="J1718" s="359"/>
      <c r="K1718" s="359"/>
      <c r="L1718" s="359"/>
      <c r="M1718" s="359"/>
      <c r="N1718" s="359"/>
      <c r="O1718" s="359"/>
      <c r="P1718" s="359"/>
      <c r="Q1718" s="359"/>
      <c r="R1718" s="359"/>
      <c r="S1718" s="359"/>
      <c r="T1718" s="359"/>
      <c r="U1718" s="359"/>
      <c r="V1718" s="359"/>
      <c r="W1718" s="359"/>
      <c r="X1718" s="359"/>
      <c r="Y1718" s="359"/>
      <c r="Z1718" s="359"/>
      <c r="AA1718" s="359"/>
    </row>
    <row r="1719" spans="1:27">
      <c r="A1719" s="359"/>
      <c r="B1719" s="359"/>
      <c r="C1719" s="359"/>
      <c r="D1719" s="359"/>
      <c r="E1719" s="359"/>
      <c r="F1719" s="359"/>
      <c r="G1719" s="359"/>
      <c r="H1719" s="359"/>
      <c r="I1719" s="359"/>
      <c r="J1719" s="359"/>
      <c r="K1719" s="359"/>
      <c r="L1719" s="359"/>
      <c r="M1719" s="359"/>
      <c r="N1719" s="359"/>
      <c r="O1719" s="359"/>
      <c r="P1719" s="359"/>
      <c r="Q1719" s="359"/>
      <c r="R1719" s="359"/>
      <c r="S1719" s="359"/>
      <c r="T1719" s="359"/>
      <c r="U1719" s="359"/>
      <c r="V1719" s="359"/>
      <c r="W1719" s="359"/>
      <c r="X1719" s="359"/>
      <c r="Y1719" s="359"/>
      <c r="Z1719" s="359"/>
      <c r="AA1719" s="359"/>
    </row>
    <row r="1720" spans="1:27">
      <c r="A1720" s="359"/>
      <c r="B1720" s="359"/>
      <c r="C1720" s="359"/>
      <c r="D1720" s="359"/>
      <c r="E1720" s="359"/>
      <c r="F1720" s="359"/>
      <c r="G1720" s="359"/>
      <c r="H1720" s="359"/>
      <c r="I1720" s="359"/>
      <c r="J1720" s="359"/>
      <c r="K1720" s="359"/>
      <c r="L1720" s="359"/>
      <c r="M1720" s="359"/>
      <c r="N1720" s="359"/>
      <c r="O1720" s="359"/>
      <c r="P1720" s="359"/>
      <c r="Q1720" s="359"/>
      <c r="R1720" s="359"/>
      <c r="S1720" s="359"/>
      <c r="T1720" s="359"/>
      <c r="U1720" s="359"/>
      <c r="V1720" s="359"/>
      <c r="W1720" s="359"/>
      <c r="X1720" s="359"/>
      <c r="Y1720" s="359"/>
      <c r="Z1720" s="359"/>
      <c r="AA1720" s="359"/>
    </row>
    <row r="1721" spans="1:27">
      <c r="A1721" s="359"/>
      <c r="B1721" s="359"/>
      <c r="C1721" s="359"/>
      <c r="D1721" s="359"/>
      <c r="E1721" s="359"/>
      <c r="F1721" s="359"/>
      <c r="G1721" s="359"/>
      <c r="H1721" s="359"/>
      <c r="I1721" s="359"/>
      <c r="J1721" s="359"/>
      <c r="K1721" s="359"/>
      <c r="L1721" s="359"/>
      <c r="M1721" s="359"/>
      <c r="N1721" s="359"/>
      <c r="O1721" s="359"/>
      <c r="P1721" s="359"/>
      <c r="Q1721" s="359"/>
      <c r="R1721" s="359"/>
      <c r="S1721" s="359"/>
      <c r="T1721" s="359"/>
      <c r="U1721" s="359"/>
      <c r="V1721" s="359"/>
      <c r="W1721" s="359"/>
      <c r="X1721" s="359"/>
      <c r="Y1721" s="359"/>
      <c r="Z1721" s="359"/>
      <c r="AA1721" s="359"/>
    </row>
    <row r="1722" spans="1:27">
      <c r="A1722" s="359"/>
      <c r="B1722" s="359"/>
      <c r="C1722" s="359"/>
      <c r="D1722" s="359"/>
      <c r="E1722" s="359"/>
      <c r="F1722" s="359"/>
      <c r="G1722" s="359"/>
      <c r="H1722" s="359"/>
      <c r="I1722" s="359"/>
      <c r="J1722" s="359"/>
      <c r="K1722" s="359"/>
      <c r="L1722" s="359"/>
      <c r="M1722" s="359"/>
      <c r="N1722" s="359"/>
      <c r="O1722" s="359"/>
      <c r="P1722" s="359"/>
      <c r="Q1722" s="359"/>
      <c r="R1722" s="359"/>
      <c r="S1722" s="359"/>
      <c r="T1722" s="359"/>
      <c r="U1722" s="359"/>
      <c r="V1722" s="359"/>
      <c r="W1722" s="359"/>
      <c r="X1722" s="359"/>
      <c r="Y1722" s="359"/>
      <c r="Z1722" s="359"/>
      <c r="AA1722" s="359"/>
    </row>
    <row r="1723" spans="1:27">
      <c r="A1723" s="359"/>
      <c r="B1723" s="359"/>
      <c r="C1723" s="359"/>
      <c r="D1723" s="359"/>
      <c r="E1723" s="359"/>
      <c r="F1723" s="359"/>
      <c r="G1723" s="359"/>
      <c r="H1723" s="359"/>
      <c r="I1723" s="359"/>
      <c r="J1723" s="359"/>
      <c r="K1723" s="359"/>
      <c r="L1723" s="359"/>
      <c r="M1723" s="359"/>
      <c r="N1723" s="359"/>
      <c r="O1723" s="359"/>
      <c r="P1723" s="359"/>
      <c r="Q1723" s="359"/>
      <c r="R1723" s="359"/>
      <c r="S1723" s="359"/>
      <c r="T1723" s="359"/>
      <c r="U1723" s="359"/>
      <c r="V1723" s="359"/>
      <c r="W1723" s="359"/>
      <c r="X1723" s="359"/>
      <c r="Y1723" s="359"/>
      <c r="Z1723" s="359"/>
      <c r="AA1723" s="359"/>
    </row>
    <row r="1724" spans="1:27">
      <c r="A1724" s="359"/>
      <c r="B1724" s="359"/>
      <c r="C1724" s="359"/>
      <c r="D1724" s="359"/>
      <c r="E1724" s="359"/>
      <c r="F1724" s="359"/>
      <c r="G1724" s="359"/>
      <c r="H1724" s="359"/>
      <c r="I1724" s="359"/>
      <c r="J1724" s="359"/>
      <c r="K1724" s="359"/>
      <c r="L1724" s="359"/>
      <c r="M1724" s="359"/>
      <c r="N1724" s="359"/>
      <c r="O1724" s="359"/>
      <c r="P1724" s="359"/>
      <c r="Q1724" s="359"/>
      <c r="R1724" s="359"/>
      <c r="S1724" s="359"/>
      <c r="T1724" s="359"/>
      <c r="U1724" s="359"/>
      <c r="V1724" s="359"/>
      <c r="W1724" s="359"/>
      <c r="X1724" s="359"/>
      <c r="Y1724" s="359"/>
      <c r="Z1724" s="359"/>
      <c r="AA1724" s="359"/>
    </row>
    <row r="1725" spans="1:27">
      <c r="A1725" s="359"/>
      <c r="B1725" s="359"/>
      <c r="C1725" s="359"/>
      <c r="D1725" s="359"/>
      <c r="E1725" s="359"/>
      <c r="F1725" s="359"/>
      <c r="G1725" s="359"/>
      <c r="H1725" s="359"/>
      <c r="I1725" s="359"/>
      <c r="J1725" s="359"/>
      <c r="K1725" s="359"/>
      <c r="L1725" s="359"/>
      <c r="M1725" s="359"/>
      <c r="N1725" s="359"/>
      <c r="O1725" s="359"/>
      <c r="P1725" s="359"/>
      <c r="Q1725" s="359"/>
      <c r="R1725" s="359"/>
      <c r="S1725" s="359"/>
      <c r="T1725" s="359"/>
      <c r="U1725" s="359"/>
      <c r="V1725" s="359"/>
      <c r="W1725" s="359"/>
      <c r="X1725" s="359"/>
      <c r="Y1725" s="359"/>
      <c r="Z1725" s="359"/>
      <c r="AA1725" s="359"/>
    </row>
    <row r="1726" spans="1:27">
      <c r="A1726" s="359"/>
      <c r="B1726" s="359"/>
      <c r="C1726" s="359"/>
      <c r="D1726" s="359"/>
      <c r="E1726" s="359"/>
      <c r="F1726" s="359"/>
      <c r="G1726" s="359"/>
      <c r="H1726" s="359"/>
      <c r="I1726" s="359"/>
      <c r="J1726" s="359"/>
      <c r="K1726" s="359"/>
      <c r="L1726" s="359"/>
      <c r="M1726" s="359"/>
      <c r="N1726" s="359"/>
      <c r="O1726" s="359"/>
      <c r="P1726" s="359"/>
      <c r="Q1726" s="359"/>
      <c r="R1726" s="359"/>
      <c r="S1726" s="359"/>
      <c r="T1726" s="359"/>
      <c r="U1726" s="359"/>
      <c r="V1726" s="359"/>
      <c r="W1726" s="359"/>
      <c r="X1726" s="359"/>
      <c r="Y1726" s="359"/>
      <c r="Z1726" s="359"/>
      <c r="AA1726" s="359"/>
    </row>
    <row r="1727" spans="1:27">
      <c r="A1727" s="359"/>
      <c r="B1727" s="359"/>
      <c r="C1727" s="359"/>
      <c r="D1727" s="359"/>
      <c r="E1727" s="359"/>
      <c r="F1727" s="359"/>
      <c r="G1727" s="359"/>
      <c r="H1727" s="359"/>
      <c r="I1727" s="359"/>
      <c r="J1727" s="359"/>
      <c r="K1727" s="359"/>
      <c r="L1727" s="359"/>
      <c r="M1727" s="359"/>
      <c r="N1727" s="359"/>
      <c r="O1727" s="359"/>
      <c r="P1727" s="359"/>
      <c r="Q1727" s="359"/>
      <c r="R1727" s="359"/>
      <c r="S1727" s="359"/>
      <c r="T1727" s="359"/>
      <c r="U1727" s="359"/>
      <c r="V1727" s="359"/>
      <c r="W1727" s="359"/>
      <c r="X1727" s="359"/>
      <c r="Y1727" s="359"/>
      <c r="Z1727" s="359"/>
      <c r="AA1727" s="359"/>
    </row>
    <row r="1728" spans="1:27">
      <c r="A1728" s="359"/>
      <c r="B1728" s="359"/>
      <c r="C1728" s="359"/>
      <c r="D1728" s="359"/>
      <c r="E1728" s="359"/>
      <c r="F1728" s="359"/>
      <c r="G1728" s="359"/>
      <c r="H1728" s="359"/>
      <c r="I1728" s="359"/>
      <c r="J1728" s="359"/>
      <c r="K1728" s="359"/>
      <c r="L1728" s="359"/>
      <c r="M1728" s="359"/>
      <c r="N1728" s="359"/>
      <c r="O1728" s="359"/>
      <c r="P1728" s="359"/>
      <c r="Q1728" s="359"/>
      <c r="R1728" s="359"/>
      <c r="S1728" s="359"/>
      <c r="T1728" s="359"/>
      <c r="U1728" s="359"/>
      <c r="V1728" s="359"/>
      <c r="W1728" s="359"/>
      <c r="X1728" s="359"/>
      <c r="Y1728" s="359"/>
      <c r="Z1728" s="359"/>
      <c r="AA1728" s="359"/>
    </row>
    <row r="1729" spans="1:27">
      <c r="A1729" s="359"/>
      <c r="B1729" s="359"/>
      <c r="C1729" s="359"/>
      <c r="D1729" s="359"/>
      <c r="E1729" s="359"/>
      <c r="F1729" s="359"/>
      <c r="G1729" s="359"/>
      <c r="H1729" s="359"/>
      <c r="I1729" s="359"/>
      <c r="J1729" s="359"/>
      <c r="K1729" s="359"/>
      <c r="L1729" s="359"/>
      <c r="M1729" s="359"/>
      <c r="N1729" s="359"/>
      <c r="O1729" s="359"/>
      <c r="P1729" s="359"/>
      <c r="Q1729" s="359"/>
      <c r="R1729" s="359"/>
      <c r="S1729" s="359"/>
      <c r="T1729" s="359"/>
      <c r="U1729" s="359"/>
      <c r="V1729" s="359"/>
      <c r="W1729" s="359"/>
      <c r="X1729" s="359"/>
      <c r="Y1729" s="359"/>
      <c r="Z1729" s="359"/>
      <c r="AA1729" s="359"/>
    </row>
    <row r="1730" spans="1:27">
      <c r="A1730" s="359"/>
      <c r="B1730" s="359"/>
      <c r="C1730" s="359"/>
      <c r="D1730" s="359"/>
      <c r="E1730" s="359"/>
      <c r="F1730" s="359"/>
      <c r="G1730" s="359"/>
      <c r="H1730" s="359"/>
      <c r="I1730" s="359"/>
      <c r="J1730" s="359"/>
      <c r="K1730" s="359"/>
      <c r="L1730" s="359"/>
      <c r="M1730" s="359"/>
      <c r="N1730" s="359"/>
      <c r="O1730" s="359"/>
      <c r="P1730" s="359"/>
      <c r="Q1730" s="359"/>
      <c r="R1730" s="359"/>
      <c r="S1730" s="359"/>
      <c r="T1730" s="359"/>
      <c r="U1730" s="359"/>
      <c r="V1730" s="359"/>
      <c r="W1730" s="359"/>
      <c r="X1730" s="359"/>
      <c r="Y1730" s="359"/>
      <c r="Z1730" s="359"/>
      <c r="AA1730" s="359"/>
    </row>
    <row r="1731" spans="1:27">
      <c r="A1731" s="359"/>
      <c r="B1731" s="359"/>
      <c r="C1731" s="359"/>
      <c r="D1731" s="359"/>
      <c r="E1731" s="359"/>
      <c r="F1731" s="359"/>
      <c r="G1731" s="359"/>
      <c r="H1731" s="359"/>
      <c r="I1731" s="359"/>
      <c r="J1731" s="359"/>
      <c r="K1731" s="359"/>
      <c r="L1731" s="359"/>
      <c r="M1731" s="359"/>
      <c r="N1731" s="359"/>
      <c r="O1731" s="359"/>
      <c r="P1731" s="359"/>
      <c r="Q1731" s="359"/>
      <c r="R1731" s="359"/>
      <c r="S1731" s="359"/>
      <c r="T1731" s="359"/>
      <c r="U1731" s="359"/>
      <c r="V1731" s="359"/>
      <c r="W1731" s="359"/>
      <c r="X1731" s="359"/>
      <c r="Y1731" s="359"/>
      <c r="Z1731" s="359"/>
      <c r="AA1731" s="359"/>
    </row>
    <row r="1732" spans="1:27">
      <c r="A1732" s="359"/>
      <c r="B1732" s="359"/>
      <c r="C1732" s="359"/>
      <c r="D1732" s="359"/>
      <c r="E1732" s="359"/>
      <c r="F1732" s="359"/>
      <c r="G1732" s="359"/>
      <c r="H1732" s="359"/>
      <c r="I1732" s="359"/>
      <c r="J1732" s="359"/>
      <c r="K1732" s="359"/>
      <c r="L1732" s="359"/>
      <c r="M1732" s="359"/>
      <c r="N1732" s="359"/>
      <c r="O1732" s="359"/>
      <c r="P1732" s="359"/>
      <c r="Q1732" s="359"/>
      <c r="R1732" s="359"/>
      <c r="S1732" s="359"/>
      <c r="T1732" s="359"/>
      <c r="U1732" s="359"/>
      <c r="V1732" s="359"/>
      <c r="W1732" s="359"/>
      <c r="X1732" s="359"/>
      <c r="Y1732" s="359"/>
      <c r="Z1732" s="359"/>
      <c r="AA1732" s="359"/>
    </row>
    <row r="1733" spans="1:27">
      <c r="A1733" s="359"/>
      <c r="B1733" s="359"/>
      <c r="C1733" s="359"/>
      <c r="D1733" s="359"/>
      <c r="E1733" s="359"/>
      <c r="F1733" s="359"/>
      <c r="G1733" s="359"/>
      <c r="H1733" s="359"/>
      <c r="I1733" s="359"/>
      <c r="J1733" s="359"/>
      <c r="K1733" s="359"/>
      <c r="L1733" s="359"/>
      <c r="M1733" s="359"/>
      <c r="N1733" s="359"/>
      <c r="O1733" s="359"/>
      <c r="P1733" s="359"/>
      <c r="Q1733" s="359"/>
      <c r="R1733" s="359"/>
      <c r="S1733" s="359"/>
      <c r="T1733" s="359"/>
      <c r="U1733" s="359"/>
      <c r="V1733" s="359"/>
      <c r="W1733" s="359"/>
      <c r="X1733" s="359"/>
      <c r="Y1733" s="359"/>
      <c r="Z1733" s="359"/>
      <c r="AA1733" s="359"/>
    </row>
    <row r="1734" spans="1:27">
      <c r="A1734" s="359"/>
      <c r="B1734" s="359"/>
      <c r="C1734" s="359"/>
      <c r="D1734" s="359"/>
      <c r="E1734" s="359"/>
      <c r="F1734" s="359"/>
      <c r="G1734" s="359"/>
      <c r="H1734" s="359"/>
      <c r="I1734" s="359"/>
      <c r="J1734" s="359"/>
      <c r="K1734" s="359"/>
      <c r="L1734" s="359"/>
      <c r="M1734" s="359"/>
      <c r="N1734" s="359"/>
      <c r="O1734" s="359"/>
      <c r="P1734" s="359"/>
      <c r="Q1734" s="359"/>
      <c r="R1734" s="359"/>
      <c r="S1734" s="359"/>
      <c r="T1734" s="359"/>
      <c r="U1734" s="359"/>
      <c r="V1734" s="359"/>
      <c r="W1734" s="359"/>
      <c r="X1734" s="359"/>
      <c r="Y1734" s="359"/>
      <c r="Z1734" s="359"/>
      <c r="AA1734" s="359"/>
    </row>
    <row r="1735" spans="1:27">
      <c r="A1735" s="359"/>
      <c r="B1735" s="359"/>
      <c r="C1735" s="359"/>
      <c r="D1735" s="359"/>
      <c r="E1735" s="359"/>
      <c r="F1735" s="359"/>
      <c r="G1735" s="359"/>
      <c r="H1735" s="359"/>
      <c r="I1735" s="359"/>
      <c r="J1735" s="359"/>
      <c r="K1735" s="359"/>
      <c r="L1735" s="359"/>
      <c r="M1735" s="359"/>
      <c r="N1735" s="359"/>
      <c r="O1735" s="359"/>
      <c r="P1735" s="359"/>
      <c r="Q1735" s="359"/>
      <c r="R1735" s="359"/>
      <c r="S1735" s="359"/>
      <c r="T1735" s="359"/>
      <c r="U1735" s="359"/>
      <c r="V1735" s="359"/>
      <c r="W1735" s="359"/>
      <c r="X1735" s="359"/>
      <c r="Y1735" s="359"/>
      <c r="Z1735" s="359"/>
      <c r="AA1735" s="359"/>
    </row>
    <row r="1736" spans="1:27">
      <c r="A1736" s="359"/>
      <c r="B1736" s="359"/>
      <c r="C1736" s="359"/>
      <c r="D1736" s="359"/>
      <c r="E1736" s="359"/>
      <c r="F1736" s="359"/>
      <c r="G1736" s="359"/>
      <c r="H1736" s="359"/>
      <c r="I1736" s="359"/>
      <c r="J1736" s="359"/>
      <c r="K1736" s="359"/>
      <c r="L1736" s="359"/>
      <c r="M1736" s="359"/>
      <c r="N1736" s="359"/>
      <c r="O1736" s="359"/>
      <c r="P1736" s="359"/>
      <c r="Q1736" s="359"/>
      <c r="R1736" s="359"/>
      <c r="S1736" s="359"/>
      <c r="T1736" s="359"/>
      <c r="U1736" s="359"/>
      <c r="V1736" s="359"/>
      <c r="W1736" s="359"/>
      <c r="X1736" s="359"/>
      <c r="Y1736" s="359"/>
      <c r="Z1736" s="359"/>
      <c r="AA1736" s="359"/>
    </row>
    <row r="1737" spans="1:27">
      <c r="A1737" s="359"/>
      <c r="B1737" s="359"/>
      <c r="C1737" s="359"/>
      <c r="D1737" s="359"/>
      <c r="E1737" s="359"/>
      <c r="F1737" s="359"/>
      <c r="G1737" s="359"/>
      <c r="H1737" s="359"/>
      <c r="I1737" s="359"/>
      <c r="J1737" s="359"/>
      <c r="K1737" s="359"/>
      <c r="L1737" s="359"/>
      <c r="M1737" s="359"/>
      <c r="N1737" s="359"/>
      <c r="O1737" s="359"/>
      <c r="P1737" s="359"/>
      <c r="Q1737" s="359"/>
      <c r="R1737" s="359"/>
      <c r="S1737" s="359"/>
      <c r="T1737" s="359"/>
      <c r="U1737" s="359"/>
      <c r="V1737" s="359"/>
      <c r="W1737" s="359"/>
      <c r="X1737" s="359"/>
      <c r="Y1737" s="359"/>
      <c r="Z1737" s="359"/>
      <c r="AA1737" s="359"/>
    </row>
    <row r="1738" spans="1:27">
      <c r="A1738" s="359"/>
      <c r="B1738" s="359"/>
      <c r="C1738" s="359"/>
      <c r="D1738" s="359"/>
      <c r="E1738" s="359"/>
      <c r="F1738" s="359"/>
      <c r="G1738" s="359"/>
      <c r="H1738" s="359"/>
      <c r="I1738" s="359"/>
      <c r="J1738" s="359"/>
      <c r="K1738" s="359"/>
      <c r="L1738" s="359"/>
      <c r="M1738" s="359"/>
      <c r="N1738" s="359"/>
      <c r="O1738" s="359"/>
      <c r="P1738" s="359"/>
      <c r="Q1738" s="359"/>
      <c r="R1738" s="359"/>
      <c r="S1738" s="359"/>
      <c r="T1738" s="359"/>
      <c r="U1738" s="359"/>
      <c r="V1738" s="359"/>
      <c r="W1738" s="359"/>
      <c r="X1738" s="359"/>
      <c r="Y1738" s="359"/>
      <c r="Z1738" s="359"/>
      <c r="AA1738" s="359"/>
    </row>
    <row r="1739" spans="1:27">
      <c r="A1739" s="359"/>
      <c r="B1739" s="359"/>
      <c r="C1739" s="359"/>
      <c r="D1739" s="359"/>
      <c r="E1739" s="359"/>
      <c r="F1739" s="359"/>
      <c r="G1739" s="359"/>
      <c r="H1739" s="359"/>
      <c r="I1739" s="359"/>
      <c r="J1739" s="359"/>
      <c r="K1739" s="359"/>
      <c r="L1739" s="359"/>
      <c r="M1739" s="359"/>
      <c r="N1739" s="359"/>
      <c r="O1739" s="359"/>
      <c r="P1739" s="359"/>
      <c r="Q1739" s="359"/>
      <c r="R1739" s="359"/>
      <c r="S1739" s="359"/>
      <c r="T1739" s="359"/>
      <c r="U1739" s="359"/>
      <c r="V1739" s="359"/>
      <c r="W1739" s="359"/>
      <c r="X1739" s="359"/>
      <c r="Y1739" s="359"/>
      <c r="Z1739" s="359"/>
      <c r="AA1739" s="359"/>
    </row>
    <row r="1740" spans="1:27">
      <c r="A1740" s="359"/>
      <c r="B1740" s="359"/>
      <c r="C1740" s="359"/>
      <c r="D1740" s="359"/>
      <c r="E1740" s="359"/>
      <c r="F1740" s="359"/>
      <c r="G1740" s="359"/>
      <c r="H1740" s="359"/>
      <c r="I1740" s="359"/>
      <c r="J1740" s="359"/>
      <c r="K1740" s="359"/>
      <c r="L1740" s="359"/>
      <c r="M1740" s="359"/>
      <c r="N1740" s="359"/>
      <c r="O1740" s="359"/>
      <c r="P1740" s="359"/>
      <c r="Q1740" s="359"/>
      <c r="R1740" s="359"/>
      <c r="S1740" s="359"/>
      <c r="T1740" s="359"/>
      <c r="U1740" s="359"/>
      <c r="V1740" s="359"/>
      <c r="W1740" s="359"/>
      <c r="X1740" s="359"/>
      <c r="Y1740" s="359"/>
      <c r="Z1740" s="359"/>
      <c r="AA1740" s="359"/>
    </row>
    <row r="1741" spans="1:27">
      <c r="A1741" s="359"/>
      <c r="B1741" s="359"/>
      <c r="C1741" s="359"/>
      <c r="D1741" s="359"/>
      <c r="E1741" s="359"/>
      <c r="F1741" s="359"/>
      <c r="G1741" s="359"/>
      <c r="H1741" s="359"/>
      <c r="I1741" s="359"/>
      <c r="J1741" s="359"/>
      <c r="K1741" s="359"/>
      <c r="L1741" s="359"/>
      <c r="M1741" s="359"/>
      <c r="N1741" s="359"/>
      <c r="O1741" s="359"/>
      <c r="P1741" s="359"/>
      <c r="Q1741" s="359"/>
      <c r="R1741" s="359"/>
      <c r="S1741" s="359"/>
      <c r="T1741" s="359"/>
      <c r="U1741" s="359"/>
      <c r="V1741" s="359"/>
      <c r="W1741" s="359"/>
      <c r="X1741" s="359"/>
      <c r="Y1741" s="359"/>
      <c r="Z1741" s="359"/>
      <c r="AA1741" s="359"/>
    </row>
    <row r="1742" spans="1:27">
      <c r="A1742" s="359"/>
      <c r="B1742" s="359"/>
      <c r="C1742" s="359"/>
      <c r="D1742" s="359"/>
      <c r="E1742" s="359"/>
      <c r="F1742" s="359"/>
      <c r="G1742" s="359"/>
      <c r="H1742" s="359"/>
      <c r="I1742" s="359"/>
      <c r="J1742" s="359"/>
      <c r="K1742" s="359"/>
      <c r="L1742" s="359"/>
      <c r="M1742" s="359"/>
      <c r="N1742" s="359"/>
      <c r="O1742" s="359"/>
      <c r="P1742" s="359"/>
      <c r="Q1742" s="359"/>
      <c r="R1742" s="359"/>
      <c r="S1742" s="359"/>
      <c r="T1742" s="359"/>
      <c r="U1742" s="359"/>
      <c r="V1742" s="359"/>
      <c r="W1742" s="359"/>
      <c r="X1742" s="359"/>
      <c r="Y1742" s="359"/>
      <c r="Z1742" s="359"/>
      <c r="AA1742" s="359"/>
    </row>
    <row r="1743" spans="1:27">
      <c r="A1743" s="359"/>
      <c r="B1743" s="359"/>
      <c r="C1743" s="359"/>
      <c r="D1743" s="359"/>
      <c r="E1743" s="359"/>
      <c r="F1743" s="359"/>
      <c r="G1743" s="359"/>
      <c r="H1743" s="359"/>
      <c r="I1743" s="359"/>
      <c r="J1743" s="359"/>
      <c r="K1743" s="359"/>
      <c r="L1743" s="359"/>
      <c r="M1743" s="359"/>
      <c r="N1743" s="359"/>
      <c r="O1743" s="359"/>
      <c r="P1743" s="359"/>
      <c r="Q1743" s="359"/>
      <c r="R1743" s="359"/>
      <c r="S1743" s="359"/>
      <c r="T1743" s="359"/>
      <c r="U1743" s="359"/>
      <c r="V1743" s="359"/>
      <c r="W1743" s="359"/>
      <c r="X1743" s="359"/>
      <c r="Y1743" s="359"/>
      <c r="Z1743" s="359"/>
      <c r="AA1743" s="359"/>
    </row>
    <row r="1744" spans="1:27">
      <c r="A1744" s="359"/>
      <c r="B1744" s="359"/>
      <c r="C1744" s="359"/>
      <c r="D1744" s="359"/>
      <c r="E1744" s="359"/>
      <c r="F1744" s="359"/>
      <c r="G1744" s="359"/>
      <c r="H1744" s="359"/>
      <c r="I1744" s="359"/>
      <c r="J1744" s="359"/>
      <c r="K1744" s="359"/>
      <c r="L1744" s="359"/>
      <c r="M1744" s="359"/>
      <c r="N1744" s="359"/>
      <c r="O1744" s="359"/>
      <c r="P1744" s="359"/>
      <c r="Q1744" s="359"/>
      <c r="R1744" s="359"/>
      <c r="S1744" s="359"/>
      <c r="T1744" s="359"/>
      <c r="U1744" s="359"/>
      <c r="V1744" s="359"/>
      <c r="W1744" s="359"/>
      <c r="X1744" s="359"/>
      <c r="Y1744" s="359"/>
      <c r="Z1744" s="359"/>
      <c r="AA1744" s="359"/>
    </row>
    <row r="1745" spans="1:27">
      <c r="A1745" s="359"/>
      <c r="B1745" s="359"/>
      <c r="C1745" s="359"/>
      <c r="D1745" s="359"/>
      <c r="E1745" s="359"/>
      <c r="F1745" s="359"/>
      <c r="G1745" s="359"/>
      <c r="H1745" s="359"/>
      <c r="I1745" s="359"/>
      <c r="J1745" s="359"/>
      <c r="K1745" s="359"/>
      <c r="L1745" s="359"/>
      <c r="M1745" s="359"/>
      <c r="N1745" s="359"/>
      <c r="O1745" s="359"/>
      <c r="P1745" s="359"/>
      <c r="Q1745" s="359"/>
      <c r="R1745" s="359"/>
      <c r="S1745" s="359"/>
      <c r="T1745" s="359"/>
      <c r="U1745" s="359"/>
      <c r="V1745" s="359"/>
      <c r="W1745" s="359"/>
      <c r="X1745" s="359"/>
      <c r="Y1745" s="359"/>
      <c r="Z1745" s="359"/>
      <c r="AA1745" s="359"/>
    </row>
    <row r="1746" spans="1:27">
      <c r="A1746" s="359"/>
      <c r="B1746" s="359"/>
      <c r="C1746" s="359"/>
      <c r="D1746" s="359"/>
      <c r="E1746" s="359"/>
      <c r="F1746" s="359"/>
      <c r="G1746" s="359"/>
      <c r="H1746" s="359"/>
      <c r="I1746" s="359"/>
      <c r="J1746" s="359"/>
      <c r="K1746" s="359"/>
      <c r="L1746" s="359"/>
      <c r="M1746" s="359"/>
      <c r="N1746" s="359"/>
      <c r="O1746" s="359"/>
      <c r="P1746" s="359"/>
      <c r="Q1746" s="359"/>
      <c r="R1746" s="359"/>
      <c r="S1746" s="359"/>
      <c r="T1746" s="359"/>
      <c r="U1746" s="359"/>
      <c r="V1746" s="359"/>
      <c r="W1746" s="359"/>
      <c r="X1746" s="359"/>
      <c r="Y1746" s="359"/>
      <c r="Z1746" s="359"/>
      <c r="AA1746" s="359"/>
    </row>
    <row r="1747" spans="1:27">
      <c r="A1747" s="359"/>
      <c r="B1747" s="359"/>
      <c r="C1747" s="359"/>
      <c r="D1747" s="359"/>
      <c r="E1747" s="359"/>
      <c r="F1747" s="359"/>
      <c r="G1747" s="359"/>
      <c r="H1747" s="359"/>
      <c r="I1747" s="359"/>
      <c r="J1747" s="359"/>
      <c r="K1747" s="359"/>
      <c r="L1747" s="359"/>
      <c r="M1747" s="359"/>
      <c r="N1747" s="359"/>
      <c r="O1747" s="359"/>
      <c r="P1747" s="359"/>
      <c r="Q1747" s="359"/>
      <c r="R1747" s="359"/>
      <c r="S1747" s="359"/>
      <c r="T1747" s="359"/>
      <c r="U1747" s="359"/>
      <c r="V1747" s="359"/>
      <c r="W1747" s="359"/>
      <c r="X1747" s="359"/>
      <c r="Y1747" s="359"/>
      <c r="Z1747" s="359"/>
      <c r="AA1747" s="359"/>
    </row>
    <row r="1748" spans="1:27">
      <c r="A1748" s="359"/>
      <c r="B1748" s="359"/>
      <c r="C1748" s="359"/>
      <c r="D1748" s="359"/>
      <c r="E1748" s="359"/>
      <c r="F1748" s="359"/>
      <c r="G1748" s="359"/>
      <c r="H1748" s="359"/>
      <c r="I1748" s="359"/>
      <c r="J1748" s="359"/>
      <c r="K1748" s="359"/>
      <c r="L1748" s="359"/>
      <c r="M1748" s="359"/>
      <c r="N1748" s="359"/>
      <c r="O1748" s="359"/>
      <c r="P1748" s="359"/>
      <c r="Q1748" s="359"/>
      <c r="R1748" s="359"/>
      <c r="S1748" s="359"/>
      <c r="T1748" s="359"/>
      <c r="U1748" s="359"/>
      <c r="V1748" s="359"/>
      <c r="W1748" s="359"/>
      <c r="X1748" s="359"/>
      <c r="Y1748" s="359"/>
      <c r="Z1748" s="359"/>
      <c r="AA1748" s="359"/>
    </row>
    <row r="1749" spans="1:27">
      <c r="A1749" s="359"/>
      <c r="B1749" s="359"/>
      <c r="C1749" s="359"/>
      <c r="D1749" s="359"/>
      <c r="E1749" s="359"/>
      <c r="F1749" s="359"/>
      <c r="G1749" s="359"/>
      <c r="H1749" s="359"/>
      <c r="I1749" s="359"/>
      <c r="J1749" s="359"/>
      <c r="K1749" s="359"/>
      <c r="L1749" s="359"/>
      <c r="M1749" s="359"/>
      <c r="N1749" s="359"/>
      <c r="O1749" s="359"/>
      <c r="P1749" s="359"/>
      <c r="Q1749" s="359"/>
      <c r="R1749" s="359"/>
      <c r="S1749" s="359"/>
      <c r="T1749" s="359"/>
      <c r="U1749" s="359"/>
      <c r="V1749" s="359"/>
      <c r="W1749" s="359"/>
      <c r="X1749" s="359"/>
      <c r="Y1749" s="359"/>
      <c r="Z1749" s="359"/>
      <c r="AA1749" s="359"/>
    </row>
    <row r="1750" spans="1:27">
      <c r="A1750" s="359"/>
      <c r="B1750" s="359"/>
      <c r="C1750" s="359"/>
      <c r="D1750" s="359"/>
      <c r="E1750" s="359"/>
      <c r="F1750" s="359"/>
      <c r="G1750" s="359"/>
      <c r="H1750" s="359"/>
      <c r="I1750" s="359"/>
      <c r="J1750" s="359"/>
      <c r="K1750" s="359"/>
      <c r="L1750" s="359"/>
      <c r="M1750" s="359"/>
      <c r="N1750" s="359"/>
      <c r="O1750" s="359"/>
      <c r="P1750" s="359"/>
      <c r="Q1750" s="359"/>
      <c r="R1750" s="359"/>
      <c r="S1750" s="359"/>
      <c r="T1750" s="359"/>
      <c r="U1750" s="359"/>
      <c r="V1750" s="359"/>
      <c r="W1750" s="359"/>
      <c r="X1750" s="359"/>
      <c r="Y1750" s="359"/>
      <c r="Z1750" s="359"/>
      <c r="AA1750" s="359"/>
    </row>
    <row r="1751" spans="1:27">
      <c r="A1751" s="359"/>
      <c r="B1751" s="359"/>
      <c r="C1751" s="359"/>
      <c r="D1751" s="359"/>
      <c r="E1751" s="359"/>
      <c r="F1751" s="359"/>
      <c r="G1751" s="359"/>
      <c r="H1751" s="359"/>
      <c r="I1751" s="359"/>
      <c r="J1751" s="359"/>
      <c r="K1751" s="359"/>
      <c r="L1751" s="359"/>
      <c r="M1751" s="359"/>
      <c r="N1751" s="359"/>
      <c r="O1751" s="359"/>
      <c r="P1751" s="359"/>
      <c r="Q1751" s="359"/>
      <c r="R1751" s="359"/>
      <c r="S1751" s="359"/>
      <c r="T1751" s="359"/>
      <c r="U1751" s="359"/>
      <c r="V1751" s="359"/>
      <c r="W1751" s="359"/>
      <c r="X1751" s="359"/>
      <c r="Y1751" s="359"/>
      <c r="Z1751" s="359"/>
      <c r="AA1751" s="359"/>
    </row>
    <row r="1752" spans="1:27">
      <c r="A1752" s="359"/>
      <c r="B1752" s="359"/>
      <c r="C1752" s="359"/>
      <c r="D1752" s="359"/>
      <c r="E1752" s="359"/>
      <c r="F1752" s="359"/>
      <c r="G1752" s="359"/>
      <c r="H1752" s="359"/>
      <c r="I1752" s="359"/>
      <c r="J1752" s="359"/>
      <c r="K1752" s="359"/>
      <c r="L1752" s="359"/>
      <c r="M1752" s="359"/>
      <c r="N1752" s="359"/>
      <c r="O1752" s="359"/>
      <c r="P1752" s="359"/>
      <c r="Q1752" s="359"/>
      <c r="R1752" s="359"/>
      <c r="S1752" s="359"/>
      <c r="T1752" s="359"/>
      <c r="U1752" s="359"/>
      <c r="V1752" s="359"/>
      <c r="W1752" s="359"/>
      <c r="X1752" s="359"/>
      <c r="Y1752" s="359"/>
      <c r="Z1752" s="359"/>
      <c r="AA1752" s="359"/>
    </row>
    <row r="1753" spans="1:27">
      <c r="A1753" s="359"/>
      <c r="B1753" s="359"/>
      <c r="C1753" s="359"/>
      <c r="D1753" s="359"/>
      <c r="E1753" s="359"/>
      <c r="F1753" s="359"/>
      <c r="G1753" s="359"/>
      <c r="H1753" s="359"/>
      <c r="I1753" s="359"/>
      <c r="J1753" s="359"/>
      <c r="K1753" s="359"/>
      <c r="L1753" s="359"/>
      <c r="M1753" s="359"/>
      <c r="N1753" s="359"/>
      <c r="O1753" s="359"/>
      <c r="P1753" s="359"/>
      <c r="Q1753" s="359"/>
      <c r="R1753" s="359"/>
      <c r="S1753" s="359"/>
      <c r="T1753" s="359"/>
      <c r="U1753" s="359"/>
      <c r="V1753" s="359"/>
      <c r="W1753" s="359"/>
      <c r="X1753" s="359"/>
      <c r="Y1753" s="359"/>
      <c r="Z1753" s="359"/>
      <c r="AA1753" s="359"/>
    </row>
    <row r="1754" spans="1:27">
      <c r="A1754" s="359"/>
      <c r="B1754" s="359"/>
      <c r="C1754" s="359"/>
      <c r="D1754" s="359"/>
      <c r="E1754" s="359"/>
      <c r="F1754" s="359"/>
      <c r="G1754" s="359"/>
      <c r="H1754" s="359"/>
      <c r="I1754" s="359"/>
      <c r="J1754" s="359"/>
      <c r="K1754" s="359"/>
      <c r="L1754" s="359"/>
      <c r="M1754" s="359"/>
      <c r="N1754" s="359"/>
      <c r="O1754" s="359"/>
      <c r="P1754" s="359"/>
      <c r="Q1754" s="359"/>
      <c r="R1754" s="359"/>
      <c r="S1754" s="359"/>
      <c r="T1754" s="359"/>
      <c r="U1754" s="359"/>
      <c r="V1754" s="359"/>
      <c r="W1754" s="359"/>
      <c r="X1754" s="359"/>
      <c r="Y1754" s="359"/>
      <c r="Z1754" s="359"/>
      <c r="AA1754" s="359"/>
    </row>
    <row r="1755" spans="1:27">
      <c r="A1755" s="359"/>
      <c r="B1755" s="359"/>
      <c r="C1755" s="359"/>
      <c r="D1755" s="359"/>
      <c r="E1755" s="359"/>
      <c r="F1755" s="359"/>
      <c r="G1755" s="359"/>
      <c r="H1755" s="359"/>
      <c r="I1755" s="359"/>
      <c r="J1755" s="359"/>
      <c r="K1755" s="359"/>
      <c r="L1755" s="359"/>
      <c r="M1755" s="359"/>
      <c r="N1755" s="359"/>
      <c r="O1755" s="359"/>
      <c r="P1755" s="359"/>
      <c r="Q1755" s="359"/>
      <c r="R1755" s="359"/>
      <c r="S1755" s="359"/>
      <c r="T1755" s="359"/>
      <c r="U1755" s="359"/>
      <c r="V1755" s="359"/>
      <c r="W1755" s="359"/>
      <c r="X1755" s="359"/>
      <c r="Y1755" s="359"/>
      <c r="Z1755" s="359"/>
      <c r="AA1755" s="359"/>
    </row>
    <row r="1756" spans="1:27">
      <c r="A1756" s="359"/>
      <c r="B1756" s="359"/>
      <c r="C1756" s="359"/>
      <c r="D1756" s="359"/>
      <c r="E1756" s="359"/>
      <c r="F1756" s="359"/>
      <c r="G1756" s="359"/>
      <c r="H1756" s="359"/>
      <c r="I1756" s="359"/>
      <c r="J1756" s="359"/>
      <c r="K1756" s="359"/>
      <c r="L1756" s="359"/>
      <c r="M1756" s="359"/>
      <c r="N1756" s="359"/>
      <c r="O1756" s="359"/>
      <c r="P1756" s="359"/>
      <c r="Q1756" s="359"/>
      <c r="R1756" s="359"/>
      <c r="S1756" s="359"/>
      <c r="T1756" s="359"/>
      <c r="U1756" s="359"/>
      <c r="V1756" s="359"/>
      <c r="W1756" s="359"/>
      <c r="X1756" s="359"/>
      <c r="Y1756" s="359"/>
      <c r="Z1756" s="359"/>
      <c r="AA1756" s="359"/>
    </row>
    <row r="1757" spans="1:27">
      <c r="A1757" s="359"/>
      <c r="B1757" s="359"/>
      <c r="C1757" s="359"/>
      <c r="D1757" s="359"/>
      <c r="E1757" s="359"/>
      <c r="F1757" s="359"/>
      <c r="G1757" s="359"/>
      <c r="H1757" s="359"/>
      <c r="I1757" s="359"/>
      <c r="J1757" s="359"/>
      <c r="K1757" s="359"/>
      <c r="L1757" s="359"/>
      <c r="M1757" s="359"/>
      <c r="N1757" s="359"/>
      <c r="O1757" s="359"/>
      <c r="P1757" s="359"/>
      <c r="Q1757" s="359"/>
      <c r="R1757" s="359"/>
      <c r="S1757" s="359"/>
      <c r="T1757" s="359"/>
      <c r="U1757" s="359"/>
      <c r="V1757" s="359"/>
      <c r="W1757" s="359"/>
      <c r="X1757" s="359"/>
      <c r="Y1757" s="359"/>
      <c r="Z1757" s="359"/>
      <c r="AA1757" s="359"/>
    </row>
    <row r="1758" spans="1:27">
      <c r="A1758" s="359"/>
      <c r="B1758" s="359"/>
      <c r="C1758" s="359"/>
      <c r="D1758" s="359"/>
      <c r="E1758" s="359"/>
      <c r="F1758" s="359"/>
      <c r="G1758" s="359"/>
      <c r="H1758" s="359"/>
      <c r="I1758" s="359"/>
      <c r="J1758" s="359"/>
      <c r="K1758" s="359"/>
      <c r="L1758" s="359"/>
      <c r="M1758" s="359"/>
      <c r="N1758" s="359"/>
      <c r="O1758" s="359"/>
      <c r="P1758" s="359"/>
      <c r="Q1758" s="359"/>
      <c r="R1758" s="359"/>
      <c r="S1758" s="359"/>
      <c r="T1758" s="359"/>
      <c r="U1758" s="359"/>
      <c r="V1758" s="359"/>
      <c r="W1758" s="359"/>
      <c r="X1758" s="359"/>
      <c r="Y1758" s="359"/>
      <c r="Z1758" s="359"/>
      <c r="AA1758" s="359"/>
    </row>
    <row r="1759" spans="1:27">
      <c r="A1759" s="359"/>
      <c r="B1759" s="359"/>
      <c r="C1759" s="359"/>
      <c r="D1759" s="359"/>
      <c r="E1759" s="359"/>
      <c r="F1759" s="359"/>
      <c r="G1759" s="359"/>
      <c r="H1759" s="359"/>
      <c r="I1759" s="359"/>
      <c r="J1759" s="359"/>
      <c r="K1759" s="359"/>
      <c r="L1759" s="359"/>
      <c r="M1759" s="359"/>
      <c r="N1759" s="359"/>
      <c r="O1759" s="359"/>
      <c r="P1759" s="359"/>
      <c r="Q1759" s="359"/>
      <c r="R1759" s="359"/>
      <c r="S1759" s="359"/>
      <c r="T1759" s="359"/>
      <c r="U1759" s="359"/>
      <c r="V1759" s="359"/>
      <c r="W1759" s="359"/>
      <c r="X1759" s="359"/>
      <c r="Y1759" s="359"/>
      <c r="Z1759" s="359"/>
      <c r="AA1759" s="359"/>
    </row>
    <row r="1760" spans="1:27">
      <c r="A1760" s="359"/>
      <c r="B1760" s="359"/>
      <c r="C1760" s="359"/>
      <c r="D1760" s="359"/>
      <c r="E1760" s="359"/>
      <c r="F1760" s="359"/>
      <c r="G1760" s="359"/>
      <c r="H1760" s="359"/>
      <c r="I1760" s="359"/>
      <c r="J1760" s="359"/>
      <c r="K1760" s="359"/>
      <c r="L1760" s="359"/>
      <c r="M1760" s="359"/>
      <c r="N1760" s="359"/>
      <c r="O1760" s="359"/>
      <c r="P1760" s="359"/>
      <c r="Q1760" s="359"/>
      <c r="R1760" s="359"/>
      <c r="S1760" s="359"/>
      <c r="T1760" s="359"/>
      <c r="U1760" s="359"/>
      <c r="V1760" s="359"/>
      <c r="W1760" s="359"/>
      <c r="X1760" s="359"/>
      <c r="Y1760" s="359"/>
      <c r="Z1760" s="359"/>
      <c r="AA1760" s="359"/>
    </row>
    <row r="1761" spans="1:27">
      <c r="A1761" s="359"/>
      <c r="B1761" s="359"/>
      <c r="C1761" s="359"/>
      <c r="D1761" s="359"/>
      <c r="E1761" s="359"/>
      <c r="F1761" s="359"/>
      <c r="G1761" s="359"/>
      <c r="H1761" s="359"/>
      <c r="I1761" s="359"/>
      <c r="J1761" s="359"/>
      <c r="K1761" s="359"/>
      <c r="L1761" s="359"/>
      <c r="M1761" s="359"/>
      <c r="N1761" s="359"/>
      <c r="O1761" s="359"/>
      <c r="P1761" s="359"/>
      <c r="Q1761" s="359"/>
      <c r="R1761" s="359"/>
      <c r="S1761" s="359"/>
      <c r="T1761" s="359"/>
      <c r="U1761" s="359"/>
      <c r="V1761" s="359"/>
      <c r="W1761" s="359"/>
      <c r="X1761" s="359"/>
      <c r="Y1761" s="359"/>
      <c r="Z1761" s="359"/>
      <c r="AA1761" s="359"/>
    </row>
    <row r="1762" spans="1:27">
      <c r="A1762" s="359"/>
      <c r="B1762" s="359"/>
      <c r="C1762" s="359"/>
      <c r="D1762" s="359"/>
      <c r="E1762" s="359"/>
      <c r="F1762" s="359"/>
      <c r="G1762" s="359"/>
      <c r="H1762" s="359"/>
      <c r="I1762" s="359"/>
      <c r="J1762" s="359"/>
      <c r="K1762" s="359"/>
      <c r="L1762" s="359"/>
      <c r="M1762" s="359"/>
      <c r="N1762" s="359"/>
      <c r="O1762" s="359"/>
      <c r="P1762" s="359"/>
      <c r="Q1762" s="359"/>
      <c r="R1762" s="359"/>
      <c r="S1762" s="359"/>
      <c r="T1762" s="359"/>
      <c r="U1762" s="359"/>
      <c r="V1762" s="359"/>
      <c r="W1762" s="359"/>
      <c r="X1762" s="359"/>
      <c r="Y1762" s="359"/>
      <c r="Z1762" s="359"/>
      <c r="AA1762" s="359"/>
    </row>
    <row r="1763" spans="1:27">
      <c r="A1763" s="359"/>
      <c r="B1763" s="359"/>
      <c r="C1763" s="359"/>
      <c r="D1763" s="359"/>
      <c r="E1763" s="359"/>
      <c r="F1763" s="359"/>
      <c r="G1763" s="359"/>
      <c r="H1763" s="359"/>
      <c r="I1763" s="359"/>
      <c r="J1763" s="359"/>
      <c r="K1763" s="359"/>
      <c r="L1763" s="359"/>
      <c r="M1763" s="359"/>
      <c r="N1763" s="359"/>
      <c r="O1763" s="359"/>
      <c r="P1763" s="359"/>
      <c r="Q1763" s="359"/>
      <c r="R1763" s="359"/>
      <c r="S1763" s="359"/>
      <c r="T1763" s="359"/>
      <c r="U1763" s="359"/>
      <c r="V1763" s="359"/>
      <c r="W1763" s="359"/>
      <c r="X1763" s="359"/>
      <c r="Y1763" s="359"/>
      <c r="Z1763" s="359"/>
      <c r="AA1763" s="359"/>
    </row>
    <row r="1764" spans="1:27">
      <c r="A1764" s="359"/>
      <c r="B1764" s="359"/>
      <c r="C1764" s="359"/>
      <c r="D1764" s="359"/>
      <c r="E1764" s="359"/>
      <c r="F1764" s="359"/>
      <c r="G1764" s="359"/>
      <c r="H1764" s="359"/>
      <c r="I1764" s="359"/>
      <c r="J1764" s="359"/>
      <c r="K1764" s="359"/>
      <c r="L1764" s="359"/>
      <c r="M1764" s="359"/>
      <c r="N1764" s="359"/>
      <c r="O1764" s="359"/>
      <c r="P1764" s="359"/>
      <c r="Q1764" s="359"/>
      <c r="R1764" s="359"/>
      <c r="S1764" s="359"/>
      <c r="T1764" s="359"/>
      <c r="U1764" s="359"/>
      <c r="V1764" s="359"/>
      <c r="W1764" s="359"/>
      <c r="X1764" s="359"/>
      <c r="Y1764" s="359"/>
      <c r="Z1764" s="359"/>
      <c r="AA1764" s="359"/>
    </row>
    <row r="1765" spans="1:27">
      <c r="A1765" s="359"/>
      <c r="B1765" s="359"/>
      <c r="C1765" s="359"/>
      <c r="D1765" s="359"/>
      <c r="E1765" s="359"/>
      <c r="F1765" s="359"/>
      <c r="G1765" s="359"/>
      <c r="H1765" s="359"/>
      <c r="I1765" s="359"/>
      <c r="J1765" s="359"/>
      <c r="K1765" s="359"/>
      <c r="L1765" s="359"/>
      <c r="M1765" s="359"/>
      <c r="N1765" s="359"/>
      <c r="O1765" s="359"/>
      <c r="P1765" s="359"/>
      <c r="Q1765" s="359"/>
      <c r="R1765" s="359"/>
      <c r="S1765" s="359"/>
      <c r="T1765" s="359"/>
      <c r="U1765" s="359"/>
      <c r="V1765" s="359"/>
      <c r="W1765" s="359"/>
      <c r="X1765" s="359"/>
      <c r="Y1765" s="359"/>
      <c r="Z1765" s="359"/>
      <c r="AA1765" s="359"/>
    </row>
    <row r="1766" spans="1:27">
      <c r="A1766" s="359"/>
      <c r="B1766" s="359"/>
      <c r="C1766" s="359"/>
      <c r="D1766" s="359"/>
      <c r="E1766" s="359"/>
      <c r="F1766" s="359"/>
      <c r="G1766" s="359"/>
      <c r="H1766" s="359"/>
      <c r="I1766" s="359"/>
      <c r="J1766" s="359"/>
      <c r="K1766" s="359"/>
      <c r="L1766" s="359"/>
      <c r="M1766" s="359"/>
      <c r="N1766" s="359"/>
      <c r="O1766" s="359"/>
      <c r="P1766" s="359"/>
      <c r="Q1766" s="359"/>
      <c r="R1766" s="359"/>
      <c r="S1766" s="359"/>
      <c r="T1766" s="359"/>
      <c r="U1766" s="359"/>
      <c r="V1766" s="359"/>
      <c r="W1766" s="359"/>
      <c r="X1766" s="359"/>
      <c r="Y1766" s="359"/>
      <c r="Z1766" s="359"/>
      <c r="AA1766" s="359"/>
    </row>
    <row r="1767" spans="1:27">
      <c r="A1767" s="359"/>
      <c r="B1767" s="359"/>
      <c r="C1767" s="359"/>
      <c r="D1767" s="359"/>
      <c r="E1767" s="359"/>
      <c r="F1767" s="359"/>
      <c r="G1767" s="359"/>
      <c r="H1767" s="359"/>
      <c r="I1767" s="359"/>
      <c r="J1767" s="359"/>
      <c r="K1767" s="359"/>
      <c r="L1767" s="359"/>
      <c r="M1767" s="359"/>
      <c r="N1767" s="359"/>
      <c r="O1767" s="359"/>
      <c r="P1767" s="359"/>
      <c r="Q1767" s="359"/>
      <c r="R1767" s="359"/>
      <c r="S1767" s="359"/>
      <c r="T1767" s="359"/>
      <c r="U1767" s="359"/>
      <c r="V1767" s="359"/>
      <c r="W1767" s="359"/>
      <c r="X1767" s="359"/>
      <c r="Y1767" s="359"/>
      <c r="Z1767" s="359"/>
      <c r="AA1767" s="359"/>
    </row>
    <row r="1768" spans="1:27">
      <c r="A1768" s="359"/>
      <c r="B1768" s="359"/>
      <c r="C1768" s="359"/>
      <c r="D1768" s="359"/>
      <c r="E1768" s="359"/>
      <c r="F1768" s="359"/>
      <c r="G1768" s="359"/>
      <c r="H1768" s="359"/>
      <c r="I1768" s="359"/>
      <c r="J1768" s="359"/>
      <c r="K1768" s="359"/>
      <c r="L1768" s="359"/>
      <c r="M1768" s="359"/>
      <c r="N1768" s="359"/>
      <c r="O1768" s="359"/>
      <c r="P1768" s="359"/>
      <c r="Q1768" s="359"/>
      <c r="R1768" s="359"/>
      <c r="S1768" s="359"/>
      <c r="T1768" s="359"/>
      <c r="U1768" s="359"/>
      <c r="V1768" s="359"/>
      <c r="W1768" s="359"/>
      <c r="X1768" s="359"/>
      <c r="Y1768" s="359"/>
      <c r="Z1768" s="359"/>
      <c r="AA1768" s="359"/>
    </row>
    <row r="1769" spans="1:27">
      <c r="A1769" s="359"/>
      <c r="B1769" s="359"/>
      <c r="C1769" s="359"/>
      <c r="D1769" s="359"/>
      <c r="E1769" s="359"/>
      <c r="F1769" s="359"/>
      <c r="G1769" s="359"/>
      <c r="H1769" s="359"/>
      <c r="I1769" s="359"/>
      <c r="J1769" s="359"/>
      <c r="K1769" s="359"/>
      <c r="L1769" s="359"/>
      <c r="M1769" s="359"/>
      <c r="N1769" s="359"/>
      <c r="O1769" s="359"/>
      <c r="P1769" s="359"/>
      <c r="Q1769" s="359"/>
      <c r="R1769" s="359"/>
      <c r="S1769" s="359"/>
      <c r="T1769" s="359"/>
      <c r="U1769" s="359"/>
      <c r="V1769" s="359"/>
      <c r="W1769" s="359"/>
      <c r="X1769" s="359"/>
      <c r="Y1769" s="359"/>
      <c r="Z1769" s="359"/>
      <c r="AA1769" s="359"/>
    </row>
    <row r="1770" spans="1:27">
      <c r="A1770" s="359"/>
      <c r="B1770" s="359"/>
      <c r="C1770" s="359"/>
      <c r="D1770" s="359"/>
      <c r="E1770" s="359"/>
      <c r="F1770" s="359"/>
      <c r="G1770" s="359"/>
      <c r="H1770" s="359"/>
      <c r="I1770" s="359"/>
      <c r="J1770" s="359"/>
      <c r="K1770" s="359"/>
      <c r="L1770" s="359"/>
      <c r="M1770" s="359"/>
      <c r="N1770" s="359"/>
      <c r="O1770" s="359"/>
      <c r="P1770" s="359"/>
      <c r="Q1770" s="359"/>
      <c r="R1770" s="359"/>
      <c r="S1770" s="359"/>
      <c r="T1770" s="359"/>
      <c r="U1770" s="359"/>
      <c r="V1770" s="359"/>
      <c r="W1770" s="359"/>
      <c r="X1770" s="359"/>
      <c r="Y1770" s="359"/>
      <c r="Z1770" s="359"/>
      <c r="AA1770" s="359"/>
    </row>
    <row r="1771" spans="1:27">
      <c r="A1771" s="359"/>
      <c r="B1771" s="359"/>
      <c r="C1771" s="359"/>
      <c r="D1771" s="359"/>
      <c r="E1771" s="359"/>
      <c r="F1771" s="359"/>
      <c r="G1771" s="359"/>
      <c r="H1771" s="359"/>
      <c r="I1771" s="359"/>
      <c r="J1771" s="359"/>
      <c r="K1771" s="359"/>
      <c r="L1771" s="359"/>
      <c r="M1771" s="359"/>
      <c r="N1771" s="359"/>
      <c r="O1771" s="359"/>
      <c r="P1771" s="359"/>
      <c r="Q1771" s="359"/>
      <c r="R1771" s="359"/>
      <c r="S1771" s="359"/>
      <c r="T1771" s="359"/>
      <c r="U1771" s="359"/>
      <c r="V1771" s="359"/>
      <c r="W1771" s="359"/>
      <c r="X1771" s="359"/>
      <c r="Y1771" s="359"/>
      <c r="Z1771" s="359"/>
      <c r="AA1771" s="359"/>
    </row>
    <row r="1772" spans="1:27">
      <c r="A1772" s="359"/>
      <c r="B1772" s="359"/>
      <c r="C1772" s="359"/>
      <c r="D1772" s="359"/>
      <c r="E1772" s="359"/>
      <c r="F1772" s="359"/>
      <c r="G1772" s="359"/>
      <c r="H1772" s="359"/>
      <c r="I1772" s="359"/>
      <c r="J1772" s="359"/>
      <c r="K1772" s="359"/>
      <c r="L1772" s="359"/>
      <c r="M1772" s="359"/>
      <c r="N1772" s="359"/>
      <c r="O1772" s="359"/>
      <c r="P1772" s="359"/>
      <c r="Q1772" s="359"/>
      <c r="R1772" s="359"/>
      <c r="S1772" s="359"/>
      <c r="T1772" s="359"/>
      <c r="U1772" s="359"/>
      <c r="V1772" s="359"/>
      <c r="W1772" s="359"/>
      <c r="X1772" s="359"/>
      <c r="Y1772" s="359"/>
      <c r="Z1772" s="359"/>
      <c r="AA1772" s="359"/>
    </row>
    <row r="1773" spans="1:27">
      <c r="A1773" s="359"/>
      <c r="B1773" s="359"/>
      <c r="C1773" s="359"/>
      <c r="D1773" s="359"/>
      <c r="E1773" s="359"/>
      <c r="F1773" s="359"/>
      <c r="G1773" s="359"/>
      <c r="H1773" s="359"/>
      <c r="I1773" s="359"/>
      <c r="J1773" s="359"/>
      <c r="K1773" s="359"/>
      <c r="L1773" s="359"/>
      <c r="M1773" s="359"/>
      <c r="N1773" s="359"/>
      <c r="O1773" s="359"/>
      <c r="P1773" s="359"/>
      <c r="Q1773" s="359"/>
      <c r="R1773" s="359"/>
      <c r="S1773" s="359"/>
      <c r="T1773" s="359"/>
      <c r="U1773" s="359"/>
      <c r="V1773" s="359"/>
      <c r="W1773" s="359"/>
      <c r="X1773" s="359"/>
      <c r="Y1773" s="359"/>
      <c r="Z1773" s="359"/>
      <c r="AA1773" s="359"/>
    </row>
    <row r="1774" spans="1:27">
      <c r="A1774" s="359"/>
      <c r="B1774" s="359"/>
      <c r="C1774" s="359"/>
      <c r="D1774" s="359"/>
      <c r="E1774" s="359"/>
      <c r="F1774" s="359"/>
      <c r="G1774" s="359"/>
      <c r="H1774" s="359"/>
      <c r="I1774" s="359"/>
      <c r="J1774" s="359"/>
      <c r="K1774" s="359"/>
      <c r="L1774" s="359"/>
      <c r="M1774" s="359"/>
      <c r="N1774" s="359"/>
      <c r="O1774" s="359"/>
      <c r="P1774" s="359"/>
      <c r="Q1774" s="359"/>
      <c r="R1774" s="359"/>
      <c r="S1774" s="359"/>
      <c r="T1774" s="359"/>
      <c r="U1774" s="359"/>
      <c r="V1774" s="359"/>
      <c r="W1774" s="359"/>
      <c r="X1774" s="359"/>
      <c r="Y1774" s="359"/>
      <c r="Z1774" s="359"/>
      <c r="AA1774" s="359"/>
    </row>
    <row r="1775" spans="1:27">
      <c r="A1775" s="359"/>
      <c r="B1775" s="359"/>
      <c r="C1775" s="359"/>
      <c r="D1775" s="359"/>
      <c r="E1775" s="359"/>
      <c r="F1775" s="359"/>
      <c r="G1775" s="359"/>
      <c r="H1775" s="359"/>
      <c r="I1775" s="359"/>
      <c r="J1775" s="359"/>
      <c r="K1775" s="359"/>
      <c r="L1775" s="359"/>
      <c r="M1775" s="359"/>
      <c r="N1775" s="359"/>
      <c r="O1775" s="359"/>
      <c r="P1775" s="359"/>
      <c r="Q1775" s="359"/>
      <c r="R1775" s="359"/>
      <c r="S1775" s="359"/>
      <c r="T1775" s="359"/>
      <c r="U1775" s="359"/>
      <c r="V1775" s="359"/>
      <c r="W1775" s="359"/>
      <c r="X1775" s="359"/>
      <c r="Y1775" s="359"/>
      <c r="Z1775" s="359"/>
      <c r="AA1775" s="359"/>
    </row>
    <row r="1776" spans="1:27">
      <c r="A1776" s="359"/>
      <c r="B1776" s="359"/>
      <c r="C1776" s="359"/>
      <c r="D1776" s="359"/>
      <c r="E1776" s="359"/>
      <c r="F1776" s="359"/>
      <c r="G1776" s="359"/>
      <c r="H1776" s="359"/>
      <c r="I1776" s="359"/>
      <c r="J1776" s="359"/>
      <c r="K1776" s="359"/>
      <c r="L1776" s="359"/>
      <c r="M1776" s="359"/>
      <c r="N1776" s="359"/>
      <c r="O1776" s="359"/>
      <c r="P1776" s="359"/>
      <c r="Q1776" s="359"/>
      <c r="R1776" s="359"/>
      <c r="S1776" s="359"/>
      <c r="T1776" s="359"/>
      <c r="U1776" s="359"/>
      <c r="V1776" s="359"/>
      <c r="W1776" s="359"/>
      <c r="X1776" s="359"/>
      <c r="Y1776" s="359"/>
      <c r="Z1776" s="359"/>
      <c r="AA1776" s="359"/>
    </row>
    <row r="1777" spans="1:27">
      <c r="A1777" s="359"/>
      <c r="B1777" s="359"/>
      <c r="C1777" s="359"/>
      <c r="D1777" s="359"/>
      <c r="E1777" s="359"/>
      <c r="F1777" s="359"/>
      <c r="G1777" s="359"/>
      <c r="H1777" s="359"/>
      <c r="I1777" s="359"/>
      <c r="J1777" s="359"/>
      <c r="K1777" s="359"/>
      <c r="L1777" s="359"/>
      <c r="M1777" s="359"/>
      <c r="N1777" s="359"/>
      <c r="O1777" s="359"/>
      <c r="P1777" s="359"/>
      <c r="Q1777" s="359"/>
      <c r="R1777" s="359"/>
      <c r="S1777" s="359"/>
      <c r="T1777" s="359"/>
      <c r="U1777" s="359"/>
      <c r="V1777" s="359"/>
      <c r="W1777" s="359"/>
      <c r="X1777" s="359"/>
      <c r="Y1777" s="359"/>
      <c r="Z1777" s="359"/>
      <c r="AA1777" s="359"/>
    </row>
    <row r="1778" spans="1:27">
      <c r="A1778" s="359"/>
      <c r="B1778" s="359"/>
      <c r="C1778" s="359"/>
      <c r="D1778" s="359"/>
      <c r="E1778" s="359"/>
      <c r="F1778" s="359"/>
      <c r="G1778" s="359"/>
      <c r="H1778" s="359"/>
      <c r="I1778" s="359"/>
      <c r="J1778" s="359"/>
      <c r="K1778" s="359"/>
      <c r="L1778" s="359"/>
      <c r="M1778" s="359"/>
      <c r="N1778" s="359"/>
      <c r="O1778" s="359"/>
      <c r="P1778" s="359"/>
      <c r="Q1778" s="359"/>
      <c r="R1778" s="359"/>
      <c r="S1778" s="359"/>
      <c r="T1778" s="359"/>
      <c r="U1778" s="359"/>
      <c r="V1778" s="359"/>
      <c r="W1778" s="359"/>
      <c r="X1778" s="359"/>
      <c r="Y1778" s="359"/>
      <c r="Z1778" s="359"/>
      <c r="AA1778" s="359"/>
    </row>
    <row r="1779" spans="1:27">
      <c r="A1779" s="359"/>
      <c r="B1779" s="359"/>
      <c r="C1779" s="359"/>
      <c r="D1779" s="359"/>
      <c r="E1779" s="359"/>
      <c r="F1779" s="359"/>
      <c r="G1779" s="359"/>
      <c r="H1779" s="359"/>
      <c r="I1779" s="359"/>
      <c r="J1779" s="359"/>
      <c r="K1779" s="359"/>
      <c r="L1779" s="359"/>
      <c r="M1779" s="359"/>
      <c r="N1779" s="359"/>
      <c r="O1779" s="359"/>
      <c r="P1779" s="359"/>
      <c r="Q1779" s="359"/>
      <c r="R1779" s="359"/>
      <c r="S1779" s="359"/>
      <c r="T1779" s="359"/>
      <c r="U1779" s="359"/>
      <c r="V1779" s="359"/>
      <c r="W1779" s="359"/>
      <c r="X1779" s="359"/>
      <c r="Y1779" s="359"/>
      <c r="Z1779" s="359"/>
      <c r="AA1779" s="359"/>
    </row>
    <row r="1780" spans="1:27">
      <c r="A1780" s="359"/>
      <c r="B1780" s="359"/>
      <c r="C1780" s="359"/>
      <c r="D1780" s="359"/>
      <c r="E1780" s="359"/>
      <c r="F1780" s="359"/>
      <c r="G1780" s="359"/>
      <c r="H1780" s="359"/>
      <c r="I1780" s="359"/>
      <c r="J1780" s="359"/>
      <c r="K1780" s="359"/>
      <c r="L1780" s="359"/>
      <c r="M1780" s="359"/>
      <c r="N1780" s="359"/>
      <c r="O1780" s="359"/>
      <c r="P1780" s="359"/>
      <c r="Q1780" s="359"/>
      <c r="R1780" s="359"/>
      <c r="S1780" s="359"/>
      <c r="T1780" s="359"/>
      <c r="U1780" s="359"/>
      <c r="V1780" s="359"/>
      <c r="W1780" s="359"/>
      <c r="X1780" s="359"/>
      <c r="Y1780" s="359"/>
      <c r="Z1780" s="359"/>
      <c r="AA1780" s="359"/>
    </row>
    <row r="1781" spans="1:27">
      <c r="A1781" s="359"/>
      <c r="B1781" s="359"/>
      <c r="C1781" s="359"/>
      <c r="D1781" s="359"/>
      <c r="E1781" s="359"/>
      <c r="F1781" s="359"/>
      <c r="G1781" s="359"/>
      <c r="H1781" s="359"/>
      <c r="I1781" s="359"/>
      <c r="J1781" s="359"/>
      <c r="K1781" s="359"/>
      <c r="L1781" s="359"/>
      <c r="M1781" s="359"/>
      <c r="N1781" s="359"/>
      <c r="O1781" s="359"/>
      <c r="P1781" s="359"/>
      <c r="Q1781" s="359"/>
      <c r="R1781" s="359"/>
      <c r="S1781" s="359"/>
      <c r="T1781" s="359"/>
      <c r="U1781" s="359"/>
      <c r="V1781" s="359"/>
      <c r="W1781" s="359"/>
      <c r="X1781" s="359"/>
      <c r="Y1781" s="359"/>
      <c r="Z1781" s="359"/>
      <c r="AA1781" s="359"/>
    </row>
    <row r="1782" spans="1:27">
      <c r="A1782" s="359"/>
      <c r="B1782" s="359"/>
      <c r="C1782" s="359"/>
      <c r="D1782" s="359"/>
      <c r="E1782" s="359"/>
      <c r="F1782" s="359"/>
      <c r="G1782" s="359"/>
      <c r="H1782" s="359"/>
      <c r="I1782" s="359"/>
      <c r="J1782" s="359"/>
      <c r="K1782" s="359"/>
      <c r="L1782" s="359"/>
      <c r="M1782" s="359"/>
      <c r="N1782" s="359"/>
      <c r="O1782" s="359"/>
      <c r="P1782" s="359"/>
      <c r="Q1782" s="359"/>
      <c r="R1782" s="359"/>
      <c r="S1782" s="359"/>
      <c r="T1782" s="359"/>
      <c r="U1782" s="359"/>
      <c r="V1782" s="359"/>
      <c r="W1782" s="359"/>
      <c r="X1782" s="359"/>
      <c r="Y1782" s="359"/>
      <c r="Z1782" s="359"/>
      <c r="AA1782" s="359"/>
    </row>
    <row r="1783" spans="1:27">
      <c r="A1783" s="359"/>
      <c r="B1783" s="359"/>
      <c r="C1783" s="359"/>
      <c r="D1783" s="359"/>
      <c r="E1783" s="359"/>
      <c r="F1783" s="359"/>
      <c r="G1783" s="359"/>
      <c r="H1783" s="359"/>
      <c r="I1783" s="359"/>
      <c r="J1783" s="359"/>
      <c r="K1783" s="359"/>
      <c r="L1783" s="359"/>
      <c r="M1783" s="359"/>
      <c r="N1783" s="359"/>
      <c r="O1783" s="359"/>
      <c r="P1783" s="359"/>
      <c r="Q1783" s="359"/>
      <c r="R1783" s="359"/>
      <c r="S1783" s="359"/>
      <c r="T1783" s="359"/>
      <c r="U1783" s="359"/>
      <c r="V1783" s="359"/>
      <c r="W1783" s="359"/>
      <c r="X1783" s="359"/>
      <c r="Y1783" s="359"/>
      <c r="Z1783" s="359"/>
      <c r="AA1783" s="359"/>
    </row>
    <row r="1784" spans="1:27">
      <c r="A1784" s="359"/>
      <c r="B1784" s="359"/>
      <c r="C1784" s="359"/>
      <c r="D1784" s="359"/>
      <c r="E1784" s="359"/>
      <c r="F1784" s="359"/>
      <c r="G1784" s="359"/>
      <c r="H1784" s="359"/>
      <c r="I1784" s="359"/>
      <c r="J1784" s="359"/>
      <c r="K1784" s="359"/>
      <c r="L1784" s="359"/>
      <c r="M1784" s="359"/>
      <c r="N1784" s="359"/>
      <c r="O1784" s="359"/>
      <c r="P1784" s="359"/>
      <c r="Q1784" s="359"/>
      <c r="R1784" s="359"/>
      <c r="S1784" s="359"/>
      <c r="T1784" s="359"/>
      <c r="U1784" s="359"/>
      <c r="V1784" s="359"/>
      <c r="W1784" s="359"/>
      <c r="X1784" s="359"/>
      <c r="Y1784" s="359"/>
      <c r="Z1784" s="359"/>
      <c r="AA1784" s="359"/>
    </row>
    <row r="1785" spans="1:27">
      <c r="A1785" s="359"/>
      <c r="B1785" s="359"/>
      <c r="C1785" s="359"/>
      <c r="D1785" s="359"/>
      <c r="E1785" s="359"/>
      <c r="F1785" s="359"/>
      <c r="G1785" s="359"/>
      <c r="H1785" s="359"/>
      <c r="I1785" s="359"/>
      <c r="J1785" s="359"/>
      <c r="K1785" s="359"/>
      <c r="L1785" s="359"/>
      <c r="M1785" s="359"/>
      <c r="N1785" s="359"/>
      <c r="O1785" s="359"/>
      <c r="P1785" s="359"/>
      <c r="Q1785" s="359"/>
      <c r="R1785" s="359"/>
      <c r="S1785" s="359"/>
      <c r="T1785" s="359"/>
      <c r="U1785" s="359"/>
      <c r="V1785" s="359"/>
      <c r="W1785" s="359"/>
      <c r="X1785" s="359"/>
      <c r="Y1785" s="359"/>
      <c r="Z1785" s="359"/>
      <c r="AA1785" s="359"/>
    </row>
    <row r="1786" spans="1:27">
      <c r="A1786" s="359"/>
      <c r="B1786" s="359"/>
      <c r="C1786" s="359"/>
      <c r="D1786" s="359"/>
      <c r="E1786" s="359"/>
      <c r="F1786" s="359"/>
      <c r="G1786" s="359"/>
      <c r="H1786" s="359"/>
      <c r="I1786" s="359"/>
      <c r="J1786" s="359"/>
      <c r="K1786" s="359"/>
      <c r="L1786" s="359"/>
      <c r="M1786" s="359"/>
      <c r="N1786" s="359"/>
      <c r="O1786" s="359"/>
      <c r="P1786" s="359"/>
      <c r="Q1786" s="359"/>
      <c r="R1786" s="359"/>
      <c r="S1786" s="359"/>
      <c r="T1786" s="359"/>
      <c r="U1786" s="359"/>
      <c r="V1786" s="359"/>
      <c r="W1786" s="359"/>
      <c r="X1786" s="359"/>
      <c r="Y1786" s="359"/>
      <c r="Z1786" s="359"/>
      <c r="AA1786" s="359"/>
    </row>
    <row r="1787" spans="1:27">
      <c r="A1787" s="359"/>
      <c r="B1787" s="359"/>
      <c r="C1787" s="359"/>
      <c r="D1787" s="359"/>
      <c r="E1787" s="359"/>
      <c r="F1787" s="359"/>
      <c r="G1787" s="359"/>
      <c r="H1787" s="359"/>
      <c r="I1787" s="359"/>
      <c r="J1787" s="359"/>
      <c r="K1787" s="359"/>
      <c r="L1787" s="359"/>
      <c r="M1787" s="359"/>
      <c r="N1787" s="359"/>
      <c r="O1787" s="359"/>
      <c r="P1787" s="359"/>
      <c r="Q1787" s="359"/>
      <c r="R1787" s="359"/>
      <c r="S1787" s="359"/>
      <c r="T1787" s="359"/>
      <c r="U1787" s="359"/>
      <c r="V1787" s="359"/>
      <c r="W1787" s="359"/>
      <c r="X1787" s="359"/>
      <c r="Y1787" s="359"/>
      <c r="Z1787" s="359"/>
      <c r="AA1787" s="359"/>
    </row>
    <row r="1788" spans="1:27">
      <c r="A1788" s="359"/>
      <c r="B1788" s="359"/>
      <c r="C1788" s="359"/>
      <c r="D1788" s="359"/>
      <c r="E1788" s="359"/>
      <c r="F1788" s="359"/>
      <c r="G1788" s="359"/>
      <c r="H1788" s="359"/>
      <c r="I1788" s="359"/>
      <c r="J1788" s="359"/>
      <c r="K1788" s="359"/>
      <c r="L1788" s="359"/>
      <c r="M1788" s="359"/>
      <c r="N1788" s="359"/>
      <c r="O1788" s="359"/>
      <c r="P1788" s="359"/>
      <c r="Q1788" s="359"/>
      <c r="R1788" s="359"/>
      <c r="S1788" s="359"/>
      <c r="T1788" s="359"/>
      <c r="U1788" s="359"/>
      <c r="V1788" s="359"/>
      <c r="W1788" s="359"/>
      <c r="X1788" s="359"/>
      <c r="Y1788" s="359"/>
      <c r="Z1788" s="359"/>
      <c r="AA1788" s="359"/>
    </row>
    <row r="1789" spans="1:27">
      <c r="A1789" s="359"/>
      <c r="B1789" s="359"/>
      <c r="C1789" s="359"/>
      <c r="D1789" s="359"/>
      <c r="E1789" s="359"/>
      <c r="F1789" s="359"/>
      <c r="G1789" s="359"/>
      <c r="H1789" s="359"/>
      <c r="I1789" s="359"/>
      <c r="J1789" s="359"/>
      <c r="K1789" s="359"/>
      <c r="L1789" s="359"/>
      <c r="M1789" s="359"/>
      <c r="N1789" s="359"/>
      <c r="O1789" s="359"/>
      <c r="P1789" s="359"/>
      <c r="Q1789" s="359"/>
      <c r="R1789" s="359"/>
      <c r="S1789" s="359"/>
      <c r="T1789" s="359"/>
      <c r="U1789" s="359"/>
      <c r="V1789" s="359"/>
      <c r="W1789" s="359"/>
      <c r="X1789" s="359"/>
      <c r="Y1789" s="359"/>
      <c r="Z1789" s="359"/>
      <c r="AA1789" s="359"/>
    </row>
    <row r="1790" spans="1:27">
      <c r="A1790" s="359"/>
      <c r="B1790" s="359"/>
      <c r="C1790" s="359"/>
      <c r="D1790" s="359"/>
      <c r="E1790" s="359"/>
      <c r="F1790" s="359"/>
      <c r="G1790" s="359"/>
      <c r="H1790" s="359"/>
      <c r="I1790" s="359"/>
      <c r="J1790" s="359"/>
      <c r="K1790" s="359"/>
      <c r="L1790" s="359"/>
      <c r="M1790" s="359"/>
      <c r="N1790" s="359"/>
      <c r="O1790" s="359"/>
      <c r="P1790" s="359"/>
      <c r="Q1790" s="359"/>
      <c r="R1790" s="359"/>
      <c r="S1790" s="359"/>
      <c r="T1790" s="359"/>
      <c r="U1790" s="359"/>
      <c r="V1790" s="359"/>
      <c r="W1790" s="359"/>
      <c r="X1790" s="359"/>
      <c r="Y1790" s="359"/>
      <c r="Z1790" s="359"/>
      <c r="AA1790" s="359"/>
    </row>
    <row r="1791" spans="1:27">
      <c r="A1791" s="359"/>
      <c r="B1791" s="359"/>
      <c r="C1791" s="359"/>
      <c r="D1791" s="359"/>
      <c r="E1791" s="359"/>
      <c r="F1791" s="359"/>
      <c r="G1791" s="359"/>
      <c r="H1791" s="359"/>
      <c r="I1791" s="359"/>
      <c r="J1791" s="359"/>
      <c r="K1791" s="359"/>
      <c r="L1791" s="359"/>
      <c r="M1791" s="359"/>
      <c r="N1791" s="359"/>
      <c r="O1791" s="359"/>
      <c r="P1791" s="359"/>
      <c r="Q1791" s="359"/>
      <c r="R1791" s="359"/>
      <c r="S1791" s="359"/>
      <c r="T1791" s="359"/>
      <c r="U1791" s="359"/>
      <c r="V1791" s="359"/>
      <c r="W1791" s="359"/>
      <c r="X1791" s="359"/>
      <c r="Y1791" s="359"/>
      <c r="Z1791" s="359"/>
      <c r="AA1791" s="359"/>
    </row>
    <row r="1792" spans="1:27">
      <c r="A1792" s="359"/>
      <c r="B1792" s="359"/>
      <c r="C1792" s="359"/>
      <c r="D1792" s="359"/>
      <c r="E1792" s="359"/>
      <c r="F1792" s="359"/>
      <c r="G1792" s="359"/>
      <c r="H1792" s="359"/>
      <c r="I1792" s="359"/>
      <c r="J1792" s="359"/>
      <c r="K1792" s="359"/>
      <c r="L1792" s="359"/>
      <c r="M1792" s="359"/>
      <c r="N1792" s="359"/>
      <c r="O1792" s="359"/>
      <c r="P1792" s="359"/>
      <c r="Q1792" s="359"/>
      <c r="R1792" s="359"/>
      <c r="S1792" s="359"/>
      <c r="T1792" s="359"/>
      <c r="U1792" s="359"/>
      <c r="V1792" s="359"/>
      <c r="W1792" s="359"/>
      <c r="X1792" s="359"/>
      <c r="Y1792" s="359"/>
      <c r="Z1792" s="359"/>
      <c r="AA1792" s="359"/>
    </row>
    <row r="1793" spans="1:27">
      <c r="A1793" s="359"/>
      <c r="B1793" s="359"/>
      <c r="C1793" s="359"/>
      <c r="D1793" s="359"/>
      <c r="E1793" s="359"/>
      <c r="F1793" s="359"/>
      <c r="G1793" s="359"/>
      <c r="H1793" s="359"/>
      <c r="I1793" s="359"/>
      <c r="J1793" s="359"/>
      <c r="K1793" s="359"/>
      <c r="L1793" s="359"/>
      <c r="M1793" s="359"/>
      <c r="N1793" s="359"/>
      <c r="O1793" s="359"/>
      <c r="P1793" s="359"/>
      <c r="Q1793" s="359"/>
      <c r="R1793" s="359"/>
      <c r="S1793" s="359"/>
      <c r="T1793" s="359"/>
      <c r="U1793" s="359"/>
      <c r="V1793" s="359"/>
      <c r="W1793" s="359"/>
      <c r="X1793" s="359"/>
      <c r="Y1793" s="359"/>
      <c r="Z1793" s="359"/>
      <c r="AA1793" s="359"/>
    </row>
    <row r="1794" spans="1:27">
      <c r="A1794" s="359"/>
      <c r="B1794" s="359"/>
      <c r="C1794" s="359"/>
      <c r="D1794" s="359"/>
      <c r="E1794" s="359"/>
      <c r="F1794" s="359"/>
      <c r="G1794" s="359"/>
      <c r="H1794" s="359"/>
      <c r="I1794" s="359"/>
      <c r="J1794" s="359"/>
      <c r="K1794" s="359"/>
      <c r="L1794" s="359"/>
      <c r="M1794" s="359"/>
      <c r="N1794" s="359"/>
      <c r="O1794" s="359"/>
      <c r="P1794" s="359"/>
      <c r="Q1794" s="359"/>
      <c r="R1794" s="359"/>
      <c r="S1794" s="359"/>
      <c r="T1794" s="359"/>
      <c r="U1794" s="359"/>
      <c r="V1794" s="359"/>
      <c r="W1794" s="359"/>
      <c r="X1794" s="359"/>
      <c r="Y1794" s="359"/>
      <c r="Z1794" s="359"/>
      <c r="AA1794" s="359"/>
    </row>
    <row r="1795" spans="1:27">
      <c r="A1795" s="359"/>
      <c r="B1795" s="359"/>
      <c r="C1795" s="359"/>
      <c r="D1795" s="359"/>
      <c r="E1795" s="359"/>
      <c r="F1795" s="359"/>
      <c r="G1795" s="359"/>
      <c r="H1795" s="359"/>
      <c r="I1795" s="359"/>
      <c r="J1795" s="359"/>
      <c r="K1795" s="359"/>
      <c r="L1795" s="359"/>
      <c r="M1795" s="359"/>
      <c r="N1795" s="359"/>
      <c r="O1795" s="359"/>
      <c r="P1795" s="359"/>
      <c r="Q1795" s="359"/>
      <c r="R1795" s="359"/>
      <c r="S1795" s="359"/>
      <c r="T1795" s="359"/>
      <c r="U1795" s="359"/>
      <c r="V1795" s="359"/>
      <c r="W1795" s="359"/>
      <c r="X1795" s="359"/>
      <c r="Y1795" s="359"/>
      <c r="Z1795" s="359"/>
      <c r="AA1795" s="359"/>
    </row>
    <row r="1796" spans="1:27">
      <c r="A1796" s="359"/>
      <c r="B1796" s="359"/>
      <c r="C1796" s="359"/>
      <c r="D1796" s="359"/>
      <c r="E1796" s="359"/>
      <c r="F1796" s="359"/>
      <c r="G1796" s="359"/>
      <c r="H1796" s="359"/>
      <c r="I1796" s="359"/>
      <c r="J1796" s="359"/>
      <c r="K1796" s="359"/>
      <c r="L1796" s="359"/>
      <c r="M1796" s="359"/>
      <c r="N1796" s="359"/>
      <c r="O1796" s="359"/>
      <c r="P1796" s="359"/>
      <c r="Q1796" s="359"/>
      <c r="R1796" s="359"/>
      <c r="S1796" s="359"/>
      <c r="T1796" s="359"/>
      <c r="U1796" s="359"/>
      <c r="V1796" s="359"/>
      <c r="W1796" s="359"/>
      <c r="X1796" s="359"/>
      <c r="Y1796" s="359"/>
      <c r="Z1796" s="359"/>
      <c r="AA1796" s="359"/>
    </row>
    <row r="1797" spans="1:27">
      <c r="A1797" s="359"/>
      <c r="B1797" s="359"/>
      <c r="C1797" s="359"/>
      <c r="D1797" s="359"/>
      <c r="E1797" s="359"/>
      <c r="F1797" s="359"/>
      <c r="G1797" s="359"/>
      <c r="H1797" s="359"/>
      <c r="I1797" s="359"/>
      <c r="J1797" s="359"/>
      <c r="K1797" s="359"/>
      <c r="L1797" s="359"/>
      <c r="M1797" s="359"/>
      <c r="N1797" s="359"/>
      <c r="O1797" s="359"/>
      <c r="P1797" s="359"/>
      <c r="Q1797" s="359"/>
      <c r="R1797" s="359"/>
      <c r="S1797" s="359"/>
      <c r="T1797" s="359"/>
      <c r="U1797" s="359"/>
      <c r="V1797" s="359"/>
      <c r="W1797" s="359"/>
      <c r="X1797" s="359"/>
      <c r="Y1797" s="359"/>
      <c r="Z1797" s="359"/>
      <c r="AA1797" s="359"/>
    </row>
    <row r="1798" spans="1:27">
      <c r="A1798" s="359"/>
      <c r="B1798" s="359"/>
      <c r="C1798" s="359"/>
      <c r="D1798" s="359"/>
      <c r="E1798" s="359"/>
      <c r="F1798" s="359"/>
      <c r="G1798" s="359"/>
      <c r="H1798" s="359"/>
      <c r="I1798" s="359"/>
      <c r="J1798" s="359"/>
      <c r="K1798" s="359"/>
      <c r="L1798" s="359"/>
      <c r="M1798" s="359"/>
      <c r="N1798" s="359"/>
      <c r="O1798" s="359"/>
      <c r="P1798" s="359"/>
      <c r="Q1798" s="359"/>
      <c r="R1798" s="359"/>
      <c r="S1798" s="359"/>
      <c r="T1798" s="359"/>
      <c r="U1798" s="359"/>
      <c r="V1798" s="359"/>
      <c r="W1798" s="359"/>
      <c r="X1798" s="359"/>
      <c r="Y1798" s="359"/>
      <c r="Z1798" s="359"/>
      <c r="AA1798" s="359"/>
    </row>
    <row r="1799" spans="1:27">
      <c r="A1799" s="359"/>
      <c r="B1799" s="359"/>
      <c r="C1799" s="359"/>
      <c r="D1799" s="359"/>
      <c r="E1799" s="359"/>
      <c r="F1799" s="359"/>
      <c r="G1799" s="359"/>
      <c r="H1799" s="359"/>
      <c r="I1799" s="359"/>
      <c r="J1799" s="359"/>
      <c r="K1799" s="359"/>
      <c r="L1799" s="359"/>
      <c r="M1799" s="359"/>
      <c r="N1799" s="359"/>
      <c r="O1799" s="359"/>
      <c r="P1799" s="359"/>
      <c r="Q1799" s="359"/>
      <c r="R1799" s="359"/>
      <c r="S1799" s="359"/>
      <c r="T1799" s="359"/>
      <c r="U1799" s="359"/>
      <c r="V1799" s="359"/>
      <c r="W1799" s="359"/>
      <c r="X1799" s="359"/>
      <c r="Y1799" s="359"/>
      <c r="Z1799" s="359"/>
      <c r="AA1799" s="359"/>
    </row>
    <row r="1800" spans="1:27">
      <c r="A1800" s="359"/>
      <c r="B1800" s="359"/>
      <c r="C1800" s="359"/>
      <c r="D1800" s="359"/>
      <c r="E1800" s="359"/>
      <c r="F1800" s="359"/>
      <c r="G1800" s="359"/>
      <c r="H1800" s="359"/>
      <c r="I1800" s="359"/>
      <c r="J1800" s="359"/>
      <c r="K1800" s="359"/>
      <c r="L1800" s="359"/>
      <c r="M1800" s="359"/>
      <c r="N1800" s="359"/>
      <c r="O1800" s="359"/>
      <c r="P1800" s="359"/>
      <c r="Q1800" s="359"/>
      <c r="R1800" s="359"/>
      <c r="S1800" s="359"/>
      <c r="T1800" s="359"/>
      <c r="U1800" s="359"/>
      <c r="V1800" s="359"/>
      <c r="W1800" s="359"/>
      <c r="X1800" s="359"/>
      <c r="Y1800" s="359"/>
      <c r="Z1800" s="359"/>
      <c r="AA1800" s="359"/>
    </row>
    <row r="1801" spans="1:27">
      <c r="A1801" s="359"/>
      <c r="B1801" s="359"/>
      <c r="C1801" s="359"/>
      <c r="D1801" s="359"/>
      <c r="E1801" s="359"/>
      <c r="F1801" s="359"/>
      <c r="G1801" s="359"/>
      <c r="H1801" s="359"/>
      <c r="I1801" s="359"/>
      <c r="J1801" s="359"/>
      <c r="K1801" s="359"/>
      <c r="L1801" s="359"/>
      <c r="M1801" s="359"/>
      <c r="N1801" s="359"/>
      <c r="O1801" s="359"/>
      <c r="P1801" s="359"/>
      <c r="Q1801" s="359"/>
      <c r="R1801" s="359"/>
      <c r="S1801" s="359"/>
      <c r="T1801" s="359"/>
      <c r="U1801" s="359"/>
      <c r="V1801" s="359"/>
      <c r="W1801" s="359"/>
      <c r="X1801" s="359"/>
      <c r="Y1801" s="359"/>
      <c r="Z1801" s="359"/>
      <c r="AA1801" s="359"/>
    </row>
    <row r="1802" spans="1:27">
      <c r="A1802" s="359"/>
      <c r="B1802" s="359"/>
      <c r="C1802" s="359"/>
      <c r="D1802" s="359"/>
      <c r="E1802" s="359"/>
      <c r="F1802" s="359"/>
      <c r="G1802" s="359"/>
      <c r="H1802" s="359"/>
      <c r="I1802" s="359"/>
      <c r="J1802" s="359"/>
      <c r="K1802" s="359"/>
      <c r="L1802" s="359"/>
      <c r="M1802" s="359"/>
      <c r="N1802" s="359"/>
      <c r="O1802" s="359"/>
      <c r="P1802" s="359"/>
      <c r="Q1802" s="359"/>
      <c r="R1802" s="359"/>
      <c r="S1802" s="359"/>
      <c r="T1802" s="359"/>
      <c r="U1802" s="359"/>
      <c r="V1802" s="359"/>
      <c r="W1802" s="359"/>
      <c r="X1802" s="359"/>
      <c r="Y1802" s="359"/>
      <c r="Z1802" s="359"/>
      <c r="AA1802" s="359"/>
    </row>
    <row r="1803" spans="1:27">
      <c r="A1803" s="359"/>
      <c r="B1803" s="359"/>
      <c r="C1803" s="359"/>
      <c r="D1803" s="359"/>
      <c r="E1803" s="359"/>
      <c r="F1803" s="359"/>
      <c r="G1803" s="359"/>
      <c r="H1803" s="359"/>
      <c r="I1803" s="359"/>
      <c r="J1803" s="359"/>
      <c r="K1803" s="359"/>
      <c r="L1803" s="359"/>
      <c r="M1803" s="359"/>
      <c r="N1803" s="359"/>
      <c r="O1803" s="359"/>
      <c r="P1803" s="359"/>
      <c r="Q1803" s="359"/>
      <c r="R1803" s="359"/>
      <c r="S1803" s="359"/>
      <c r="T1803" s="359"/>
      <c r="U1803" s="359"/>
      <c r="V1803" s="359"/>
      <c r="W1803" s="359"/>
      <c r="X1803" s="359"/>
      <c r="Y1803" s="359"/>
      <c r="Z1803" s="359"/>
      <c r="AA1803" s="359"/>
    </row>
    <row r="1804" spans="1:27">
      <c r="A1804" s="359"/>
      <c r="B1804" s="359"/>
      <c r="C1804" s="359"/>
      <c r="D1804" s="359"/>
      <c r="E1804" s="359"/>
      <c r="F1804" s="359"/>
      <c r="G1804" s="359"/>
      <c r="H1804" s="359"/>
      <c r="I1804" s="359"/>
      <c r="J1804" s="359"/>
      <c r="K1804" s="359"/>
      <c r="L1804" s="359"/>
      <c r="M1804" s="359"/>
      <c r="N1804" s="359"/>
      <c r="O1804" s="359"/>
      <c r="P1804" s="359"/>
      <c r="Q1804" s="359"/>
      <c r="R1804" s="359"/>
      <c r="S1804" s="359"/>
      <c r="T1804" s="359"/>
      <c r="U1804" s="359"/>
      <c r="V1804" s="359"/>
      <c r="W1804" s="359"/>
      <c r="X1804" s="359"/>
      <c r="Y1804" s="359"/>
      <c r="Z1804" s="359"/>
      <c r="AA1804" s="359"/>
    </row>
    <row r="1805" spans="1:27">
      <c r="A1805" s="359"/>
      <c r="B1805" s="359"/>
      <c r="C1805" s="359"/>
      <c r="D1805" s="359"/>
      <c r="E1805" s="359"/>
      <c r="F1805" s="359"/>
      <c r="G1805" s="359"/>
      <c r="H1805" s="359"/>
      <c r="I1805" s="359"/>
      <c r="J1805" s="359"/>
      <c r="K1805" s="359"/>
      <c r="L1805" s="359"/>
      <c r="M1805" s="359"/>
      <c r="N1805" s="359"/>
      <c r="O1805" s="359"/>
      <c r="P1805" s="359"/>
      <c r="Q1805" s="359"/>
      <c r="R1805" s="359"/>
      <c r="S1805" s="359"/>
      <c r="T1805" s="359"/>
      <c r="U1805" s="359"/>
      <c r="V1805" s="359"/>
      <c r="W1805" s="359"/>
      <c r="X1805" s="359"/>
      <c r="Y1805" s="359"/>
      <c r="Z1805" s="359"/>
      <c r="AA1805" s="359"/>
    </row>
    <row r="1806" spans="1:27">
      <c r="A1806" s="359"/>
      <c r="B1806" s="359"/>
      <c r="C1806" s="359"/>
      <c r="D1806" s="359"/>
      <c r="E1806" s="359"/>
      <c r="F1806" s="359"/>
      <c r="G1806" s="359"/>
      <c r="H1806" s="359"/>
      <c r="I1806" s="359"/>
      <c r="J1806" s="359"/>
      <c r="K1806" s="359"/>
      <c r="L1806" s="359"/>
      <c r="M1806" s="359"/>
      <c r="N1806" s="359"/>
      <c r="O1806" s="359"/>
      <c r="P1806" s="359"/>
      <c r="Q1806" s="359"/>
      <c r="R1806" s="359"/>
      <c r="S1806" s="359"/>
      <c r="T1806" s="359"/>
      <c r="U1806" s="359"/>
      <c r="V1806" s="359"/>
      <c r="W1806" s="359"/>
      <c r="X1806" s="359"/>
      <c r="Y1806" s="359"/>
      <c r="Z1806" s="359"/>
      <c r="AA1806" s="359"/>
    </row>
    <row r="1807" spans="1:27">
      <c r="A1807" s="359"/>
      <c r="B1807" s="359"/>
      <c r="C1807" s="359"/>
      <c r="D1807" s="359"/>
      <c r="E1807" s="359"/>
      <c r="F1807" s="359"/>
      <c r="G1807" s="359"/>
      <c r="H1807" s="359"/>
      <c r="I1807" s="359"/>
      <c r="J1807" s="359"/>
      <c r="K1807" s="359"/>
      <c r="L1807" s="359"/>
      <c r="M1807" s="359"/>
      <c r="N1807" s="359"/>
      <c r="O1807" s="359"/>
      <c r="P1807" s="359"/>
      <c r="Q1807" s="359"/>
      <c r="R1807" s="359"/>
      <c r="S1807" s="359"/>
      <c r="T1807" s="359"/>
      <c r="U1807" s="359"/>
      <c r="V1807" s="359"/>
      <c r="W1807" s="359"/>
      <c r="X1807" s="359"/>
      <c r="Y1807" s="359"/>
      <c r="Z1807" s="359"/>
      <c r="AA1807" s="359"/>
    </row>
    <row r="1808" spans="1:27">
      <c r="A1808" s="359"/>
      <c r="B1808" s="359"/>
      <c r="C1808" s="359"/>
      <c r="D1808" s="359"/>
      <c r="E1808" s="359"/>
      <c r="F1808" s="359"/>
      <c r="G1808" s="359"/>
      <c r="H1808" s="359"/>
      <c r="I1808" s="359"/>
      <c r="J1808" s="359"/>
      <c r="K1808" s="359"/>
      <c r="L1808" s="359"/>
      <c r="M1808" s="359"/>
      <c r="N1808" s="359"/>
      <c r="O1808" s="359"/>
      <c r="P1808" s="359"/>
      <c r="Q1808" s="359"/>
      <c r="R1808" s="359"/>
      <c r="S1808" s="359"/>
      <c r="T1808" s="359"/>
      <c r="U1808" s="359"/>
      <c r="V1808" s="359"/>
      <c r="W1808" s="359"/>
      <c r="X1808" s="359"/>
      <c r="Y1808" s="359"/>
      <c r="Z1808" s="359"/>
      <c r="AA1808" s="359"/>
    </row>
    <row r="1809" spans="1:27">
      <c r="A1809" s="359"/>
      <c r="B1809" s="359"/>
      <c r="C1809" s="359"/>
      <c r="D1809" s="359"/>
      <c r="E1809" s="359"/>
      <c r="F1809" s="359"/>
      <c r="G1809" s="359"/>
      <c r="H1809" s="359"/>
      <c r="I1809" s="359"/>
      <c r="J1809" s="359"/>
      <c r="K1809" s="359"/>
      <c r="L1809" s="359"/>
      <c r="M1809" s="359"/>
      <c r="N1809" s="359"/>
      <c r="O1809" s="359"/>
      <c r="P1809" s="359"/>
      <c r="Q1809" s="359"/>
      <c r="R1809" s="359"/>
      <c r="S1809" s="359"/>
      <c r="T1809" s="359"/>
      <c r="U1809" s="359"/>
      <c r="V1809" s="359"/>
      <c r="W1809" s="359"/>
      <c r="X1809" s="359"/>
      <c r="Y1809" s="359"/>
      <c r="Z1809" s="359"/>
      <c r="AA1809" s="359"/>
    </row>
    <row r="1810" spans="1:27">
      <c r="A1810" s="359"/>
      <c r="B1810" s="359"/>
      <c r="C1810" s="359"/>
      <c r="D1810" s="359"/>
      <c r="E1810" s="359"/>
      <c r="F1810" s="359"/>
      <c r="G1810" s="359"/>
      <c r="H1810" s="359"/>
      <c r="I1810" s="359"/>
      <c r="J1810" s="359"/>
      <c r="K1810" s="359"/>
      <c r="L1810" s="359"/>
      <c r="M1810" s="359"/>
      <c r="N1810" s="359"/>
      <c r="O1810" s="359"/>
      <c r="P1810" s="359"/>
      <c r="Q1810" s="359"/>
      <c r="R1810" s="359"/>
      <c r="S1810" s="359"/>
      <c r="T1810" s="359"/>
      <c r="U1810" s="359"/>
      <c r="V1810" s="359"/>
      <c r="W1810" s="359"/>
      <c r="X1810" s="359"/>
      <c r="Y1810" s="359"/>
      <c r="Z1810" s="359"/>
      <c r="AA1810" s="359"/>
    </row>
    <row r="1811" spans="1:27">
      <c r="A1811" s="359"/>
      <c r="B1811" s="359"/>
      <c r="C1811" s="359"/>
      <c r="D1811" s="359"/>
      <c r="E1811" s="359"/>
      <c r="F1811" s="359"/>
      <c r="G1811" s="359"/>
      <c r="H1811" s="359"/>
      <c r="I1811" s="359"/>
      <c r="J1811" s="359"/>
      <c r="K1811" s="359"/>
      <c r="L1811" s="359"/>
      <c r="M1811" s="359"/>
      <c r="N1811" s="359"/>
      <c r="O1811" s="359"/>
      <c r="P1811" s="359"/>
      <c r="Q1811" s="359"/>
      <c r="R1811" s="359"/>
      <c r="S1811" s="359"/>
      <c r="T1811" s="359"/>
      <c r="U1811" s="359"/>
      <c r="V1811" s="359"/>
      <c r="W1811" s="359"/>
      <c r="X1811" s="359"/>
      <c r="Y1811" s="359"/>
      <c r="Z1811" s="359"/>
      <c r="AA1811" s="359"/>
    </row>
    <row r="1812" spans="1:27">
      <c r="A1812" s="359"/>
      <c r="B1812" s="359"/>
      <c r="C1812" s="359"/>
      <c r="D1812" s="359"/>
      <c r="E1812" s="359"/>
      <c r="F1812" s="359"/>
      <c r="G1812" s="359"/>
      <c r="H1812" s="359"/>
      <c r="I1812" s="359"/>
      <c r="J1812" s="359"/>
      <c r="K1812" s="359"/>
      <c r="L1812" s="359"/>
      <c r="M1812" s="359"/>
      <c r="N1812" s="359"/>
      <c r="O1812" s="359"/>
      <c r="P1812" s="359"/>
      <c r="Q1812" s="359"/>
      <c r="R1812" s="359"/>
      <c r="S1812" s="359"/>
      <c r="T1812" s="359"/>
      <c r="U1812" s="359"/>
      <c r="V1812" s="359"/>
      <c r="W1812" s="359"/>
      <c r="X1812" s="359"/>
      <c r="Y1812" s="359"/>
      <c r="Z1812" s="359"/>
      <c r="AA1812" s="359"/>
    </row>
    <row r="1813" spans="1:27">
      <c r="A1813" s="359"/>
      <c r="B1813" s="359"/>
      <c r="C1813" s="359"/>
      <c r="D1813" s="359"/>
      <c r="E1813" s="359"/>
      <c r="F1813" s="359"/>
      <c r="G1813" s="359"/>
      <c r="H1813" s="359"/>
      <c r="I1813" s="359"/>
      <c r="J1813" s="359"/>
      <c r="K1813" s="359"/>
      <c r="L1813" s="359"/>
      <c r="M1813" s="359"/>
      <c r="N1813" s="359"/>
      <c r="O1813" s="359"/>
      <c r="P1813" s="359"/>
      <c r="Q1813" s="359"/>
      <c r="R1813" s="359"/>
      <c r="S1813" s="359"/>
      <c r="T1813" s="359"/>
      <c r="U1813" s="359"/>
      <c r="V1813" s="359"/>
      <c r="W1813" s="359"/>
      <c r="X1813" s="359"/>
      <c r="Y1813" s="359"/>
      <c r="Z1813" s="359"/>
      <c r="AA1813" s="359"/>
    </row>
    <row r="1814" spans="1:27">
      <c r="A1814" s="359"/>
      <c r="B1814" s="359"/>
      <c r="C1814" s="359"/>
      <c r="D1814" s="359"/>
      <c r="E1814" s="359"/>
      <c r="F1814" s="359"/>
      <c r="G1814" s="359"/>
      <c r="H1814" s="359"/>
      <c r="I1814" s="359"/>
      <c r="J1814" s="359"/>
      <c r="K1814" s="359"/>
      <c r="L1814" s="359"/>
      <c r="M1814" s="359"/>
      <c r="N1814" s="359"/>
      <c r="O1814" s="359"/>
      <c r="P1814" s="359"/>
      <c r="Q1814" s="359"/>
      <c r="R1814" s="359"/>
      <c r="S1814" s="359"/>
      <c r="T1814" s="359"/>
      <c r="U1814" s="359"/>
      <c r="V1814" s="359"/>
      <c r="W1814" s="359"/>
      <c r="X1814" s="359"/>
      <c r="Y1814" s="359"/>
      <c r="Z1814" s="359"/>
      <c r="AA1814" s="359"/>
    </row>
    <row r="1815" spans="1:27">
      <c r="A1815" s="359"/>
      <c r="B1815" s="359"/>
      <c r="C1815" s="359"/>
      <c r="D1815" s="359"/>
      <c r="E1815" s="359"/>
      <c r="F1815" s="359"/>
      <c r="G1815" s="359"/>
      <c r="H1815" s="359"/>
      <c r="I1815" s="359"/>
      <c r="J1815" s="359"/>
      <c r="K1815" s="359"/>
      <c r="L1815" s="359"/>
      <c r="M1815" s="359"/>
      <c r="N1815" s="359"/>
      <c r="O1815" s="359"/>
      <c r="P1815" s="359"/>
      <c r="Q1815" s="359"/>
      <c r="R1815" s="359"/>
      <c r="S1815" s="359"/>
      <c r="T1815" s="359"/>
      <c r="U1815" s="359"/>
      <c r="V1815" s="359"/>
      <c r="W1815" s="359"/>
      <c r="X1815" s="359"/>
      <c r="Y1815" s="359"/>
      <c r="Z1815" s="359"/>
      <c r="AA1815" s="359"/>
    </row>
    <row r="1816" spans="1:27">
      <c r="A1816" s="359"/>
      <c r="B1816" s="359"/>
      <c r="C1816" s="359"/>
      <c r="D1816" s="359"/>
      <c r="E1816" s="359"/>
      <c r="F1816" s="359"/>
      <c r="G1816" s="359"/>
      <c r="H1816" s="359"/>
      <c r="I1816" s="359"/>
      <c r="J1816" s="359"/>
      <c r="K1816" s="359"/>
      <c r="L1816" s="359"/>
      <c r="M1816" s="359"/>
      <c r="N1816" s="359"/>
      <c r="O1816" s="359"/>
      <c r="P1816" s="359"/>
      <c r="Q1816" s="359"/>
      <c r="R1816" s="359"/>
      <c r="S1816" s="359"/>
      <c r="T1816" s="359"/>
      <c r="U1816" s="359"/>
      <c r="V1816" s="359"/>
      <c r="W1816" s="359"/>
      <c r="X1816" s="359"/>
      <c r="Y1816" s="359"/>
      <c r="Z1816" s="359"/>
      <c r="AA1816" s="359"/>
    </row>
    <row r="1817" spans="1:27">
      <c r="A1817" s="359"/>
      <c r="B1817" s="359"/>
      <c r="C1817" s="359"/>
      <c r="D1817" s="359"/>
      <c r="E1817" s="359"/>
      <c r="F1817" s="359"/>
      <c r="G1817" s="359"/>
      <c r="H1817" s="359"/>
      <c r="I1817" s="359"/>
      <c r="J1817" s="359"/>
      <c r="K1817" s="359"/>
      <c r="L1817" s="359"/>
      <c r="M1817" s="359"/>
      <c r="N1817" s="359"/>
      <c r="O1817" s="359"/>
      <c r="P1817" s="359"/>
      <c r="Q1817" s="359"/>
      <c r="R1817" s="359"/>
      <c r="S1817" s="359"/>
      <c r="T1817" s="359"/>
      <c r="U1817" s="359"/>
      <c r="V1817" s="359"/>
      <c r="W1817" s="359"/>
      <c r="X1817" s="359"/>
      <c r="Y1817" s="359"/>
      <c r="Z1817" s="359"/>
      <c r="AA1817" s="359"/>
    </row>
    <row r="1818" spans="1:27">
      <c r="A1818" s="359"/>
      <c r="B1818" s="359"/>
      <c r="C1818" s="359"/>
      <c r="D1818" s="359"/>
      <c r="E1818" s="359"/>
      <c r="F1818" s="359"/>
      <c r="G1818" s="359"/>
      <c r="H1818" s="359"/>
      <c r="I1818" s="359"/>
      <c r="J1818" s="359"/>
      <c r="K1818" s="359"/>
      <c r="L1818" s="359"/>
      <c r="M1818" s="359"/>
      <c r="N1818" s="359"/>
      <c r="O1818" s="359"/>
      <c r="P1818" s="359"/>
      <c r="Q1818" s="359"/>
      <c r="R1818" s="359"/>
      <c r="S1818" s="359"/>
      <c r="T1818" s="359"/>
      <c r="U1818" s="359"/>
      <c r="V1818" s="359"/>
      <c r="W1818" s="359"/>
      <c r="X1818" s="359"/>
      <c r="Y1818" s="359"/>
      <c r="Z1818" s="359"/>
      <c r="AA1818" s="359"/>
    </row>
    <row r="1819" spans="1:27">
      <c r="A1819" s="359"/>
      <c r="B1819" s="359"/>
      <c r="C1819" s="359"/>
      <c r="D1819" s="359"/>
      <c r="E1819" s="359"/>
      <c r="F1819" s="359"/>
      <c r="G1819" s="359"/>
      <c r="H1819" s="359"/>
      <c r="I1819" s="359"/>
      <c r="J1819" s="359"/>
      <c r="K1819" s="359"/>
      <c r="L1819" s="359"/>
      <c r="M1819" s="359"/>
      <c r="N1819" s="359"/>
      <c r="O1819" s="359"/>
      <c r="P1819" s="359"/>
      <c r="Q1819" s="359"/>
      <c r="R1819" s="359"/>
      <c r="S1819" s="359"/>
      <c r="T1819" s="359"/>
      <c r="U1819" s="359"/>
      <c r="V1819" s="359"/>
      <c r="W1819" s="359"/>
      <c r="X1819" s="359"/>
      <c r="Y1819" s="359"/>
      <c r="Z1819" s="359"/>
      <c r="AA1819" s="359"/>
    </row>
    <row r="1820" spans="1:27">
      <c r="A1820" s="359"/>
      <c r="B1820" s="359"/>
      <c r="C1820" s="359"/>
      <c r="D1820" s="359"/>
      <c r="E1820" s="359"/>
      <c r="F1820" s="359"/>
      <c r="G1820" s="359"/>
      <c r="H1820" s="359"/>
      <c r="I1820" s="359"/>
      <c r="J1820" s="359"/>
      <c r="K1820" s="359"/>
      <c r="L1820" s="359"/>
      <c r="M1820" s="359"/>
      <c r="N1820" s="359"/>
      <c r="O1820" s="359"/>
      <c r="P1820" s="359"/>
      <c r="Q1820" s="359"/>
      <c r="R1820" s="359"/>
      <c r="S1820" s="359"/>
      <c r="T1820" s="359"/>
      <c r="U1820" s="359"/>
      <c r="V1820" s="359"/>
      <c r="W1820" s="359"/>
      <c r="X1820" s="359"/>
      <c r="Y1820" s="359"/>
      <c r="Z1820" s="359"/>
      <c r="AA1820" s="359"/>
    </row>
    <row r="1821" spans="1:27">
      <c r="A1821" s="359"/>
      <c r="B1821" s="359"/>
      <c r="C1821" s="359"/>
      <c r="D1821" s="359"/>
      <c r="E1821" s="359"/>
      <c r="F1821" s="359"/>
      <c r="G1821" s="359"/>
      <c r="H1821" s="359"/>
      <c r="I1821" s="359"/>
      <c r="J1821" s="359"/>
      <c r="K1821" s="359"/>
      <c r="L1821" s="359"/>
      <c r="M1821" s="359"/>
      <c r="N1821" s="359"/>
      <c r="O1821" s="359"/>
      <c r="P1821" s="359"/>
      <c r="Q1821" s="359"/>
      <c r="R1821" s="359"/>
      <c r="S1821" s="359"/>
      <c r="T1821" s="359"/>
      <c r="U1821" s="359"/>
      <c r="V1821" s="359"/>
      <c r="W1821" s="359"/>
      <c r="X1821" s="359"/>
      <c r="Y1821" s="359"/>
      <c r="Z1821" s="359"/>
      <c r="AA1821" s="359"/>
    </row>
    <row r="1822" spans="1:27">
      <c r="A1822" s="359"/>
      <c r="B1822" s="359"/>
      <c r="C1822" s="359"/>
      <c r="D1822" s="359"/>
      <c r="E1822" s="359"/>
      <c r="F1822" s="359"/>
      <c r="G1822" s="359"/>
      <c r="H1822" s="359"/>
      <c r="I1822" s="359"/>
      <c r="J1822" s="359"/>
      <c r="K1822" s="359"/>
      <c r="L1822" s="359"/>
      <c r="M1822" s="359"/>
      <c r="N1822" s="359"/>
      <c r="O1822" s="359"/>
      <c r="P1822" s="359"/>
      <c r="Q1822" s="359"/>
      <c r="R1822" s="359"/>
      <c r="S1822" s="359"/>
      <c r="T1822" s="359"/>
      <c r="U1822" s="359"/>
      <c r="V1822" s="359"/>
      <c r="W1822" s="359"/>
      <c r="X1822" s="359"/>
      <c r="Y1822" s="359"/>
      <c r="Z1822" s="359"/>
      <c r="AA1822" s="359"/>
    </row>
    <row r="1823" spans="1:27">
      <c r="A1823" s="359"/>
      <c r="B1823" s="359"/>
      <c r="C1823" s="359"/>
      <c r="D1823" s="359"/>
      <c r="E1823" s="359"/>
      <c r="F1823" s="359"/>
      <c r="G1823" s="359"/>
      <c r="H1823" s="359"/>
      <c r="I1823" s="359"/>
      <c r="J1823" s="359"/>
      <c r="K1823" s="359"/>
      <c r="L1823" s="359"/>
      <c r="M1823" s="359"/>
      <c r="N1823" s="359"/>
      <c r="O1823" s="359"/>
      <c r="P1823" s="359"/>
      <c r="Q1823" s="359"/>
      <c r="R1823" s="359"/>
      <c r="S1823" s="359"/>
      <c r="T1823" s="359"/>
      <c r="U1823" s="359"/>
      <c r="V1823" s="359"/>
      <c r="W1823" s="359"/>
      <c r="X1823" s="359"/>
      <c r="Y1823" s="359"/>
      <c r="Z1823" s="359"/>
      <c r="AA1823" s="359"/>
    </row>
    <row r="1824" spans="1:27">
      <c r="A1824" s="359"/>
      <c r="B1824" s="359"/>
      <c r="C1824" s="359"/>
      <c r="D1824" s="359"/>
      <c r="E1824" s="359"/>
      <c r="F1824" s="359"/>
      <c r="G1824" s="359"/>
      <c r="H1824" s="359"/>
      <c r="I1824" s="359"/>
      <c r="J1824" s="359"/>
      <c r="K1824" s="359"/>
      <c r="L1824" s="359"/>
      <c r="M1824" s="359"/>
      <c r="N1824" s="359"/>
      <c r="O1824" s="359"/>
      <c r="P1824" s="359"/>
      <c r="Q1824" s="359"/>
      <c r="R1824" s="359"/>
      <c r="S1824" s="359"/>
      <c r="T1824" s="359"/>
      <c r="U1824" s="359"/>
      <c r="V1824" s="359"/>
      <c r="W1824" s="359"/>
      <c r="X1824" s="359"/>
      <c r="Y1824" s="359"/>
      <c r="Z1824" s="359"/>
      <c r="AA1824" s="359"/>
    </row>
    <row r="1825" spans="1:27">
      <c r="A1825" s="359"/>
      <c r="B1825" s="359"/>
      <c r="C1825" s="359"/>
      <c r="D1825" s="359"/>
      <c r="E1825" s="359"/>
      <c r="F1825" s="359"/>
      <c r="G1825" s="359"/>
      <c r="H1825" s="359"/>
      <c r="I1825" s="359"/>
      <c r="J1825" s="359"/>
      <c r="K1825" s="359"/>
      <c r="L1825" s="359"/>
      <c r="M1825" s="359"/>
      <c r="N1825" s="359"/>
      <c r="O1825" s="359"/>
      <c r="P1825" s="359"/>
      <c r="Q1825" s="359"/>
      <c r="R1825" s="359"/>
      <c r="S1825" s="359"/>
      <c r="T1825" s="359"/>
      <c r="U1825" s="359"/>
      <c r="V1825" s="359"/>
      <c r="W1825" s="359"/>
      <c r="X1825" s="359"/>
      <c r="Y1825" s="359"/>
      <c r="Z1825" s="359"/>
      <c r="AA1825" s="359"/>
    </row>
    <row r="1826" spans="1:27">
      <c r="A1826" s="359"/>
      <c r="B1826" s="359"/>
      <c r="C1826" s="359"/>
      <c r="D1826" s="359"/>
      <c r="E1826" s="359"/>
      <c r="F1826" s="359"/>
      <c r="G1826" s="359"/>
      <c r="H1826" s="359"/>
      <c r="I1826" s="359"/>
      <c r="J1826" s="359"/>
      <c r="K1826" s="359"/>
      <c r="L1826" s="359"/>
      <c r="M1826" s="359"/>
      <c r="N1826" s="359"/>
      <c r="O1826" s="359"/>
      <c r="P1826" s="359"/>
      <c r="Q1826" s="359"/>
      <c r="R1826" s="359"/>
      <c r="S1826" s="359"/>
      <c r="T1826" s="359"/>
      <c r="U1826" s="359"/>
      <c r="V1826" s="359"/>
      <c r="W1826" s="359"/>
      <c r="X1826" s="359"/>
      <c r="Y1826" s="359"/>
      <c r="Z1826" s="359"/>
      <c r="AA1826" s="359"/>
    </row>
    <row r="1827" spans="1:27">
      <c r="A1827" s="359"/>
      <c r="B1827" s="359"/>
      <c r="C1827" s="359"/>
      <c r="D1827" s="359"/>
      <c r="E1827" s="359"/>
      <c r="F1827" s="359"/>
      <c r="G1827" s="359"/>
      <c r="H1827" s="359"/>
      <c r="I1827" s="359"/>
      <c r="J1827" s="359"/>
      <c r="K1827" s="359"/>
      <c r="L1827" s="359"/>
      <c r="M1827" s="359"/>
      <c r="N1827" s="359"/>
      <c r="O1827" s="359"/>
      <c r="P1827" s="359"/>
      <c r="Q1827" s="359"/>
      <c r="R1827" s="359"/>
      <c r="S1827" s="359"/>
      <c r="T1827" s="359"/>
      <c r="U1827" s="359"/>
      <c r="V1827" s="359"/>
      <c r="W1827" s="359"/>
      <c r="X1827" s="359"/>
      <c r="Y1827" s="359"/>
      <c r="Z1827" s="359"/>
      <c r="AA1827" s="359"/>
    </row>
    <row r="1828" spans="1:27">
      <c r="A1828" s="359"/>
      <c r="B1828" s="359"/>
      <c r="C1828" s="359"/>
      <c r="D1828" s="359"/>
      <c r="E1828" s="359"/>
      <c r="F1828" s="359"/>
      <c r="G1828" s="359"/>
      <c r="H1828" s="359"/>
      <c r="I1828" s="359"/>
      <c r="J1828" s="359"/>
      <c r="K1828" s="359"/>
      <c r="L1828" s="359"/>
      <c r="M1828" s="359"/>
      <c r="N1828" s="359"/>
      <c r="O1828" s="359"/>
      <c r="P1828" s="359"/>
      <c r="Q1828" s="359"/>
      <c r="R1828" s="359"/>
      <c r="S1828" s="359"/>
      <c r="T1828" s="359"/>
      <c r="U1828" s="359"/>
      <c r="V1828" s="359"/>
      <c r="W1828" s="359"/>
      <c r="X1828" s="359"/>
      <c r="Y1828" s="359"/>
      <c r="Z1828" s="359"/>
      <c r="AA1828" s="359"/>
    </row>
    <row r="1829" spans="1:27">
      <c r="A1829" s="359"/>
      <c r="B1829" s="359"/>
      <c r="C1829" s="359"/>
      <c r="D1829" s="359"/>
      <c r="E1829" s="359"/>
      <c r="F1829" s="359"/>
      <c r="G1829" s="359"/>
      <c r="H1829" s="359"/>
      <c r="I1829" s="359"/>
      <c r="J1829" s="359"/>
      <c r="K1829" s="359"/>
      <c r="L1829" s="359"/>
      <c r="M1829" s="359"/>
      <c r="N1829" s="359"/>
      <c r="O1829" s="359"/>
      <c r="P1829" s="359"/>
      <c r="Q1829" s="359"/>
      <c r="R1829" s="359"/>
      <c r="S1829" s="359"/>
      <c r="T1829" s="359"/>
      <c r="U1829" s="359"/>
      <c r="V1829" s="359"/>
      <c r="W1829" s="359"/>
      <c r="X1829" s="359"/>
      <c r="Y1829" s="359"/>
      <c r="Z1829" s="359"/>
      <c r="AA1829" s="359"/>
    </row>
    <row r="1830" spans="1:27">
      <c r="A1830" s="359"/>
      <c r="B1830" s="359"/>
      <c r="C1830" s="359"/>
      <c r="D1830" s="359"/>
      <c r="E1830" s="359"/>
      <c r="F1830" s="359"/>
      <c r="G1830" s="359"/>
      <c r="H1830" s="359"/>
      <c r="I1830" s="359"/>
      <c r="J1830" s="359"/>
      <c r="K1830" s="359"/>
      <c r="L1830" s="359"/>
      <c r="M1830" s="359"/>
      <c r="N1830" s="359"/>
      <c r="O1830" s="359"/>
      <c r="P1830" s="359"/>
      <c r="Q1830" s="359"/>
      <c r="R1830" s="359"/>
      <c r="S1830" s="359"/>
      <c r="T1830" s="359"/>
      <c r="U1830" s="359"/>
      <c r="V1830" s="359"/>
      <c r="W1830" s="359"/>
      <c r="X1830" s="359"/>
      <c r="Y1830" s="359"/>
      <c r="Z1830" s="359"/>
      <c r="AA1830" s="359"/>
    </row>
    <row r="1831" spans="1:27">
      <c r="A1831" s="359"/>
      <c r="B1831" s="359"/>
      <c r="C1831" s="359"/>
      <c r="D1831" s="359"/>
      <c r="E1831" s="359"/>
      <c r="F1831" s="359"/>
      <c r="G1831" s="359"/>
      <c r="H1831" s="359"/>
      <c r="I1831" s="359"/>
      <c r="J1831" s="359"/>
      <c r="K1831" s="359"/>
      <c r="L1831" s="359"/>
      <c r="M1831" s="359"/>
      <c r="N1831" s="359"/>
      <c r="O1831" s="359"/>
      <c r="P1831" s="359"/>
      <c r="Q1831" s="359"/>
      <c r="R1831" s="359"/>
      <c r="S1831" s="359"/>
      <c r="T1831" s="359"/>
      <c r="U1831" s="359"/>
      <c r="V1831" s="359"/>
      <c r="W1831" s="359"/>
      <c r="X1831" s="359"/>
      <c r="Y1831" s="359"/>
      <c r="Z1831" s="359"/>
      <c r="AA1831" s="359"/>
    </row>
    <row r="1832" spans="1:27">
      <c r="A1832" s="359"/>
      <c r="B1832" s="359"/>
      <c r="C1832" s="359"/>
      <c r="D1832" s="359"/>
      <c r="E1832" s="359"/>
      <c r="F1832" s="359"/>
      <c r="G1832" s="359"/>
      <c r="H1832" s="359"/>
      <c r="I1832" s="359"/>
      <c r="J1832" s="359"/>
      <c r="K1832" s="359"/>
      <c r="L1832" s="359"/>
      <c r="M1832" s="359"/>
      <c r="N1832" s="359"/>
      <c r="O1832" s="359"/>
      <c r="P1832" s="359"/>
      <c r="Q1832" s="359"/>
      <c r="R1832" s="359"/>
      <c r="S1832" s="359"/>
      <c r="T1832" s="359"/>
      <c r="U1832" s="359"/>
      <c r="V1832" s="359"/>
      <c r="W1832" s="359"/>
      <c r="X1832" s="359"/>
      <c r="Y1832" s="359"/>
      <c r="Z1832" s="359"/>
      <c r="AA1832" s="359"/>
    </row>
    <row r="1833" spans="1:27">
      <c r="A1833" s="359"/>
      <c r="B1833" s="359"/>
      <c r="C1833" s="359"/>
      <c r="D1833" s="359"/>
      <c r="E1833" s="359"/>
      <c r="F1833" s="359"/>
      <c r="G1833" s="359"/>
      <c r="H1833" s="359"/>
      <c r="I1833" s="359"/>
      <c r="J1833" s="359"/>
      <c r="K1833" s="359"/>
      <c r="L1833" s="359"/>
      <c r="M1833" s="359"/>
      <c r="N1833" s="359"/>
      <c r="O1833" s="359"/>
      <c r="P1833" s="359"/>
      <c r="Q1833" s="359"/>
      <c r="R1833" s="359"/>
      <c r="S1833" s="359"/>
      <c r="T1833" s="359"/>
      <c r="U1833" s="359"/>
      <c r="V1833" s="359"/>
      <c r="W1833" s="359"/>
      <c r="X1833" s="359"/>
      <c r="Y1833" s="359"/>
      <c r="Z1833" s="359"/>
      <c r="AA1833" s="359"/>
    </row>
    <row r="1834" spans="1:27">
      <c r="A1834" s="359"/>
      <c r="B1834" s="359"/>
      <c r="C1834" s="359"/>
      <c r="D1834" s="359"/>
      <c r="E1834" s="359"/>
      <c r="F1834" s="359"/>
      <c r="G1834" s="359"/>
      <c r="H1834" s="359"/>
      <c r="I1834" s="359"/>
      <c r="J1834" s="359"/>
      <c r="K1834" s="359"/>
      <c r="L1834" s="359"/>
      <c r="M1834" s="359"/>
      <c r="N1834" s="359"/>
      <c r="O1834" s="359"/>
      <c r="P1834" s="359"/>
      <c r="Q1834" s="359"/>
      <c r="R1834" s="359"/>
      <c r="S1834" s="359"/>
      <c r="T1834" s="359"/>
      <c r="U1834" s="359"/>
      <c r="V1834" s="359"/>
      <c r="W1834" s="359"/>
      <c r="X1834" s="359"/>
      <c r="Y1834" s="359"/>
      <c r="Z1834" s="359"/>
      <c r="AA1834" s="359"/>
    </row>
    <row r="1835" spans="1:27">
      <c r="A1835" s="359"/>
      <c r="B1835" s="359"/>
      <c r="C1835" s="359"/>
      <c r="D1835" s="359"/>
      <c r="E1835" s="359"/>
      <c r="F1835" s="359"/>
      <c r="G1835" s="359"/>
      <c r="H1835" s="359"/>
      <c r="I1835" s="359"/>
      <c r="J1835" s="359"/>
      <c r="K1835" s="359"/>
      <c r="L1835" s="359"/>
      <c r="M1835" s="359"/>
      <c r="N1835" s="359"/>
      <c r="O1835" s="359"/>
      <c r="P1835" s="359"/>
      <c r="Q1835" s="359"/>
      <c r="R1835" s="359"/>
      <c r="S1835" s="359"/>
      <c r="T1835" s="359"/>
      <c r="U1835" s="359"/>
      <c r="V1835" s="359"/>
      <c r="W1835" s="359"/>
      <c r="X1835" s="359"/>
      <c r="Y1835" s="359"/>
      <c r="Z1835" s="359"/>
      <c r="AA1835" s="359"/>
    </row>
    <row r="1836" spans="1:27">
      <c r="A1836" s="359"/>
      <c r="B1836" s="359"/>
      <c r="C1836" s="359"/>
      <c r="D1836" s="359"/>
      <c r="E1836" s="359"/>
      <c r="F1836" s="359"/>
      <c r="G1836" s="359"/>
      <c r="H1836" s="359"/>
      <c r="I1836" s="359"/>
      <c r="J1836" s="359"/>
      <c r="K1836" s="359"/>
      <c r="L1836" s="359"/>
      <c r="M1836" s="359"/>
      <c r="N1836" s="359"/>
      <c r="O1836" s="359"/>
      <c r="P1836" s="359"/>
      <c r="Q1836" s="359"/>
      <c r="R1836" s="359"/>
      <c r="S1836" s="359"/>
      <c r="T1836" s="359"/>
      <c r="U1836" s="359"/>
      <c r="V1836" s="359"/>
      <c r="W1836" s="359"/>
      <c r="X1836" s="359"/>
      <c r="Y1836" s="359"/>
      <c r="Z1836" s="359"/>
      <c r="AA1836" s="359"/>
    </row>
    <row r="1837" spans="1:27">
      <c r="A1837" s="359"/>
      <c r="B1837" s="359"/>
      <c r="C1837" s="359"/>
      <c r="D1837" s="359"/>
      <c r="E1837" s="359"/>
      <c r="F1837" s="359"/>
      <c r="G1837" s="359"/>
      <c r="H1837" s="359"/>
      <c r="I1837" s="359"/>
      <c r="J1837" s="359"/>
      <c r="K1837" s="359"/>
      <c r="L1837" s="359"/>
      <c r="M1837" s="359"/>
      <c r="N1837" s="359"/>
      <c r="O1837" s="359"/>
      <c r="P1837" s="359"/>
      <c r="Q1837" s="359"/>
      <c r="R1837" s="359"/>
      <c r="S1837" s="359"/>
      <c r="T1837" s="359"/>
      <c r="U1837" s="359"/>
      <c r="V1837" s="359"/>
      <c r="W1837" s="359"/>
      <c r="X1837" s="359"/>
      <c r="Y1837" s="359"/>
      <c r="Z1837" s="359"/>
      <c r="AA1837" s="359"/>
    </row>
    <row r="1838" spans="1:27">
      <c r="A1838" s="359"/>
      <c r="B1838" s="359"/>
      <c r="C1838" s="359"/>
      <c r="D1838" s="359"/>
      <c r="E1838" s="359"/>
      <c r="F1838" s="359"/>
      <c r="G1838" s="359"/>
      <c r="H1838" s="359"/>
      <c r="I1838" s="359"/>
      <c r="J1838" s="359"/>
      <c r="K1838" s="359"/>
      <c r="L1838" s="359"/>
      <c r="M1838" s="359"/>
      <c r="N1838" s="359"/>
      <c r="O1838" s="359"/>
      <c r="P1838" s="359"/>
      <c r="Q1838" s="359"/>
      <c r="R1838" s="359"/>
      <c r="S1838" s="359"/>
      <c r="T1838" s="359"/>
      <c r="U1838" s="359"/>
      <c r="V1838" s="359"/>
      <c r="W1838" s="359"/>
      <c r="X1838" s="359"/>
      <c r="Y1838" s="359"/>
      <c r="Z1838" s="359"/>
      <c r="AA1838" s="359"/>
    </row>
    <row r="1839" spans="1:27">
      <c r="A1839" s="359"/>
      <c r="B1839" s="359"/>
      <c r="C1839" s="359"/>
      <c r="D1839" s="359"/>
      <c r="E1839" s="359"/>
      <c r="F1839" s="359"/>
      <c r="G1839" s="359"/>
      <c r="H1839" s="359"/>
      <c r="I1839" s="359"/>
      <c r="J1839" s="359"/>
      <c r="K1839" s="359"/>
      <c r="L1839" s="359"/>
      <c r="M1839" s="359"/>
      <c r="N1839" s="359"/>
      <c r="O1839" s="359"/>
      <c r="P1839" s="359"/>
      <c r="Q1839" s="359"/>
      <c r="R1839" s="359"/>
      <c r="S1839" s="359"/>
      <c r="T1839" s="359"/>
      <c r="U1839" s="359"/>
      <c r="V1839" s="359"/>
      <c r="W1839" s="359"/>
      <c r="X1839" s="359"/>
      <c r="Y1839" s="359"/>
      <c r="Z1839" s="359"/>
      <c r="AA1839" s="359"/>
    </row>
    <row r="1840" spans="1:27">
      <c r="A1840" s="359"/>
      <c r="B1840" s="359"/>
      <c r="C1840" s="359"/>
      <c r="D1840" s="359"/>
      <c r="E1840" s="359"/>
      <c r="F1840" s="359"/>
      <c r="G1840" s="359"/>
      <c r="H1840" s="359"/>
      <c r="I1840" s="359"/>
      <c r="J1840" s="359"/>
      <c r="K1840" s="359"/>
      <c r="L1840" s="359"/>
      <c r="M1840" s="359"/>
      <c r="N1840" s="359"/>
      <c r="O1840" s="359"/>
      <c r="P1840" s="359"/>
      <c r="Q1840" s="359"/>
      <c r="R1840" s="359"/>
      <c r="S1840" s="359"/>
      <c r="T1840" s="359"/>
      <c r="U1840" s="359"/>
      <c r="V1840" s="359"/>
      <c r="W1840" s="359"/>
      <c r="X1840" s="359"/>
      <c r="Y1840" s="359"/>
      <c r="Z1840" s="359"/>
      <c r="AA1840" s="359"/>
    </row>
    <row r="1841" spans="1:27">
      <c r="A1841" s="359"/>
      <c r="B1841" s="359"/>
      <c r="C1841" s="359"/>
      <c r="D1841" s="359"/>
      <c r="E1841" s="359"/>
      <c r="F1841" s="359"/>
      <c r="G1841" s="359"/>
      <c r="H1841" s="359"/>
      <c r="I1841" s="359"/>
      <c r="J1841" s="359"/>
      <c r="K1841" s="359"/>
      <c r="L1841" s="359"/>
      <c r="M1841" s="359"/>
      <c r="N1841" s="359"/>
      <c r="O1841" s="359"/>
      <c r="P1841" s="359"/>
      <c r="Q1841" s="359"/>
      <c r="R1841" s="359"/>
      <c r="S1841" s="359"/>
      <c r="T1841" s="359"/>
      <c r="U1841" s="359"/>
      <c r="V1841" s="359"/>
      <c r="W1841" s="359"/>
      <c r="X1841" s="359"/>
      <c r="Y1841" s="359"/>
      <c r="Z1841" s="359"/>
      <c r="AA1841" s="359"/>
    </row>
    <row r="1842" spans="1:27">
      <c r="A1842" s="359"/>
      <c r="B1842" s="359"/>
      <c r="C1842" s="359"/>
      <c r="D1842" s="359"/>
      <c r="E1842" s="359"/>
      <c r="F1842" s="359"/>
      <c r="G1842" s="359"/>
      <c r="H1842" s="359"/>
      <c r="I1842" s="359"/>
      <c r="J1842" s="359"/>
      <c r="K1842" s="359"/>
      <c r="L1842" s="359"/>
      <c r="M1842" s="359"/>
      <c r="N1842" s="359"/>
      <c r="O1842" s="359"/>
      <c r="P1842" s="359"/>
      <c r="Q1842" s="359"/>
      <c r="R1842" s="359"/>
      <c r="S1842" s="359"/>
      <c r="T1842" s="359"/>
      <c r="U1842" s="359"/>
      <c r="V1842" s="359"/>
      <c r="W1842" s="359"/>
      <c r="X1842" s="359"/>
      <c r="Y1842" s="359"/>
      <c r="Z1842" s="359"/>
      <c r="AA1842" s="359"/>
    </row>
    <row r="1843" spans="1:27">
      <c r="A1843" s="359"/>
      <c r="B1843" s="359"/>
      <c r="C1843" s="359"/>
      <c r="D1843" s="359"/>
      <c r="E1843" s="359"/>
      <c r="F1843" s="359"/>
      <c r="G1843" s="359"/>
      <c r="H1843" s="359"/>
      <c r="I1843" s="359"/>
      <c r="J1843" s="359"/>
      <c r="K1843" s="359"/>
      <c r="L1843" s="359"/>
      <c r="M1843" s="359"/>
      <c r="N1843" s="359"/>
      <c r="O1843" s="359"/>
      <c r="P1843" s="359"/>
      <c r="Q1843" s="359"/>
      <c r="R1843" s="359"/>
      <c r="S1843" s="359"/>
      <c r="T1843" s="359"/>
      <c r="U1843" s="359"/>
      <c r="V1843" s="359"/>
      <c r="W1843" s="359"/>
      <c r="X1843" s="359"/>
      <c r="Y1843" s="359"/>
      <c r="Z1843" s="359"/>
      <c r="AA1843" s="359"/>
    </row>
    <row r="1844" spans="1:27">
      <c r="A1844" s="359"/>
      <c r="B1844" s="359"/>
      <c r="C1844" s="359"/>
      <c r="D1844" s="359"/>
      <c r="E1844" s="359"/>
      <c r="F1844" s="359"/>
      <c r="G1844" s="359"/>
      <c r="H1844" s="359"/>
      <c r="I1844" s="359"/>
      <c r="J1844" s="359"/>
      <c r="K1844" s="359"/>
      <c r="L1844" s="359"/>
      <c r="M1844" s="359"/>
      <c r="N1844" s="359"/>
      <c r="O1844" s="359"/>
      <c r="P1844" s="359"/>
      <c r="Q1844" s="359"/>
      <c r="R1844" s="359"/>
      <c r="S1844" s="359"/>
      <c r="T1844" s="359"/>
      <c r="U1844" s="359"/>
      <c r="V1844" s="359"/>
      <c r="W1844" s="359"/>
      <c r="X1844" s="359"/>
      <c r="Y1844" s="359"/>
      <c r="Z1844" s="359"/>
      <c r="AA1844" s="359"/>
    </row>
    <row r="1845" spans="1:27">
      <c r="A1845" s="359"/>
      <c r="B1845" s="359"/>
      <c r="C1845" s="359"/>
      <c r="D1845" s="359"/>
      <c r="E1845" s="359"/>
      <c r="F1845" s="359"/>
      <c r="G1845" s="359"/>
      <c r="H1845" s="359"/>
      <c r="I1845" s="359"/>
      <c r="J1845" s="359"/>
      <c r="K1845" s="359"/>
      <c r="L1845" s="359"/>
      <c r="M1845" s="359"/>
      <c r="N1845" s="359"/>
      <c r="O1845" s="359"/>
      <c r="P1845" s="359"/>
      <c r="Q1845" s="359"/>
      <c r="R1845" s="359"/>
      <c r="S1845" s="359"/>
      <c r="T1845" s="359"/>
      <c r="U1845" s="359"/>
      <c r="V1845" s="359"/>
      <c r="W1845" s="359"/>
      <c r="X1845" s="359"/>
      <c r="Y1845" s="359"/>
      <c r="Z1845" s="359"/>
      <c r="AA1845" s="359"/>
    </row>
    <row r="1846" spans="1:27">
      <c r="A1846" s="359"/>
      <c r="B1846" s="359"/>
      <c r="C1846" s="359"/>
      <c r="D1846" s="359"/>
      <c r="E1846" s="359"/>
      <c r="F1846" s="359"/>
      <c r="G1846" s="359"/>
      <c r="H1846" s="359"/>
      <c r="I1846" s="359"/>
      <c r="J1846" s="359"/>
      <c r="K1846" s="359"/>
      <c r="L1846" s="359"/>
      <c r="M1846" s="359"/>
      <c r="N1846" s="359"/>
      <c r="O1846" s="359"/>
      <c r="P1846" s="359"/>
      <c r="Q1846" s="359"/>
      <c r="R1846" s="359"/>
      <c r="S1846" s="359"/>
      <c r="T1846" s="359"/>
      <c r="U1846" s="359"/>
      <c r="V1846" s="359"/>
      <c r="W1846" s="359"/>
      <c r="X1846" s="359"/>
      <c r="Y1846" s="359"/>
      <c r="Z1846" s="359"/>
      <c r="AA1846" s="359"/>
    </row>
    <row r="1847" spans="1:27">
      <c r="A1847" s="359"/>
      <c r="B1847" s="359"/>
      <c r="C1847" s="359"/>
      <c r="D1847" s="359"/>
      <c r="E1847" s="359"/>
      <c r="F1847" s="359"/>
      <c r="G1847" s="359"/>
      <c r="H1847" s="359"/>
      <c r="I1847" s="359"/>
      <c r="J1847" s="359"/>
      <c r="K1847" s="359"/>
      <c r="L1847" s="359"/>
      <c r="M1847" s="359"/>
      <c r="N1847" s="359"/>
      <c r="O1847" s="359"/>
      <c r="P1847" s="359"/>
      <c r="Q1847" s="359"/>
      <c r="R1847" s="359"/>
      <c r="S1847" s="359"/>
      <c r="T1847" s="359"/>
      <c r="U1847" s="359"/>
      <c r="V1847" s="359"/>
      <c r="W1847" s="359"/>
      <c r="X1847" s="359"/>
      <c r="Y1847" s="359"/>
      <c r="Z1847" s="359"/>
      <c r="AA1847" s="359"/>
    </row>
    <row r="1848" spans="1:27">
      <c r="A1848" s="359"/>
      <c r="B1848" s="359"/>
      <c r="C1848" s="359"/>
      <c r="D1848" s="359"/>
      <c r="E1848" s="359"/>
      <c r="F1848" s="359"/>
      <c r="G1848" s="359"/>
      <c r="H1848" s="359"/>
      <c r="I1848" s="359"/>
      <c r="J1848" s="359"/>
      <c r="K1848" s="359"/>
      <c r="L1848" s="359"/>
      <c r="M1848" s="359"/>
      <c r="N1848" s="359"/>
      <c r="O1848" s="359"/>
      <c r="P1848" s="359"/>
      <c r="Q1848" s="359"/>
      <c r="R1848" s="359"/>
      <c r="S1848" s="359"/>
      <c r="T1848" s="359"/>
      <c r="U1848" s="359"/>
      <c r="V1848" s="359"/>
      <c r="W1848" s="359"/>
      <c r="X1848" s="359"/>
      <c r="Y1848" s="359"/>
      <c r="Z1848" s="359"/>
      <c r="AA1848" s="359"/>
    </row>
    <row r="1849" spans="1:27">
      <c r="A1849" s="359"/>
      <c r="B1849" s="359"/>
      <c r="C1849" s="359"/>
      <c r="D1849" s="359"/>
      <c r="E1849" s="359"/>
      <c r="F1849" s="359"/>
      <c r="G1849" s="359"/>
      <c r="H1849" s="359"/>
      <c r="I1849" s="359"/>
      <c r="J1849" s="359"/>
      <c r="K1849" s="359"/>
      <c r="L1849" s="359"/>
      <c r="M1849" s="359"/>
      <c r="N1849" s="359"/>
      <c r="O1849" s="359"/>
      <c r="P1849" s="359"/>
      <c r="Q1849" s="359"/>
      <c r="R1849" s="359"/>
      <c r="S1849" s="359"/>
      <c r="T1849" s="359"/>
      <c r="U1849" s="359"/>
      <c r="V1849" s="359"/>
      <c r="W1849" s="359"/>
      <c r="X1849" s="359"/>
      <c r="Y1849" s="359"/>
      <c r="Z1849" s="359"/>
      <c r="AA1849" s="359"/>
    </row>
    <row r="1850" spans="1:27">
      <c r="A1850" s="359"/>
      <c r="B1850" s="359"/>
      <c r="C1850" s="359"/>
      <c r="D1850" s="359"/>
      <c r="E1850" s="359"/>
      <c r="F1850" s="359"/>
      <c r="G1850" s="359"/>
      <c r="H1850" s="359"/>
      <c r="I1850" s="359"/>
      <c r="J1850" s="359"/>
      <c r="K1850" s="359"/>
      <c r="L1850" s="359"/>
      <c r="M1850" s="359"/>
      <c r="N1850" s="359"/>
      <c r="O1850" s="359"/>
      <c r="P1850" s="359"/>
      <c r="Q1850" s="359"/>
      <c r="R1850" s="359"/>
      <c r="S1850" s="359"/>
      <c r="T1850" s="359"/>
      <c r="U1850" s="359"/>
      <c r="V1850" s="359"/>
      <c r="W1850" s="359"/>
      <c r="X1850" s="359"/>
      <c r="Y1850" s="359"/>
      <c r="Z1850" s="359"/>
      <c r="AA1850" s="359"/>
    </row>
    <row r="1851" spans="1:27">
      <c r="A1851" s="359"/>
      <c r="B1851" s="359"/>
      <c r="C1851" s="359"/>
      <c r="D1851" s="359"/>
      <c r="E1851" s="359"/>
      <c r="F1851" s="359"/>
      <c r="G1851" s="359"/>
      <c r="H1851" s="359"/>
      <c r="I1851" s="359"/>
      <c r="J1851" s="359"/>
      <c r="K1851" s="359"/>
      <c r="L1851" s="359"/>
      <c r="M1851" s="359"/>
      <c r="N1851" s="359"/>
      <c r="O1851" s="359"/>
      <c r="P1851" s="359"/>
      <c r="Q1851" s="359"/>
      <c r="R1851" s="359"/>
      <c r="S1851" s="359"/>
      <c r="T1851" s="359"/>
      <c r="U1851" s="359"/>
      <c r="V1851" s="359"/>
      <c r="W1851" s="359"/>
      <c r="X1851" s="359"/>
      <c r="Y1851" s="359"/>
      <c r="Z1851" s="359"/>
      <c r="AA1851" s="359"/>
    </row>
    <row r="1852" spans="1:27">
      <c r="A1852" s="359"/>
      <c r="B1852" s="359"/>
      <c r="C1852" s="359"/>
      <c r="D1852" s="359"/>
      <c r="E1852" s="359"/>
      <c r="F1852" s="359"/>
      <c r="G1852" s="359"/>
      <c r="H1852" s="359"/>
      <c r="I1852" s="359"/>
      <c r="J1852" s="359"/>
      <c r="K1852" s="359"/>
      <c r="L1852" s="359"/>
      <c r="M1852" s="359"/>
      <c r="N1852" s="359"/>
      <c r="O1852" s="359"/>
      <c r="P1852" s="359"/>
      <c r="Q1852" s="359"/>
      <c r="R1852" s="359"/>
      <c r="S1852" s="359"/>
      <c r="T1852" s="359"/>
      <c r="U1852" s="359"/>
      <c r="V1852" s="359"/>
      <c r="W1852" s="359"/>
      <c r="X1852" s="359"/>
      <c r="Y1852" s="359"/>
      <c r="Z1852" s="359"/>
      <c r="AA1852" s="359"/>
    </row>
    <row r="1853" spans="1:27">
      <c r="A1853" s="359"/>
      <c r="B1853" s="359"/>
      <c r="C1853" s="359"/>
      <c r="D1853" s="359"/>
      <c r="E1853" s="359"/>
      <c r="F1853" s="359"/>
      <c r="G1853" s="359"/>
      <c r="H1853" s="359"/>
      <c r="I1853" s="359"/>
      <c r="J1853" s="359"/>
      <c r="K1853" s="359"/>
      <c r="L1853" s="359"/>
      <c r="M1853" s="359"/>
      <c r="N1853" s="359"/>
      <c r="O1853" s="359"/>
      <c r="P1853" s="359"/>
      <c r="Q1853" s="359"/>
      <c r="R1853" s="359"/>
      <c r="S1853" s="359"/>
      <c r="T1853" s="359"/>
      <c r="U1853" s="359"/>
      <c r="V1853" s="359"/>
      <c r="W1853" s="359"/>
      <c r="X1853" s="359"/>
      <c r="Y1853" s="359"/>
      <c r="Z1853" s="359"/>
      <c r="AA1853" s="359"/>
    </row>
    <row r="1854" spans="1:27">
      <c r="A1854" s="359"/>
      <c r="B1854" s="359"/>
      <c r="C1854" s="359"/>
      <c r="D1854" s="359"/>
      <c r="E1854" s="359"/>
      <c r="F1854" s="359"/>
      <c r="G1854" s="359"/>
      <c r="H1854" s="359"/>
      <c r="I1854" s="359"/>
      <c r="J1854" s="359"/>
      <c r="K1854" s="359"/>
      <c r="L1854" s="359"/>
      <c r="M1854" s="359"/>
      <c r="N1854" s="359"/>
      <c r="O1854" s="359"/>
      <c r="P1854" s="359"/>
      <c r="Q1854" s="359"/>
      <c r="R1854" s="359"/>
      <c r="S1854" s="359"/>
      <c r="T1854" s="359"/>
      <c r="U1854" s="359"/>
      <c r="V1854" s="359"/>
      <c r="W1854" s="359"/>
      <c r="X1854" s="359"/>
      <c r="Y1854" s="359"/>
      <c r="Z1854" s="359"/>
      <c r="AA1854" s="359"/>
    </row>
    <row r="1855" spans="1:27">
      <c r="A1855" s="359"/>
      <c r="B1855" s="359"/>
      <c r="C1855" s="359"/>
      <c r="D1855" s="359"/>
      <c r="E1855" s="359"/>
      <c r="F1855" s="359"/>
      <c r="G1855" s="359"/>
      <c r="H1855" s="359"/>
      <c r="I1855" s="359"/>
      <c r="J1855" s="359"/>
      <c r="K1855" s="359"/>
      <c r="L1855" s="359"/>
      <c r="M1855" s="359"/>
      <c r="N1855" s="359"/>
      <c r="O1855" s="359"/>
      <c r="P1855" s="359"/>
      <c r="Q1855" s="359"/>
      <c r="R1855" s="359"/>
      <c r="S1855" s="359"/>
      <c r="T1855" s="359"/>
      <c r="U1855" s="359"/>
      <c r="V1855" s="359"/>
      <c r="W1855" s="359"/>
      <c r="X1855" s="359"/>
      <c r="Y1855" s="359"/>
      <c r="Z1855" s="359"/>
      <c r="AA1855" s="359"/>
    </row>
    <row r="1856" spans="1:27">
      <c r="A1856" s="359"/>
      <c r="B1856" s="359"/>
      <c r="C1856" s="359"/>
      <c r="D1856" s="359"/>
      <c r="E1856" s="359"/>
      <c r="F1856" s="359"/>
      <c r="G1856" s="359"/>
      <c r="H1856" s="359"/>
      <c r="I1856" s="359"/>
      <c r="J1856" s="359"/>
      <c r="K1856" s="359"/>
      <c r="L1856" s="359"/>
      <c r="M1856" s="359"/>
      <c r="N1856" s="359"/>
      <c r="O1856" s="359"/>
      <c r="P1856" s="359"/>
      <c r="Q1856" s="359"/>
      <c r="R1856" s="359"/>
      <c r="S1856" s="359"/>
      <c r="T1856" s="359"/>
      <c r="U1856" s="359"/>
      <c r="V1856" s="359"/>
      <c r="W1856" s="359"/>
      <c r="X1856" s="359"/>
      <c r="Y1856" s="359"/>
      <c r="Z1856" s="359"/>
      <c r="AA1856" s="359"/>
    </row>
    <row r="1857" spans="1:27">
      <c r="A1857" s="359"/>
      <c r="B1857" s="359"/>
      <c r="C1857" s="359"/>
      <c r="D1857" s="359"/>
      <c r="E1857" s="359"/>
      <c r="F1857" s="359"/>
      <c r="G1857" s="359"/>
      <c r="H1857" s="359"/>
      <c r="I1857" s="359"/>
      <c r="J1857" s="359"/>
      <c r="K1857" s="359"/>
      <c r="L1857" s="359"/>
      <c r="M1857" s="359"/>
      <c r="N1857" s="359"/>
      <c r="O1857" s="359"/>
      <c r="P1857" s="359"/>
      <c r="Q1857" s="359"/>
      <c r="R1857" s="359"/>
      <c r="S1857" s="359"/>
      <c r="T1857" s="359"/>
      <c r="U1857" s="359"/>
      <c r="V1857" s="359"/>
      <c r="W1857" s="359"/>
      <c r="X1857" s="359"/>
      <c r="Y1857" s="359"/>
      <c r="Z1857" s="359"/>
      <c r="AA1857" s="359"/>
    </row>
    <row r="1858" spans="1:27">
      <c r="A1858" s="359"/>
      <c r="B1858" s="359"/>
      <c r="C1858" s="359"/>
      <c r="D1858" s="359"/>
      <c r="E1858" s="359"/>
      <c r="F1858" s="359"/>
      <c r="G1858" s="359"/>
      <c r="H1858" s="359"/>
      <c r="I1858" s="359"/>
      <c r="J1858" s="359"/>
      <c r="K1858" s="359"/>
      <c r="L1858" s="359"/>
      <c r="M1858" s="359"/>
      <c r="N1858" s="359"/>
      <c r="O1858" s="359"/>
      <c r="P1858" s="359"/>
      <c r="Q1858" s="359"/>
      <c r="R1858" s="359"/>
      <c r="S1858" s="359"/>
      <c r="T1858" s="359"/>
      <c r="U1858" s="359"/>
      <c r="V1858" s="359"/>
      <c r="W1858" s="359"/>
      <c r="X1858" s="359"/>
      <c r="Y1858" s="359"/>
      <c r="Z1858" s="359"/>
      <c r="AA1858" s="359"/>
    </row>
    <row r="1859" spans="1:27">
      <c r="A1859" s="359"/>
      <c r="B1859" s="359"/>
      <c r="C1859" s="359"/>
      <c r="D1859" s="359"/>
      <c r="E1859" s="359"/>
      <c r="F1859" s="359"/>
      <c r="G1859" s="359"/>
      <c r="H1859" s="359"/>
      <c r="I1859" s="359"/>
      <c r="J1859" s="359"/>
      <c r="K1859" s="359"/>
      <c r="L1859" s="359"/>
      <c r="M1859" s="359"/>
      <c r="N1859" s="359"/>
      <c r="O1859" s="359"/>
      <c r="P1859" s="359"/>
      <c r="Q1859" s="359"/>
      <c r="R1859" s="359"/>
      <c r="S1859" s="359"/>
      <c r="T1859" s="359"/>
      <c r="U1859" s="359"/>
      <c r="V1859" s="359"/>
      <c r="W1859" s="359"/>
      <c r="X1859" s="359"/>
      <c r="Y1859" s="359"/>
      <c r="Z1859" s="359"/>
      <c r="AA1859" s="359"/>
    </row>
    <row r="1860" spans="1:27">
      <c r="A1860" s="359"/>
      <c r="B1860" s="359"/>
      <c r="C1860" s="359"/>
      <c r="D1860" s="359"/>
      <c r="E1860" s="359"/>
      <c r="F1860" s="359"/>
      <c r="G1860" s="359"/>
      <c r="H1860" s="359"/>
      <c r="I1860" s="359"/>
      <c r="J1860" s="359"/>
      <c r="K1860" s="359"/>
      <c r="L1860" s="359"/>
      <c r="M1860" s="359"/>
      <c r="N1860" s="359"/>
      <c r="O1860" s="359"/>
      <c r="P1860" s="359"/>
      <c r="Q1860" s="359"/>
      <c r="R1860" s="359"/>
      <c r="S1860" s="359"/>
      <c r="T1860" s="359"/>
      <c r="U1860" s="359"/>
      <c r="V1860" s="359"/>
      <c r="W1860" s="359"/>
      <c r="X1860" s="359"/>
      <c r="Y1860" s="359"/>
      <c r="Z1860" s="359"/>
      <c r="AA1860" s="359"/>
    </row>
    <row r="1861" spans="1:27">
      <c r="A1861" s="359"/>
      <c r="B1861" s="359"/>
      <c r="C1861" s="359"/>
      <c r="D1861" s="359"/>
      <c r="E1861" s="359"/>
      <c r="F1861" s="359"/>
      <c r="G1861" s="359"/>
      <c r="H1861" s="359"/>
      <c r="I1861" s="359"/>
      <c r="J1861" s="359"/>
      <c r="K1861" s="359"/>
      <c r="L1861" s="359"/>
      <c r="M1861" s="359"/>
      <c r="N1861" s="359"/>
      <c r="O1861" s="359"/>
      <c r="P1861" s="359"/>
      <c r="Q1861" s="359"/>
      <c r="R1861" s="359"/>
      <c r="S1861" s="359"/>
      <c r="T1861" s="359"/>
      <c r="U1861" s="359"/>
      <c r="V1861" s="359"/>
      <c r="W1861" s="359"/>
      <c r="X1861" s="359"/>
      <c r="Y1861" s="359"/>
      <c r="Z1861" s="359"/>
      <c r="AA1861" s="359"/>
    </row>
    <row r="1862" spans="1:27">
      <c r="A1862" s="359"/>
      <c r="B1862" s="359"/>
      <c r="C1862" s="359"/>
      <c r="D1862" s="359"/>
      <c r="E1862" s="359"/>
      <c r="F1862" s="359"/>
      <c r="G1862" s="359"/>
      <c r="H1862" s="359"/>
      <c r="I1862" s="359"/>
      <c r="J1862" s="359"/>
      <c r="K1862" s="359"/>
      <c r="L1862" s="359"/>
      <c r="M1862" s="359"/>
      <c r="N1862" s="359"/>
      <c r="O1862" s="359"/>
      <c r="P1862" s="359"/>
      <c r="Q1862" s="359"/>
      <c r="R1862" s="359"/>
      <c r="S1862" s="359"/>
      <c r="T1862" s="359"/>
      <c r="U1862" s="359"/>
      <c r="V1862" s="359"/>
      <c r="W1862" s="359"/>
      <c r="X1862" s="359"/>
      <c r="Y1862" s="359"/>
      <c r="Z1862" s="359"/>
      <c r="AA1862" s="359"/>
    </row>
    <row r="1863" spans="1:27">
      <c r="A1863" s="359"/>
      <c r="B1863" s="359"/>
      <c r="C1863" s="359"/>
      <c r="D1863" s="359"/>
      <c r="E1863" s="359"/>
      <c r="F1863" s="359"/>
      <c r="G1863" s="359"/>
      <c r="H1863" s="359"/>
      <c r="I1863" s="359"/>
      <c r="J1863" s="359"/>
      <c r="K1863" s="359"/>
      <c r="L1863" s="359"/>
      <c r="M1863" s="359"/>
      <c r="N1863" s="359"/>
      <c r="O1863" s="359"/>
      <c r="P1863" s="359"/>
      <c r="Q1863" s="359"/>
      <c r="R1863" s="359"/>
      <c r="S1863" s="359"/>
      <c r="T1863" s="359"/>
      <c r="U1863" s="359"/>
      <c r="V1863" s="359"/>
      <c r="W1863" s="359"/>
      <c r="X1863" s="359"/>
      <c r="Y1863" s="359"/>
      <c r="Z1863" s="359"/>
      <c r="AA1863" s="359"/>
    </row>
    <row r="1864" spans="1:27">
      <c r="A1864" s="359"/>
      <c r="B1864" s="359"/>
      <c r="C1864" s="359"/>
      <c r="D1864" s="359"/>
      <c r="E1864" s="359"/>
      <c r="F1864" s="359"/>
      <c r="G1864" s="359"/>
      <c r="H1864" s="359"/>
      <c r="I1864" s="359"/>
      <c r="J1864" s="359"/>
      <c r="K1864" s="359"/>
      <c r="L1864" s="359"/>
      <c r="M1864" s="359"/>
      <c r="N1864" s="359"/>
      <c r="O1864" s="359"/>
      <c r="P1864" s="359"/>
      <c r="Q1864" s="359"/>
      <c r="R1864" s="359"/>
      <c r="S1864" s="359"/>
      <c r="T1864" s="359"/>
      <c r="U1864" s="359"/>
      <c r="V1864" s="359"/>
      <c r="W1864" s="359"/>
      <c r="X1864" s="359"/>
      <c r="Y1864" s="359"/>
      <c r="Z1864" s="359"/>
      <c r="AA1864" s="359"/>
    </row>
    <row r="1865" spans="1:27">
      <c r="A1865" s="359"/>
      <c r="B1865" s="359"/>
      <c r="C1865" s="359"/>
      <c r="D1865" s="359"/>
      <c r="E1865" s="359"/>
      <c r="F1865" s="359"/>
      <c r="G1865" s="359"/>
      <c r="H1865" s="359"/>
      <c r="I1865" s="359"/>
      <c r="J1865" s="359"/>
      <c r="K1865" s="359"/>
      <c r="L1865" s="359"/>
      <c r="M1865" s="359"/>
      <c r="N1865" s="359"/>
      <c r="O1865" s="359"/>
      <c r="P1865" s="359"/>
      <c r="Q1865" s="359"/>
      <c r="R1865" s="359"/>
      <c r="S1865" s="359"/>
      <c r="T1865" s="359"/>
      <c r="U1865" s="359"/>
      <c r="V1865" s="359"/>
      <c r="W1865" s="359"/>
      <c r="X1865" s="359"/>
      <c r="Y1865" s="359"/>
      <c r="Z1865" s="359"/>
      <c r="AA1865" s="359"/>
    </row>
    <row r="1866" spans="1:27">
      <c r="A1866" s="359"/>
      <c r="B1866" s="359"/>
      <c r="C1866" s="359"/>
      <c r="D1866" s="359"/>
      <c r="E1866" s="359"/>
      <c r="F1866" s="359"/>
      <c r="G1866" s="359"/>
      <c r="H1866" s="359"/>
      <c r="I1866" s="359"/>
      <c r="J1866" s="359"/>
      <c r="K1866" s="359"/>
      <c r="L1866" s="359"/>
      <c r="M1866" s="359"/>
      <c r="N1866" s="359"/>
      <c r="O1866" s="359"/>
      <c r="P1866" s="359"/>
      <c r="Q1866" s="359"/>
      <c r="R1866" s="359"/>
      <c r="S1866" s="359"/>
      <c r="T1866" s="359"/>
      <c r="U1866" s="359"/>
      <c r="V1866" s="359"/>
      <c r="W1866" s="359"/>
      <c r="X1866" s="359"/>
      <c r="Y1866" s="359"/>
      <c r="Z1866" s="359"/>
      <c r="AA1866" s="359"/>
    </row>
    <row r="1867" spans="1:27">
      <c r="A1867" s="359"/>
      <c r="B1867" s="359"/>
      <c r="C1867" s="359"/>
      <c r="D1867" s="359"/>
      <c r="E1867" s="359"/>
      <c r="F1867" s="359"/>
      <c r="G1867" s="359"/>
      <c r="H1867" s="359"/>
      <c r="I1867" s="359"/>
      <c r="J1867" s="359"/>
      <c r="K1867" s="359"/>
      <c r="L1867" s="359"/>
      <c r="M1867" s="359"/>
      <c r="N1867" s="359"/>
      <c r="O1867" s="359"/>
      <c r="P1867" s="359"/>
      <c r="Q1867" s="359"/>
      <c r="R1867" s="359"/>
      <c r="S1867" s="359"/>
      <c r="T1867" s="359"/>
      <c r="U1867" s="359"/>
      <c r="V1867" s="359"/>
      <c r="W1867" s="359"/>
      <c r="X1867" s="359"/>
      <c r="Y1867" s="359"/>
      <c r="Z1867" s="359"/>
      <c r="AA1867" s="359"/>
    </row>
    <row r="1868" spans="1:27">
      <c r="A1868" s="359"/>
      <c r="B1868" s="359"/>
      <c r="C1868" s="359"/>
      <c r="D1868" s="359"/>
      <c r="E1868" s="359"/>
      <c r="F1868" s="359"/>
      <c r="G1868" s="359"/>
      <c r="H1868" s="359"/>
      <c r="I1868" s="359"/>
      <c r="J1868" s="359"/>
      <c r="K1868" s="359"/>
      <c r="L1868" s="359"/>
      <c r="M1868" s="359"/>
      <c r="N1868" s="359"/>
      <c r="O1868" s="359"/>
      <c r="P1868" s="359"/>
      <c r="Q1868" s="359"/>
      <c r="R1868" s="359"/>
      <c r="S1868" s="359"/>
      <c r="T1868" s="359"/>
      <c r="U1868" s="359"/>
      <c r="V1868" s="359"/>
      <c r="W1868" s="359"/>
      <c r="X1868" s="359"/>
      <c r="Y1868" s="359"/>
      <c r="Z1868" s="359"/>
      <c r="AA1868" s="359"/>
    </row>
    <row r="1869" spans="1:27">
      <c r="A1869" s="359"/>
      <c r="B1869" s="359"/>
      <c r="C1869" s="359"/>
      <c r="D1869" s="359"/>
      <c r="E1869" s="359"/>
      <c r="F1869" s="359"/>
      <c r="G1869" s="359"/>
      <c r="H1869" s="359"/>
      <c r="I1869" s="359"/>
      <c r="J1869" s="359"/>
      <c r="K1869" s="359"/>
      <c r="L1869" s="359"/>
      <c r="M1869" s="359"/>
      <c r="N1869" s="359"/>
      <c r="O1869" s="359"/>
      <c r="P1869" s="359"/>
      <c r="Q1869" s="359"/>
      <c r="R1869" s="359"/>
      <c r="S1869" s="359"/>
      <c r="T1869" s="359"/>
      <c r="U1869" s="359"/>
      <c r="V1869" s="359"/>
      <c r="W1869" s="359"/>
      <c r="X1869" s="359"/>
      <c r="Y1869" s="359"/>
      <c r="Z1869" s="359"/>
      <c r="AA1869" s="359"/>
    </row>
    <row r="1870" spans="1:27">
      <c r="A1870" s="359"/>
      <c r="B1870" s="359"/>
      <c r="C1870" s="359"/>
      <c r="D1870" s="359"/>
      <c r="E1870" s="359"/>
      <c r="F1870" s="359"/>
      <c r="G1870" s="359"/>
      <c r="H1870" s="359"/>
      <c r="I1870" s="359"/>
      <c r="J1870" s="359"/>
      <c r="K1870" s="359"/>
      <c r="L1870" s="359"/>
      <c r="M1870" s="359"/>
      <c r="N1870" s="359"/>
      <c r="O1870" s="359"/>
      <c r="P1870" s="359"/>
      <c r="Q1870" s="359"/>
      <c r="R1870" s="359"/>
      <c r="S1870" s="359"/>
      <c r="T1870" s="359"/>
      <c r="U1870" s="359"/>
      <c r="V1870" s="359"/>
      <c r="W1870" s="359"/>
      <c r="X1870" s="359"/>
      <c r="Y1870" s="359"/>
      <c r="Z1870" s="359"/>
      <c r="AA1870" s="359"/>
    </row>
    <row r="1871" spans="1:27">
      <c r="A1871" s="359"/>
      <c r="B1871" s="359"/>
      <c r="C1871" s="359"/>
      <c r="D1871" s="359"/>
      <c r="E1871" s="359"/>
      <c r="F1871" s="359"/>
      <c r="G1871" s="359"/>
      <c r="H1871" s="359"/>
      <c r="I1871" s="359"/>
      <c r="J1871" s="359"/>
      <c r="K1871" s="359"/>
      <c r="L1871" s="359"/>
      <c r="M1871" s="359"/>
      <c r="N1871" s="359"/>
      <c r="O1871" s="359"/>
      <c r="P1871" s="359"/>
      <c r="Q1871" s="359"/>
      <c r="R1871" s="359"/>
      <c r="S1871" s="359"/>
      <c r="T1871" s="359"/>
      <c r="U1871" s="359"/>
      <c r="V1871" s="359"/>
      <c r="W1871" s="359"/>
      <c r="X1871" s="359"/>
      <c r="Y1871" s="359"/>
      <c r="Z1871" s="359"/>
      <c r="AA1871" s="359"/>
    </row>
    <row r="1872" spans="1:27">
      <c r="A1872" s="359"/>
      <c r="B1872" s="359"/>
      <c r="C1872" s="359"/>
      <c r="D1872" s="359"/>
      <c r="E1872" s="359"/>
      <c r="F1872" s="359"/>
      <c r="G1872" s="359"/>
      <c r="H1872" s="359"/>
      <c r="I1872" s="359"/>
      <c r="J1872" s="359"/>
      <c r="K1872" s="359"/>
      <c r="L1872" s="359"/>
      <c r="M1872" s="359"/>
      <c r="N1872" s="359"/>
      <c r="O1872" s="359"/>
      <c r="P1872" s="359"/>
      <c r="Q1872" s="359"/>
      <c r="R1872" s="359"/>
      <c r="S1872" s="359"/>
      <c r="T1872" s="359"/>
      <c r="U1872" s="359"/>
      <c r="V1872" s="359"/>
      <c r="W1872" s="359"/>
      <c r="X1872" s="359"/>
      <c r="Y1872" s="359"/>
      <c r="Z1872" s="359"/>
      <c r="AA1872" s="359"/>
    </row>
    <row r="1873" spans="1:27">
      <c r="A1873" s="359"/>
      <c r="B1873" s="359"/>
      <c r="C1873" s="359"/>
      <c r="D1873" s="359"/>
      <c r="E1873" s="359"/>
      <c r="F1873" s="359"/>
      <c r="G1873" s="359"/>
      <c r="H1873" s="359"/>
      <c r="I1873" s="359"/>
      <c r="J1873" s="359"/>
      <c r="K1873" s="359"/>
      <c r="L1873" s="359"/>
      <c r="M1873" s="359"/>
      <c r="N1873" s="359"/>
      <c r="O1873" s="359"/>
      <c r="P1873" s="359"/>
      <c r="Q1873" s="359"/>
      <c r="R1873" s="359"/>
      <c r="S1873" s="359"/>
      <c r="T1873" s="359"/>
      <c r="U1873" s="359"/>
      <c r="V1873" s="359"/>
      <c r="W1873" s="359"/>
      <c r="X1873" s="359"/>
      <c r="Y1873" s="359"/>
      <c r="Z1873" s="359"/>
      <c r="AA1873" s="359"/>
    </row>
    <row r="1874" spans="1:27">
      <c r="A1874" s="359"/>
      <c r="B1874" s="359"/>
      <c r="C1874" s="359"/>
      <c r="D1874" s="359"/>
      <c r="E1874" s="359"/>
      <c r="F1874" s="359"/>
      <c r="G1874" s="359"/>
      <c r="H1874" s="359"/>
      <c r="I1874" s="359"/>
      <c r="J1874" s="359"/>
      <c r="K1874" s="359"/>
      <c r="L1874" s="359"/>
      <c r="M1874" s="359"/>
      <c r="N1874" s="359"/>
      <c r="O1874" s="359"/>
      <c r="P1874" s="359"/>
      <c r="Q1874" s="359"/>
      <c r="R1874" s="359"/>
      <c r="S1874" s="359"/>
      <c r="T1874" s="359"/>
      <c r="U1874" s="359"/>
      <c r="V1874" s="359"/>
      <c r="W1874" s="359"/>
      <c r="X1874" s="359"/>
      <c r="Y1874" s="359"/>
      <c r="Z1874" s="359"/>
      <c r="AA1874" s="359"/>
    </row>
    <row r="1875" spans="1:27">
      <c r="A1875" s="359"/>
      <c r="B1875" s="359"/>
      <c r="C1875" s="359"/>
      <c r="D1875" s="359"/>
      <c r="E1875" s="359"/>
      <c r="F1875" s="359"/>
      <c r="G1875" s="359"/>
      <c r="H1875" s="359"/>
      <c r="I1875" s="359"/>
      <c r="J1875" s="359"/>
      <c r="K1875" s="359"/>
      <c r="L1875" s="359"/>
      <c r="M1875" s="359"/>
      <c r="N1875" s="359"/>
      <c r="O1875" s="359"/>
      <c r="P1875" s="359"/>
      <c r="Q1875" s="359"/>
      <c r="R1875" s="359"/>
      <c r="S1875" s="359"/>
      <c r="T1875" s="359"/>
      <c r="U1875" s="359"/>
      <c r="V1875" s="359"/>
      <c r="W1875" s="359"/>
      <c r="X1875" s="359"/>
      <c r="Y1875" s="359"/>
      <c r="Z1875" s="359"/>
      <c r="AA1875" s="359"/>
    </row>
    <row r="1876" spans="1:27">
      <c r="A1876" s="359"/>
      <c r="B1876" s="359"/>
      <c r="C1876" s="359"/>
      <c r="D1876" s="359"/>
      <c r="E1876" s="359"/>
      <c r="F1876" s="359"/>
      <c r="G1876" s="359"/>
      <c r="H1876" s="359"/>
      <c r="I1876" s="359"/>
      <c r="J1876" s="359"/>
      <c r="K1876" s="359"/>
      <c r="L1876" s="359"/>
      <c r="M1876" s="359"/>
      <c r="N1876" s="359"/>
      <c r="O1876" s="359"/>
      <c r="P1876" s="359"/>
      <c r="Q1876" s="359"/>
      <c r="R1876" s="359"/>
      <c r="S1876" s="359"/>
      <c r="T1876" s="359"/>
      <c r="U1876" s="359"/>
      <c r="V1876" s="359"/>
      <c r="W1876" s="359"/>
      <c r="X1876" s="359"/>
      <c r="Y1876" s="359"/>
      <c r="Z1876" s="359"/>
      <c r="AA1876" s="359"/>
    </row>
    <row r="1877" spans="1:27">
      <c r="A1877" s="359"/>
      <c r="B1877" s="359"/>
      <c r="C1877" s="359"/>
      <c r="D1877" s="359"/>
      <c r="E1877" s="359"/>
      <c r="F1877" s="359"/>
      <c r="G1877" s="359"/>
      <c r="H1877" s="359"/>
      <c r="I1877" s="359"/>
      <c r="J1877" s="359"/>
      <c r="K1877" s="359"/>
      <c r="L1877" s="359"/>
      <c r="M1877" s="359"/>
      <c r="N1877" s="359"/>
      <c r="O1877" s="359"/>
      <c r="P1877" s="359"/>
      <c r="Q1877" s="359"/>
      <c r="R1877" s="359"/>
      <c r="S1877" s="359"/>
      <c r="T1877" s="359"/>
      <c r="U1877" s="359"/>
      <c r="V1877" s="359"/>
      <c r="W1877" s="359"/>
      <c r="X1877" s="359"/>
      <c r="Y1877" s="359"/>
      <c r="Z1877" s="359"/>
      <c r="AA1877" s="359"/>
    </row>
    <row r="1878" spans="1:27">
      <c r="A1878" s="359"/>
      <c r="B1878" s="359"/>
      <c r="C1878" s="359"/>
      <c r="D1878" s="359"/>
      <c r="E1878" s="359"/>
      <c r="F1878" s="359"/>
      <c r="G1878" s="359"/>
      <c r="H1878" s="359"/>
      <c r="I1878" s="359"/>
      <c r="J1878" s="359"/>
      <c r="K1878" s="359"/>
      <c r="L1878" s="359"/>
      <c r="M1878" s="359"/>
      <c r="N1878" s="359"/>
      <c r="O1878" s="359"/>
      <c r="P1878" s="359"/>
      <c r="Q1878" s="359"/>
      <c r="R1878" s="359"/>
      <c r="S1878" s="359"/>
      <c r="T1878" s="359"/>
      <c r="U1878" s="359"/>
      <c r="V1878" s="359"/>
      <c r="W1878" s="359"/>
      <c r="X1878" s="359"/>
      <c r="Y1878" s="359"/>
      <c r="Z1878" s="359"/>
      <c r="AA1878" s="359"/>
    </row>
    <row r="1879" spans="1:27">
      <c r="A1879" s="359"/>
      <c r="B1879" s="359"/>
      <c r="C1879" s="359"/>
      <c r="D1879" s="359"/>
      <c r="E1879" s="359"/>
      <c r="F1879" s="359"/>
      <c r="G1879" s="359"/>
      <c r="H1879" s="359"/>
      <c r="I1879" s="359"/>
      <c r="J1879" s="359"/>
      <c r="K1879" s="359"/>
      <c r="L1879" s="359"/>
      <c r="M1879" s="359"/>
      <c r="N1879" s="359"/>
      <c r="O1879" s="359"/>
      <c r="P1879" s="359"/>
      <c r="Q1879" s="359"/>
      <c r="R1879" s="359"/>
      <c r="S1879" s="359"/>
      <c r="T1879" s="359"/>
      <c r="U1879" s="359"/>
      <c r="V1879" s="359"/>
      <c r="W1879" s="359"/>
      <c r="X1879" s="359"/>
      <c r="Y1879" s="359"/>
      <c r="Z1879" s="359"/>
      <c r="AA1879" s="359"/>
    </row>
    <row r="1880" spans="1:27">
      <c r="A1880" s="359"/>
      <c r="B1880" s="359"/>
      <c r="C1880" s="359"/>
      <c r="D1880" s="359"/>
      <c r="E1880" s="359"/>
      <c r="F1880" s="359"/>
      <c r="G1880" s="359"/>
      <c r="H1880" s="359"/>
      <c r="I1880" s="359"/>
      <c r="J1880" s="359"/>
      <c r="K1880" s="359"/>
      <c r="L1880" s="359"/>
      <c r="M1880" s="359"/>
      <c r="N1880" s="359"/>
      <c r="O1880" s="359"/>
      <c r="P1880" s="359"/>
      <c r="Q1880" s="359"/>
      <c r="R1880" s="359"/>
      <c r="S1880" s="359"/>
      <c r="T1880" s="359"/>
      <c r="U1880" s="359"/>
      <c r="V1880" s="359"/>
      <c r="W1880" s="359"/>
      <c r="X1880" s="359"/>
      <c r="Y1880" s="359"/>
      <c r="Z1880" s="359"/>
      <c r="AA1880" s="359"/>
    </row>
    <row r="1881" spans="1:27">
      <c r="A1881" s="359"/>
      <c r="B1881" s="359"/>
      <c r="C1881" s="359"/>
      <c r="D1881" s="359"/>
      <c r="E1881" s="359"/>
      <c r="F1881" s="359"/>
      <c r="G1881" s="359"/>
      <c r="H1881" s="359"/>
      <c r="I1881" s="359"/>
      <c r="J1881" s="359"/>
      <c r="K1881" s="359"/>
      <c r="L1881" s="359"/>
      <c r="M1881" s="359"/>
      <c r="N1881" s="359"/>
      <c r="O1881" s="359"/>
      <c r="P1881" s="359"/>
      <c r="Q1881" s="359"/>
      <c r="R1881" s="359"/>
      <c r="S1881" s="359"/>
      <c r="T1881" s="359"/>
      <c r="U1881" s="359"/>
      <c r="V1881" s="359"/>
      <c r="W1881" s="359"/>
      <c r="X1881" s="359"/>
      <c r="Y1881" s="359"/>
      <c r="Z1881" s="359"/>
      <c r="AA1881" s="359"/>
    </row>
    <row r="1882" spans="1:27">
      <c r="A1882" s="359"/>
      <c r="B1882" s="359"/>
      <c r="C1882" s="359"/>
      <c r="D1882" s="359"/>
      <c r="E1882" s="359"/>
      <c r="F1882" s="359"/>
      <c r="G1882" s="359"/>
      <c r="H1882" s="359"/>
      <c r="I1882" s="359"/>
      <c r="J1882" s="359"/>
      <c r="K1882" s="359"/>
      <c r="L1882" s="359"/>
      <c r="M1882" s="359"/>
      <c r="N1882" s="359"/>
      <c r="O1882" s="359"/>
      <c r="P1882" s="359"/>
      <c r="Q1882" s="359"/>
      <c r="R1882" s="359"/>
      <c r="S1882" s="359"/>
      <c r="T1882" s="359"/>
      <c r="U1882" s="359"/>
      <c r="V1882" s="359"/>
      <c r="W1882" s="359"/>
      <c r="X1882" s="359"/>
      <c r="Y1882" s="359"/>
      <c r="Z1882" s="359"/>
      <c r="AA1882" s="359"/>
    </row>
    <row r="1883" spans="1:27">
      <c r="A1883" s="359"/>
      <c r="B1883" s="359"/>
      <c r="C1883" s="359"/>
      <c r="D1883" s="359"/>
      <c r="E1883" s="359"/>
      <c r="F1883" s="359"/>
      <c r="G1883" s="359"/>
      <c r="H1883" s="359"/>
      <c r="I1883" s="359"/>
      <c r="J1883" s="359"/>
      <c r="K1883" s="359"/>
      <c r="L1883" s="359"/>
      <c r="M1883" s="359"/>
      <c r="N1883" s="359"/>
      <c r="O1883" s="359"/>
      <c r="P1883" s="359"/>
      <c r="Q1883" s="359"/>
      <c r="R1883" s="359"/>
      <c r="S1883" s="359"/>
      <c r="T1883" s="359"/>
      <c r="U1883" s="359"/>
      <c r="V1883" s="359"/>
      <c r="W1883" s="359"/>
      <c r="X1883" s="359"/>
      <c r="Y1883" s="359"/>
      <c r="Z1883" s="359"/>
      <c r="AA1883" s="359"/>
    </row>
    <row r="1884" spans="1:27">
      <c r="A1884" s="359"/>
      <c r="B1884" s="359"/>
      <c r="C1884" s="359"/>
      <c r="D1884" s="359"/>
      <c r="E1884" s="359"/>
      <c r="F1884" s="359"/>
      <c r="G1884" s="359"/>
      <c r="H1884" s="359"/>
      <c r="I1884" s="359"/>
      <c r="J1884" s="359"/>
      <c r="K1884" s="359"/>
      <c r="L1884" s="359"/>
      <c r="M1884" s="359"/>
      <c r="N1884" s="359"/>
      <c r="O1884" s="359"/>
      <c r="P1884" s="359"/>
      <c r="Q1884" s="359"/>
      <c r="R1884" s="359"/>
      <c r="S1884" s="359"/>
      <c r="T1884" s="359"/>
      <c r="U1884" s="359"/>
      <c r="V1884" s="359"/>
      <c r="W1884" s="359"/>
      <c r="X1884" s="359"/>
      <c r="Y1884" s="359"/>
      <c r="Z1884" s="359"/>
      <c r="AA1884" s="359"/>
    </row>
    <row r="1885" spans="1:27">
      <c r="A1885" s="359"/>
      <c r="B1885" s="359"/>
      <c r="C1885" s="359"/>
      <c r="D1885" s="359"/>
      <c r="E1885" s="359"/>
      <c r="F1885" s="359"/>
      <c r="G1885" s="359"/>
      <c r="H1885" s="359"/>
      <c r="I1885" s="359"/>
      <c r="J1885" s="359"/>
      <c r="K1885" s="359"/>
      <c r="L1885" s="359"/>
      <c r="M1885" s="359"/>
      <c r="N1885" s="359"/>
      <c r="O1885" s="359"/>
      <c r="P1885" s="359"/>
      <c r="Q1885" s="359"/>
      <c r="R1885" s="359"/>
      <c r="S1885" s="359"/>
      <c r="T1885" s="359"/>
      <c r="U1885" s="359"/>
      <c r="V1885" s="359"/>
      <c r="W1885" s="359"/>
      <c r="X1885" s="359"/>
      <c r="Y1885" s="359"/>
      <c r="Z1885" s="359"/>
      <c r="AA1885" s="359"/>
    </row>
    <row r="1886" spans="1:27">
      <c r="A1886" s="359"/>
      <c r="B1886" s="359"/>
      <c r="C1886" s="359"/>
      <c r="D1886" s="359"/>
      <c r="E1886" s="359"/>
      <c r="F1886" s="359"/>
      <c r="G1886" s="359"/>
      <c r="H1886" s="359"/>
      <c r="I1886" s="359"/>
      <c r="J1886" s="359"/>
      <c r="K1886" s="359"/>
      <c r="L1886" s="359"/>
      <c r="M1886" s="359"/>
      <c r="N1886" s="359"/>
      <c r="O1886" s="359"/>
      <c r="P1886" s="359"/>
      <c r="Q1886" s="359"/>
      <c r="R1886" s="359"/>
      <c r="S1886" s="359"/>
      <c r="T1886" s="359"/>
      <c r="U1886" s="359"/>
      <c r="V1886" s="359"/>
      <c r="W1886" s="359"/>
      <c r="X1886" s="359"/>
      <c r="Y1886" s="359"/>
      <c r="Z1886" s="359"/>
      <c r="AA1886" s="359"/>
    </row>
    <row r="1887" spans="1:27">
      <c r="A1887" s="359"/>
      <c r="B1887" s="359"/>
      <c r="C1887" s="359"/>
      <c r="D1887" s="359"/>
      <c r="E1887" s="359"/>
      <c r="F1887" s="359"/>
      <c r="G1887" s="359"/>
      <c r="H1887" s="359"/>
      <c r="I1887" s="359"/>
      <c r="J1887" s="359"/>
      <c r="K1887" s="359"/>
      <c r="L1887" s="359"/>
      <c r="M1887" s="359"/>
      <c r="N1887" s="359"/>
      <c r="O1887" s="359"/>
      <c r="P1887" s="359"/>
      <c r="Q1887" s="359"/>
      <c r="R1887" s="359"/>
      <c r="S1887" s="359"/>
      <c r="T1887" s="359"/>
      <c r="U1887" s="359"/>
      <c r="V1887" s="359"/>
      <c r="W1887" s="359"/>
      <c r="X1887" s="359"/>
      <c r="Y1887" s="359"/>
      <c r="Z1887" s="359"/>
      <c r="AA1887" s="359"/>
    </row>
    <row r="1888" spans="1:27">
      <c r="A1888" s="359"/>
      <c r="B1888" s="359"/>
      <c r="C1888" s="359"/>
      <c r="D1888" s="359"/>
      <c r="E1888" s="359"/>
      <c r="F1888" s="359"/>
      <c r="G1888" s="359"/>
      <c r="H1888" s="359"/>
      <c r="I1888" s="359"/>
      <c r="J1888" s="359"/>
      <c r="K1888" s="359"/>
      <c r="L1888" s="359"/>
      <c r="M1888" s="359"/>
      <c r="N1888" s="359"/>
      <c r="O1888" s="359"/>
      <c r="P1888" s="359"/>
      <c r="Q1888" s="359"/>
      <c r="R1888" s="359"/>
      <c r="S1888" s="359"/>
      <c r="T1888" s="359"/>
      <c r="U1888" s="359"/>
      <c r="V1888" s="359"/>
      <c r="W1888" s="359"/>
      <c r="X1888" s="359"/>
      <c r="Y1888" s="359"/>
      <c r="Z1888" s="359"/>
      <c r="AA1888" s="359"/>
    </row>
    <row r="1889" spans="1:27">
      <c r="A1889" s="359"/>
      <c r="B1889" s="359"/>
      <c r="C1889" s="359"/>
      <c r="D1889" s="359"/>
      <c r="E1889" s="359"/>
      <c r="F1889" s="359"/>
      <c r="G1889" s="359"/>
      <c r="H1889" s="359"/>
      <c r="I1889" s="359"/>
      <c r="J1889" s="359"/>
      <c r="K1889" s="359"/>
      <c r="L1889" s="359"/>
      <c r="M1889" s="359"/>
      <c r="N1889" s="359"/>
      <c r="O1889" s="359"/>
      <c r="P1889" s="359"/>
      <c r="Q1889" s="359"/>
      <c r="R1889" s="359"/>
      <c r="S1889" s="359"/>
      <c r="T1889" s="359"/>
      <c r="U1889" s="359"/>
      <c r="V1889" s="359"/>
      <c r="W1889" s="359"/>
      <c r="X1889" s="359"/>
      <c r="Y1889" s="359"/>
      <c r="Z1889" s="359"/>
      <c r="AA1889" s="359"/>
    </row>
    <row r="1890" spans="1:27">
      <c r="A1890" s="359"/>
      <c r="B1890" s="359"/>
      <c r="C1890" s="359"/>
      <c r="D1890" s="359"/>
      <c r="E1890" s="359"/>
      <c r="F1890" s="359"/>
      <c r="G1890" s="359"/>
      <c r="H1890" s="359"/>
      <c r="I1890" s="359"/>
      <c r="J1890" s="359"/>
      <c r="K1890" s="359"/>
      <c r="L1890" s="359"/>
      <c r="M1890" s="359"/>
      <c r="N1890" s="359"/>
      <c r="O1890" s="359"/>
      <c r="P1890" s="359"/>
      <c r="Q1890" s="359"/>
      <c r="R1890" s="359"/>
      <c r="S1890" s="359"/>
      <c r="T1890" s="359"/>
      <c r="U1890" s="359"/>
      <c r="V1890" s="359"/>
      <c r="W1890" s="359"/>
      <c r="X1890" s="359"/>
      <c r="Y1890" s="359"/>
      <c r="Z1890" s="359"/>
      <c r="AA1890" s="359"/>
    </row>
    <row r="1891" spans="1:27">
      <c r="A1891" s="359"/>
      <c r="B1891" s="359"/>
      <c r="C1891" s="359"/>
      <c r="D1891" s="359"/>
      <c r="E1891" s="359"/>
      <c r="F1891" s="359"/>
      <c r="G1891" s="359"/>
      <c r="H1891" s="359"/>
      <c r="I1891" s="359"/>
      <c r="J1891" s="359"/>
      <c r="K1891" s="359"/>
      <c r="L1891" s="359"/>
      <c r="M1891" s="359"/>
      <c r="N1891" s="359"/>
      <c r="O1891" s="359"/>
      <c r="P1891" s="359"/>
      <c r="Q1891" s="359"/>
      <c r="R1891" s="359"/>
      <c r="S1891" s="359"/>
      <c r="T1891" s="359"/>
      <c r="U1891" s="359"/>
      <c r="V1891" s="359"/>
      <c r="W1891" s="359"/>
      <c r="X1891" s="359"/>
      <c r="Y1891" s="359"/>
      <c r="Z1891" s="359"/>
      <c r="AA1891" s="359"/>
    </row>
    <row r="1892" spans="1:27">
      <c r="A1892" s="359"/>
      <c r="B1892" s="359"/>
      <c r="C1892" s="359"/>
      <c r="D1892" s="359"/>
      <c r="E1892" s="359"/>
      <c r="F1892" s="359"/>
      <c r="G1892" s="359"/>
      <c r="H1892" s="359"/>
      <c r="I1892" s="359"/>
      <c r="J1892" s="359"/>
      <c r="K1892" s="359"/>
      <c r="L1892" s="359"/>
      <c r="M1892" s="359"/>
      <c r="N1892" s="359"/>
      <c r="O1892" s="359"/>
      <c r="P1892" s="359"/>
      <c r="Q1892" s="359"/>
      <c r="R1892" s="359"/>
      <c r="S1892" s="359"/>
      <c r="T1892" s="359"/>
      <c r="U1892" s="359"/>
      <c r="V1892" s="359"/>
      <c r="W1892" s="359"/>
      <c r="X1892" s="359"/>
      <c r="Y1892" s="359"/>
      <c r="Z1892" s="359"/>
      <c r="AA1892" s="359"/>
    </row>
    <row r="1893" spans="1:27">
      <c r="A1893" s="359"/>
      <c r="B1893" s="359"/>
      <c r="C1893" s="359"/>
      <c r="D1893" s="359"/>
      <c r="E1893" s="359"/>
      <c r="F1893" s="359"/>
      <c r="G1893" s="359"/>
      <c r="H1893" s="359"/>
      <c r="I1893" s="359"/>
      <c r="J1893" s="359"/>
      <c r="K1893" s="359"/>
      <c r="L1893" s="359"/>
      <c r="M1893" s="359"/>
      <c r="N1893" s="359"/>
      <c r="O1893" s="359"/>
      <c r="P1893" s="359"/>
      <c r="Q1893" s="359"/>
      <c r="R1893" s="359"/>
      <c r="S1893" s="359"/>
      <c r="T1893" s="359"/>
      <c r="U1893" s="359"/>
      <c r="V1893" s="359"/>
      <c r="W1893" s="359"/>
      <c r="X1893" s="359"/>
      <c r="Y1893" s="359"/>
      <c r="Z1893" s="359"/>
      <c r="AA1893" s="359"/>
    </row>
    <row r="1894" spans="1:27">
      <c r="A1894" s="359"/>
      <c r="B1894" s="359"/>
      <c r="C1894" s="359"/>
      <c r="D1894" s="359"/>
      <c r="E1894" s="359"/>
      <c r="F1894" s="359"/>
      <c r="G1894" s="359"/>
      <c r="H1894" s="359"/>
      <c r="I1894" s="359"/>
      <c r="J1894" s="359"/>
      <c r="K1894" s="359"/>
      <c r="L1894" s="359"/>
      <c r="M1894" s="359"/>
      <c r="N1894" s="359"/>
      <c r="O1894" s="359"/>
      <c r="P1894" s="359"/>
      <c r="Q1894" s="359"/>
      <c r="R1894" s="359"/>
      <c r="S1894" s="359"/>
      <c r="T1894" s="359"/>
      <c r="U1894" s="359"/>
      <c r="V1894" s="359"/>
      <c r="W1894" s="359"/>
      <c r="X1894" s="359"/>
      <c r="Y1894" s="359"/>
      <c r="Z1894" s="359"/>
      <c r="AA1894" s="359"/>
    </row>
    <row r="1895" spans="1:27">
      <c r="A1895" s="359"/>
      <c r="B1895" s="359"/>
      <c r="C1895" s="359"/>
      <c r="D1895" s="359"/>
      <c r="E1895" s="359"/>
      <c r="F1895" s="359"/>
      <c r="G1895" s="359"/>
      <c r="H1895" s="359"/>
      <c r="I1895" s="359"/>
      <c r="J1895" s="359"/>
      <c r="K1895" s="359"/>
      <c r="L1895" s="359"/>
      <c r="M1895" s="359"/>
      <c r="N1895" s="359"/>
      <c r="O1895" s="359"/>
      <c r="P1895" s="359"/>
      <c r="Q1895" s="359"/>
      <c r="R1895" s="359"/>
      <c r="S1895" s="359"/>
      <c r="T1895" s="359"/>
      <c r="U1895" s="359"/>
      <c r="V1895" s="359"/>
      <c r="W1895" s="359"/>
      <c r="X1895" s="359"/>
      <c r="Y1895" s="359"/>
      <c r="Z1895" s="359"/>
      <c r="AA1895" s="359"/>
    </row>
    <row r="1896" spans="1:27">
      <c r="A1896" s="359"/>
      <c r="B1896" s="359"/>
      <c r="C1896" s="359"/>
      <c r="D1896" s="359"/>
      <c r="E1896" s="359"/>
      <c r="F1896" s="359"/>
      <c r="G1896" s="359"/>
      <c r="H1896" s="359"/>
      <c r="I1896" s="359"/>
      <c r="J1896" s="359"/>
      <c r="K1896" s="359"/>
      <c r="L1896" s="359"/>
      <c r="M1896" s="359"/>
      <c r="N1896" s="359"/>
      <c r="O1896" s="359"/>
      <c r="P1896" s="359"/>
      <c r="Q1896" s="359"/>
      <c r="R1896" s="359"/>
      <c r="S1896" s="359"/>
      <c r="T1896" s="359"/>
      <c r="U1896" s="359"/>
      <c r="V1896" s="359"/>
      <c r="W1896" s="359"/>
      <c r="X1896" s="359"/>
      <c r="Y1896" s="359"/>
      <c r="Z1896" s="359"/>
      <c r="AA1896" s="359"/>
    </row>
    <row r="1897" spans="1:27">
      <c r="A1897" s="359"/>
      <c r="B1897" s="359"/>
      <c r="C1897" s="359"/>
      <c r="D1897" s="359"/>
      <c r="E1897" s="359"/>
      <c r="F1897" s="359"/>
      <c r="G1897" s="359"/>
      <c r="H1897" s="359"/>
      <c r="I1897" s="359"/>
      <c r="J1897" s="359"/>
      <c r="K1897" s="359"/>
      <c r="L1897" s="359"/>
      <c r="M1897" s="359"/>
      <c r="N1897" s="359"/>
      <c r="O1897" s="359"/>
      <c r="P1897" s="359"/>
      <c r="Q1897" s="359"/>
      <c r="R1897" s="359"/>
      <c r="S1897" s="359"/>
      <c r="T1897" s="359"/>
      <c r="U1897" s="359"/>
      <c r="V1897" s="359"/>
      <c r="W1897" s="359"/>
      <c r="X1897" s="359"/>
      <c r="Y1897" s="359"/>
      <c r="Z1897" s="359"/>
      <c r="AA1897" s="359"/>
    </row>
    <row r="1898" spans="1:27">
      <c r="A1898" s="359"/>
      <c r="B1898" s="359"/>
      <c r="C1898" s="359"/>
      <c r="D1898" s="359"/>
      <c r="E1898" s="359"/>
      <c r="F1898" s="359"/>
      <c r="G1898" s="359"/>
      <c r="H1898" s="359"/>
      <c r="I1898" s="359"/>
      <c r="J1898" s="359"/>
      <c r="K1898" s="359"/>
      <c r="L1898" s="359"/>
      <c r="M1898" s="359"/>
      <c r="N1898" s="359"/>
      <c r="O1898" s="359"/>
      <c r="P1898" s="359"/>
      <c r="Q1898" s="359"/>
      <c r="R1898" s="359"/>
      <c r="S1898" s="359"/>
      <c r="T1898" s="359"/>
      <c r="U1898" s="359"/>
      <c r="V1898" s="359"/>
      <c r="W1898" s="359"/>
      <c r="X1898" s="359"/>
      <c r="Y1898" s="359"/>
      <c r="Z1898" s="359"/>
      <c r="AA1898" s="359"/>
    </row>
    <row r="1899" spans="1:27">
      <c r="A1899" s="359"/>
      <c r="B1899" s="359"/>
      <c r="C1899" s="359"/>
      <c r="D1899" s="359"/>
      <c r="E1899" s="359"/>
      <c r="F1899" s="359"/>
      <c r="G1899" s="359"/>
      <c r="H1899" s="359"/>
      <c r="I1899" s="359"/>
      <c r="J1899" s="359"/>
      <c r="K1899" s="359"/>
      <c r="L1899" s="359"/>
      <c r="M1899" s="359"/>
      <c r="N1899" s="359"/>
      <c r="O1899" s="359"/>
      <c r="P1899" s="359"/>
      <c r="Q1899" s="359"/>
      <c r="R1899" s="359"/>
      <c r="S1899" s="359"/>
      <c r="T1899" s="359"/>
      <c r="U1899" s="359"/>
      <c r="V1899" s="359"/>
      <c r="W1899" s="359"/>
      <c r="X1899" s="359"/>
      <c r="Y1899" s="359"/>
      <c r="Z1899" s="359"/>
      <c r="AA1899" s="359"/>
    </row>
    <row r="1900" spans="1:27">
      <c r="A1900" s="359"/>
      <c r="B1900" s="359"/>
      <c r="C1900" s="359"/>
      <c r="D1900" s="359"/>
      <c r="E1900" s="359"/>
      <c r="F1900" s="359"/>
      <c r="G1900" s="359"/>
      <c r="H1900" s="359"/>
      <c r="I1900" s="359"/>
      <c r="J1900" s="359"/>
      <c r="K1900" s="359"/>
      <c r="L1900" s="359"/>
      <c r="M1900" s="359"/>
      <c r="N1900" s="359"/>
      <c r="O1900" s="359"/>
      <c r="P1900" s="359"/>
      <c r="Q1900" s="359"/>
      <c r="R1900" s="359"/>
      <c r="S1900" s="359"/>
      <c r="T1900" s="359"/>
      <c r="U1900" s="359"/>
      <c r="V1900" s="359"/>
      <c r="W1900" s="359"/>
      <c r="X1900" s="359"/>
      <c r="Y1900" s="359"/>
      <c r="Z1900" s="359"/>
      <c r="AA1900" s="359"/>
    </row>
    <row r="1901" spans="1:27">
      <c r="A1901" s="359"/>
      <c r="B1901" s="359"/>
      <c r="C1901" s="359"/>
      <c r="D1901" s="359"/>
      <c r="E1901" s="359"/>
      <c r="F1901" s="359"/>
      <c r="G1901" s="359"/>
      <c r="H1901" s="359"/>
      <c r="I1901" s="359"/>
      <c r="J1901" s="359"/>
      <c r="K1901" s="359"/>
      <c r="L1901" s="359"/>
      <c r="M1901" s="359"/>
      <c r="N1901" s="359"/>
      <c r="O1901" s="359"/>
      <c r="P1901" s="359"/>
      <c r="Q1901" s="359"/>
      <c r="R1901" s="359"/>
      <c r="S1901" s="359"/>
      <c r="T1901" s="359"/>
      <c r="U1901" s="359"/>
      <c r="V1901" s="359"/>
      <c r="W1901" s="359"/>
      <c r="X1901" s="359"/>
      <c r="Y1901" s="359"/>
      <c r="Z1901" s="359"/>
      <c r="AA1901" s="359"/>
    </row>
    <row r="1902" spans="1:27">
      <c r="A1902" s="359"/>
      <c r="B1902" s="359"/>
      <c r="C1902" s="359"/>
      <c r="D1902" s="359"/>
      <c r="E1902" s="359"/>
      <c r="F1902" s="359"/>
      <c r="G1902" s="359"/>
      <c r="H1902" s="359"/>
      <c r="I1902" s="359"/>
      <c r="J1902" s="359"/>
      <c r="K1902" s="359"/>
      <c r="L1902" s="359"/>
      <c r="M1902" s="359"/>
      <c r="N1902" s="359"/>
      <c r="O1902" s="359"/>
      <c r="P1902" s="359"/>
      <c r="Q1902" s="359"/>
      <c r="R1902" s="359"/>
      <c r="S1902" s="359"/>
      <c r="T1902" s="359"/>
      <c r="U1902" s="359"/>
      <c r="V1902" s="359"/>
      <c r="W1902" s="359"/>
      <c r="X1902" s="359"/>
      <c r="Y1902" s="359"/>
      <c r="Z1902" s="359"/>
      <c r="AA1902" s="359"/>
    </row>
    <row r="1903" spans="1:27">
      <c r="A1903" s="359"/>
      <c r="B1903" s="359"/>
      <c r="C1903" s="359"/>
      <c r="D1903" s="359"/>
      <c r="E1903" s="359"/>
      <c r="F1903" s="359"/>
      <c r="G1903" s="359"/>
      <c r="H1903" s="359"/>
      <c r="I1903" s="359"/>
      <c r="J1903" s="359"/>
      <c r="K1903" s="359"/>
      <c r="L1903" s="359"/>
      <c r="M1903" s="359"/>
      <c r="N1903" s="359"/>
      <c r="O1903" s="359"/>
      <c r="P1903" s="359"/>
      <c r="Q1903" s="359"/>
      <c r="R1903" s="359"/>
      <c r="S1903" s="359"/>
      <c r="T1903" s="359"/>
      <c r="U1903" s="359"/>
      <c r="V1903" s="359"/>
      <c r="W1903" s="359"/>
      <c r="X1903" s="359"/>
      <c r="Y1903" s="359"/>
      <c r="Z1903" s="359"/>
      <c r="AA1903" s="359"/>
    </row>
    <row r="1904" spans="1:27">
      <c r="A1904" s="359"/>
      <c r="B1904" s="359"/>
      <c r="C1904" s="359"/>
      <c r="D1904" s="359"/>
      <c r="E1904" s="359"/>
      <c r="F1904" s="359"/>
      <c r="G1904" s="359"/>
      <c r="H1904" s="359"/>
      <c r="I1904" s="359"/>
      <c r="J1904" s="359"/>
      <c r="K1904" s="359"/>
      <c r="L1904" s="359"/>
      <c r="M1904" s="359"/>
      <c r="N1904" s="359"/>
      <c r="O1904" s="359"/>
      <c r="P1904" s="359"/>
      <c r="Q1904" s="359"/>
      <c r="R1904" s="359"/>
      <c r="S1904" s="359"/>
      <c r="T1904" s="359"/>
      <c r="U1904" s="359"/>
      <c r="V1904" s="359"/>
      <c r="W1904" s="359"/>
      <c r="X1904" s="359"/>
      <c r="Y1904" s="359"/>
      <c r="Z1904" s="359"/>
      <c r="AA1904" s="359"/>
    </row>
    <row r="1905" spans="1:27">
      <c r="A1905" s="359"/>
      <c r="B1905" s="359"/>
      <c r="C1905" s="359"/>
      <c r="D1905" s="359"/>
      <c r="E1905" s="359"/>
      <c r="F1905" s="359"/>
      <c r="G1905" s="359"/>
      <c r="H1905" s="359"/>
      <c r="I1905" s="359"/>
      <c r="J1905" s="359"/>
      <c r="K1905" s="359"/>
      <c r="L1905" s="359"/>
      <c r="M1905" s="359"/>
      <c r="N1905" s="359"/>
      <c r="O1905" s="359"/>
      <c r="P1905" s="359"/>
      <c r="Q1905" s="359"/>
      <c r="R1905" s="359"/>
      <c r="S1905" s="359"/>
      <c r="T1905" s="359"/>
      <c r="U1905" s="359"/>
      <c r="V1905" s="359"/>
      <c r="W1905" s="359"/>
      <c r="X1905" s="359"/>
      <c r="Y1905" s="359"/>
      <c r="Z1905" s="359"/>
      <c r="AA1905" s="359"/>
    </row>
    <row r="1906" spans="1:27">
      <c r="A1906" s="359"/>
      <c r="B1906" s="359"/>
      <c r="C1906" s="359"/>
      <c r="D1906" s="359"/>
      <c r="E1906" s="359"/>
      <c r="F1906" s="359"/>
      <c r="G1906" s="359"/>
      <c r="H1906" s="359"/>
      <c r="I1906" s="359"/>
      <c r="J1906" s="359"/>
      <c r="K1906" s="359"/>
      <c r="L1906" s="359"/>
      <c r="M1906" s="359"/>
      <c r="N1906" s="359"/>
      <c r="O1906" s="359"/>
      <c r="P1906" s="359"/>
      <c r="Q1906" s="359"/>
      <c r="R1906" s="359"/>
      <c r="S1906" s="359"/>
      <c r="T1906" s="359"/>
      <c r="U1906" s="359"/>
      <c r="V1906" s="359"/>
      <c r="W1906" s="359"/>
      <c r="X1906" s="359"/>
      <c r="Y1906" s="359"/>
      <c r="Z1906" s="359"/>
      <c r="AA1906" s="359"/>
    </row>
    <row r="1907" spans="1:27">
      <c r="A1907" s="359"/>
      <c r="B1907" s="359"/>
      <c r="C1907" s="359"/>
      <c r="D1907" s="359"/>
      <c r="E1907" s="359"/>
      <c r="F1907" s="359"/>
      <c r="G1907" s="359"/>
      <c r="H1907" s="359"/>
      <c r="I1907" s="359"/>
      <c r="J1907" s="359"/>
      <c r="K1907" s="359"/>
      <c r="L1907" s="359"/>
      <c r="M1907" s="359"/>
      <c r="N1907" s="359"/>
      <c r="O1907" s="359"/>
      <c r="P1907" s="359"/>
      <c r="Q1907" s="359"/>
      <c r="R1907" s="359"/>
      <c r="S1907" s="359"/>
      <c r="T1907" s="359"/>
      <c r="U1907" s="359"/>
      <c r="V1907" s="359"/>
      <c r="W1907" s="359"/>
      <c r="X1907" s="359"/>
      <c r="Y1907" s="359"/>
      <c r="Z1907" s="359"/>
      <c r="AA1907" s="359"/>
    </row>
    <row r="1908" spans="1:27">
      <c r="A1908" s="359"/>
      <c r="B1908" s="359"/>
      <c r="C1908" s="359"/>
      <c r="D1908" s="359"/>
      <c r="E1908" s="359"/>
      <c r="F1908" s="359"/>
      <c r="G1908" s="359"/>
      <c r="H1908" s="359"/>
      <c r="I1908" s="359"/>
      <c r="J1908" s="359"/>
      <c r="K1908" s="359"/>
      <c r="L1908" s="359"/>
      <c r="M1908" s="359"/>
      <c r="N1908" s="359"/>
      <c r="O1908" s="359"/>
      <c r="P1908" s="359"/>
      <c r="Q1908" s="359"/>
      <c r="R1908" s="359"/>
      <c r="S1908" s="359"/>
      <c r="T1908" s="359"/>
      <c r="U1908" s="359"/>
      <c r="V1908" s="359"/>
      <c r="W1908" s="359"/>
      <c r="X1908" s="359"/>
      <c r="Y1908" s="359"/>
      <c r="Z1908" s="359"/>
      <c r="AA1908" s="359"/>
    </row>
    <row r="1909" spans="1:27">
      <c r="A1909" s="359"/>
      <c r="B1909" s="359"/>
      <c r="C1909" s="359"/>
      <c r="D1909" s="359"/>
      <c r="E1909" s="359"/>
      <c r="F1909" s="359"/>
      <c r="G1909" s="359"/>
      <c r="H1909" s="359"/>
      <c r="I1909" s="359"/>
      <c r="J1909" s="359"/>
      <c r="K1909" s="359"/>
      <c r="L1909" s="359"/>
      <c r="M1909" s="359"/>
      <c r="N1909" s="359"/>
      <c r="O1909" s="359"/>
      <c r="P1909" s="359"/>
      <c r="Q1909" s="359"/>
      <c r="R1909" s="359"/>
      <c r="S1909" s="359"/>
      <c r="T1909" s="359"/>
      <c r="U1909" s="359"/>
      <c r="V1909" s="359"/>
      <c r="W1909" s="359"/>
      <c r="X1909" s="359"/>
      <c r="Y1909" s="359"/>
      <c r="Z1909" s="359"/>
      <c r="AA1909" s="359"/>
    </row>
    <row r="1910" spans="1:27">
      <c r="A1910" s="359"/>
      <c r="B1910" s="359"/>
      <c r="C1910" s="359"/>
      <c r="D1910" s="359"/>
      <c r="E1910" s="359"/>
      <c r="F1910" s="359"/>
      <c r="G1910" s="359"/>
      <c r="H1910" s="359"/>
      <c r="I1910" s="359"/>
      <c r="J1910" s="359"/>
      <c r="K1910" s="359"/>
      <c r="L1910" s="359"/>
      <c r="M1910" s="359"/>
      <c r="N1910" s="359"/>
      <c r="O1910" s="359"/>
      <c r="P1910" s="359"/>
      <c r="Q1910" s="359"/>
      <c r="R1910" s="359"/>
      <c r="S1910" s="359"/>
      <c r="T1910" s="359"/>
      <c r="U1910" s="359"/>
      <c r="V1910" s="359"/>
      <c r="W1910" s="359"/>
      <c r="X1910" s="359"/>
      <c r="Y1910" s="359"/>
      <c r="Z1910" s="359"/>
      <c r="AA1910" s="359"/>
    </row>
    <row r="1911" spans="1:27">
      <c r="A1911" s="359"/>
      <c r="B1911" s="359"/>
      <c r="C1911" s="359"/>
      <c r="D1911" s="359"/>
      <c r="E1911" s="359"/>
      <c r="F1911" s="359"/>
      <c r="G1911" s="359"/>
      <c r="H1911" s="359"/>
      <c r="I1911" s="359"/>
      <c r="J1911" s="359"/>
      <c r="K1911" s="359"/>
      <c r="L1911" s="359"/>
      <c r="M1911" s="359"/>
      <c r="N1911" s="359"/>
      <c r="O1911" s="359"/>
      <c r="P1911" s="359"/>
      <c r="Q1911" s="359"/>
      <c r="R1911" s="359"/>
      <c r="S1911" s="359"/>
      <c r="T1911" s="359"/>
      <c r="U1911" s="359"/>
      <c r="V1911" s="359"/>
      <c r="W1911" s="359"/>
      <c r="X1911" s="359"/>
      <c r="Y1911" s="359"/>
      <c r="Z1911" s="359"/>
      <c r="AA1911" s="359"/>
    </row>
    <row r="1912" spans="1:27">
      <c r="A1912" s="359"/>
      <c r="B1912" s="359"/>
      <c r="C1912" s="359"/>
      <c r="D1912" s="359"/>
      <c r="E1912" s="359"/>
      <c r="F1912" s="359"/>
      <c r="G1912" s="359"/>
      <c r="H1912" s="359"/>
      <c r="I1912" s="359"/>
      <c r="J1912" s="359"/>
      <c r="K1912" s="359"/>
      <c r="L1912" s="359"/>
      <c r="M1912" s="359"/>
      <c r="N1912" s="359"/>
      <c r="O1912" s="359"/>
      <c r="P1912" s="359"/>
      <c r="Q1912" s="359"/>
      <c r="R1912" s="359"/>
      <c r="S1912" s="359"/>
      <c r="T1912" s="359"/>
      <c r="U1912" s="359"/>
      <c r="V1912" s="359"/>
      <c r="W1912" s="359"/>
      <c r="X1912" s="359"/>
      <c r="Y1912" s="359"/>
      <c r="Z1912" s="359"/>
      <c r="AA1912" s="359"/>
    </row>
    <row r="1913" spans="1:27">
      <c r="A1913" s="359"/>
      <c r="B1913" s="359"/>
      <c r="C1913" s="359"/>
      <c r="D1913" s="359"/>
      <c r="E1913" s="359"/>
      <c r="F1913" s="359"/>
      <c r="G1913" s="359"/>
      <c r="H1913" s="359"/>
      <c r="I1913" s="359"/>
      <c r="J1913" s="359"/>
      <c r="K1913" s="359"/>
      <c r="L1913" s="359"/>
      <c r="M1913" s="359"/>
      <c r="N1913" s="359"/>
      <c r="O1913" s="359"/>
      <c r="P1913" s="359"/>
      <c r="Q1913" s="359"/>
      <c r="R1913" s="359"/>
      <c r="S1913" s="359"/>
      <c r="T1913" s="359"/>
      <c r="U1913" s="359"/>
      <c r="V1913" s="359"/>
      <c r="W1913" s="359"/>
      <c r="X1913" s="359"/>
      <c r="Y1913" s="359"/>
      <c r="Z1913" s="359"/>
      <c r="AA1913" s="359"/>
    </row>
    <row r="1914" spans="1:27">
      <c r="A1914" s="359"/>
      <c r="B1914" s="359"/>
      <c r="C1914" s="359"/>
      <c r="D1914" s="359"/>
      <c r="E1914" s="359"/>
      <c r="F1914" s="359"/>
      <c r="G1914" s="359"/>
      <c r="H1914" s="359"/>
      <c r="I1914" s="359"/>
      <c r="J1914" s="359"/>
      <c r="K1914" s="359"/>
      <c r="L1914" s="359"/>
      <c r="M1914" s="359"/>
      <c r="N1914" s="359"/>
      <c r="O1914" s="359"/>
      <c r="P1914" s="359"/>
      <c r="Q1914" s="359"/>
      <c r="R1914" s="359"/>
      <c r="S1914" s="359"/>
      <c r="T1914" s="359"/>
      <c r="U1914" s="359"/>
      <c r="V1914" s="359"/>
      <c r="W1914" s="359"/>
      <c r="X1914" s="359"/>
      <c r="Y1914" s="359"/>
      <c r="Z1914" s="359"/>
      <c r="AA1914" s="359"/>
    </row>
    <row r="1915" spans="1:27">
      <c r="A1915" s="359"/>
      <c r="B1915" s="359"/>
      <c r="C1915" s="359"/>
      <c r="D1915" s="359"/>
      <c r="E1915" s="359"/>
      <c r="F1915" s="359"/>
      <c r="G1915" s="359"/>
      <c r="H1915" s="359"/>
      <c r="I1915" s="359"/>
      <c r="J1915" s="359"/>
      <c r="K1915" s="359"/>
      <c r="L1915" s="359"/>
      <c r="M1915" s="359"/>
      <c r="N1915" s="359"/>
      <c r="O1915" s="359"/>
      <c r="P1915" s="359"/>
      <c r="Q1915" s="359"/>
      <c r="R1915" s="359"/>
      <c r="S1915" s="359"/>
      <c r="T1915" s="359"/>
      <c r="U1915" s="359"/>
      <c r="V1915" s="359"/>
      <c r="W1915" s="359"/>
      <c r="X1915" s="359"/>
      <c r="Y1915" s="359"/>
      <c r="Z1915" s="359"/>
      <c r="AA1915" s="359"/>
    </row>
    <row r="1916" spans="1:27">
      <c r="A1916" s="359"/>
      <c r="B1916" s="359"/>
      <c r="C1916" s="359"/>
      <c r="D1916" s="359"/>
      <c r="E1916" s="359"/>
      <c r="F1916" s="359"/>
      <c r="G1916" s="359"/>
      <c r="H1916" s="359"/>
      <c r="I1916" s="359"/>
      <c r="J1916" s="359"/>
      <c r="K1916" s="359"/>
      <c r="L1916" s="359"/>
      <c r="M1916" s="359"/>
      <c r="N1916" s="359"/>
      <c r="O1916" s="359"/>
      <c r="P1916" s="359"/>
      <c r="Q1916" s="359"/>
      <c r="R1916" s="359"/>
      <c r="S1916" s="359"/>
      <c r="T1916" s="359"/>
      <c r="U1916" s="359"/>
      <c r="V1916" s="359"/>
      <c r="W1916" s="359"/>
      <c r="X1916" s="359"/>
      <c r="Y1916" s="359"/>
      <c r="Z1916" s="359"/>
      <c r="AA1916" s="359"/>
    </row>
    <row r="1917" spans="1:27">
      <c r="A1917" s="359"/>
      <c r="B1917" s="359"/>
      <c r="C1917" s="359"/>
      <c r="D1917" s="359"/>
      <c r="E1917" s="359"/>
      <c r="F1917" s="359"/>
      <c r="G1917" s="359"/>
      <c r="H1917" s="359"/>
      <c r="I1917" s="359"/>
      <c r="J1917" s="359"/>
      <c r="K1917" s="359"/>
      <c r="L1917" s="359"/>
      <c r="M1917" s="359"/>
      <c r="N1917" s="359"/>
      <c r="O1917" s="359"/>
      <c r="P1917" s="359"/>
      <c r="Q1917" s="359"/>
      <c r="R1917" s="359"/>
      <c r="S1917" s="359"/>
      <c r="T1917" s="359"/>
      <c r="U1917" s="359"/>
      <c r="V1917" s="359"/>
      <c r="W1917" s="359"/>
      <c r="X1917" s="359"/>
      <c r="Y1917" s="359"/>
      <c r="Z1917" s="359"/>
      <c r="AA1917" s="359"/>
    </row>
    <row r="1918" spans="1:27">
      <c r="A1918" s="359"/>
      <c r="B1918" s="359"/>
      <c r="C1918" s="359"/>
      <c r="D1918" s="359"/>
      <c r="E1918" s="359"/>
      <c r="F1918" s="359"/>
      <c r="G1918" s="359"/>
      <c r="H1918" s="359"/>
      <c r="I1918" s="359"/>
      <c r="J1918" s="359"/>
      <c r="K1918" s="359"/>
      <c r="L1918" s="359"/>
      <c r="M1918" s="359"/>
      <c r="N1918" s="359"/>
      <c r="O1918" s="359"/>
      <c r="P1918" s="359"/>
      <c r="Q1918" s="359"/>
      <c r="R1918" s="359"/>
      <c r="S1918" s="359"/>
      <c r="T1918" s="359"/>
      <c r="U1918" s="359"/>
      <c r="V1918" s="359"/>
      <c r="W1918" s="359"/>
      <c r="X1918" s="359"/>
      <c r="Y1918" s="359"/>
      <c r="Z1918" s="359"/>
      <c r="AA1918" s="359"/>
    </row>
    <row r="1919" spans="1:27">
      <c r="A1919" s="359"/>
      <c r="B1919" s="359"/>
      <c r="C1919" s="359"/>
      <c r="D1919" s="359"/>
      <c r="E1919" s="359"/>
      <c r="F1919" s="359"/>
      <c r="G1919" s="359"/>
      <c r="H1919" s="359"/>
      <c r="I1919" s="359"/>
      <c r="J1919" s="359"/>
      <c r="K1919" s="359"/>
      <c r="L1919" s="359"/>
      <c r="M1919" s="359"/>
      <c r="N1919" s="359"/>
      <c r="O1919" s="359"/>
      <c r="P1919" s="359"/>
      <c r="Q1919" s="359"/>
      <c r="R1919" s="359"/>
      <c r="S1919" s="359"/>
      <c r="T1919" s="359"/>
      <c r="U1919" s="359"/>
      <c r="V1919" s="359"/>
      <c r="W1919" s="359"/>
      <c r="X1919" s="359"/>
      <c r="Y1919" s="359"/>
      <c r="Z1919" s="359"/>
      <c r="AA1919" s="359"/>
    </row>
    <row r="1920" spans="1:27">
      <c r="A1920" s="359"/>
      <c r="B1920" s="359"/>
      <c r="C1920" s="359"/>
      <c r="D1920" s="359"/>
      <c r="E1920" s="359"/>
      <c r="F1920" s="359"/>
      <c r="G1920" s="359"/>
      <c r="H1920" s="359"/>
      <c r="I1920" s="359"/>
      <c r="J1920" s="359"/>
      <c r="K1920" s="359"/>
      <c r="L1920" s="359"/>
      <c r="M1920" s="359"/>
      <c r="N1920" s="359"/>
      <c r="O1920" s="359"/>
      <c r="P1920" s="359"/>
      <c r="Q1920" s="359"/>
      <c r="R1920" s="359"/>
      <c r="S1920" s="359"/>
      <c r="T1920" s="359"/>
      <c r="U1920" s="359"/>
      <c r="V1920" s="359"/>
      <c r="W1920" s="359"/>
      <c r="X1920" s="359"/>
      <c r="Y1920" s="359"/>
      <c r="Z1920" s="359"/>
      <c r="AA1920" s="359"/>
    </row>
    <row r="1921" spans="1:27">
      <c r="A1921" s="359"/>
      <c r="B1921" s="359"/>
      <c r="C1921" s="359"/>
      <c r="D1921" s="359"/>
      <c r="E1921" s="359"/>
      <c r="F1921" s="359"/>
      <c r="G1921" s="359"/>
      <c r="H1921" s="359"/>
      <c r="I1921" s="359"/>
      <c r="J1921" s="359"/>
      <c r="K1921" s="359"/>
      <c r="L1921" s="359"/>
      <c r="M1921" s="359"/>
      <c r="N1921" s="359"/>
      <c r="O1921" s="359"/>
      <c r="P1921" s="359"/>
      <c r="Q1921" s="359"/>
      <c r="R1921" s="359"/>
      <c r="S1921" s="359"/>
      <c r="T1921" s="359"/>
      <c r="U1921" s="359"/>
      <c r="V1921" s="359"/>
      <c r="W1921" s="359"/>
      <c r="X1921" s="359"/>
      <c r="Y1921" s="359"/>
      <c r="Z1921" s="359"/>
      <c r="AA1921" s="359"/>
    </row>
    <row r="1922" spans="1:27">
      <c r="A1922" s="359"/>
      <c r="B1922" s="359"/>
      <c r="C1922" s="359"/>
      <c r="D1922" s="359"/>
      <c r="E1922" s="359"/>
      <c r="F1922" s="359"/>
      <c r="G1922" s="359"/>
      <c r="H1922" s="359"/>
      <c r="I1922" s="359"/>
      <c r="J1922" s="359"/>
      <c r="K1922" s="359"/>
      <c r="L1922" s="359"/>
      <c r="M1922" s="359"/>
      <c r="N1922" s="359"/>
      <c r="O1922" s="359"/>
      <c r="P1922" s="359"/>
      <c r="Q1922" s="359"/>
      <c r="R1922" s="359"/>
      <c r="S1922" s="359"/>
      <c r="T1922" s="359"/>
      <c r="U1922" s="359"/>
      <c r="V1922" s="359"/>
      <c r="W1922" s="359"/>
      <c r="X1922" s="359"/>
      <c r="Y1922" s="359"/>
      <c r="Z1922" s="359"/>
      <c r="AA1922" s="359"/>
    </row>
    <row r="1923" spans="1:27">
      <c r="A1923" s="359"/>
      <c r="B1923" s="359"/>
      <c r="C1923" s="359"/>
      <c r="D1923" s="359"/>
      <c r="E1923" s="359"/>
      <c r="F1923" s="359"/>
      <c r="G1923" s="359"/>
      <c r="H1923" s="359"/>
      <c r="I1923" s="359"/>
      <c r="J1923" s="359"/>
      <c r="K1923" s="359"/>
      <c r="L1923" s="359"/>
      <c r="M1923" s="359"/>
      <c r="N1923" s="359"/>
      <c r="O1923" s="359"/>
      <c r="P1923" s="359"/>
      <c r="Q1923" s="359"/>
      <c r="R1923" s="359"/>
      <c r="S1923" s="359"/>
      <c r="T1923" s="359"/>
      <c r="U1923" s="359"/>
      <c r="V1923" s="359"/>
      <c r="W1923" s="359"/>
      <c r="X1923" s="359"/>
      <c r="Y1923" s="359"/>
      <c r="Z1923" s="359"/>
      <c r="AA1923" s="359"/>
    </row>
    <row r="1924" spans="1:27">
      <c r="A1924" s="359"/>
      <c r="B1924" s="359"/>
      <c r="C1924" s="359"/>
      <c r="D1924" s="359"/>
      <c r="E1924" s="359"/>
      <c r="F1924" s="359"/>
      <c r="G1924" s="359"/>
      <c r="H1924" s="359"/>
      <c r="I1924" s="359"/>
      <c r="J1924" s="359"/>
      <c r="K1924" s="359"/>
      <c r="L1924" s="359"/>
      <c r="M1924" s="359"/>
      <c r="N1924" s="359"/>
      <c r="O1924" s="359"/>
      <c r="P1924" s="359"/>
      <c r="Q1924" s="359"/>
      <c r="R1924" s="359"/>
      <c r="S1924" s="359"/>
      <c r="T1924" s="359"/>
      <c r="U1924" s="359"/>
      <c r="V1924" s="359"/>
      <c r="W1924" s="359"/>
      <c r="X1924" s="359"/>
      <c r="Y1924" s="359"/>
      <c r="Z1924" s="359"/>
      <c r="AA1924" s="359"/>
    </row>
    <row r="1925" spans="1:27">
      <c r="A1925" s="359"/>
      <c r="B1925" s="359"/>
      <c r="C1925" s="359"/>
      <c r="D1925" s="359"/>
      <c r="E1925" s="359"/>
      <c r="F1925" s="359"/>
      <c r="G1925" s="359"/>
      <c r="H1925" s="359"/>
      <c r="I1925" s="359"/>
      <c r="J1925" s="359"/>
      <c r="K1925" s="359"/>
      <c r="L1925" s="359"/>
      <c r="M1925" s="359"/>
      <c r="N1925" s="359"/>
      <c r="O1925" s="359"/>
      <c r="P1925" s="359"/>
      <c r="Q1925" s="359"/>
      <c r="R1925" s="359"/>
      <c r="S1925" s="359"/>
      <c r="T1925" s="359"/>
      <c r="U1925" s="359"/>
      <c r="V1925" s="359"/>
      <c r="W1925" s="359"/>
      <c r="X1925" s="359"/>
      <c r="Y1925" s="359"/>
      <c r="Z1925" s="359"/>
      <c r="AA1925" s="359"/>
    </row>
    <row r="1926" spans="1:27">
      <c r="A1926" s="359"/>
      <c r="B1926" s="359"/>
      <c r="C1926" s="359"/>
      <c r="D1926" s="359"/>
      <c r="E1926" s="359"/>
      <c r="F1926" s="359"/>
      <c r="G1926" s="359"/>
      <c r="H1926" s="359"/>
      <c r="I1926" s="359"/>
      <c r="J1926" s="359"/>
      <c r="K1926" s="359"/>
      <c r="L1926" s="359"/>
      <c r="M1926" s="359"/>
      <c r="N1926" s="359"/>
      <c r="O1926" s="359"/>
      <c r="P1926" s="359"/>
      <c r="Q1926" s="359"/>
      <c r="R1926" s="359"/>
      <c r="S1926" s="359"/>
      <c r="T1926" s="359"/>
      <c r="U1926" s="359"/>
      <c r="V1926" s="359"/>
      <c r="W1926" s="359"/>
      <c r="X1926" s="359"/>
      <c r="Y1926" s="359"/>
      <c r="Z1926" s="359"/>
      <c r="AA1926" s="359"/>
    </row>
    <row r="1927" spans="1:27">
      <c r="A1927" s="359"/>
      <c r="B1927" s="359"/>
      <c r="C1927" s="359"/>
      <c r="D1927" s="359"/>
      <c r="E1927" s="359"/>
      <c r="F1927" s="359"/>
      <c r="G1927" s="359"/>
      <c r="H1927" s="359"/>
      <c r="I1927" s="359"/>
      <c r="J1927" s="359"/>
      <c r="K1927" s="359"/>
      <c r="L1927" s="359"/>
      <c r="M1927" s="359"/>
      <c r="N1927" s="359"/>
      <c r="O1927" s="359"/>
      <c r="P1927" s="359"/>
      <c r="Q1927" s="359"/>
      <c r="R1927" s="359"/>
      <c r="S1927" s="359"/>
      <c r="T1927" s="359"/>
      <c r="U1927" s="359"/>
      <c r="V1927" s="359"/>
      <c r="W1927" s="359"/>
      <c r="X1927" s="359"/>
      <c r="Y1927" s="359"/>
      <c r="Z1927" s="359"/>
      <c r="AA1927" s="359"/>
    </row>
    <row r="1928" spans="1:27">
      <c r="A1928" s="359"/>
      <c r="B1928" s="359"/>
      <c r="C1928" s="359"/>
      <c r="D1928" s="359"/>
      <c r="E1928" s="359"/>
      <c r="F1928" s="359"/>
      <c r="G1928" s="359"/>
      <c r="H1928" s="359"/>
      <c r="I1928" s="359"/>
      <c r="J1928" s="359"/>
      <c r="K1928" s="359"/>
      <c r="L1928" s="359"/>
      <c r="M1928" s="359"/>
      <c r="N1928" s="359"/>
      <c r="O1928" s="359"/>
      <c r="P1928" s="359"/>
      <c r="Q1928" s="359"/>
      <c r="R1928" s="359"/>
      <c r="S1928" s="359"/>
      <c r="T1928" s="359"/>
      <c r="U1928" s="359"/>
      <c r="V1928" s="359"/>
      <c r="W1928" s="359"/>
      <c r="X1928" s="359"/>
      <c r="Y1928" s="359"/>
      <c r="Z1928" s="359"/>
      <c r="AA1928" s="359"/>
    </row>
    <row r="1929" spans="1:27">
      <c r="A1929" s="359"/>
      <c r="B1929" s="359"/>
      <c r="C1929" s="359"/>
      <c r="D1929" s="359"/>
      <c r="E1929" s="359"/>
      <c r="F1929" s="359"/>
      <c r="G1929" s="359"/>
      <c r="H1929" s="359"/>
      <c r="I1929" s="359"/>
      <c r="J1929" s="359"/>
      <c r="K1929" s="359"/>
      <c r="L1929" s="359"/>
      <c r="M1929" s="359"/>
      <c r="N1929" s="359"/>
      <c r="O1929" s="359"/>
      <c r="P1929" s="359"/>
      <c r="Q1929" s="359"/>
      <c r="R1929" s="359"/>
      <c r="S1929" s="359"/>
      <c r="T1929" s="359"/>
      <c r="U1929" s="359"/>
      <c r="V1929" s="359"/>
      <c r="W1929" s="359"/>
      <c r="X1929" s="359"/>
      <c r="Y1929" s="359"/>
      <c r="Z1929" s="359"/>
      <c r="AA1929" s="359"/>
    </row>
    <row r="1930" spans="1:27">
      <c r="A1930" s="359"/>
      <c r="B1930" s="359"/>
      <c r="C1930" s="359"/>
      <c r="D1930" s="359"/>
      <c r="E1930" s="359"/>
      <c r="F1930" s="359"/>
      <c r="G1930" s="359"/>
      <c r="H1930" s="359"/>
      <c r="I1930" s="359"/>
      <c r="J1930" s="359"/>
      <c r="K1930" s="359"/>
      <c r="L1930" s="359"/>
      <c r="M1930" s="359"/>
      <c r="N1930" s="359"/>
      <c r="O1930" s="359"/>
      <c r="P1930" s="359"/>
      <c r="Q1930" s="359"/>
      <c r="R1930" s="359"/>
      <c r="S1930" s="359"/>
      <c r="T1930" s="359"/>
      <c r="U1930" s="359"/>
      <c r="V1930" s="359"/>
      <c r="W1930" s="359"/>
      <c r="X1930" s="359"/>
      <c r="Y1930" s="359"/>
      <c r="Z1930" s="359"/>
      <c r="AA1930" s="359"/>
    </row>
    <row r="1931" spans="1:27">
      <c r="A1931" s="359"/>
      <c r="B1931" s="359"/>
      <c r="C1931" s="359"/>
      <c r="D1931" s="359"/>
      <c r="E1931" s="359"/>
      <c r="F1931" s="359"/>
      <c r="G1931" s="359"/>
      <c r="H1931" s="359"/>
      <c r="I1931" s="359"/>
      <c r="J1931" s="359"/>
      <c r="K1931" s="359"/>
      <c r="L1931" s="359"/>
      <c r="M1931" s="359"/>
      <c r="N1931" s="359"/>
      <c r="O1931" s="359"/>
      <c r="P1931" s="359"/>
      <c r="Q1931" s="359"/>
      <c r="R1931" s="359"/>
      <c r="S1931" s="359"/>
      <c r="T1931" s="359"/>
      <c r="U1931" s="359"/>
      <c r="V1931" s="359"/>
      <c r="W1931" s="359"/>
      <c r="X1931" s="359"/>
      <c r="Y1931" s="359"/>
      <c r="Z1931" s="359"/>
      <c r="AA1931" s="359"/>
    </row>
    <row r="1932" spans="1:27">
      <c r="A1932" s="359"/>
      <c r="B1932" s="359"/>
      <c r="C1932" s="359"/>
      <c r="D1932" s="359"/>
      <c r="E1932" s="359"/>
      <c r="F1932" s="359"/>
      <c r="G1932" s="359"/>
      <c r="H1932" s="359"/>
      <c r="I1932" s="359"/>
      <c r="J1932" s="359"/>
      <c r="K1932" s="359"/>
      <c r="L1932" s="359"/>
      <c r="M1932" s="359"/>
      <c r="N1932" s="359"/>
      <c r="O1932" s="359"/>
      <c r="P1932" s="359"/>
      <c r="Q1932" s="359"/>
      <c r="R1932" s="359"/>
      <c r="S1932" s="359"/>
      <c r="T1932" s="359"/>
      <c r="U1932" s="359"/>
      <c r="V1932" s="359"/>
      <c r="W1932" s="359"/>
      <c r="X1932" s="359"/>
      <c r="Y1932" s="359"/>
      <c r="Z1932" s="359"/>
      <c r="AA1932" s="359"/>
    </row>
    <row r="1933" spans="1:27">
      <c r="A1933" s="359"/>
      <c r="B1933" s="359"/>
      <c r="C1933" s="359"/>
      <c r="D1933" s="359"/>
      <c r="E1933" s="359"/>
      <c r="F1933" s="359"/>
      <c r="G1933" s="359"/>
      <c r="H1933" s="359"/>
      <c r="I1933" s="359"/>
      <c r="J1933" s="359"/>
      <c r="K1933" s="359"/>
      <c r="L1933" s="359"/>
      <c r="M1933" s="359"/>
      <c r="N1933" s="359"/>
      <c r="O1933" s="359"/>
      <c r="P1933" s="359"/>
      <c r="Q1933" s="359"/>
      <c r="R1933" s="359"/>
      <c r="S1933" s="359"/>
      <c r="T1933" s="359"/>
      <c r="U1933" s="359"/>
      <c r="V1933" s="359"/>
      <c r="W1933" s="359"/>
      <c r="X1933" s="359"/>
      <c r="Y1933" s="359"/>
      <c r="Z1933" s="359"/>
      <c r="AA1933" s="359"/>
    </row>
    <row r="1934" spans="1:27">
      <c r="A1934" s="359"/>
      <c r="B1934" s="359"/>
      <c r="C1934" s="359"/>
      <c r="D1934" s="359"/>
      <c r="E1934" s="359"/>
      <c r="F1934" s="359"/>
      <c r="G1934" s="359"/>
      <c r="H1934" s="359"/>
      <c r="I1934" s="359"/>
      <c r="J1934" s="359"/>
      <c r="K1934" s="359"/>
      <c r="L1934" s="359"/>
      <c r="M1934" s="359"/>
      <c r="N1934" s="359"/>
      <c r="O1934" s="359"/>
      <c r="P1934" s="359"/>
      <c r="Q1934" s="359"/>
      <c r="R1934" s="359"/>
      <c r="S1934" s="359"/>
      <c r="T1934" s="359"/>
      <c r="U1934" s="359"/>
      <c r="V1934" s="359"/>
      <c r="W1934" s="359"/>
      <c r="X1934" s="359"/>
      <c r="Y1934" s="359"/>
      <c r="Z1934" s="359"/>
      <c r="AA1934" s="359"/>
    </row>
    <row r="1935" spans="1:27">
      <c r="A1935" s="359"/>
      <c r="B1935" s="359"/>
      <c r="C1935" s="359"/>
      <c r="D1935" s="359"/>
      <c r="E1935" s="359"/>
      <c r="F1935" s="359"/>
      <c r="G1935" s="359"/>
      <c r="H1935" s="359"/>
      <c r="I1935" s="359"/>
      <c r="J1935" s="359"/>
      <c r="K1935" s="359"/>
      <c r="L1935" s="359"/>
      <c r="M1935" s="359"/>
      <c r="N1935" s="359"/>
      <c r="O1935" s="359"/>
      <c r="P1935" s="359"/>
      <c r="Q1935" s="359"/>
      <c r="R1935" s="359"/>
      <c r="S1935" s="359"/>
      <c r="T1935" s="359"/>
      <c r="U1935" s="359"/>
      <c r="V1935" s="359"/>
      <c r="W1935" s="359"/>
      <c r="X1935" s="359"/>
      <c r="Y1935" s="359"/>
      <c r="Z1935" s="359"/>
      <c r="AA1935" s="359"/>
    </row>
    <row r="1936" spans="1:27">
      <c r="A1936" s="359"/>
      <c r="B1936" s="359"/>
      <c r="C1936" s="359"/>
      <c r="D1936" s="359"/>
      <c r="E1936" s="359"/>
      <c r="F1936" s="359"/>
      <c r="G1936" s="359"/>
      <c r="H1936" s="359"/>
      <c r="I1936" s="359"/>
      <c r="J1936" s="359"/>
      <c r="K1936" s="359"/>
      <c r="L1936" s="359"/>
      <c r="M1936" s="359"/>
      <c r="N1936" s="359"/>
      <c r="O1936" s="359"/>
      <c r="P1936" s="359"/>
      <c r="Q1936" s="359"/>
      <c r="R1936" s="359"/>
      <c r="S1936" s="359"/>
      <c r="T1936" s="359"/>
      <c r="U1936" s="359"/>
      <c r="V1936" s="359"/>
      <c r="W1936" s="359"/>
      <c r="X1936" s="359"/>
      <c r="Y1936" s="359"/>
      <c r="Z1936" s="359"/>
      <c r="AA1936" s="359"/>
    </row>
    <row r="1937" spans="1:27">
      <c r="A1937" s="359"/>
      <c r="B1937" s="359"/>
      <c r="C1937" s="359"/>
      <c r="D1937" s="359"/>
      <c r="E1937" s="359"/>
      <c r="F1937" s="359"/>
      <c r="G1937" s="359"/>
      <c r="H1937" s="359"/>
      <c r="I1937" s="359"/>
      <c r="J1937" s="359"/>
      <c r="K1937" s="359"/>
      <c r="L1937" s="359"/>
      <c r="M1937" s="359"/>
      <c r="N1937" s="359"/>
      <c r="O1937" s="359"/>
      <c r="P1937" s="359"/>
      <c r="Q1937" s="359"/>
      <c r="R1937" s="359"/>
      <c r="S1937" s="359"/>
      <c r="T1937" s="359"/>
      <c r="U1937" s="359"/>
      <c r="V1937" s="359"/>
      <c r="W1937" s="359"/>
      <c r="X1937" s="359"/>
      <c r="Y1937" s="359"/>
      <c r="Z1937" s="359"/>
      <c r="AA1937" s="359"/>
    </row>
    <row r="1938" spans="1:27">
      <c r="A1938" s="359"/>
      <c r="B1938" s="359"/>
      <c r="C1938" s="359"/>
      <c r="D1938" s="359"/>
      <c r="E1938" s="359"/>
      <c r="F1938" s="359"/>
      <c r="G1938" s="359"/>
      <c r="H1938" s="359"/>
      <c r="I1938" s="359"/>
      <c r="J1938" s="359"/>
      <c r="K1938" s="359"/>
      <c r="L1938" s="359"/>
      <c r="M1938" s="359"/>
      <c r="N1938" s="359"/>
      <c r="O1938" s="359"/>
      <c r="P1938" s="359"/>
      <c r="Q1938" s="359"/>
      <c r="R1938" s="359"/>
      <c r="S1938" s="359"/>
      <c r="T1938" s="359"/>
      <c r="U1938" s="359"/>
      <c r="V1938" s="359"/>
      <c r="W1938" s="359"/>
      <c r="X1938" s="359"/>
      <c r="Y1938" s="359"/>
      <c r="Z1938" s="359"/>
      <c r="AA1938" s="359"/>
    </row>
    <row r="1939" spans="1:27">
      <c r="A1939" s="359"/>
      <c r="B1939" s="359"/>
      <c r="C1939" s="359"/>
      <c r="D1939" s="359"/>
      <c r="E1939" s="359"/>
      <c r="F1939" s="359"/>
      <c r="G1939" s="359"/>
      <c r="H1939" s="359"/>
      <c r="I1939" s="359"/>
      <c r="J1939" s="359"/>
      <c r="K1939" s="359"/>
      <c r="L1939" s="359"/>
      <c r="M1939" s="359"/>
      <c r="N1939" s="359"/>
      <c r="O1939" s="359"/>
      <c r="P1939" s="359"/>
      <c r="Q1939" s="359"/>
      <c r="R1939" s="359"/>
      <c r="S1939" s="359"/>
      <c r="T1939" s="359"/>
      <c r="U1939" s="359"/>
      <c r="V1939" s="359"/>
      <c r="W1939" s="359"/>
      <c r="X1939" s="359"/>
      <c r="Y1939" s="359"/>
      <c r="Z1939" s="359"/>
      <c r="AA1939" s="359"/>
    </row>
    <row r="1940" spans="1:27">
      <c r="A1940" s="359"/>
      <c r="B1940" s="359"/>
      <c r="C1940" s="359"/>
      <c r="D1940" s="359"/>
      <c r="E1940" s="359"/>
      <c r="F1940" s="359"/>
      <c r="G1940" s="359"/>
      <c r="H1940" s="359"/>
      <c r="I1940" s="359"/>
      <c r="J1940" s="359"/>
      <c r="K1940" s="359"/>
      <c r="L1940" s="359"/>
      <c r="M1940" s="359"/>
      <c r="N1940" s="359"/>
      <c r="O1940" s="359"/>
      <c r="P1940" s="359"/>
      <c r="Q1940" s="359"/>
      <c r="R1940" s="359"/>
      <c r="S1940" s="359"/>
      <c r="T1940" s="359"/>
      <c r="U1940" s="359"/>
      <c r="V1940" s="359"/>
      <c r="W1940" s="359"/>
      <c r="X1940" s="359"/>
      <c r="Y1940" s="359"/>
      <c r="Z1940" s="359"/>
      <c r="AA1940" s="359"/>
    </row>
    <row r="1941" spans="1:27">
      <c r="A1941" s="359"/>
      <c r="B1941" s="359"/>
      <c r="C1941" s="359"/>
      <c r="D1941" s="359"/>
      <c r="E1941" s="359"/>
      <c r="F1941" s="359"/>
      <c r="G1941" s="359"/>
      <c r="H1941" s="359"/>
      <c r="I1941" s="359"/>
      <c r="J1941" s="359"/>
      <c r="K1941" s="359"/>
      <c r="L1941" s="359"/>
      <c r="M1941" s="359"/>
      <c r="N1941" s="359"/>
      <c r="O1941" s="359"/>
      <c r="P1941" s="359"/>
      <c r="Q1941" s="359"/>
      <c r="R1941" s="359"/>
      <c r="S1941" s="359"/>
      <c r="T1941" s="359"/>
      <c r="U1941" s="359"/>
      <c r="V1941" s="359"/>
      <c r="W1941" s="359"/>
      <c r="X1941" s="359"/>
      <c r="Y1941" s="359"/>
      <c r="Z1941" s="359"/>
      <c r="AA1941" s="359"/>
    </row>
    <row r="1942" spans="1:27">
      <c r="A1942" s="359"/>
      <c r="B1942" s="359"/>
      <c r="C1942" s="359"/>
      <c r="D1942" s="359"/>
      <c r="E1942" s="359"/>
      <c r="F1942" s="359"/>
      <c r="G1942" s="359"/>
      <c r="H1942" s="359"/>
      <c r="I1942" s="359"/>
      <c r="J1942" s="359"/>
      <c r="K1942" s="359"/>
      <c r="L1942" s="359"/>
      <c r="M1942" s="359"/>
      <c r="N1942" s="359"/>
      <c r="O1942" s="359"/>
      <c r="P1942" s="359"/>
      <c r="Q1942" s="359"/>
      <c r="R1942" s="359"/>
      <c r="S1942" s="359"/>
      <c r="T1942" s="359"/>
      <c r="U1942" s="359"/>
      <c r="V1942" s="359"/>
      <c r="W1942" s="359"/>
      <c r="X1942" s="359"/>
      <c r="Y1942" s="359"/>
      <c r="Z1942" s="359"/>
      <c r="AA1942" s="359"/>
    </row>
    <row r="1943" spans="1:27">
      <c r="A1943" s="359"/>
      <c r="B1943" s="359"/>
      <c r="C1943" s="359"/>
      <c r="D1943" s="359"/>
      <c r="E1943" s="359"/>
      <c r="F1943" s="359"/>
      <c r="G1943" s="359"/>
      <c r="H1943" s="359"/>
      <c r="I1943" s="359"/>
      <c r="J1943" s="359"/>
      <c r="K1943" s="359"/>
      <c r="L1943" s="359"/>
      <c r="M1943" s="359"/>
      <c r="N1943" s="359"/>
      <c r="O1943" s="359"/>
      <c r="P1943" s="359"/>
      <c r="Q1943" s="359"/>
      <c r="R1943" s="359"/>
      <c r="S1943" s="359"/>
      <c r="T1943" s="359"/>
      <c r="U1943" s="359"/>
      <c r="V1943" s="359"/>
      <c r="W1943" s="359"/>
      <c r="X1943" s="359"/>
      <c r="Y1943" s="359"/>
      <c r="Z1943" s="359"/>
      <c r="AA1943" s="359"/>
    </row>
    <row r="1944" spans="1:27">
      <c r="A1944" s="359"/>
      <c r="B1944" s="359"/>
      <c r="C1944" s="359"/>
      <c r="D1944" s="359"/>
      <c r="E1944" s="359"/>
      <c r="F1944" s="359"/>
      <c r="G1944" s="359"/>
      <c r="H1944" s="359"/>
      <c r="I1944" s="359"/>
      <c r="J1944" s="359"/>
      <c r="K1944" s="359"/>
      <c r="L1944" s="359"/>
      <c r="M1944" s="359"/>
      <c r="N1944" s="359"/>
      <c r="O1944" s="359"/>
      <c r="P1944" s="359"/>
      <c r="Q1944" s="359"/>
      <c r="R1944" s="359"/>
      <c r="S1944" s="359"/>
      <c r="T1944" s="359"/>
      <c r="U1944" s="359"/>
      <c r="V1944" s="359"/>
      <c r="W1944" s="359"/>
      <c r="X1944" s="359"/>
      <c r="Y1944" s="359"/>
      <c r="Z1944" s="359"/>
      <c r="AA1944" s="359"/>
    </row>
    <row r="1945" spans="1:27">
      <c r="A1945" s="359"/>
      <c r="B1945" s="359"/>
      <c r="C1945" s="359"/>
      <c r="D1945" s="359"/>
      <c r="E1945" s="359"/>
      <c r="F1945" s="359"/>
      <c r="G1945" s="359"/>
      <c r="H1945" s="359"/>
      <c r="I1945" s="359"/>
      <c r="J1945" s="359"/>
      <c r="K1945" s="359"/>
      <c r="L1945" s="359"/>
      <c r="M1945" s="359"/>
      <c r="N1945" s="359"/>
      <c r="O1945" s="359"/>
      <c r="P1945" s="359"/>
      <c r="Q1945" s="359"/>
      <c r="R1945" s="359"/>
      <c r="S1945" s="359"/>
      <c r="T1945" s="359"/>
      <c r="U1945" s="359"/>
      <c r="V1945" s="359"/>
      <c r="W1945" s="359"/>
      <c r="X1945" s="359"/>
      <c r="Y1945" s="359"/>
      <c r="Z1945" s="359"/>
      <c r="AA1945" s="359"/>
    </row>
    <row r="1946" spans="1:27">
      <c r="A1946" s="359"/>
      <c r="B1946" s="359"/>
      <c r="C1946" s="359"/>
      <c r="D1946" s="359"/>
      <c r="E1946" s="359"/>
      <c r="F1946" s="359"/>
      <c r="G1946" s="359"/>
      <c r="H1946" s="359"/>
      <c r="I1946" s="359"/>
      <c r="J1946" s="359"/>
      <c r="K1946" s="359"/>
      <c r="L1946" s="359"/>
      <c r="M1946" s="359"/>
      <c r="N1946" s="359"/>
      <c r="O1946" s="359"/>
      <c r="P1946" s="359"/>
      <c r="Q1946" s="359"/>
      <c r="R1946" s="359"/>
      <c r="S1946" s="359"/>
      <c r="T1946" s="359"/>
      <c r="U1946" s="359"/>
      <c r="V1946" s="359"/>
      <c r="W1946" s="359"/>
      <c r="X1946" s="359"/>
      <c r="Y1946" s="359"/>
      <c r="Z1946" s="359"/>
      <c r="AA1946" s="359"/>
    </row>
    <row r="1947" spans="1:27">
      <c r="A1947" s="359"/>
      <c r="B1947" s="359"/>
      <c r="C1947" s="359"/>
      <c r="D1947" s="359"/>
      <c r="E1947" s="359"/>
      <c r="F1947" s="359"/>
      <c r="G1947" s="359"/>
      <c r="H1947" s="359"/>
      <c r="I1947" s="359"/>
      <c r="J1947" s="359"/>
      <c r="K1947" s="359"/>
      <c r="L1947" s="359"/>
      <c r="M1947" s="359"/>
      <c r="N1947" s="359"/>
      <c r="O1947" s="359"/>
      <c r="P1947" s="359"/>
      <c r="Q1947" s="359"/>
      <c r="R1947" s="359"/>
      <c r="S1947" s="359"/>
      <c r="T1947" s="359"/>
      <c r="U1947" s="359"/>
      <c r="V1947" s="359"/>
      <c r="W1947" s="359"/>
      <c r="X1947" s="359"/>
      <c r="Y1947" s="359"/>
      <c r="Z1947" s="359"/>
      <c r="AA1947" s="359"/>
    </row>
    <row r="1948" spans="1:27">
      <c r="A1948" s="359"/>
      <c r="B1948" s="359"/>
      <c r="C1948" s="359"/>
      <c r="D1948" s="359"/>
      <c r="E1948" s="359"/>
      <c r="F1948" s="359"/>
      <c r="G1948" s="359"/>
      <c r="H1948" s="359"/>
      <c r="I1948" s="359"/>
      <c r="J1948" s="359"/>
      <c r="K1948" s="359"/>
      <c r="L1948" s="359"/>
      <c r="M1948" s="359"/>
      <c r="N1948" s="359"/>
      <c r="O1948" s="359"/>
      <c r="P1948" s="359"/>
      <c r="Q1948" s="359"/>
      <c r="R1948" s="359"/>
      <c r="S1948" s="359"/>
      <c r="T1948" s="359"/>
      <c r="U1948" s="359"/>
      <c r="V1948" s="359"/>
      <c r="W1948" s="359"/>
      <c r="X1948" s="359"/>
      <c r="Y1948" s="359"/>
      <c r="Z1948" s="359"/>
      <c r="AA1948" s="359"/>
    </row>
    <row r="1949" spans="1:27">
      <c r="A1949" s="359"/>
      <c r="B1949" s="359"/>
      <c r="C1949" s="359"/>
      <c r="D1949" s="359"/>
      <c r="E1949" s="359"/>
      <c r="F1949" s="359"/>
      <c r="G1949" s="359"/>
      <c r="H1949" s="359"/>
      <c r="I1949" s="359"/>
      <c r="J1949" s="359"/>
      <c r="K1949" s="359"/>
      <c r="L1949" s="359"/>
      <c r="M1949" s="359"/>
      <c r="N1949" s="359"/>
      <c r="O1949" s="359"/>
      <c r="P1949" s="359"/>
      <c r="Q1949" s="359"/>
      <c r="R1949" s="359"/>
      <c r="S1949" s="359"/>
      <c r="T1949" s="359"/>
      <c r="U1949" s="359"/>
      <c r="V1949" s="359"/>
      <c r="W1949" s="359"/>
      <c r="X1949" s="359"/>
      <c r="Y1949" s="359"/>
      <c r="Z1949" s="359"/>
      <c r="AA1949" s="359"/>
    </row>
    <row r="1950" spans="1:27">
      <c r="A1950" s="359"/>
      <c r="B1950" s="359"/>
      <c r="C1950" s="359"/>
      <c r="D1950" s="359"/>
      <c r="E1950" s="359"/>
      <c r="F1950" s="359"/>
      <c r="G1950" s="359"/>
      <c r="H1950" s="359"/>
      <c r="I1950" s="359"/>
      <c r="J1950" s="359"/>
      <c r="K1950" s="359"/>
      <c r="L1950" s="359"/>
      <c r="M1950" s="359"/>
      <c r="N1950" s="359"/>
      <c r="O1950" s="359"/>
      <c r="P1950" s="359"/>
      <c r="Q1950" s="359"/>
      <c r="R1950" s="359"/>
      <c r="S1950" s="359"/>
      <c r="T1950" s="359"/>
      <c r="U1950" s="359"/>
      <c r="V1950" s="359"/>
      <c r="W1950" s="359"/>
      <c r="X1950" s="359"/>
      <c r="Y1950" s="359"/>
      <c r="Z1950" s="359"/>
      <c r="AA1950" s="359"/>
    </row>
    <row r="1951" spans="1:27">
      <c r="A1951" s="359"/>
      <c r="B1951" s="359"/>
      <c r="C1951" s="359"/>
      <c r="D1951" s="359"/>
      <c r="E1951" s="359"/>
      <c r="F1951" s="359"/>
      <c r="G1951" s="359"/>
      <c r="H1951" s="359"/>
      <c r="I1951" s="359"/>
      <c r="J1951" s="359"/>
      <c r="K1951" s="359"/>
      <c r="L1951" s="359"/>
      <c r="M1951" s="359"/>
      <c r="N1951" s="359"/>
      <c r="O1951" s="359"/>
      <c r="P1951" s="359"/>
      <c r="Q1951" s="359"/>
      <c r="R1951" s="359"/>
      <c r="S1951" s="359"/>
      <c r="T1951" s="359"/>
      <c r="U1951" s="359"/>
      <c r="V1951" s="359"/>
      <c r="W1951" s="359"/>
      <c r="X1951" s="359"/>
      <c r="Y1951" s="359"/>
      <c r="Z1951" s="359"/>
      <c r="AA1951" s="359"/>
    </row>
    <row r="1952" spans="1:27">
      <c r="A1952" s="359"/>
      <c r="B1952" s="359"/>
      <c r="C1952" s="359"/>
      <c r="D1952" s="359"/>
      <c r="E1952" s="359"/>
      <c r="F1952" s="359"/>
      <c r="G1952" s="359"/>
      <c r="H1952" s="359"/>
      <c r="I1952" s="359"/>
      <c r="J1952" s="359"/>
      <c r="K1952" s="359"/>
      <c r="L1952" s="359"/>
      <c r="M1952" s="359"/>
      <c r="N1952" s="359"/>
      <c r="O1952" s="359"/>
      <c r="P1952" s="359"/>
      <c r="Q1952" s="359"/>
      <c r="R1952" s="359"/>
      <c r="S1952" s="359"/>
      <c r="T1952" s="359"/>
      <c r="U1952" s="359"/>
      <c r="V1952" s="359"/>
      <c r="W1952" s="359"/>
      <c r="X1952" s="359"/>
      <c r="Y1952" s="359"/>
      <c r="Z1952" s="359"/>
      <c r="AA1952" s="359"/>
    </row>
    <row r="1953" spans="1:27">
      <c r="A1953" s="359"/>
      <c r="B1953" s="359"/>
      <c r="C1953" s="359"/>
      <c r="D1953" s="359"/>
      <c r="E1953" s="359"/>
      <c r="F1953" s="359"/>
      <c r="G1953" s="359"/>
      <c r="H1953" s="359"/>
      <c r="I1953" s="359"/>
      <c r="J1953" s="359"/>
      <c r="K1953" s="359"/>
      <c r="L1953" s="359"/>
      <c r="M1953" s="359"/>
      <c r="N1953" s="359"/>
      <c r="O1953" s="359"/>
      <c r="P1953" s="359"/>
      <c r="Q1953" s="359"/>
      <c r="R1953" s="359"/>
      <c r="S1953" s="359"/>
      <c r="T1953" s="359"/>
      <c r="U1953" s="359"/>
      <c r="V1953" s="359"/>
      <c r="W1953" s="359"/>
      <c r="X1953" s="359"/>
      <c r="Y1953" s="359"/>
      <c r="Z1953" s="359"/>
      <c r="AA1953" s="359"/>
    </row>
    <row r="1954" spans="1:27">
      <c r="A1954" s="359"/>
      <c r="B1954" s="359"/>
      <c r="C1954" s="359"/>
      <c r="D1954" s="359"/>
      <c r="E1954" s="359"/>
      <c r="F1954" s="359"/>
      <c r="G1954" s="359"/>
      <c r="H1954" s="359"/>
      <c r="I1954" s="359"/>
      <c r="J1954" s="359"/>
      <c r="K1954" s="359"/>
      <c r="L1954" s="359"/>
      <c r="M1954" s="359"/>
      <c r="N1954" s="359"/>
      <c r="O1954" s="359"/>
      <c r="P1954" s="359"/>
      <c r="Q1954" s="359"/>
      <c r="R1954" s="359"/>
      <c r="S1954" s="359"/>
      <c r="T1954" s="359"/>
      <c r="U1954" s="359"/>
      <c r="V1954" s="359"/>
      <c r="W1954" s="359"/>
      <c r="X1954" s="359"/>
      <c r="Y1954" s="359"/>
      <c r="Z1954" s="359"/>
      <c r="AA1954" s="359"/>
    </row>
    <row r="1955" spans="1:27">
      <c r="A1955" s="359"/>
      <c r="B1955" s="359"/>
      <c r="C1955" s="359"/>
      <c r="D1955" s="359"/>
      <c r="E1955" s="359"/>
      <c r="F1955" s="359"/>
      <c r="G1955" s="359"/>
      <c r="H1955" s="359"/>
      <c r="I1955" s="359"/>
      <c r="J1955" s="359"/>
      <c r="K1955" s="359"/>
      <c r="L1955" s="359"/>
      <c r="M1955" s="359"/>
      <c r="N1955" s="359"/>
      <c r="O1955" s="359"/>
      <c r="P1955" s="359"/>
      <c r="Q1955" s="359"/>
      <c r="R1955" s="359"/>
      <c r="S1955" s="359"/>
      <c r="T1955" s="359"/>
      <c r="U1955" s="359"/>
      <c r="V1955" s="359"/>
      <c r="W1955" s="359"/>
      <c r="X1955" s="359"/>
      <c r="Y1955" s="359"/>
      <c r="Z1955" s="359"/>
      <c r="AA1955" s="359"/>
    </row>
    <row r="1956" spans="1:27">
      <c r="A1956" s="359"/>
      <c r="B1956" s="359"/>
      <c r="C1956" s="359"/>
      <c r="D1956" s="359"/>
      <c r="E1956" s="359"/>
      <c r="F1956" s="359"/>
      <c r="G1956" s="359"/>
      <c r="H1956" s="359"/>
      <c r="I1956" s="359"/>
      <c r="J1956" s="359"/>
      <c r="K1956" s="359"/>
      <c r="L1956" s="359"/>
      <c r="M1956" s="359"/>
      <c r="N1956" s="359"/>
      <c r="O1956" s="359"/>
      <c r="P1956" s="359"/>
      <c r="Q1956" s="359"/>
      <c r="R1956" s="359"/>
      <c r="S1956" s="359"/>
      <c r="T1956" s="359"/>
      <c r="U1956" s="359"/>
      <c r="V1956" s="359"/>
      <c r="W1956" s="359"/>
      <c r="X1956" s="359"/>
      <c r="Y1956" s="359"/>
      <c r="Z1956" s="359"/>
      <c r="AA1956" s="359"/>
    </row>
    <row r="1957" spans="1:27">
      <c r="A1957" s="359"/>
      <c r="B1957" s="359"/>
      <c r="C1957" s="359"/>
      <c r="D1957" s="359"/>
      <c r="E1957" s="359"/>
      <c r="F1957" s="359"/>
      <c r="G1957" s="359"/>
      <c r="H1957" s="359"/>
      <c r="I1957" s="359"/>
      <c r="J1957" s="359"/>
      <c r="K1957" s="359"/>
      <c r="L1957" s="359"/>
      <c r="M1957" s="359"/>
      <c r="N1957" s="359"/>
      <c r="O1957" s="359"/>
      <c r="P1957" s="359"/>
      <c r="Q1957" s="359"/>
      <c r="R1957" s="359"/>
      <c r="S1957" s="359"/>
      <c r="T1957" s="359"/>
      <c r="U1957" s="359"/>
      <c r="V1957" s="359"/>
      <c r="W1957" s="359"/>
      <c r="X1957" s="359"/>
      <c r="Y1957" s="359"/>
      <c r="Z1957" s="359"/>
      <c r="AA1957" s="359"/>
    </row>
    <row r="1958" spans="1:27">
      <c r="A1958" s="359"/>
      <c r="B1958" s="359"/>
      <c r="C1958" s="359"/>
      <c r="D1958" s="359"/>
      <c r="E1958" s="359"/>
      <c r="F1958" s="359"/>
      <c r="G1958" s="359"/>
      <c r="H1958" s="359"/>
      <c r="I1958" s="359"/>
      <c r="J1958" s="359"/>
      <c r="K1958" s="359"/>
      <c r="L1958" s="359"/>
      <c r="M1958" s="359"/>
      <c r="N1958" s="359"/>
      <c r="O1958" s="359"/>
      <c r="P1958" s="359"/>
      <c r="Q1958" s="359"/>
      <c r="R1958" s="359"/>
      <c r="S1958" s="359"/>
      <c r="T1958" s="359"/>
      <c r="U1958" s="359"/>
      <c r="V1958" s="359"/>
      <c r="W1958" s="359"/>
      <c r="X1958" s="359"/>
      <c r="Y1958" s="359"/>
      <c r="Z1958" s="359"/>
      <c r="AA1958" s="359"/>
    </row>
    <row r="1959" spans="1:27">
      <c r="A1959" s="359"/>
      <c r="B1959" s="359"/>
      <c r="C1959" s="359"/>
      <c r="D1959" s="359"/>
      <c r="E1959" s="359"/>
      <c r="F1959" s="359"/>
      <c r="G1959" s="359"/>
      <c r="H1959" s="359"/>
      <c r="I1959" s="359"/>
      <c r="J1959" s="359"/>
      <c r="K1959" s="359"/>
      <c r="L1959" s="359"/>
      <c r="M1959" s="359"/>
      <c r="N1959" s="359"/>
      <c r="O1959" s="359"/>
      <c r="P1959" s="359"/>
      <c r="Q1959" s="359"/>
      <c r="R1959" s="359"/>
      <c r="S1959" s="359"/>
      <c r="T1959" s="359"/>
      <c r="U1959" s="359"/>
      <c r="V1959" s="359"/>
      <c r="W1959" s="359"/>
      <c r="X1959" s="359"/>
      <c r="Y1959" s="359"/>
      <c r="Z1959" s="359"/>
      <c r="AA1959" s="359"/>
    </row>
    <row r="1960" spans="1:27">
      <c r="A1960" s="359"/>
      <c r="B1960" s="359"/>
      <c r="C1960" s="359"/>
      <c r="D1960" s="359"/>
      <c r="E1960" s="359"/>
      <c r="F1960" s="359"/>
      <c r="G1960" s="359"/>
      <c r="H1960" s="359"/>
      <c r="I1960" s="359"/>
      <c r="J1960" s="359"/>
      <c r="K1960" s="359"/>
      <c r="L1960" s="359"/>
      <c r="M1960" s="359"/>
      <c r="N1960" s="359"/>
      <c r="O1960" s="359"/>
      <c r="P1960" s="359"/>
      <c r="Q1960" s="359"/>
      <c r="R1960" s="359"/>
      <c r="S1960" s="359"/>
      <c r="T1960" s="359"/>
      <c r="U1960" s="359"/>
      <c r="V1960" s="359"/>
      <c r="W1960" s="359"/>
      <c r="X1960" s="359"/>
      <c r="Y1960" s="359"/>
      <c r="Z1960" s="359"/>
      <c r="AA1960" s="359"/>
    </row>
    <row r="1961" spans="1:27">
      <c r="A1961" s="359"/>
      <c r="B1961" s="359"/>
      <c r="C1961" s="359"/>
      <c r="D1961" s="359"/>
      <c r="E1961" s="359"/>
      <c r="F1961" s="359"/>
      <c r="G1961" s="359"/>
      <c r="H1961" s="359"/>
      <c r="I1961" s="359"/>
      <c r="J1961" s="359"/>
      <c r="K1961" s="359"/>
      <c r="L1961" s="359"/>
      <c r="M1961" s="359"/>
      <c r="N1961" s="359"/>
      <c r="O1961" s="359"/>
      <c r="P1961" s="359"/>
      <c r="Q1961" s="359"/>
      <c r="R1961" s="359"/>
      <c r="S1961" s="359"/>
      <c r="T1961" s="359"/>
      <c r="U1961" s="359"/>
      <c r="V1961" s="359"/>
      <c r="W1961" s="359"/>
      <c r="X1961" s="359"/>
      <c r="Y1961" s="359"/>
      <c r="Z1961" s="359"/>
      <c r="AA1961" s="359"/>
    </row>
    <row r="1962" spans="1:27">
      <c r="A1962" s="359"/>
      <c r="B1962" s="359"/>
      <c r="C1962" s="359"/>
      <c r="D1962" s="359"/>
      <c r="E1962" s="359"/>
      <c r="F1962" s="359"/>
      <c r="G1962" s="359"/>
      <c r="H1962" s="359"/>
      <c r="I1962" s="359"/>
      <c r="J1962" s="359"/>
      <c r="K1962" s="359"/>
      <c r="L1962" s="359"/>
      <c r="M1962" s="359"/>
      <c r="N1962" s="359"/>
      <c r="O1962" s="359"/>
      <c r="P1962" s="359"/>
      <c r="Q1962" s="359"/>
      <c r="R1962" s="359"/>
      <c r="S1962" s="359"/>
      <c r="T1962" s="359"/>
      <c r="U1962" s="359"/>
      <c r="V1962" s="359"/>
      <c r="W1962" s="359"/>
      <c r="X1962" s="359"/>
      <c r="Y1962" s="359"/>
      <c r="Z1962" s="359"/>
      <c r="AA1962" s="359"/>
    </row>
    <row r="1963" spans="1:27">
      <c r="A1963" s="359"/>
      <c r="B1963" s="359"/>
      <c r="C1963" s="359"/>
      <c r="D1963" s="359"/>
      <c r="E1963" s="359"/>
      <c r="F1963" s="359"/>
      <c r="G1963" s="359"/>
      <c r="H1963" s="359"/>
      <c r="I1963" s="359"/>
      <c r="J1963" s="359"/>
      <c r="K1963" s="359"/>
      <c r="L1963" s="359"/>
      <c r="M1963" s="359"/>
      <c r="N1963" s="359"/>
      <c r="O1963" s="359"/>
      <c r="P1963" s="359"/>
      <c r="Q1963" s="359"/>
      <c r="R1963" s="359"/>
      <c r="S1963" s="359"/>
      <c r="T1963" s="359"/>
      <c r="U1963" s="359"/>
      <c r="V1963" s="359"/>
      <c r="W1963" s="359"/>
      <c r="X1963" s="359"/>
      <c r="Y1963" s="359"/>
      <c r="Z1963" s="359"/>
      <c r="AA1963" s="359"/>
    </row>
    <row r="1964" spans="1:27">
      <c r="A1964" s="359"/>
      <c r="B1964" s="359"/>
      <c r="C1964" s="359"/>
      <c r="D1964" s="359"/>
      <c r="E1964" s="359"/>
      <c r="F1964" s="359"/>
      <c r="G1964" s="359"/>
      <c r="H1964" s="359"/>
      <c r="I1964" s="359"/>
      <c r="J1964" s="359"/>
      <c r="K1964" s="359"/>
      <c r="L1964" s="359"/>
      <c r="M1964" s="359"/>
      <c r="N1964" s="359"/>
      <c r="O1964" s="359"/>
      <c r="P1964" s="359"/>
      <c r="Q1964" s="359"/>
      <c r="R1964" s="359"/>
      <c r="S1964" s="359"/>
      <c r="T1964" s="359"/>
      <c r="U1964" s="359"/>
      <c r="V1964" s="359"/>
      <c r="W1964" s="359"/>
      <c r="X1964" s="359"/>
      <c r="Y1964" s="359"/>
      <c r="Z1964" s="359"/>
      <c r="AA1964" s="359"/>
    </row>
    <row r="1965" spans="1:27">
      <c r="A1965" s="359"/>
      <c r="B1965" s="359"/>
      <c r="C1965" s="359"/>
      <c r="D1965" s="359"/>
      <c r="E1965" s="359"/>
      <c r="F1965" s="359"/>
      <c r="G1965" s="359"/>
      <c r="H1965" s="359"/>
      <c r="I1965" s="359"/>
      <c r="J1965" s="359"/>
      <c r="K1965" s="359"/>
      <c r="L1965" s="359"/>
      <c r="M1965" s="359"/>
      <c r="N1965" s="359"/>
      <c r="O1965" s="359"/>
      <c r="P1965" s="359"/>
      <c r="Q1965" s="359"/>
      <c r="R1965" s="359"/>
      <c r="S1965" s="359"/>
      <c r="T1965" s="359"/>
      <c r="U1965" s="359"/>
      <c r="V1965" s="359"/>
      <c r="W1965" s="359"/>
      <c r="X1965" s="359"/>
      <c r="Y1965" s="359"/>
      <c r="Z1965" s="359"/>
      <c r="AA1965" s="359"/>
    </row>
    <row r="1966" spans="1:27">
      <c r="A1966" s="359"/>
      <c r="B1966" s="359"/>
      <c r="C1966" s="359"/>
      <c r="D1966" s="359"/>
      <c r="E1966" s="359"/>
      <c r="F1966" s="359"/>
      <c r="G1966" s="359"/>
      <c r="H1966" s="359"/>
      <c r="I1966" s="359"/>
      <c r="J1966" s="359"/>
      <c r="K1966" s="359"/>
      <c r="L1966" s="359"/>
      <c r="M1966" s="359"/>
      <c r="N1966" s="359"/>
      <c r="O1966" s="359"/>
      <c r="P1966" s="359"/>
      <c r="Q1966" s="359"/>
      <c r="R1966" s="359"/>
      <c r="S1966" s="359"/>
      <c r="T1966" s="359"/>
      <c r="U1966" s="359"/>
      <c r="V1966" s="359"/>
      <c r="W1966" s="359"/>
      <c r="X1966" s="359"/>
      <c r="Y1966" s="359"/>
      <c r="Z1966" s="359"/>
      <c r="AA1966" s="359"/>
    </row>
    <row r="1967" spans="1:27">
      <c r="A1967" s="359"/>
      <c r="B1967" s="359"/>
      <c r="C1967" s="359"/>
      <c r="D1967" s="359"/>
      <c r="E1967" s="359"/>
      <c r="F1967" s="359"/>
      <c r="G1967" s="359"/>
      <c r="H1967" s="359"/>
      <c r="I1967" s="359"/>
      <c r="J1967" s="359"/>
      <c r="K1967" s="359"/>
      <c r="L1967" s="359"/>
      <c r="M1967" s="359"/>
      <c r="N1967" s="359"/>
      <c r="O1967" s="359"/>
      <c r="P1967" s="359"/>
      <c r="Q1967" s="359"/>
      <c r="R1967" s="359"/>
      <c r="S1967" s="359"/>
      <c r="T1967" s="359"/>
      <c r="U1967" s="359"/>
      <c r="V1967" s="359"/>
      <c r="W1967" s="359"/>
      <c r="X1967" s="359"/>
      <c r="Y1967" s="359"/>
      <c r="Z1967" s="359"/>
      <c r="AA1967" s="359"/>
    </row>
    <row r="1968" spans="1:27">
      <c r="A1968" s="359"/>
      <c r="B1968" s="359"/>
      <c r="C1968" s="359"/>
      <c r="D1968" s="359"/>
      <c r="E1968" s="359"/>
      <c r="F1968" s="359"/>
      <c r="G1968" s="359"/>
      <c r="H1968" s="359"/>
      <c r="I1968" s="359"/>
      <c r="J1968" s="359"/>
      <c r="K1968" s="359"/>
      <c r="L1968" s="359"/>
      <c r="M1968" s="359"/>
      <c r="N1968" s="359"/>
      <c r="O1968" s="359"/>
      <c r="P1968" s="359"/>
      <c r="Q1968" s="359"/>
      <c r="R1968" s="359"/>
      <c r="S1968" s="359"/>
      <c r="T1968" s="359"/>
      <c r="U1968" s="359"/>
      <c r="V1968" s="359"/>
      <c r="W1968" s="359"/>
      <c r="X1968" s="359"/>
      <c r="Y1968" s="359"/>
      <c r="Z1968" s="359"/>
      <c r="AA1968" s="359"/>
    </row>
    <row r="1969" spans="1:27">
      <c r="A1969" s="359"/>
      <c r="B1969" s="359"/>
      <c r="C1969" s="359"/>
      <c r="D1969" s="359"/>
      <c r="E1969" s="359"/>
      <c r="F1969" s="359"/>
      <c r="G1969" s="359"/>
      <c r="H1969" s="359"/>
      <c r="I1969" s="359"/>
      <c r="J1969" s="359"/>
      <c r="K1969" s="359"/>
      <c r="L1969" s="359"/>
      <c r="M1969" s="359"/>
      <c r="N1969" s="359"/>
      <c r="O1969" s="359"/>
      <c r="P1969" s="359"/>
      <c r="Q1969" s="359"/>
      <c r="R1969" s="359"/>
      <c r="S1969" s="359"/>
      <c r="T1969" s="359"/>
      <c r="U1969" s="359"/>
      <c r="V1969" s="359"/>
      <c r="W1969" s="359"/>
      <c r="X1969" s="359"/>
      <c r="Y1969" s="359"/>
      <c r="Z1969" s="359"/>
      <c r="AA1969" s="359"/>
    </row>
    <row r="1970" spans="1:27">
      <c r="A1970" s="359"/>
      <c r="B1970" s="359"/>
      <c r="C1970" s="359"/>
      <c r="D1970" s="359"/>
      <c r="E1970" s="359"/>
      <c r="F1970" s="359"/>
      <c r="G1970" s="359"/>
      <c r="H1970" s="359"/>
      <c r="I1970" s="359"/>
      <c r="J1970" s="359"/>
      <c r="K1970" s="359"/>
      <c r="L1970" s="359"/>
      <c r="M1970" s="359"/>
      <c r="N1970" s="359"/>
      <c r="O1970" s="359"/>
      <c r="P1970" s="359"/>
      <c r="Q1970" s="359"/>
      <c r="R1970" s="359"/>
      <c r="S1970" s="359"/>
      <c r="T1970" s="359"/>
      <c r="U1970" s="359"/>
      <c r="V1970" s="359"/>
      <c r="W1970" s="359"/>
      <c r="X1970" s="359"/>
      <c r="Y1970" s="359"/>
      <c r="Z1970" s="359"/>
      <c r="AA1970" s="359"/>
    </row>
    <row r="1971" spans="1:27">
      <c r="A1971" s="359"/>
      <c r="B1971" s="359"/>
      <c r="C1971" s="359"/>
      <c r="D1971" s="359"/>
      <c r="E1971" s="359"/>
      <c r="F1971" s="359"/>
      <c r="G1971" s="359"/>
      <c r="H1971" s="359"/>
      <c r="I1971" s="359"/>
      <c r="J1971" s="359"/>
      <c r="K1971" s="359"/>
      <c r="L1971" s="359"/>
      <c r="M1971" s="359"/>
      <c r="N1971" s="359"/>
      <c r="O1971" s="359"/>
      <c r="P1971" s="359"/>
      <c r="Q1971" s="359"/>
      <c r="R1971" s="359"/>
      <c r="S1971" s="359"/>
      <c r="T1971" s="359"/>
      <c r="U1971" s="359"/>
      <c r="V1971" s="359"/>
      <c r="W1971" s="359"/>
      <c r="X1971" s="359"/>
      <c r="Y1971" s="359"/>
      <c r="Z1971" s="359"/>
      <c r="AA1971" s="359"/>
    </row>
    <row r="1972" spans="1:27">
      <c r="A1972" s="359"/>
      <c r="B1972" s="359"/>
      <c r="C1972" s="359"/>
      <c r="D1972" s="359"/>
      <c r="E1972" s="359"/>
      <c r="F1972" s="359"/>
      <c r="G1972" s="359"/>
      <c r="H1972" s="359"/>
      <c r="I1972" s="359"/>
      <c r="J1972" s="359"/>
      <c r="K1972" s="359"/>
      <c r="L1972" s="359"/>
      <c r="M1972" s="359"/>
      <c r="N1972" s="359"/>
      <c r="O1972" s="359"/>
      <c r="P1972" s="359"/>
      <c r="Q1972" s="359"/>
      <c r="R1972" s="359"/>
      <c r="S1972" s="359"/>
      <c r="T1972" s="359"/>
      <c r="U1972" s="359"/>
      <c r="V1972" s="359"/>
      <c r="W1972" s="359"/>
      <c r="X1972" s="359"/>
      <c r="Y1972" s="359"/>
      <c r="Z1972" s="359"/>
      <c r="AA1972" s="359"/>
    </row>
    <row r="1973" spans="1:27">
      <c r="A1973" s="359"/>
      <c r="B1973" s="359"/>
      <c r="C1973" s="359"/>
      <c r="D1973" s="359"/>
      <c r="E1973" s="359"/>
      <c r="F1973" s="359"/>
      <c r="G1973" s="359"/>
      <c r="H1973" s="359"/>
      <c r="I1973" s="359"/>
      <c r="J1973" s="359"/>
      <c r="K1973" s="359"/>
      <c r="L1973" s="359"/>
      <c r="M1973" s="359"/>
      <c r="N1973" s="359"/>
      <c r="O1973" s="359"/>
      <c r="P1973" s="359"/>
      <c r="Q1973" s="359"/>
      <c r="R1973" s="359"/>
      <c r="S1973" s="359"/>
      <c r="T1973" s="359"/>
      <c r="U1973" s="359"/>
      <c r="V1973" s="359"/>
      <c r="W1973" s="359"/>
      <c r="X1973" s="359"/>
      <c r="Y1973" s="359"/>
      <c r="Z1973" s="359"/>
      <c r="AA1973" s="359"/>
    </row>
    <row r="1974" spans="1:27">
      <c r="A1974" s="359"/>
      <c r="B1974" s="359"/>
      <c r="C1974" s="359"/>
      <c r="D1974" s="359"/>
      <c r="E1974" s="359"/>
      <c r="F1974" s="359"/>
      <c r="G1974" s="359"/>
      <c r="H1974" s="359"/>
      <c r="I1974" s="359"/>
      <c r="J1974" s="359"/>
      <c r="K1974" s="359"/>
      <c r="L1974" s="359"/>
      <c r="M1974" s="359"/>
      <c r="N1974" s="359"/>
      <c r="O1974" s="359"/>
      <c r="P1974" s="359"/>
      <c r="Q1974" s="359"/>
      <c r="R1974" s="359"/>
      <c r="S1974" s="359"/>
      <c r="T1974" s="359"/>
      <c r="U1974" s="359"/>
      <c r="V1974" s="359"/>
      <c r="W1974" s="359"/>
      <c r="X1974" s="359"/>
      <c r="Y1974" s="359"/>
      <c r="Z1974" s="359"/>
      <c r="AA1974" s="359"/>
    </row>
    <row r="1975" spans="1:27">
      <c r="A1975" s="359"/>
      <c r="B1975" s="359"/>
      <c r="C1975" s="359"/>
      <c r="D1975" s="359"/>
      <c r="E1975" s="359"/>
      <c r="F1975" s="359"/>
      <c r="G1975" s="359"/>
      <c r="H1975" s="359"/>
      <c r="I1975" s="359"/>
      <c r="J1975" s="359"/>
      <c r="K1975" s="359"/>
      <c r="L1975" s="359"/>
      <c r="M1975" s="359"/>
      <c r="N1975" s="359"/>
      <c r="O1975" s="359"/>
      <c r="P1975" s="359"/>
      <c r="Q1975" s="359"/>
      <c r="R1975" s="359"/>
      <c r="S1975" s="359"/>
      <c r="T1975" s="359"/>
      <c r="U1975" s="359"/>
      <c r="V1975" s="359"/>
      <c r="W1975" s="359"/>
      <c r="X1975" s="359"/>
      <c r="Y1975" s="359"/>
      <c r="Z1975" s="359"/>
      <c r="AA1975" s="359"/>
    </row>
    <row r="1976" spans="1:27">
      <c r="A1976" s="359"/>
      <c r="B1976" s="359"/>
      <c r="C1976" s="359"/>
      <c r="D1976" s="359"/>
      <c r="E1976" s="359"/>
      <c r="F1976" s="359"/>
      <c r="G1976" s="359"/>
      <c r="H1976" s="359"/>
      <c r="I1976" s="359"/>
      <c r="J1976" s="359"/>
      <c r="K1976" s="359"/>
      <c r="L1976" s="359"/>
      <c r="M1976" s="359"/>
      <c r="N1976" s="359"/>
      <c r="O1976" s="359"/>
      <c r="P1976" s="359"/>
      <c r="Q1976" s="359"/>
      <c r="R1976" s="359"/>
      <c r="S1976" s="359"/>
      <c r="T1976" s="359"/>
      <c r="U1976" s="359"/>
      <c r="V1976" s="359"/>
      <c r="W1976" s="359"/>
      <c r="X1976" s="359"/>
      <c r="Y1976" s="359"/>
      <c r="Z1976" s="359"/>
      <c r="AA1976" s="359"/>
    </row>
    <row r="1977" spans="1:27">
      <c r="A1977" s="359"/>
      <c r="B1977" s="359"/>
      <c r="C1977" s="359"/>
      <c r="D1977" s="359"/>
      <c r="E1977" s="359"/>
      <c r="F1977" s="359"/>
      <c r="G1977" s="359"/>
      <c r="H1977" s="359"/>
      <c r="I1977" s="359"/>
      <c r="J1977" s="359"/>
      <c r="K1977" s="359"/>
      <c r="L1977" s="359"/>
      <c r="M1977" s="359"/>
      <c r="N1977" s="359"/>
      <c r="O1977" s="359"/>
      <c r="P1977" s="359"/>
      <c r="Q1977" s="359"/>
      <c r="R1977" s="359"/>
      <c r="S1977" s="359"/>
      <c r="T1977" s="359"/>
      <c r="U1977" s="359"/>
      <c r="V1977" s="359"/>
      <c r="W1977" s="359"/>
      <c r="X1977" s="359"/>
      <c r="Y1977" s="359"/>
      <c r="Z1977" s="359"/>
      <c r="AA1977" s="359"/>
    </row>
    <row r="1978" spans="1:27">
      <c r="A1978" s="359"/>
      <c r="B1978" s="359"/>
      <c r="C1978" s="359"/>
      <c r="D1978" s="359"/>
      <c r="E1978" s="359"/>
      <c r="F1978" s="359"/>
      <c r="G1978" s="359"/>
      <c r="H1978" s="359"/>
      <c r="I1978" s="359"/>
      <c r="J1978" s="359"/>
      <c r="K1978" s="359"/>
      <c r="L1978" s="359"/>
      <c r="M1978" s="359"/>
      <c r="N1978" s="359"/>
      <c r="O1978" s="359"/>
      <c r="P1978" s="359"/>
      <c r="Q1978" s="359"/>
      <c r="R1978" s="359"/>
      <c r="S1978" s="359"/>
      <c r="T1978" s="359"/>
      <c r="U1978" s="359"/>
      <c r="V1978" s="359"/>
      <c r="W1978" s="359"/>
      <c r="X1978" s="359"/>
      <c r="Y1978" s="359"/>
      <c r="Z1978" s="359"/>
      <c r="AA1978" s="359"/>
    </row>
    <row r="1979" spans="1:27">
      <c r="A1979" s="359"/>
      <c r="B1979" s="359"/>
      <c r="C1979" s="359"/>
      <c r="D1979" s="359"/>
      <c r="E1979" s="359"/>
      <c r="F1979" s="359"/>
      <c r="G1979" s="359"/>
      <c r="H1979" s="359"/>
      <c r="I1979" s="359"/>
      <c r="J1979" s="359"/>
      <c r="K1979" s="359"/>
      <c r="L1979" s="359"/>
      <c r="M1979" s="359"/>
      <c r="N1979" s="359"/>
      <c r="O1979" s="359"/>
      <c r="P1979" s="359"/>
      <c r="Q1979" s="359"/>
      <c r="R1979" s="359"/>
      <c r="S1979" s="359"/>
      <c r="T1979" s="359"/>
      <c r="U1979" s="359"/>
      <c r="V1979" s="359"/>
      <c r="W1979" s="359"/>
      <c r="X1979" s="359"/>
      <c r="Y1979" s="359"/>
      <c r="Z1979" s="359"/>
      <c r="AA1979" s="359"/>
    </row>
    <row r="1980" spans="1:27">
      <c r="A1980" s="359"/>
      <c r="B1980" s="359"/>
      <c r="C1980" s="359"/>
      <c r="D1980" s="359"/>
      <c r="E1980" s="359"/>
      <c r="F1980" s="359"/>
      <c r="G1980" s="359"/>
      <c r="H1980" s="359"/>
      <c r="I1980" s="359"/>
      <c r="J1980" s="359"/>
      <c r="K1980" s="359"/>
      <c r="L1980" s="359"/>
      <c r="M1980" s="359"/>
      <c r="N1980" s="359"/>
      <c r="O1980" s="359"/>
      <c r="P1980" s="359"/>
      <c r="Q1980" s="359"/>
      <c r="R1980" s="359"/>
      <c r="S1980" s="359"/>
      <c r="T1980" s="359"/>
      <c r="U1980" s="359"/>
      <c r="V1980" s="359"/>
      <c r="W1980" s="359"/>
      <c r="X1980" s="359"/>
      <c r="Y1980" s="359"/>
      <c r="Z1980" s="359"/>
      <c r="AA1980" s="359"/>
    </row>
    <row r="1981" spans="1:27">
      <c r="A1981" s="359"/>
      <c r="B1981" s="359"/>
      <c r="C1981" s="359"/>
      <c r="D1981" s="359"/>
      <c r="E1981" s="359"/>
      <c r="F1981" s="359"/>
      <c r="G1981" s="359"/>
      <c r="H1981" s="359"/>
      <c r="I1981" s="359"/>
      <c r="J1981" s="359"/>
      <c r="K1981" s="359"/>
      <c r="L1981" s="359"/>
      <c r="M1981" s="359"/>
      <c r="N1981" s="359"/>
      <c r="O1981" s="359"/>
      <c r="P1981" s="359"/>
      <c r="Q1981" s="359"/>
      <c r="R1981" s="359"/>
      <c r="S1981" s="359"/>
      <c r="T1981" s="359"/>
      <c r="U1981" s="359"/>
      <c r="V1981" s="359"/>
      <c r="W1981" s="359"/>
      <c r="X1981" s="359"/>
      <c r="Y1981" s="359"/>
      <c r="Z1981" s="359"/>
      <c r="AA1981" s="359"/>
    </row>
    <row r="1982" spans="1:27">
      <c r="A1982" s="359"/>
      <c r="B1982" s="359"/>
      <c r="C1982" s="359"/>
      <c r="D1982" s="359"/>
      <c r="E1982" s="359"/>
      <c r="F1982" s="359"/>
      <c r="G1982" s="359"/>
      <c r="H1982" s="359"/>
      <c r="I1982" s="359"/>
      <c r="J1982" s="359"/>
      <c r="K1982" s="359"/>
      <c r="L1982" s="359"/>
      <c r="M1982" s="359"/>
      <c r="N1982" s="359"/>
      <c r="O1982" s="359"/>
      <c r="P1982" s="359"/>
      <c r="Q1982" s="359"/>
      <c r="R1982" s="359"/>
      <c r="S1982" s="359"/>
      <c r="T1982" s="359"/>
      <c r="U1982" s="359"/>
      <c r="V1982" s="359"/>
      <c r="W1982" s="359"/>
      <c r="X1982" s="359"/>
      <c r="Y1982" s="359"/>
      <c r="Z1982" s="359"/>
      <c r="AA1982" s="359"/>
    </row>
    <row r="1983" spans="1:27">
      <c r="A1983" s="359"/>
      <c r="B1983" s="359"/>
      <c r="C1983" s="359"/>
      <c r="D1983" s="359"/>
      <c r="E1983" s="359"/>
      <c r="F1983" s="359"/>
      <c r="G1983" s="359"/>
      <c r="H1983" s="359"/>
      <c r="I1983" s="359"/>
      <c r="J1983" s="359"/>
      <c r="K1983" s="359"/>
      <c r="L1983" s="359"/>
      <c r="M1983" s="359"/>
      <c r="N1983" s="359"/>
      <c r="O1983" s="359"/>
      <c r="P1983" s="359"/>
      <c r="Q1983" s="359"/>
      <c r="R1983" s="359"/>
      <c r="S1983" s="359"/>
      <c r="T1983" s="359"/>
      <c r="U1983" s="359"/>
      <c r="V1983" s="359"/>
      <c r="W1983" s="359"/>
      <c r="X1983" s="359"/>
      <c r="Y1983" s="359"/>
      <c r="Z1983" s="359"/>
      <c r="AA1983" s="359"/>
    </row>
    <row r="1984" spans="1:27">
      <c r="A1984" s="359"/>
      <c r="B1984" s="359"/>
      <c r="C1984" s="359"/>
      <c r="D1984" s="359"/>
      <c r="E1984" s="359"/>
      <c r="F1984" s="359"/>
      <c r="G1984" s="359"/>
      <c r="H1984" s="359"/>
      <c r="I1984" s="359"/>
      <c r="J1984" s="359"/>
      <c r="K1984" s="359"/>
      <c r="L1984" s="359"/>
      <c r="M1984" s="359"/>
      <c r="N1984" s="359"/>
      <c r="O1984" s="359"/>
      <c r="P1984" s="359"/>
      <c r="Q1984" s="359"/>
      <c r="R1984" s="359"/>
      <c r="S1984" s="359"/>
      <c r="T1984" s="359"/>
      <c r="U1984" s="359"/>
      <c r="V1984" s="359"/>
      <c r="W1984" s="359"/>
      <c r="X1984" s="359"/>
      <c r="Y1984" s="359"/>
      <c r="Z1984" s="359"/>
      <c r="AA1984" s="359"/>
    </row>
    <row r="1985" spans="1:27">
      <c r="A1985" s="359"/>
      <c r="B1985" s="359"/>
      <c r="C1985" s="359"/>
      <c r="D1985" s="359"/>
      <c r="E1985" s="359"/>
      <c r="F1985" s="359"/>
      <c r="G1985" s="359"/>
      <c r="H1985" s="359"/>
      <c r="I1985" s="359"/>
      <c r="J1985" s="359"/>
      <c r="K1985" s="359"/>
      <c r="L1985" s="359"/>
      <c r="M1985" s="359"/>
      <c r="N1985" s="359"/>
      <c r="O1985" s="359"/>
      <c r="P1985" s="359"/>
      <c r="Q1985" s="359"/>
      <c r="R1985" s="359"/>
      <c r="S1985" s="359"/>
      <c r="T1985" s="359"/>
      <c r="U1985" s="359"/>
      <c r="V1985" s="359"/>
      <c r="W1985" s="359"/>
      <c r="X1985" s="359"/>
      <c r="Y1985" s="359"/>
      <c r="Z1985" s="359"/>
      <c r="AA1985" s="359"/>
    </row>
    <row r="1986" spans="1:27">
      <c r="A1986" s="359"/>
      <c r="B1986" s="359"/>
      <c r="C1986" s="359"/>
      <c r="D1986" s="359"/>
      <c r="E1986" s="359"/>
      <c r="F1986" s="359"/>
      <c r="G1986" s="359"/>
      <c r="H1986" s="359"/>
      <c r="I1986" s="359"/>
      <c r="J1986" s="359"/>
      <c r="K1986" s="359"/>
      <c r="L1986" s="359"/>
      <c r="M1986" s="359"/>
      <c r="N1986" s="359"/>
      <c r="O1986" s="359"/>
      <c r="P1986" s="359"/>
      <c r="Q1986" s="359"/>
      <c r="R1986" s="359"/>
      <c r="S1986" s="359"/>
      <c r="T1986" s="359"/>
      <c r="U1986" s="359"/>
      <c r="V1986" s="359"/>
      <c r="W1986" s="359"/>
      <c r="X1986" s="359"/>
      <c r="Y1986" s="359"/>
      <c r="Z1986" s="359"/>
      <c r="AA1986" s="359"/>
    </row>
    <row r="1987" spans="1:27">
      <c r="A1987" s="359"/>
      <c r="B1987" s="359"/>
      <c r="C1987" s="359"/>
      <c r="D1987" s="359"/>
      <c r="E1987" s="359"/>
      <c r="F1987" s="359"/>
      <c r="G1987" s="359"/>
      <c r="H1987" s="359"/>
      <c r="I1987" s="359"/>
      <c r="J1987" s="359"/>
      <c r="K1987" s="359"/>
      <c r="L1987" s="359"/>
      <c r="M1987" s="359"/>
      <c r="N1987" s="359"/>
      <c r="O1987" s="359"/>
      <c r="P1987" s="359"/>
      <c r="Q1987" s="359"/>
      <c r="R1987" s="359"/>
      <c r="S1987" s="359"/>
      <c r="T1987" s="359"/>
      <c r="U1987" s="359"/>
      <c r="V1987" s="359"/>
      <c r="W1987" s="359"/>
      <c r="X1987" s="359"/>
      <c r="Y1987" s="359"/>
      <c r="Z1987" s="359"/>
      <c r="AA1987" s="359"/>
    </row>
    <row r="1988" spans="1:27">
      <c r="A1988" s="359"/>
      <c r="B1988" s="359"/>
      <c r="C1988" s="359"/>
      <c r="D1988" s="359"/>
      <c r="E1988" s="359"/>
      <c r="F1988" s="359"/>
      <c r="G1988" s="359"/>
      <c r="H1988" s="359"/>
      <c r="I1988" s="359"/>
      <c r="J1988" s="359"/>
      <c r="K1988" s="359"/>
      <c r="L1988" s="359"/>
      <c r="M1988" s="359"/>
      <c r="N1988" s="359"/>
      <c r="O1988" s="359"/>
      <c r="P1988" s="359"/>
      <c r="Q1988" s="359"/>
      <c r="R1988" s="359"/>
      <c r="S1988" s="359"/>
      <c r="T1988" s="359"/>
      <c r="U1988" s="359"/>
      <c r="V1988" s="359"/>
      <c r="W1988" s="359"/>
      <c r="X1988" s="359"/>
      <c r="Y1988" s="359"/>
      <c r="Z1988" s="359"/>
      <c r="AA1988" s="359"/>
    </row>
    <row r="1989" spans="1:27">
      <c r="A1989" s="359"/>
      <c r="B1989" s="359"/>
      <c r="C1989" s="359"/>
      <c r="D1989" s="359"/>
      <c r="E1989" s="359"/>
      <c r="F1989" s="359"/>
      <c r="G1989" s="359"/>
      <c r="H1989" s="359"/>
      <c r="I1989" s="359"/>
      <c r="J1989" s="359"/>
      <c r="K1989" s="359"/>
      <c r="L1989" s="359"/>
      <c r="M1989" s="359"/>
      <c r="N1989" s="359"/>
      <c r="O1989" s="359"/>
      <c r="P1989" s="359"/>
      <c r="Q1989" s="359"/>
      <c r="R1989" s="359"/>
      <c r="S1989" s="359"/>
      <c r="T1989" s="359"/>
      <c r="U1989" s="359"/>
      <c r="V1989" s="359"/>
      <c r="W1989" s="359"/>
      <c r="X1989" s="359"/>
      <c r="Y1989" s="359"/>
      <c r="Z1989" s="359"/>
      <c r="AA1989" s="359"/>
    </row>
    <row r="1990" spans="1:27">
      <c r="A1990" s="359"/>
      <c r="B1990" s="359"/>
      <c r="C1990" s="359"/>
      <c r="D1990" s="359"/>
      <c r="E1990" s="359"/>
      <c r="F1990" s="359"/>
      <c r="G1990" s="359"/>
      <c r="H1990" s="359"/>
      <c r="I1990" s="359"/>
      <c r="J1990" s="359"/>
      <c r="K1990" s="359"/>
      <c r="L1990" s="359"/>
      <c r="M1990" s="359"/>
      <c r="N1990" s="359"/>
      <c r="O1990" s="359"/>
      <c r="P1990" s="359"/>
      <c r="Q1990" s="359"/>
      <c r="R1990" s="359"/>
      <c r="S1990" s="359"/>
      <c r="T1990" s="359"/>
      <c r="U1990" s="359"/>
      <c r="V1990" s="359"/>
      <c r="W1990" s="359"/>
      <c r="X1990" s="359"/>
      <c r="Y1990" s="359"/>
      <c r="Z1990" s="359"/>
      <c r="AA1990" s="359"/>
    </row>
    <row r="1991" spans="1:27">
      <c r="A1991" s="359"/>
      <c r="B1991" s="359"/>
      <c r="C1991" s="359"/>
      <c r="D1991" s="359"/>
      <c r="E1991" s="359"/>
      <c r="F1991" s="359"/>
      <c r="G1991" s="359"/>
      <c r="H1991" s="359"/>
      <c r="I1991" s="359"/>
      <c r="J1991" s="359"/>
      <c r="K1991" s="359"/>
      <c r="L1991" s="359"/>
      <c r="M1991" s="359"/>
      <c r="N1991" s="359"/>
      <c r="O1991" s="359"/>
      <c r="P1991" s="359"/>
      <c r="Q1991" s="359"/>
      <c r="R1991" s="359"/>
      <c r="S1991" s="359"/>
      <c r="T1991" s="359"/>
      <c r="U1991" s="359"/>
      <c r="V1991" s="359"/>
      <c r="W1991" s="359"/>
      <c r="X1991" s="359"/>
      <c r="Y1991" s="359"/>
      <c r="Z1991" s="359"/>
      <c r="AA1991" s="359"/>
    </row>
    <row r="1992" spans="1:27">
      <c r="A1992" s="359"/>
      <c r="B1992" s="359"/>
      <c r="C1992" s="359"/>
      <c r="D1992" s="359"/>
      <c r="E1992" s="359"/>
      <c r="F1992" s="359"/>
      <c r="G1992" s="359"/>
      <c r="H1992" s="359"/>
      <c r="I1992" s="359"/>
      <c r="J1992" s="359"/>
      <c r="K1992" s="359"/>
      <c r="L1992" s="359"/>
      <c r="M1992" s="359"/>
      <c r="N1992" s="359"/>
      <c r="O1992" s="359"/>
      <c r="P1992" s="359"/>
      <c r="Q1992" s="359"/>
      <c r="R1992" s="359"/>
      <c r="S1992" s="359"/>
      <c r="T1992" s="359"/>
      <c r="U1992" s="359"/>
      <c r="V1992" s="359"/>
      <c r="W1992" s="359"/>
      <c r="X1992" s="359"/>
      <c r="Y1992" s="359"/>
      <c r="Z1992" s="359"/>
      <c r="AA1992" s="359"/>
    </row>
    <row r="1993" spans="1:27">
      <c r="A1993" s="359"/>
      <c r="B1993" s="359"/>
      <c r="C1993" s="359"/>
      <c r="D1993" s="359"/>
      <c r="E1993" s="359"/>
      <c r="F1993" s="359"/>
      <c r="G1993" s="359"/>
      <c r="H1993" s="359"/>
      <c r="I1993" s="359"/>
      <c r="J1993" s="359"/>
      <c r="K1993" s="359"/>
      <c r="L1993" s="359"/>
      <c r="M1993" s="359"/>
      <c r="N1993" s="359"/>
      <c r="O1993" s="359"/>
      <c r="P1993" s="359"/>
      <c r="Q1993" s="359"/>
      <c r="R1993" s="359"/>
      <c r="S1993" s="359"/>
      <c r="T1993" s="359"/>
      <c r="U1993" s="359"/>
      <c r="V1993" s="359"/>
      <c r="W1993" s="359"/>
      <c r="X1993" s="359"/>
      <c r="Y1993" s="359"/>
      <c r="Z1993" s="359"/>
      <c r="AA1993" s="359"/>
    </row>
    <row r="1994" spans="1:27">
      <c r="A1994" s="359"/>
      <c r="B1994" s="359"/>
      <c r="C1994" s="359"/>
      <c r="D1994" s="359"/>
      <c r="E1994" s="359"/>
      <c r="F1994" s="359"/>
      <c r="G1994" s="359"/>
      <c r="H1994" s="359"/>
      <c r="I1994" s="359"/>
      <c r="J1994" s="359"/>
      <c r="K1994" s="359"/>
      <c r="L1994" s="359"/>
      <c r="M1994" s="359"/>
      <c r="N1994" s="359"/>
      <c r="O1994" s="359"/>
      <c r="P1994" s="359"/>
      <c r="Q1994" s="359"/>
      <c r="R1994" s="359"/>
      <c r="S1994" s="359"/>
      <c r="T1994" s="359"/>
      <c r="U1994" s="359"/>
      <c r="V1994" s="359"/>
      <c r="W1994" s="359"/>
      <c r="X1994" s="359"/>
      <c r="Y1994" s="359"/>
      <c r="Z1994" s="359"/>
      <c r="AA1994" s="359"/>
    </row>
    <row r="1995" spans="1:27">
      <c r="A1995" s="359"/>
      <c r="B1995" s="359"/>
      <c r="C1995" s="359"/>
      <c r="D1995" s="359"/>
      <c r="E1995" s="359"/>
      <c r="F1995" s="359"/>
      <c r="G1995" s="359"/>
      <c r="H1995" s="359"/>
      <c r="I1995" s="359"/>
      <c r="J1995" s="359"/>
      <c r="K1995" s="359"/>
      <c r="L1995" s="359"/>
      <c r="M1995" s="359"/>
      <c r="N1995" s="359"/>
      <c r="O1995" s="359"/>
      <c r="P1995" s="359"/>
      <c r="Q1995" s="359"/>
      <c r="R1995" s="359"/>
      <c r="S1995" s="359"/>
      <c r="T1995" s="359"/>
      <c r="U1995" s="359"/>
      <c r="V1995" s="359"/>
      <c r="W1995" s="359"/>
      <c r="X1995" s="359"/>
      <c r="Y1995" s="359"/>
      <c r="Z1995" s="359"/>
      <c r="AA1995" s="359"/>
    </row>
    <row r="1996" spans="1:27">
      <c r="A1996" s="359"/>
      <c r="B1996" s="359"/>
      <c r="C1996" s="359"/>
      <c r="D1996" s="359"/>
      <c r="E1996" s="359"/>
      <c r="F1996" s="359"/>
      <c r="G1996" s="359"/>
      <c r="H1996" s="359"/>
      <c r="I1996" s="359"/>
      <c r="J1996" s="359"/>
      <c r="K1996" s="359"/>
      <c r="L1996" s="359"/>
      <c r="M1996" s="359"/>
      <c r="N1996" s="359"/>
      <c r="O1996" s="359"/>
      <c r="P1996" s="359"/>
      <c r="Q1996" s="359"/>
      <c r="R1996" s="359"/>
      <c r="S1996" s="359"/>
      <c r="T1996" s="359"/>
      <c r="U1996" s="359"/>
      <c r="V1996" s="359"/>
      <c r="W1996" s="359"/>
      <c r="X1996" s="359"/>
      <c r="Y1996" s="359"/>
      <c r="Z1996" s="359"/>
      <c r="AA1996" s="359"/>
    </row>
    <row r="1997" spans="1:27">
      <c r="A1997" s="359"/>
      <c r="B1997" s="359"/>
      <c r="C1997" s="359"/>
      <c r="D1997" s="359"/>
      <c r="E1997" s="359"/>
      <c r="F1997" s="359"/>
      <c r="G1997" s="359"/>
      <c r="H1997" s="359"/>
      <c r="I1997" s="359"/>
      <c r="J1997" s="359"/>
      <c r="K1997" s="359"/>
      <c r="L1997" s="359"/>
      <c r="M1997" s="359"/>
      <c r="N1997" s="359"/>
      <c r="O1997" s="359"/>
      <c r="P1997" s="359"/>
      <c r="Q1997" s="359"/>
      <c r="R1997" s="359"/>
      <c r="S1997" s="359"/>
      <c r="T1997" s="359"/>
      <c r="U1997" s="359"/>
      <c r="V1997" s="359"/>
      <c r="W1997" s="359"/>
      <c r="X1997" s="359"/>
      <c r="Y1997" s="359"/>
      <c r="Z1997" s="359"/>
      <c r="AA1997" s="359"/>
    </row>
    <row r="1998" spans="1:27">
      <c r="A1998" s="359"/>
      <c r="B1998" s="359"/>
      <c r="C1998" s="359"/>
      <c r="D1998" s="359"/>
      <c r="E1998" s="359"/>
      <c r="F1998" s="359"/>
      <c r="G1998" s="359"/>
      <c r="H1998" s="359"/>
      <c r="I1998" s="359"/>
      <c r="J1998" s="359"/>
      <c r="K1998" s="359"/>
      <c r="L1998" s="359"/>
      <c r="M1998" s="359"/>
      <c r="N1998" s="359"/>
      <c r="O1998" s="359"/>
      <c r="P1998" s="359"/>
      <c r="Q1998" s="359"/>
      <c r="R1998" s="359"/>
      <c r="S1998" s="359"/>
      <c r="T1998" s="359"/>
      <c r="U1998" s="359"/>
      <c r="V1998" s="359"/>
      <c r="W1998" s="359"/>
      <c r="X1998" s="359"/>
      <c r="Y1998" s="359"/>
      <c r="Z1998" s="359"/>
      <c r="AA1998" s="359"/>
    </row>
    <row r="1999" spans="1:27">
      <c r="A1999" s="359"/>
      <c r="B1999" s="359"/>
      <c r="C1999" s="359"/>
      <c r="D1999" s="359"/>
      <c r="E1999" s="359"/>
      <c r="F1999" s="359"/>
      <c r="G1999" s="359"/>
      <c r="H1999" s="359"/>
      <c r="I1999" s="359"/>
      <c r="J1999" s="359"/>
      <c r="K1999" s="359"/>
      <c r="L1999" s="359"/>
      <c r="M1999" s="359"/>
      <c r="N1999" s="359"/>
      <c r="O1999" s="359"/>
      <c r="P1999" s="359"/>
      <c r="Q1999" s="359"/>
      <c r="R1999" s="359"/>
      <c r="S1999" s="359"/>
      <c r="T1999" s="359"/>
      <c r="U1999" s="359"/>
      <c r="V1999" s="359"/>
      <c r="W1999" s="359"/>
      <c r="X1999" s="359"/>
      <c r="Y1999" s="359"/>
      <c r="Z1999" s="359"/>
      <c r="AA1999" s="359"/>
    </row>
    <row r="2000" spans="1:27">
      <c r="A2000" s="359"/>
      <c r="B2000" s="359"/>
      <c r="C2000" s="359"/>
      <c r="D2000" s="359"/>
      <c r="E2000" s="359"/>
      <c r="F2000" s="359"/>
      <c r="G2000" s="359"/>
      <c r="H2000" s="359"/>
      <c r="I2000" s="359"/>
      <c r="J2000" s="359"/>
      <c r="K2000" s="359"/>
      <c r="L2000" s="359"/>
      <c r="M2000" s="359"/>
      <c r="N2000" s="359"/>
      <c r="O2000" s="359"/>
      <c r="P2000" s="359"/>
      <c r="Q2000" s="359"/>
      <c r="R2000" s="359"/>
      <c r="S2000" s="359"/>
      <c r="T2000" s="359"/>
      <c r="U2000" s="359"/>
      <c r="V2000" s="359"/>
      <c r="W2000" s="359"/>
      <c r="X2000" s="359"/>
      <c r="Y2000" s="359"/>
      <c r="Z2000" s="359"/>
      <c r="AA2000" s="359"/>
    </row>
    <row r="2001" spans="1:27">
      <c r="A2001" s="359"/>
      <c r="B2001" s="359"/>
      <c r="C2001" s="359"/>
      <c r="D2001" s="359"/>
      <c r="E2001" s="359"/>
      <c r="F2001" s="359"/>
      <c r="G2001" s="359"/>
      <c r="H2001" s="359"/>
      <c r="I2001" s="359"/>
      <c r="J2001" s="359"/>
      <c r="K2001" s="359"/>
      <c r="L2001" s="359"/>
      <c r="M2001" s="359"/>
      <c r="N2001" s="359"/>
      <c r="O2001" s="359"/>
      <c r="P2001" s="359"/>
      <c r="Q2001" s="359"/>
      <c r="R2001" s="359"/>
      <c r="S2001" s="359"/>
      <c r="T2001" s="359"/>
      <c r="U2001" s="359"/>
      <c r="V2001" s="359"/>
      <c r="W2001" s="359"/>
      <c r="X2001" s="359"/>
      <c r="Y2001" s="359"/>
      <c r="Z2001" s="359"/>
      <c r="AA2001" s="359"/>
    </row>
    <row r="2002" spans="1:27">
      <c r="A2002" s="359"/>
      <c r="B2002" s="359"/>
      <c r="C2002" s="359"/>
      <c r="D2002" s="359"/>
      <c r="E2002" s="359"/>
      <c r="F2002" s="359"/>
      <c r="G2002" s="359"/>
      <c r="H2002" s="359"/>
      <c r="I2002" s="359"/>
      <c r="J2002" s="359"/>
      <c r="K2002" s="359"/>
      <c r="L2002" s="359"/>
      <c r="M2002" s="359"/>
      <c r="N2002" s="359"/>
      <c r="O2002" s="359"/>
      <c r="P2002" s="359"/>
      <c r="Q2002" s="359"/>
      <c r="R2002" s="359"/>
      <c r="S2002" s="359"/>
      <c r="T2002" s="359"/>
      <c r="U2002" s="359"/>
      <c r="V2002" s="359"/>
      <c r="W2002" s="359"/>
      <c r="X2002" s="359"/>
      <c r="Y2002" s="359"/>
      <c r="Z2002" s="359"/>
      <c r="AA2002" s="359"/>
    </row>
    <row r="2003" spans="1:27">
      <c r="A2003" s="359"/>
      <c r="B2003" s="359"/>
      <c r="C2003" s="359"/>
      <c r="D2003" s="359"/>
      <c r="E2003" s="359"/>
      <c r="F2003" s="359"/>
      <c r="G2003" s="359"/>
      <c r="H2003" s="359"/>
      <c r="I2003" s="359"/>
      <c r="J2003" s="359"/>
      <c r="K2003" s="359"/>
      <c r="L2003" s="359"/>
      <c r="M2003" s="359"/>
      <c r="N2003" s="359"/>
      <c r="O2003" s="359"/>
      <c r="P2003" s="359"/>
      <c r="Q2003" s="359"/>
      <c r="R2003" s="359"/>
      <c r="S2003" s="359"/>
      <c r="T2003" s="359"/>
      <c r="U2003" s="359"/>
      <c r="V2003" s="359"/>
      <c r="W2003" s="359"/>
      <c r="X2003" s="359"/>
      <c r="Y2003" s="359"/>
      <c r="Z2003" s="359"/>
      <c r="AA2003" s="359"/>
    </row>
    <row r="2004" spans="1:27">
      <c r="A2004" s="359"/>
      <c r="B2004" s="359"/>
      <c r="C2004" s="359"/>
      <c r="D2004" s="359"/>
      <c r="E2004" s="359"/>
      <c r="F2004" s="359"/>
      <c r="G2004" s="359"/>
      <c r="H2004" s="359"/>
      <c r="I2004" s="359"/>
      <c r="J2004" s="359"/>
      <c r="K2004" s="359"/>
      <c r="L2004" s="359"/>
      <c r="M2004" s="359"/>
      <c r="N2004" s="359"/>
      <c r="O2004" s="359"/>
      <c r="P2004" s="359"/>
      <c r="Q2004" s="359"/>
      <c r="R2004" s="359"/>
      <c r="S2004" s="359"/>
      <c r="T2004" s="359"/>
      <c r="U2004" s="359"/>
      <c r="V2004" s="359"/>
      <c r="W2004" s="359"/>
      <c r="X2004" s="359"/>
      <c r="Y2004" s="359"/>
      <c r="Z2004" s="359"/>
      <c r="AA2004" s="359"/>
    </row>
    <row r="2005" spans="1:27">
      <c r="A2005" s="359"/>
      <c r="B2005" s="359"/>
      <c r="C2005" s="359"/>
      <c r="D2005" s="359"/>
      <c r="E2005" s="359"/>
      <c r="F2005" s="359"/>
      <c r="G2005" s="359"/>
      <c r="H2005" s="359"/>
      <c r="I2005" s="359"/>
      <c r="J2005" s="359"/>
      <c r="K2005" s="359"/>
      <c r="L2005" s="359"/>
      <c r="M2005" s="359"/>
      <c r="N2005" s="359"/>
      <c r="O2005" s="359"/>
      <c r="P2005" s="359"/>
      <c r="Q2005" s="359"/>
      <c r="R2005" s="359"/>
      <c r="S2005" s="359"/>
      <c r="T2005" s="359"/>
      <c r="U2005" s="359"/>
      <c r="V2005" s="359"/>
      <c r="W2005" s="359"/>
      <c r="X2005" s="359"/>
      <c r="Y2005" s="359"/>
      <c r="Z2005" s="359"/>
      <c r="AA2005" s="359"/>
    </row>
    <row r="2006" spans="1:27">
      <c r="A2006" s="359"/>
      <c r="B2006" s="359"/>
      <c r="C2006" s="359"/>
      <c r="D2006" s="359"/>
      <c r="E2006" s="359"/>
      <c r="F2006" s="359"/>
      <c r="G2006" s="359"/>
      <c r="H2006" s="359"/>
      <c r="I2006" s="359"/>
      <c r="J2006" s="359"/>
      <c r="K2006" s="359"/>
      <c r="L2006" s="359"/>
      <c r="M2006" s="359"/>
      <c r="N2006" s="359"/>
      <c r="O2006" s="359"/>
      <c r="P2006" s="359"/>
      <c r="Q2006" s="359"/>
      <c r="R2006" s="359"/>
      <c r="S2006" s="359"/>
      <c r="T2006" s="359"/>
      <c r="U2006" s="359"/>
      <c r="V2006" s="359"/>
      <c r="W2006" s="359"/>
      <c r="X2006" s="359"/>
      <c r="Y2006" s="359"/>
      <c r="Z2006" s="359"/>
      <c r="AA2006" s="359"/>
    </row>
    <row r="2007" spans="1:27">
      <c r="A2007" s="359"/>
      <c r="B2007" s="359"/>
      <c r="C2007" s="359"/>
      <c r="D2007" s="359"/>
      <c r="E2007" s="359"/>
      <c r="F2007" s="359"/>
      <c r="G2007" s="359"/>
      <c r="H2007" s="359"/>
      <c r="I2007" s="359"/>
      <c r="J2007" s="359"/>
      <c r="K2007" s="359"/>
      <c r="L2007" s="359"/>
      <c r="M2007" s="359"/>
      <c r="N2007" s="359"/>
      <c r="O2007" s="359"/>
      <c r="P2007" s="359"/>
      <c r="Q2007" s="359"/>
      <c r="R2007" s="359"/>
      <c r="S2007" s="359"/>
      <c r="T2007" s="359"/>
      <c r="U2007" s="359"/>
      <c r="V2007" s="359"/>
      <c r="W2007" s="359"/>
      <c r="X2007" s="359"/>
      <c r="Y2007" s="359"/>
      <c r="Z2007" s="359"/>
      <c r="AA2007" s="359"/>
    </row>
    <row r="2008" spans="1:27">
      <c r="A2008" s="359"/>
      <c r="B2008" s="359"/>
      <c r="C2008" s="359"/>
      <c r="D2008" s="359"/>
      <c r="E2008" s="359"/>
      <c r="F2008" s="359"/>
      <c r="G2008" s="359"/>
      <c r="H2008" s="359"/>
      <c r="I2008" s="359"/>
      <c r="J2008" s="359"/>
      <c r="K2008" s="359"/>
      <c r="L2008" s="359"/>
      <c r="M2008" s="359"/>
      <c r="N2008" s="359"/>
      <c r="O2008" s="359"/>
      <c r="P2008" s="359"/>
      <c r="Q2008" s="359"/>
      <c r="R2008" s="359"/>
      <c r="S2008" s="359"/>
      <c r="T2008" s="359"/>
      <c r="U2008" s="359"/>
      <c r="V2008" s="359"/>
      <c r="W2008" s="359"/>
      <c r="X2008" s="359"/>
      <c r="Y2008" s="359"/>
      <c r="Z2008" s="359"/>
      <c r="AA2008" s="359"/>
    </row>
    <row r="2009" spans="1:27">
      <c r="A2009" s="359"/>
      <c r="B2009" s="359"/>
      <c r="C2009" s="359"/>
      <c r="D2009" s="359"/>
      <c r="E2009" s="359"/>
      <c r="F2009" s="359"/>
      <c r="G2009" s="359"/>
      <c r="H2009" s="359"/>
      <c r="I2009" s="359"/>
      <c r="J2009" s="359"/>
      <c r="K2009" s="359"/>
      <c r="L2009" s="359"/>
      <c r="M2009" s="359"/>
      <c r="N2009" s="359"/>
      <c r="O2009" s="359"/>
      <c r="P2009" s="359"/>
      <c r="Q2009" s="359"/>
      <c r="R2009" s="359"/>
      <c r="S2009" s="359"/>
      <c r="T2009" s="359"/>
      <c r="U2009" s="359"/>
      <c r="V2009" s="359"/>
      <c r="W2009" s="359"/>
      <c r="X2009" s="359"/>
      <c r="Y2009" s="359"/>
      <c r="Z2009" s="359"/>
      <c r="AA2009" s="359"/>
    </row>
    <row r="2010" spans="1:27">
      <c r="A2010" s="359"/>
      <c r="B2010" s="359"/>
      <c r="C2010" s="359"/>
      <c r="D2010" s="359"/>
      <c r="E2010" s="359"/>
      <c r="F2010" s="359"/>
      <c r="G2010" s="359"/>
      <c r="H2010" s="359"/>
      <c r="I2010" s="359"/>
      <c r="J2010" s="359"/>
      <c r="K2010" s="359"/>
      <c r="L2010" s="359"/>
      <c r="M2010" s="359"/>
      <c r="N2010" s="359"/>
      <c r="O2010" s="359"/>
      <c r="P2010" s="359"/>
      <c r="Q2010" s="359"/>
      <c r="R2010" s="359"/>
      <c r="S2010" s="359"/>
      <c r="T2010" s="359"/>
      <c r="U2010" s="359"/>
      <c r="V2010" s="359"/>
      <c r="W2010" s="359"/>
      <c r="X2010" s="359"/>
      <c r="Y2010" s="359"/>
      <c r="Z2010" s="359"/>
      <c r="AA2010" s="359"/>
    </row>
    <row r="2011" spans="1:27">
      <c r="A2011" s="359"/>
      <c r="B2011" s="359"/>
      <c r="C2011" s="359"/>
      <c r="D2011" s="359"/>
      <c r="E2011" s="359"/>
      <c r="F2011" s="359"/>
      <c r="G2011" s="359"/>
      <c r="H2011" s="359"/>
      <c r="I2011" s="359"/>
      <c r="J2011" s="359"/>
      <c r="K2011" s="359"/>
      <c r="L2011" s="359"/>
      <c r="M2011" s="359"/>
      <c r="N2011" s="359"/>
      <c r="O2011" s="359"/>
      <c r="P2011" s="359"/>
      <c r="Q2011" s="359"/>
      <c r="R2011" s="359"/>
      <c r="S2011" s="359"/>
      <c r="T2011" s="359"/>
      <c r="U2011" s="359"/>
      <c r="V2011" s="359"/>
      <c r="W2011" s="359"/>
      <c r="X2011" s="359"/>
      <c r="Y2011" s="359"/>
      <c r="Z2011" s="359"/>
      <c r="AA2011" s="359"/>
    </row>
    <row r="2012" spans="1:27">
      <c r="A2012" s="359"/>
      <c r="B2012" s="359"/>
      <c r="C2012" s="359"/>
      <c r="D2012" s="359"/>
      <c r="E2012" s="359"/>
      <c r="F2012" s="359"/>
      <c r="G2012" s="359"/>
      <c r="H2012" s="359"/>
      <c r="I2012" s="359"/>
      <c r="J2012" s="359"/>
      <c r="K2012" s="359"/>
      <c r="L2012" s="359"/>
      <c r="M2012" s="359"/>
      <c r="N2012" s="359"/>
      <c r="O2012" s="359"/>
      <c r="P2012" s="359"/>
      <c r="Q2012" s="359"/>
      <c r="R2012" s="359"/>
      <c r="S2012" s="359"/>
      <c r="T2012" s="359"/>
      <c r="U2012" s="359"/>
      <c r="V2012" s="359"/>
      <c r="W2012" s="359"/>
      <c r="X2012" s="359"/>
      <c r="Y2012" s="359"/>
      <c r="Z2012" s="359"/>
      <c r="AA2012" s="359"/>
    </row>
    <row r="2013" spans="1:27">
      <c r="A2013" s="359"/>
      <c r="B2013" s="359"/>
      <c r="C2013" s="359"/>
      <c r="D2013" s="359"/>
      <c r="E2013" s="359"/>
      <c r="F2013" s="359"/>
      <c r="G2013" s="359"/>
      <c r="H2013" s="359"/>
      <c r="I2013" s="359"/>
      <c r="J2013" s="359"/>
      <c r="K2013" s="359"/>
      <c r="L2013" s="359"/>
      <c r="M2013" s="359"/>
      <c r="N2013" s="359"/>
      <c r="O2013" s="359"/>
      <c r="P2013" s="359"/>
      <c r="Q2013" s="359"/>
      <c r="R2013" s="359"/>
      <c r="S2013" s="359"/>
      <c r="T2013" s="359"/>
      <c r="U2013" s="359"/>
      <c r="V2013" s="359"/>
      <c r="W2013" s="359"/>
      <c r="X2013" s="359"/>
      <c r="Y2013" s="359"/>
      <c r="Z2013" s="359"/>
      <c r="AA2013" s="359"/>
    </row>
    <row r="2014" spans="1:27">
      <c r="A2014" s="359"/>
      <c r="B2014" s="359"/>
      <c r="C2014" s="359"/>
      <c r="D2014" s="359"/>
      <c r="E2014" s="359"/>
      <c r="F2014" s="359"/>
      <c r="G2014" s="359"/>
      <c r="H2014" s="359"/>
      <c r="I2014" s="359"/>
      <c r="J2014" s="359"/>
      <c r="K2014" s="359"/>
      <c r="L2014" s="359"/>
      <c r="M2014" s="359"/>
      <c r="N2014" s="359"/>
      <c r="O2014" s="359"/>
      <c r="P2014" s="359"/>
      <c r="Q2014" s="359"/>
      <c r="R2014" s="359"/>
      <c r="S2014" s="359"/>
      <c r="T2014" s="359"/>
      <c r="U2014" s="359"/>
      <c r="V2014" s="359"/>
      <c r="W2014" s="359"/>
      <c r="X2014" s="359"/>
      <c r="Y2014" s="359"/>
      <c r="Z2014" s="359"/>
      <c r="AA2014" s="359"/>
    </row>
    <row r="2015" spans="1:27">
      <c r="A2015" s="359"/>
      <c r="B2015" s="359"/>
      <c r="C2015" s="359"/>
      <c r="D2015" s="359"/>
      <c r="E2015" s="359"/>
      <c r="F2015" s="359"/>
      <c r="G2015" s="359"/>
      <c r="H2015" s="359"/>
      <c r="I2015" s="359"/>
      <c r="J2015" s="359"/>
      <c r="K2015" s="359"/>
      <c r="L2015" s="359"/>
      <c r="M2015" s="359"/>
      <c r="N2015" s="359"/>
      <c r="O2015" s="359"/>
      <c r="P2015" s="359"/>
      <c r="Q2015" s="359"/>
      <c r="R2015" s="359"/>
      <c r="S2015" s="359"/>
      <c r="T2015" s="359"/>
      <c r="U2015" s="359"/>
      <c r="V2015" s="359"/>
      <c r="W2015" s="359"/>
      <c r="X2015" s="359"/>
      <c r="Y2015" s="359"/>
      <c r="Z2015" s="359"/>
      <c r="AA2015" s="359"/>
    </row>
    <row r="2016" spans="1:27">
      <c r="A2016" s="359"/>
      <c r="B2016" s="359"/>
      <c r="C2016" s="359"/>
      <c r="D2016" s="359"/>
      <c r="E2016" s="359"/>
      <c r="F2016" s="359"/>
      <c r="G2016" s="359"/>
      <c r="H2016" s="359"/>
      <c r="I2016" s="359"/>
      <c r="J2016" s="359"/>
      <c r="K2016" s="359"/>
      <c r="L2016" s="359"/>
      <c r="M2016" s="359"/>
      <c r="N2016" s="359"/>
      <c r="O2016" s="359"/>
      <c r="P2016" s="359"/>
      <c r="Q2016" s="359"/>
      <c r="R2016" s="359"/>
      <c r="S2016" s="359"/>
      <c r="T2016" s="359"/>
      <c r="U2016" s="359"/>
      <c r="V2016" s="359"/>
      <c r="W2016" s="359"/>
      <c r="X2016" s="359"/>
      <c r="Y2016" s="359"/>
      <c r="Z2016" s="359"/>
      <c r="AA2016" s="359"/>
    </row>
    <row r="2017" spans="1:27">
      <c r="A2017" s="359"/>
      <c r="B2017" s="359"/>
      <c r="C2017" s="359"/>
      <c r="D2017" s="359"/>
      <c r="E2017" s="359"/>
      <c r="F2017" s="359"/>
      <c r="G2017" s="359"/>
      <c r="H2017" s="359"/>
      <c r="I2017" s="359"/>
      <c r="J2017" s="359"/>
      <c r="K2017" s="359"/>
      <c r="L2017" s="359"/>
      <c r="M2017" s="359"/>
      <c r="N2017" s="359"/>
      <c r="O2017" s="359"/>
      <c r="P2017" s="359"/>
      <c r="Q2017" s="359"/>
      <c r="R2017" s="359"/>
      <c r="S2017" s="359"/>
      <c r="T2017" s="359"/>
      <c r="U2017" s="359"/>
      <c r="V2017" s="359"/>
      <c r="W2017" s="359"/>
      <c r="X2017" s="359"/>
      <c r="Y2017" s="359"/>
      <c r="Z2017" s="359"/>
      <c r="AA2017" s="359"/>
    </row>
    <row r="2018" spans="1:27">
      <c r="A2018" s="359"/>
      <c r="B2018" s="359"/>
      <c r="C2018" s="359"/>
      <c r="D2018" s="359"/>
      <c r="E2018" s="359"/>
      <c r="F2018" s="359"/>
      <c r="G2018" s="359"/>
      <c r="H2018" s="359"/>
      <c r="I2018" s="359"/>
      <c r="J2018" s="359"/>
      <c r="K2018" s="359"/>
      <c r="L2018" s="359"/>
      <c r="M2018" s="359"/>
      <c r="N2018" s="359"/>
      <c r="O2018" s="359"/>
      <c r="P2018" s="359"/>
      <c r="Q2018" s="359"/>
      <c r="R2018" s="359"/>
      <c r="S2018" s="359"/>
      <c r="T2018" s="359"/>
      <c r="U2018" s="359"/>
      <c r="V2018" s="359"/>
      <c r="W2018" s="359"/>
      <c r="X2018" s="359"/>
      <c r="Y2018" s="359"/>
      <c r="Z2018" s="359"/>
      <c r="AA2018" s="359"/>
    </row>
    <row r="2019" spans="1:27">
      <c r="A2019" s="359"/>
      <c r="B2019" s="359"/>
      <c r="C2019" s="359"/>
      <c r="D2019" s="359"/>
      <c r="E2019" s="359"/>
      <c r="F2019" s="359"/>
      <c r="G2019" s="359"/>
      <c r="H2019" s="359"/>
      <c r="I2019" s="359"/>
      <c r="J2019" s="359"/>
      <c r="K2019" s="359"/>
      <c r="L2019" s="359"/>
      <c r="M2019" s="359"/>
      <c r="N2019" s="359"/>
      <c r="O2019" s="359"/>
      <c r="P2019" s="359"/>
      <c r="Q2019" s="359"/>
      <c r="R2019" s="359"/>
      <c r="S2019" s="359"/>
      <c r="T2019" s="359"/>
      <c r="U2019" s="359"/>
      <c r="V2019" s="359"/>
      <c r="W2019" s="359"/>
      <c r="X2019" s="359"/>
      <c r="Y2019" s="359"/>
      <c r="Z2019" s="359"/>
      <c r="AA2019" s="359"/>
    </row>
    <row r="2020" spans="1:27">
      <c r="A2020" s="359"/>
      <c r="B2020" s="359"/>
      <c r="C2020" s="359"/>
      <c r="D2020" s="359"/>
      <c r="E2020" s="359"/>
      <c r="F2020" s="359"/>
      <c r="G2020" s="359"/>
      <c r="H2020" s="359"/>
      <c r="I2020" s="359"/>
      <c r="J2020" s="359"/>
      <c r="K2020" s="359"/>
      <c r="L2020" s="359"/>
      <c r="M2020" s="359"/>
      <c r="N2020" s="359"/>
      <c r="O2020" s="359"/>
      <c r="P2020" s="359"/>
      <c r="Q2020" s="359"/>
      <c r="R2020" s="359"/>
      <c r="S2020" s="359"/>
      <c r="T2020" s="359"/>
      <c r="U2020" s="359"/>
      <c r="V2020" s="359"/>
      <c r="W2020" s="359"/>
      <c r="X2020" s="359"/>
      <c r="Y2020" s="359"/>
      <c r="Z2020" s="359"/>
      <c r="AA2020" s="359"/>
    </row>
    <row r="2021" spans="1:27">
      <c r="A2021" s="359"/>
      <c r="B2021" s="359"/>
      <c r="C2021" s="359"/>
      <c r="D2021" s="359"/>
      <c r="E2021" s="359"/>
      <c r="F2021" s="359"/>
      <c r="G2021" s="359"/>
      <c r="H2021" s="359"/>
      <c r="I2021" s="359"/>
      <c r="J2021" s="359"/>
      <c r="K2021" s="359"/>
      <c r="L2021" s="359"/>
      <c r="M2021" s="359"/>
      <c r="N2021" s="359"/>
      <c r="O2021" s="359"/>
      <c r="P2021" s="359"/>
      <c r="Q2021" s="359"/>
      <c r="R2021" s="359"/>
      <c r="S2021" s="359"/>
      <c r="T2021" s="359"/>
      <c r="U2021" s="359"/>
      <c r="V2021" s="359"/>
      <c r="W2021" s="359"/>
      <c r="X2021" s="359"/>
      <c r="Y2021" s="359"/>
      <c r="Z2021" s="359"/>
      <c r="AA2021" s="359"/>
    </row>
    <row r="2022" spans="1:27">
      <c r="A2022" s="359"/>
      <c r="B2022" s="359"/>
      <c r="C2022" s="359"/>
      <c r="D2022" s="359"/>
      <c r="E2022" s="359"/>
      <c r="F2022" s="359"/>
      <c r="G2022" s="359"/>
      <c r="H2022" s="359"/>
      <c r="I2022" s="359"/>
      <c r="J2022" s="359"/>
      <c r="K2022" s="359"/>
      <c r="L2022" s="359"/>
      <c r="M2022" s="359"/>
      <c r="N2022" s="359"/>
      <c r="O2022" s="359"/>
      <c r="P2022" s="359"/>
      <c r="Q2022" s="359"/>
      <c r="R2022" s="359"/>
      <c r="S2022" s="359"/>
      <c r="T2022" s="359"/>
      <c r="U2022" s="359"/>
      <c r="V2022" s="359"/>
      <c r="W2022" s="359"/>
      <c r="X2022" s="359"/>
      <c r="Y2022" s="359"/>
      <c r="Z2022" s="359"/>
      <c r="AA2022" s="359"/>
    </row>
    <row r="2023" spans="1:27">
      <c r="A2023" s="359"/>
      <c r="B2023" s="359"/>
      <c r="C2023" s="359"/>
      <c r="D2023" s="359"/>
      <c r="E2023" s="359"/>
      <c r="F2023" s="359"/>
      <c r="G2023" s="359"/>
      <c r="H2023" s="359"/>
      <c r="I2023" s="359"/>
      <c r="J2023" s="359"/>
      <c r="K2023" s="359"/>
      <c r="L2023" s="359"/>
      <c r="M2023" s="359"/>
      <c r="N2023" s="359"/>
      <c r="O2023" s="359"/>
      <c r="P2023" s="359"/>
      <c r="Q2023" s="359"/>
      <c r="R2023" s="359"/>
      <c r="S2023" s="359"/>
      <c r="T2023" s="359"/>
      <c r="U2023" s="359"/>
      <c r="V2023" s="359"/>
      <c r="W2023" s="359"/>
      <c r="X2023" s="359"/>
      <c r="Y2023" s="359"/>
      <c r="Z2023" s="359"/>
      <c r="AA2023" s="359"/>
    </row>
    <row r="2024" spans="1:27">
      <c r="A2024" s="359"/>
      <c r="B2024" s="359"/>
      <c r="C2024" s="359"/>
      <c r="D2024" s="359"/>
      <c r="E2024" s="359"/>
      <c r="F2024" s="359"/>
      <c r="G2024" s="359"/>
      <c r="H2024" s="359"/>
      <c r="I2024" s="359"/>
      <c r="J2024" s="359"/>
      <c r="K2024" s="359"/>
      <c r="L2024" s="359"/>
      <c r="M2024" s="359"/>
      <c r="N2024" s="359"/>
      <c r="O2024" s="359"/>
      <c r="P2024" s="359"/>
      <c r="Q2024" s="359"/>
      <c r="R2024" s="359"/>
      <c r="S2024" s="359"/>
      <c r="T2024" s="359"/>
      <c r="U2024" s="359"/>
      <c r="V2024" s="359"/>
      <c r="W2024" s="359"/>
      <c r="X2024" s="359"/>
      <c r="Y2024" s="359"/>
      <c r="Z2024" s="359"/>
      <c r="AA2024" s="359"/>
    </row>
    <row r="2025" spans="1:27">
      <c r="A2025" s="359"/>
      <c r="B2025" s="359"/>
      <c r="C2025" s="359"/>
      <c r="D2025" s="359"/>
      <c r="E2025" s="359"/>
      <c r="F2025" s="359"/>
      <c r="G2025" s="359"/>
      <c r="H2025" s="359"/>
      <c r="I2025" s="359"/>
      <c r="J2025" s="359"/>
      <c r="K2025" s="359"/>
      <c r="L2025" s="359"/>
      <c r="M2025" s="359"/>
      <c r="N2025" s="359"/>
      <c r="O2025" s="359"/>
      <c r="P2025" s="359"/>
      <c r="Q2025" s="359"/>
      <c r="R2025" s="359"/>
      <c r="S2025" s="359"/>
      <c r="T2025" s="359"/>
      <c r="U2025" s="359"/>
      <c r="V2025" s="359"/>
      <c r="W2025" s="359"/>
      <c r="X2025" s="359"/>
      <c r="Y2025" s="359"/>
      <c r="Z2025" s="359"/>
      <c r="AA2025" s="359"/>
    </row>
    <row r="2026" spans="1:27">
      <c r="A2026" s="359"/>
      <c r="B2026" s="359"/>
      <c r="C2026" s="359"/>
      <c r="D2026" s="359"/>
      <c r="E2026" s="359"/>
      <c r="F2026" s="359"/>
      <c r="G2026" s="359"/>
      <c r="H2026" s="359"/>
      <c r="I2026" s="359"/>
      <c r="J2026" s="359"/>
      <c r="K2026" s="359"/>
      <c r="L2026" s="359"/>
      <c r="M2026" s="359"/>
      <c r="N2026" s="359"/>
      <c r="O2026" s="359"/>
      <c r="P2026" s="359"/>
      <c r="Q2026" s="359"/>
      <c r="R2026" s="359"/>
      <c r="S2026" s="359"/>
      <c r="T2026" s="359"/>
      <c r="U2026" s="359"/>
      <c r="V2026" s="359"/>
      <c r="W2026" s="359"/>
      <c r="X2026" s="359"/>
      <c r="Y2026" s="359"/>
      <c r="Z2026" s="359"/>
      <c r="AA2026" s="359"/>
    </row>
    <row r="2027" spans="1:27">
      <c r="A2027" s="359"/>
      <c r="B2027" s="359"/>
      <c r="C2027" s="359"/>
      <c r="D2027" s="359"/>
      <c r="E2027" s="359"/>
      <c r="F2027" s="359"/>
      <c r="G2027" s="359"/>
      <c r="H2027" s="359"/>
      <c r="I2027" s="359"/>
      <c r="J2027" s="359"/>
      <c r="K2027" s="359"/>
      <c r="L2027" s="359"/>
      <c r="M2027" s="359"/>
      <c r="N2027" s="359"/>
      <c r="O2027" s="359"/>
      <c r="P2027" s="359"/>
      <c r="Q2027" s="359"/>
      <c r="R2027" s="359"/>
      <c r="S2027" s="359"/>
      <c r="T2027" s="359"/>
      <c r="U2027" s="359"/>
      <c r="V2027" s="359"/>
      <c r="W2027" s="359"/>
      <c r="X2027" s="359"/>
      <c r="Y2027" s="359"/>
      <c r="Z2027" s="359"/>
      <c r="AA2027" s="359"/>
    </row>
    <row r="2028" spans="1:27">
      <c r="A2028" s="359"/>
      <c r="B2028" s="359"/>
      <c r="C2028" s="359"/>
      <c r="D2028" s="359"/>
      <c r="E2028" s="359"/>
      <c r="F2028" s="359"/>
      <c r="G2028" s="359"/>
      <c r="H2028" s="359"/>
      <c r="I2028" s="359"/>
      <c r="J2028" s="359"/>
      <c r="K2028" s="359"/>
      <c r="L2028" s="359"/>
      <c r="M2028" s="359"/>
      <c r="N2028" s="359"/>
      <c r="O2028" s="359"/>
      <c r="P2028" s="359"/>
      <c r="Q2028" s="359"/>
      <c r="R2028" s="359"/>
      <c r="S2028" s="359"/>
      <c r="T2028" s="359"/>
      <c r="U2028" s="359"/>
      <c r="V2028" s="359"/>
      <c r="W2028" s="359"/>
      <c r="X2028" s="359"/>
      <c r="Y2028" s="359"/>
      <c r="Z2028" s="359"/>
      <c r="AA2028" s="359"/>
    </row>
    <row r="2029" spans="1:27">
      <c r="A2029" s="359"/>
      <c r="B2029" s="359"/>
      <c r="C2029" s="359"/>
      <c r="D2029" s="359"/>
      <c r="E2029" s="359"/>
      <c r="F2029" s="359"/>
      <c r="G2029" s="359"/>
      <c r="H2029" s="359"/>
      <c r="I2029" s="359"/>
      <c r="J2029" s="359"/>
      <c r="K2029" s="359"/>
      <c r="L2029" s="359"/>
      <c r="M2029" s="359"/>
      <c r="N2029" s="359"/>
      <c r="O2029" s="359"/>
      <c r="P2029" s="359"/>
      <c r="Q2029" s="359"/>
      <c r="R2029" s="359"/>
      <c r="S2029" s="359"/>
      <c r="T2029" s="359"/>
      <c r="U2029" s="359"/>
      <c r="V2029" s="359"/>
      <c r="W2029" s="359"/>
      <c r="X2029" s="359"/>
      <c r="Y2029" s="359"/>
      <c r="Z2029" s="359"/>
      <c r="AA2029" s="359"/>
    </row>
    <row r="2030" spans="1:27">
      <c r="A2030" s="359"/>
      <c r="B2030" s="359"/>
      <c r="C2030" s="359"/>
      <c r="D2030" s="359"/>
      <c r="E2030" s="359"/>
      <c r="F2030" s="359"/>
      <c r="G2030" s="359"/>
      <c r="H2030" s="359"/>
      <c r="I2030" s="359"/>
      <c r="J2030" s="359"/>
      <c r="K2030" s="359"/>
      <c r="L2030" s="359"/>
      <c r="M2030" s="359"/>
      <c r="N2030" s="359"/>
      <c r="O2030" s="359"/>
      <c r="P2030" s="359"/>
      <c r="Q2030" s="359"/>
      <c r="R2030" s="359"/>
      <c r="S2030" s="359"/>
      <c r="T2030" s="359"/>
      <c r="U2030" s="359"/>
      <c r="V2030" s="359"/>
      <c r="W2030" s="359"/>
      <c r="X2030" s="359"/>
      <c r="Y2030" s="359"/>
      <c r="Z2030" s="359"/>
      <c r="AA2030" s="359"/>
    </row>
    <row r="2031" spans="1:27">
      <c r="A2031" s="359"/>
      <c r="B2031" s="359"/>
      <c r="C2031" s="359"/>
      <c r="D2031" s="359"/>
      <c r="E2031" s="359"/>
      <c r="F2031" s="359"/>
      <c r="G2031" s="359"/>
      <c r="H2031" s="359"/>
      <c r="I2031" s="359"/>
      <c r="J2031" s="359"/>
      <c r="K2031" s="359"/>
      <c r="L2031" s="359"/>
      <c r="M2031" s="359"/>
      <c r="N2031" s="359"/>
      <c r="O2031" s="359"/>
      <c r="P2031" s="359"/>
      <c r="Q2031" s="359"/>
      <c r="R2031" s="359"/>
      <c r="S2031" s="359"/>
      <c r="T2031" s="359"/>
      <c r="U2031" s="359"/>
      <c r="V2031" s="359"/>
      <c r="W2031" s="359"/>
      <c r="X2031" s="359"/>
      <c r="Y2031" s="359"/>
      <c r="Z2031" s="359"/>
      <c r="AA2031" s="359"/>
    </row>
    <row r="2032" spans="1:27">
      <c r="A2032" s="359"/>
      <c r="B2032" s="359"/>
      <c r="C2032" s="359"/>
      <c r="D2032" s="359"/>
      <c r="E2032" s="359"/>
      <c r="F2032" s="359"/>
      <c r="G2032" s="359"/>
      <c r="H2032" s="359"/>
      <c r="I2032" s="359"/>
      <c r="J2032" s="359"/>
      <c r="K2032" s="359"/>
      <c r="L2032" s="359"/>
      <c r="M2032" s="359"/>
      <c r="N2032" s="359"/>
      <c r="O2032" s="359"/>
      <c r="P2032" s="359"/>
      <c r="Q2032" s="359"/>
      <c r="R2032" s="359"/>
      <c r="S2032" s="359"/>
      <c r="T2032" s="359"/>
      <c r="U2032" s="359"/>
      <c r="V2032" s="359"/>
      <c r="W2032" s="359"/>
      <c r="X2032" s="359"/>
      <c r="Y2032" s="359"/>
      <c r="Z2032" s="359"/>
      <c r="AA2032" s="359"/>
    </row>
    <row r="2033" spans="1:27">
      <c r="A2033" s="359"/>
      <c r="B2033" s="359"/>
      <c r="C2033" s="359"/>
      <c r="D2033" s="359"/>
      <c r="E2033" s="359"/>
      <c r="F2033" s="359"/>
      <c r="G2033" s="359"/>
      <c r="H2033" s="359"/>
      <c r="I2033" s="359"/>
      <c r="J2033" s="359"/>
      <c r="K2033" s="359"/>
      <c r="L2033" s="359"/>
      <c r="M2033" s="359"/>
      <c r="N2033" s="359"/>
      <c r="O2033" s="359"/>
      <c r="P2033" s="359"/>
      <c r="Q2033" s="359"/>
      <c r="R2033" s="359"/>
      <c r="S2033" s="359"/>
      <c r="T2033" s="359"/>
      <c r="U2033" s="359"/>
      <c r="V2033" s="359"/>
      <c r="W2033" s="359"/>
      <c r="X2033" s="359"/>
      <c r="Y2033" s="359"/>
      <c r="Z2033" s="359"/>
      <c r="AA2033" s="359"/>
    </row>
    <row r="2034" spans="1:27">
      <c r="A2034" s="359"/>
      <c r="B2034" s="359"/>
      <c r="C2034" s="359"/>
      <c r="D2034" s="359"/>
      <c r="E2034" s="359"/>
      <c r="F2034" s="359"/>
      <c r="G2034" s="359"/>
      <c r="H2034" s="359"/>
      <c r="I2034" s="359"/>
      <c r="J2034" s="359"/>
      <c r="K2034" s="359"/>
      <c r="L2034" s="359"/>
      <c r="M2034" s="359"/>
      <c r="N2034" s="359"/>
      <c r="O2034" s="359"/>
      <c r="P2034" s="359"/>
      <c r="Q2034" s="359"/>
      <c r="R2034" s="359"/>
      <c r="S2034" s="359"/>
      <c r="T2034" s="359"/>
      <c r="U2034" s="359"/>
      <c r="V2034" s="359"/>
      <c r="W2034" s="359"/>
      <c r="X2034" s="359"/>
      <c r="Y2034" s="359"/>
      <c r="Z2034" s="359"/>
      <c r="AA2034" s="359"/>
    </row>
    <row r="2035" spans="1:27">
      <c r="A2035" s="359"/>
      <c r="B2035" s="359"/>
      <c r="C2035" s="359"/>
      <c r="D2035" s="359"/>
      <c r="E2035" s="359"/>
      <c r="F2035" s="359"/>
      <c r="G2035" s="359"/>
      <c r="H2035" s="359"/>
      <c r="I2035" s="359"/>
      <c r="J2035" s="359"/>
      <c r="K2035" s="359"/>
      <c r="L2035" s="359"/>
      <c r="M2035" s="359"/>
      <c r="N2035" s="359"/>
      <c r="O2035" s="359"/>
      <c r="P2035" s="359"/>
      <c r="Q2035" s="359"/>
      <c r="R2035" s="359"/>
      <c r="S2035" s="359"/>
      <c r="T2035" s="359"/>
      <c r="U2035" s="359"/>
      <c r="V2035" s="359"/>
      <c r="W2035" s="359"/>
      <c r="X2035" s="359"/>
      <c r="Y2035" s="359"/>
      <c r="Z2035" s="359"/>
      <c r="AA2035" s="359"/>
    </row>
    <row r="2036" spans="1:27">
      <c r="A2036" s="359"/>
      <c r="B2036" s="359"/>
      <c r="C2036" s="359"/>
      <c r="D2036" s="359"/>
      <c r="E2036" s="359"/>
      <c r="F2036" s="359"/>
      <c r="G2036" s="359"/>
      <c r="H2036" s="359"/>
      <c r="I2036" s="359"/>
      <c r="J2036" s="359"/>
      <c r="K2036" s="359"/>
      <c r="L2036" s="359"/>
      <c r="M2036" s="359"/>
      <c r="N2036" s="359"/>
      <c r="O2036" s="359"/>
      <c r="P2036" s="359"/>
      <c r="Q2036" s="359"/>
      <c r="R2036" s="359"/>
      <c r="S2036" s="359"/>
      <c r="T2036" s="359"/>
      <c r="U2036" s="359"/>
      <c r="V2036" s="359"/>
      <c r="W2036" s="359"/>
      <c r="X2036" s="359"/>
      <c r="Y2036" s="359"/>
      <c r="Z2036" s="359"/>
      <c r="AA2036" s="359"/>
    </row>
    <row r="2037" spans="1:27">
      <c r="A2037" s="359"/>
      <c r="B2037" s="359"/>
      <c r="C2037" s="359"/>
      <c r="D2037" s="359"/>
      <c r="E2037" s="359"/>
      <c r="F2037" s="359"/>
      <c r="G2037" s="359"/>
      <c r="H2037" s="359"/>
      <c r="I2037" s="359"/>
      <c r="J2037" s="359"/>
      <c r="K2037" s="359"/>
      <c r="L2037" s="359"/>
      <c r="M2037" s="359"/>
      <c r="N2037" s="359"/>
      <c r="O2037" s="359"/>
      <c r="P2037" s="359"/>
      <c r="Q2037" s="359"/>
      <c r="R2037" s="359"/>
      <c r="S2037" s="359"/>
      <c r="T2037" s="359"/>
      <c r="U2037" s="359"/>
      <c r="V2037" s="359"/>
      <c r="W2037" s="359"/>
      <c r="X2037" s="359"/>
      <c r="Y2037" s="359"/>
      <c r="Z2037" s="359"/>
      <c r="AA2037" s="359"/>
    </row>
    <row r="2038" spans="1:27">
      <c r="A2038" s="359"/>
      <c r="B2038" s="359"/>
      <c r="C2038" s="359"/>
      <c r="D2038" s="359"/>
      <c r="E2038" s="359"/>
      <c r="F2038" s="359"/>
      <c r="G2038" s="359"/>
      <c r="H2038" s="359"/>
      <c r="I2038" s="359"/>
      <c r="J2038" s="359"/>
      <c r="K2038" s="359"/>
      <c r="L2038" s="359"/>
      <c r="M2038" s="359"/>
      <c r="N2038" s="359"/>
      <c r="O2038" s="359"/>
      <c r="P2038" s="359"/>
      <c r="Q2038" s="359"/>
      <c r="R2038" s="359"/>
      <c r="S2038" s="359"/>
      <c r="T2038" s="359"/>
      <c r="U2038" s="359"/>
      <c r="V2038" s="359"/>
      <c r="W2038" s="359"/>
      <c r="X2038" s="359"/>
      <c r="Y2038" s="359"/>
      <c r="Z2038" s="359"/>
      <c r="AA2038" s="359"/>
    </row>
    <row r="2039" spans="1:27">
      <c r="A2039" s="359"/>
      <c r="B2039" s="359"/>
      <c r="C2039" s="359"/>
      <c r="D2039" s="359"/>
      <c r="E2039" s="359"/>
      <c r="F2039" s="359"/>
      <c r="G2039" s="359"/>
      <c r="H2039" s="359"/>
      <c r="I2039" s="359"/>
      <c r="J2039" s="359"/>
      <c r="K2039" s="359"/>
      <c r="L2039" s="359"/>
      <c r="M2039" s="359"/>
      <c r="N2039" s="359"/>
      <c r="O2039" s="359"/>
      <c r="P2039" s="359"/>
      <c r="Q2039" s="359"/>
      <c r="R2039" s="359"/>
      <c r="S2039" s="359"/>
      <c r="T2039" s="359"/>
      <c r="U2039" s="359"/>
      <c r="V2039" s="359"/>
      <c r="W2039" s="359"/>
      <c r="X2039" s="359"/>
      <c r="Y2039" s="359"/>
      <c r="Z2039" s="359"/>
      <c r="AA2039" s="359"/>
    </row>
    <row r="2040" spans="1:27">
      <c r="A2040" s="359"/>
      <c r="B2040" s="359"/>
      <c r="C2040" s="359"/>
      <c r="D2040" s="359"/>
      <c r="E2040" s="359"/>
      <c r="F2040" s="359"/>
      <c r="G2040" s="359"/>
      <c r="H2040" s="359"/>
      <c r="I2040" s="359"/>
      <c r="J2040" s="359"/>
      <c r="K2040" s="359"/>
      <c r="L2040" s="359"/>
      <c r="M2040" s="359"/>
      <c r="N2040" s="359"/>
      <c r="O2040" s="359"/>
      <c r="P2040" s="359"/>
      <c r="Q2040" s="359"/>
      <c r="R2040" s="359"/>
      <c r="S2040" s="359"/>
      <c r="T2040" s="359"/>
      <c r="U2040" s="359"/>
      <c r="V2040" s="359"/>
      <c r="W2040" s="359"/>
      <c r="X2040" s="359"/>
      <c r="Y2040" s="359"/>
      <c r="Z2040" s="359"/>
      <c r="AA2040" s="359"/>
    </row>
    <row r="2041" spans="1:27">
      <c r="A2041" s="359"/>
      <c r="B2041" s="359"/>
      <c r="C2041" s="359"/>
      <c r="D2041" s="359"/>
      <c r="E2041" s="359"/>
      <c r="F2041" s="359"/>
      <c r="G2041" s="359"/>
      <c r="H2041" s="359"/>
      <c r="I2041" s="359"/>
      <c r="J2041" s="359"/>
      <c r="K2041" s="359"/>
      <c r="L2041" s="359"/>
      <c r="M2041" s="359"/>
      <c r="N2041" s="359"/>
      <c r="O2041" s="359"/>
      <c r="P2041" s="359"/>
      <c r="Q2041" s="359"/>
      <c r="R2041" s="359"/>
      <c r="S2041" s="359"/>
      <c r="T2041" s="359"/>
      <c r="U2041" s="359"/>
      <c r="V2041" s="359"/>
      <c r="W2041" s="359"/>
      <c r="X2041" s="359"/>
      <c r="Y2041" s="359"/>
      <c r="Z2041" s="359"/>
      <c r="AA2041" s="359"/>
    </row>
    <row r="2042" spans="1:27">
      <c r="A2042" s="359"/>
      <c r="B2042" s="359"/>
      <c r="C2042" s="359"/>
      <c r="D2042" s="359"/>
      <c r="E2042" s="359"/>
      <c r="F2042" s="359"/>
      <c r="G2042" s="359"/>
      <c r="H2042" s="359"/>
      <c r="I2042" s="359"/>
      <c r="J2042" s="359"/>
      <c r="K2042" s="359"/>
      <c r="L2042" s="359"/>
      <c r="M2042" s="359"/>
      <c r="N2042" s="359"/>
      <c r="O2042" s="359"/>
      <c r="P2042" s="359"/>
      <c r="Q2042" s="359"/>
      <c r="R2042" s="359"/>
      <c r="S2042" s="359"/>
      <c r="T2042" s="359"/>
      <c r="U2042" s="359"/>
      <c r="V2042" s="359"/>
      <c r="W2042" s="359"/>
      <c r="X2042" s="359"/>
      <c r="Y2042" s="359"/>
      <c r="Z2042" s="359"/>
      <c r="AA2042" s="359"/>
    </row>
    <row r="2043" spans="1:27">
      <c r="A2043" s="359"/>
      <c r="B2043" s="359"/>
      <c r="C2043" s="359"/>
      <c r="D2043" s="359"/>
      <c r="E2043" s="359"/>
      <c r="F2043" s="359"/>
      <c r="G2043" s="359"/>
      <c r="H2043" s="359"/>
      <c r="I2043" s="359"/>
      <c r="J2043" s="359"/>
      <c r="K2043" s="359"/>
      <c r="L2043" s="359"/>
      <c r="M2043" s="359"/>
      <c r="N2043" s="359"/>
      <c r="O2043" s="359"/>
      <c r="P2043" s="359"/>
      <c r="Q2043" s="359"/>
      <c r="R2043" s="359"/>
      <c r="S2043" s="359"/>
      <c r="T2043" s="359"/>
      <c r="U2043" s="359"/>
      <c r="V2043" s="359"/>
      <c r="W2043" s="359"/>
      <c r="X2043" s="359"/>
      <c r="Y2043" s="359"/>
      <c r="Z2043" s="359"/>
      <c r="AA2043" s="359"/>
    </row>
    <row r="2044" spans="1:27">
      <c r="A2044" s="359"/>
      <c r="B2044" s="359"/>
      <c r="C2044" s="359"/>
      <c r="D2044" s="359"/>
      <c r="E2044" s="359"/>
      <c r="F2044" s="359"/>
      <c r="G2044" s="359"/>
      <c r="H2044" s="359"/>
      <c r="I2044" s="359"/>
      <c r="J2044" s="359"/>
      <c r="K2044" s="359"/>
      <c r="L2044" s="359"/>
      <c r="M2044" s="359"/>
      <c r="N2044" s="359"/>
      <c r="O2044" s="359"/>
      <c r="P2044" s="359"/>
      <c r="Q2044" s="359"/>
      <c r="R2044" s="359"/>
      <c r="S2044" s="359"/>
      <c r="T2044" s="359"/>
      <c r="U2044" s="359"/>
      <c r="V2044" s="359"/>
      <c r="W2044" s="359"/>
      <c r="X2044" s="359"/>
      <c r="Y2044" s="359"/>
      <c r="Z2044" s="359"/>
      <c r="AA2044" s="359"/>
    </row>
    <row r="2045" spans="1:27">
      <c r="A2045" s="359"/>
      <c r="B2045" s="359"/>
      <c r="C2045" s="359"/>
      <c r="D2045" s="359"/>
      <c r="E2045" s="359"/>
      <c r="F2045" s="359"/>
      <c r="G2045" s="359"/>
      <c r="H2045" s="359"/>
      <c r="I2045" s="359"/>
      <c r="J2045" s="359"/>
      <c r="K2045" s="359"/>
      <c r="L2045" s="359"/>
      <c r="M2045" s="359"/>
      <c r="N2045" s="359"/>
      <c r="O2045" s="359"/>
      <c r="P2045" s="359"/>
      <c r="Q2045" s="359"/>
      <c r="R2045" s="359"/>
      <c r="S2045" s="359"/>
      <c r="T2045" s="359"/>
      <c r="U2045" s="359"/>
      <c r="V2045" s="359"/>
      <c r="W2045" s="359"/>
      <c r="X2045" s="359"/>
      <c r="Y2045" s="359"/>
      <c r="Z2045" s="359"/>
      <c r="AA2045" s="359"/>
    </row>
    <row r="2046" spans="1:27">
      <c r="A2046" s="359"/>
      <c r="B2046" s="359"/>
      <c r="C2046" s="359"/>
      <c r="D2046" s="359"/>
      <c r="E2046" s="359"/>
      <c r="F2046" s="359"/>
      <c r="G2046" s="359"/>
      <c r="H2046" s="359"/>
      <c r="I2046" s="359"/>
      <c r="J2046" s="359"/>
      <c r="K2046" s="359"/>
      <c r="L2046" s="359"/>
      <c r="M2046" s="359"/>
      <c r="N2046" s="359"/>
      <c r="O2046" s="359"/>
      <c r="P2046" s="359"/>
      <c r="Q2046" s="359"/>
      <c r="R2046" s="359"/>
      <c r="S2046" s="359"/>
      <c r="T2046" s="359"/>
      <c r="U2046" s="359"/>
      <c r="V2046" s="359"/>
      <c r="W2046" s="359"/>
      <c r="X2046" s="359"/>
      <c r="Y2046" s="359"/>
      <c r="Z2046" s="359"/>
      <c r="AA2046" s="359"/>
    </row>
    <row r="2047" spans="1:27">
      <c r="A2047" s="359"/>
      <c r="B2047" s="359"/>
      <c r="C2047" s="359"/>
      <c r="D2047" s="359"/>
      <c r="E2047" s="359"/>
      <c r="F2047" s="359"/>
      <c r="G2047" s="359"/>
      <c r="H2047" s="359"/>
      <c r="I2047" s="359"/>
      <c r="J2047" s="359"/>
      <c r="K2047" s="359"/>
      <c r="L2047" s="359"/>
      <c r="M2047" s="359"/>
      <c r="N2047" s="359"/>
      <c r="O2047" s="359"/>
      <c r="P2047" s="359"/>
      <c r="Q2047" s="359"/>
      <c r="R2047" s="359"/>
      <c r="S2047" s="359"/>
      <c r="T2047" s="359"/>
      <c r="U2047" s="359"/>
      <c r="V2047" s="359"/>
      <c r="W2047" s="359"/>
      <c r="X2047" s="359"/>
      <c r="Y2047" s="359"/>
      <c r="Z2047" s="359"/>
      <c r="AA2047" s="359"/>
    </row>
    <row r="2048" spans="1:27">
      <c r="A2048" s="359"/>
      <c r="B2048" s="359"/>
      <c r="C2048" s="359"/>
      <c r="D2048" s="359"/>
      <c r="E2048" s="359"/>
      <c r="F2048" s="359"/>
      <c r="G2048" s="359"/>
      <c r="H2048" s="359"/>
      <c r="I2048" s="359"/>
      <c r="J2048" s="359"/>
      <c r="K2048" s="359"/>
      <c r="L2048" s="359"/>
      <c r="M2048" s="359"/>
      <c r="N2048" s="359"/>
      <c r="O2048" s="359"/>
      <c r="P2048" s="359"/>
      <c r="Q2048" s="359"/>
      <c r="R2048" s="359"/>
      <c r="S2048" s="359"/>
      <c r="T2048" s="359"/>
      <c r="U2048" s="359"/>
      <c r="V2048" s="359"/>
      <c r="W2048" s="359"/>
      <c r="X2048" s="359"/>
      <c r="Y2048" s="359"/>
      <c r="Z2048" s="359"/>
      <c r="AA2048" s="359"/>
    </row>
    <row r="2049" spans="1:27">
      <c r="A2049" s="359"/>
      <c r="B2049" s="359"/>
      <c r="C2049" s="359"/>
      <c r="D2049" s="359"/>
      <c r="E2049" s="359"/>
      <c r="F2049" s="359"/>
      <c r="G2049" s="359"/>
      <c r="H2049" s="359"/>
      <c r="I2049" s="359"/>
      <c r="J2049" s="359"/>
      <c r="K2049" s="359"/>
      <c r="L2049" s="359"/>
      <c r="M2049" s="359"/>
      <c r="N2049" s="359"/>
      <c r="O2049" s="359"/>
      <c r="P2049" s="359"/>
      <c r="Q2049" s="359"/>
      <c r="R2049" s="359"/>
      <c r="S2049" s="359"/>
      <c r="T2049" s="359"/>
      <c r="U2049" s="359"/>
      <c r="V2049" s="359"/>
      <c r="W2049" s="359"/>
      <c r="X2049" s="359"/>
      <c r="Y2049" s="359"/>
      <c r="Z2049" s="359"/>
      <c r="AA2049" s="359"/>
    </row>
    <row r="2050" spans="1:27">
      <c r="A2050" s="359"/>
      <c r="B2050" s="359"/>
      <c r="C2050" s="359"/>
      <c r="D2050" s="359"/>
      <c r="E2050" s="359"/>
      <c r="F2050" s="359"/>
      <c r="G2050" s="359"/>
      <c r="H2050" s="359"/>
      <c r="I2050" s="359"/>
      <c r="J2050" s="359"/>
      <c r="K2050" s="359"/>
      <c r="L2050" s="359"/>
      <c r="M2050" s="359"/>
      <c r="N2050" s="359"/>
      <c r="O2050" s="359"/>
      <c r="P2050" s="359"/>
      <c r="Q2050" s="359"/>
      <c r="R2050" s="359"/>
      <c r="S2050" s="359"/>
      <c r="T2050" s="359"/>
      <c r="U2050" s="359"/>
      <c r="V2050" s="359"/>
      <c r="W2050" s="359"/>
      <c r="X2050" s="359"/>
      <c r="Y2050" s="359"/>
      <c r="Z2050" s="359"/>
      <c r="AA2050" s="359"/>
    </row>
    <row r="2051" spans="1:27">
      <c r="A2051" s="359"/>
      <c r="B2051" s="359"/>
      <c r="C2051" s="359"/>
      <c r="D2051" s="359"/>
      <c r="E2051" s="359"/>
      <c r="F2051" s="359"/>
      <c r="G2051" s="359"/>
      <c r="H2051" s="359"/>
      <c r="I2051" s="359"/>
      <c r="J2051" s="359"/>
      <c r="K2051" s="359"/>
      <c r="L2051" s="359"/>
      <c r="M2051" s="359"/>
      <c r="N2051" s="359"/>
      <c r="O2051" s="359"/>
      <c r="P2051" s="359"/>
      <c r="Q2051" s="359"/>
      <c r="R2051" s="359"/>
      <c r="S2051" s="359"/>
      <c r="T2051" s="359"/>
      <c r="U2051" s="359"/>
      <c r="V2051" s="359"/>
      <c r="W2051" s="359"/>
      <c r="X2051" s="359"/>
      <c r="Y2051" s="359"/>
      <c r="Z2051" s="359"/>
      <c r="AA2051" s="359"/>
    </row>
  </sheetData>
  <mergeCells count="236">
    <mergeCell ref="V1010:V1014"/>
    <mergeCell ref="V1015:V1019"/>
    <mergeCell ref="S986:S1002"/>
    <mergeCell ref="V986:V992"/>
    <mergeCell ref="V993:V998"/>
    <mergeCell ref="V999:V1002"/>
    <mergeCell ref="S1003:S1004"/>
    <mergeCell ref="V1005:V1009"/>
    <mergeCell ref="V1020:V1023"/>
    <mergeCell ref="V1063:V1067"/>
    <mergeCell ref="W1063:W1067"/>
    <mergeCell ref="W1044:W1046"/>
    <mergeCell ref="V1047:V1051"/>
    <mergeCell ref="W1047:W1051"/>
    <mergeCell ref="V1052:V1056"/>
    <mergeCell ref="W1052:W1056"/>
    <mergeCell ref="V1057:V1062"/>
    <mergeCell ref="W1057:W1062"/>
    <mergeCell ref="W1015:W1019"/>
    <mergeCell ref="W1020:W1023"/>
    <mergeCell ref="S946:S951"/>
    <mergeCell ref="V952:V953"/>
    <mergeCell ref="W964:W967"/>
    <mergeCell ref="V968:V972"/>
    <mergeCell ref="W968:W972"/>
    <mergeCell ref="V973:V977"/>
    <mergeCell ref="W973:W977"/>
    <mergeCell ref="V978:V985"/>
    <mergeCell ref="W978:W985"/>
    <mergeCell ref="V946:V947"/>
    <mergeCell ref="W946:W947"/>
    <mergeCell ref="V948:V949"/>
    <mergeCell ref="W948:W949"/>
    <mergeCell ref="V950:V951"/>
    <mergeCell ref="W950:W951"/>
    <mergeCell ref="W952:W953"/>
    <mergeCell ref="V955:V957"/>
    <mergeCell ref="W955:W957"/>
    <mergeCell ref="V958:V963"/>
    <mergeCell ref="W958:W963"/>
    <mergeCell ref="S952:S963"/>
    <mergeCell ref="V964:V967"/>
    <mergeCell ref="V1:V2"/>
    <mergeCell ref="W1:W2"/>
    <mergeCell ref="Y1:Y2"/>
    <mergeCell ref="Z1:Z2"/>
    <mergeCell ref="AA1:AA2"/>
    <mergeCell ref="H1:H2"/>
    <mergeCell ref="I1:I2"/>
    <mergeCell ref="J1:O1"/>
    <mergeCell ref="R1:R2"/>
    <mergeCell ref="S1:S2"/>
    <mergeCell ref="T1:T2"/>
    <mergeCell ref="U1:U2"/>
    <mergeCell ref="A1:A2"/>
    <mergeCell ref="B1:B2"/>
    <mergeCell ref="C1:C2"/>
    <mergeCell ref="D1:D2"/>
    <mergeCell ref="E1:E2"/>
    <mergeCell ref="F1:F2"/>
    <mergeCell ref="G1:G2"/>
    <mergeCell ref="A3:A7"/>
    <mergeCell ref="B3:B7"/>
    <mergeCell ref="A8:A13"/>
    <mergeCell ref="B8:B13"/>
    <mergeCell ref="A15:A19"/>
    <mergeCell ref="B15:B19"/>
    <mergeCell ref="B20:B23"/>
    <mergeCell ref="A20:A23"/>
    <mergeCell ref="A24:A29"/>
    <mergeCell ref="B24:B29"/>
    <mergeCell ref="A30:A76"/>
    <mergeCell ref="B30:B76"/>
    <mergeCell ref="H52:H53"/>
    <mergeCell ref="H54:H60"/>
    <mergeCell ref="A99:A112"/>
    <mergeCell ref="A113:A135"/>
    <mergeCell ref="B113:B135"/>
    <mergeCell ref="G113:G118"/>
    <mergeCell ref="G119:G123"/>
    <mergeCell ref="G124:G129"/>
    <mergeCell ref="G130:G135"/>
    <mergeCell ref="A77:A88"/>
    <mergeCell ref="B77:B88"/>
    <mergeCell ref="A89:A94"/>
    <mergeCell ref="B89:B94"/>
    <mergeCell ref="A95:A98"/>
    <mergeCell ref="B95:B98"/>
    <mergeCell ref="B99:B112"/>
    <mergeCell ref="G148:G155"/>
    <mergeCell ref="G156:G165"/>
    <mergeCell ref="R156:R159"/>
    <mergeCell ref="R166:R168"/>
    <mergeCell ref="A136:A147"/>
    <mergeCell ref="B136:B147"/>
    <mergeCell ref="G136:G147"/>
    <mergeCell ref="A148:A155"/>
    <mergeCell ref="B148:B155"/>
    <mergeCell ref="A156:A165"/>
    <mergeCell ref="B156:B165"/>
    <mergeCell ref="A166:A172"/>
    <mergeCell ref="B166:B172"/>
    <mergeCell ref="G168:G172"/>
    <mergeCell ref="A173:A174"/>
    <mergeCell ref="B173:B174"/>
    <mergeCell ref="B175:B186"/>
    <mergeCell ref="G179:G186"/>
    <mergeCell ref="G173:G174"/>
    <mergeCell ref="G175:G178"/>
    <mergeCell ref="G187:G193"/>
    <mergeCell ref="G194:G196"/>
    <mergeCell ref="G197:G201"/>
    <mergeCell ref="G202:G206"/>
    <mergeCell ref="G207:G211"/>
    <mergeCell ref="G212:G216"/>
    <mergeCell ref="G217:G222"/>
    <mergeCell ref="G223:G228"/>
    <mergeCell ref="G229:G234"/>
    <mergeCell ref="G235:G239"/>
    <mergeCell ref="G240:G244"/>
    <mergeCell ref="G245:G250"/>
    <mergeCell ref="A254:A259"/>
    <mergeCell ref="A260:A271"/>
    <mergeCell ref="B260:B271"/>
    <mergeCell ref="G251:G253"/>
    <mergeCell ref="G254:G259"/>
    <mergeCell ref="G272:G275"/>
    <mergeCell ref="G276:G281"/>
    <mergeCell ref="G282:G306"/>
    <mergeCell ref="G307:G309"/>
    <mergeCell ref="A282:A306"/>
    <mergeCell ref="B282:B306"/>
    <mergeCell ref="B307:B309"/>
    <mergeCell ref="A307:A309"/>
    <mergeCell ref="G313:G318"/>
    <mergeCell ref="B310:B312"/>
    <mergeCell ref="B313:B318"/>
    <mergeCell ref="B319:B322"/>
    <mergeCell ref="B323:B335"/>
    <mergeCell ref="B336:B338"/>
    <mergeCell ref="B339:B356"/>
    <mergeCell ref="B357:B371"/>
    <mergeCell ref="B372:B408"/>
    <mergeCell ref="B409:B420"/>
    <mergeCell ref="B421:B422"/>
    <mergeCell ref="B423:B424"/>
    <mergeCell ref="B425:B444"/>
    <mergeCell ref="B445:B580"/>
    <mergeCell ref="B581:B590"/>
    <mergeCell ref="A175:A186"/>
    <mergeCell ref="A187:A193"/>
    <mergeCell ref="B187:B193"/>
    <mergeCell ref="A194:A196"/>
    <mergeCell ref="B194:B196"/>
    <mergeCell ref="A197:A239"/>
    <mergeCell ref="B197:B239"/>
    <mergeCell ref="A240:A244"/>
    <mergeCell ref="B240:B244"/>
    <mergeCell ref="A245:A250"/>
    <mergeCell ref="B245:B250"/>
    <mergeCell ref="A251:A253"/>
    <mergeCell ref="B251:B253"/>
    <mergeCell ref="B254:B259"/>
    <mergeCell ref="A272:A275"/>
    <mergeCell ref="B272:B275"/>
    <mergeCell ref="A276:A281"/>
    <mergeCell ref="B276:B281"/>
    <mergeCell ref="A310:A312"/>
    <mergeCell ref="A313:A318"/>
    <mergeCell ref="A319:A322"/>
    <mergeCell ref="A323:A335"/>
    <mergeCell ref="A336:A338"/>
    <mergeCell ref="A339:A356"/>
    <mergeCell ref="A581:A590"/>
    <mergeCell ref="A597:A608"/>
    <mergeCell ref="A609:A613"/>
    <mergeCell ref="A616:A630"/>
    <mergeCell ref="A631:A640"/>
    <mergeCell ref="A641:A776"/>
    <mergeCell ref="A777:A813"/>
    <mergeCell ref="A814:A825"/>
    <mergeCell ref="A357:A371"/>
    <mergeCell ref="A372:A408"/>
    <mergeCell ref="A409:A420"/>
    <mergeCell ref="A421:A422"/>
    <mergeCell ref="A423:A424"/>
    <mergeCell ref="A425:A444"/>
    <mergeCell ref="A445:A580"/>
    <mergeCell ref="B592:B594"/>
    <mergeCell ref="B597:B608"/>
    <mergeCell ref="B609:B613"/>
    <mergeCell ref="B616:B630"/>
    <mergeCell ref="B631:B640"/>
    <mergeCell ref="B641:B776"/>
    <mergeCell ref="B777:B813"/>
    <mergeCell ref="B814:B825"/>
    <mergeCell ref="G319:G322"/>
    <mergeCell ref="G323:G335"/>
    <mergeCell ref="G336:G338"/>
    <mergeCell ref="G357:G371"/>
    <mergeCell ref="G372:G408"/>
    <mergeCell ref="G409:G420"/>
    <mergeCell ref="G421:G422"/>
    <mergeCell ref="G423:G424"/>
    <mergeCell ref="G425:G444"/>
    <mergeCell ref="G445:G580"/>
    <mergeCell ref="G581:G590"/>
    <mergeCell ref="G597:G608"/>
    <mergeCell ref="G609:G613"/>
    <mergeCell ref="G616:G630"/>
    <mergeCell ref="G631:G640"/>
    <mergeCell ref="G641:G776"/>
    <mergeCell ref="G777:G813"/>
    <mergeCell ref="G814:G825"/>
    <mergeCell ref="X945:X1002"/>
    <mergeCell ref="Y945:Y949"/>
    <mergeCell ref="S964:S985"/>
    <mergeCell ref="V1037:V1043"/>
    <mergeCell ref="V1044:V1046"/>
    <mergeCell ref="V1024:V1026"/>
    <mergeCell ref="W1024:W1026"/>
    <mergeCell ref="V1027:V1031"/>
    <mergeCell ref="W1027:W1031"/>
    <mergeCell ref="V1032:V1036"/>
    <mergeCell ref="W1032:W1036"/>
    <mergeCell ref="W1037:W1043"/>
    <mergeCell ref="W999:W1002"/>
    <mergeCell ref="T1003:X1004"/>
    <mergeCell ref="S1005:S1023"/>
    <mergeCell ref="S1024:S1043"/>
    <mergeCell ref="S1044:S1067"/>
    <mergeCell ref="W986:W992"/>
    <mergeCell ref="W993:W998"/>
    <mergeCell ref="W1005:W1009"/>
    <mergeCell ref="X1005:X1067"/>
    <mergeCell ref="W1010:W1014"/>
  </mergeCells>
  <hyperlinks>
    <hyperlink ref="G30" r:id="rId1" xr:uid="{00000000-0004-0000-0E00-000000000000}"/>
    <hyperlink ref="G31" r:id="rId2" xr:uid="{00000000-0004-0000-0E00-000001000000}"/>
    <hyperlink ref="G32" r:id="rId3" xr:uid="{00000000-0004-0000-0E00-000002000000}"/>
    <hyperlink ref="G33" r:id="rId4" xr:uid="{00000000-0004-0000-0E00-000003000000}"/>
    <hyperlink ref="G34" r:id="rId5" xr:uid="{00000000-0004-0000-0E00-000004000000}"/>
    <hyperlink ref="G35" r:id="rId6" xr:uid="{00000000-0004-0000-0E00-000005000000}"/>
    <hyperlink ref="G36" r:id="rId7" xr:uid="{00000000-0004-0000-0E00-000006000000}"/>
    <hyperlink ref="G37" r:id="rId8" xr:uid="{00000000-0004-0000-0E00-000007000000}"/>
    <hyperlink ref="G38" r:id="rId9" xr:uid="{00000000-0004-0000-0E00-000008000000}"/>
    <hyperlink ref="G39" r:id="rId10" xr:uid="{00000000-0004-0000-0E00-000009000000}"/>
    <hyperlink ref="G40" r:id="rId11" xr:uid="{00000000-0004-0000-0E00-00000A000000}"/>
    <hyperlink ref="G41" r:id="rId12" xr:uid="{00000000-0004-0000-0E00-00000B000000}"/>
    <hyperlink ref="G42" r:id="rId13" xr:uid="{00000000-0004-0000-0E00-00000C000000}"/>
    <hyperlink ref="G43" r:id="rId14" xr:uid="{00000000-0004-0000-0E00-00000D000000}"/>
    <hyperlink ref="G44" r:id="rId15" xr:uid="{00000000-0004-0000-0E00-00000E000000}"/>
    <hyperlink ref="G45" r:id="rId16" xr:uid="{00000000-0004-0000-0E00-00000F000000}"/>
    <hyperlink ref="G46" r:id="rId17" xr:uid="{00000000-0004-0000-0E00-000010000000}"/>
    <hyperlink ref="G47" r:id="rId18" xr:uid="{00000000-0004-0000-0E00-000011000000}"/>
    <hyperlink ref="G48" r:id="rId19" xr:uid="{00000000-0004-0000-0E00-000012000000}"/>
    <hyperlink ref="G49" r:id="rId20" xr:uid="{00000000-0004-0000-0E00-000013000000}"/>
    <hyperlink ref="G50" r:id="rId21" xr:uid="{00000000-0004-0000-0E00-000014000000}"/>
    <hyperlink ref="G51" r:id="rId22" xr:uid="{00000000-0004-0000-0E00-000015000000}"/>
    <hyperlink ref="G52" r:id="rId23" xr:uid="{00000000-0004-0000-0E00-000016000000}"/>
    <hyperlink ref="G53" r:id="rId24" xr:uid="{00000000-0004-0000-0E00-000017000000}"/>
    <hyperlink ref="G54" r:id="rId25" xr:uid="{00000000-0004-0000-0E00-000018000000}"/>
    <hyperlink ref="G55" r:id="rId26" xr:uid="{00000000-0004-0000-0E00-000019000000}"/>
    <hyperlink ref="G56" r:id="rId27" xr:uid="{00000000-0004-0000-0E00-00001A000000}"/>
    <hyperlink ref="G57" r:id="rId28" xr:uid="{00000000-0004-0000-0E00-00001B000000}"/>
    <hyperlink ref="G58" r:id="rId29" xr:uid="{00000000-0004-0000-0E00-00001C000000}"/>
    <hyperlink ref="G59" r:id="rId30" xr:uid="{00000000-0004-0000-0E00-00001D000000}"/>
    <hyperlink ref="G60" r:id="rId31" xr:uid="{00000000-0004-0000-0E00-00001E000000}"/>
    <hyperlink ref="G61" r:id="rId32" xr:uid="{00000000-0004-0000-0E00-00001F000000}"/>
    <hyperlink ref="G62" r:id="rId33" xr:uid="{00000000-0004-0000-0E00-000020000000}"/>
    <hyperlink ref="G63" r:id="rId34" xr:uid="{00000000-0004-0000-0E00-000021000000}"/>
    <hyperlink ref="G64" r:id="rId35" xr:uid="{00000000-0004-0000-0E00-000022000000}"/>
    <hyperlink ref="G65" r:id="rId36" xr:uid="{00000000-0004-0000-0E00-000023000000}"/>
    <hyperlink ref="G66" r:id="rId37" xr:uid="{00000000-0004-0000-0E00-000024000000}"/>
    <hyperlink ref="G67" r:id="rId38" xr:uid="{00000000-0004-0000-0E00-000025000000}"/>
    <hyperlink ref="G68" r:id="rId39" xr:uid="{00000000-0004-0000-0E00-000026000000}"/>
    <hyperlink ref="G69" r:id="rId40" xr:uid="{00000000-0004-0000-0E00-000027000000}"/>
    <hyperlink ref="G70" r:id="rId41" xr:uid="{00000000-0004-0000-0E00-000028000000}"/>
    <hyperlink ref="G71" r:id="rId42" xr:uid="{00000000-0004-0000-0E00-000029000000}"/>
    <hyperlink ref="G72" r:id="rId43" xr:uid="{00000000-0004-0000-0E00-00002A000000}"/>
    <hyperlink ref="G73" r:id="rId44" xr:uid="{00000000-0004-0000-0E00-00002B000000}"/>
    <hyperlink ref="G74" r:id="rId45" xr:uid="{00000000-0004-0000-0E00-00002C000000}"/>
    <hyperlink ref="G75" r:id="rId46" xr:uid="{00000000-0004-0000-0E00-00002D000000}"/>
    <hyperlink ref="G76" r:id="rId47" xr:uid="{00000000-0004-0000-0E00-00002E000000}"/>
    <hyperlink ref="G89" r:id="rId48" xr:uid="{00000000-0004-0000-0E00-00002F000000}"/>
    <hyperlink ref="G90" r:id="rId49" xr:uid="{00000000-0004-0000-0E00-000030000000}"/>
    <hyperlink ref="G91" r:id="rId50" xr:uid="{00000000-0004-0000-0E00-000031000000}"/>
    <hyperlink ref="G92" r:id="rId51" xr:uid="{00000000-0004-0000-0E00-000032000000}"/>
    <hyperlink ref="G93" r:id="rId52" xr:uid="{00000000-0004-0000-0E00-000033000000}"/>
    <hyperlink ref="G94" r:id="rId53" xr:uid="{00000000-0004-0000-0E00-000034000000}"/>
    <hyperlink ref="G95" r:id="rId54" xr:uid="{00000000-0004-0000-0E00-000035000000}"/>
    <hyperlink ref="G96" r:id="rId55" xr:uid="{00000000-0004-0000-0E00-000036000000}"/>
    <hyperlink ref="G97" r:id="rId56" xr:uid="{00000000-0004-0000-0E00-000037000000}"/>
    <hyperlink ref="G98" r:id="rId57" xr:uid="{00000000-0004-0000-0E00-000038000000}"/>
    <hyperlink ref="G113" r:id="rId58" xr:uid="{00000000-0004-0000-0E00-000039000000}"/>
    <hyperlink ref="G119" r:id="rId59" xr:uid="{00000000-0004-0000-0E00-00003A000000}"/>
    <hyperlink ref="G124" r:id="rId60" xr:uid="{00000000-0004-0000-0E00-00003B000000}"/>
    <hyperlink ref="G130" r:id="rId61" xr:uid="{00000000-0004-0000-0E00-00003C000000}"/>
    <hyperlink ref="G167" r:id="rId62" xr:uid="{00000000-0004-0000-0E00-00003D000000}"/>
    <hyperlink ref="G194" r:id="rId63" xr:uid="{00000000-0004-0000-0E00-00003E000000}"/>
    <hyperlink ref="G207" r:id="rId64" xr:uid="{00000000-0004-0000-0E00-00003F000000}"/>
    <hyperlink ref="G212" r:id="rId65" xr:uid="{00000000-0004-0000-0E00-000040000000}"/>
    <hyperlink ref="G235" r:id="rId66" xr:uid="{00000000-0004-0000-0E00-000041000000}"/>
    <hyperlink ref="G240" r:id="rId67" xr:uid="{00000000-0004-0000-0E00-000042000000}"/>
    <hyperlink ref="G245" r:id="rId68" xr:uid="{00000000-0004-0000-0E00-000043000000}"/>
    <hyperlink ref="G251" r:id="rId69" xr:uid="{00000000-0004-0000-0E00-000044000000}"/>
    <hyperlink ref="G254" r:id="rId70" xr:uid="{00000000-0004-0000-0E00-000045000000}"/>
    <hyperlink ref="G272" r:id="rId71" xr:uid="{00000000-0004-0000-0E00-000046000000}"/>
    <hyperlink ref="G276" r:id="rId72" xr:uid="{00000000-0004-0000-0E00-000047000000}"/>
    <hyperlink ref="G282" r:id="rId73" xr:uid="{00000000-0004-0000-0E00-000048000000}"/>
    <hyperlink ref="G307" r:id="rId74" xr:uid="{00000000-0004-0000-0E00-000049000000}"/>
    <hyperlink ref="G313" r:id="rId75" xr:uid="{00000000-0004-0000-0E00-00004A000000}"/>
    <hyperlink ref="G319" r:id="rId76" xr:uid="{00000000-0004-0000-0E00-00004B000000}"/>
    <hyperlink ref="G323" r:id="rId77" xr:uid="{00000000-0004-0000-0E00-00004C000000}"/>
    <hyperlink ref="G336" r:id="rId78" xr:uid="{00000000-0004-0000-0E00-00004D000000}"/>
    <hyperlink ref="G339" r:id="rId79" xr:uid="{00000000-0004-0000-0E00-00004E000000}"/>
    <hyperlink ref="G340" r:id="rId80" xr:uid="{00000000-0004-0000-0E00-00004F000000}"/>
    <hyperlink ref="G341" r:id="rId81" xr:uid="{00000000-0004-0000-0E00-000050000000}"/>
    <hyperlink ref="G342" r:id="rId82" xr:uid="{00000000-0004-0000-0E00-000051000000}"/>
    <hyperlink ref="G343" r:id="rId83" xr:uid="{00000000-0004-0000-0E00-000052000000}"/>
    <hyperlink ref="G344" r:id="rId84" xr:uid="{00000000-0004-0000-0E00-000053000000}"/>
    <hyperlink ref="G345" r:id="rId85" xr:uid="{00000000-0004-0000-0E00-000054000000}"/>
    <hyperlink ref="G346" r:id="rId86" xr:uid="{00000000-0004-0000-0E00-000055000000}"/>
    <hyperlink ref="G347" r:id="rId87" xr:uid="{00000000-0004-0000-0E00-000056000000}"/>
    <hyperlink ref="G348" r:id="rId88" xr:uid="{00000000-0004-0000-0E00-000057000000}"/>
    <hyperlink ref="G349" r:id="rId89" xr:uid="{00000000-0004-0000-0E00-000058000000}"/>
    <hyperlink ref="G350" r:id="rId90" xr:uid="{00000000-0004-0000-0E00-000059000000}"/>
    <hyperlink ref="G351" r:id="rId91" xr:uid="{00000000-0004-0000-0E00-00005A000000}"/>
    <hyperlink ref="G352" r:id="rId92" xr:uid="{00000000-0004-0000-0E00-00005B000000}"/>
    <hyperlink ref="G353" r:id="rId93" xr:uid="{00000000-0004-0000-0E00-00005C000000}"/>
    <hyperlink ref="G357" r:id="rId94" xr:uid="{00000000-0004-0000-0E00-00005D000000}"/>
    <hyperlink ref="G372" r:id="rId95" xr:uid="{00000000-0004-0000-0E00-00005E000000}"/>
    <hyperlink ref="G409" r:id="rId96" xr:uid="{00000000-0004-0000-0E00-00005F000000}"/>
    <hyperlink ref="G421" r:id="rId97" xr:uid="{00000000-0004-0000-0E00-000060000000}"/>
    <hyperlink ref="G423" r:id="rId98" xr:uid="{00000000-0004-0000-0E00-000061000000}"/>
    <hyperlink ref="G445" r:id="rId99" xr:uid="{00000000-0004-0000-0E00-000062000000}"/>
    <hyperlink ref="G581" r:id="rId100" xr:uid="{00000000-0004-0000-0E00-000063000000}"/>
    <hyperlink ref="G591" r:id="rId101" xr:uid="{00000000-0004-0000-0E00-000064000000}"/>
    <hyperlink ref="G592" r:id="rId102" xr:uid="{00000000-0004-0000-0E00-000065000000}"/>
    <hyperlink ref="G595" r:id="rId103" xr:uid="{00000000-0004-0000-0E00-000066000000}"/>
    <hyperlink ref="G597" r:id="rId104" xr:uid="{00000000-0004-0000-0E00-000067000000}"/>
    <hyperlink ref="G609" r:id="rId105" xr:uid="{00000000-0004-0000-0E00-000068000000}"/>
    <hyperlink ref="G615" r:id="rId106" xr:uid="{00000000-0004-0000-0E00-000069000000}"/>
    <hyperlink ref="G616" r:id="rId107" xr:uid="{00000000-0004-0000-0E00-00006A000000}"/>
    <hyperlink ref="G631" r:id="rId108" xr:uid="{00000000-0004-0000-0E00-00006B000000}"/>
    <hyperlink ref="G641" r:id="rId109" xr:uid="{00000000-0004-0000-0E00-00006C000000}"/>
    <hyperlink ref="G777" r:id="rId110" xr:uid="{00000000-0004-0000-0E00-00006D000000}"/>
    <hyperlink ref="G814" r:id="rId111" xr:uid="{00000000-0004-0000-0E00-00006E000000}"/>
  </hyperlinks>
  <pageMargins left="0" right="0" top="0" bottom="0" header="0" footer="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K9"/>
  <sheetViews>
    <sheetView workbookViewId="0">
      <pane ySplit="1" topLeftCell="A2" activePane="bottomLeft" state="frozen"/>
      <selection pane="bottomLeft" activeCell="B3" sqref="B3"/>
    </sheetView>
  </sheetViews>
  <sheetFormatPr defaultColWidth="12.5703125" defaultRowHeight="15.75" customHeight="1"/>
  <cols>
    <col min="3" max="3" width="10.5703125" customWidth="1"/>
    <col min="4" max="4" width="12" customWidth="1"/>
    <col min="5" max="5" width="25.28515625" customWidth="1"/>
    <col min="10" max="10" width="38.7109375" customWidth="1"/>
  </cols>
  <sheetData>
    <row r="1" spans="1:11">
      <c r="A1" s="405" t="s">
        <v>10791</v>
      </c>
      <c r="B1" s="405" t="s">
        <v>10792</v>
      </c>
      <c r="C1" s="405" t="s">
        <v>1710</v>
      </c>
      <c r="D1" s="405" t="s">
        <v>1714</v>
      </c>
      <c r="E1" s="405" t="s">
        <v>10793</v>
      </c>
      <c r="F1" s="405" t="s">
        <v>10794</v>
      </c>
      <c r="G1" s="405" t="s">
        <v>10795</v>
      </c>
      <c r="H1" s="405" t="s">
        <v>572</v>
      </c>
      <c r="I1" s="405" t="s">
        <v>10796</v>
      </c>
      <c r="J1" s="405" t="s">
        <v>1716</v>
      </c>
    </row>
    <row r="2" spans="1:11">
      <c r="A2" s="406" t="s">
        <v>10797</v>
      </c>
      <c r="B2" s="406" t="s">
        <v>114</v>
      </c>
      <c r="C2" s="406" t="s">
        <v>114</v>
      </c>
      <c r="D2" s="406"/>
      <c r="E2" s="406"/>
      <c r="F2" s="406"/>
      <c r="G2" s="406"/>
      <c r="H2" s="406"/>
      <c r="I2" s="406"/>
      <c r="J2" s="406" t="s">
        <v>10798</v>
      </c>
      <c r="K2" s="153"/>
    </row>
    <row r="3" spans="1:11">
      <c r="A3" s="406" t="s">
        <v>10797</v>
      </c>
      <c r="B3" s="83" t="s">
        <v>114</v>
      </c>
      <c r="C3" s="83" t="s">
        <v>114</v>
      </c>
      <c r="D3" s="83"/>
      <c r="E3" s="83"/>
      <c r="F3" s="83"/>
      <c r="G3" s="83"/>
      <c r="H3" s="83"/>
      <c r="I3" s="83"/>
      <c r="J3" s="83" t="s">
        <v>10799</v>
      </c>
    </row>
    <row r="4" spans="1:11">
      <c r="A4" s="83" t="s">
        <v>10800</v>
      </c>
      <c r="B4" s="83" t="s">
        <v>114</v>
      </c>
      <c r="C4" s="83" t="s">
        <v>114</v>
      </c>
      <c r="D4" s="83"/>
      <c r="E4" s="83"/>
      <c r="F4" s="83"/>
      <c r="G4" s="83"/>
      <c r="H4" s="83"/>
      <c r="I4" s="83"/>
      <c r="J4" s="83" t="s">
        <v>10801</v>
      </c>
    </row>
    <row r="5" spans="1:11">
      <c r="A5" s="83" t="s">
        <v>10802</v>
      </c>
      <c r="B5" s="83" t="s">
        <v>114</v>
      </c>
      <c r="C5" s="83" t="s">
        <v>114</v>
      </c>
      <c r="D5" s="83"/>
      <c r="E5" s="83"/>
      <c r="F5" s="83"/>
      <c r="G5" s="83"/>
      <c r="H5" s="83"/>
      <c r="I5" s="83"/>
      <c r="J5" s="83" t="s">
        <v>10801</v>
      </c>
    </row>
    <row r="6" spans="1:11">
      <c r="A6" s="83" t="s">
        <v>10800</v>
      </c>
      <c r="B6" s="83" t="s">
        <v>114</v>
      </c>
      <c r="C6" s="83" t="s">
        <v>114</v>
      </c>
      <c r="D6" s="83"/>
      <c r="E6" s="83"/>
      <c r="F6" s="83"/>
      <c r="G6" s="83"/>
      <c r="H6" s="83" t="s">
        <v>10803</v>
      </c>
      <c r="I6" s="83" t="s">
        <v>10804</v>
      </c>
      <c r="J6" s="83"/>
    </row>
    <row r="7" spans="1:11">
      <c r="A7" s="83" t="s">
        <v>10802</v>
      </c>
      <c r="B7" s="83" t="s">
        <v>114</v>
      </c>
      <c r="C7" s="83" t="s">
        <v>114</v>
      </c>
      <c r="D7" s="83"/>
      <c r="E7" s="83"/>
      <c r="F7" s="83"/>
      <c r="G7" s="83"/>
      <c r="H7" s="83" t="s">
        <v>10803</v>
      </c>
      <c r="I7" s="83" t="s">
        <v>10804</v>
      </c>
      <c r="J7" s="83"/>
    </row>
    <row r="8" spans="1:11">
      <c r="A8" s="111" t="s">
        <v>10805</v>
      </c>
      <c r="B8" s="111" t="s">
        <v>114</v>
      </c>
      <c r="C8" s="111" t="s">
        <v>114</v>
      </c>
      <c r="J8" s="83" t="s">
        <v>10801</v>
      </c>
    </row>
    <row r="9" spans="1:11">
      <c r="A9" s="111" t="s">
        <v>10805</v>
      </c>
      <c r="B9" s="111" t="s">
        <v>114</v>
      </c>
      <c r="C9" s="111" t="s">
        <v>114</v>
      </c>
      <c r="H9" s="83" t="s">
        <v>10803</v>
      </c>
      <c r="I9" s="83" t="s">
        <v>10804</v>
      </c>
    </row>
  </sheetData>
  <pageMargins left="0" right="0" top="0" bottom="0" header="0" footer="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34A853"/>
    <outlinePr summaryBelow="0" summaryRight="0"/>
  </sheetPr>
  <dimension ref="A1:W1095"/>
  <sheetViews>
    <sheetView workbookViewId="0">
      <pane xSplit="5" ySplit="2" topLeftCell="F3" activePane="bottomRight" state="frozen"/>
      <selection pane="bottomRight" activeCell="F3" sqref="F3"/>
      <selection pane="bottomLeft" activeCell="A3" sqref="A3"/>
      <selection pane="topRight" activeCell="F1" sqref="F1"/>
    </sheetView>
  </sheetViews>
  <sheetFormatPr defaultColWidth="12.5703125" defaultRowHeight="15.75" customHeight="1"/>
  <cols>
    <col min="1" max="1" width="10.140625" customWidth="1"/>
    <col min="2" max="2" width="8.85546875" customWidth="1"/>
    <col min="3" max="3" width="21" customWidth="1"/>
    <col min="4" max="4" width="23.140625" customWidth="1"/>
    <col min="5" max="5" width="24.28515625" customWidth="1"/>
    <col min="6" max="6" width="29.42578125" customWidth="1"/>
    <col min="7" max="7" width="15.7109375" customWidth="1"/>
    <col min="8" max="8" width="25.140625" customWidth="1"/>
    <col min="9" max="9" width="7.42578125" customWidth="1"/>
    <col min="10" max="10" width="6.42578125" customWidth="1"/>
    <col min="11" max="11" width="7" customWidth="1"/>
    <col min="16" max="16" width="14.140625" customWidth="1"/>
    <col min="21" max="21" width="14" customWidth="1"/>
    <col min="23" max="23" width="12.5703125" style="216"/>
  </cols>
  <sheetData>
    <row r="1" spans="1:22">
      <c r="A1" s="710" t="s">
        <v>10806</v>
      </c>
      <c r="B1" s="710" t="s">
        <v>1708</v>
      </c>
      <c r="C1" s="710" t="s">
        <v>1709</v>
      </c>
      <c r="D1" s="710" t="s">
        <v>1710</v>
      </c>
      <c r="E1" s="710" t="s">
        <v>1711</v>
      </c>
      <c r="F1" s="710" t="s">
        <v>1712</v>
      </c>
      <c r="G1" s="710" t="s">
        <v>3697</v>
      </c>
      <c r="H1" s="710" t="s">
        <v>1714</v>
      </c>
      <c r="I1" s="756" t="s">
        <v>1715</v>
      </c>
      <c r="J1" s="775"/>
      <c r="K1" s="770"/>
      <c r="L1" s="407"/>
      <c r="M1" s="407"/>
      <c r="N1" s="710" t="s">
        <v>1716</v>
      </c>
      <c r="O1" s="710" t="s">
        <v>1717</v>
      </c>
      <c r="P1" s="710" t="s">
        <v>1718</v>
      </c>
      <c r="Q1" s="710" t="s">
        <v>1719</v>
      </c>
      <c r="R1" s="710" t="s">
        <v>1720</v>
      </c>
      <c r="S1" s="714" t="s">
        <v>1721</v>
      </c>
      <c r="T1" s="714" t="s">
        <v>1722</v>
      </c>
      <c r="U1" s="701" t="s">
        <v>1723</v>
      </c>
      <c r="V1" s="702" t="s">
        <v>1724</v>
      </c>
    </row>
    <row r="2" spans="1:22">
      <c r="A2" s="774"/>
      <c r="B2" s="774"/>
      <c r="C2" s="774"/>
      <c r="D2" s="774"/>
      <c r="E2" s="774"/>
      <c r="F2" s="774"/>
      <c r="G2" s="774"/>
      <c r="H2" s="774"/>
      <c r="I2" s="266" t="s">
        <v>10807</v>
      </c>
      <c r="J2" s="266" t="s">
        <v>7376</v>
      </c>
      <c r="K2" s="266" t="s">
        <v>10808</v>
      </c>
      <c r="L2" s="151" t="s">
        <v>1726</v>
      </c>
      <c r="M2" s="151" t="s">
        <v>1727</v>
      </c>
      <c r="N2" s="774"/>
      <c r="O2" s="774"/>
      <c r="P2" s="774"/>
      <c r="Q2" s="774"/>
      <c r="R2" s="774"/>
      <c r="S2" s="774"/>
      <c r="T2" s="774"/>
      <c r="U2" s="773"/>
      <c r="V2" s="773"/>
    </row>
    <row r="3" spans="1:22">
      <c r="A3" s="233" t="s">
        <v>10809</v>
      </c>
      <c r="B3" s="233" t="s">
        <v>10810</v>
      </c>
      <c r="C3" s="408" t="s">
        <v>10811</v>
      </c>
      <c r="D3" s="408" t="s">
        <v>10811</v>
      </c>
      <c r="E3" s="233" t="s">
        <v>1743</v>
      </c>
      <c r="F3" s="408" t="s">
        <v>10812</v>
      </c>
      <c r="G3" s="408"/>
      <c r="H3" s="408" t="s">
        <v>10813</v>
      </c>
      <c r="I3" s="409" t="s">
        <v>1736</v>
      </c>
      <c r="J3" s="410" t="s">
        <v>4913</v>
      </c>
      <c r="K3" s="410" t="s">
        <v>4913</v>
      </c>
      <c r="L3" s="409" t="s">
        <v>1737</v>
      </c>
      <c r="M3" s="409" t="s">
        <v>1737</v>
      </c>
      <c r="N3" s="233"/>
      <c r="O3" s="233" t="s">
        <v>7610</v>
      </c>
      <c r="P3" s="233" t="s">
        <v>10814</v>
      </c>
      <c r="Q3" s="233" t="s">
        <v>8244</v>
      </c>
      <c r="R3" s="233" t="s">
        <v>10815</v>
      </c>
      <c r="S3" s="233"/>
      <c r="T3" s="233"/>
      <c r="U3" s="233" t="s">
        <v>8376</v>
      </c>
      <c r="V3" s="172" t="s">
        <v>4803</v>
      </c>
    </row>
    <row r="4" spans="1:22">
      <c r="A4" s="233" t="s">
        <v>10816</v>
      </c>
      <c r="B4" s="233" t="s">
        <v>10817</v>
      </c>
      <c r="C4" s="408" t="s">
        <v>10818</v>
      </c>
      <c r="D4" s="408" t="s">
        <v>10818</v>
      </c>
      <c r="E4" s="233" t="s">
        <v>1743</v>
      </c>
      <c r="F4" s="233" t="s">
        <v>10819</v>
      </c>
      <c r="G4" s="408"/>
      <c r="H4" s="408" t="s">
        <v>10820</v>
      </c>
      <c r="I4" s="409" t="s">
        <v>1736</v>
      </c>
      <c r="J4" s="410" t="s">
        <v>4913</v>
      </c>
      <c r="K4" s="410" t="s">
        <v>4913</v>
      </c>
      <c r="L4" s="409" t="s">
        <v>1737</v>
      </c>
      <c r="M4" s="409" t="s">
        <v>1737</v>
      </c>
      <c r="N4" s="233"/>
      <c r="O4" s="233" t="s">
        <v>7610</v>
      </c>
      <c r="P4" s="233" t="s">
        <v>10821</v>
      </c>
      <c r="Q4" s="233" t="s">
        <v>8244</v>
      </c>
      <c r="R4" s="233" t="s">
        <v>10822</v>
      </c>
      <c r="S4" s="233"/>
      <c r="T4" s="233"/>
      <c r="U4" s="233" t="s">
        <v>8376</v>
      </c>
      <c r="V4" s="172" t="s">
        <v>4803</v>
      </c>
    </row>
    <row r="5" spans="1:22">
      <c r="A5" s="233" t="s">
        <v>10823</v>
      </c>
      <c r="B5" s="233" t="s">
        <v>10824</v>
      </c>
      <c r="C5" s="408" t="s">
        <v>10825</v>
      </c>
      <c r="D5" s="408" t="s">
        <v>10825</v>
      </c>
      <c r="E5" s="233" t="s">
        <v>1743</v>
      </c>
      <c r="F5" s="233" t="s">
        <v>10826</v>
      </c>
      <c r="G5" s="408"/>
      <c r="H5" s="408" t="s">
        <v>10820</v>
      </c>
      <c r="I5" s="409" t="s">
        <v>1736</v>
      </c>
      <c r="J5" s="410" t="s">
        <v>4913</v>
      </c>
      <c r="K5" s="410" t="s">
        <v>4913</v>
      </c>
      <c r="L5" s="409" t="s">
        <v>1737</v>
      </c>
      <c r="M5" s="409" t="s">
        <v>1737</v>
      </c>
      <c r="N5" s="233"/>
      <c r="O5" s="233" t="s">
        <v>7610</v>
      </c>
      <c r="P5" s="233" t="s">
        <v>10827</v>
      </c>
      <c r="Q5" s="233" t="s">
        <v>8244</v>
      </c>
      <c r="R5" s="233" t="s">
        <v>10828</v>
      </c>
      <c r="S5" s="233"/>
      <c r="T5" s="233"/>
      <c r="U5" s="233" t="s">
        <v>8376</v>
      </c>
      <c r="V5" s="172" t="s">
        <v>4803</v>
      </c>
    </row>
    <row r="6" spans="1:22">
      <c r="A6" s="233" t="s">
        <v>10829</v>
      </c>
      <c r="B6" s="233" t="s">
        <v>10830</v>
      </c>
      <c r="C6" s="408" t="s">
        <v>10831</v>
      </c>
      <c r="D6" s="408" t="s">
        <v>10831</v>
      </c>
      <c r="E6" s="233" t="s">
        <v>1732</v>
      </c>
      <c r="F6" s="233" t="s">
        <v>10832</v>
      </c>
      <c r="G6" s="408"/>
      <c r="H6" s="408" t="s">
        <v>10833</v>
      </c>
      <c r="I6" s="409" t="s">
        <v>1736</v>
      </c>
      <c r="J6" s="410" t="s">
        <v>4913</v>
      </c>
      <c r="K6" s="410" t="s">
        <v>4913</v>
      </c>
      <c r="L6" s="409" t="s">
        <v>1737</v>
      </c>
      <c r="M6" s="409" t="s">
        <v>1737</v>
      </c>
      <c r="N6" s="233"/>
      <c r="O6" s="233" t="s">
        <v>7610</v>
      </c>
      <c r="P6" s="233" t="s">
        <v>10834</v>
      </c>
      <c r="Q6" s="233" t="s">
        <v>8244</v>
      </c>
      <c r="R6" s="233" t="s">
        <v>10835</v>
      </c>
      <c r="S6" s="233"/>
      <c r="T6" s="233"/>
      <c r="U6" s="233" t="s">
        <v>8376</v>
      </c>
      <c r="V6" s="172" t="s">
        <v>4803</v>
      </c>
    </row>
    <row r="7" spans="1:22">
      <c r="A7" s="233" t="s">
        <v>10836</v>
      </c>
      <c r="B7" s="233" t="s">
        <v>10837</v>
      </c>
      <c r="C7" s="408" t="s">
        <v>10838</v>
      </c>
      <c r="D7" s="408" t="s">
        <v>10838</v>
      </c>
      <c r="E7" s="233" t="s">
        <v>1732</v>
      </c>
      <c r="F7" s="233" t="s">
        <v>10839</v>
      </c>
      <c r="G7" s="408"/>
      <c r="H7" s="408" t="s">
        <v>10840</v>
      </c>
      <c r="I7" s="409" t="s">
        <v>1736</v>
      </c>
      <c r="J7" s="410" t="s">
        <v>4913</v>
      </c>
      <c r="K7" s="410" t="s">
        <v>4913</v>
      </c>
      <c r="L7" s="409" t="s">
        <v>1737</v>
      </c>
      <c r="M7" s="409" t="s">
        <v>1737</v>
      </c>
      <c r="N7" s="233"/>
      <c r="O7" s="233" t="s">
        <v>7610</v>
      </c>
      <c r="P7" s="233" t="s">
        <v>10841</v>
      </c>
      <c r="Q7" s="233" t="s">
        <v>8244</v>
      </c>
      <c r="R7" s="233" t="s">
        <v>10828</v>
      </c>
      <c r="S7" s="233"/>
      <c r="T7" s="233"/>
      <c r="U7" s="233" t="s">
        <v>8376</v>
      </c>
      <c r="V7" s="172" t="s">
        <v>4803</v>
      </c>
    </row>
    <row r="8" spans="1:22">
      <c r="A8" s="233" t="s">
        <v>10842</v>
      </c>
      <c r="B8" s="233" t="s">
        <v>10843</v>
      </c>
      <c r="C8" s="408" t="s">
        <v>10844</v>
      </c>
      <c r="D8" s="408" t="s">
        <v>10844</v>
      </c>
      <c r="E8" s="233" t="s">
        <v>1732</v>
      </c>
      <c r="F8" s="233" t="s">
        <v>10845</v>
      </c>
      <c r="G8" s="408"/>
      <c r="H8" s="408" t="s">
        <v>10846</v>
      </c>
      <c r="I8" s="409" t="s">
        <v>1736</v>
      </c>
      <c r="J8" s="410" t="s">
        <v>4913</v>
      </c>
      <c r="K8" s="410" t="s">
        <v>4913</v>
      </c>
      <c r="L8" s="409" t="s">
        <v>1737</v>
      </c>
      <c r="M8" s="409" t="s">
        <v>1737</v>
      </c>
      <c r="N8" s="233"/>
      <c r="O8" s="233" t="s">
        <v>10847</v>
      </c>
      <c r="P8" s="233" t="s">
        <v>10848</v>
      </c>
      <c r="Q8" s="233" t="s">
        <v>8236</v>
      </c>
      <c r="R8" s="233" t="s">
        <v>10849</v>
      </c>
      <c r="S8" s="233"/>
      <c r="T8" s="233"/>
      <c r="U8" s="233" t="s">
        <v>8376</v>
      </c>
      <c r="V8" s="172" t="s">
        <v>4803</v>
      </c>
    </row>
    <row r="9" spans="1:22">
      <c r="A9" s="233" t="s">
        <v>10850</v>
      </c>
      <c r="B9" s="233" t="s">
        <v>10851</v>
      </c>
      <c r="C9" s="408" t="s">
        <v>10852</v>
      </c>
      <c r="D9" s="408" t="s">
        <v>10852</v>
      </c>
      <c r="E9" s="233" t="s">
        <v>1743</v>
      </c>
      <c r="F9" s="233" t="s">
        <v>10853</v>
      </c>
      <c r="G9" s="408"/>
      <c r="H9" s="408" t="s">
        <v>10854</v>
      </c>
      <c r="I9" s="409" t="s">
        <v>1736</v>
      </c>
      <c r="J9" s="410" t="s">
        <v>4913</v>
      </c>
      <c r="K9" s="410" t="s">
        <v>4913</v>
      </c>
      <c r="L9" s="409" t="s">
        <v>1737</v>
      </c>
      <c r="M9" s="409" t="s">
        <v>1737</v>
      </c>
      <c r="N9" s="233"/>
      <c r="O9" s="233" t="s">
        <v>10847</v>
      </c>
      <c r="P9" s="233" t="s">
        <v>10855</v>
      </c>
      <c r="Q9" s="233" t="s">
        <v>8236</v>
      </c>
      <c r="R9" s="233" t="s">
        <v>10856</v>
      </c>
      <c r="S9" s="233"/>
      <c r="T9" s="233"/>
      <c r="U9" s="233" t="s">
        <v>8376</v>
      </c>
      <c r="V9" s="172" t="s">
        <v>4803</v>
      </c>
    </row>
    <row r="10" spans="1:22">
      <c r="A10" s="233" t="s">
        <v>10857</v>
      </c>
      <c r="B10" s="233" t="s">
        <v>10858</v>
      </c>
      <c r="C10" s="408" t="s">
        <v>10859</v>
      </c>
      <c r="D10" s="408" t="s">
        <v>10859</v>
      </c>
      <c r="E10" s="233" t="s">
        <v>1743</v>
      </c>
      <c r="F10" s="233" t="s">
        <v>10860</v>
      </c>
      <c r="G10" s="408"/>
      <c r="H10" s="408" t="s">
        <v>10861</v>
      </c>
      <c r="I10" s="409" t="s">
        <v>1736</v>
      </c>
      <c r="J10" s="410" t="s">
        <v>4913</v>
      </c>
      <c r="K10" s="410" t="s">
        <v>4913</v>
      </c>
      <c r="L10" s="409" t="s">
        <v>1737</v>
      </c>
      <c r="M10" s="409" t="s">
        <v>1737</v>
      </c>
      <c r="N10" s="233"/>
      <c r="O10" s="233" t="s">
        <v>10847</v>
      </c>
      <c r="P10" s="233" t="s">
        <v>10862</v>
      </c>
      <c r="Q10" s="233" t="s">
        <v>8236</v>
      </c>
      <c r="R10" s="233" t="s">
        <v>10863</v>
      </c>
      <c r="S10" s="233"/>
      <c r="T10" s="233"/>
      <c r="U10" s="233" t="s">
        <v>8376</v>
      </c>
      <c r="V10" s="172" t="s">
        <v>4803</v>
      </c>
    </row>
    <row r="11" spans="1:22">
      <c r="A11" s="233" t="s">
        <v>10864</v>
      </c>
      <c r="B11" s="233" t="s">
        <v>10865</v>
      </c>
      <c r="C11" s="408" t="s">
        <v>10866</v>
      </c>
      <c r="D11" s="408" t="s">
        <v>10866</v>
      </c>
      <c r="E11" s="233" t="s">
        <v>1732</v>
      </c>
      <c r="F11" s="233" t="s">
        <v>10867</v>
      </c>
      <c r="G11" s="408"/>
      <c r="H11" s="408" t="s">
        <v>10868</v>
      </c>
      <c r="I11" s="409" t="s">
        <v>1736</v>
      </c>
      <c r="J11" s="410" t="s">
        <v>4913</v>
      </c>
      <c r="K11" s="410" t="s">
        <v>4913</v>
      </c>
      <c r="L11" s="409" t="s">
        <v>1737</v>
      </c>
      <c r="M11" s="409" t="s">
        <v>1737</v>
      </c>
      <c r="N11" s="233"/>
      <c r="O11" s="233" t="s">
        <v>10847</v>
      </c>
      <c r="P11" s="233" t="s">
        <v>10869</v>
      </c>
      <c r="Q11" s="233" t="s">
        <v>8236</v>
      </c>
      <c r="R11" s="233" t="s">
        <v>10870</v>
      </c>
      <c r="S11" s="233"/>
      <c r="T11" s="233"/>
      <c r="U11" s="233" t="s">
        <v>8376</v>
      </c>
      <c r="V11" s="172" t="s">
        <v>4803</v>
      </c>
    </row>
    <row r="12" spans="1:22">
      <c r="A12" s="233" t="s">
        <v>10871</v>
      </c>
      <c r="B12" s="233" t="s">
        <v>10872</v>
      </c>
      <c r="C12" s="408" t="s">
        <v>10873</v>
      </c>
      <c r="D12" s="408" t="s">
        <v>10873</v>
      </c>
      <c r="E12" s="233" t="s">
        <v>1732</v>
      </c>
      <c r="F12" s="233" t="s">
        <v>10874</v>
      </c>
      <c r="G12" s="408"/>
      <c r="H12" s="408" t="s">
        <v>10875</v>
      </c>
      <c r="I12" s="409" t="s">
        <v>1736</v>
      </c>
      <c r="J12" s="410" t="s">
        <v>4913</v>
      </c>
      <c r="K12" s="410" t="s">
        <v>4913</v>
      </c>
      <c r="L12" s="409" t="s">
        <v>1737</v>
      </c>
      <c r="M12" s="409" t="s">
        <v>1737</v>
      </c>
      <c r="N12" s="233"/>
      <c r="O12" s="233" t="s">
        <v>7674</v>
      </c>
      <c r="P12" s="233" t="s">
        <v>10876</v>
      </c>
      <c r="Q12" s="233" t="s">
        <v>8244</v>
      </c>
      <c r="R12" s="233" t="s">
        <v>10877</v>
      </c>
      <c r="S12" s="233"/>
      <c r="T12" s="233"/>
      <c r="U12" s="233" t="s">
        <v>8376</v>
      </c>
      <c r="V12" s="172" t="s">
        <v>4803</v>
      </c>
    </row>
    <row r="13" spans="1:22">
      <c r="A13" s="233" t="s">
        <v>10878</v>
      </c>
      <c r="B13" s="233" t="s">
        <v>10879</v>
      </c>
      <c r="C13" s="408" t="s">
        <v>10880</v>
      </c>
      <c r="D13" s="408" t="s">
        <v>10881</v>
      </c>
      <c r="E13" s="233" t="s">
        <v>1732</v>
      </c>
      <c r="F13" s="233" t="s">
        <v>10882</v>
      </c>
      <c r="G13" s="408" t="s">
        <v>10883</v>
      </c>
      <c r="H13" s="408" t="s">
        <v>10884</v>
      </c>
      <c r="I13" s="409" t="s">
        <v>1736</v>
      </c>
      <c r="J13" s="409" t="s">
        <v>1736</v>
      </c>
      <c r="K13" s="410" t="s">
        <v>4913</v>
      </c>
      <c r="L13" s="409" t="s">
        <v>1737</v>
      </c>
      <c r="M13" s="409" t="s">
        <v>1737</v>
      </c>
      <c r="N13" s="233"/>
      <c r="O13" s="233" t="s">
        <v>7674</v>
      </c>
      <c r="P13" s="233" t="s">
        <v>10885</v>
      </c>
      <c r="Q13" s="233" t="s">
        <v>8244</v>
      </c>
      <c r="R13" s="233" t="s">
        <v>10886</v>
      </c>
      <c r="S13" s="233"/>
      <c r="T13" s="233"/>
      <c r="U13" s="233" t="s">
        <v>8376</v>
      </c>
      <c r="V13" s="172" t="s">
        <v>4803</v>
      </c>
    </row>
    <row r="14" spans="1:22">
      <c r="A14" s="233" t="s">
        <v>10887</v>
      </c>
      <c r="B14" s="233" t="s">
        <v>10888</v>
      </c>
      <c r="C14" s="408" t="s">
        <v>10889</v>
      </c>
      <c r="D14" s="408" t="s">
        <v>10890</v>
      </c>
      <c r="E14" s="233" t="s">
        <v>1743</v>
      </c>
      <c r="F14" s="233" t="s">
        <v>10891</v>
      </c>
      <c r="G14" s="408"/>
      <c r="H14" s="408" t="s">
        <v>10892</v>
      </c>
      <c r="I14" s="409" t="s">
        <v>1736</v>
      </c>
      <c r="J14" s="410" t="s">
        <v>4913</v>
      </c>
      <c r="K14" s="410" t="s">
        <v>4913</v>
      </c>
      <c r="L14" s="409" t="s">
        <v>1737</v>
      </c>
      <c r="M14" s="409" t="s">
        <v>1737</v>
      </c>
      <c r="N14" s="233"/>
      <c r="O14" s="233" t="s">
        <v>7674</v>
      </c>
      <c r="P14" s="233" t="s">
        <v>10893</v>
      </c>
      <c r="Q14" s="233" t="s">
        <v>8244</v>
      </c>
      <c r="R14" s="233" t="s">
        <v>10894</v>
      </c>
      <c r="S14" s="233"/>
      <c r="T14" s="233"/>
      <c r="U14" s="233" t="s">
        <v>8376</v>
      </c>
      <c r="V14" s="172" t="s">
        <v>4803</v>
      </c>
    </row>
    <row r="15" spans="1:22">
      <c r="A15" s="233" t="s">
        <v>10895</v>
      </c>
      <c r="B15" s="233" t="s">
        <v>10896</v>
      </c>
      <c r="C15" s="408" t="s">
        <v>10897</v>
      </c>
      <c r="D15" s="408" t="s">
        <v>10898</v>
      </c>
      <c r="E15" s="233" t="s">
        <v>1732</v>
      </c>
      <c r="F15" s="233" t="s">
        <v>10899</v>
      </c>
      <c r="G15" s="408" t="s">
        <v>10900</v>
      </c>
      <c r="H15" s="408" t="s">
        <v>10901</v>
      </c>
      <c r="I15" s="409" t="s">
        <v>1736</v>
      </c>
      <c r="J15" s="409" t="s">
        <v>1736</v>
      </c>
      <c r="K15" s="410" t="s">
        <v>4913</v>
      </c>
      <c r="L15" s="409" t="s">
        <v>1737</v>
      </c>
      <c r="M15" s="409" t="s">
        <v>1737</v>
      </c>
      <c r="N15" s="233"/>
      <c r="O15" s="233" t="s">
        <v>10902</v>
      </c>
      <c r="P15" s="233" t="s">
        <v>10903</v>
      </c>
      <c r="Q15" s="233" t="s">
        <v>8244</v>
      </c>
      <c r="R15" s="233" t="s">
        <v>10904</v>
      </c>
      <c r="S15" s="233"/>
      <c r="T15" s="233"/>
      <c r="U15" s="233" t="s">
        <v>8376</v>
      </c>
      <c r="V15" s="172" t="s">
        <v>4803</v>
      </c>
    </row>
    <row r="16" spans="1:22">
      <c r="A16" s="233" t="s">
        <v>10905</v>
      </c>
      <c r="B16" s="233" t="s">
        <v>10906</v>
      </c>
      <c r="C16" s="408" t="s">
        <v>10907</v>
      </c>
      <c r="D16" s="408" t="s">
        <v>10908</v>
      </c>
      <c r="E16" s="233" t="s">
        <v>1743</v>
      </c>
      <c r="F16" s="233" t="s">
        <v>10909</v>
      </c>
      <c r="G16" s="408"/>
      <c r="H16" s="408" t="s">
        <v>10910</v>
      </c>
      <c r="I16" s="409" t="s">
        <v>1736</v>
      </c>
      <c r="J16" s="410" t="s">
        <v>4913</v>
      </c>
      <c r="K16" s="410" t="s">
        <v>4913</v>
      </c>
      <c r="L16" s="409" t="s">
        <v>1737</v>
      </c>
      <c r="M16" s="409" t="s">
        <v>1737</v>
      </c>
      <c r="N16" s="233"/>
      <c r="O16" s="233" t="s">
        <v>10902</v>
      </c>
      <c r="P16" s="233" t="s">
        <v>10911</v>
      </c>
      <c r="Q16" s="233" t="s">
        <v>8244</v>
      </c>
      <c r="R16" s="233" t="s">
        <v>10912</v>
      </c>
      <c r="S16" s="233"/>
      <c r="T16" s="233"/>
      <c r="U16" s="233" t="s">
        <v>8376</v>
      </c>
      <c r="V16" s="172" t="s">
        <v>4803</v>
      </c>
    </row>
    <row r="17" spans="1:22">
      <c r="A17" s="233" t="s">
        <v>10913</v>
      </c>
      <c r="B17" s="233" t="s">
        <v>10914</v>
      </c>
      <c r="C17" s="408" t="s">
        <v>10915</v>
      </c>
      <c r="D17" s="408" t="s">
        <v>10916</v>
      </c>
      <c r="E17" s="233" t="s">
        <v>1732</v>
      </c>
      <c r="F17" s="233" t="s">
        <v>10917</v>
      </c>
      <c r="G17" s="408" t="s">
        <v>10918</v>
      </c>
      <c r="H17" s="408" t="s">
        <v>10919</v>
      </c>
      <c r="I17" s="409" t="s">
        <v>1736</v>
      </c>
      <c r="J17" s="409" t="s">
        <v>1736</v>
      </c>
      <c r="K17" s="410" t="s">
        <v>4913</v>
      </c>
      <c r="L17" s="409" t="s">
        <v>1737</v>
      </c>
      <c r="M17" s="409" t="s">
        <v>1737</v>
      </c>
      <c r="N17" s="233"/>
      <c r="O17" s="233" t="s">
        <v>10902</v>
      </c>
      <c r="P17" s="233" t="s">
        <v>10920</v>
      </c>
      <c r="Q17" s="233" t="s">
        <v>8236</v>
      </c>
      <c r="R17" s="233" t="s">
        <v>10921</v>
      </c>
      <c r="S17" s="233"/>
      <c r="T17" s="233"/>
      <c r="U17" s="233" t="s">
        <v>8376</v>
      </c>
      <c r="V17" s="172" t="s">
        <v>4803</v>
      </c>
    </row>
    <row r="18" spans="1:22">
      <c r="A18" s="233" t="s">
        <v>10922</v>
      </c>
      <c r="B18" s="233" t="s">
        <v>10923</v>
      </c>
      <c r="C18" s="408" t="s">
        <v>10924</v>
      </c>
      <c r="D18" s="408" t="s">
        <v>10925</v>
      </c>
      <c r="E18" s="233" t="s">
        <v>1743</v>
      </c>
      <c r="F18" s="233" t="s">
        <v>10926</v>
      </c>
      <c r="G18" s="408"/>
      <c r="H18" s="408" t="s">
        <v>10927</v>
      </c>
      <c r="I18" s="409" t="s">
        <v>1736</v>
      </c>
      <c r="J18" s="410" t="s">
        <v>4913</v>
      </c>
      <c r="K18" s="410" t="s">
        <v>4913</v>
      </c>
      <c r="L18" s="409" t="s">
        <v>1737</v>
      </c>
      <c r="M18" s="409" t="s">
        <v>1737</v>
      </c>
      <c r="N18" s="233"/>
      <c r="O18" s="233" t="s">
        <v>10902</v>
      </c>
      <c r="P18" s="233" t="s">
        <v>10928</v>
      </c>
      <c r="Q18" s="233" t="s">
        <v>8236</v>
      </c>
      <c r="R18" s="233" t="s">
        <v>10929</v>
      </c>
      <c r="S18" s="233"/>
      <c r="T18" s="233"/>
      <c r="U18" s="233" t="s">
        <v>8376</v>
      </c>
      <c r="V18" s="172" t="s">
        <v>4803</v>
      </c>
    </row>
    <row r="19" spans="1:22">
      <c r="A19" s="233" t="s">
        <v>10930</v>
      </c>
      <c r="B19" s="233" t="s">
        <v>10931</v>
      </c>
      <c r="C19" s="408" t="s">
        <v>10932</v>
      </c>
      <c r="D19" s="408" t="s">
        <v>10933</v>
      </c>
      <c r="E19" s="233" t="s">
        <v>1732</v>
      </c>
      <c r="F19" s="233" t="s">
        <v>10934</v>
      </c>
      <c r="G19" s="408" t="s">
        <v>10935</v>
      </c>
      <c r="H19" s="408" t="s">
        <v>10936</v>
      </c>
      <c r="I19" s="409" t="s">
        <v>1736</v>
      </c>
      <c r="J19" s="409" t="s">
        <v>1736</v>
      </c>
      <c r="K19" s="410" t="s">
        <v>4913</v>
      </c>
      <c r="L19" s="409" t="s">
        <v>1737</v>
      </c>
      <c r="M19" s="409" t="s">
        <v>1737</v>
      </c>
      <c r="N19" s="233"/>
      <c r="O19" s="233" t="s">
        <v>7413</v>
      </c>
      <c r="P19" s="233" t="s">
        <v>10937</v>
      </c>
      <c r="Q19" s="233" t="s">
        <v>8236</v>
      </c>
      <c r="R19" s="233" t="s">
        <v>10938</v>
      </c>
      <c r="S19" s="233"/>
      <c r="T19" s="233"/>
      <c r="U19" s="233" t="s">
        <v>8376</v>
      </c>
      <c r="V19" s="172" t="s">
        <v>4803</v>
      </c>
    </row>
    <row r="20" spans="1:22">
      <c r="A20" s="233" t="s">
        <v>10939</v>
      </c>
      <c r="B20" s="233" t="s">
        <v>10940</v>
      </c>
      <c r="C20" s="408" t="s">
        <v>10941</v>
      </c>
      <c r="D20" s="408" t="s">
        <v>10942</v>
      </c>
      <c r="E20" s="233" t="s">
        <v>1743</v>
      </c>
      <c r="F20" s="233" t="s">
        <v>10943</v>
      </c>
      <c r="G20" s="408"/>
      <c r="H20" s="408" t="s">
        <v>10944</v>
      </c>
      <c r="I20" s="409" t="s">
        <v>1736</v>
      </c>
      <c r="J20" s="410" t="s">
        <v>4913</v>
      </c>
      <c r="K20" s="410" t="s">
        <v>4913</v>
      </c>
      <c r="L20" s="409" t="s">
        <v>1737</v>
      </c>
      <c r="M20" s="409" t="s">
        <v>1737</v>
      </c>
      <c r="N20" s="233"/>
      <c r="O20" s="233" t="s">
        <v>7386</v>
      </c>
      <c r="P20" s="233" t="s">
        <v>10945</v>
      </c>
      <c r="Q20" s="233" t="s">
        <v>8236</v>
      </c>
      <c r="R20" s="233" t="s">
        <v>10946</v>
      </c>
      <c r="S20" s="233"/>
      <c r="T20" s="233"/>
      <c r="U20" s="233" t="s">
        <v>8376</v>
      </c>
      <c r="V20" s="172" t="s">
        <v>4803</v>
      </c>
    </row>
    <row r="21" spans="1:22">
      <c r="A21" s="233" t="s">
        <v>10947</v>
      </c>
      <c r="B21" s="233" t="s">
        <v>10948</v>
      </c>
      <c r="C21" s="408" t="s">
        <v>10949</v>
      </c>
      <c r="D21" s="408" t="s">
        <v>10950</v>
      </c>
      <c r="E21" s="233" t="s">
        <v>1732</v>
      </c>
      <c r="F21" s="233" t="s">
        <v>10951</v>
      </c>
      <c r="G21" s="408" t="s">
        <v>10952</v>
      </c>
      <c r="H21" s="408" t="s">
        <v>10953</v>
      </c>
      <c r="I21" s="409" t="s">
        <v>1736</v>
      </c>
      <c r="J21" s="409" t="s">
        <v>1736</v>
      </c>
      <c r="K21" s="410" t="s">
        <v>4913</v>
      </c>
      <c r="L21" s="409" t="s">
        <v>1737</v>
      </c>
      <c r="M21" s="409" t="s">
        <v>1737</v>
      </c>
      <c r="N21" s="233"/>
      <c r="O21" s="233" t="s">
        <v>7386</v>
      </c>
      <c r="P21" s="233" t="s">
        <v>10954</v>
      </c>
      <c r="Q21" s="233" t="s">
        <v>8236</v>
      </c>
      <c r="R21" s="233" t="s">
        <v>10955</v>
      </c>
      <c r="S21" s="233"/>
      <c r="T21" s="233"/>
      <c r="U21" s="233" t="s">
        <v>8376</v>
      </c>
      <c r="V21" s="172" t="s">
        <v>4803</v>
      </c>
    </row>
    <row r="22" spans="1:22">
      <c r="A22" s="233" t="s">
        <v>10956</v>
      </c>
      <c r="B22" s="233" t="s">
        <v>10957</v>
      </c>
      <c r="C22" s="408" t="s">
        <v>10958</v>
      </c>
      <c r="D22" s="408" t="s">
        <v>10959</v>
      </c>
      <c r="E22" s="233" t="s">
        <v>1743</v>
      </c>
      <c r="F22" s="233" t="s">
        <v>10960</v>
      </c>
      <c r="G22" s="408"/>
      <c r="H22" s="408" t="s">
        <v>10961</v>
      </c>
      <c r="I22" s="409" t="s">
        <v>1736</v>
      </c>
      <c r="J22" s="410" t="s">
        <v>4913</v>
      </c>
      <c r="K22" s="410" t="s">
        <v>4913</v>
      </c>
      <c r="L22" s="409" t="s">
        <v>1737</v>
      </c>
      <c r="M22" s="409" t="s">
        <v>1737</v>
      </c>
      <c r="N22" s="233"/>
      <c r="O22" s="233" t="s">
        <v>7386</v>
      </c>
      <c r="P22" s="233" t="s">
        <v>10962</v>
      </c>
      <c r="Q22" s="233" t="s">
        <v>8236</v>
      </c>
      <c r="R22" s="233" t="s">
        <v>10963</v>
      </c>
      <c r="S22" s="233"/>
      <c r="T22" s="233"/>
      <c r="U22" s="233" t="s">
        <v>8376</v>
      </c>
      <c r="V22" s="172" t="s">
        <v>4803</v>
      </c>
    </row>
    <row r="23" spans="1:22">
      <c r="A23" s="233" t="s">
        <v>10964</v>
      </c>
      <c r="B23" s="233" t="s">
        <v>10965</v>
      </c>
      <c r="C23" s="408" t="s">
        <v>10966</v>
      </c>
      <c r="D23" s="408" t="s">
        <v>10967</v>
      </c>
      <c r="E23" s="233" t="s">
        <v>1732</v>
      </c>
      <c r="F23" s="233" t="s">
        <v>10968</v>
      </c>
      <c r="G23" s="408" t="s">
        <v>10969</v>
      </c>
      <c r="H23" s="408" t="s">
        <v>10970</v>
      </c>
      <c r="I23" s="409" t="s">
        <v>1736</v>
      </c>
      <c r="J23" s="409" t="s">
        <v>1736</v>
      </c>
      <c r="K23" s="410" t="s">
        <v>4913</v>
      </c>
      <c r="L23" s="409" t="s">
        <v>1737</v>
      </c>
      <c r="M23" s="409" t="s">
        <v>1737</v>
      </c>
      <c r="N23" s="233"/>
      <c r="O23" s="233" t="s">
        <v>7386</v>
      </c>
      <c r="P23" s="233" t="s">
        <v>10971</v>
      </c>
      <c r="Q23" s="233" t="s">
        <v>8291</v>
      </c>
      <c r="R23" s="233" t="s">
        <v>10972</v>
      </c>
      <c r="S23" s="233"/>
      <c r="T23" s="233"/>
      <c r="U23" s="233" t="s">
        <v>8376</v>
      </c>
      <c r="V23" s="172" t="s">
        <v>4803</v>
      </c>
    </row>
    <row r="24" spans="1:22">
      <c r="A24" s="233" t="s">
        <v>10973</v>
      </c>
      <c r="B24" s="233" t="s">
        <v>10974</v>
      </c>
      <c r="C24" s="408" t="s">
        <v>10975</v>
      </c>
      <c r="D24" s="408" t="s">
        <v>10976</v>
      </c>
      <c r="E24" s="233" t="s">
        <v>1743</v>
      </c>
      <c r="F24" s="233" t="s">
        <v>10977</v>
      </c>
      <c r="G24" s="408"/>
      <c r="H24" s="408" t="s">
        <v>10978</v>
      </c>
      <c r="I24" s="409" t="s">
        <v>1736</v>
      </c>
      <c r="J24" s="410" t="s">
        <v>4913</v>
      </c>
      <c r="K24" s="410" t="s">
        <v>4913</v>
      </c>
      <c r="L24" s="409" t="s">
        <v>1737</v>
      </c>
      <c r="M24" s="409" t="s">
        <v>1737</v>
      </c>
      <c r="N24" s="233"/>
      <c r="O24" s="233" t="s">
        <v>7452</v>
      </c>
      <c r="P24" s="233" t="s">
        <v>10979</v>
      </c>
      <c r="Q24" s="233" t="s">
        <v>8291</v>
      </c>
      <c r="R24" s="233" t="s">
        <v>10980</v>
      </c>
      <c r="S24" s="233" t="s">
        <v>10981</v>
      </c>
      <c r="T24" s="233"/>
      <c r="U24" s="233" t="s">
        <v>8376</v>
      </c>
      <c r="V24" s="172" t="s">
        <v>4803</v>
      </c>
    </row>
    <row r="25" spans="1:22">
      <c r="A25" s="233" t="s">
        <v>10982</v>
      </c>
      <c r="B25" s="233" t="s">
        <v>10983</v>
      </c>
      <c r="C25" s="408" t="s">
        <v>10984</v>
      </c>
      <c r="D25" s="408" t="s">
        <v>10985</v>
      </c>
      <c r="E25" s="233" t="s">
        <v>1732</v>
      </c>
      <c r="F25" s="233" t="s">
        <v>10986</v>
      </c>
      <c r="G25" s="408" t="s">
        <v>10987</v>
      </c>
      <c r="H25" s="408" t="s">
        <v>10988</v>
      </c>
      <c r="I25" s="409" t="s">
        <v>1736</v>
      </c>
      <c r="J25" s="409" t="s">
        <v>1736</v>
      </c>
      <c r="K25" s="410" t="s">
        <v>4913</v>
      </c>
      <c r="L25" s="409" t="s">
        <v>1737</v>
      </c>
      <c r="M25" s="409" t="s">
        <v>1737</v>
      </c>
      <c r="N25" s="233"/>
      <c r="O25" s="233" t="s">
        <v>7452</v>
      </c>
      <c r="P25" s="233" t="s">
        <v>10989</v>
      </c>
      <c r="Q25" s="233" t="s">
        <v>8315</v>
      </c>
      <c r="R25" s="233" t="s">
        <v>10990</v>
      </c>
      <c r="S25" s="233"/>
      <c r="T25" s="233"/>
      <c r="U25" s="233" t="s">
        <v>8376</v>
      </c>
      <c r="V25" s="172" t="s">
        <v>4803</v>
      </c>
    </row>
    <row r="26" spans="1:22">
      <c r="A26" s="233" t="s">
        <v>10991</v>
      </c>
      <c r="B26" s="233" t="s">
        <v>10992</v>
      </c>
      <c r="C26" s="408" t="s">
        <v>10993</v>
      </c>
      <c r="D26" s="408" t="s">
        <v>10994</v>
      </c>
      <c r="E26" s="233" t="s">
        <v>1743</v>
      </c>
      <c r="F26" s="233" t="s">
        <v>10995</v>
      </c>
      <c r="G26" s="408"/>
      <c r="H26" s="408" t="s">
        <v>10996</v>
      </c>
      <c r="I26" s="409" t="s">
        <v>1736</v>
      </c>
      <c r="J26" s="410" t="s">
        <v>4913</v>
      </c>
      <c r="K26" s="410" t="s">
        <v>4913</v>
      </c>
      <c r="L26" s="409" t="s">
        <v>1737</v>
      </c>
      <c r="M26" s="409" t="s">
        <v>1737</v>
      </c>
      <c r="N26" s="233"/>
      <c r="O26" s="233" t="s">
        <v>7452</v>
      </c>
      <c r="P26" s="233" t="s">
        <v>10997</v>
      </c>
      <c r="Q26" s="233" t="s">
        <v>8315</v>
      </c>
      <c r="R26" s="233" t="s">
        <v>10998</v>
      </c>
      <c r="S26" s="233"/>
      <c r="T26" s="233"/>
      <c r="U26" s="233" t="s">
        <v>8376</v>
      </c>
      <c r="V26" s="172" t="s">
        <v>4803</v>
      </c>
    </row>
    <row r="27" spans="1:22">
      <c r="A27" s="233" t="s">
        <v>10999</v>
      </c>
      <c r="B27" s="233" t="s">
        <v>11000</v>
      </c>
      <c r="C27" s="408" t="s">
        <v>11001</v>
      </c>
      <c r="D27" s="408" t="s">
        <v>11002</v>
      </c>
      <c r="E27" s="233" t="s">
        <v>1732</v>
      </c>
      <c r="F27" s="233" t="s">
        <v>11003</v>
      </c>
      <c r="G27" s="408" t="s">
        <v>11004</v>
      </c>
      <c r="H27" s="408" t="s">
        <v>11005</v>
      </c>
      <c r="I27" s="409" t="s">
        <v>1736</v>
      </c>
      <c r="J27" s="409" t="s">
        <v>1736</v>
      </c>
      <c r="K27" s="410" t="s">
        <v>4913</v>
      </c>
      <c r="L27" s="409" t="s">
        <v>1737</v>
      </c>
      <c r="M27" s="409" t="s">
        <v>1737</v>
      </c>
      <c r="N27" s="233"/>
      <c r="O27" s="233" t="s">
        <v>7452</v>
      </c>
      <c r="P27" s="233" t="s">
        <v>11006</v>
      </c>
      <c r="Q27" s="233" t="s">
        <v>8315</v>
      </c>
      <c r="R27" s="233" t="s">
        <v>11007</v>
      </c>
      <c r="S27" s="233"/>
      <c r="T27" s="233"/>
      <c r="U27" s="233" t="s">
        <v>8376</v>
      </c>
      <c r="V27" s="172" t="s">
        <v>4803</v>
      </c>
    </row>
    <row r="28" spans="1:22">
      <c r="A28" s="233" t="s">
        <v>11008</v>
      </c>
      <c r="B28" s="233" t="s">
        <v>11009</v>
      </c>
      <c r="C28" s="408" t="s">
        <v>11010</v>
      </c>
      <c r="D28" s="408" t="s">
        <v>11011</v>
      </c>
      <c r="E28" s="233" t="s">
        <v>1743</v>
      </c>
      <c r="F28" s="233" t="s">
        <v>11012</v>
      </c>
      <c r="G28" s="408"/>
      <c r="H28" s="408" t="s">
        <v>11013</v>
      </c>
      <c r="I28" s="409" t="s">
        <v>1736</v>
      </c>
      <c r="J28" s="410" t="s">
        <v>4913</v>
      </c>
      <c r="K28" s="410" t="s">
        <v>4913</v>
      </c>
      <c r="L28" s="409" t="s">
        <v>1737</v>
      </c>
      <c r="M28" s="409" t="s">
        <v>1737</v>
      </c>
      <c r="N28" s="233"/>
      <c r="O28" s="233" t="s">
        <v>7470</v>
      </c>
      <c r="P28" s="233" t="s">
        <v>11014</v>
      </c>
      <c r="Q28" s="233" t="s">
        <v>8315</v>
      </c>
      <c r="R28" s="233" t="s">
        <v>11015</v>
      </c>
      <c r="S28" s="233"/>
      <c r="T28" s="233"/>
      <c r="U28" s="233" t="s">
        <v>8376</v>
      </c>
      <c r="V28" s="172" t="s">
        <v>4803</v>
      </c>
    </row>
    <row r="29" spans="1:22">
      <c r="A29" s="233" t="s">
        <v>11016</v>
      </c>
      <c r="B29" s="233" t="s">
        <v>11017</v>
      </c>
      <c r="C29" s="408" t="s">
        <v>11018</v>
      </c>
      <c r="D29" s="408" t="s">
        <v>11018</v>
      </c>
      <c r="E29" s="233" t="s">
        <v>1732</v>
      </c>
      <c r="F29" s="233" t="s">
        <v>11019</v>
      </c>
      <c r="G29" s="408"/>
      <c r="H29" s="408" t="s">
        <v>11020</v>
      </c>
      <c r="I29" s="409" t="s">
        <v>1736</v>
      </c>
      <c r="J29" s="410" t="s">
        <v>4913</v>
      </c>
      <c r="K29" s="410" t="s">
        <v>4913</v>
      </c>
      <c r="L29" s="409" t="s">
        <v>1737</v>
      </c>
      <c r="M29" s="409" t="s">
        <v>1737</v>
      </c>
      <c r="N29" s="233"/>
      <c r="O29" s="233" t="s">
        <v>7470</v>
      </c>
      <c r="P29" s="233" t="s">
        <v>11021</v>
      </c>
      <c r="Q29" s="233" t="s">
        <v>8291</v>
      </c>
      <c r="R29" s="233" t="s">
        <v>11022</v>
      </c>
      <c r="S29" s="233"/>
      <c r="T29" s="233"/>
      <c r="U29" s="233" t="s">
        <v>8376</v>
      </c>
      <c r="V29" s="172" t="s">
        <v>4803</v>
      </c>
    </row>
    <row r="30" spans="1:22">
      <c r="A30" s="233" t="s">
        <v>11023</v>
      </c>
      <c r="B30" s="233" t="s">
        <v>11024</v>
      </c>
      <c r="C30" s="408" t="s">
        <v>11025</v>
      </c>
      <c r="D30" s="408" t="s">
        <v>11026</v>
      </c>
      <c r="E30" s="233" t="s">
        <v>1732</v>
      </c>
      <c r="F30" s="233" t="s">
        <v>11027</v>
      </c>
      <c r="G30" s="408" t="s">
        <v>11028</v>
      </c>
      <c r="H30" s="408" t="s">
        <v>11029</v>
      </c>
      <c r="I30" s="409" t="s">
        <v>1736</v>
      </c>
      <c r="J30" s="409" t="s">
        <v>1736</v>
      </c>
      <c r="K30" s="410" t="s">
        <v>4913</v>
      </c>
      <c r="L30" s="409" t="s">
        <v>1737</v>
      </c>
      <c r="M30" s="409" t="s">
        <v>1737</v>
      </c>
      <c r="N30" s="233"/>
      <c r="O30" s="233" t="s">
        <v>7470</v>
      </c>
      <c r="P30" s="233" t="s">
        <v>11030</v>
      </c>
      <c r="Q30" s="233" t="s">
        <v>8291</v>
      </c>
      <c r="R30" s="233" t="s">
        <v>11031</v>
      </c>
      <c r="S30" s="233"/>
      <c r="T30" s="233"/>
      <c r="U30" s="233" t="s">
        <v>8376</v>
      </c>
      <c r="V30" s="172" t="s">
        <v>4803</v>
      </c>
    </row>
    <row r="31" spans="1:22">
      <c r="A31" s="233" t="s">
        <v>11032</v>
      </c>
      <c r="B31" s="233" t="s">
        <v>11033</v>
      </c>
      <c r="C31" s="408" t="s">
        <v>11034</v>
      </c>
      <c r="D31" s="408" t="s">
        <v>11035</v>
      </c>
      <c r="E31" s="233" t="s">
        <v>1732</v>
      </c>
      <c r="F31" s="233" t="s">
        <v>11036</v>
      </c>
      <c r="G31" s="408" t="s">
        <v>11037</v>
      </c>
      <c r="H31" s="408" t="s">
        <v>11029</v>
      </c>
      <c r="I31" s="409" t="s">
        <v>1736</v>
      </c>
      <c r="J31" s="409" t="s">
        <v>1736</v>
      </c>
      <c r="K31" s="410" t="s">
        <v>4913</v>
      </c>
      <c r="L31" s="409" t="s">
        <v>1737</v>
      </c>
      <c r="M31" s="409" t="s">
        <v>1737</v>
      </c>
      <c r="N31" s="233"/>
      <c r="O31" s="233" t="s">
        <v>7470</v>
      </c>
      <c r="P31" s="233" t="s">
        <v>11038</v>
      </c>
      <c r="Q31" s="233" t="s">
        <v>8291</v>
      </c>
      <c r="R31" s="233" t="s">
        <v>11039</v>
      </c>
      <c r="S31" s="233"/>
      <c r="T31" s="233"/>
      <c r="U31" s="233" t="s">
        <v>8376</v>
      </c>
      <c r="V31" s="172" t="s">
        <v>4803</v>
      </c>
    </row>
    <row r="32" spans="1:22">
      <c r="A32" s="233" t="s">
        <v>11040</v>
      </c>
      <c r="B32" s="233" t="s">
        <v>11041</v>
      </c>
      <c r="C32" s="408" t="s">
        <v>11042</v>
      </c>
      <c r="D32" s="408" t="s">
        <v>11043</v>
      </c>
      <c r="E32" s="233" t="s">
        <v>1732</v>
      </c>
      <c r="F32" s="233" t="s">
        <v>11044</v>
      </c>
      <c r="G32" s="233"/>
      <c r="H32" s="408" t="s">
        <v>11045</v>
      </c>
      <c r="I32" s="409" t="s">
        <v>1736</v>
      </c>
      <c r="J32" s="410" t="s">
        <v>4913</v>
      </c>
      <c r="K32" s="410" t="s">
        <v>4913</v>
      </c>
      <c r="L32" s="409" t="s">
        <v>1737</v>
      </c>
      <c r="M32" s="409" t="s">
        <v>1737</v>
      </c>
      <c r="N32" s="233"/>
      <c r="O32" s="233" t="s">
        <v>7470</v>
      </c>
      <c r="P32" s="233" t="s">
        <v>11046</v>
      </c>
      <c r="Q32" s="233" t="s">
        <v>8291</v>
      </c>
      <c r="R32" s="233" t="s">
        <v>11047</v>
      </c>
      <c r="S32" s="233"/>
      <c r="T32" s="233"/>
      <c r="U32" s="233" t="s">
        <v>8376</v>
      </c>
      <c r="V32" s="172" t="s">
        <v>4803</v>
      </c>
    </row>
    <row r="33" spans="1:22">
      <c r="A33" s="233" t="s">
        <v>11048</v>
      </c>
      <c r="B33" s="233" t="s">
        <v>11049</v>
      </c>
      <c r="C33" s="408" t="s">
        <v>11050</v>
      </c>
      <c r="D33" s="408" t="s">
        <v>11051</v>
      </c>
      <c r="E33" s="233" t="s">
        <v>1732</v>
      </c>
      <c r="F33" s="233" t="s">
        <v>11052</v>
      </c>
      <c r="G33" s="233"/>
      <c r="H33" s="408" t="s">
        <v>11053</v>
      </c>
      <c r="I33" s="409" t="s">
        <v>1736</v>
      </c>
      <c r="J33" s="410" t="s">
        <v>4913</v>
      </c>
      <c r="K33" s="410" t="s">
        <v>4913</v>
      </c>
      <c r="L33" s="409" t="s">
        <v>1737</v>
      </c>
      <c r="M33" s="409" t="s">
        <v>1737</v>
      </c>
      <c r="N33" s="233"/>
      <c r="O33" s="233" t="s">
        <v>7529</v>
      </c>
      <c r="P33" s="233" t="s">
        <v>11054</v>
      </c>
      <c r="Q33" s="233" t="s">
        <v>8291</v>
      </c>
      <c r="R33" s="233" t="s">
        <v>11055</v>
      </c>
      <c r="S33" s="233"/>
      <c r="T33" s="233"/>
      <c r="U33" s="233" t="s">
        <v>8376</v>
      </c>
      <c r="V33" s="172" t="s">
        <v>4803</v>
      </c>
    </row>
    <row r="34" spans="1:22">
      <c r="A34" s="233" t="s">
        <v>11056</v>
      </c>
      <c r="B34" s="233" t="s">
        <v>11057</v>
      </c>
      <c r="C34" s="408" t="s">
        <v>11058</v>
      </c>
      <c r="D34" s="408" t="s">
        <v>11059</v>
      </c>
      <c r="E34" s="233" t="s">
        <v>1732</v>
      </c>
      <c r="F34" s="233" t="s">
        <v>11060</v>
      </c>
      <c r="G34" s="233"/>
      <c r="H34" s="408" t="s">
        <v>11061</v>
      </c>
      <c r="I34" s="409" t="s">
        <v>1736</v>
      </c>
      <c r="J34" s="410" t="s">
        <v>4913</v>
      </c>
      <c r="K34" s="410" t="s">
        <v>4913</v>
      </c>
      <c r="L34" s="409" t="s">
        <v>1737</v>
      </c>
      <c r="M34" s="409" t="s">
        <v>1737</v>
      </c>
      <c r="N34" s="233"/>
      <c r="O34" s="233" t="s">
        <v>7519</v>
      </c>
      <c r="P34" s="233" t="s">
        <v>11062</v>
      </c>
      <c r="Q34" s="233" t="s">
        <v>8400</v>
      </c>
      <c r="R34" s="233" t="s">
        <v>11063</v>
      </c>
      <c r="S34" s="233"/>
      <c r="T34" s="233"/>
      <c r="U34" s="233" t="s">
        <v>8376</v>
      </c>
      <c r="V34" s="172" t="s">
        <v>4803</v>
      </c>
    </row>
    <row r="35" spans="1:22">
      <c r="A35" s="233" t="s">
        <v>11064</v>
      </c>
      <c r="B35" s="233" t="s">
        <v>11065</v>
      </c>
      <c r="C35" s="408" t="s">
        <v>11066</v>
      </c>
      <c r="D35" s="408" t="s">
        <v>11067</v>
      </c>
      <c r="E35" s="233" t="s">
        <v>1732</v>
      </c>
      <c r="F35" s="233" t="s">
        <v>11068</v>
      </c>
      <c r="G35" s="233"/>
      <c r="H35" s="408" t="s">
        <v>11069</v>
      </c>
      <c r="I35" s="409" t="s">
        <v>1736</v>
      </c>
      <c r="J35" s="410" t="s">
        <v>4913</v>
      </c>
      <c r="K35" s="409" t="s">
        <v>1736</v>
      </c>
      <c r="L35" s="409" t="s">
        <v>1737</v>
      </c>
      <c r="M35" s="409" t="s">
        <v>1737</v>
      </c>
      <c r="N35" s="233"/>
      <c r="O35" s="233" t="s">
        <v>7529</v>
      </c>
      <c r="P35" s="233" t="s">
        <v>11070</v>
      </c>
      <c r="Q35" s="233" t="s">
        <v>8315</v>
      </c>
      <c r="R35" s="233" t="s">
        <v>11071</v>
      </c>
      <c r="S35" s="233"/>
      <c r="T35" s="233"/>
      <c r="U35" s="233" t="s">
        <v>8376</v>
      </c>
      <c r="V35" s="172" t="s">
        <v>4803</v>
      </c>
    </row>
    <row r="36" spans="1:22">
      <c r="A36" s="233" t="s">
        <v>11072</v>
      </c>
      <c r="B36" s="233" t="s">
        <v>11073</v>
      </c>
      <c r="C36" s="408" t="s">
        <v>11074</v>
      </c>
      <c r="D36" s="408" t="s">
        <v>11075</v>
      </c>
      <c r="E36" s="233" t="s">
        <v>1732</v>
      </c>
      <c r="F36" s="233" t="s">
        <v>11076</v>
      </c>
      <c r="G36" s="233"/>
      <c r="H36" s="408" t="s">
        <v>11069</v>
      </c>
      <c r="I36" s="409" t="s">
        <v>1736</v>
      </c>
      <c r="J36" s="410" t="s">
        <v>4913</v>
      </c>
      <c r="K36" s="409" t="s">
        <v>1736</v>
      </c>
      <c r="L36" s="409" t="s">
        <v>1737</v>
      </c>
      <c r="M36" s="409" t="s">
        <v>1737</v>
      </c>
      <c r="N36" s="233"/>
      <c r="O36" s="233" t="s">
        <v>11077</v>
      </c>
      <c r="P36" s="233" t="s">
        <v>11078</v>
      </c>
      <c r="Q36" s="233" t="s">
        <v>8400</v>
      </c>
      <c r="R36" s="233" t="s">
        <v>11079</v>
      </c>
      <c r="S36" s="233"/>
      <c r="T36" s="233"/>
      <c r="U36" s="233" t="s">
        <v>8376</v>
      </c>
      <c r="V36" s="172" t="s">
        <v>4803</v>
      </c>
    </row>
    <row r="37" spans="1:22">
      <c r="A37" s="233" t="s">
        <v>11080</v>
      </c>
      <c r="B37" s="233" t="s">
        <v>11081</v>
      </c>
      <c r="C37" s="408" t="s">
        <v>11082</v>
      </c>
      <c r="D37" s="408" t="s">
        <v>11083</v>
      </c>
      <c r="E37" s="233" t="s">
        <v>1732</v>
      </c>
      <c r="F37" s="233" t="s">
        <v>11084</v>
      </c>
      <c r="G37" s="233"/>
      <c r="H37" s="408" t="s">
        <v>11069</v>
      </c>
      <c r="I37" s="409" t="s">
        <v>1736</v>
      </c>
      <c r="J37" s="410" t="s">
        <v>4913</v>
      </c>
      <c r="K37" s="409" t="s">
        <v>1736</v>
      </c>
      <c r="L37" s="409" t="s">
        <v>1737</v>
      </c>
      <c r="M37" s="409" t="s">
        <v>1737</v>
      </c>
      <c r="N37" s="233"/>
      <c r="O37" s="233" t="s">
        <v>11077</v>
      </c>
      <c r="P37" s="233" t="s">
        <v>11085</v>
      </c>
      <c r="Q37" s="233" t="s">
        <v>8400</v>
      </c>
      <c r="R37" s="233" t="s">
        <v>11086</v>
      </c>
      <c r="S37" s="233"/>
      <c r="T37" s="233"/>
      <c r="U37" s="233" t="s">
        <v>8376</v>
      </c>
      <c r="V37" s="172" t="s">
        <v>4803</v>
      </c>
    </row>
    <row r="38" spans="1:22">
      <c r="A38" s="233" t="s">
        <v>11087</v>
      </c>
      <c r="B38" s="233" t="s">
        <v>11088</v>
      </c>
      <c r="C38" s="408" t="s">
        <v>11089</v>
      </c>
      <c r="D38" s="408" t="s">
        <v>11090</v>
      </c>
      <c r="E38" s="233" t="s">
        <v>1732</v>
      </c>
      <c r="F38" s="233" t="s">
        <v>11091</v>
      </c>
      <c r="G38" s="233"/>
      <c r="H38" s="408" t="s">
        <v>11045</v>
      </c>
      <c r="I38" s="409" t="s">
        <v>1736</v>
      </c>
      <c r="J38" s="410" t="s">
        <v>4913</v>
      </c>
      <c r="K38" s="410" t="s">
        <v>4913</v>
      </c>
      <c r="L38" s="409" t="s">
        <v>1737</v>
      </c>
      <c r="M38" s="409" t="s">
        <v>1737</v>
      </c>
      <c r="N38" s="233"/>
      <c r="O38" s="233" t="s">
        <v>11077</v>
      </c>
      <c r="P38" s="233" t="s">
        <v>11092</v>
      </c>
      <c r="Q38" s="233" t="s">
        <v>8315</v>
      </c>
      <c r="R38" s="233" t="s">
        <v>11093</v>
      </c>
      <c r="S38" s="233"/>
      <c r="T38" s="233"/>
      <c r="U38" s="233" t="s">
        <v>8432</v>
      </c>
      <c r="V38" s="172" t="s">
        <v>4803</v>
      </c>
    </row>
    <row r="39" spans="1:22">
      <c r="A39" s="233" t="s">
        <v>11094</v>
      </c>
      <c r="B39" s="233" t="s">
        <v>11095</v>
      </c>
      <c r="C39" s="408" t="s">
        <v>11096</v>
      </c>
      <c r="D39" s="408" t="s">
        <v>11096</v>
      </c>
      <c r="E39" s="233" t="s">
        <v>1732</v>
      </c>
      <c r="F39" s="233" t="s">
        <v>11097</v>
      </c>
      <c r="G39" s="233"/>
      <c r="H39" s="408" t="s">
        <v>11098</v>
      </c>
      <c r="I39" s="409" t="s">
        <v>1736</v>
      </c>
      <c r="J39" s="410" t="s">
        <v>4913</v>
      </c>
      <c r="K39" s="410" t="s">
        <v>4913</v>
      </c>
      <c r="L39" s="409" t="s">
        <v>1737</v>
      </c>
      <c r="M39" s="409" t="s">
        <v>1737</v>
      </c>
      <c r="N39" s="233"/>
      <c r="O39" s="233" t="s">
        <v>7478</v>
      </c>
      <c r="P39" s="233" t="s">
        <v>11099</v>
      </c>
      <c r="Q39" s="233" t="s">
        <v>8315</v>
      </c>
      <c r="R39" s="233" t="s">
        <v>11100</v>
      </c>
      <c r="S39" s="233"/>
      <c r="T39" s="233"/>
      <c r="U39" s="233" t="s">
        <v>8432</v>
      </c>
      <c r="V39" s="172" t="s">
        <v>4803</v>
      </c>
    </row>
    <row r="40" spans="1:22">
      <c r="A40" s="233" t="s">
        <v>11101</v>
      </c>
      <c r="B40" s="233" t="s">
        <v>11102</v>
      </c>
      <c r="C40" s="408" t="s">
        <v>11025</v>
      </c>
      <c r="D40" s="408" t="s">
        <v>11103</v>
      </c>
      <c r="E40" s="233" t="s">
        <v>1732</v>
      </c>
      <c r="F40" s="233" t="s">
        <v>11104</v>
      </c>
      <c r="G40" s="233" t="s">
        <v>11105</v>
      </c>
      <c r="H40" s="408" t="s">
        <v>11029</v>
      </c>
      <c r="I40" s="409" t="s">
        <v>1736</v>
      </c>
      <c r="J40" s="409" t="s">
        <v>1736</v>
      </c>
      <c r="K40" s="410" t="s">
        <v>4913</v>
      </c>
      <c r="L40" s="409" t="s">
        <v>1737</v>
      </c>
      <c r="M40" s="409" t="s">
        <v>1737</v>
      </c>
      <c r="N40" s="233"/>
      <c r="O40" s="233" t="s">
        <v>7478</v>
      </c>
      <c r="P40" s="233" t="s">
        <v>11106</v>
      </c>
      <c r="Q40" s="233" t="s">
        <v>8315</v>
      </c>
      <c r="R40" s="233" t="s">
        <v>11107</v>
      </c>
      <c r="S40" s="233"/>
      <c r="T40" s="233"/>
      <c r="U40" s="233" t="s">
        <v>8432</v>
      </c>
      <c r="V40" s="172" t="s">
        <v>4803</v>
      </c>
    </row>
    <row r="41" spans="1:22">
      <c r="A41" s="233" t="s">
        <v>11108</v>
      </c>
      <c r="B41" s="233" t="s">
        <v>11109</v>
      </c>
      <c r="C41" s="408" t="s">
        <v>11034</v>
      </c>
      <c r="D41" s="408" t="s">
        <v>11110</v>
      </c>
      <c r="E41" s="233" t="s">
        <v>1732</v>
      </c>
      <c r="F41" s="233" t="s">
        <v>11111</v>
      </c>
      <c r="G41" s="233" t="s">
        <v>11112</v>
      </c>
      <c r="H41" s="408" t="s">
        <v>11029</v>
      </c>
      <c r="I41" s="409" t="s">
        <v>1736</v>
      </c>
      <c r="J41" s="409" t="s">
        <v>1736</v>
      </c>
      <c r="K41" s="410" t="s">
        <v>4913</v>
      </c>
      <c r="L41" s="409" t="s">
        <v>1737</v>
      </c>
      <c r="M41" s="409" t="s">
        <v>1737</v>
      </c>
      <c r="N41" s="233"/>
      <c r="O41" s="233" t="s">
        <v>7519</v>
      </c>
      <c r="P41" s="233" t="s">
        <v>11113</v>
      </c>
      <c r="Q41" s="233" t="s">
        <v>8315</v>
      </c>
      <c r="R41" s="233" t="s">
        <v>11114</v>
      </c>
      <c r="S41" s="233"/>
      <c r="T41" s="233"/>
      <c r="U41" s="233" t="s">
        <v>8432</v>
      </c>
      <c r="V41" s="172" t="s">
        <v>4803</v>
      </c>
    </row>
    <row r="42" spans="1:22">
      <c r="A42" s="233" t="s">
        <v>11115</v>
      </c>
      <c r="B42" s="233" t="s">
        <v>11116</v>
      </c>
      <c r="C42" s="408" t="s">
        <v>11042</v>
      </c>
      <c r="D42" s="408" t="s">
        <v>11117</v>
      </c>
      <c r="E42" s="233" t="s">
        <v>1732</v>
      </c>
      <c r="F42" s="233" t="s">
        <v>11044</v>
      </c>
      <c r="G42" s="233"/>
      <c r="H42" s="408" t="s">
        <v>11045</v>
      </c>
      <c r="I42" s="409" t="s">
        <v>1736</v>
      </c>
      <c r="J42" s="410" t="s">
        <v>4913</v>
      </c>
      <c r="K42" s="410" t="s">
        <v>4913</v>
      </c>
      <c r="L42" s="563" t="s">
        <v>1737</v>
      </c>
      <c r="M42" s="563" t="s">
        <v>1737</v>
      </c>
      <c r="N42" s="233"/>
      <c r="O42" s="233" t="s">
        <v>7692</v>
      </c>
      <c r="P42" s="233" t="s">
        <v>11118</v>
      </c>
      <c r="Q42" s="233" t="s">
        <v>8400</v>
      </c>
      <c r="R42" s="233" t="s">
        <v>11119</v>
      </c>
      <c r="S42" s="233"/>
      <c r="T42" s="233"/>
      <c r="U42" s="233" t="s">
        <v>8432</v>
      </c>
      <c r="V42" s="172" t="s">
        <v>4803</v>
      </c>
    </row>
    <row r="43" spans="1:22">
      <c r="A43" s="233" t="s">
        <v>11120</v>
      </c>
      <c r="B43" s="233" t="s">
        <v>11121</v>
      </c>
      <c r="C43" s="408" t="s">
        <v>11050</v>
      </c>
      <c r="D43" s="408" t="s">
        <v>11122</v>
      </c>
      <c r="E43" s="233" t="s">
        <v>1732</v>
      </c>
      <c r="F43" s="233" t="s">
        <v>11052</v>
      </c>
      <c r="G43" s="233"/>
      <c r="H43" s="408" t="s">
        <v>11053</v>
      </c>
      <c r="I43" s="409" t="s">
        <v>1736</v>
      </c>
      <c r="J43" s="410" t="s">
        <v>4913</v>
      </c>
      <c r="K43" s="410" t="s">
        <v>4913</v>
      </c>
      <c r="L43" s="563" t="s">
        <v>1737</v>
      </c>
      <c r="M43" s="563" t="s">
        <v>1737</v>
      </c>
      <c r="N43" s="233"/>
      <c r="O43" s="233" t="s">
        <v>7692</v>
      </c>
      <c r="P43" s="233" t="s">
        <v>11123</v>
      </c>
      <c r="Q43" s="233" t="s">
        <v>8400</v>
      </c>
      <c r="R43" s="233" t="s">
        <v>11124</v>
      </c>
      <c r="S43" s="233"/>
      <c r="T43" s="233"/>
      <c r="U43" s="233" t="s">
        <v>8432</v>
      </c>
      <c r="V43" s="172" t="s">
        <v>4803</v>
      </c>
    </row>
    <row r="44" spans="1:22">
      <c r="A44" s="233" t="s">
        <v>11125</v>
      </c>
      <c r="B44" s="233" t="s">
        <v>11126</v>
      </c>
      <c r="C44" s="408" t="s">
        <v>11058</v>
      </c>
      <c r="D44" s="408" t="s">
        <v>11058</v>
      </c>
      <c r="E44" s="233" t="s">
        <v>1732</v>
      </c>
      <c r="F44" s="233" t="s">
        <v>11127</v>
      </c>
      <c r="G44" s="233"/>
      <c r="H44" s="408" t="s">
        <v>11061</v>
      </c>
      <c r="I44" s="409" t="s">
        <v>1736</v>
      </c>
      <c r="J44" s="410" t="s">
        <v>4913</v>
      </c>
      <c r="K44" s="410" t="s">
        <v>4913</v>
      </c>
      <c r="L44" s="563" t="s">
        <v>1737</v>
      </c>
      <c r="M44" s="563" t="s">
        <v>1737</v>
      </c>
      <c r="N44" s="233"/>
      <c r="O44" s="233" t="s">
        <v>7692</v>
      </c>
      <c r="P44" s="233" t="s">
        <v>11128</v>
      </c>
      <c r="Q44" s="233" t="s">
        <v>8400</v>
      </c>
      <c r="R44" s="233" t="s">
        <v>11129</v>
      </c>
      <c r="S44" s="233"/>
      <c r="T44" s="233"/>
      <c r="U44" s="233" t="s">
        <v>8432</v>
      </c>
      <c r="V44" s="172" t="s">
        <v>4803</v>
      </c>
    </row>
    <row r="45" spans="1:22">
      <c r="A45" s="233" t="s">
        <v>11130</v>
      </c>
      <c r="B45" s="233" t="s">
        <v>11131</v>
      </c>
      <c r="C45" s="408" t="s">
        <v>11066</v>
      </c>
      <c r="D45" s="408" t="s">
        <v>11132</v>
      </c>
      <c r="E45" s="233" t="s">
        <v>1732</v>
      </c>
      <c r="F45" s="233" t="s">
        <v>11068</v>
      </c>
      <c r="G45" s="233"/>
      <c r="H45" s="408" t="s">
        <v>11069</v>
      </c>
      <c r="I45" s="409" t="s">
        <v>1736</v>
      </c>
      <c r="J45" s="410" t="s">
        <v>4913</v>
      </c>
      <c r="K45" s="409" t="s">
        <v>1736</v>
      </c>
      <c r="L45" s="409" t="s">
        <v>1737</v>
      </c>
      <c r="M45" s="409" t="s">
        <v>1737</v>
      </c>
      <c r="N45" s="233"/>
      <c r="O45" s="233" t="s">
        <v>7519</v>
      </c>
      <c r="P45" s="233" t="s">
        <v>11133</v>
      </c>
      <c r="Q45" s="233" t="s">
        <v>8400</v>
      </c>
      <c r="R45" s="233" t="s">
        <v>11134</v>
      </c>
      <c r="S45" s="233"/>
      <c r="T45" s="233"/>
      <c r="U45" s="233" t="s">
        <v>8432</v>
      </c>
      <c r="V45" s="172" t="s">
        <v>4803</v>
      </c>
    </row>
    <row r="46" spans="1:22">
      <c r="A46" s="233" t="s">
        <v>11135</v>
      </c>
      <c r="B46" s="233" t="s">
        <v>11136</v>
      </c>
      <c r="C46" s="408" t="s">
        <v>11074</v>
      </c>
      <c r="D46" s="408" t="s">
        <v>11137</v>
      </c>
      <c r="E46" s="233" t="s">
        <v>1732</v>
      </c>
      <c r="F46" s="233" t="s">
        <v>11076</v>
      </c>
      <c r="G46" s="233"/>
      <c r="H46" s="408" t="s">
        <v>11069</v>
      </c>
      <c r="I46" s="409" t="s">
        <v>1736</v>
      </c>
      <c r="J46" s="410" t="s">
        <v>4913</v>
      </c>
      <c r="K46" s="409" t="s">
        <v>1736</v>
      </c>
      <c r="L46" s="409" t="s">
        <v>1737</v>
      </c>
      <c r="M46" s="409" t="s">
        <v>1737</v>
      </c>
      <c r="N46" s="233"/>
      <c r="O46" s="233" t="s">
        <v>7519</v>
      </c>
      <c r="P46" s="233" t="s">
        <v>11138</v>
      </c>
      <c r="Q46" s="233" t="s">
        <v>8400</v>
      </c>
      <c r="R46" s="233" t="s">
        <v>11139</v>
      </c>
      <c r="S46" s="233"/>
      <c r="T46" s="233"/>
      <c r="U46" s="233" t="s">
        <v>8432</v>
      </c>
      <c r="V46" s="172" t="s">
        <v>4803</v>
      </c>
    </row>
    <row r="47" spans="1:22">
      <c r="A47" s="233" t="s">
        <v>11140</v>
      </c>
      <c r="B47" s="233" t="s">
        <v>11141</v>
      </c>
      <c r="C47" s="408" t="s">
        <v>11082</v>
      </c>
      <c r="D47" s="408" t="s">
        <v>11142</v>
      </c>
      <c r="E47" s="233" t="s">
        <v>1732</v>
      </c>
      <c r="F47" s="233" t="s">
        <v>11084</v>
      </c>
      <c r="G47" s="233"/>
      <c r="H47" s="408" t="s">
        <v>11069</v>
      </c>
      <c r="I47" s="409" t="s">
        <v>1736</v>
      </c>
      <c r="J47" s="410" t="s">
        <v>4913</v>
      </c>
      <c r="K47" s="409" t="s">
        <v>1736</v>
      </c>
      <c r="L47" s="409" t="s">
        <v>1737</v>
      </c>
      <c r="M47" s="409" t="s">
        <v>1737</v>
      </c>
      <c r="N47" s="233"/>
      <c r="O47" s="233" t="s">
        <v>7519</v>
      </c>
      <c r="P47" s="233" t="s">
        <v>11143</v>
      </c>
      <c r="Q47" s="233" t="s">
        <v>8400</v>
      </c>
      <c r="R47" s="233" t="s">
        <v>11144</v>
      </c>
      <c r="S47" s="233"/>
      <c r="T47" s="233"/>
      <c r="U47" s="233" t="s">
        <v>8432</v>
      </c>
      <c r="V47" s="172" t="s">
        <v>4803</v>
      </c>
    </row>
    <row r="48" spans="1:22">
      <c r="A48" s="233" t="s">
        <v>11145</v>
      </c>
      <c r="B48" s="233" t="s">
        <v>11146</v>
      </c>
      <c r="C48" s="408" t="s">
        <v>11089</v>
      </c>
      <c r="D48" s="408" t="s">
        <v>11147</v>
      </c>
      <c r="E48" s="233" t="s">
        <v>1732</v>
      </c>
      <c r="F48" s="233" t="s">
        <v>11091</v>
      </c>
      <c r="G48" s="233"/>
      <c r="H48" s="408" t="s">
        <v>11045</v>
      </c>
      <c r="I48" s="409" t="s">
        <v>1736</v>
      </c>
      <c r="J48" s="410" t="s">
        <v>4913</v>
      </c>
      <c r="K48" s="410" t="s">
        <v>4913</v>
      </c>
      <c r="L48" s="409" t="s">
        <v>1737</v>
      </c>
      <c r="M48" s="409" t="s">
        <v>1737</v>
      </c>
      <c r="N48" s="233"/>
      <c r="O48" s="233" t="s">
        <v>7692</v>
      </c>
      <c r="P48" s="233" t="s">
        <v>11148</v>
      </c>
      <c r="Q48" s="233" t="s">
        <v>8400</v>
      </c>
      <c r="R48" s="233" t="s">
        <v>11149</v>
      </c>
      <c r="S48" s="233"/>
      <c r="T48" s="233"/>
      <c r="U48" s="233" t="s">
        <v>8432</v>
      </c>
      <c r="V48" s="172" t="s">
        <v>4803</v>
      </c>
    </row>
    <row r="49" spans="1:22">
      <c r="A49" s="233" t="s">
        <v>11150</v>
      </c>
      <c r="B49" s="233" t="s">
        <v>11151</v>
      </c>
      <c r="C49" s="408" t="s">
        <v>11152</v>
      </c>
      <c r="D49" s="408" t="s">
        <v>11152</v>
      </c>
      <c r="E49" s="233" t="s">
        <v>1732</v>
      </c>
      <c r="F49" s="233" t="s">
        <v>11153</v>
      </c>
      <c r="G49" s="233"/>
      <c r="H49" s="408" t="s">
        <v>11154</v>
      </c>
      <c r="I49" s="409" t="s">
        <v>1736</v>
      </c>
      <c r="J49" s="410" t="s">
        <v>4913</v>
      </c>
      <c r="K49" s="410" t="s">
        <v>4913</v>
      </c>
      <c r="L49" s="409" t="s">
        <v>1737</v>
      </c>
      <c r="M49" s="409" t="s">
        <v>1737</v>
      </c>
      <c r="N49" s="233"/>
      <c r="O49" s="233" t="s">
        <v>7705</v>
      </c>
      <c r="P49" s="233" t="s">
        <v>11155</v>
      </c>
      <c r="Q49" s="233" t="s">
        <v>8400</v>
      </c>
      <c r="R49" s="233" t="s">
        <v>11156</v>
      </c>
      <c r="S49" s="233"/>
      <c r="T49" s="233"/>
      <c r="U49" s="233" t="s">
        <v>8432</v>
      </c>
      <c r="V49" s="172" t="s">
        <v>4803</v>
      </c>
    </row>
    <row r="50" spans="1:22">
      <c r="A50" s="233" t="s">
        <v>11157</v>
      </c>
      <c r="B50" s="233" t="s">
        <v>11158</v>
      </c>
      <c r="C50" s="408" t="s">
        <v>11025</v>
      </c>
      <c r="D50" s="408" t="s">
        <v>11159</v>
      </c>
      <c r="E50" s="233" t="s">
        <v>1732</v>
      </c>
      <c r="F50" s="233" t="s">
        <v>11160</v>
      </c>
      <c r="G50" s="233" t="s">
        <v>11161</v>
      </c>
      <c r="H50" s="408" t="s">
        <v>11029</v>
      </c>
      <c r="I50" s="409" t="s">
        <v>1736</v>
      </c>
      <c r="J50" s="409" t="s">
        <v>1736</v>
      </c>
      <c r="K50" s="410" t="s">
        <v>4913</v>
      </c>
      <c r="L50" s="409" t="s">
        <v>1737</v>
      </c>
      <c r="M50" s="409" t="s">
        <v>1737</v>
      </c>
      <c r="N50" s="233"/>
      <c r="O50" s="233" t="s">
        <v>7705</v>
      </c>
      <c r="P50" s="325" t="s">
        <v>11162</v>
      </c>
      <c r="Q50" s="233" t="s">
        <v>8430</v>
      </c>
      <c r="R50" s="233" t="s">
        <v>11163</v>
      </c>
      <c r="S50" s="233"/>
      <c r="T50" s="233"/>
      <c r="U50" s="233" t="s">
        <v>8432</v>
      </c>
      <c r="V50" s="172" t="s">
        <v>4803</v>
      </c>
    </row>
    <row r="51" spans="1:22">
      <c r="A51" s="233" t="s">
        <v>11164</v>
      </c>
      <c r="B51" s="233" t="s">
        <v>11165</v>
      </c>
      <c r="C51" s="408" t="s">
        <v>11034</v>
      </c>
      <c r="D51" s="408" t="s">
        <v>11166</v>
      </c>
      <c r="E51" s="233" t="s">
        <v>1732</v>
      </c>
      <c r="F51" s="233" t="s">
        <v>11167</v>
      </c>
      <c r="G51" s="233" t="s">
        <v>11168</v>
      </c>
      <c r="H51" s="408" t="s">
        <v>11029</v>
      </c>
      <c r="I51" s="409" t="s">
        <v>1736</v>
      </c>
      <c r="J51" s="409" t="s">
        <v>1736</v>
      </c>
      <c r="K51" s="410" t="s">
        <v>4913</v>
      </c>
      <c r="L51" s="409" t="s">
        <v>1737</v>
      </c>
      <c r="M51" s="409" t="s">
        <v>1737</v>
      </c>
      <c r="N51" s="233"/>
      <c r="O51" s="233" t="s">
        <v>7705</v>
      </c>
      <c r="P51" s="233" t="s">
        <v>11169</v>
      </c>
      <c r="Q51" s="233" t="s">
        <v>8430</v>
      </c>
      <c r="R51" s="233" t="s">
        <v>11170</v>
      </c>
      <c r="S51" s="233"/>
      <c r="T51" s="233"/>
      <c r="U51" s="233" t="s">
        <v>8432</v>
      </c>
      <c r="V51" s="172" t="s">
        <v>4803</v>
      </c>
    </row>
    <row r="52" spans="1:22">
      <c r="A52" s="233" t="s">
        <v>11171</v>
      </c>
      <c r="B52" s="233" t="s">
        <v>11172</v>
      </c>
      <c r="C52" s="408" t="s">
        <v>11042</v>
      </c>
      <c r="D52" s="408" t="s">
        <v>11173</v>
      </c>
      <c r="E52" s="233" t="s">
        <v>1732</v>
      </c>
      <c r="F52" s="233" t="s">
        <v>11044</v>
      </c>
      <c r="G52" s="233"/>
      <c r="H52" s="408" t="s">
        <v>11045</v>
      </c>
      <c r="I52" s="409" t="s">
        <v>1736</v>
      </c>
      <c r="J52" s="410" t="s">
        <v>4913</v>
      </c>
      <c r="K52" s="410" t="s">
        <v>4913</v>
      </c>
      <c r="L52" s="409" t="s">
        <v>1737</v>
      </c>
      <c r="M52" s="409" t="s">
        <v>1737</v>
      </c>
      <c r="N52" s="233"/>
      <c r="O52" s="233" t="s">
        <v>7705</v>
      </c>
      <c r="P52" s="233" t="s">
        <v>11174</v>
      </c>
      <c r="Q52" s="233" t="s">
        <v>8430</v>
      </c>
      <c r="R52" s="233" t="s">
        <v>11175</v>
      </c>
      <c r="S52" s="233"/>
      <c r="T52" s="233"/>
      <c r="U52" s="233" t="s">
        <v>8432</v>
      </c>
      <c r="V52" s="172" t="s">
        <v>4803</v>
      </c>
    </row>
    <row r="53" spans="1:22">
      <c r="A53" s="233" t="s">
        <v>11176</v>
      </c>
      <c r="B53" s="233" t="s">
        <v>11177</v>
      </c>
      <c r="C53" s="408" t="s">
        <v>11050</v>
      </c>
      <c r="D53" s="408" t="s">
        <v>11178</v>
      </c>
      <c r="E53" s="233" t="s">
        <v>1732</v>
      </c>
      <c r="F53" s="233" t="s">
        <v>11052</v>
      </c>
      <c r="G53" s="233"/>
      <c r="H53" s="408" t="s">
        <v>11053</v>
      </c>
      <c r="I53" s="409" t="s">
        <v>1736</v>
      </c>
      <c r="J53" s="410" t="s">
        <v>4913</v>
      </c>
      <c r="K53" s="410" t="s">
        <v>4913</v>
      </c>
      <c r="L53" s="409" t="s">
        <v>1737</v>
      </c>
      <c r="M53" s="409" t="s">
        <v>1737</v>
      </c>
      <c r="N53" s="233"/>
      <c r="O53" s="233" t="s">
        <v>7705</v>
      </c>
      <c r="P53" s="233" t="s">
        <v>11179</v>
      </c>
      <c r="Q53" s="233" t="s">
        <v>8430</v>
      </c>
      <c r="R53" s="233" t="s">
        <v>11180</v>
      </c>
      <c r="S53" s="233"/>
      <c r="T53" s="233"/>
      <c r="U53" s="233" t="s">
        <v>8432</v>
      </c>
      <c r="V53" s="172" t="s">
        <v>4803</v>
      </c>
    </row>
    <row r="54" spans="1:22">
      <c r="A54" s="233" t="s">
        <v>11181</v>
      </c>
      <c r="B54" s="233" t="s">
        <v>11182</v>
      </c>
      <c r="C54" s="408" t="s">
        <v>11058</v>
      </c>
      <c r="D54" s="408" t="s">
        <v>11183</v>
      </c>
      <c r="E54" s="233" t="s">
        <v>1732</v>
      </c>
      <c r="F54" s="233" t="s">
        <v>11184</v>
      </c>
      <c r="G54" s="233"/>
      <c r="H54" s="408" t="s">
        <v>11061</v>
      </c>
      <c r="I54" s="409" t="s">
        <v>1736</v>
      </c>
      <c r="J54" s="410" t="s">
        <v>4913</v>
      </c>
      <c r="K54" s="410" t="s">
        <v>4913</v>
      </c>
      <c r="L54" s="409" t="s">
        <v>1737</v>
      </c>
      <c r="M54" s="409" t="s">
        <v>1737</v>
      </c>
      <c r="N54" s="233"/>
      <c r="O54" s="233" t="s">
        <v>7705</v>
      </c>
      <c r="P54" s="233" t="s">
        <v>11185</v>
      </c>
      <c r="Q54" s="233" t="s">
        <v>8430</v>
      </c>
      <c r="R54" s="233" t="s">
        <v>11186</v>
      </c>
      <c r="S54" s="233"/>
      <c r="T54" s="233"/>
      <c r="U54" s="233" t="s">
        <v>8432</v>
      </c>
      <c r="V54" s="172" t="s">
        <v>4803</v>
      </c>
    </row>
    <row r="55" spans="1:22">
      <c r="A55" s="233" t="s">
        <v>11187</v>
      </c>
      <c r="B55" s="233" t="s">
        <v>11188</v>
      </c>
      <c r="C55" s="408" t="s">
        <v>11066</v>
      </c>
      <c r="D55" s="408" t="s">
        <v>11189</v>
      </c>
      <c r="E55" s="233" t="s">
        <v>1732</v>
      </c>
      <c r="F55" s="233" t="s">
        <v>11068</v>
      </c>
      <c r="G55" s="233"/>
      <c r="H55" s="408" t="s">
        <v>11069</v>
      </c>
      <c r="I55" s="409" t="s">
        <v>1736</v>
      </c>
      <c r="J55" s="410" t="s">
        <v>4913</v>
      </c>
      <c r="K55" s="409" t="s">
        <v>1736</v>
      </c>
      <c r="L55" s="409" t="s">
        <v>1737</v>
      </c>
      <c r="M55" s="409" t="s">
        <v>1737</v>
      </c>
      <c r="N55" s="233"/>
      <c r="O55" s="233" t="s">
        <v>7718</v>
      </c>
      <c r="P55" s="233" t="s">
        <v>11190</v>
      </c>
      <c r="Q55" s="233" t="s">
        <v>8430</v>
      </c>
      <c r="R55" s="233" t="s">
        <v>11191</v>
      </c>
      <c r="S55" s="233"/>
      <c r="T55" s="233"/>
      <c r="U55" s="233" t="s">
        <v>8432</v>
      </c>
      <c r="V55" s="172" t="s">
        <v>4803</v>
      </c>
    </row>
    <row r="56" spans="1:22">
      <c r="A56" s="233" t="s">
        <v>11192</v>
      </c>
      <c r="B56" s="233" t="s">
        <v>11193</v>
      </c>
      <c r="C56" s="408" t="s">
        <v>11074</v>
      </c>
      <c r="D56" s="408" t="s">
        <v>11194</v>
      </c>
      <c r="E56" s="233" t="s">
        <v>1732</v>
      </c>
      <c r="F56" s="233" t="s">
        <v>11076</v>
      </c>
      <c r="G56" s="233"/>
      <c r="H56" s="408" t="s">
        <v>11069</v>
      </c>
      <c r="I56" s="409" t="s">
        <v>1736</v>
      </c>
      <c r="J56" s="410" t="s">
        <v>4913</v>
      </c>
      <c r="K56" s="409" t="s">
        <v>1736</v>
      </c>
      <c r="L56" s="409" t="s">
        <v>1737</v>
      </c>
      <c r="M56" s="409" t="s">
        <v>1737</v>
      </c>
      <c r="N56" s="233"/>
      <c r="O56" s="233" t="s">
        <v>7718</v>
      </c>
      <c r="P56" s="233" t="s">
        <v>11195</v>
      </c>
      <c r="Q56" s="233" t="s">
        <v>8430</v>
      </c>
      <c r="R56" s="233" t="s">
        <v>11196</v>
      </c>
      <c r="S56" s="233"/>
      <c r="T56" s="233"/>
      <c r="U56" s="233" t="s">
        <v>8432</v>
      </c>
      <c r="V56" s="172" t="s">
        <v>4803</v>
      </c>
    </row>
    <row r="57" spans="1:22">
      <c r="A57" s="233" t="s">
        <v>11197</v>
      </c>
      <c r="B57" s="233" t="s">
        <v>11198</v>
      </c>
      <c r="C57" s="408" t="s">
        <v>11082</v>
      </c>
      <c r="D57" s="408" t="s">
        <v>11199</v>
      </c>
      <c r="E57" s="233" t="s">
        <v>1732</v>
      </c>
      <c r="F57" s="233" t="s">
        <v>11084</v>
      </c>
      <c r="G57" s="233"/>
      <c r="H57" s="408" t="s">
        <v>11069</v>
      </c>
      <c r="I57" s="409" t="s">
        <v>1736</v>
      </c>
      <c r="J57" s="410" t="s">
        <v>4913</v>
      </c>
      <c r="K57" s="409" t="s">
        <v>1736</v>
      </c>
      <c r="L57" s="409" t="s">
        <v>1737</v>
      </c>
      <c r="M57" s="409" t="s">
        <v>1737</v>
      </c>
      <c r="N57" s="233"/>
      <c r="O57" s="233" t="s">
        <v>7718</v>
      </c>
      <c r="P57" s="233" t="s">
        <v>11200</v>
      </c>
      <c r="Q57" s="233" t="s">
        <v>8430</v>
      </c>
      <c r="R57" s="233" t="s">
        <v>11201</v>
      </c>
      <c r="S57" s="233"/>
      <c r="T57" s="233"/>
      <c r="U57" s="233" t="s">
        <v>8432</v>
      </c>
      <c r="V57" s="172" t="s">
        <v>4803</v>
      </c>
    </row>
    <row r="58" spans="1:22">
      <c r="A58" s="233" t="s">
        <v>11202</v>
      </c>
      <c r="B58" s="233" t="s">
        <v>11203</v>
      </c>
      <c r="C58" s="408" t="s">
        <v>11204</v>
      </c>
      <c r="D58" s="408" t="s">
        <v>11205</v>
      </c>
      <c r="E58" s="233" t="s">
        <v>1732</v>
      </c>
      <c r="F58" s="233" t="s">
        <v>11206</v>
      </c>
      <c r="G58" s="233"/>
      <c r="H58" s="408" t="s">
        <v>11207</v>
      </c>
      <c r="I58" s="409" t="s">
        <v>1736</v>
      </c>
      <c r="J58" s="410" t="s">
        <v>4913</v>
      </c>
      <c r="K58" s="409" t="s">
        <v>1736</v>
      </c>
      <c r="L58" s="409" t="s">
        <v>1737</v>
      </c>
      <c r="M58" s="409" t="s">
        <v>1737</v>
      </c>
      <c r="N58" s="233"/>
      <c r="O58" s="233" t="s">
        <v>7731</v>
      </c>
      <c r="P58" s="233" t="s">
        <v>11208</v>
      </c>
      <c r="Q58" s="233" t="s">
        <v>8430</v>
      </c>
      <c r="R58" s="233" t="s">
        <v>11209</v>
      </c>
      <c r="S58" s="233"/>
      <c r="T58" s="233"/>
      <c r="U58" s="233" t="s">
        <v>8432</v>
      </c>
      <c r="V58" s="172" t="s">
        <v>4803</v>
      </c>
    </row>
    <row r="59" spans="1:22">
      <c r="A59" s="233" t="s">
        <v>11210</v>
      </c>
      <c r="B59" s="233" t="s">
        <v>11211</v>
      </c>
      <c r="C59" s="408" t="s">
        <v>11089</v>
      </c>
      <c r="D59" s="408" t="s">
        <v>11212</v>
      </c>
      <c r="E59" s="233" t="s">
        <v>1732</v>
      </c>
      <c r="F59" s="233" t="s">
        <v>11091</v>
      </c>
      <c r="G59" s="233"/>
      <c r="H59" s="408" t="s">
        <v>11045</v>
      </c>
      <c r="I59" s="409" t="s">
        <v>1736</v>
      </c>
      <c r="J59" s="410" t="s">
        <v>4913</v>
      </c>
      <c r="K59" s="410" t="s">
        <v>4913</v>
      </c>
      <c r="L59" s="409" t="s">
        <v>1737</v>
      </c>
      <c r="M59" s="409" t="s">
        <v>1737</v>
      </c>
      <c r="N59" s="233"/>
      <c r="O59" s="233" t="s">
        <v>7718</v>
      </c>
      <c r="P59" s="233" t="s">
        <v>11213</v>
      </c>
      <c r="Q59" s="233" t="s">
        <v>8430</v>
      </c>
      <c r="R59" s="233" t="s">
        <v>11214</v>
      </c>
      <c r="S59" s="233"/>
      <c r="T59" s="233"/>
      <c r="U59" s="233" t="s">
        <v>8432</v>
      </c>
      <c r="V59" s="172" t="s">
        <v>4803</v>
      </c>
    </row>
    <row r="60" spans="1:22">
      <c r="A60" s="233" t="s">
        <v>11215</v>
      </c>
      <c r="B60" s="233" t="s">
        <v>11216</v>
      </c>
      <c r="C60" s="408" t="s">
        <v>11217</v>
      </c>
      <c r="D60" s="408" t="s">
        <v>11217</v>
      </c>
      <c r="E60" s="233" t="s">
        <v>1732</v>
      </c>
      <c r="F60" s="233" t="s">
        <v>11218</v>
      </c>
      <c r="G60" s="233"/>
      <c r="H60" s="408" t="s">
        <v>11219</v>
      </c>
      <c r="I60" s="409" t="s">
        <v>1736</v>
      </c>
      <c r="J60" s="410" t="s">
        <v>4913</v>
      </c>
      <c r="K60" s="410" t="s">
        <v>4913</v>
      </c>
      <c r="L60" s="409" t="s">
        <v>1737</v>
      </c>
      <c r="M60" s="409" t="s">
        <v>1737</v>
      </c>
      <c r="N60" s="233"/>
      <c r="O60" s="233" t="s">
        <v>7718</v>
      </c>
      <c r="P60" s="233" t="s">
        <v>11220</v>
      </c>
      <c r="Q60" s="233" t="s">
        <v>11221</v>
      </c>
      <c r="R60" s="233" t="s">
        <v>11222</v>
      </c>
      <c r="S60" s="233"/>
      <c r="T60" s="233"/>
      <c r="U60" s="233" t="s">
        <v>8432</v>
      </c>
      <c r="V60" s="172" t="s">
        <v>4803</v>
      </c>
    </row>
    <row r="61" spans="1:22">
      <c r="A61" s="233" t="s">
        <v>11223</v>
      </c>
      <c r="B61" s="233" t="s">
        <v>11224</v>
      </c>
      <c r="C61" s="408" t="s">
        <v>11025</v>
      </c>
      <c r="D61" s="408" t="s">
        <v>11225</v>
      </c>
      <c r="E61" s="233" t="s">
        <v>1732</v>
      </c>
      <c r="F61" s="233" t="s">
        <v>11226</v>
      </c>
      <c r="G61" s="233" t="s">
        <v>11227</v>
      </c>
      <c r="H61" s="408" t="s">
        <v>11029</v>
      </c>
      <c r="I61" s="409" t="s">
        <v>1736</v>
      </c>
      <c r="J61" s="409" t="s">
        <v>1736</v>
      </c>
      <c r="K61" s="410" t="s">
        <v>4913</v>
      </c>
      <c r="L61" s="409" t="s">
        <v>1737</v>
      </c>
      <c r="M61" s="409" t="s">
        <v>1737</v>
      </c>
      <c r="N61" s="233"/>
      <c r="O61" s="233" t="s">
        <v>7731</v>
      </c>
      <c r="P61" s="233" t="s">
        <v>11228</v>
      </c>
      <c r="Q61" s="233" t="s">
        <v>11221</v>
      </c>
      <c r="R61" s="233" t="s">
        <v>11229</v>
      </c>
      <c r="S61" s="233"/>
      <c r="T61" s="233"/>
      <c r="U61" s="233" t="s">
        <v>8432</v>
      </c>
      <c r="V61" s="172" t="s">
        <v>4803</v>
      </c>
    </row>
    <row r="62" spans="1:22">
      <c r="A62" s="233" t="s">
        <v>11230</v>
      </c>
      <c r="B62" s="233" t="s">
        <v>11231</v>
      </c>
      <c r="C62" s="408" t="s">
        <v>11034</v>
      </c>
      <c r="D62" s="408" t="s">
        <v>11232</v>
      </c>
      <c r="E62" s="233" t="s">
        <v>1732</v>
      </c>
      <c r="F62" s="233" t="s">
        <v>11233</v>
      </c>
      <c r="G62" s="233" t="s">
        <v>11234</v>
      </c>
      <c r="H62" s="408" t="s">
        <v>11029</v>
      </c>
      <c r="I62" s="409" t="s">
        <v>1736</v>
      </c>
      <c r="J62" s="409" t="s">
        <v>1736</v>
      </c>
      <c r="K62" s="410" t="s">
        <v>4913</v>
      </c>
      <c r="L62" s="409" t="s">
        <v>1737</v>
      </c>
      <c r="M62" s="409" t="s">
        <v>1737</v>
      </c>
      <c r="N62" s="233"/>
      <c r="O62" s="233" t="s">
        <v>7731</v>
      </c>
      <c r="P62" s="233" t="s">
        <v>11235</v>
      </c>
      <c r="Q62" s="233" t="s">
        <v>11221</v>
      </c>
      <c r="R62" s="233" t="s">
        <v>11236</v>
      </c>
      <c r="S62" s="233"/>
      <c r="T62" s="233"/>
      <c r="U62" s="233" t="s">
        <v>8432</v>
      </c>
      <c r="V62" s="172" t="s">
        <v>4803</v>
      </c>
    </row>
    <row r="63" spans="1:22">
      <c r="A63" s="233" t="s">
        <v>11237</v>
      </c>
      <c r="B63" s="233" t="s">
        <v>11238</v>
      </c>
      <c r="C63" s="408" t="s">
        <v>11042</v>
      </c>
      <c r="D63" s="408" t="s">
        <v>11239</v>
      </c>
      <c r="E63" s="233" t="s">
        <v>1732</v>
      </c>
      <c r="F63" s="233" t="s">
        <v>11044</v>
      </c>
      <c r="G63" s="233"/>
      <c r="H63" s="408" t="s">
        <v>11045</v>
      </c>
      <c r="I63" s="409" t="s">
        <v>1736</v>
      </c>
      <c r="J63" s="410" t="s">
        <v>4913</v>
      </c>
      <c r="K63" s="410" t="s">
        <v>4913</v>
      </c>
      <c r="L63" s="411" t="s">
        <v>1737</v>
      </c>
      <c r="M63" s="412" t="s">
        <v>1737</v>
      </c>
      <c r="N63" s="233"/>
      <c r="O63" s="233" t="s">
        <v>7583</v>
      </c>
      <c r="P63" s="233" t="s">
        <v>11240</v>
      </c>
      <c r="Q63" s="233" t="s">
        <v>11221</v>
      </c>
      <c r="R63" s="233" t="s">
        <v>11241</v>
      </c>
      <c r="S63" s="233"/>
      <c r="T63" s="233"/>
      <c r="U63" s="233" t="s">
        <v>8432</v>
      </c>
      <c r="V63" s="172" t="s">
        <v>4803</v>
      </c>
    </row>
    <row r="64" spans="1:22">
      <c r="A64" s="233" t="s">
        <v>11242</v>
      </c>
      <c r="B64" s="233" t="s">
        <v>11243</v>
      </c>
      <c r="C64" s="408" t="s">
        <v>11050</v>
      </c>
      <c r="D64" s="408" t="s">
        <v>11244</v>
      </c>
      <c r="E64" s="233" t="s">
        <v>1732</v>
      </c>
      <c r="F64" s="233" t="s">
        <v>11052</v>
      </c>
      <c r="G64" s="233"/>
      <c r="H64" s="408" t="s">
        <v>11053</v>
      </c>
      <c r="I64" s="409" t="s">
        <v>1736</v>
      </c>
      <c r="J64" s="410" t="s">
        <v>4913</v>
      </c>
      <c r="K64" s="410" t="s">
        <v>4913</v>
      </c>
      <c r="L64" s="411" t="s">
        <v>1737</v>
      </c>
      <c r="M64" s="411" t="s">
        <v>1737</v>
      </c>
      <c r="N64" s="233"/>
      <c r="O64" s="233" t="s">
        <v>7583</v>
      </c>
      <c r="P64" s="233" t="s">
        <v>11245</v>
      </c>
      <c r="Q64" s="233" t="s">
        <v>11221</v>
      </c>
      <c r="R64" s="233" t="s">
        <v>11246</v>
      </c>
      <c r="S64" s="233"/>
      <c r="T64" s="233"/>
      <c r="U64" s="233" t="s">
        <v>8432</v>
      </c>
      <c r="V64" s="172" t="s">
        <v>4803</v>
      </c>
    </row>
    <row r="65" spans="1:22">
      <c r="A65" s="233" t="s">
        <v>11247</v>
      </c>
      <c r="B65" s="233" t="s">
        <v>11248</v>
      </c>
      <c r="C65" s="408" t="s">
        <v>11058</v>
      </c>
      <c r="D65" s="408" t="s">
        <v>11249</v>
      </c>
      <c r="E65" s="233" t="s">
        <v>1732</v>
      </c>
      <c r="F65" s="233" t="s">
        <v>11250</v>
      </c>
      <c r="G65" s="233"/>
      <c r="H65" s="408" t="s">
        <v>11061</v>
      </c>
      <c r="I65" s="409" t="s">
        <v>1736</v>
      </c>
      <c r="J65" s="410" t="s">
        <v>4913</v>
      </c>
      <c r="K65" s="410" t="s">
        <v>4913</v>
      </c>
      <c r="L65" s="411" t="s">
        <v>1737</v>
      </c>
      <c r="M65" s="411" t="s">
        <v>1737</v>
      </c>
      <c r="N65" s="233"/>
      <c r="O65" s="233" t="s">
        <v>7583</v>
      </c>
      <c r="P65" s="233" t="s">
        <v>11251</v>
      </c>
      <c r="Q65" s="233" t="s">
        <v>11221</v>
      </c>
      <c r="R65" s="233" t="s">
        <v>11252</v>
      </c>
      <c r="S65" s="233"/>
      <c r="T65" s="233"/>
      <c r="U65" s="233" t="s">
        <v>8432</v>
      </c>
      <c r="V65" s="172" t="s">
        <v>4803</v>
      </c>
    </row>
    <row r="66" spans="1:22">
      <c r="A66" s="233" t="s">
        <v>11253</v>
      </c>
      <c r="B66" s="233" t="s">
        <v>11254</v>
      </c>
      <c r="C66" s="408" t="s">
        <v>11066</v>
      </c>
      <c r="D66" s="408" t="s">
        <v>11255</v>
      </c>
      <c r="E66" s="233" t="s">
        <v>1732</v>
      </c>
      <c r="F66" s="233" t="s">
        <v>11068</v>
      </c>
      <c r="G66" s="233"/>
      <c r="H66" s="408" t="s">
        <v>11069</v>
      </c>
      <c r="I66" s="409" t="s">
        <v>1736</v>
      </c>
      <c r="J66" s="410" t="s">
        <v>4913</v>
      </c>
      <c r="K66" s="409" t="s">
        <v>1736</v>
      </c>
      <c r="L66" s="409" t="s">
        <v>1737</v>
      </c>
      <c r="M66" s="409" t="s">
        <v>1737</v>
      </c>
      <c r="N66" s="233"/>
      <c r="O66" s="233" t="s">
        <v>7590</v>
      </c>
      <c r="P66" s="233" t="s">
        <v>11256</v>
      </c>
      <c r="Q66" s="233" t="s">
        <v>11221</v>
      </c>
      <c r="R66" s="233" t="s">
        <v>11257</v>
      </c>
      <c r="S66" s="233"/>
      <c r="T66" s="233"/>
      <c r="U66" s="233" t="s">
        <v>8432</v>
      </c>
      <c r="V66" s="172" t="s">
        <v>4803</v>
      </c>
    </row>
    <row r="67" spans="1:22">
      <c r="A67" s="233" t="s">
        <v>11258</v>
      </c>
      <c r="B67" s="233" t="s">
        <v>11259</v>
      </c>
      <c r="C67" s="408" t="s">
        <v>11074</v>
      </c>
      <c r="D67" s="408" t="s">
        <v>11260</v>
      </c>
      <c r="E67" s="233" t="s">
        <v>1732</v>
      </c>
      <c r="F67" s="233" t="s">
        <v>11076</v>
      </c>
      <c r="G67" s="233"/>
      <c r="H67" s="408" t="s">
        <v>11069</v>
      </c>
      <c r="I67" s="409" t="s">
        <v>1736</v>
      </c>
      <c r="J67" s="410" t="s">
        <v>4913</v>
      </c>
      <c r="K67" s="409" t="s">
        <v>1736</v>
      </c>
      <c r="L67" s="409" t="s">
        <v>1737</v>
      </c>
      <c r="M67" s="409" t="s">
        <v>1737</v>
      </c>
      <c r="N67" s="233"/>
      <c r="O67" s="233" t="s">
        <v>7590</v>
      </c>
      <c r="P67" s="233" t="s">
        <v>11261</v>
      </c>
      <c r="Q67" s="233" t="s">
        <v>11221</v>
      </c>
      <c r="R67" s="233" t="s">
        <v>11262</v>
      </c>
      <c r="S67" s="233"/>
      <c r="T67" s="233"/>
      <c r="U67" s="233" t="s">
        <v>8432</v>
      </c>
      <c r="V67" s="172" t="s">
        <v>4803</v>
      </c>
    </row>
    <row r="68" spans="1:22">
      <c r="A68" s="233" t="s">
        <v>11263</v>
      </c>
      <c r="B68" s="233" t="s">
        <v>11264</v>
      </c>
      <c r="C68" s="408" t="s">
        <v>11082</v>
      </c>
      <c r="D68" s="408" t="s">
        <v>11265</v>
      </c>
      <c r="E68" s="233" t="s">
        <v>1732</v>
      </c>
      <c r="F68" s="233" t="s">
        <v>11084</v>
      </c>
      <c r="G68" s="233"/>
      <c r="H68" s="408" t="s">
        <v>11069</v>
      </c>
      <c r="I68" s="409" t="s">
        <v>1736</v>
      </c>
      <c r="J68" s="410" t="s">
        <v>4913</v>
      </c>
      <c r="K68" s="409" t="s">
        <v>1736</v>
      </c>
      <c r="L68" s="409" t="s">
        <v>1737</v>
      </c>
      <c r="M68" s="409" t="s">
        <v>1737</v>
      </c>
      <c r="N68" s="233"/>
      <c r="O68" s="233" t="s">
        <v>7590</v>
      </c>
      <c r="P68" s="233" t="s">
        <v>11266</v>
      </c>
      <c r="Q68" s="233" t="s">
        <v>11221</v>
      </c>
      <c r="R68" s="233" t="s">
        <v>11267</v>
      </c>
      <c r="S68" s="233"/>
      <c r="T68" s="233"/>
      <c r="U68" s="233" t="s">
        <v>8228</v>
      </c>
      <c r="V68" s="172" t="s">
        <v>4803</v>
      </c>
    </row>
    <row r="69" spans="1:22">
      <c r="A69" s="233" t="s">
        <v>11268</v>
      </c>
      <c r="B69" s="233" t="s">
        <v>11269</v>
      </c>
      <c r="C69" s="408" t="s">
        <v>11204</v>
      </c>
      <c r="D69" s="408" t="s">
        <v>11270</v>
      </c>
      <c r="E69" s="233" t="s">
        <v>1732</v>
      </c>
      <c r="F69" s="233" t="s">
        <v>11206</v>
      </c>
      <c r="G69" s="233"/>
      <c r="H69" s="408" t="s">
        <v>11207</v>
      </c>
      <c r="I69" s="409" t="s">
        <v>1736</v>
      </c>
      <c r="J69" s="410" t="s">
        <v>4913</v>
      </c>
      <c r="K69" s="409" t="s">
        <v>1736</v>
      </c>
      <c r="L69" s="409" t="s">
        <v>1737</v>
      </c>
      <c r="M69" s="409" t="s">
        <v>1737</v>
      </c>
      <c r="N69" s="233"/>
      <c r="O69" s="233" t="s">
        <v>7590</v>
      </c>
      <c r="P69" s="233" t="s">
        <v>11271</v>
      </c>
      <c r="Q69" s="233" t="s">
        <v>11221</v>
      </c>
      <c r="R69" s="233" t="s">
        <v>11272</v>
      </c>
      <c r="S69" s="233"/>
      <c r="T69" s="233"/>
      <c r="U69" s="233" t="s">
        <v>8228</v>
      </c>
      <c r="V69" s="172" t="s">
        <v>4803</v>
      </c>
    </row>
    <row r="70" spans="1:22">
      <c r="A70" s="233" t="s">
        <v>11273</v>
      </c>
      <c r="B70" s="233" t="s">
        <v>11274</v>
      </c>
      <c r="C70" s="408" t="s">
        <v>11089</v>
      </c>
      <c r="D70" s="408" t="s">
        <v>11275</v>
      </c>
      <c r="E70" s="233" t="s">
        <v>1732</v>
      </c>
      <c r="F70" s="233" t="s">
        <v>11091</v>
      </c>
      <c r="G70" s="233"/>
      <c r="H70" s="408" t="s">
        <v>11045</v>
      </c>
      <c r="I70" s="409" t="s">
        <v>1736</v>
      </c>
      <c r="J70" s="410" t="s">
        <v>4913</v>
      </c>
      <c r="K70" s="410" t="s">
        <v>4913</v>
      </c>
      <c r="L70" s="409" t="s">
        <v>1737</v>
      </c>
      <c r="M70" s="409" t="s">
        <v>1737</v>
      </c>
      <c r="N70" s="233"/>
      <c r="O70" s="233" t="s">
        <v>7718</v>
      </c>
      <c r="P70" s="233" t="s">
        <v>11276</v>
      </c>
      <c r="Q70" s="413" t="s">
        <v>8518</v>
      </c>
      <c r="R70" s="233" t="s">
        <v>11277</v>
      </c>
      <c r="S70" s="233"/>
      <c r="T70" s="233"/>
      <c r="U70" s="233" t="s">
        <v>8228</v>
      </c>
      <c r="V70" s="172" t="s">
        <v>4803</v>
      </c>
    </row>
    <row r="71" spans="1:22">
      <c r="A71" s="233" t="s">
        <v>11278</v>
      </c>
      <c r="B71" s="233" t="s">
        <v>11279</v>
      </c>
      <c r="C71" s="408" t="s">
        <v>11280</v>
      </c>
      <c r="D71" s="408" t="s">
        <v>11280</v>
      </c>
      <c r="E71" s="233" t="s">
        <v>1732</v>
      </c>
      <c r="F71" s="233" t="s">
        <v>11281</v>
      </c>
      <c r="G71" s="233"/>
      <c r="H71" s="408" t="s">
        <v>11282</v>
      </c>
      <c r="I71" s="409" t="s">
        <v>1736</v>
      </c>
      <c r="J71" s="410" t="s">
        <v>4913</v>
      </c>
      <c r="K71" s="410" t="s">
        <v>4913</v>
      </c>
      <c r="L71" s="409" t="s">
        <v>1737</v>
      </c>
      <c r="M71" s="409" t="s">
        <v>1737</v>
      </c>
      <c r="N71" s="36"/>
      <c r="O71" s="233" t="s">
        <v>7731</v>
      </c>
      <c r="P71" s="233" t="s">
        <v>11283</v>
      </c>
      <c r="Q71" s="413" t="s">
        <v>8518</v>
      </c>
      <c r="R71" s="233" t="s">
        <v>11284</v>
      </c>
      <c r="S71" s="233"/>
      <c r="T71" s="233"/>
      <c r="U71" s="233" t="s">
        <v>8228</v>
      </c>
      <c r="V71" s="172" t="s">
        <v>4803</v>
      </c>
    </row>
    <row r="72" spans="1:22">
      <c r="A72" s="233" t="s">
        <v>11285</v>
      </c>
      <c r="B72" s="233" t="s">
        <v>11286</v>
      </c>
      <c r="C72" s="408" t="s">
        <v>11025</v>
      </c>
      <c r="D72" s="408" t="s">
        <v>11287</v>
      </c>
      <c r="E72" s="233" t="s">
        <v>1732</v>
      </c>
      <c r="F72" s="233" t="s">
        <v>11288</v>
      </c>
      <c r="G72" s="233"/>
      <c r="H72" s="408" t="s">
        <v>11029</v>
      </c>
      <c r="I72" s="409" t="s">
        <v>1736</v>
      </c>
      <c r="J72" s="410" t="s">
        <v>4913</v>
      </c>
      <c r="K72" s="410" t="s">
        <v>4913</v>
      </c>
      <c r="L72" s="409" t="s">
        <v>1737</v>
      </c>
      <c r="M72" s="409" t="s">
        <v>1737</v>
      </c>
      <c r="N72" s="36"/>
      <c r="O72" s="233" t="s">
        <v>7731</v>
      </c>
      <c r="P72" s="233" t="s">
        <v>11289</v>
      </c>
      <c r="Q72" s="413" t="s">
        <v>8518</v>
      </c>
      <c r="R72" s="233" t="s">
        <v>11290</v>
      </c>
      <c r="S72" s="233"/>
      <c r="T72" s="233"/>
      <c r="U72" s="233" t="s">
        <v>8228</v>
      </c>
      <c r="V72" s="172" t="s">
        <v>4803</v>
      </c>
    </row>
    <row r="73" spans="1:22">
      <c r="A73" s="233" t="s">
        <v>11291</v>
      </c>
      <c r="B73" s="233" t="s">
        <v>11292</v>
      </c>
      <c r="C73" s="408" t="s">
        <v>11034</v>
      </c>
      <c r="D73" s="408" t="s">
        <v>11293</v>
      </c>
      <c r="E73" s="233" t="s">
        <v>1732</v>
      </c>
      <c r="F73" s="233" t="s">
        <v>11294</v>
      </c>
      <c r="G73" s="233"/>
      <c r="H73" s="408" t="s">
        <v>11029</v>
      </c>
      <c r="I73" s="409" t="s">
        <v>1736</v>
      </c>
      <c r="J73" s="410" t="s">
        <v>4913</v>
      </c>
      <c r="K73" s="410" t="s">
        <v>4913</v>
      </c>
      <c r="L73" s="409" t="s">
        <v>1737</v>
      </c>
      <c r="M73" s="409" t="s">
        <v>1737</v>
      </c>
      <c r="N73" s="36"/>
      <c r="O73" s="233" t="s">
        <v>7731</v>
      </c>
      <c r="P73" s="233" t="s">
        <v>11295</v>
      </c>
      <c r="Q73" s="413" t="s">
        <v>8518</v>
      </c>
      <c r="R73" s="233" t="s">
        <v>11296</v>
      </c>
      <c r="S73" s="233"/>
      <c r="T73" s="233"/>
      <c r="U73" s="233" t="s">
        <v>8228</v>
      </c>
      <c r="V73" s="172" t="s">
        <v>4803</v>
      </c>
    </row>
    <row r="74" spans="1:22">
      <c r="A74" s="233" t="s">
        <v>11297</v>
      </c>
      <c r="B74" s="233" t="s">
        <v>11298</v>
      </c>
      <c r="C74" s="408" t="s">
        <v>11042</v>
      </c>
      <c r="D74" s="408" t="s">
        <v>11299</v>
      </c>
      <c r="E74" s="233" t="s">
        <v>1732</v>
      </c>
      <c r="F74" s="233" t="s">
        <v>11044</v>
      </c>
      <c r="G74" s="233"/>
      <c r="H74" s="408" t="s">
        <v>11045</v>
      </c>
      <c r="I74" s="409" t="s">
        <v>1736</v>
      </c>
      <c r="J74" s="410" t="s">
        <v>4913</v>
      </c>
      <c r="K74" s="410" t="s">
        <v>4913</v>
      </c>
      <c r="L74" s="409" t="s">
        <v>1737</v>
      </c>
      <c r="M74" s="409" t="s">
        <v>1737</v>
      </c>
      <c r="N74" s="233"/>
      <c r="O74" s="233" t="s">
        <v>7583</v>
      </c>
      <c r="P74" s="233" t="s">
        <v>11300</v>
      </c>
      <c r="Q74" s="413" t="s">
        <v>8518</v>
      </c>
      <c r="R74" s="233" t="s">
        <v>11301</v>
      </c>
      <c r="S74" s="233"/>
      <c r="T74" s="233"/>
      <c r="U74" s="233" t="s">
        <v>8228</v>
      </c>
      <c r="V74" s="172" t="s">
        <v>4803</v>
      </c>
    </row>
    <row r="75" spans="1:22">
      <c r="A75" s="233" t="s">
        <v>11302</v>
      </c>
      <c r="B75" s="233" t="s">
        <v>11303</v>
      </c>
      <c r="C75" s="408" t="s">
        <v>11050</v>
      </c>
      <c r="D75" s="408" t="s">
        <v>11304</v>
      </c>
      <c r="E75" s="233" t="s">
        <v>1732</v>
      </c>
      <c r="F75" s="233" t="s">
        <v>11052</v>
      </c>
      <c r="G75" s="233"/>
      <c r="H75" s="408" t="s">
        <v>11053</v>
      </c>
      <c r="I75" s="409" t="s">
        <v>1736</v>
      </c>
      <c r="J75" s="410" t="s">
        <v>4913</v>
      </c>
      <c r="K75" s="410" t="s">
        <v>4913</v>
      </c>
      <c r="L75" s="409" t="s">
        <v>1737</v>
      </c>
      <c r="M75" s="409" t="s">
        <v>1737</v>
      </c>
      <c r="N75" s="233"/>
      <c r="O75" s="233" t="s">
        <v>7583</v>
      </c>
      <c r="P75" s="233" t="s">
        <v>11305</v>
      </c>
      <c r="Q75" s="233" t="s">
        <v>8518</v>
      </c>
      <c r="R75" s="233" t="s">
        <v>11306</v>
      </c>
      <c r="S75" s="233"/>
      <c r="T75" s="233"/>
      <c r="U75" s="233" t="s">
        <v>8228</v>
      </c>
      <c r="V75" s="172" t="s">
        <v>4803</v>
      </c>
    </row>
    <row r="76" spans="1:22">
      <c r="A76" s="233" t="s">
        <v>11307</v>
      </c>
      <c r="B76" s="233" t="s">
        <v>11308</v>
      </c>
      <c r="C76" s="408" t="s">
        <v>11058</v>
      </c>
      <c r="D76" s="408" t="s">
        <v>11309</v>
      </c>
      <c r="E76" s="233" t="s">
        <v>1732</v>
      </c>
      <c r="F76" s="233" t="s">
        <v>11310</v>
      </c>
      <c r="G76" s="233"/>
      <c r="H76" s="408" t="s">
        <v>11061</v>
      </c>
      <c r="I76" s="409" t="s">
        <v>1736</v>
      </c>
      <c r="J76" s="410" t="s">
        <v>4913</v>
      </c>
      <c r="K76" s="410" t="s">
        <v>4913</v>
      </c>
      <c r="L76" s="409" t="s">
        <v>1737</v>
      </c>
      <c r="M76" s="409" t="s">
        <v>1737</v>
      </c>
      <c r="N76" s="233"/>
      <c r="O76" s="233" t="s">
        <v>7583</v>
      </c>
      <c r="P76" s="233" t="s">
        <v>11311</v>
      </c>
      <c r="Q76" s="233" t="s">
        <v>8518</v>
      </c>
      <c r="R76" s="233" t="s">
        <v>11312</v>
      </c>
      <c r="S76" s="233"/>
      <c r="T76" s="233"/>
      <c r="U76" s="233" t="s">
        <v>8228</v>
      </c>
      <c r="V76" s="172" t="s">
        <v>4803</v>
      </c>
    </row>
    <row r="77" spans="1:22">
      <c r="A77" s="233" t="s">
        <v>11313</v>
      </c>
      <c r="B77" s="233" t="s">
        <v>11314</v>
      </c>
      <c r="C77" s="408" t="s">
        <v>11066</v>
      </c>
      <c r="D77" s="408" t="s">
        <v>11315</v>
      </c>
      <c r="E77" s="233" t="s">
        <v>1732</v>
      </c>
      <c r="F77" s="233" t="s">
        <v>11068</v>
      </c>
      <c r="G77" s="233"/>
      <c r="H77" s="408" t="s">
        <v>11069</v>
      </c>
      <c r="I77" s="409" t="s">
        <v>1736</v>
      </c>
      <c r="J77" s="410" t="s">
        <v>4913</v>
      </c>
      <c r="K77" s="409" t="s">
        <v>1736</v>
      </c>
      <c r="L77" s="409" t="s">
        <v>1737</v>
      </c>
      <c r="M77" s="409" t="s">
        <v>1737</v>
      </c>
      <c r="N77" s="233"/>
      <c r="O77" s="233" t="s">
        <v>7751</v>
      </c>
      <c r="P77" s="233" t="s">
        <v>11316</v>
      </c>
      <c r="Q77" s="233" t="s">
        <v>8518</v>
      </c>
      <c r="R77" s="233" t="s">
        <v>11317</v>
      </c>
      <c r="S77" s="233"/>
      <c r="T77" s="233"/>
      <c r="U77" s="233" t="s">
        <v>8228</v>
      </c>
      <c r="V77" s="172" t="s">
        <v>4803</v>
      </c>
    </row>
    <row r="78" spans="1:22">
      <c r="A78" s="233" t="s">
        <v>11318</v>
      </c>
      <c r="B78" s="233" t="s">
        <v>11319</v>
      </c>
      <c r="C78" s="408" t="s">
        <v>11074</v>
      </c>
      <c r="D78" s="408" t="s">
        <v>11320</v>
      </c>
      <c r="E78" s="233" t="s">
        <v>1732</v>
      </c>
      <c r="F78" s="233" t="s">
        <v>11076</v>
      </c>
      <c r="G78" s="233"/>
      <c r="H78" s="408" t="s">
        <v>11069</v>
      </c>
      <c r="I78" s="409" t="s">
        <v>1736</v>
      </c>
      <c r="J78" s="410" t="s">
        <v>4913</v>
      </c>
      <c r="K78" s="409" t="s">
        <v>1736</v>
      </c>
      <c r="L78" s="409" t="s">
        <v>1737</v>
      </c>
      <c r="M78" s="409" t="s">
        <v>1737</v>
      </c>
      <c r="N78" s="233"/>
      <c r="O78" s="233" t="s">
        <v>7751</v>
      </c>
      <c r="P78" s="233" t="s">
        <v>11321</v>
      </c>
      <c r="Q78" s="233" t="s">
        <v>8518</v>
      </c>
      <c r="R78" s="233" t="s">
        <v>11322</v>
      </c>
      <c r="S78" s="233"/>
      <c r="T78" s="233"/>
      <c r="U78" s="233" t="s">
        <v>8228</v>
      </c>
      <c r="V78" s="172" t="s">
        <v>4803</v>
      </c>
    </row>
    <row r="79" spans="1:22">
      <c r="A79" s="233" t="s">
        <v>11323</v>
      </c>
      <c r="B79" s="233" t="s">
        <v>11324</v>
      </c>
      <c r="C79" s="408" t="s">
        <v>11082</v>
      </c>
      <c r="D79" s="408" t="s">
        <v>11325</v>
      </c>
      <c r="E79" s="233" t="s">
        <v>1732</v>
      </c>
      <c r="F79" s="233" t="s">
        <v>11084</v>
      </c>
      <c r="G79" s="233"/>
      <c r="H79" s="408" t="s">
        <v>11069</v>
      </c>
      <c r="I79" s="409" t="s">
        <v>1736</v>
      </c>
      <c r="J79" s="410" t="s">
        <v>4913</v>
      </c>
      <c r="K79" s="409" t="s">
        <v>1736</v>
      </c>
      <c r="L79" s="409" t="s">
        <v>1737</v>
      </c>
      <c r="M79" s="409" t="s">
        <v>1737</v>
      </c>
      <c r="N79" s="233"/>
      <c r="O79" s="233" t="s">
        <v>7751</v>
      </c>
      <c r="P79" s="233" t="s">
        <v>11326</v>
      </c>
      <c r="Q79" s="233" t="s">
        <v>8518</v>
      </c>
      <c r="R79" s="233" t="s">
        <v>11327</v>
      </c>
      <c r="S79" s="233"/>
      <c r="T79" s="233"/>
      <c r="U79" s="233" t="s">
        <v>8228</v>
      </c>
      <c r="V79" s="172" t="s">
        <v>4803</v>
      </c>
    </row>
    <row r="80" spans="1:22">
      <c r="A80" s="233" t="s">
        <v>11328</v>
      </c>
      <c r="B80" s="233" t="s">
        <v>11329</v>
      </c>
      <c r="C80" s="408" t="s">
        <v>11089</v>
      </c>
      <c r="D80" s="408" t="s">
        <v>11330</v>
      </c>
      <c r="E80" s="233" t="s">
        <v>1732</v>
      </c>
      <c r="F80" s="233" t="s">
        <v>11091</v>
      </c>
      <c r="G80" s="233"/>
      <c r="H80" s="408" t="s">
        <v>11045</v>
      </c>
      <c r="I80" s="409" t="s">
        <v>1736</v>
      </c>
      <c r="J80" s="410" t="s">
        <v>4913</v>
      </c>
      <c r="K80" s="410" t="s">
        <v>4913</v>
      </c>
      <c r="L80" s="409" t="s">
        <v>1737</v>
      </c>
      <c r="M80" s="409" t="s">
        <v>1737</v>
      </c>
      <c r="N80" s="233"/>
      <c r="O80" s="233" t="s">
        <v>7590</v>
      </c>
      <c r="P80" s="233" t="s">
        <v>11331</v>
      </c>
      <c r="Q80" s="233" t="s">
        <v>8266</v>
      </c>
      <c r="R80" s="233" t="s">
        <v>11332</v>
      </c>
      <c r="S80" s="233"/>
      <c r="T80" s="233"/>
      <c r="U80" s="233" t="s">
        <v>8228</v>
      </c>
      <c r="V80" s="172" t="s">
        <v>4803</v>
      </c>
    </row>
    <row r="81" spans="1:22">
      <c r="A81" s="233" t="s">
        <v>11333</v>
      </c>
      <c r="B81" s="233" t="s">
        <v>11334</v>
      </c>
      <c r="C81" s="408" t="s">
        <v>11335</v>
      </c>
      <c r="D81" s="408" t="s">
        <v>11335</v>
      </c>
      <c r="E81" s="233" t="s">
        <v>1732</v>
      </c>
      <c r="F81" s="233" t="s">
        <v>11336</v>
      </c>
      <c r="G81" s="233"/>
      <c r="H81" s="408" t="s">
        <v>11337</v>
      </c>
      <c r="I81" s="409" t="s">
        <v>1736</v>
      </c>
      <c r="J81" s="410" t="s">
        <v>4913</v>
      </c>
      <c r="K81" s="410" t="s">
        <v>4913</v>
      </c>
      <c r="L81" s="409" t="s">
        <v>1737</v>
      </c>
      <c r="M81" s="409" t="s">
        <v>1737</v>
      </c>
      <c r="N81" s="233"/>
      <c r="O81" s="233" t="s">
        <v>7590</v>
      </c>
      <c r="P81" s="233" t="s">
        <v>11338</v>
      </c>
      <c r="Q81" s="233" t="s">
        <v>8266</v>
      </c>
      <c r="R81" s="233" t="s">
        <v>11339</v>
      </c>
      <c r="S81" s="233"/>
      <c r="T81" s="233"/>
      <c r="U81" s="233" t="s">
        <v>8228</v>
      </c>
      <c r="V81" s="172" t="s">
        <v>4803</v>
      </c>
    </row>
    <row r="82" spans="1:22">
      <c r="A82" s="233" t="s">
        <v>11340</v>
      </c>
      <c r="B82" s="233" t="s">
        <v>11341</v>
      </c>
      <c r="C82" s="408" t="s">
        <v>11342</v>
      </c>
      <c r="D82" s="408" t="s">
        <v>11343</v>
      </c>
      <c r="E82" s="233" t="s">
        <v>1732</v>
      </c>
      <c r="F82" s="233" t="s">
        <v>11344</v>
      </c>
      <c r="G82" s="233" t="s">
        <v>11345</v>
      </c>
      <c r="H82" s="408" t="s">
        <v>11346</v>
      </c>
      <c r="I82" s="409" t="s">
        <v>1736</v>
      </c>
      <c r="J82" s="409" t="s">
        <v>1736</v>
      </c>
      <c r="K82" s="410" t="s">
        <v>4913</v>
      </c>
      <c r="L82" s="409" t="s">
        <v>1737</v>
      </c>
      <c r="M82" s="409" t="s">
        <v>1737</v>
      </c>
      <c r="N82" s="233"/>
      <c r="O82" s="233" t="s">
        <v>7751</v>
      </c>
      <c r="P82" s="233" t="s">
        <v>11347</v>
      </c>
      <c r="Q82" s="233" t="s">
        <v>8266</v>
      </c>
      <c r="R82" s="233" t="s">
        <v>11348</v>
      </c>
      <c r="S82" s="233"/>
      <c r="T82" s="233"/>
      <c r="U82" s="233" t="s">
        <v>8228</v>
      </c>
      <c r="V82" s="172" t="s">
        <v>4803</v>
      </c>
    </row>
    <row r="83" spans="1:22">
      <c r="A83" s="233" t="s">
        <v>11349</v>
      </c>
      <c r="B83" s="233" t="s">
        <v>11350</v>
      </c>
      <c r="C83" s="408" t="s">
        <v>11042</v>
      </c>
      <c r="D83" s="408" t="s">
        <v>11351</v>
      </c>
      <c r="E83" s="233" t="s">
        <v>1732</v>
      </c>
      <c r="F83" s="233" t="s">
        <v>11352</v>
      </c>
      <c r="G83" s="233"/>
      <c r="H83" s="408" t="s">
        <v>11045</v>
      </c>
      <c r="I83" s="409" t="s">
        <v>1736</v>
      </c>
      <c r="J83" s="410" t="s">
        <v>4913</v>
      </c>
      <c r="K83" s="410" t="s">
        <v>4913</v>
      </c>
      <c r="L83" s="409" t="s">
        <v>1737</v>
      </c>
      <c r="M83" s="409" t="s">
        <v>1737</v>
      </c>
      <c r="N83" s="233"/>
      <c r="O83" s="233" t="s">
        <v>7751</v>
      </c>
      <c r="P83" s="233" t="s">
        <v>11353</v>
      </c>
      <c r="Q83" s="233" t="s">
        <v>8266</v>
      </c>
      <c r="R83" s="233" t="s">
        <v>11354</v>
      </c>
      <c r="S83" s="233"/>
      <c r="T83" s="233"/>
      <c r="U83" s="233" t="s">
        <v>8228</v>
      </c>
      <c r="V83" s="172" t="s">
        <v>4803</v>
      </c>
    </row>
    <row r="84" spans="1:22">
      <c r="A84" s="233" t="s">
        <v>11355</v>
      </c>
      <c r="B84" s="233" t="s">
        <v>11356</v>
      </c>
      <c r="C84" s="408" t="s">
        <v>11050</v>
      </c>
      <c r="D84" s="408" t="s">
        <v>11357</v>
      </c>
      <c r="E84" s="233" t="s">
        <v>1732</v>
      </c>
      <c r="F84" s="233" t="s">
        <v>11358</v>
      </c>
      <c r="G84" s="233"/>
      <c r="H84" s="408" t="s">
        <v>11053</v>
      </c>
      <c r="I84" s="409" t="s">
        <v>1736</v>
      </c>
      <c r="J84" s="410" t="s">
        <v>4913</v>
      </c>
      <c r="K84" s="410" t="s">
        <v>4913</v>
      </c>
      <c r="L84" s="409" t="s">
        <v>1737</v>
      </c>
      <c r="M84" s="409" t="s">
        <v>1737</v>
      </c>
      <c r="N84" s="233"/>
      <c r="O84" s="233" t="s">
        <v>7751</v>
      </c>
      <c r="P84" s="233" t="s">
        <v>11359</v>
      </c>
      <c r="Q84" s="233" t="s">
        <v>8266</v>
      </c>
      <c r="R84" s="233" t="s">
        <v>11360</v>
      </c>
      <c r="S84" s="233"/>
      <c r="T84" s="233"/>
      <c r="U84" s="233" t="s">
        <v>8228</v>
      </c>
      <c r="V84" s="172" t="s">
        <v>4803</v>
      </c>
    </row>
    <row r="85" spans="1:22">
      <c r="A85" s="233" t="s">
        <v>11361</v>
      </c>
      <c r="B85" s="233" t="s">
        <v>11362</v>
      </c>
      <c r="C85" s="408" t="s">
        <v>11058</v>
      </c>
      <c r="D85" s="408" t="s">
        <v>11363</v>
      </c>
      <c r="E85" s="233" t="s">
        <v>1732</v>
      </c>
      <c r="F85" s="233" t="s">
        <v>11364</v>
      </c>
      <c r="G85" s="233"/>
      <c r="H85" s="408" t="s">
        <v>11061</v>
      </c>
      <c r="I85" s="409" t="s">
        <v>1736</v>
      </c>
      <c r="J85" s="410" t="s">
        <v>4913</v>
      </c>
      <c r="K85" s="410" t="s">
        <v>4913</v>
      </c>
      <c r="L85" s="409" t="s">
        <v>1737</v>
      </c>
      <c r="M85" s="409" t="s">
        <v>1737</v>
      </c>
      <c r="N85" s="233"/>
      <c r="O85" s="233" t="s">
        <v>7576</v>
      </c>
      <c r="P85" s="233" t="s">
        <v>11365</v>
      </c>
      <c r="Q85" s="233" t="s">
        <v>8266</v>
      </c>
      <c r="R85" s="233" t="s">
        <v>11366</v>
      </c>
      <c r="S85" s="233"/>
      <c r="T85" s="233"/>
      <c r="U85" s="233" t="s">
        <v>8228</v>
      </c>
      <c r="V85" s="172" t="s">
        <v>4803</v>
      </c>
    </row>
    <row r="86" spans="1:22">
      <c r="A86" s="233" t="s">
        <v>11367</v>
      </c>
      <c r="B86" s="233" t="s">
        <v>11368</v>
      </c>
      <c r="C86" s="408" t="s">
        <v>11369</v>
      </c>
      <c r="D86" s="408" t="s">
        <v>11370</v>
      </c>
      <c r="E86" s="233" t="s">
        <v>1732</v>
      </c>
      <c r="F86" s="233" t="s">
        <v>11371</v>
      </c>
      <c r="G86" s="233" t="s">
        <v>11345</v>
      </c>
      <c r="H86" s="408" t="s">
        <v>11372</v>
      </c>
      <c r="I86" s="409" t="s">
        <v>1736</v>
      </c>
      <c r="J86" s="409" t="s">
        <v>1736</v>
      </c>
      <c r="K86" s="410" t="s">
        <v>4913</v>
      </c>
      <c r="L86" s="409" t="s">
        <v>1737</v>
      </c>
      <c r="M86" s="409" t="s">
        <v>1737</v>
      </c>
      <c r="N86" s="233"/>
      <c r="O86" s="233" t="s">
        <v>7576</v>
      </c>
      <c r="P86" s="233" t="s">
        <v>11373</v>
      </c>
      <c r="Q86" s="233" t="s">
        <v>8266</v>
      </c>
      <c r="R86" s="233" t="s">
        <v>11374</v>
      </c>
      <c r="S86" s="233"/>
      <c r="T86" s="233"/>
      <c r="U86" s="233" t="s">
        <v>8228</v>
      </c>
      <c r="V86" s="172" t="s">
        <v>4803</v>
      </c>
    </row>
    <row r="87" spans="1:22">
      <c r="A87" s="233" t="s">
        <v>11375</v>
      </c>
      <c r="B87" s="233" t="s">
        <v>11376</v>
      </c>
      <c r="C87" s="408" t="s">
        <v>11377</v>
      </c>
      <c r="D87" s="408" t="s">
        <v>11378</v>
      </c>
      <c r="E87" s="233" t="s">
        <v>1732</v>
      </c>
      <c r="F87" s="233" t="s">
        <v>11379</v>
      </c>
      <c r="G87" s="233" t="s">
        <v>11345</v>
      </c>
      <c r="H87" s="408" t="s">
        <v>11380</v>
      </c>
      <c r="I87" s="409" t="s">
        <v>1736</v>
      </c>
      <c r="J87" s="409" t="s">
        <v>1736</v>
      </c>
      <c r="K87" s="410" t="s">
        <v>4913</v>
      </c>
      <c r="L87" s="409" t="s">
        <v>1737</v>
      </c>
      <c r="M87" s="409" t="s">
        <v>1737</v>
      </c>
      <c r="N87" s="233"/>
      <c r="O87" s="233" t="s">
        <v>7576</v>
      </c>
      <c r="P87" s="233" t="s">
        <v>11381</v>
      </c>
      <c r="Q87" s="233" t="s">
        <v>8266</v>
      </c>
      <c r="R87" s="233" t="s">
        <v>11382</v>
      </c>
      <c r="S87" s="233"/>
      <c r="T87" s="233"/>
      <c r="U87" s="233" t="s">
        <v>8228</v>
      </c>
      <c r="V87" s="172" t="s">
        <v>4803</v>
      </c>
    </row>
    <row r="88" spans="1:22">
      <c r="A88" s="233" t="s">
        <v>11383</v>
      </c>
      <c r="B88" s="233" t="s">
        <v>11384</v>
      </c>
      <c r="C88" s="408" t="s">
        <v>11385</v>
      </c>
      <c r="D88" s="408" t="s">
        <v>11386</v>
      </c>
      <c r="E88" s="233" t="s">
        <v>1732</v>
      </c>
      <c r="F88" s="233" t="s">
        <v>11387</v>
      </c>
      <c r="G88" s="233" t="s">
        <v>11345</v>
      </c>
      <c r="H88" s="408" t="s">
        <v>11388</v>
      </c>
      <c r="I88" s="409" t="s">
        <v>1736</v>
      </c>
      <c r="J88" s="409" t="s">
        <v>1736</v>
      </c>
      <c r="K88" s="410" t="s">
        <v>4913</v>
      </c>
      <c r="L88" s="409" t="s">
        <v>1737</v>
      </c>
      <c r="M88" s="409" t="s">
        <v>1737</v>
      </c>
      <c r="N88" s="233"/>
      <c r="O88" s="233" t="s">
        <v>7558</v>
      </c>
      <c r="P88" s="233" t="s">
        <v>11389</v>
      </c>
      <c r="Q88" s="233" t="s">
        <v>8266</v>
      </c>
      <c r="R88" s="233" t="s">
        <v>11390</v>
      </c>
      <c r="S88" s="233"/>
      <c r="T88" s="233"/>
      <c r="U88" s="233" t="s">
        <v>8228</v>
      </c>
      <c r="V88" s="172" t="s">
        <v>4803</v>
      </c>
    </row>
    <row r="89" spans="1:22">
      <c r="A89" s="233" t="s">
        <v>11391</v>
      </c>
      <c r="B89" s="233" t="s">
        <v>11392</v>
      </c>
      <c r="C89" s="408" t="s">
        <v>11393</v>
      </c>
      <c r="D89" s="408" t="s">
        <v>11394</v>
      </c>
      <c r="E89" s="233" t="s">
        <v>1732</v>
      </c>
      <c r="F89" s="233" t="s">
        <v>11395</v>
      </c>
      <c r="G89" s="233" t="s">
        <v>11345</v>
      </c>
      <c r="H89" s="408" t="s">
        <v>11396</v>
      </c>
      <c r="I89" s="409" t="s">
        <v>1736</v>
      </c>
      <c r="J89" s="409" t="s">
        <v>1736</v>
      </c>
      <c r="K89" s="410" t="s">
        <v>4913</v>
      </c>
      <c r="L89" s="409" t="s">
        <v>1737</v>
      </c>
      <c r="M89" s="409" t="s">
        <v>1737</v>
      </c>
      <c r="N89" s="233"/>
      <c r="O89" s="233" t="s">
        <v>7558</v>
      </c>
      <c r="P89" s="233" t="s">
        <v>11397</v>
      </c>
      <c r="Q89" s="233" t="s">
        <v>8266</v>
      </c>
      <c r="R89" s="233" t="s">
        <v>11398</v>
      </c>
      <c r="S89" s="233"/>
      <c r="T89" s="233"/>
      <c r="U89" s="233" t="s">
        <v>8228</v>
      </c>
      <c r="V89" s="172" t="s">
        <v>4803</v>
      </c>
    </row>
    <row r="90" spans="1:22">
      <c r="A90" s="233" t="s">
        <v>11399</v>
      </c>
      <c r="B90" s="233" t="s">
        <v>11400</v>
      </c>
      <c r="C90" s="408" t="s">
        <v>11089</v>
      </c>
      <c r="D90" s="408" t="s">
        <v>11401</v>
      </c>
      <c r="E90" s="233" t="s">
        <v>1732</v>
      </c>
      <c r="F90" s="233" t="s">
        <v>11091</v>
      </c>
      <c r="G90" s="233"/>
      <c r="H90" s="408" t="s">
        <v>11045</v>
      </c>
      <c r="I90" s="409" t="s">
        <v>1736</v>
      </c>
      <c r="J90" s="410" t="s">
        <v>4913</v>
      </c>
      <c r="K90" s="410" t="s">
        <v>4913</v>
      </c>
      <c r="L90" s="409" t="s">
        <v>1737</v>
      </c>
      <c r="M90" s="409" t="s">
        <v>1737</v>
      </c>
      <c r="N90" s="233"/>
      <c r="O90" s="233" t="s">
        <v>7558</v>
      </c>
      <c r="P90" s="233" t="s">
        <v>11402</v>
      </c>
      <c r="Q90" s="233" t="s">
        <v>8304</v>
      </c>
      <c r="R90" s="233" t="s">
        <v>11403</v>
      </c>
      <c r="S90" s="233"/>
      <c r="T90" s="233"/>
      <c r="U90" s="233" t="s">
        <v>8228</v>
      </c>
      <c r="V90" s="172" t="s">
        <v>4803</v>
      </c>
    </row>
    <row r="91" spans="1:22">
      <c r="A91" s="233" t="s">
        <v>11404</v>
      </c>
      <c r="B91" s="233" t="s">
        <v>11405</v>
      </c>
      <c r="C91" s="408" t="s">
        <v>11406</v>
      </c>
      <c r="D91" s="408" t="s">
        <v>11406</v>
      </c>
      <c r="E91" s="233" t="s">
        <v>1732</v>
      </c>
      <c r="F91" s="233" t="s">
        <v>11407</v>
      </c>
      <c r="G91" s="233"/>
      <c r="H91" s="408" t="s">
        <v>11408</v>
      </c>
      <c r="I91" s="409" t="s">
        <v>1736</v>
      </c>
      <c r="J91" s="410" t="s">
        <v>4913</v>
      </c>
      <c r="K91" s="410" t="s">
        <v>4913</v>
      </c>
      <c r="L91" s="409" t="s">
        <v>1737</v>
      </c>
      <c r="M91" s="409" t="s">
        <v>1737</v>
      </c>
      <c r="N91" s="233"/>
      <c r="O91" s="233" t="s">
        <v>7576</v>
      </c>
      <c r="P91" s="233" t="s">
        <v>11409</v>
      </c>
      <c r="Q91" s="233" t="s">
        <v>8304</v>
      </c>
      <c r="R91" s="233" t="s">
        <v>11410</v>
      </c>
      <c r="S91" s="233"/>
      <c r="T91" s="233"/>
      <c r="U91" s="233" t="s">
        <v>8228</v>
      </c>
      <c r="V91" s="172" t="s">
        <v>4803</v>
      </c>
    </row>
    <row r="92" spans="1:22">
      <c r="A92" s="233" t="s">
        <v>11411</v>
      </c>
      <c r="B92" s="233" t="s">
        <v>11412</v>
      </c>
      <c r="C92" s="408" t="s">
        <v>11025</v>
      </c>
      <c r="D92" s="408" t="s">
        <v>11413</v>
      </c>
      <c r="E92" s="233" t="s">
        <v>1732</v>
      </c>
      <c r="F92" s="233" t="s">
        <v>11414</v>
      </c>
      <c r="G92" s="233" t="s">
        <v>11415</v>
      </c>
      <c r="H92" s="408" t="s">
        <v>11029</v>
      </c>
      <c r="I92" s="409" t="s">
        <v>1736</v>
      </c>
      <c r="J92" s="409" t="s">
        <v>1736</v>
      </c>
      <c r="K92" s="410" t="s">
        <v>4913</v>
      </c>
      <c r="L92" s="409" t="s">
        <v>1737</v>
      </c>
      <c r="M92" s="409" t="s">
        <v>1737</v>
      </c>
      <c r="N92" s="233"/>
      <c r="O92" s="233" t="s">
        <v>7576</v>
      </c>
      <c r="P92" s="233" t="s">
        <v>11416</v>
      </c>
      <c r="Q92" s="233" t="s">
        <v>8304</v>
      </c>
      <c r="R92" s="233" t="s">
        <v>11417</v>
      </c>
      <c r="S92" s="233"/>
      <c r="T92" s="233"/>
      <c r="U92" s="233" t="s">
        <v>8228</v>
      </c>
      <c r="V92" s="172" t="s">
        <v>4803</v>
      </c>
    </row>
    <row r="93" spans="1:22">
      <c r="A93" s="233" t="s">
        <v>11418</v>
      </c>
      <c r="B93" s="233" t="s">
        <v>11419</v>
      </c>
      <c r="C93" s="408" t="s">
        <v>11034</v>
      </c>
      <c r="D93" s="408" t="s">
        <v>11420</v>
      </c>
      <c r="E93" s="233" t="s">
        <v>1732</v>
      </c>
      <c r="F93" s="233" t="s">
        <v>11421</v>
      </c>
      <c r="G93" s="233" t="s">
        <v>11422</v>
      </c>
      <c r="H93" s="408" t="s">
        <v>11029</v>
      </c>
      <c r="I93" s="409" t="s">
        <v>1736</v>
      </c>
      <c r="J93" s="409" t="s">
        <v>1736</v>
      </c>
      <c r="K93" s="410" t="s">
        <v>4913</v>
      </c>
      <c r="L93" s="409" t="s">
        <v>1737</v>
      </c>
      <c r="M93" s="409" t="s">
        <v>1737</v>
      </c>
      <c r="N93" s="233"/>
      <c r="O93" s="233" t="s">
        <v>7576</v>
      </c>
      <c r="P93" s="233" t="s">
        <v>11423</v>
      </c>
      <c r="Q93" s="233" t="s">
        <v>8304</v>
      </c>
      <c r="R93" s="233" t="s">
        <v>11424</v>
      </c>
      <c r="S93" s="233"/>
      <c r="T93" s="233"/>
      <c r="U93" s="233" t="s">
        <v>8228</v>
      </c>
      <c r="V93" s="172" t="s">
        <v>4803</v>
      </c>
    </row>
    <row r="94" spans="1:22">
      <c r="A94" s="233" t="s">
        <v>11425</v>
      </c>
      <c r="B94" s="233" t="s">
        <v>11426</v>
      </c>
      <c r="C94" s="408" t="s">
        <v>11042</v>
      </c>
      <c r="D94" s="408" t="s">
        <v>11427</v>
      </c>
      <c r="E94" s="233" t="s">
        <v>1732</v>
      </c>
      <c r="F94" s="233" t="s">
        <v>11044</v>
      </c>
      <c r="G94" s="233"/>
      <c r="H94" s="408" t="s">
        <v>11045</v>
      </c>
      <c r="I94" s="409" t="s">
        <v>1736</v>
      </c>
      <c r="J94" s="410" t="s">
        <v>4913</v>
      </c>
      <c r="K94" s="410" t="s">
        <v>4913</v>
      </c>
      <c r="L94" s="409" t="s">
        <v>1737</v>
      </c>
      <c r="M94" s="409" t="s">
        <v>1737</v>
      </c>
      <c r="N94" s="233"/>
      <c r="O94" s="233" t="s">
        <v>7558</v>
      </c>
      <c r="P94" s="233" t="s">
        <v>11428</v>
      </c>
      <c r="Q94" s="233" t="s">
        <v>8304</v>
      </c>
      <c r="R94" s="233" t="s">
        <v>11429</v>
      </c>
      <c r="S94" s="233"/>
      <c r="T94" s="233"/>
      <c r="U94" s="233" t="s">
        <v>8228</v>
      </c>
      <c r="V94" s="172" t="s">
        <v>4803</v>
      </c>
    </row>
    <row r="95" spans="1:22">
      <c r="A95" s="233" t="s">
        <v>11430</v>
      </c>
      <c r="B95" s="233" t="s">
        <v>11431</v>
      </c>
      <c r="C95" s="408" t="s">
        <v>11050</v>
      </c>
      <c r="D95" s="408" t="s">
        <v>11432</v>
      </c>
      <c r="E95" s="233" t="s">
        <v>1732</v>
      </c>
      <c r="F95" s="233" t="s">
        <v>11052</v>
      </c>
      <c r="G95" s="233"/>
      <c r="H95" s="408" t="s">
        <v>11053</v>
      </c>
      <c r="I95" s="409" t="s">
        <v>1736</v>
      </c>
      <c r="J95" s="410" t="s">
        <v>4913</v>
      </c>
      <c r="K95" s="410" t="s">
        <v>4913</v>
      </c>
      <c r="L95" s="409" t="s">
        <v>1737</v>
      </c>
      <c r="M95" s="409" t="s">
        <v>1737</v>
      </c>
      <c r="N95" s="233"/>
      <c r="O95" s="233" t="s">
        <v>7558</v>
      </c>
      <c r="P95" s="233" t="s">
        <v>11433</v>
      </c>
      <c r="Q95" s="233" t="s">
        <v>8304</v>
      </c>
      <c r="R95" s="233" t="s">
        <v>11434</v>
      </c>
      <c r="S95" s="233"/>
      <c r="T95" s="233"/>
      <c r="U95" s="233" t="s">
        <v>8228</v>
      </c>
      <c r="V95" s="172" t="s">
        <v>4803</v>
      </c>
    </row>
    <row r="96" spans="1:22">
      <c r="A96" s="233" t="s">
        <v>11435</v>
      </c>
      <c r="B96" s="233" t="s">
        <v>11436</v>
      </c>
      <c r="C96" s="408" t="s">
        <v>11058</v>
      </c>
      <c r="D96" s="408" t="s">
        <v>11437</v>
      </c>
      <c r="E96" s="233" t="s">
        <v>1732</v>
      </c>
      <c r="F96" s="233" t="s">
        <v>11438</v>
      </c>
      <c r="G96" s="233"/>
      <c r="H96" s="408" t="s">
        <v>11061</v>
      </c>
      <c r="I96" s="409" t="s">
        <v>1736</v>
      </c>
      <c r="J96" s="410" t="s">
        <v>4913</v>
      </c>
      <c r="K96" s="410" t="s">
        <v>4913</v>
      </c>
      <c r="L96" s="409" t="s">
        <v>1737</v>
      </c>
      <c r="M96" s="409" t="s">
        <v>1737</v>
      </c>
      <c r="N96" s="233"/>
      <c r="O96" s="233" t="s">
        <v>7558</v>
      </c>
      <c r="P96" s="233" t="s">
        <v>11439</v>
      </c>
      <c r="Q96" s="233" t="s">
        <v>8304</v>
      </c>
      <c r="R96" s="233" t="s">
        <v>11440</v>
      </c>
      <c r="S96" s="233"/>
      <c r="T96" s="233"/>
      <c r="U96" s="233" t="s">
        <v>8228</v>
      </c>
      <c r="V96" s="172" t="s">
        <v>4803</v>
      </c>
    </row>
    <row r="97" spans="1:22">
      <c r="A97" s="233" t="s">
        <v>11441</v>
      </c>
      <c r="B97" s="233" t="s">
        <v>11442</v>
      </c>
      <c r="C97" s="408" t="s">
        <v>11066</v>
      </c>
      <c r="D97" s="408" t="s">
        <v>11443</v>
      </c>
      <c r="E97" s="233" t="s">
        <v>1732</v>
      </c>
      <c r="F97" s="233" t="s">
        <v>11068</v>
      </c>
      <c r="G97" s="233"/>
      <c r="H97" s="408" t="s">
        <v>11069</v>
      </c>
      <c r="I97" s="409" t="s">
        <v>1736</v>
      </c>
      <c r="J97" s="410" t="s">
        <v>4913</v>
      </c>
      <c r="K97" s="409" t="s">
        <v>1736</v>
      </c>
      <c r="L97" s="409" t="s">
        <v>1737</v>
      </c>
      <c r="M97" s="409" t="s">
        <v>1737</v>
      </c>
      <c r="N97" s="233"/>
      <c r="O97" s="233" t="s">
        <v>7536</v>
      </c>
      <c r="P97" s="233" t="s">
        <v>11444</v>
      </c>
      <c r="Q97" s="233" t="s">
        <v>8304</v>
      </c>
      <c r="R97" s="233" t="s">
        <v>11445</v>
      </c>
      <c r="S97" s="233"/>
      <c r="T97" s="233"/>
      <c r="U97" s="233" t="s">
        <v>8228</v>
      </c>
      <c r="V97" s="172" t="s">
        <v>4803</v>
      </c>
    </row>
    <row r="98" spans="1:22">
      <c r="A98" s="233" t="s">
        <v>11446</v>
      </c>
      <c r="B98" s="233" t="s">
        <v>11447</v>
      </c>
      <c r="C98" s="408" t="s">
        <v>11074</v>
      </c>
      <c r="D98" s="408" t="s">
        <v>11448</v>
      </c>
      <c r="E98" s="233" t="s">
        <v>1732</v>
      </c>
      <c r="F98" s="233" t="s">
        <v>11076</v>
      </c>
      <c r="G98" s="233"/>
      <c r="H98" s="408" t="s">
        <v>11069</v>
      </c>
      <c r="I98" s="409" t="s">
        <v>1736</v>
      </c>
      <c r="J98" s="410" t="s">
        <v>4913</v>
      </c>
      <c r="K98" s="409" t="s">
        <v>1736</v>
      </c>
      <c r="L98" s="409" t="s">
        <v>1737</v>
      </c>
      <c r="M98" s="409" t="s">
        <v>1737</v>
      </c>
      <c r="N98" s="233"/>
      <c r="O98" s="233" t="s">
        <v>7536</v>
      </c>
      <c r="P98" s="233" t="s">
        <v>11449</v>
      </c>
      <c r="Q98" s="233" t="s">
        <v>8304</v>
      </c>
      <c r="R98" s="233" t="s">
        <v>11450</v>
      </c>
      <c r="S98" s="233"/>
      <c r="T98" s="233"/>
      <c r="U98" s="233" t="s">
        <v>8228</v>
      </c>
      <c r="V98" s="172" t="s">
        <v>4803</v>
      </c>
    </row>
    <row r="99" spans="1:22">
      <c r="A99" s="233" t="s">
        <v>11451</v>
      </c>
      <c r="B99" s="233" t="s">
        <v>11452</v>
      </c>
      <c r="C99" s="408" t="s">
        <v>11082</v>
      </c>
      <c r="D99" s="408" t="s">
        <v>11453</v>
      </c>
      <c r="E99" s="233" t="s">
        <v>1732</v>
      </c>
      <c r="F99" s="233" t="s">
        <v>11084</v>
      </c>
      <c r="G99" s="233"/>
      <c r="H99" s="408" t="s">
        <v>11069</v>
      </c>
      <c r="I99" s="409" t="s">
        <v>1736</v>
      </c>
      <c r="J99" s="410" t="s">
        <v>4913</v>
      </c>
      <c r="K99" s="409" t="s">
        <v>1736</v>
      </c>
      <c r="L99" s="409" t="s">
        <v>1737</v>
      </c>
      <c r="M99" s="409" t="s">
        <v>1737</v>
      </c>
      <c r="N99" s="233"/>
      <c r="O99" s="233" t="s">
        <v>7536</v>
      </c>
      <c r="P99" s="233" t="s">
        <v>11454</v>
      </c>
      <c r="Q99" s="233" t="s">
        <v>8304</v>
      </c>
      <c r="R99" s="233" t="s">
        <v>11455</v>
      </c>
      <c r="S99" s="233"/>
      <c r="T99" s="233"/>
      <c r="U99" s="233" t="s">
        <v>8228</v>
      </c>
      <c r="V99" s="172" t="s">
        <v>4803</v>
      </c>
    </row>
    <row r="100" spans="1:22">
      <c r="A100" s="233" t="s">
        <v>11456</v>
      </c>
      <c r="B100" s="233" t="s">
        <v>11457</v>
      </c>
      <c r="C100" s="408" t="s">
        <v>11089</v>
      </c>
      <c r="D100" s="408" t="s">
        <v>11458</v>
      </c>
      <c r="E100" s="233" t="s">
        <v>1732</v>
      </c>
      <c r="F100" s="233" t="s">
        <v>11091</v>
      </c>
      <c r="G100" s="233"/>
      <c r="H100" s="408" t="s">
        <v>11045</v>
      </c>
      <c r="I100" s="409" t="s">
        <v>1736</v>
      </c>
      <c r="J100" s="410" t="s">
        <v>4913</v>
      </c>
      <c r="K100" s="410" t="s">
        <v>4913</v>
      </c>
      <c r="L100" s="409" t="s">
        <v>1737</v>
      </c>
      <c r="M100" s="409" t="s">
        <v>1737</v>
      </c>
      <c r="N100" s="233"/>
      <c r="O100" s="233" t="s">
        <v>11459</v>
      </c>
      <c r="P100" s="233" t="s">
        <v>11460</v>
      </c>
      <c r="Q100" s="233" t="s">
        <v>11461</v>
      </c>
      <c r="R100" s="233" t="s">
        <v>11462</v>
      </c>
      <c r="S100" s="233"/>
      <c r="T100" s="233"/>
      <c r="U100" s="233" t="s">
        <v>8228</v>
      </c>
      <c r="V100" s="172" t="s">
        <v>4803</v>
      </c>
    </row>
    <row r="101" spans="1:22">
      <c r="A101" s="233" t="s">
        <v>11463</v>
      </c>
      <c r="B101" s="233" t="s">
        <v>11464</v>
      </c>
      <c r="C101" s="408" t="s">
        <v>11465</v>
      </c>
      <c r="D101" s="408" t="s">
        <v>11465</v>
      </c>
      <c r="E101" s="233" t="s">
        <v>1732</v>
      </c>
      <c r="F101" s="233" t="s">
        <v>11466</v>
      </c>
      <c r="G101" s="233"/>
      <c r="H101" s="408" t="s">
        <v>11467</v>
      </c>
      <c r="I101" s="409" t="s">
        <v>1736</v>
      </c>
      <c r="J101" s="410" t="s">
        <v>4913</v>
      </c>
      <c r="K101" s="410" t="s">
        <v>4913</v>
      </c>
      <c r="L101" s="409" t="s">
        <v>1737</v>
      </c>
      <c r="M101" s="409" t="s">
        <v>1737</v>
      </c>
      <c r="N101" s="233"/>
      <c r="O101" s="233" t="s">
        <v>11459</v>
      </c>
      <c r="P101" s="233" t="s">
        <v>11468</v>
      </c>
      <c r="Q101" s="233" t="s">
        <v>11461</v>
      </c>
      <c r="R101" s="233" t="s">
        <v>11469</v>
      </c>
      <c r="S101" s="233"/>
      <c r="T101" s="233"/>
      <c r="U101" s="233" t="s">
        <v>8228</v>
      </c>
      <c r="V101" s="172" t="s">
        <v>4803</v>
      </c>
    </row>
    <row r="102" spans="1:22">
      <c r="A102" s="233" t="s">
        <v>11470</v>
      </c>
      <c r="B102" s="233" t="s">
        <v>11471</v>
      </c>
      <c r="C102" s="408" t="s">
        <v>11472</v>
      </c>
      <c r="D102" s="408" t="s">
        <v>11473</v>
      </c>
      <c r="E102" s="233" t="s">
        <v>1732</v>
      </c>
      <c r="F102" s="233" t="s">
        <v>11474</v>
      </c>
      <c r="G102" s="233" t="s">
        <v>11475</v>
      </c>
      <c r="H102" s="408" t="s">
        <v>11045</v>
      </c>
      <c r="I102" s="409" t="s">
        <v>1736</v>
      </c>
      <c r="J102" s="409" t="s">
        <v>1736</v>
      </c>
      <c r="K102" s="410" t="s">
        <v>4913</v>
      </c>
      <c r="L102" s="409" t="s">
        <v>1737</v>
      </c>
      <c r="M102" s="409" t="s">
        <v>1737</v>
      </c>
      <c r="N102" s="233"/>
      <c r="O102" s="233" t="s">
        <v>11459</v>
      </c>
      <c r="P102" s="233" t="s">
        <v>11476</v>
      </c>
      <c r="Q102" s="233" t="s">
        <v>11461</v>
      </c>
      <c r="R102" s="233" t="s">
        <v>11477</v>
      </c>
      <c r="S102" s="233"/>
      <c r="T102" s="233"/>
      <c r="U102" s="233" t="s">
        <v>8228</v>
      </c>
      <c r="V102" s="172" t="s">
        <v>4803</v>
      </c>
    </row>
    <row r="103" spans="1:22">
      <c r="A103" s="233" t="s">
        <v>11478</v>
      </c>
      <c r="B103" s="233" t="s">
        <v>11479</v>
      </c>
      <c r="C103" s="408" t="s">
        <v>11480</v>
      </c>
      <c r="D103" s="408" t="s">
        <v>11481</v>
      </c>
      <c r="E103" s="233" t="s">
        <v>1732</v>
      </c>
      <c r="F103" s="233" t="s">
        <v>11482</v>
      </c>
      <c r="G103" s="233" t="s">
        <v>11475</v>
      </c>
      <c r="H103" s="408" t="s">
        <v>11483</v>
      </c>
      <c r="I103" s="409" t="s">
        <v>1736</v>
      </c>
      <c r="J103" s="409" t="s">
        <v>1736</v>
      </c>
      <c r="K103" s="410" t="s">
        <v>4913</v>
      </c>
      <c r="L103" s="409" t="s">
        <v>1737</v>
      </c>
      <c r="M103" s="409" t="s">
        <v>1737</v>
      </c>
      <c r="N103" s="233"/>
      <c r="O103" s="233" t="s">
        <v>11484</v>
      </c>
      <c r="P103" s="233" t="s">
        <v>11485</v>
      </c>
      <c r="Q103" s="233" t="s">
        <v>11461</v>
      </c>
      <c r="R103" s="233" t="s">
        <v>11486</v>
      </c>
      <c r="S103" s="233"/>
      <c r="T103" s="233"/>
      <c r="U103" s="233" t="s">
        <v>8228</v>
      </c>
      <c r="V103" s="172" t="s">
        <v>4803</v>
      </c>
    </row>
    <row r="104" spans="1:22">
      <c r="A104" s="233" t="s">
        <v>11487</v>
      </c>
      <c r="B104" s="233" t="s">
        <v>11488</v>
      </c>
      <c r="C104" s="408" t="s">
        <v>11042</v>
      </c>
      <c r="D104" s="408" t="s">
        <v>11489</v>
      </c>
      <c r="E104" s="233" t="s">
        <v>1732</v>
      </c>
      <c r="F104" s="233" t="s">
        <v>11490</v>
      </c>
      <c r="G104" s="233"/>
      <c r="H104" s="408" t="s">
        <v>11045</v>
      </c>
      <c r="I104" s="409" t="s">
        <v>1736</v>
      </c>
      <c r="J104" s="410" t="s">
        <v>4913</v>
      </c>
      <c r="K104" s="410" t="s">
        <v>4913</v>
      </c>
      <c r="L104" s="409" t="s">
        <v>1737</v>
      </c>
      <c r="M104" s="409" t="s">
        <v>1737</v>
      </c>
      <c r="N104" s="233"/>
      <c r="O104" s="233" t="s">
        <v>11491</v>
      </c>
      <c r="P104" s="233" t="s">
        <v>11492</v>
      </c>
      <c r="Q104" s="233" t="s">
        <v>11461</v>
      </c>
      <c r="R104" s="233" t="s">
        <v>11493</v>
      </c>
      <c r="S104" s="233"/>
      <c r="T104" s="233"/>
      <c r="U104" s="233" t="s">
        <v>8228</v>
      </c>
      <c r="V104" s="172" t="s">
        <v>4803</v>
      </c>
    </row>
    <row r="105" spans="1:22">
      <c r="A105" s="233" t="s">
        <v>11494</v>
      </c>
      <c r="B105" s="233" t="s">
        <v>11495</v>
      </c>
      <c r="C105" s="408" t="s">
        <v>11050</v>
      </c>
      <c r="D105" s="408" t="s">
        <v>11496</v>
      </c>
      <c r="E105" s="233" t="s">
        <v>1732</v>
      </c>
      <c r="F105" s="233" t="s">
        <v>11497</v>
      </c>
      <c r="G105" s="233"/>
      <c r="H105" s="408" t="s">
        <v>11053</v>
      </c>
      <c r="I105" s="409" t="s">
        <v>1736</v>
      </c>
      <c r="J105" s="410" t="s">
        <v>4913</v>
      </c>
      <c r="K105" s="410" t="s">
        <v>4913</v>
      </c>
      <c r="L105" s="409" t="s">
        <v>1737</v>
      </c>
      <c r="M105" s="409" t="s">
        <v>1737</v>
      </c>
      <c r="N105" s="233"/>
      <c r="O105" s="233" t="s">
        <v>11498</v>
      </c>
      <c r="P105" s="233" t="s">
        <v>11499</v>
      </c>
      <c r="Q105" s="233" t="s">
        <v>11461</v>
      </c>
      <c r="R105" s="233" t="s">
        <v>11500</v>
      </c>
      <c r="S105" s="233"/>
      <c r="T105" s="233"/>
      <c r="U105" s="233" t="s">
        <v>8228</v>
      </c>
      <c r="V105" s="172" t="s">
        <v>4803</v>
      </c>
    </row>
    <row r="106" spans="1:22">
      <c r="A106" s="233" t="s">
        <v>11501</v>
      </c>
      <c r="B106" s="233" t="s">
        <v>11502</v>
      </c>
      <c r="C106" s="408" t="s">
        <v>11058</v>
      </c>
      <c r="D106" s="408" t="s">
        <v>11503</v>
      </c>
      <c r="E106" s="233" t="s">
        <v>1732</v>
      </c>
      <c r="F106" s="233" t="s">
        <v>11504</v>
      </c>
      <c r="G106" s="233"/>
      <c r="H106" s="408" t="s">
        <v>11061</v>
      </c>
      <c r="I106" s="409" t="s">
        <v>1736</v>
      </c>
      <c r="J106" s="410" t="s">
        <v>4913</v>
      </c>
      <c r="K106" s="410" t="s">
        <v>4913</v>
      </c>
      <c r="L106" s="409" t="s">
        <v>1737</v>
      </c>
      <c r="M106" s="409" t="s">
        <v>1737</v>
      </c>
      <c r="N106" s="233"/>
      <c r="O106" s="233" t="s">
        <v>11498</v>
      </c>
      <c r="P106" s="233" t="s">
        <v>11505</v>
      </c>
      <c r="Q106" s="233" t="s">
        <v>11461</v>
      </c>
      <c r="R106" s="233" t="s">
        <v>11506</v>
      </c>
      <c r="S106" s="233"/>
      <c r="T106" s="233"/>
      <c r="U106" s="233" t="s">
        <v>8228</v>
      </c>
      <c r="V106" s="172" t="s">
        <v>4803</v>
      </c>
    </row>
    <row r="107" spans="1:22">
      <c r="A107" s="233" t="s">
        <v>11507</v>
      </c>
      <c r="B107" s="233" t="s">
        <v>11508</v>
      </c>
      <c r="C107" s="408" t="s">
        <v>11089</v>
      </c>
      <c r="D107" s="408" t="s">
        <v>11509</v>
      </c>
      <c r="E107" s="233" t="s">
        <v>1732</v>
      </c>
      <c r="F107" s="233" t="s">
        <v>11091</v>
      </c>
      <c r="G107" s="233"/>
      <c r="H107" s="408" t="s">
        <v>11045</v>
      </c>
      <c r="I107" s="409" t="s">
        <v>1736</v>
      </c>
      <c r="J107" s="410" t="s">
        <v>4913</v>
      </c>
      <c r="K107" s="410" t="s">
        <v>4913</v>
      </c>
      <c r="L107" s="409" t="s">
        <v>1737</v>
      </c>
      <c r="M107" s="409" t="s">
        <v>1737</v>
      </c>
      <c r="N107" s="233"/>
      <c r="O107" s="233" t="s">
        <v>11498</v>
      </c>
      <c r="P107" s="233" t="s">
        <v>11510</v>
      </c>
      <c r="Q107" s="233" t="s">
        <v>11461</v>
      </c>
      <c r="R107" s="233" t="s">
        <v>11511</v>
      </c>
      <c r="S107" s="233"/>
      <c r="T107" s="233"/>
      <c r="U107" s="233" t="s">
        <v>8228</v>
      </c>
      <c r="V107" s="172" t="s">
        <v>4803</v>
      </c>
    </row>
    <row r="108" spans="1:22">
      <c r="A108" s="233" t="s">
        <v>11512</v>
      </c>
      <c r="B108" s="233" t="s">
        <v>11513</v>
      </c>
      <c r="C108" s="408" t="s">
        <v>11514</v>
      </c>
      <c r="D108" s="408" t="s">
        <v>11515</v>
      </c>
      <c r="E108" s="233" t="s">
        <v>1732</v>
      </c>
      <c r="F108" s="233" t="s">
        <v>11516</v>
      </c>
      <c r="G108" s="233" t="s">
        <v>11475</v>
      </c>
      <c r="H108" s="408" t="s">
        <v>11517</v>
      </c>
      <c r="I108" s="409" t="s">
        <v>1736</v>
      </c>
      <c r="J108" s="409" t="s">
        <v>1736</v>
      </c>
      <c r="K108" s="410" t="s">
        <v>4913</v>
      </c>
      <c r="L108" s="409" t="s">
        <v>1737</v>
      </c>
      <c r="M108" s="409" t="s">
        <v>1737</v>
      </c>
      <c r="N108" s="233"/>
      <c r="O108" s="233" t="s">
        <v>11518</v>
      </c>
      <c r="P108" s="233" t="s">
        <v>11519</v>
      </c>
      <c r="Q108" s="233" t="s">
        <v>11461</v>
      </c>
      <c r="R108" s="233" t="s">
        <v>11520</v>
      </c>
      <c r="S108" s="233"/>
      <c r="T108" s="233"/>
      <c r="U108" s="233" t="s">
        <v>8228</v>
      </c>
      <c r="V108" s="172" t="s">
        <v>4803</v>
      </c>
    </row>
    <row r="109" spans="1:22">
      <c r="A109" s="233" t="s">
        <v>11521</v>
      </c>
      <c r="B109" s="233" t="s">
        <v>11522</v>
      </c>
      <c r="C109" s="408" t="s">
        <v>11523</v>
      </c>
      <c r="D109" s="408" t="s">
        <v>11523</v>
      </c>
      <c r="E109" s="233" t="s">
        <v>1732</v>
      </c>
      <c r="F109" s="233" t="s">
        <v>11524</v>
      </c>
      <c r="G109" s="233"/>
      <c r="H109" s="408" t="s">
        <v>11525</v>
      </c>
      <c r="I109" s="409" t="s">
        <v>1736</v>
      </c>
      <c r="J109" s="410" t="s">
        <v>4913</v>
      </c>
      <c r="K109" s="410" t="s">
        <v>4913</v>
      </c>
      <c r="L109" s="409" t="s">
        <v>1737</v>
      </c>
      <c r="M109" s="409" t="s">
        <v>1737</v>
      </c>
      <c r="N109" s="233"/>
      <c r="O109" s="233" t="s">
        <v>11484</v>
      </c>
      <c r="P109" s="233" t="s">
        <v>11526</v>
      </c>
      <c r="Q109" s="233" t="s">
        <v>11461</v>
      </c>
      <c r="R109" s="233" t="s">
        <v>11527</v>
      </c>
      <c r="S109" s="233"/>
      <c r="T109" s="233"/>
      <c r="U109" s="233" t="s">
        <v>8228</v>
      </c>
      <c r="V109" s="172" t="s">
        <v>4803</v>
      </c>
    </row>
    <row r="110" spans="1:22">
      <c r="A110" s="233" t="s">
        <v>11528</v>
      </c>
      <c r="B110" s="233" t="s">
        <v>11529</v>
      </c>
      <c r="C110" s="408" t="s">
        <v>11025</v>
      </c>
      <c r="D110" s="408" t="s">
        <v>11530</v>
      </c>
      <c r="E110" s="233" t="s">
        <v>1732</v>
      </c>
      <c r="F110" s="233" t="s">
        <v>11531</v>
      </c>
      <c r="G110" s="233" t="s">
        <v>11532</v>
      </c>
      <c r="H110" s="408" t="s">
        <v>11029</v>
      </c>
      <c r="I110" s="409" t="s">
        <v>1736</v>
      </c>
      <c r="J110" s="409" t="s">
        <v>1736</v>
      </c>
      <c r="K110" s="410" t="s">
        <v>4913</v>
      </c>
      <c r="L110" s="409" t="s">
        <v>1737</v>
      </c>
      <c r="M110" s="409" t="s">
        <v>1737</v>
      </c>
      <c r="N110" s="233"/>
      <c r="O110" s="233" t="s">
        <v>11518</v>
      </c>
      <c r="P110" s="233" t="s">
        <v>11533</v>
      </c>
      <c r="Q110" s="233" t="s">
        <v>11534</v>
      </c>
      <c r="R110" s="233" t="s">
        <v>11535</v>
      </c>
      <c r="S110" s="233"/>
      <c r="T110" s="233"/>
      <c r="U110" s="233" t="s">
        <v>8228</v>
      </c>
      <c r="V110" s="172" t="s">
        <v>4803</v>
      </c>
    </row>
    <row r="111" spans="1:22">
      <c r="A111" s="233" t="s">
        <v>11536</v>
      </c>
      <c r="B111" s="233" t="s">
        <v>11537</v>
      </c>
      <c r="C111" s="408" t="s">
        <v>11034</v>
      </c>
      <c r="D111" s="408" t="s">
        <v>11538</v>
      </c>
      <c r="E111" s="233" t="s">
        <v>1732</v>
      </c>
      <c r="F111" s="233" t="s">
        <v>11160</v>
      </c>
      <c r="G111" s="233" t="s">
        <v>11539</v>
      </c>
      <c r="H111" s="408" t="s">
        <v>11029</v>
      </c>
      <c r="I111" s="409" t="s">
        <v>1736</v>
      </c>
      <c r="J111" s="409" t="s">
        <v>1736</v>
      </c>
      <c r="K111" s="410" t="s">
        <v>4913</v>
      </c>
      <c r="L111" s="409" t="s">
        <v>1737</v>
      </c>
      <c r="M111" s="409" t="s">
        <v>1737</v>
      </c>
      <c r="N111" s="233"/>
      <c r="O111" s="233" t="s">
        <v>11518</v>
      </c>
      <c r="P111" s="233" t="s">
        <v>11540</v>
      </c>
      <c r="Q111" s="233" t="s">
        <v>11534</v>
      </c>
      <c r="R111" s="233" t="s">
        <v>11541</v>
      </c>
      <c r="S111" s="233"/>
      <c r="T111" s="233"/>
      <c r="U111" s="233" t="s">
        <v>8228</v>
      </c>
      <c r="V111" s="172" t="s">
        <v>4803</v>
      </c>
    </row>
    <row r="112" spans="1:22">
      <c r="A112" s="233" t="s">
        <v>11542</v>
      </c>
      <c r="B112" s="233" t="s">
        <v>11543</v>
      </c>
      <c r="C112" s="408" t="s">
        <v>11042</v>
      </c>
      <c r="D112" s="408" t="s">
        <v>11544</v>
      </c>
      <c r="E112" s="233" t="s">
        <v>1732</v>
      </c>
      <c r="F112" s="233" t="s">
        <v>11044</v>
      </c>
      <c r="G112" s="233"/>
      <c r="H112" s="408" t="s">
        <v>11045</v>
      </c>
      <c r="I112" s="409" t="s">
        <v>1736</v>
      </c>
      <c r="J112" s="410" t="s">
        <v>4913</v>
      </c>
      <c r="K112" s="410" t="s">
        <v>4913</v>
      </c>
      <c r="L112" s="409" t="s">
        <v>1737</v>
      </c>
      <c r="M112" s="409" t="s">
        <v>1737</v>
      </c>
      <c r="N112" s="233"/>
      <c r="O112" s="233" t="s">
        <v>7612</v>
      </c>
      <c r="P112" s="233" t="s">
        <v>11545</v>
      </c>
      <c r="Q112" s="233" t="s">
        <v>11534</v>
      </c>
      <c r="R112" s="233" t="s">
        <v>11546</v>
      </c>
      <c r="S112" s="233"/>
      <c r="T112" s="233"/>
      <c r="U112" s="233" t="s">
        <v>8228</v>
      </c>
      <c r="V112" s="172" t="s">
        <v>4803</v>
      </c>
    </row>
    <row r="113" spans="1:22">
      <c r="A113" s="233" t="s">
        <v>11547</v>
      </c>
      <c r="B113" s="233" t="s">
        <v>11548</v>
      </c>
      <c r="C113" s="408" t="s">
        <v>11050</v>
      </c>
      <c r="D113" s="408" t="s">
        <v>11549</v>
      </c>
      <c r="E113" s="233" t="s">
        <v>1732</v>
      </c>
      <c r="F113" s="233" t="s">
        <v>11052</v>
      </c>
      <c r="G113" s="233"/>
      <c r="H113" s="408" t="s">
        <v>11053</v>
      </c>
      <c r="I113" s="409" t="s">
        <v>1736</v>
      </c>
      <c r="J113" s="410" t="s">
        <v>4913</v>
      </c>
      <c r="K113" s="410" t="s">
        <v>4913</v>
      </c>
      <c r="L113" s="409" t="s">
        <v>1737</v>
      </c>
      <c r="M113" s="409" t="s">
        <v>1737</v>
      </c>
      <c r="N113" s="233"/>
      <c r="O113" s="233" t="s">
        <v>7612</v>
      </c>
      <c r="P113" s="233" t="s">
        <v>11550</v>
      </c>
      <c r="Q113" s="233" t="s">
        <v>11534</v>
      </c>
      <c r="R113" s="233" t="s">
        <v>11551</v>
      </c>
      <c r="S113" s="233"/>
      <c r="T113" s="233"/>
      <c r="U113" s="233" t="s">
        <v>8228</v>
      </c>
      <c r="V113" s="172" t="s">
        <v>4803</v>
      </c>
    </row>
    <row r="114" spans="1:22">
      <c r="A114" s="233" t="s">
        <v>11552</v>
      </c>
      <c r="B114" s="233" t="s">
        <v>11553</v>
      </c>
      <c r="C114" s="408" t="s">
        <v>11058</v>
      </c>
      <c r="D114" s="408" t="s">
        <v>11554</v>
      </c>
      <c r="E114" s="233" t="s">
        <v>1732</v>
      </c>
      <c r="F114" s="233" t="s">
        <v>11555</v>
      </c>
      <c r="G114" s="233"/>
      <c r="H114" s="408" t="s">
        <v>11061</v>
      </c>
      <c r="I114" s="409" t="s">
        <v>1736</v>
      </c>
      <c r="J114" s="410" t="s">
        <v>4913</v>
      </c>
      <c r="K114" s="410" t="s">
        <v>4913</v>
      </c>
      <c r="L114" s="409" t="s">
        <v>1737</v>
      </c>
      <c r="M114" s="409" t="s">
        <v>1737</v>
      </c>
      <c r="N114" s="233"/>
      <c r="O114" s="233" t="s">
        <v>7612</v>
      </c>
      <c r="P114" s="233" t="s">
        <v>11556</v>
      </c>
      <c r="Q114" s="233" t="s">
        <v>11534</v>
      </c>
      <c r="R114" s="233" t="s">
        <v>11557</v>
      </c>
      <c r="S114" s="233"/>
      <c r="T114" s="233"/>
      <c r="U114" s="233" t="s">
        <v>8228</v>
      </c>
      <c r="V114" s="172" t="s">
        <v>4803</v>
      </c>
    </row>
    <row r="115" spans="1:22">
      <c r="A115" s="233" t="s">
        <v>11558</v>
      </c>
      <c r="B115" s="233" t="s">
        <v>11559</v>
      </c>
      <c r="C115" s="408" t="s">
        <v>11066</v>
      </c>
      <c r="D115" s="408" t="s">
        <v>11560</v>
      </c>
      <c r="E115" s="233" t="s">
        <v>1732</v>
      </c>
      <c r="F115" s="233" t="s">
        <v>11068</v>
      </c>
      <c r="G115" s="233"/>
      <c r="H115" s="408" t="s">
        <v>11069</v>
      </c>
      <c r="I115" s="409" t="s">
        <v>1736</v>
      </c>
      <c r="J115" s="410" t="s">
        <v>4913</v>
      </c>
      <c r="K115" s="409" t="s">
        <v>1736</v>
      </c>
      <c r="L115" s="409" t="s">
        <v>1737</v>
      </c>
      <c r="M115" s="409" t="s">
        <v>1737</v>
      </c>
      <c r="N115" s="233"/>
      <c r="O115" s="233" t="s">
        <v>11561</v>
      </c>
      <c r="P115" s="233" t="s">
        <v>11562</v>
      </c>
      <c r="Q115" s="233" t="s">
        <v>11534</v>
      </c>
      <c r="R115" s="233" t="s">
        <v>11563</v>
      </c>
      <c r="S115" s="233"/>
      <c r="T115" s="233"/>
      <c r="U115" s="233" t="s">
        <v>8228</v>
      </c>
      <c r="V115" s="172" t="s">
        <v>4803</v>
      </c>
    </row>
    <row r="116" spans="1:22">
      <c r="A116" s="233" t="s">
        <v>11564</v>
      </c>
      <c r="B116" s="233" t="s">
        <v>11565</v>
      </c>
      <c r="C116" s="408" t="s">
        <v>11074</v>
      </c>
      <c r="D116" s="408" t="s">
        <v>11566</v>
      </c>
      <c r="E116" s="233" t="s">
        <v>1732</v>
      </c>
      <c r="F116" s="233" t="s">
        <v>11076</v>
      </c>
      <c r="G116" s="233"/>
      <c r="H116" s="408" t="s">
        <v>11069</v>
      </c>
      <c r="I116" s="409" t="s">
        <v>1736</v>
      </c>
      <c r="J116" s="410" t="s">
        <v>4913</v>
      </c>
      <c r="K116" s="409" t="s">
        <v>1736</v>
      </c>
      <c r="L116" s="409" t="s">
        <v>1737</v>
      </c>
      <c r="M116" s="409" t="s">
        <v>1737</v>
      </c>
      <c r="N116" s="233"/>
      <c r="O116" s="233" t="s">
        <v>11561</v>
      </c>
      <c r="P116" s="233" t="s">
        <v>11567</v>
      </c>
      <c r="Q116" s="233" t="s">
        <v>11534</v>
      </c>
      <c r="R116" s="233" t="s">
        <v>11568</v>
      </c>
      <c r="S116" s="233"/>
      <c r="T116" s="233"/>
      <c r="U116" s="233" t="s">
        <v>8228</v>
      </c>
      <c r="V116" s="172" t="s">
        <v>4803</v>
      </c>
    </row>
    <row r="117" spans="1:22">
      <c r="A117" s="233" t="s">
        <v>11569</v>
      </c>
      <c r="B117" s="233" t="s">
        <v>11570</v>
      </c>
      <c r="C117" s="408" t="s">
        <v>11082</v>
      </c>
      <c r="D117" s="408" t="s">
        <v>11571</v>
      </c>
      <c r="E117" s="233" t="s">
        <v>1732</v>
      </c>
      <c r="F117" s="233" t="s">
        <v>11084</v>
      </c>
      <c r="G117" s="233"/>
      <c r="H117" s="408" t="s">
        <v>11069</v>
      </c>
      <c r="I117" s="409" t="s">
        <v>1736</v>
      </c>
      <c r="J117" s="410" t="s">
        <v>4913</v>
      </c>
      <c r="K117" s="409" t="s">
        <v>1736</v>
      </c>
      <c r="L117" s="409" t="s">
        <v>1737</v>
      </c>
      <c r="M117" s="409" t="s">
        <v>1737</v>
      </c>
      <c r="N117" s="233"/>
      <c r="O117" s="233" t="s">
        <v>11561</v>
      </c>
      <c r="P117" s="233" t="s">
        <v>11572</v>
      </c>
      <c r="Q117" s="233" t="s">
        <v>11534</v>
      </c>
      <c r="R117" s="233" t="s">
        <v>11573</v>
      </c>
      <c r="S117" s="233"/>
      <c r="T117" s="233"/>
      <c r="U117" s="233" t="s">
        <v>8228</v>
      </c>
      <c r="V117" s="172" t="s">
        <v>4803</v>
      </c>
    </row>
    <row r="118" spans="1:22">
      <c r="A118" s="233" t="s">
        <v>11574</v>
      </c>
      <c r="B118" s="233" t="s">
        <v>11575</v>
      </c>
      <c r="C118" s="408" t="s">
        <v>11089</v>
      </c>
      <c r="D118" s="408" t="s">
        <v>11576</v>
      </c>
      <c r="E118" s="233" t="s">
        <v>1732</v>
      </c>
      <c r="F118" s="233" t="s">
        <v>11091</v>
      </c>
      <c r="G118" s="233"/>
      <c r="H118" s="408" t="s">
        <v>11045</v>
      </c>
      <c r="I118" s="409" t="s">
        <v>1736</v>
      </c>
      <c r="J118" s="410" t="s">
        <v>4913</v>
      </c>
      <c r="K118" s="410" t="s">
        <v>4913</v>
      </c>
      <c r="L118" s="409" t="s">
        <v>1737</v>
      </c>
      <c r="M118" s="409" t="s">
        <v>1737</v>
      </c>
      <c r="N118" s="233"/>
      <c r="O118" s="233" t="s">
        <v>11577</v>
      </c>
      <c r="P118" s="233" t="s">
        <v>11578</v>
      </c>
      <c r="Q118" s="233" t="s">
        <v>11534</v>
      </c>
      <c r="R118" s="233" t="s">
        <v>11579</v>
      </c>
      <c r="S118" s="233"/>
      <c r="T118" s="233"/>
      <c r="U118" s="233" t="s">
        <v>8228</v>
      </c>
      <c r="V118" s="172" t="s">
        <v>4803</v>
      </c>
    </row>
    <row r="119" spans="1:22">
      <c r="A119" s="233" t="s">
        <v>11580</v>
      </c>
      <c r="B119" s="233" t="s">
        <v>11581</v>
      </c>
      <c r="C119" s="408" t="s">
        <v>11582</v>
      </c>
      <c r="D119" s="408" t="s">
        <v>11582</v>
      </c>
      <c r="E119" s="233" t="s">
        <v>1732</v>
      </c>
      <c r="F119" s="233" t="s">
        <v>11583</v>
      </c>
      <c r="G119" s="233"/>
      <c r="H119" s="408" t="s">
        <v>11584</v>
      </c>
      <c r="I119" s="409" t="s">
        <v>1736</v>
      </c>
      <c r="J119" s="410" t="s">
        <v>4913</v>
      </c>
      <c r="K119" s="410" t="s">
        <v>4913</v>
      </c>
      <c r="L119" s="409" t="s">
        <v>1737</v>
      </c>
      <c r="M119" s="409" t="s">
        <v>1737</v>
      </c>
      <c r="N119" s="233"/>
      <c r="O119" s="233" t="s">
        <v>11498</v>
      </c>
      <c r="P119" s="233" t="s">
        <v>11585</v>
      </c>
      <c r="Q119" s="233" t="s">
        <v>11534</v>
      </c>
      <c r="R119" s="233" t="s">
        <v>11586</v>
      </c>
      <c r="S119" s="233"/>
      <c r="T119" s="233"/>
      <c r="U119" s="233" t="s">
        <v>8228</v>
      </c>
      <c r="V119" s="172" t="s">
        <v>4803</v>
      </c>
    </row>
    <row r="120" spans="1:22">
      <c r="A120" s="233" t="s">
        <v>11587</v>
      </c>
      <c r="B120" s="233" t="s">
        <v>11588</v>
      </c>
      <c r="C120" s="408" t="s">
        <v>11472</v>
      </c>
      <c r="D120" s="408" t="s">
        <v>11589</v>
      </c>
      <c r="E120" s="233" t="s">
        <v>1732</v>
      </c>
      <c r="F120" s="233" t="s">
        <v>11474</v>
      </c>
      <c r="G120" s="233" t="s">
        <v>11590</v>
      </c>
      <c r="H120" s="408" t="s">
        <v>11045</v>
      </c>
      <c r="I120" s="409" t="s">
        <v>1736</v>
      </c>
      <c r="J120" s="409" t="s">
        <v>1736</v>
      </c>
      <c r="K120" s="410" t="s">
        <v>4913</v>
      </c>
      <c r="L120" s="409" t="s">
        <v>1737</v>
      </c>
      <c r="M120" s="409" t="s">
        <v>1737</v>
      </c>
      <c r="N120" s="233"/>
      <c r="O120" s="233" t="s">
        <v>11518</v>
      </c>
      <c r="P120" s="233" t="s">
        <v>11591</v>
      </c>
      <c r="Q120" s="233" t="s">
        <v>11592</v>
      </c>
      <c r="R120" s="233" t="s">
        <v>11593</v>
      </c>
      <c r="S120" s="233"/>
      <c r="T120" s="233"/>
      <c r="U120" s="233" t="s">
        <v>8228</v>
      </c>
      <c r="V120" s="172" t="s">
        <v>4803</v>
      </c>
    </row>
    <row r="121" spans="1:22">
      <c r="A121" s="233" t="s">
        <v>11594</v>
      </c>
      <c r="B121" s="233" t="s">
        <v>11595</v>
      </c>
      <c r="C121" s="408" t="s">
        <v>11480</v>
      </c>
      <c r="D121" s="408" t="s">
        <v>11596</v>
      </c>
      <c r="E121" s="233" t="s">
        <v>1732</v>
      </c>
      <c r="F121" s="233" t="s">
        <v>11482</v>
      </c>
      <c r="G121" s="233" t="s">
        <v>11590</v>
      </c>
      <c r="H121" s="408" t="s">
        <v>11483</v>
      </c>
      <c r="I121" s="409" t="s">
        <v>1736</v>
      </c>
      <c r="J121" s="409" t="s">
        <v>1736</v>
      </c>
      <c r="K121" s="410" t="s">
        <v>4913</v>
      </c>
      <c r="L121" s="409" t="s">
        <v>1737</v>
      </c>
      <c r="M121" s="409" t="s">
        <v>1737</v>
      </c>
      <c r="N121" s="233"/>
      <c r="O121" s="233" t="s">
        <v>11577</v>
      </c>
      <c r="P121" s="233" t="s">
        <v>11597</v>
      </c>
      <c r="Q121" s="233" t="s">
        <v>11592</v>
      </c>
      <c r="R121" s="233" t="s">
        <v>11598</v>
      </c>
      <c r="S121" s="233"/>
      <c r="T121" s="233"/>
      <c r="U121" s="233" t="s">
        <v>8228</v>
      </c>
      <c r="V121" s="172" t="s">
        <v>4803</v>
      </c>
    </row>
    <row r="122" spans="1:22">
      <c r="A122" s="233" t="s">
        <v>11599</v>
      </c>
      <c r="B122" s="233" t="s">
        <v>11600</v>
      </c>
      <c r="C122" s="408" t="s">
        <v>11601</v>
      </c>
      <c r="D122" s="408" t="s">
        <v>11602</v>
      </c>
      <c r="E122" s="233" t="s">
        <v>1732</v>
      </c>
      <c r="F122" s="233" t="s">
        <v>11603</v>
      </c>
      <c r="G122" s="233"/>
      <c r="H122" s="408" t="s">
        <v>11045</v>
      </c>
      <c r="I122" s="409" t="s">
        <v>1736</v>
      </c>
      <c r="J122" s="410" t="s">
        <v>4913</v>
      </c>
      <c r="K122" s="410" t="s">
        <v>4913</v>
      </c>
      <c r="L122" s="409" t="s">
        <v>1737</v>
      </c>
      <c r="M122" s="409" t="s">
        <v>1737</v>
      </c>
      <c r="N122" s="233"/>
      <c r="O122" s="233" t="s">
        <v>11518</v>
      </c>
      <c r="P122" s="233" t="s">
        <v>11604</v>
      </c>
      <c r="Q122" s="233" t="s">
        <v>11592</v>
      </c>
      <c r="R122" s="233" t="s">
        <v>11605</v>
      </c>
      <c r="S122" s="233"/>
      <c r="T122" s="233"/>
      <c r="U122" s="233" t="s">
        <v>8228</v>
      </c>
      <c r="V122" s="172" t="s">
        <v>4803</v>
      </c>
    </row>
    <row r="123" spans="1:22">
      <c r="A123" s="233" t="s">
        <v>11606</v>
      </c>
      <c r="B123" s="233" t="s">
        <v>11607</v>
      </c>
      <c r="C123" s="408" t="s">
        <v>11050</v>
      </c>
      <c r="D123" s="408" t="s">
        <v>11608</v>
      </c>
      <c r="E123" s="233" t="s">
        <v>1732</v>
      </c>
      <c r="F123" s="233" t="s">
        <v>11497</v>
      </c>
      <c r="G123" s="233"/>
      <c r="H123" s="408" t="s">
        <v>11053</v>
      </c>
      <c r="I123" s="409" t="s">
        <v>1736</v>
      </c>
      <c r="J123" s="410" t="s">
        <v>4913</v>
      </c>
      <c r="K123" s="410" t="s">
        <v>4913</v>
      </c>
      <c r="L123" s="409" t="s">
        <v>1737</v>
      </c>
      <c r="M123" s="409" t="s">
        <v>1737</v>
      </c>
      <c r="N123" s="233"/>
      <c r="O123" s="233" t="s">
        <v>11518</v>
      </c>
      <c r="P123" s="233" t="s">
        <v>11609</v>
      </c>
      <c r="Q123" s="233" t="s">
        <v>11592</v>
      </c>
      <c r="R123" s="233" t="s">
        <v>11610</v>
      </c>
      <c r="S123" s="233"/>
      <c r="T123" s="233"/>
      <c r="U123" s="233" t="s">
        <v>8228</v>
      </c>
      <c r="V123" s="172" t="s">
        <v>4803</v>
      </c>
    </row>
    <row r="124" spans="1:22">
      <c r="A124" s="399" t="s">
        <v>11611</v>
      </c>
      <c r="B124" s="399" t="s">
        <v>11612</v>
      </c>
      <c r="C124" s="414" t="s">
        <v>11058</v>
      </c>
      <c r="D124" s="414" t="s">
        <v>11613</v>
      </c>
      <c r="E124" s="399" t="s">
        <v>1732</v>
      </c>
      <c r="F124" s="399" t="s">
        <v>11614</v>
      </c>
      <c r="G124" s="399"/>
      <c r="H124" s="414" t="s">
        <v>11061</v>
      </c>
      <c r="I124" s="268" t="s">
        <v>1736</v>
      </c>
      <c r="J124" s="268" t="s">
        <v>4913</v>
      </c>
      <c r="K124" s="268" t="s">
        <v>4913</v>
      </c>
      <c r="L124" s="268" t="s">
        <v>11615</v>
      </c>
      <c r="M124" s="268" t="s">
        <v>11615</v>
      </c>
      <c r="N124" s="399" t="s">
        <v>11616</v>
      </c>
      <c r="O124" s="399"/>
      <c r="P124" s="399"/>
      <c r="Q124" s="399"/>
      <c r="R124" s="399"/>
      <c r="S124" s="399"/>
      <c r="T124" s="399"/>
      <c r="U124" s="399"/>
      <c r="V124" s="172"/>
    </row>
    <row r="125" spans="1:22">
      <c r="A125" s="233" t="s">
        <v>11617</v>
      </c>
      <c r="B125" s="233" t="s">
        <v>11618</v>
      </c>
      <c r="C125" s="408" t="s">
        <v>11619</v>
      </c>
      <c r="D125" s="408" t="s">
        <v>11620</v>
      </c>
      <c r="E125" s="233" t="s">
        <v>1732</v>
      </c>
      <c r="F125" s="233" t="s">
        <v>11621</v>
      </c>
      <c r="G125" s="233"/>
      <c r="H125" s="408" t="s">
        <v>11045</v>
      </c>
      <c r="I125" s="409" t="s">
        <v>1736</v>
      </c>
      <c r="J125" s="410" t="s">
        <v>4913</v>
      </c>
      <c r="K125" s="410" t="s">
        <v>4913</v>
      </c>
      <c r="L125" s="409" t="s">
        <v>1737</v>
      </c>
      <c r="M125" s="409" t="s">
        <v>1737</v>
      </c>
      <c r="N125" s="233"/>
      <c r="O125" s="233" t="s">
        <v>11518</v>
      </c>
      <c r="P125" s="233" t="s">
        <v>11622</v>
      </c>
      <c r="Q125" s="233" t="s">
        <v>11592</v>
      </c>
      <c r="R125" s="233" t="s">
        <v>11623</v>
      </c>
      <c r="S125" s="233"/>
      <c r="T125" s="233"/>
      <c r="U125" s="233" t="s">
        <v>8228</v>
      </c>
      <c r="V125" s="172" t="s">
        <v>4803</v>
      </c>
    </row>
    <row r="126" spans="1:22">
      <c r="A126" s="233" t="s">
        <v>11624</v>
      </c>
      <c r="B126" s="233" t="s">
        <v>11625</v>
      </c>
      <c r="C126" s="408" t="s">
        <v>11514</v>
      </c>
      <c r="D126" s="408" t="s">
        <v>11626</v>
      </c>
      <c r="E126" s="233" t="s">
        <v>1732</v>
      </c>
      <c r="F126" s="233" t="s">
        <v>11516</v>
      </c>
      <c r="G126" s="233" t="s">
        <v>11590</v>
      </c>
      <c r="H126" s="408" t="s">
        <v>11517</v>
      </c>
      <c r="I126" s="409" t="s">
        <v>1736</v>
      </c>
      <c r="J126" s="409" t="s">
        <v>1736</v>
      </c>
      <c r="K126" s="410" t="s">
        <v>4913</v>
      </c>
      <c r="L126" s="409" t="s">
        <v>1737</v>
      </c>
      <c r="M126" s="409" t="s">
        <v>1737</v>
      </c>
      <c r="N126" s="233"/>
      <c r="O126" s="233" t="s">
        <v>11577</v>
      </c>
      <c r="P126" s="233" t="s">
        <v>11627</v>
      </c>
      <c r="Q126" s="233" t="s">
        <v>11592</v>
      </c>
      <c r="R126" s="233" t="s">
        <v>11628</v>
      </c>
      <c r="S126" s="233"/>
      <c r="T126" s="233"/>
      <c r="U126" s="233" t="s">
        <v>8228</v>
      </c>
      <c r="V126" s="172" t="s">
        <v>4803</v>
      </c>
    </row>
    <row r="127" spans="1:22">
      <c r="A127" s="233" t="s">
        <v>11629</v>
      </c>
      <c r="B127" s="233" t="s">
        <v>11630</v>
      </c>
      <c r="C127" s="408" t="s">
        <v>11631</v>
      </c>
      <c r="D127" s="408" t="s">
        <v>11631</v>
      </c>
      <c r="E127" s="233" t="s">
        <v>1732</v>
      </c>
      <c r="F127" s="233" t="s">
        <v>11632</v>
      </c>
      <c r="G127" s="233"/>
      <c r="H127" s="408" t="s">
        <v>11633</v>
      </c>
      <c r="I127" s="409" t="s">
        <v>1736</v>
      </c>
      <c r="J127" s="410" t="s">
        <v>4913</v>
      </c>
      <c r="K127" s="410" t="s">
        <v>4913</v>
      </c>
      <c r="L127" s="409" t="s">
        <v>1737</v>
      </c>
      <c r="M127" s="409" t="s">
        <v>1737</v>
      </c>
      <c r="N127" s="233"/>
      <c r="O127" s="233" t="s">
        <v>11518</v>
      </c>
      <c r="P127" s="233" t="s">
        <v>11634</v>
      </c>
      <c r="Q127" s="233" t="s">
        <v>11592</v>
      </c>
      <c r="R127" s="233" t="s">
        <v>11635</v>
      </c>
      <c r="S127" s="233"/>
      <c r="T127" s="233"/>
      <c r="U127" s="233" t="s">
        <v>8228</v>
      </c>
      <c r="V127" s="172" t="s">
        <v>4803</v>
      </c>
    </row>
    <row r="128" spans="1:22">
      <c r="A128" s="233" t="s">
        <v>11636</v>
      </c>
      <c r="B128" s="233" t="s">
        <v>11637</v>
      </c>
      <c r="C128" s="408" t="s">
        <v>11638</v>
      </c>
      <c r="D128" s="408" t="s">
        <v>11639</v>
      </c>
      <c r="E128" s="233" t="s">
        <v>1732</v>
      </c>
      <c r="F128" s="233" t="s">
        <v>11640</v>
      </c>
      <c r="G128" s="233" t="s">
        <v>11641</v>
      </c>
      <c r="H128" s="408" t="s">
        <v>11045</v>
      </c>
      <c r="I128" s="409" t="s">
        <v>1736</v>
      </c>
      <c r="J128" s="409" t="s">
        <v>1736</v>
      </c>
      <c r="K128" s="410" t="s">
        <v>4913</v>
      </c>
      <c r="L128" s="409" t="s">
        <v>1737</v>
      </c>
      <c r="M128" s="409" t="s">
        <v>1737</v>
      </c>
      <c r="N128" s="233"/>
      <c r="O128" s="233" t="s">
        <v>7612</v>
      </c>
      <c r="P128" s="233" t="s">
        <v>11642</v>
      </c>
      <c r="Q128" s="233" t="s">
        <v>11592</v>
      </c>
      <c r="R128" s="233" t="s">
        <v>11643</v>
      </c>
      <c r="S128" s="233"/>
      <c r="T128" s="233"/>
      <c r="U128" s="233" t="s">
        <v>8228</v>
      </c>
      <c r="V128" s="172" t="s">
        <v>4803</v>
      </c>
    </row>
    <row r="129" spans="1:22">
      <c r="A129" s="233" t="s">
        <v>11644</v>
      </c>
      <c r="B129" s="233" t="s">
        <v>11645</v>
      </c>
      <c r="C129" s="408" t="s">
        <v>11042</v>
      </c>
      <c r="D129" s="408" t="s">
        <v>11646</v>
      </c>
      <c r="E129" s="233" t="s">
        <v>1732</v>
      </c>
      <c r="F129" s="233" t="s">
        <v>11352</v>
      </c>
      <c r="G129" s="233"/>
      <c r="H129" s="408" t="s">
        <v>11045</v>
      </c>
      <c r="I129" s="409" t="s">
        <v>1736</v>
      </c>
      <c r="J129" s="410" t="s">
        <v>4913</v>
      </c>
      <c r="K129" s="410" t="s">
        <v>4913</v>
      </c>
      <c r="L129" s="409" t="s">
        <v>1737</v>
      </c>
      <c r="M129" s="409" t="s">
        <v>1737</v>
      </c>
      <c r="N129" s="233"/>
      <c r="O129" s="233" t="s">
        <v>7612</v>
      </c>
      <c r="P129" s="233" t="s">
        <v>11647</v>
      </c>
      <c r="Q129" s="233" t="s">
        <v>11592</v>
      </c>
      <c r="R129" s="233" t="s">
        <v>11648</v>
      </c>
      <c r="S129" s="233"/>
      <c r="T129" s="233"/>
      <c r="U129" s="233" t="s">
        <v>8228</v>
      </c>
      <c r="V129" s="172" t="s">
        <v>4803</v>
      </c>
    </row>
    <row r="130" spans="1:22">
      <c r="A130" s="233" t="s">
        <v>11649</v>
      </c>
      <c r="B130" s="233" t="s">
        <v>11650</v>
      </c>
      <c r="C130" s="408" t="s">
        <v>11050</v>
      </c>
      <c r="D130" s="408" t="s">
        <v>11651</v>
      </c>
      <c r="E130" s="233" t="s">
        <v>1732</v>
      </c>
      <c r="F130" s="233" t="s">
        <v>11052</v>
      </c>
      <c r="G130" s="233"/>
      <c r="H130" s="408" t="s">
        <v>11053</v>
      </c>
      <c r="I130" s="409" t="s">
        <v>1736</v>
      </c>
      <c r="J130" s="410" t="s">
        <v>4913</v>
      </c>
      <c r="K130" s="410" t="s">
        <v>4913</v>
      </c>
      <c r="L130" s="409" t="s">
        <v>1737</v>
      </c>
      <c r="M130" s="409" t="s">
        <v>1737</v>
      </c>
      <c r="N130" s="233"/>
      <c r="O130" s="233" t="s">
        <v>7612</v>
      </c>
      <c r="P130" s="233" t="s">
        <v>11652</v>
      </c>
      <c r="Q130" s="233" t="s">
        <v>11592</v>
      </c>
      <c r="R130" s="233" t="s">
        <v>11653</v>
      </c>
      <c r="S130" s="233"/>
      <c r="T130" s="233"/>
      <c r="U130" s="233" t="s">
        <v>8228</v>
      </c>
      <c r="V130" s="172" t="s">
        <v>4803</v>
      </c>
    </row>
    <row r="131" spans="1:22">
      <c r="A131" s="233" t="s">
        <v>11654</v>
      </c>
      <c r="B131" s="233" t="s">
        <v>11655</v>
      </c>
      <c r="C131" s="408" t="s">
        <v>11058</v>
      </c>
      <c r="D131" s="408" t="s">
        <v>11656</v>
      </c>
      <c r="E131" s="233" t="s">
        <v>1732</v>
      </c>
      <c r="F131" s="233" t="s">
        <v>11364</v>
      </c>
      <c r="G131" s="233"/>
      <c r="H131" s="408" t="s">
        <v>11061</v>
      </c>
      <c r="I131" s="409" t="s">
        <v>1736</v>
      </c>
      <c r="J131" s="410" t="s">
        <v>4913</v>
      </c>
      <c r="K131" s="410" t="s">
        <v>4913</v>
      </c>
      <c r="L131" s="409" t="s">
        <v>1737</v>
      </c>
      <c r="M131" s="409" t="s">
        <v>1737</v>
      </c>
      <c r="N131" s="233"/>
      <c r="O131" s="233" t="s">
        <v>7612</v>
      </c>
      <c r="P131" s="233" t="s">
        <v>11657</v>
      </c>
      <c r="Q131" s="233" t="s">
        <v>11658</v>
      </c>
      <c r="R131" s="233" t="s">
        <v>11659</v>
      </c>
      <c r="S131" s="233"/>
      <c r="T131" s="233"/>
      <c r="U131" s="233" t="s">
        <v>7778</v>
      </c>
      <c r="V131" s="172" t="s">
        <v>4803</v>
      </c>
    </row>
    <row r="132" spans="1:22">
      <c r="A132" s="233" t="s">
        <v>11660</v>
      </c>
      <c r="B132" s="233" t="s">
        <v>11661</v>
      </c>
      <c r="C132" s="408" t="s">
        <v>11369</v>
      </c>
      <c r="D132" s="408" t="s">
        <v>11662</v>
      </c>
      <c r="E132" s="233" t="s">
        <v>1732</v>
      </c>
      <c r="F132" s="233" t="s">
        <v>11371</v>
      </c>
      <c r="G132" s="233" t="s">
        <v>11641</v>
      </c>
      <c r="H132" s="408" t="s">
        <v>11372</v>
      </c>
      <c r="I132" s="409" t="s">
        <v>1736</v>
      </c>
      <c r="J132" s="409" t="s">
        <v>1736</v>
      </c>
      <c r="K132" s="410" t="s">
        <v>4913</v>
      </c>
      <c r="L132" s="409" t="s">
        <v>1737</v>
      </c>
      <c r="M132" s="409" t="s">
        <v>1737</v>
      </c>
      <c r="N132" s="233"/>
      <c r="O132" s="233" t="s">
        <v>7612</v>
      </c>
      <c r="P132" s="233" t="s">
        <v>11663</v>
      </c>
      <c r="Q132" s="233" t="s">
        <v>11658</v>
      </c>
      <c r="R132" s="233" t="s">
        <v>11664</v>
      </c>
      <c r="S132" s="233"/>
      <c r="T132" s="233"/>
      <c r="U132" s="233" t="s">
        <v>7778</v>
      </c>
      <c r="V132" s="172" t="s">
        <v>4803</v>
      </c>
    </row>
    <row r="133" spans="1:22">
      <c r="A133" s="233" t="s">
        <v>11665</v>
      </c>
      <c r="B133" s="233" t="s">
        <v>11666</v>
      </c>
      <c r="C133" s="408" t="s">
        <v>11377</v>
      </c>
      <c r="D133" s="408" t="s">
        <v>11667</v>
      </c>
      <c r="E133" s="233" t="s">
        <v>1732</v>
      </c>
      <c r="F133" s="233" t="s">
        <v>11379</v>
      </c>
      <c r="G133" s="233" t="s">
        <v>11641</v>
      </c>
      <c r="H133" s="408" t="s">
        <v>11380</v>
      </c>
      <c r="I133" s="409" t="s">
        <v>1736</v>
      </c>
      <c r="J133" s="409" t="s">
        <v>1736</v>
      </c>
      <c r="K133" s="410" t="s">
        <v>4913</v>
      </c>
      <c r="L133" s="409" t="s">
        <v>1737</v>
      </c>
      <c r="M133" s="409" t="s">
        <v>1737</v>
      </c>
      <c r="N133" s="233"/>
      <c r="O133" s="233" t="s">
        <v>7612</v>
      </c>
      <c r="P133" s="233" t="s">
        <v>11668</v>
      </c>
      <c r="Q133" s="233" t="s">
        <v>11658</v>
      </c>
      <c r="R133" s="233" t="s">
        <v>11669</v>
      </c>
      <c r="S133" s="233"/>
      <c r="T133" s="233"/>
      <c r="U133" s="233" t="s">
        <v>7778</v>
      </c>
      <c r="V133" s="172" t="s">
        <v>4803</v>
      </c>
    </row>
    <row r="134" spans="1:22">
      <c r="A134" s="233" t="s">
        <v>11670</v>
      </c>
      <c r="B134" s="233" t="s">
        <v>11671</v>
      </c>
      <c r="C134" s="408" t="s">
        <v>11385</v>
      </c>
      <c r="D134" s="408" t="s">
        <v>11672</v>
      </c>
      <c r="E134" s="233" t="s">
        <v>1732</v>
      </c>
      <c r="F134" s="233" t="s">
        <v>11387</v>
      </c>
      <c r="G134" s="233" t="s">
        <v>11641</v>
      </c>
      <c r="H134" s="408" t="s">
        <v>11388</v>
      </c>
      <c r="I134" s="409" t="s">
        <v>1736</v>
      </c>
      <c r="J134" s="409" t="s">
        <v>1736</v>
      </c>
      <c r="K134" s="410" t="s">
        <v>4913</v>
      </c>
      <c r="L134" s="409" t="s">
        <v>1737</v>
      </c>
      <c r="M134" s="409" t="s">
        <v>1737</v>
      </c>
      <c r="N134" s="233"/>
      <c r="O134" s="233" t="s">
        <v>7612</v>
      </c>
      <c r="P134" s="233" t="s">
        <v>11673</v>
      </c>
      <c r="Q134" s="233" t="s">
        <v>11658</v>
      </c>
      <c r="R134" s="233" t="s">
        <v>11674</v>
      </c>
      <c r="S134" s="233"/>
      <c r="T134" s="233"/>
      <c r="U134" s="233" t="s">
        <v>7778</v>
      </c>
      <c r="V134" s="172" t="s">
        <v>4803</v>
      </c>
    </row>
    <row r="135" spans="1:22">
      <c r="A135" s="233" t="s">
        <v>11675</v>
      </c>
      <c r="B135" s="233" t="s">
        <v>11676</v>
      </c>
      <c r="C135" s="408" t="s">
        <v>11393</v>
      </c>
      <c r="D135" s="408" t="s">
        <v>11677</v>
      </c>
      <c r="E135" s="233" t="s">
        <v>1732</v>
      </c>
      <c r="F135" s="233" t="s">
        <v>11395</v>
      </c>
      <c r="G135" s="233" t="s">
        <v>11641</v>
      </c>
      <c r="H135" s="408" t="s">
        <v>11396</v>
      </c>
      <c r="I135" s="409" t="s">
        <v>1736</v>
      </c>
      <c r="J135" s="409" t="s">
        <v>1736</v>
      </c>
      <c r="K135" s="410" t="s">
        <v>4913</v>
      </c>
      <c r="L135" s="409" t="s">
        <v>1737</v>
      </c>
      <c r="M135" s="409" t="s">
        <v>1737</v>
      </c>
      <c r="N135" s="233"/>
      <c r="O135" s="233" t="s">
        <v>7612</v>
      </c>
      <c r="P135" s="233" t="s">
        <v>11678</v>
      </c>
      <c r="Q135" s="233" t="s">
        <v>11658</v>
      </c>
      <c r="R135" s="233" t="s">
        <v>11679</v>
      </c>
      <c r="S135" s="233"/>
      <c r="T135" s="233"/>
      <c r="U135" s="233" t="s">
        <v>7778</v>
      </c>
      <c r="V135" s="172" t="s">
        <v>4803</v>
      </c>
    </row>
    <row r="136" spans="1:22">
      <c r="A136" s="233" t="s">
        <v>11680</v>
      </c>
      <c r="B136" s="233" t="s">
        <v>11681</v>
      </c>
      <c r="C136" s="408" t="s">
        <v>11089</v>
      </c>
      <c r="D136" s="408" t="s">
        <v>11682</v>
      </c>
      <c r="E136" s="233" t="s">
        <v>1732</v>
      </c>
      <c r="F136" s="233" t="s">
        <v>11091</v>
      </c>
      <c r="G136" s="233"/>
      <c r="H136" s="408" t="s">
        <v>11045</v>
      </c>
      <c r="I136" s="409" t="s">
        <v>1736</v>
      </c>
      <c r="J136" s="410" t="s">
        <v>4913</v>
      </c>
      <c r="K136" s="410" t="s">
        <v>4913</v>
      </c>
      <c r="L136" s="409" t="s">
        <v>1737</v>
      </c>
      <c r="M136" s="409" t="s">
        <v>1737</v>
      </c>
      <c r="N136" s="233"/>
      <c r="O136" s="233" t="s">
        <v>7612</v>
      </c>
      <c r="P136" s="233" t="s">
        <v>11683</v>
      </c>
      <c r="Q136" s="233" t="s">
        <v>11658</v>
      </c>
      <c r="R136" s="233" t="s">
        <v>11684</v>
      </c>
      <c r="S136" s="233"/>
      <c r="T136" s="233"/>
      <c r="U136" s="233" t="s">
        <v>7778</v>
      </c>
      <c r="V136" s="172" t="s">
        <v>4803</v>
      </c>
    </row>
    <row r="137" spans="1:22">
      <c r="A137" s="233" t="s">
        <v>11685</v>
      </c>
      <c r="B137" s="233" t="s">
        <v>11686</v>
      </c>
      <c r="C137" s="408" t="s">
        <v>11687</v>
      </c>
      <c r="D137" s="408" t="s">
        <v>11687</v>
      </c>
      <c r="E137" s="233" t="s">
        <v>1732</v>
      </c>
      <c r="F137" s="233" t="s">
        <v>11688</v>
      </c>
      <c r="G137" s="233"/>
      <c r="H137" s="408" t="s">
        <v>11689</v>
      </c>
      <c r="I137" s="409" t="s">
        <v>1736</v>
      </c>
      <c r="J137" s="410" t="s">
        <v>4913</v>
      </c>
      <c r="K137" s="410" t="s">
        <v>4913</v>
      </c>
      <c r="L137" s="409" t="s">
        <v>1737</v>
      </c>
      <c r="M137" s="409" t="s">
        <v>1737</v>
      </c>
      <c r="N137" s="233"/>
      <c r="O137" s="233" t="s">
        <v>11491</v>
      </c>
      <c r="P137" s="233" t="s">
        <v>11690</v>
      </c>
      <c r="Q137" s="233" t="s">
        <v>11658</v>
      </c>
      <c r="R137" s="233" t="s">
        <v>11691</v>
      </c>
      <c r="S137" s="233"/>
      <c r="T137" s="233"/>
      <c r="U137" s="233" t="s">
        <v>7778</v>
      </c>
      <c r="V137" s="172" t="s">
        <v>4803</v>
      </c>
    </row>
    <row r="138" spans="1:22">
      <c r="A138" s="233" t="s">
        <v>11692</v>
      </c>
      <c r="B138" s="233" t="s">
        <v>11693</v>
      </c>
      <c r="C138" s="408" t="s">
        <v>11025</v>
      </c>
      <c r="D138" s="408" t="s">
        <v>11694</v>
      </c>
      <c r="E138" s="233" t="s">
        <v>1732</v>
      </c>
      <c r="F138" s="233" t="s">
        <v>11288</v>
      </c>
      <c r="G138" s="233"/>
      <c r="H138" s="408" t="s">
        <v>11029</v>
      </c>
      <c r="I138" s="409" t="s">
        <v>1736</v>
      </c>
      <c r="J138" s="410" t="s">
        <v>4913</v>
      </c>
      <c r="K138" s="410" t="s">
        <v>4913</v>
      </c>
      <c r="L138" s="409" t="s">
        <v>1737</v>
      </c>
      <c r="M138" s="409" t="s">
        <v>1737</v>
      </c>
      <c r="N138" s="233"/>
      <c r="O138" s="233" t="s">
        <v>11491</v>
      </c>
      <c r="P138" s="233" t="s">
        <v>11695</v>
      </c>
      <c r="Q138" s="233" t="s">
        <v>11658</v>
      </c>
      <c r="R138" s="233" t="s">
        <v>11696</v>
      </c>
      <c r="S138" s="233"/>
      <c r="T138" s="233"/>
      <c r="U138" s="233" t="s">
        <v>7778</v>
      </c>
      <c r="V138" s="172" t="s">
        <v>4803</v>
      </c>
    </row>
    <row r="139" spans="1:22">
      <c r="A139" s="233" t="s">
        <v>11697</v>
      </c>
      <c r="B139" s="233" t="s">
        <v>11698</v>
      </c>
      <c r="C139" s="408" t="s">
        <v>11034</v>
      </c>
      <c r="D139" s="408" t="s">
        <v>11699</v>
      </c>
      <c r="E139" s="233" t="s">
        <v>1732</v>
      </c>
      <c r="F139" s="233" t="s">
        <v>11288</v>
      </c>
      <c r="G139" s="233"/>
      <c r="H139" s="408" t="s">
        <v>11029</v>
      </c>
      <c r="I139" s="409" t="s">
        <v>1736</v>
      </c>
      <c r="J139" s="410" t="s">
        <v>4913</v>
      </c>
      <c r="K139" s="410" t="s">
        <v>4913</v>
      </c>
      <c r="L139" s="409" t="s">
        <v>1737</v>
      </c>
      <c r="M139" s="409" t="s">
        <v>1737</v>
      </c>
      <c r="N139" s="233"/>
      <c r="O139" s="233" t="s">
        <v>11491</v>
      </c>
      <c r="P139" s="233" t="s">
        <v>11700</v>
      </c>
      <c r="Q139" s="233" t="s">
        <v>11658</v>
      </c>
      <c r="R139" s="233" t="s">
        <v>11701</v>
      </c>
      <c r="S139" s="233"/>
      <c r="T139" s="233"/>
      <c r="U139" s="233" t="s">
        <v>7778</v>
      </c>
      <c r="V139" s="172" t="s">
        <v>4803</v>
      </c>
    </row>
    <row r="140" spans="1:22">
      <c r="A140" s="233" t="s">
        <v>11702</v>
      </c>
      <c r="B140" s="233" t="s">
        <v>11703</v>
      </c>
      <c r="C140" s="408" t="s">
        <v>11042</v>
      </c>
      <c r="D140" s="408" t="s">
        <v>11704</v>
      </c>
      <c r="E140" s="233" t="s">
        <v>1732</v>
      </c>
      <c r="F140" s="233" t="s">
        <v>11044</v>
      </c>
      <c r="G140" s="233"/>
      <c r="H140" s="408" t="s">
        <v>11045</v>
      </c>
      <c r="I140" s="409" t="s">
        <v>1736</v>
      </c>
      <c r="J140" s="410" t="s">
        <v>4913</v>
      </c>
      <c r="K140" s="410" t="s">
        <v>4913</v>
      </c>
      <c r="L140" s="409" t="s">
        <v>1737</v>
      </c>
      <c r="M140" s="409" t="s">
        <v>1737</v>
      </c>
      <c r="N140" s="233"/>
      <c r="O140" s="233" t="s">
        <v>11491</v>
      </c>
      <c r="P140" s="233" t="s">
        <v>11705</v>
      </c>
      <c r="Q140" s="233" t="s">
        <v>11658</v>
      </c>
      <c r="R140" s="233" t="s">
        <v>11706</v>
      </c>
      <c r="S140" s="233"/>
      <c r="T140" s="233"/>
      <c r="U140" s="233" t="s">
        <v>7778</v>
      </c>
      <c r="V140" s="172" t="s">
        <v>4803</v>
      </c>
    </row>
    <row r="141" spans="1:22">
      <c r="A141" s="233" t="s">
        <v>11707</v>
      </c>
      <c r="B141" s="233" t="s">
        <v>11708</v>
      </c>
      <c r="C141" s="408" t="s">
        <v>11050</v>
      </c>
      <c r="D141" s="408" t="s">
        <v>11709</v>
      </c>
      <c r="E141" s="233" t="s">
        <v>1732</v>
      </c>
      <c r="F141" s="233" t="s">
        <v>11052</v>
      </c>
      <c r="G141" s="233"/>
      <c r="H141" s="408" t="s">
        <v>11053</v>
      </c>
      <c r="I141" s="409" t="s">
        <v>1736</v>
      </c>
      <c r="J141" s="410" t="s">
        <v>4913</v>
      </c>
      <c r="K141" s="410" t="s">
        <v>4913</v>
      </c>
      <c r="L141" s="409" t="s">
        <v>1737</v>
      </c>
      <c r="M141" s="409" t="s">
        <v>1737</v>
      </c>
      <c r="N141" s="233"/>
      <c r="O141" s="233" t="s">
        <v>11491</v>
      </c>
      <c r="P141" s="233" t="s">
        <v>11710</v>
      </c>
      <c r="Q141" s="233" t="s">
        <v>11711</v>
      </c>
      <c r="R141" s="233" t="s">
        <v>11712</v>
      </c>
      <c r="S141" s="233"/>
      <c r="T141" s="233"/>
      <c r="U141" s="233" t="s">
        <v>7778</v>
      </c>
      <c r="V141" s="172" t="s">
        <v>4803</v>
      </c>
    </row>
    <row r="142" spans="1:22">
      <c r="A142" s="233" t="s">
        <v>11713</v>
      </c>
      <c r="B142" s="233" t="s">
        <v>11714</v>
      </c>
      <c r="C142" s="408" t="s">
        <v>11058</v>
      </c>
      <c r="D142" s="408" t="s">
        <v>11715</v>
      </c>
      <c r="E142" s="233" t="s">
        <v>1732</v>
      </c>
      <c r="F142" s="233" t="s">
        <v>11716</v>
      </c>
      <c r="G142" s="233"/>
      <c r="H142" s="408" t="s">
        <v>11061</v>
      </c>
      <c r="I142" s="409" t="s">
        <v>1736</v>
      </c>
      <c r="J142" s="410" t="s">
        <v>4913</v>
      </c>
      <c r="K142" s="410" t="s">
        <v>4913</v>
      </c>
      <c r="L142" s="409" t="s">
        <v>1737</v>
      </c>
      <c r="M142" s="409" t="s">
        <v>1737</v>
      </c>
      <c r="N142" s="233"/>
      <c r="O142" s="233" t="s">
        <v>11498</v>
      </c>
      <c r="P142" s="233" t="s">
        <v>11717</v>
      </c>
      <c r="Q142" s="233" t="s">
        <v>11711</v>
      </c>
      <c r="R142" s="233" t="s">
        <v>11718</v>
      </c>
      <c r="S142" s="233"/>
      <c r="T142" s="233"/>
      <c r="U142" s="233" t="s">
        <v>7778</v>
      </c>
      <c r="V142" s="172" t="s">
        <v>4803</v>
      </c>
    </row>
    <row r="143" spans="1:22">
      <c r="A143" s="233" t="s">
        <v>11719</v>
      </c>
      <c r="B143" s="233" t="s">
        <v>11720</v>
      </c>
      <c r="C143" s="408" t="s">
        <v>11066</v>
      </c>
      <c r="D143" s="408" t="s">
        <v>11721</v>
      </c>
      <c r="E143" s="233" t="s">
        <v>1732</v>
      </c>
      <c r="F143" s="233" t="s">
        <v>11068</v>
      </c>
      <c r="G143" s="233"/>
      <c r="H143" s="408" t="s">
        <v>11069</v>
      </c>
      <c r="I143" s="409" t="s">
        <v>1736</v>
      </c>
      <c r="J143" s="410" t="s">
        <v>4913</v>
      </c>
      <c r="K143" s="409" t="s">
        <v>1736</v>
      </c>
      <c r="L143" s="409" t="s">
        <v>1737</v>
      </c>
      <c r="M143" s="409" t="s">
        <v>1737</v>
      </c>
      <c r="N143" s="233"/>
      <c r="O143" s="233" t="s">
        <v>8198</v>
      </c>
      <c r="P143" s="233" t="s">
        <v>11722</v>
      </c>
      <c r="Q143" s="233" t="s">
        <v>11711</v>
      </c>
      <c r="R143" s="233" t="s">
        <v>11723</v>
      </c>
      <c r="S143" s="233"/>
      <c r="T143" s="233"/>
      <c r="U143" s="233" t="s">
        <v>7778</v>
      </c>
      <c r="V143" s="172" t="s">
        <v>4803</v>
      </c>
    </row>
    <row r="144" spans="1:22">
      <c r="A144" s="233" t="s">
        <v>11724</v>
      </c>
      <c r="B144" s="233" t="s">
        <v>11725</v>
      </c>
      <c r="C144" s="408" t="s">
        <v>11074</v>
      </c>
      <c r="D144" s="408" t="s">
        <v>11726</v>
      </c>
      <c r="E144" s="233" t="s">
        <v>1732</v>
      </c>
      <c r="F144" s="233" t="s">
        <v>11076</v>
      </c>
      <c r="G144" s="233"/>
      <c r="H144" s="408" t="s">
        <v>11069</v>
      </c>
      <c r="I144" s="409" t="s">
        <v>1736</v>
      </c>
      <c r="J144" s="410" t="s">
        <v>4913</v>
      </c>
      <c r="K144" s="409" t="s">
        <v>1736</v>
      </c>
      <c r="L144" s="409" t="s">
        <v>1737</v>
      </c>
      <c r="M144" s="409" t="s">
        <v>1737</v>
      </c>
      <c r="N144" s="233"/>
      <c r="O144" s="233" t="s">
        <v>8198</v>
      </c>
      <c r="P144" s="233" t="s">
        <v>11727</v>
      </c>
      <c r="Q144" s="233" t="s">
        <v>11711</v>
      </c>
      <c r="R144" s="233" t="s">
        <v>11728</v>
      </c>
      <c r="S144" s="233"/>
      <c r="T144" s="233"/>
      <c r="U144" s="233" t="s">
        <v>7778</v>
      </c>
      <c r="V144" s="172" t="s">
        <v>4803</v>
      </c>
    </row>
    <row r="145" spans="1:22">
      <c r="A145" s="233" t="s">
        <v>11729</v>
      </c>
      <c r="B145" s="233" t="s">
        <v>11730</v>
      </c>
      <c r="C145" s="408" t="s">
        <v>11082</v>
      </c>
      <c r="D145" s="408" t="s">
        <v>11731</v>
      </c>
      <c r="E145" s="233" t="s">
        <v>1732</v>
      </c>
      <c r="F145" s="233" t="s">
        <v>11084</v>
      </c>
      <c r="G145" s="233"/>
      <c r="H145" s="408" t="s">
        <v>11069</v>
      </c>
      <c r="I145" s="409" t="s">
        <v>1736</v>
      </c>
      <c r="J145" s="410" t="s">
        <v>4913</v>
      </c>
      <c r="K145" s="409" t="s">
        <v>1736</v>
      </c>
      <c r="L145" s="409" t="s">
        <v>1737</v>
      </c>
      <c r="M145" s="409" t="s">
        <v>1737</v>
      </c>
      <c r="N145" s="233"/>
      <c r="O145" s="233" t="s">
        <v>8198</v>
      </c>
      <c r="P145" s="233" t="s">
        <v>11732</v>
      </c>
      <c r="Q145" s="233" t="s">
        <v>11711</v>
      </c>
      <c r="R145" s="233" t="s">
        <v>11733</v>
      </c>
      <c r="S145" s="233"/>
      <c r="T145" s="233"/>
      <c r="U145" s="233" t="s">
        <v>7778</v>
      </c>
      <c r="V145" s="172" t="s">
        <v>4803</v>
      </c>
    </row>
    <row r="146" spans="1:22">
      <c r="A146" s="233" t="s">
        <v>11734</v>
      </c>
      <c r="B146" s="233" t="s">
        <v>11735</v>
      </c>
      <c r="C146" s="408" t="s">
        <v>11089</v>
      </c>
      <c r="D146" s="408" t="s">
        <v>11736</v>
      </c>
      <c r="E146" s="233" t="s">
        <v>1732</v>
      </c>
      <c r="F146" s="233" t="s">
        <v>11091</v>
      </c>
      <c r="G146" s="233"/>
      <c r="H146" s="408" t="s">
        <v>11045</v>
      </c>
      <c r="I146" s="409" t="s">
        <v>1736</v>
      </c>
      <c r="J146" s="410" t="s">
        <v>4913</v>
      </c>
      <c r="K146" s="410" t="s">
        <v>4913</v>
      </c>
      <c r="L146" s="409" t="s">
        <v>1737</v>
      </c>
      <c r="M146" s="409" t="s">
        <v>1737</v>
      </c>
      <c r="N146" s="233"/>
      <c r="O146" s="233" t="s">
        <v>7415</v>
      </c>
      <c r="P146" s="233" t="s">
        <v>11737</v>
      </c>
      <c r="Q146" s="233" t="s">
        <v>11738</v>
      </c>
      <c r="R146" s="233" t="s">
        <v>11739</v>
      </c>
      <c r="S146" s="233"/>
      <c r="T146" s="233"/>
      <c r="U146" s="233" t="s">
        <v>7778</v>
      </c>
      <c r="V146" s="172" t="s">
        <v>4803</v>
      </c>
    </row>
    <row r="147" spans="1:22">
      <c r="A147" s="233" t="s">
        <v>11740</v>
      </c>
      <c r="B147" s="233" t="s">
        <v>11741</v>
      </c>
      <c r="C147" s="408" t="s">
        <v>11742</v>
      </c>
      <c r="D147" s="408" t="s">
        <v>11742</v>
      </c>
      <c r="E147" s="233" t="s">
        <v>1732</v>
      </c>
      <c r="F147" s="233" t="s">
        <v>11743</v>
      </c>
      <c r="G147" s="233"/>
      <c r="H147" s="408" t="s">
        <v>11744</v>
      </c>
      <c r="I147" s="409" t="s">
        <v>1736</v>
      </c>
      <c r="J147" s="410" t="s">
        <v>4913</v>
      </c>
      <c r="K147" s="410" t="s">
        <v>4913</v>
      </c>
      <c r="L147" s="409" t="s">
        <v>1737</v>
      </c>
      <c r="M147" s="409" t="s">
        <v>1737</v>
      </c>
      <c r="N147" s="233"/>
      <c r="O147" s="233" t="s">
        <v>7536</v>
      </c>
      <c r="P147" s="233" t="s">
        <v>11745</v>
      </c>
      <c r="Q147" s="233" t="s">
        <v>11711</v>
      </c>
      <c r="R147" s="233" t="s">
        <v>11746</v>
      </c>
      <c r="S147" s="233"/>
      <c r="T147" s="233"/>
      <c r="U147" s="233" t="s">
        <v>7778</v>
      </c>
      <c r="V147" s="172" t="s">
        <v>4803</v>
      </c>
    </row>
    <row r="148" spans="1:22">
      <c r="A148" s="233" t="s">
        <v>11747</v>
      </c>
      <c r="B148" s="233" t="s">
        <v>11748</v>
      </c>
      <c r="C148" s="408" t="s">
        <v>11749</v>
      </c>
      <c r="D148" s="408" t="s">
        <v>11750</v>
      </c>
      <c r="E148" s="233" t="s">
        <v>1732</v>
      </c>
      <c r="F148" s="233" t="s">
        <v>11640</v>
      </c>
      <c r="G148" s="233" t="s">
        <v>11751</v>
      </c>
      <c r="H148" s="408" t="s">
        <v>11752</v>
      </c>
      <c r="I148" s="409" t="s">
        <v>1736</v>
      </c>
      <c r="J148" s="409" t="s">
        <v>1736</v>
      </c>
      <c r="K148" s="410" t="s">
        <v>4913</v>
      </c>
      <c r="L148" s="409" t="s">
        <v>1737</v>
      </c>
      <c r="M148" s="409" t="s">
        <v>1737</v>
      </c>
      <c r="N148" s="233"/>
      <c r="O148" s="233" t="s">
        <v>7536</v>
      </c>
      <c r="P148" s="233" t="s">
        <v>11753</v>
      </c>
      <c r="Q148" s="233" t="s">
        <v>11711</v>
      </c>
      <c r="R148" s="233" t="s">
        <v>11754</v>
      </c>
      <c r="S148" s="233"/>
      <c r="T148" s="233"/>
      <c r="U148" s="233" t="s">
        <v>7778</v>
      </c>
      <c r="V148" s="172" t="s">
        <v>4803</v>
      </c>
    </row>
    <row r="149" spans="1:22">
      <c r="A149" s="233" t="s">
        <v>11755</v>
      </c>
      <c r="B149" s="233" t="s">
        <v>11756</v>
      </c>
      <c r="C149" s="408" t="s">
        <v>11042</v>
      </c>
      <c r="D149" s="408" t="s">
        <v>11757</v>
      </c>
      <c r="E149" s="233" t="s">
        <v>1732</v>
      </c>
      <c r="F149" s="233" t="s">
        <v>11044</v>
      </c>
      <c r="G149" s="233"/>
      <c r="H149" s="408" t="s">
        <v>11045</v>
      </c>
      <c r="I149" s="409" t="s">
        <v>1736</v>
      </c>
      <c r="J149" s="410" t="s">
        <v>4913</v>
      </c>
      <c r="K149" s="410" t="s">
        <v>4913</v>
      </c>
      <c r="L149" s="409" t="s">
        <v>1737</v>
      </c>
      <c r="M149" s="409" t="s">
        <v>1737</v>
      </c>
      <c r="N149" s="233"/>
      <c r="O149" s="233" t="s">
        <v>7536</v>
      </c>
      <c r="P149" s="233" t="s">
        <v>11758</v>
      </c>
      <c r="Q149" s="233" t="s">
        <v>11711</v>
      </c>
      <c r="R149" s="233" t="s">
        <v>11759</v>
      </c>
      <c r="S149" s="233"/>
      <c r="T149" s="233"/>
      <c r="U149" s="233" t="s">
        <v>7778</v>
      </c>
      <c r="V149" s="172" t="s">
        <v>4803</v>
      </c>
    </row>
    <row r="150" spans="1:22">
      <c r="A150" s="233" t="s">
        <v>11760</v>
      </c>
      <c r="B150" s="233" t="s">
        <v>11761</v>
      </c>
      <c r="C150" s="408" t="s">
        <v>11050</v>
      </c>
      <c r="D150" s="408" t="s">
        <v>11762</v>
      </c>
      <c r="E150" s="233" t="s">
        <v>1732</v>
      </c>
      <c r="F150" s="233" t="s">
        <v>11052</v>
      </c>
      <c r="G150" s="233"/>
      <c r="H150" s="408" t="s">
        <v>11053</v>
      </c>
      <c r="I150" s="409" t="s">
        <v>1736</v>
      </c>
      <c r="J150" s="410" t="s">
        <v>4913</v>
      </c>
      <c r="K150" s="410" t="s">
        <v>4913</v>
      </c>
      <c r="L150" s="409" t="s">
        <v>1737</v>
      </c>
      <c r="M150" s="409" t="s">
        <v>1737</v>
      </c>
      <c r="N150" s="233"/>
      <c r="O150" s="233" t="s">
        <v>7551</v>
      </c>
      <c r="P150" s="233" t="s">
        <v>11763</v>
      </c>
      <c r="Q150" s="233" t="s">
        <v>11711</v>
      </c>
      <c r="R150" s="233" t="s">
        <v>11764</v>
      </c>
      <c r="S150" s="233"/>
      <c r="T150" s="233"/>
      <c r="U150" s="233" t="s">
        <v>7778</v>
      </c>
      <c r="V150" s="172" t="s">
        <v>4803</v>
      </c>
    </row>
    <row r="151" spans="1:22">
      <c r="A151" s="233" t="s">
        <v>11765</v>
      </c>
      <c r="B151" s="233" t="s">
        <v>11766</v>
      </c>
      <c r="C151" s="408" t="s">
        <v>11058</v>
      </c>
      <c r="D151" s="408" t="s">
        <v>11767</v>
      </c>
      <c r="E151" s="233" t="s">
        <v>1732</v>
      </c>
      <c r="F151" s="233" t="s">
        <v>11768</v>
      </c>
      <c r="G151" s="233"/>
      <c r="H151" s="408" t="s">
        <v>11061</v>
      </c>
      <c r="I151" s="409" t="s">
        <v>1736</v>
      </c>
      <c r="J151" s="410" t="s">
        <v>4913</v>
      </c>
      <c r="K151" s="410" t="s">
        <v>4913</v>
      </c>
      <c r="L151" s="409" t="s">
        <v>1737</v>
      </c>
      <c r="M151" s="409" t="s">
        <v>1737</v>
      </c>
      <c r="N151" s="233"/>
      <c r="O151" s="233" t="s">
        <v>7551</v>
      </c>
      <c r="P151" s="233" t="s">
        <v>11769</v>
      </c>
      <c r="Q151" s="233" t="s">
        <v>11711</v>
      </c>
      <c r="R151" s="233" t="s">
        <v>11770</v>
      </c>
      <c r="S151" s="233"/>
      <c r="T151" s="233"/>
      <c r="U151" s="233" t="s">
        <v>7778</v>
      </c>
      <c r="V151" s="172" t="s">
        <v>4803</v>
      </c>
    </row>
    <row r="152" spans="1:22">
      <c r="A152" s="233" t="s">
        <v>11771</v>
      </c>
      <c r="B152" s="233" t="s">
        <v>11772</v>
      </c>
      <c r="C152" s="408" t="s">
        <v>11773</v>
      </c>
      <c r="D152" s="408" t="s">
        <v>11774</v>
      </c>
      <c r="E152" s="233" t="s">
        <v>1732</v>
      </c>
      <c r="F152" s="233" t="s">
        <v>11775</v>
      </c>
      <c r="G152" s="233" t="s">
        <v>11751</v>
      </c>
      <c r="H152" s="408" t="s">
        <v>11776</v>
      </c>
      <c r="I152" s="409" t="s">
        <v>1736</v>
      </c>
      <c r="J152" s="409" t="s">
        <v>1736</v>
      </c>
      <c r="K152" s="410" t="s">
        <v>4913</v>
      </c>
      <c r="L152" s="409" t="s">
        <v>1737</v>
      </c>
      <c r="M152" s="409" t="s">
        <v>1737</v>
      </c>
      <c r="N152" s="233"/>
      <c r="O152" s="233" t="s">
        <v>7551</v>
      </c>
      <c r="P152" s="233" t="s">
        <v>11777</v>
      </c>
      <c r="Q152" s="233" t="s">
        <v>11778</v>
      </c>
      <c r="R152" s="233" t="s">
        <v>11779</v>
      </c>
      <c r="S152" s="233"/>
      <c r="T152" s="233"/>
      <c r="U152" s="233" t="s">
        <v>7778</v>
      </c>
      <c r="V152" s="172" t="s">
        <v>4803</v>
      </c>
    </row>
    <row r="153" spans="1:22">
      <c r="A153" s="233" t="s">
        <v>11780</v>
      </c>
      <c r="B153" s="233" t="s">
        <v>11781</v>
      </c>
      <c r="C153" s="408" t="s">
        <v>11782</v>
      </c>
      <c r="D153" s="408" t="s">
        <v>11783</v>
      </c>
      <c r="E153" s="233" t="s">
        <v>1732</v>
      </c>
      <c r="F153" s="233" t="s">
        <v>11784</v>
      </c>
      <c r="G153" s="233" t="s">
        <v>11751</v>
      </c>
      <c r="H153" s="408" t="s">
        <v>11785</v>
      </c>
      <c r="I153" s="409" t="s">
        <v>1736</v>
      </c>
      <c r="J153" s="409" t="s">
        <v>1736</v>
      </c>
      <c r="K153" s="410" t="s">
        <v>4913</v>
      </c>
      <c r="L153" s="409" t="s">
        <v>1737</v>
      </c>
      <c r="M153" s="409" t="s">
        <v>1737</v>
      </c>
      <c r="N153" s="233"/>
      <c r="O153" s="233" t="s">
        <v>7501</v>
      </c>
      <c r="P153" s="233" t="s">
        <v>11786</v>
      </c>
      <c r="Q153" s="233" t="s">
        <v>11778</v>
      </c>
      <c r="R153" s="233" t="s">
        <v>11787</v>
      </c>
      <c r="S153" s="233"/>
      <c r="T153" s="233"/>
      <c r="U153" s="233" t="s">
        <v>7778</v>
      </c>
      <c r="V153" s="172" t="s">
        <v>4803</v>
      </c>
    </row>
    <row r="154" spans="1:22">
      <c r="A154" s="233" t="s">
        <v>11788</v>
      </c>
      <c r="B154" s="233" t="s">
        <v>11789</v>
      </c>
      <c r="C154" s="408" t="s">
        <v>11790</v>
      </c>
      <c r="D154" s="408" t="s">
        <v>11791</v>
      </c>
      <c r="E154" s="233" t="s">
        <v>1732</v>
      </c>
      <c r="F154" s="233" t="s">
        <v>11792</v>
      </c>
      <c r="G154" s="233" t="s">
        <v>11751</v>
      </c>
      <c r="H154" s="408" t="s">
        <v>11793</v>
      </c>
      <c r="I154" s="409" t="s">
        <v>1736</v>
      </c>
      <c r="J154" s="409" t="s">
        <v>1736</v>
      </c>
      <c r="K154" s="410" t="s">
        <v>4913</v>
      </c>
      <c r="L154" s="409" t="s">
        <v>1737</v>
      </c>
      <c r="M154" s="409" t="s">
        <v>1737</v>
      </c>
      <c r="N154" s="233"/>
      <c r="O154" s="233" t="s">
        <v>7501</v>
      </c>
      <c r="P154" s="233" t="s">
        <v>11794</v>
      </c>
      <c r="Q154" s="233" t="s">
        <v>11778</v>
      </c>
      <c r="R154" s="233" t="s">
        <v>11795</v>
      </c>
      <c r="S154" s="233"/>
      <c r="T154" s="233"/>
      <c r="U154" s="233" t="s">
        <v>7778</v>
      </c>
      <c r="V154" s="172" t="s">
        <v>4803</v>
      </c>
    </row>
    <row r="155" spans="1:22">
      <c r="A155" s="233" t="s">
        <v>11796</v>
      </c>
      <c r="B155" s="233" t="s">
        <v>11797</v>
      </c>
      <c r="C155" s="408" t="s">
        <v>11798</v>
      </c>
      <c r="D155" s="408" t="s">
        <v>11799</v>
      </c>
      <c r="E155" s="233" t="s">
        <v>1732</v>
      </c>
      <c r="F155" s="233" t="s">
        <v>11800</v>
      </c>
      <c r="G155" s="233" t="s">
        <v>11751</v>
      </c>
      <c r="H155" s="408" t="s">
        <v>11801</v>
      </c>
      <c r="I155" s="409" t="s">
        <v>1736</v>
      </c>
      <c r="J155" s="409" t="s">
        <v>1736</v>
      </c>
      <c r="K155" s="410" t="s">
        <v>4913</v>
      </c>
      <c r="L155" s="409" t="s">
        <v>1737</v>
      </c>
      <c r="M155" s="409" t="s">
        <v>1737</v>
      </c>
      <c r="N155" s="233"/>
      <c r="O155" s="233" t="s">
        <v>7501</v>
      </c>
      <c r="P155" s="233" t="s">
        <v>11802</v>
      </c>
      <c r="Q155" s="233" t="s">
        <v>11778</v>
      </c>
      <c r="R155" s="233" t="s">
        <v>11803</v>
      </c>
      <c r="S155" s="233"/>
      <c r="T155" s="233"/>
      <c r="U155" s="233" t="s">
        <v>7778</v>
      </c>
      <c r="V155" s="172" t="s">
        <v>4803</v>
      </c>
    </row>
    <row r="156" spans="1:22">
      <c r="A156" s="233" t="s">
        <v>11804</v>
      </c>
      <c r="B156" s="233" t="s">
        <v>11805</v>
      </c>
      <c r="C156" s="408" t="s">
        <v>11089</v>
      </c>
      <c r="D156" s="408" t="s">
        <v>11806</v>
      </c>
      <c r="E156" s="233" t="s">
        <v>1732</v>
      </c>
      <c r="F156" s="233" t="s">
        <v>11091</v>
      </c>
      <c r="G156" s="233"/>
      <c r="H156" s="408" t="s">
        <v>11045</v>
      </c>
      <c r="I156" s="409" t="s">
        <v>1736</v>
      </c>
      <c r="J156" s="410" t="s">
        <v>4913</v>
      </c>
      <c r="K156" s="410" t="s">
        <v>4913</v>
      </c>
      <c r="L156" s="409" t="s">
        <v>1737</v>
      </c>
      <c r="M156" s="409" t="s">
        <v>1737</v>
      </c>
      <c r="N156" s="233"/>
      <c r="O156" s="233" t="s">
        <v>7415</v>
      </c>
      <c r="P156" s="233" t="s">
        <v>11807</v>
      </c>
      <c r="Q156" s="233" t="s">
        <v>11778</v>
      </c>
      <c r="R156" s="233" t="s">
        <v>11808</v>
      </c>
      <c r="S156" s="233"/>
      <c r="T156" s="233"/>
      <c r="U156" s="233" t="s">
        <v>7778</v>
      </c>
      <c r="V156" s="172" t="s">
        <v>4803</v>
      </c>
    </row>
    <row r="157" spans="1:22">
      <c r="A157" s="233" t="s">
        <v>11809</v>
      </c>
      <c r="B157" s="233" t="s">
        <v>11810</v>
      </c>
      <c r="C157" s="408" t="s">
        <v>11811</v>
      </c>
      <c r="D157" s="408" t="s">
        <v>11811</v>
      </c>
      <c r="E157" s="233" t="s">
        <v>1732</v>
      </c>
      <c r="F157" s="233" t="s">
        <v>11812</v>
      </c>
      <c r="G157" s="233"/>
      <c r="H157" s="408" t="s">
        <v>11813</v>
      </c>
      <c r="I157" s="409" t="s">
        <v>1736</v>
      </c>
      <c r="J157" s="410" t="s">
        <v>4913</v>
      </c>
      <c r="K157" s="410" t="s">
        <v>4913</v>
      </c>
      <c r="L157" s="409" t="s">
        <v>1737</v>
      </c>
      <c r="M157" s="409" t="s">
        <v>1737</v>
      </c>
      <c r="N157" s="233"/>
      <c r="O157" s="233" t="s">
        <v>11561</v>
      </c>
      <c r="P157" s="233" t="s">
        <v>11814</v>
      </c>
      <c r="Q157" s="233" t="s">
        <v>11778</v>
      </c>
      <c r="R157" s="233" t="s">
        <v>11815</v>
      </c>
      <c r="S157" s="233"/>
      <c r="T157" s="233"/>
      <c r="U157" s="233" t="s">
        <v>7778</v>
      </c>
      <c r="V157" s="172" t="s">
        <v>4803</v>
      </c>
    </row>
    <row r="158" spans="1:22">
      <c r="A158" s="233" t="s">
        <v>11816</v>
      </c>
      <c r="B158" s="233" t="s">
        <v>11817</v>
      </c>
      <c r="C158" s="408" t="s">
        <v>11749</v>
      </c>
      <c r="D158" s="408" t="s">
        <v>11818</v>
      </c>
      <c r="E158" s="233" t="s">
        <v>1732</v>
      </c>
      <c r="F158" s="233" t="s">
        <v>11640</v>
      </c>
      <c r="G158" s="233" t="s">
        <v>11819</v>
      </c>
      <c r="H158" s="408" t="s">
        <v>11752</v>
      </c>
      <c r="I158" s="409" t="s">
        <v>1736</v>
      </c>
      <c r="J158" s="409" t="s">
        <v>1736</v>
      </c>
      <c r="K158" s="410" t="s">
        <v>4913</v>
      </c>
      <c r="L158" s="409" t="s">
        <v>1737</v>
      </c>
      <c r="M158" s="409" t="s">
        <v>1737</v>
      </c>
      <c r="N158" s="233"/>
      <c r="O158" s="233" t="s">
        <v>11561</v>
      </c>
      <c r="P158" s="233" t="s">
        <v>11820</v>
      </c>
      <c r="Q158" s="233" t="s">
        <v>11778</v>
      </c>
      <c r="R158" s="233" t="s">
        <v>11821</v>
      </c>
      <c r="S158" s="233"/>
      <c r="T158" s="233"/>
      <c r="U158" s="233" t="s">
        <v>7778</v>
      </c>
      <c r="V158" s="172" t="s">
        <v>4803</v>
      </c>
    </row>
    <row r="159" spans="1:22">
      <c r="A159" s="233" t="s">
        <v>11822</v>
      </c>
      <c r="B159" s="233" t="s">
        <v>11823</v>
      </c>
      <c r="C159" s="408" t="s">
        <v>11042</v>
      </c>
      <c r="D159" s="408" t="s">
        <v>11824</v>
      </c>
      <c r="E159" s="233" t="s">
        <v>1732</v>
      </c>
      <c r="F159" s="233" t="s">
        <v>11044</v>
      </c>
      <c r="G159" s="233"/>
      <c r="H159" s="408" t="s">
        <v>11045</v>
      </c>
      <c r="I159" s="409" t="s">
        <v>1736</v>
      </c>
      <c r="J159" s="410" t="s">
        <v>4913</v>
      </c>
      <c r="K159" s="410" t="s">
        <v>4913</v>
      </c>
      <c r="L159" s="409" t="s">
        <v>1737</v>
      </c>
      <c r="M159" s="409" t="s">
        <v>1737</v>
      </c>
      <c r="N159" s="233"/>
      <c r="O159" s="233" t="s">
        <v>11561</v>
      </c>
      <c r="P159" s="233" t="s">
        <v>11825</v>
      </c>
      <c r="Q159" s="233" t="s">
        <v>11778</v>
      </c>
      <c r="R159" s="233" t="s">
        <v>11826</v>
      </c>
      <c r="S159" s="233"/>
      <c r="T159" s="233"/>
      <c r="U159" s="233" t="s">
        <v>7778</v>
      </c>
      <c r="V159" s="172" t="s">
        <v>4803</v>
      </c>
    </row>
    <row r="160" spans="1:22">
      <c r="A160" s="233" t="s">
        <v>11827</v>
      </c>
      <c r="B160" s="233" t="s">
        <v>11828</v>
      </c>
      <c r="C160" s="408" t="s">
        <v>11050</v>
      </c>
      <c r="D160" s="408" t="s">
        <v>11829</v>
      </c>
      <c r="E160" s="233" t="s">
        <v>1732</v>
      </c>
      <c r="F160" s="233" t="s">
        <v>11052</v>
      </c>
      <c r="G160" s="233"/>
      <c r="H160" s="408" t="s">
        <v>11053</v>
      </c>
      <c r="I160" s="409" t="s">
        <v>1736</v>
      </c>
      <c r="J160" s="410" t="s">
        <v>4913</v>
      </c>
      <c r="K160" s="410" t="s">
        <v>4913</v>
      </c>
      <c r="L160" s="409" t="s">
        <v>1737</v>
      </c>
      <c r="M160" s="409" t="s">
        <v>1737</v>
      </c>
      <c r="N160" s="233"/>
      <c r="O160" s="233" t="s">
        <v>11577</v>
      </c>
      <c r="P160" s="233" t="s">
        <v>11830</v>
      </c>
      <c r="Q160" s="233" t="s">
        <v>11778</v>
      </c>
      <c r="R160" s="233" t="s">
        <v>11831</v>
      </c>
      <c r="S160" s="233"/>
      <c r="T160" s="233"/>
      <c r="U160" s="233" t="s">
        <v>7778</v>
      </c>
      <c r="V160" s="172" t="s">
        <v>4803</v>
      </c>
    </row>
    <row r="161" spans="1:22">
      <c r="A161" s="233" t="s">
        <v>11832</v>
      </c>
      <c r="B161" s="233" t="s">
        <v>11833</v>
      </c>
      <c r="C161" s="408" t="s">
        <v>11058</v>
      </c>
      <c r="D161" s="408" t="s">
        <v>11834</v>
      </c>
      <c r="E161" s="233" t="s">
        <v>1732</v>
      </c>
      <c r="F161" s="233" t="s">
        <v>11835</v>
      </c>
      <c r="G161" s="233"/>
      <c r="H161" s="408" t="s">
        <v>11061</v>
      </c>
      <c r="I161" s="409" t="s">
        <v>1736</v>
      </c>
      <c r="J161" s="410" t="s">
        <v>4913</v>
      </c>
      <c r="K161" s="410" t="s">
        <v>4913</v>
      </c>
      <c r="L161" s="409" t="s">
        <v>1737</v>
      </c>
      <c r="M161" s="409" t="s">
        <v>1737</v>
      </c>
      <c r="N161" s="233"/>
      <c r="O161" s="233" t="s">
        <v>11577</v>
      </c>
      <c r="P161" s="233" t="s">
        <v>11836</v>
      </c>
      <c r="Q161" s="233" t="s">
        <v>11778</v>
      </c>
      <c r="R161" s="233" t="s">
        <v>11837</v>
      </c>
      <c r="S161" s="233"/>
      <c r="T161" s="233"/>
      <c r="U161" s="233" t="s">
        <v>7778</v>
      </c>
      <c r="V161" s="172" t="s">
        <v>4803</v>
      </c>
    </row>
    <row r="162" spans="1:22">
      <c r="A162" s="233" t="s">
        <v>11838</v>
      </c>
      <c r="B162" s="233" t="s">
        <v>11839</v>
      </c>
      <c r="C162" s="408" t="s">
        <v>11840</v>
      </c>
      <c r="D162" s="408" t="s">
        <v>11841</v>
      </c>
      <c r="E162" s="233" t="s">
        <v>1732</v>
      </c>
      <c r="F162" s="233" t="s">
        <v>11842</v>
      </c>
      <c r="G162" s="233" t="s">
        <v>11819</v>
      </c>
      <c r="H162" s="408" t="s">
        <v>11843</v>
      </c>
      <c r="I162" s="409" t="s">
        <v>1736</v>
      </c>
      <c r="J162" s="409" t="s">
        <v>1736</v>
      </c>
      <c r="K162" s="410" t="s">
        <v>4913</v>
      </c>
      <c r="L162" s="409" t="s">
        <v>1737</v>
      </c>
      <c r="M162" s="409" t="s">
        <v>1737</v>
      </c>
      <c r="N162" s="233"/>
      <c r="O162" s="233" t="s">
        <v>11577</v>
      </c>
      <c r="P162" s="233" t="s">
        <v>11844</v>
      </c>
      <c r="Q162" s="233" t="s">
        <v>11738</v>
      </c>
      <c r="R162" s="233" t="s">
        <v>11845</v>
      </c>
      <c r="S162" s="233"/>
      <c r="T162" s="233"/>
      <c r="U162" s="233" t="s">
        <v>7778</v>
      </c>
      <c r="V162" s="172" t="s">
        <v>4803</v>
      </c>
    </row>
    <row r="163" spans="1:22">
      <c r="A163" s="233" t="s">
        <v>11846</v>
      </c>
      <c r="B163" s="233" t="s">
        <v>11847</v>
      </c>
      <c r="C163" s="408" t="s">
        <v>11848</v>
      </c>
      <c r="D163" s="408" t="s">
        <v>11849</v>
      </c>
      <c r="E163" s="233" t="s">
        <v>1732</v>
      </c>
      <c r="F163" s="233" t="s">
        <v>11850</v>
      </c>
      <c r="G163" s="233" t="s">
        <v>11819</v>
      </c>
      <c r="H163" s="408" t="s">
        <v>11851</v>
      </c>
      <c r="I163" s="409" t="s">
        <v>1736</v>
      </c>
      <c r="J163" s="409" t="s">
        <v>1736</v>
      </c>
      <c r="K163" s="410" t="s">
        <v>4913</v>
      </c>
      <c r="L163" s="409" t="s">
        <v>1737</v>
      </c>
      <c r="M163" s="409" t="s">
        <v>1737</v>
      </c>
      <c r="N163" s="233"/>
      <c r="O163" s="233" t="s">
        <v>8198</v>
      </c>
      <c r="P163" s="233" t="s">
        <v>11852</v>
      </c>
      <c r="Q163" s="233" t="s">
        <v>11738</v>
      </c>
      <c r="R163" s="233" t="s">
        <v>11853</v>
      </c>
      <c r="S163" s="233"/>
      <c r="T163" s="233"/>
      <c r="U163" s="233" t="s">
        <v>7778</v>
      </c>
      <c r="V163" s="172" t="s">
        <v>4803</v>
      </c>
    </row>
    <row r="164" spans="1:22">
      <c r="A164" s="233" t="s">
        <v>11854</v>
      </c>
      <c r="B164" s="233" t="s">
        <v>11855</v>
      </c>
      <c r="C164" s="408" t="s">
        <v>11856</v>
      </c>
      <c r="D164" s="408" t="s">
        <v>11857</v>
      </c>
      <c r="E164" s="233" t="s">
        <v>1732</v>
      </c>
      <c r="F164" s="233" t="s">
        <v>11858</v>
      </c>
      <c r="G164" s="233" t="s">
        <v>11819</v>
      </c>
      <c r="H164" s="408" t="s">
        <v>11859</v>
      </c>
      <c r="I164" s="409" t="s">
        <v>1736</v>
      </c>
      <c r="J164" s="409" t="s">
        <v>1736</v>
      </c>
      <c r="K164" s="410" t="s">
        <v>4913</v>
      </c>
      <c r="L164" s="409" t="s">
        <v>1737</v>
      </c>
      <c r="M164" s="409" t="s">
        <v>1737</v>
      </c>
      <c r="N164" s="233"/>
      <c r="O164" s="233" t="s">
        <v>8198</v>
      </c>
      <c r="P164" s="233" t="s">
        <v>11860</v>
      </c>
      <c r="Q164" s="233" t="s">
        <v>11738</v>
      </c>
      <c r="R164" s="233" t="s">
        <v>11861</v>
      </c>
      <c r="S164" s="233"/>
      <c r="T164" s="233"/>
      <c r="U164" s="233" t="s">
        <v>7778</v>
      </c>
      <c r="V164" s="172" t="s">
        <v>4803</v>
      </c>
    </row>
    <row r="165" spans="1:22">
      <c r="A165" s="233" t="s">
        <v>11862</v>
      </c>
      <c r="B165" s="233" t="s">
        <v>11863</v>
      </c>
      <c r="C165" s="408" t="s">
        <v>11864</v>
      </c>
      <c r="D165" s="408" t="s">
        <v>11865</v>
      </c>
      <c r="E165" s="233" t="s">
        <v>1732</v>
      </c>
      <c r="F165" s="233" t="s">
        <v>11866</v>
      </c>
      <c r="G165" s="233" t="s">
        <v>11819</v>
      </c>
      <c r="H165" s="408" t="s">
        <v>11867</v>
      </c>
      <c r="I165" s="409" t="s">
        <v>1736</v>
      </c>
      <c r="J165" s="409" t="s">
        <v>1736</v>
      </c>
      <c r="K165" s="410" t="s">
        <v>4913</v>
      </c>
      <c r="L165" s="409" t="s">
        <v>1737</v>
      </c>
      <c r="M165" s="409" t="s">
        <v>1737</v>
      </c>
      <c r="N165" s="233"/>
      <c r="O165" s="233" t="s">
        <v>8198</v>
      </c>
      <c r="P165" s="233" t="s">
        <v>11868</v>
      </c>
      <c r="Q165" s="233" t="s">
        <v>11738</v>
      </c>
      <c r="R165" s="233" t="s">
        <v>11869</v>
      </c>
      <c r="S165" s="233"/>
      <c r="T165" s="233"/>
      <c r="U165" s="233" t="s">
        <v>7778</v>
      </c>
      <c r="V165" s="172" t="s">
        <v>4803</v>
      </c>
    </row>
    <row r="166" spans="1:22">
      <c r="A166" s="233" t="s">
        <v>11870</v>
      </c>
      <c r="B166" s="233" t="s">
        <v>11871</v>
      </c>
      <c r="C166" s="408" t="s">
        <v>11089</v>
      </c>
      <c r="D166" s="408" t="s">
        <v>11872</v>
      </c>
      <c r="E166" s="233" t="s">
        <v>1732</v>
      </c>
      <c r="F166" s="233" t="s">
        <v>11091</v>
      </c>
      <c r="G166" s="233"/>
      <c r="H166" s="408" t="s">
        <v>11045</v>
      </c>
      <c r="I166" s="409" t="s">
        <v>1736</v>
      </c>
      <c r="J166" s="410" t="s">
        <v>4913</v>
      </c>
      <c r="K166" s="410" t="s">
        <v>4913</v>
      </c>
      <c r="L166" s="409" t="s">
        <v>1737</v>
      </c>
      <c r="M166" s="409" t="s">
        <v>1737</v>
      </c>
      <c r="N166" s="233"/>
      <c r="O166" s="233" t="s">
        <v>8221</v>
      </c>
      <c r="P166" s="233" t="s">
        <v>11873</v>
      </c>
      <c r="Q166" s="233" t="s">
        <v>11738</v>
      </c>
      <c r="R166" s="233" t="s">
        <v>11874</v>
      </c>
      <c r="S166" s="233"/>
      <c r="T166" s="233"/>
      <c r="U166" s="233" t="s">
        <v>7778</v>
      </c>
      <c r="V166" s="172" t="s">
        <v>4803</v>
      </c>
    </row>
    <row r="167" spans="1:22">
      <c r="A167" s="233" t="s">
        <v>11875</v>
      </c>
      <c r="B167" s="233" t="s">
        <v>11876</v>
      </c>
      <c r="C167" s="408" t="s">
        <v>11877</v>
      </c>
      <c r="D167" s="408" t="s">
        <v>11878</v>
      </c>
      <c r="E167" s="233" t="s">
        <v>1732</v>
      </c>
      <c r="F167" s="233" t="s">
        <v>11879</v>
      </c>
      <c r="G167" s="233" t="s">
        <v>11880</v>
      </c>
      <c r="H167" s="408" t="s">
        <v>11881</v>
      </c>
      <c r="I167" s="409" t="s">
        <v>1736</v>
      </c>
      <c r="J167" s="409" t="s">
        <v>1736</v>
      </c>
      <c r="K167" s="410" t="s">
        <v>4913</v>
      </c>
      <c r="L167" s="409" t="s">
        <v>1737</v>
      </c>
      <c r="M167" s="409" t="s">
        <v>1737</v>
      </c>
      <c r="N167" s="233"/>
      <c r="O167" s="233" t="s">
        <v>8221</v>
      </c>
      <c r="P167" s="233" t="s">
        <v>11882</v>
      </c>
      <c r="Q167" s="233" t="s">
        <v>11738</v>
      </c>
      <c r="R167" s="233" t="s">
        <v>11883</v>
      </c>
      <c r="S167" s="233"/>
      <c r="T167" s="233"/>
      <c r="U167" s="233" t="s">
        <v>7778</v>
      </c>
      <c r="V167" s="172" t="s">
        <v>4803</v>
      </c>
    </row>
    <row r="168" spans="1:22">
      <c r="A168" s="233" t="s">
        <v>11884</v>
      </c>
      <c r="B168" s="233" t="s">
        <v>11885</v>
      </c>
      <c r="C168" s="408" t="s">
        <v>11886</v>
      </c>
      <c r="D168" s="408" t="s">
        <v>11887</v>
      </c>
      <c r="E168" s="233" t="s">
        <v>1732</v>
      </c>
      <c r="F168" s="233" t="s">
        <v>11888</v>
      </c>
      <c r="G168" s="233" t="s">
        <v>11880</v>
      </c>
      <c r="H168" s="408" t="s">
        <v>11889</v>
      </c>
      <c r="I168" s="409" t="s">
        <v>1736</v>
      </c>
      <c r="J168" s="409" t="s">
        <v>1736</v>
      </c>
      <c r="K168" s="410" t="s">
        <v>4913</v>
      </c>
      <c r="L168" s="409" t="s">
        <v>1737</v>
      </c>
      <c r="M168" s="409" t="s">
        <v>1737</v>
      </c>
      <c r="N168" s="233"/>
      <c r="O168" s="233" t="s">
        <v>8221</v>
      </c>
      <c r="P168" s="233" t="s">
        <v>11890</v>
      </c>
      <c r="Q168" s="233" t="s">
        <v>11738</v>
      </c>
      <c r="R168" s="233" t="s">
        <v>11891</v>
      </c>
      <c r="S168" s="233"/>
      <c r="T168" s="233"/>
      <c r="U168" s="233" t="s">
        <v>7778</v>
      </c>
      <c r="V168" s="172" t="s">
        <v>4803</v>
      </c>
    </row>
    <row r="169" spans="1:22">
      <c r="A169" s="233" t="s">
        <v>11892</v>
      </c>
      <c r="B169" s="233" t="s">
        <v>11893</v>
      </c>
      <c r="C169" s="408" t="s">
        <v>10838</v>
      </c>
      <c r="D169" s="408" t="s">
        <v>11894</v>
      </c>
      <c r="E169" s="233" t="s">
        <v>1732</v>
      </c>
      <c r="F169" s="233" t="s">
        <v>11895</v>
      </c>
      <c r="G169" s="233"/>
      <c r="H169" s="408" t="s">
        <v>10840</v>
      </c>
      <c r="I169" s="409" t="s">
        <v>1736</v>
      </c>
      <c r="J169" s="410" t="s">
        <v>4913</v>
      </c>
      <c r="K169" s="410" t="s">
        <v>4913</v>
      </c>
      <c r="L169" s="409" t="s">
        <v>1737</v>
      </c>
      <c r="M169" s="409" t="s">
        <v>1737</v>
      </c>
      <c r="N169" s="233"/>
      <c r="O169" s="233" t="s">
        <v>8221</v>
      </c>
      <c r="P169" s="233" t="s">
        <v>11896</v>
      </c>
      <c r="Q169" s="233" t="s">
        <v>11738</v>
      </c>
      <c r="R169" s="233" t="s">
        <v>11897</v>
      </c>
      <c r="S169" s="233"/>
      <c r="T169" s="233"/>
      <c r="U169" s="233" t="s">
        <v>7778</v>
      </c>
      <c r="V169" s="172" t="s">
        <v>4803</v>
      </c>
    </row>
    <row r="170" spans="1:22">
      <c r="A170" s="233" t="s">
        <v>11898</v>
      </c>
      <c r="B170" s="233" t="s">
        <v>11899</v>
      </c>
      <c r="C170" s="408" t="s">
        <v>11900</v>
      </c>
      <c r="D170" s="408" t="s">
        <v>11901</v>
      </c>
      <c r="E170" s="233" t="s">
        <v>1732</v>
      </c>
      <c r="F170" s="233" t="s">
        <v>11902</v>
      </c>
      <c r="G170" s="233"/>
      <c r="H170" s="408" t="s">
        <v>11903</v>
      </c>
      <c r="I170" s="409" t="s">
        <v>1736</v>
      </c>
      <c r="J170" s="410" t="s">
        <v>4913</v>
      </c>
      <c r="K170" s="410" t="s">
        <v>4913</v>
      </c>
      <c r="L170" s="409" t="s">
        <v>1737</v>
      </c>
      <c r="M170" s="409" t="s">
        <v>1737</v>
      </c>
      <c r="N170" s="233"/>
      <c r="O170" s="233" t="s">
        <v>8221</v>
      </c>
      <c r="P170" s="233" t="s">
        <v>11904</v>
      </c>
      <c r="Q170" s="233" t="s">
        <v>11738</v>
      </c>
      <c r="R170" s="233" t="s">
        <v>11905</v>
      </c>
      <c r="S170" s="233"/>
      <c r="T170" s="233"/>
      <c r="U170" s="233" t="s">
        <v>7778</v>
      </c>
      <c r="V170" s="172" t="s">
        <v>4803</v>
      </c>
    </row>
    <row r="171" spans="1:22">
      <c r="A171" s="216"/>
      <c r="B171" s="216"/>
      <c r="C171" s="216"/>
      <c r="D171" s="216"/>
      <c r="E171" s="216"/>
      <c r="F171" s="216"/>
      <c r="G171" s="216"/>
      <c r="H171" s="216"/>
      <c r="I171" s="216"/>
      <c r="J171" s="216"/>
      <c r="K171" s="216"/>
      <c r="L171" s="207"/>
      <c r="M171" s="207"/>
      <c r="N171" s="216"/>
      <c r="O171" s="216"/>
      <c r="P171" s="216"/>
      <c r="Q171" s="216"/>
      <c r="R171" s="216"/>
      <c r="S171" s="216"/>
      <c r="T171" s="216"/>
      <c r="U171" s="216"/>
      <c r="V171" s="216"/>
    </row>
    <row r="172" spans="1:22">
      <c r="A172" s="216"/>
      <c r="B172" s="216"/>
      <c r="C172" s="216"/>
      <c r="D172" s="216"/>
      <c r="E172" s="415" t="s">
        <v>11906</v>
      </c>
      <c r="F172" s="754">
        <v>1</v>
      </c>
      <c r="G172" s="769"/>
      <c r="H172" s="216"/>
      <c r="I172" s="755" t="s">
        <v>3689</v>
      </c>
      <c r="J172" s="775"/>
      <c r="K172" s="775"/>
      <c r="L172" s="770"/>
      <c r="M172" s="207"/>
      <c r="N172" s="216"/>
      <c r="O172" s="216"/>
      <c r="P172" s="216"/>
      <c r="Q172" s="216"/>
      <c r="R172" s="216"/>
      <c r="S172" s="216"/>
      <c r="T172" s="216"/>
      <c r="U172" s="216"/>
      <c r="V172" s="216"/>
    </row>
    <row r="173" spans="1:22">
      <c r="A173" s="216"/>
      <c r="B173" s="329"/>
      <c r="C173" s="111" t="s">
        <v>3688</v>
      </c>
      <c r="D173" s="216"/>
      <c r="E173" s="416" t="s">
        <v>9167</v>
      </c>
      <c r="F173" s="722">
        <v>168</v>
      </c>
      <c r="G173" s="769"/>
      <c r="H173" s="216"/>
      <c r="I173" s="417" t="s">
        <v>8376</v>
      </c>
      <c r="J173" s="418">
        <v>35</v>
      </c>
      <c r="K173" s="752" t="s">
        <v>533</v>
      </c>
      <c r="L173" s="753">
        <f>SUM(J173:J174)</f>
        <v>65</v>
      </c>
      <c r="M173" s="207"/>
      <c r="N173" s="216"/>
      <c r="O173" s="216"/>
      <c r="P173" s="216"/>
      <c r="Q173" s="216"/>
      <c r="R173" s="216"/>
      <c r="S173" s="216"/>
      <c r="T173" s="216"/>
      <c r="U173" s="216"/>
      <c r="V173" s="216"/>
    </row>
    <row r="174" spans="1:22">
      <c r="A174" s="216"/>
      <c r="B174" s="331"/>
      <c r="C174" s="111" t="s">
        <v>3691</v>
      </c>
      <c r="D174" s="216"/>
      <c r="E174" s="333" t="s">
        <v>9168</v>
      </c>
      <c r="F174" s="333">
        <f>COUNTIF($L$3:$L$170,"DONE")</f>
        <v>167</v>
      </c>
      <c r="G174" s="334">
        <f>F174/F173</f>
        <v>0.99404761904761907</v>
      </c>
      <c r="H174" s="216"/>
      <c r="I174" s="417" t="s">
        <v>8432</v>
      </c>
      <c r="J174" s="418">
        <v>30</v>
      </c>
      <c r="K174" s="773"/>
      <c r="L174" s="773"/>
      <c r="M174" s="207"/>
      <c r="N174" s="216"/>
      <c r="O174" s="216"/>
      <c r="P174" s="216"/>
      <c r="Q174" s="216"/>
      <c r="R174" s="216"/>
      <c r="S174" s="216"/>
      <c r="T174" s="216"/>
      <c r="U174" s="216"/>
      <c r="V174" s="216"/>
    </row>
    <row r="175" spans="1:22">
      <c r="A175" s="216"/>
      <c r="B175" s="335"/>
      <c r="C175" s="111" t="s">
        <v>3692</v>
      </c>
      <c r="D175" s="216"/>
      <c r="E175" s="419" t="s">
        <v>9169</v>
      </c>
      <c r="F175" s="337">
        <f>COUNTIF($L$3:$L$170,"In Progress")</f>
        <v>0</v>
      </c>
      <c r="G175" s="338">
        <f t="shared" ref="G175:G176" si="0">F175/$F$173</f>
        <v>0</v>
      </c>
      <c r="H175" s="216"/>
      <c r="I175" s="417" t="s">
        <v>8228</v>
      </c>
      <c r="J175" s="418">
        <v>62</v>
      </c>
      <c r="K175" s="752" t="s">
        <v>534</v>
      </c>
      <c r="L175" s="753">
        <f>SUM(J175:J176)</f>
        <v>102</v>
      </c>
      <c r="M175" s="207"/>
      <c r="N175" s="216"/>
      <c r="O175" s="216"/>
      <c r="P175" s="216"/>
      <c r="Q175" s="216"/>
      <c r="R175" s="216"/>
      <c r="S175" s="216"/>
      <c r="T175" s="216"/>
      <c r="U175" s="216"/>
      <c r="V175" s="216"/>
    </row>
    <row r="176" spans="1:22">
      <c r="A176" s="216"/>
      <c r="B176" s="339"/>
      <c r="C176" s="111" t="s">
        <v>3693</v>
      </c>
      <c r="D176" s="216"/>
      <c r="E176" s="420" t="s">
        <v>9170</v>
      </c>
      <c r="F176" s="341">
        <f>COUNTIF($L$3:$L$170,"Pending")</f>
        <v>0</v>
      </c>
      <c r="G176" s="342">
        <f t="shared" si="0"/>
        <v>0</v>
      </c>
      <c r="H176" s="216"/>
      <c r="I176" s="417" t="s">
        <v>7778</v>
      </c>
      <c r="J176" s="418">
        <v>40</v>
      </c>
      <c r="K176" s="773"/>
      <c r="L176" s="773"/>
      <c r="M176" s="207"/>
      <c r="N176" s="216"/>
      <c r="O176" s="216"/>
      <c r="P176" s="216"/>
      <c r="Q176" s="216"/>
      <c r="R176" s="216"/>
      <c r="S176" s="216"/>
      <c r="T176" s="216"/>
      <c r="U176" s="216"/>
      <c r="V176" s="216"/>
    </row>
    <row r="177" spans="1:22">
      <c r="A177" s="216"/>
      <c r="B177" s="343"/>
      <c r="C177" s="111" t="s">
        <v>3694</v>
      </c>
      <c r="D177" s="216"/>
      <c r="E177" s="345" t="s">
        <v>9171</v>
      </c>
      <c r="F177" s="345">
        <f>COUNTIF($L$3:$L$170,"")</f>
        <v>0</v>
      </c>
      <c r="G177" s="564"/>
      <c r="H177" s="216"/>
      <c r="I177" s="3"/>
      <c r="J177" s="421"/>
      <c r="K177" s="216"/>
      <c r="L177" s="207"/>
      <c r="M177" s="207"/>
      <c r="N177" s="216"/>
      <c r="O177" s="216"/>
      <c r="P177" s="216"/>
      <c r="Q177" s="216"/>
      <c r="R177" s="216"/>
      <c r="S177" s="216"/>
      <c r="T177" s="216"/>
      <c r="U177" s="216"/>
      <c r="V177" s="216"/>
    </row>
    <row r="178" spans="1:22">
      <c r="A178" s="216"/>
      <c r="B178" s="216"/>
      <c r="C178" s="216"/>
      <c r="D178" s="216"/>
      <c r="E178" s="345" t="s">
        <v>9172</v>
      </c>
      <c r="F178" s="347">
        <f>($F$173-$F$177)</f>
        <v>168</v>
      </c>
      <c r="G178" s="555"/>
      <c r="H178" s="216"/>
      <c r="I178" s="3"/>
      <c r="J178" s="421"/>
      <c r="K178" s="216"/>
      <c r="L178" s="207"/>
      <c r="M178" s="207"/>
      <c r="N178" s="216"/>
      <c r="O178" s="216"/>
      <c r="P178" s="216"/>
      <c r="Q178" s="216"/>
      <c r="R178" s="216"/>
      <c r="S178" s="216"/>
      <c r="T178" s="216"/>
      <c r="U178" s="216"/>
      <c r="V178" s="216"/>
    </row>
    <row r="179" spans="1:22">
      <c r="A179" s="216"/>
      <c r="B179" s="216"/>
      <c r="C179" s="216"/>
      <c r="D179" s="216"/>
      <c r="E179" s="4"/>
      <c r="F179" s="4"/>
      <c r="G179" s="4"/>
      <c r="H179" s="216"/>
      <c r="I179" s="3"/>
      <c r="J179" s="421"/>
      <c r="K179" s="216"/>
      <c r="L179" s="207"/>
      <c r="M179" s="207"/>
      <c r="N179" s="216"/>
      <c r="O179" s="216"/>
      <c r="P179" s="216"/>
      <c r="Q179" s="216"/>
      <c r="R179" s="216"/>
      <c r="S179" s="216"/>
      <c r="T179" s="216"/>
      <c r="U179" s="216"/>
      <c r="V179" s="216"/>
    </row>
    <row r="180" spans="1:22">
      <c r="A180" s="216"/>
      <c r="B180" s="216"/>
      <c r="C180" s="216"/>
      <c r="D180" s="216"/>
      <c r="E180" s="416" t="s">
        <v>9173</v>
      </c>
      <c r="F180" s="722">
        <v>168</v>
      </c>
      <c r="G180" s="769"/>
      <c r="H180" s="216"/>
      <c r="I180" s="216"/>
      <c r="J180" s="422"/>
      <c r="K180" s="216"/>
      <c r="L180" s="207"/>
      <c r="M180" s="207"/>
      <c r="N180" s="216"/>
      <c r="O180" s="216"/>
      <c r="P180" s="216"/>
      <c r="Q180" s="216"/>
      <c r="R180" s="216"/>
      <c r="S180" s="216"/>
      <c r="T180" s="216"/>
      <c r="U180" s="216"/>
      <c r="V180" s="216"/>
    </row>
    <row r="181" spans="1:22">
      <c r="A181" s="216"/>
      <c r="B181" s="216"/>
      <c r="C181" s="216"/>
      <c r="D181" s="216"/>
      <c r="E181" s="333" t="s">
        <v>9174</v>
      </c>
      <c r="F181" s="333">
        <f>COUNTIF($M$3:$M$170,"DONE")</f>
        <v>167</v>
      </c>
      <c r="G181" s="334">
        <f t="shared" ref="G181:G183" si="1">F181/$F$173</f>
        <v>0.99404761904761907</v>
      </c>
      <c r="H181" s="216"/>
      <c r="I181" s="216"/>
      <c r="J181" s="216"/>
      <c r="K181" s="216"/>
      <c r="L181" s="207"/>
      <c r="M181" s="207"/>
      <c r="N181" s="216"/>
      <c r="O181" s="216"/>
      <c r="P181" s="216"/>
      <c r="Q181" s="216"/>
      <c r="R181" s="216"/>
      <c r="S181" s="216"/>
      <c r="T181" s="216"/>
      <c r="U181" s="216"/>
      <c r="V181" s="216"/>
    </row>
    <row r="182" spans="1:22">
      <c r="A182" s="216"/>
      <c r="B182" s="216"/>
      <c r="C182" s="216"/>
      <c r="D182" s="216"/>
      <c r="E182" s="419" t="s">
        <v>9175</v>
      </c>
      <c r="F182" s="337">
        <f>COUNTIF($M$3:$M$170,"In Progress")</f>
        <v>0</v>
      </c>
      <c r="G182" s="338">
        <f t="shared" si="1"/>
        <v>0</v>
      </c>
      <c r="H182" s="216"/>
      <c r="I182" s="216"/>
      <c r="J182" s="216"/>
      <c r="K182" s="216"/>
      <c r="L182" s="207"/>
      <c r="M182" s="207"/>
      <c r="N182" s="216"/>
      <c r="O182" s="216"/>
      <c r="P182" s="216"/>
      <c r="Q182" s="216"/>
      <c r="R182" s="216"/>
      <c r="S182" s="216"/>
      <c r="T182" s="216"/>
      <c r="U182" s="216"/>
      <c r="V182" s="216"/>
    </row>
    <row r="183" spans="1:22">
      <c r="A183" s="216"/>
      <c r="B183" s="216"/>
      <c r="C183" s="216"/>
      <c r="D183" s="216"/>
      <c r="E183" s="420" t="s">
        <v>9176</v>
      </c>
      <c r="F183" s="341">
        <f>COUNTIF($M$3:$M$170,"Pending")</f>
        <v>0</v>
      </c>
      <c r="G183" s="342">
        <f t="shared" si="1"/>
        <v>0</v>
      </c>
      <c r="H183" s="216"/>
      <c r="I183" s="216"/>
      <c r="J183" s="216"/>
      <c r="K183" s="216"/>
      <c r="L183" s="207"/>
      <c r="M183" s="207"/>
      <c r="N183" s="216"/>
      <c r="O183" s="216"/>
      <c r="P183" s="216"/>
      <c r="Q183" s="216"/>
      <c r="R183" s="216"/>
      <c r="S183" s="216"/>
      <c r="T183" s="216"/>
      <c r="U183" s="216"/>
      <c r="V183" s="216"/>
    </row>
    <row r="184" spans="1:22">
      <c r="A184" s="216"/>
      <c r="B184" s="216"/>
      <c r="C184" s="216"/>
      <c r="D184" s="216"/>
      <c r="E184" s="345" t="s">
        <v>9177</v>
      </c>
      <c r="F184" s="347" t="s">
        <v>11907</v>
      </c>
      <c r="G184" s="555"/>
      <c r="H184" s="216"/>
      <c r="I184" s="216"/>
      <c r="J184" s="216"/>
      <c r="K184" s="216"/>
      <c r="L184" s="207"/>
      <c r="M184" s="207"/>
      <c r="N184" s="216"/>
      <c r="O184" s="216"/>
      <c r="P184" s="216"/>
      <c r="Q184" s="216"/>
      <c r="R184" s="216"/>
      <c r="S184" s="216"/>
      <c r="T184" s="216"/>
      <c r="U184" s="216"/>
      <c r="V184" s="216"/>
    </row>
    <row r="185" spans="1:22">
      <c r="A185" s="216"/>
      <c r="B185" s="216"/>
      <c r="C185" s="216"/>
      <c r="D185" s="216"/>
      <c r="E185" s="216"/>
      <c r="F185" s="216"/>
      <c r="G185" s="216"/>
      <c r="H185" s="216"/>
      <c r="I185" s="216"/>
      <c r="J185" s="216"/>
      <c r="K185" s="216"/>
      <c r="L185" s="207"/>
      <c r="M185" s="207"/>
      <c r="N185" s="216"/>
      <c r="O185" s="216"/>
      <c r="P185" s="216"/>
      <c r="Q185" s="216"/>
      <c r="R185" s="216"/>
      <c r="S185" s="216"/>
      <c r="T185" s="216"/>
      <c r="U185" s="216"/>
      <c r="V185" s="216"/>
    </row>
    <row r="186" spans="1:22">
      <c r="A186" s="216"/>
      <c r="B186" s="216"/>
      <c r="C186" s="216"/>
      <c r="D186" s="216"/>
      <c r="E186" s="216"/>
      <c r="F186" s="216"/>
      <c r="G186" s="216"/>
      <c r="H186" s="216"/>
      <c r="I186" s="216"/>
      <c r="J186" s="216"/>
      <c r="K186" s="216"/>
      <c r="L186" s="207"/>
      <c r="M186" s="207"/>
      <c r="N186" s="216"/>
      <c r="O186" s="216"/>
      <c r="P186" s="216"/>
      <c r="Q186" s="216"/>
      <c r="R186" s="216"/>
      <c r="S186" s="216"/>
      <c r="T186" s="216"/>
      <c r="U186" s="216"/>
      <c r="V186" s="216"/>
    </row>
    <row r="187" spans="1:22">
      <c r="A187" s="216"/>
      <c r="B187" s="216"/>
      <c r="C187" s="216"/>
      <c r="D187" s="216"/>
      <c r="E187" s="216"/>
      <c r="F187" s="216"/>
      <c r="G187" s="216"/>
      <c r="H187" s="216"/>
      <c r="I187" s="216"/>
      <c r="J187" s="216"/>
      <c r="K187" s="216"/>
      <c r="L187" s="207"/>
      <c r="M187" s="207"/>
      <c r="N187" s="216"/>
      <c r="O187" s="216"/>
      <c r="P187" s="216"/>
      <c r="Q187" s="216"/>
      <c r="R187" s="216"/>
      <c r="S187" s="216"/>
      <c r="T187" s="216"/>
      <c r="U187" s="216"/>
      <c r="V187" s="216"/>
    </row>
    <row r="188" spans="1:22">
      <c r="A188" s="216"/>
      <c r="B188" s="216"/>
      <c r="C188" s="216"/>
      <c r="D188" s="216"/>
      <c r="E188" s="216"/>
      <c r="F188" s="216"/>
      <c r="G188" s="216"/>
      <c r="H188" s="216"/>
      <c r="I188" s="216"/>
      <c r="J188" s="216"/>
      <c r="K188" s="216"/>
      <c r="L188" s="207"/>
      <c r="M188" s="207"/>
      <c r="N188" s="216"/>
      <c r="O188" s="216"/>
      <c r="P188" s="216"/>
      <c r="Q188" s="216"/>
      <c r="R188" s="216"/>
      <c r="S188" s="216"/>
      <c r="T188" s="216"/>
      <c r="U188" s="216"/>
      <c r="V188" s="216"/>
    </row>
    <row r="189" spans="1:22">
      <c r="A189" s="216"/>
      <c r="B189" s="216"/>
      <c r="C189" s="216"/>
      <c r="D189" s="216"/>
      <c r="E189" s="216"/>
      <c r="F189" s="216"/>
      <c r="G189" s="216"/>
      <c r="H189" s="216"/>
      <c r="I189" s="216"/>
      <c r="J189" s="216"/>
      <c r="K189" s="216"/>
      <c r="L189" s="207"/>
      <c r="M189" s="207"/>
      <c r="N189" s="216"/>
      <c r="O189" s="216"/>
      <c r="P189" s="216"/>
      <c r="Q189" s="216"/>
      <c r="R189" s="216"/>
      <c r="S189" s="216"/>
      <c r="T189" s="216"/>
      <c r="U189" s="216"/>
      <c r="V189" s="216"/>
    </row>
    <row r="190" spans="1:22">
      <c r="A190" s="216"/>
      <c r="B190" s="216"/>
      <c r="C190" s="216"/>
      <c r="D190" s="216"/>
      <c r="E190" s="216"/>
      <c r="F190" s="216"/>
      <c r="G190" s="216"/>
      <c r="H190" s="216"/>
      <c r="I190" s="216"/>
      <c r="J190" s="216"/>
      <c r="K190" s="216"/>
      <c r="L190" s="207"/>
      <c r="M190" s="207"/>
      <c r="N190" s="216"/>
      <c r="O190" s="216"/>
      <c r="P190" s="216"/>
      <c r="Q190" s="216"/>
      <c r="R190" s="216"/>
      <c r="S190" s="216"/>
      <c r="T190" s="216"/>
      <c r="U190" s="216"/>
      <c r="V190" s="216"/>
    </row>
    <row r="191" spans="1:22">
      <c r="A191" s="216"/>
      <c r="B191" s="216"/>
      <c r="C191" s="216"/>
      <c r="D191" s="216"/>
      <c r="E191" s="216"/>
      <c r="F191" s="216"/>
      <c r="G191" s="216"/>
      <c r="H191" s="216"/>
      <c r="I191" s="216"/>
      <c r="J191" s="216"/>
      <c r="K191" s="216"/>
      <c r="L191" s="207"/>
      <c r="M191" s="207"/>
      <c r="N191" s="216"/>
      <c r="O191" s="216"/>
      <c r="P191" s="216"/>
      <c r="Q191" s="216"/>
      <c r="R191" s="216"/>
      <c r="S191" s="216"/>
      <c r="T191" s="216"/>
      <c r="U191" s="216"/>
      <c r="V191" s="216"/>
    </row>
    <row r="192" spans="1:22">
      <c r="A192" s="216"/>
      <c r="B192" s="216"/>
      <c r="C192" s="216"/>
      <c r="D192" s="216"/>
      <c r="E192" s="216"/>
      <c r="F192" s="216"/>
      <c r="G192" s="216"/>
      <c r="H192" s="216"/>
      <c r="I192" s="216"/>
      <c r="J192" s="216"/>
      <c r="K192" s="216"/>
      <c r="L192" s="207"/>
      <c r="M192" s="207"/>
      <c r="N192" s="216"/>
      <c r="O192" s="216"/>
      <c r="P192" s="216"/>
      <c r="Q192" s="216"/>
      <c r="R192" s="216"/>
      <c r="S192" s="216"/>
      <c r="T192" s="216"/>
      <c r="U192" s="216"/>
      <c r="V192" s="216"/>
    </row>
    <row r="193" spans="1:22">
      <c r="A193" s="216"/>
      <c r="B193" s="216"/>
      <c r="C193" s="216"/>
      <c r="D193" s="216"/>
      <c r="E193" s="216"/>
      <c r="F193" s="216"/>
      <c r="G193" s="216"/>
      <c r="H193" s="216"/>
      <c r="I193" s="216"/>
      <c r="J193" s="216"/>
      <c r="K193" s="216"/>
      <c r="L193" s="207"/>
      <c r="M193" s="207"/>
      <c r="N193" s="216"/>
      <c r="O193" s="216"/>
      <c r="P193" s="216"/>
      <c r="Q193" s="216"/>
      <c r="R193" s="216"/>
      <c r="S193" s="216"/>
      <c r="T193" s="216"/>
      <c r="U193" s="216"/>
      <c r="V193" s="216"/>
    </row>
    <row r="194" spans="1:22">
      <c r="A194" s="216"/>
      <c r="B194" s="216"/>
      <c r="C194" s="216"/>
      <c r="D194" s="216"/>
      <c r="E194" s="216"/>
      <c r="F194" s="216"/>
      <c r="G194" s="216"/>
      <c r="H194" s="216"/>
      <c r="I194" s="216"/>
      <c r="J194" s="216"/>
      <c r="K194" s="216"/>
      <c r="L194" s="207"/>
      <c r="M194" s="207"/>
      <c r="N194" s="216"/>
      <c r="O194" s="216"/>
      <c r="P194" s="216"/>
      <c r="Q194" s="216"/>
      <c r="R194" s="216"/>
      <c r="S194" s="216"/>
      <c r="T194" s="216"/>
      <c r="U194" s="216"/>
      <c r="V194" s="216"/>
    </row>
    <row r="195" spans="1:22">
      <c r="A195" s="216"/>
      <c r="B195" s="216"/>
      <c r="C195" s="216"/>
      <c r="D195" s="216"/>
      <c r="E195" s="216"/>
      <c r="F195" s="216"/>
      <c r="G195" s="216"/>
      <c r="H195" s="216"/>
      <c r="I195" s="216"/>
      <c r="J195" s="216"/>
      <c r="K195" s="216"/>
      <c r="L195" s="207"/>
      <c r="M195" s="207"/>
      <c r="N195" s="216"/>
      <c r="O195" s="216"/>
      <c r="P195" s="216"/>
      <c r="Q195" s="216"/>
      <c r="R195" s="216"/>
      <c r="S195" s="216"/>
      <c r="T195" s="216"/>
      <c r="U195" s="216"/>
      <c r="V195" s="216"/>
    </row>
    <row r="196" spans="1:22">
      <c r="A196" s="216"/>
      <c r="B196" s="216"/>
      <c r="C196" s="216"/>
      <c r="D196" s="216"/>
      <c r="E196" s="216"/>
      <c r="F196" s="216"/>
      <c r="G196" s="216"/>
      <c r="H196" s="216"/>
      <c r="I196" s="216"/>
      <c r="J196" s="216"/>
      <c r="K196" s="216"/>
      <c r="L196" s="207"/>
      <c r="M196" s="207"/>
      <c r="N196" s="216"/>
      <c r="O196" s="216"/>
      <c r="P196" s="216"/>
      <c r="Q196" s="216"/>
      <c r="R196" s="216"/>
      <c r="S196" s="216"/>
      <c r="T196" s="216"/>
      <c r="U196" s="216"/>
      <c r="V196" s="216"/>
    </row>
    <row r="197" spans="1:22">
      <c r="A197" s="216"/>
      <c r="B197" s="216"/>
      <c r="C197" s="216"/>
      <c r="D197" s="216"/>
      <c r="E197" s="216"/>
      <c r="F197" s="216"/>
      <c r="G197" s="216"/>
      <c r="H197" s="216"/>
      <c r="I197" s="216"/>
      <c r="J197" s="216"/>
      <c r="K197" s="216"/>
      <c r="L197" s="207"/>
      <c r="M197" s="207"/>
      <c r="N197" s="216"/>
      <c r="O197" s="216"/>
      <c r="P197" s="216"/>
      <c r="Q197" s="216"/>
      <c r="R197" s="216"/>
      <c r="S197" s="216"/>
      <c r="T197" s="216"/>
      <c r="U197" s="216"/>
      <c r="V197" s="216"/>
    </row>
    <row r="198" spans="1:22">
      <c r="A198" s="216"/>
      <c r="B198" s="216"/>
      <c r="C198" s="216"/>
      <c r="D198" s="216"/>
      <c r="E198" s="216"/>
      <c r="F198" s="216"/>
      <c r="G198" s="216"/>
      <c r="H198" s="216"/>
      <c r="I198" s="216"/>
      <c r="J198" s="216"/>
      <c r="K198" s="216"/>
      <c r="L198" s="207"/>
      <c r="M198" s="207"/>
      <c r="N198" s="216"/>
      <c r="O198" s="216"/>
      <c r="P198" s="216"/>
      <c r="Q198" s="216"/>
      <c r="R198" s="216"/>
      <c r="S198" s="216"/>
      <c r="T198" s="216"/>
      <c r="U198" s="216"/>
      <c r="V198" s="216"/>
    </row>
    <row r="199" spans="1:22">
      <c r="A199" s="216"/>
      <c r="B199" s="216"/>
      <c r="C199" s="216"/>
      <c r="D199" s="216"/>
      <c r="E199" s="216"/>
      <c r="F199" s="216"/>
      <c r="G199" s="216"/>
      <c r="H199" s="216"/>
      <c r="I199" s="216"/>
      <c r="J199" s="216"/>
      <c r="K199" s="216"/>
      <c r="L199" s="207"/>
      <c r="M199" s="207"/>
      <c r="N199" s="216"/>
      <c r="O199" s="216"/>
      <c r="P199" s="216"/>
      <c r="Q199" s="216"/>
      <c r="R199" s="216"/>
      <c r="S199" s="216"/>
      <c r="T199" s="216"/>
      <c r="U199" s="216"/>
      <c r="V199" s="216"/>
    </row>
    <row r="200" spans="1:22">
      <c r="A200" s="216"/>
      <c r="B200" s="216"/>
      <c r="C200" s="216"/>
      <c r="D200" s="216"/>
      <c r="E200" s="216"/>
      <c r="F200" s="216"/>
      <c r="G200" s="216"/>
      <c r="H200" s="216"/>
      <c r="I200" s="216"/>
      <c r="J200" s="216"/>
      <c r="K200" s="216"/>
      <c r="L200" s="207"/>
      <c r="M200" s="207"/>
      <c r="N200" s="216"/>
      <c r="O200" s="216"/>
      <c r="P200" s="216"/>
      <c r="Q200" s="216"/>
      <c r="R200" s="216"/>
      <c r="S200" s="216"/>
      <c r="T200" s="216"/>
      <c r="U200" s="216"/>
      <c r="V200" s="216"/>
    </row>
    <row r="201" spans="1:22">
      <c r="A201" s="216"/>
      <c r="B201" s="216"/>
      <c r="C201" s="216"/>
      <c r="D201" s="216"/>
      <c r="E201" s="216"/>
      <c r="F201" s="216"/>
      <c r="G201" s="216"/>
      <c r="H201" s="216"/>
      <c r="I201" s="216"/>
      <c r="J201" s="216"/>
      <c r="K201" s="216"/>
      <c r="L201" s="207"/>
      <c r="M201" s="207"/>
      <c r="N201" s="216"/>
      <c r="O201" s="216"/>
      <c r="P201" s="216"/>
      <c r="Q201" s="216"/>
      <c r="R201" s="216"/>
      <c r="S201" s="216"/>
      <c r="T201" s="216"/>
      <c r="U201" s="216"/>
      <c r="V201" s="216"/>
    </row>
    <row r="202" spans="1:22">
      <c r="A202" s="216"/>
      <c r="B202" s="216"/>
      <c r="C202" s="216"/>
      <c r="D202" s="216"/>
      <c r="E202" s="216"/>
      <c r="F202" s="216"/>
      <c r="G202" s="216"/>
      <c r="H202" s="216"/>
      <c r="I202" s="216"/>
      <c r="J202" s="216"/>
      <c r="K202" s="216"/>
      <c r="L202" s="207"/>
      <c r="M202" s="207"/>
      <c r="N202" s="216"/>
      <c r="O202" s="216"/>
      <c r="P202" s="216"/>
      <c r="Q202" s="216"/>
      <c r="R202" s="216"/>
      <c r="S202" s="216"/>
      <c r="T202" s="216"/>
      <c r="U202" s="216"/>
      <c r="V202" s="216"/>
    </row>
    <row r="203" spans="1:22">
      <c r="A203" s="216"/>
      <c r="B203" s="216"/>
      <c r="C203" s="216"/>
      <c r="D203" s="216"/>
      <c r="E203" s="216"/>
      <c r="F203" s="216"/>
      <c r="G203" s="216"/>
      <c r="H203" s="216"/>
      <c r="I203" s="216"/>
      <c r="J203" s="216"/>
      <c r="K203" s="216"/>
      <c r="L203" s="207"/>
      <c r="M203" s="207"/>
      <c r="N203" s="216"/>
      <c r="O203" s="216"/>
      <c r="P203" s="216"/>
      <c r="Q203" s="216"/>
      <c r="R203" s="216"/>
      <c r="S203" s="216"/>
      <c r="T203" s="216"/>
      <c r="U203" s="216"/>
      <c r="V203" s="216"/>
    </row>
    <row r="204" spans="1:22">
      <c r="A204" s="216"/>
      <c r="B204" s="216"/>
      <c r="C204" s="216"/>
      <c r="D204" s="216"/>
      <c r="E204" s="216"/>
      <c r="F204" s="216"/>
      <c r="G204" s="216"/>
      <c r="H204" s="216"/>
      <c r="I204" s="216"/>
      <c r="J204" s="216"/>
      <c r="K204" s="216"/>
      <c r="L204" s="207"/>
      <c r="M204" s="207"/>
      <c r="N204" s="216"/>
      <c r="O204" s="216"/>
      <c r="P204" s="216"/>
      <c r="Q204" s="216"/>
      <c r="R204" s="216"/>
      <c r="S204" s="216"/>
      <c r="T204" s="216"/>
      <c r="U204" s="216"/>
      <c r="V204" s="216"/>
    </row>
    <row r="205" spans="1:22">
      <c r="A205" s="216"/>
      <c r="B205" s="216"/>
      <c r="C205" s="216"/>
      <c r="D205" s="216"/>
      <c r="E205" s="216"/>
      <c r="F205" s="216"/>
      <c r="G205" s="216"/>
      <c r="H205" s="216"/>
      <c r="I205" s="216"/>
      <c r="J205" s="216"/>
      <c r="K205" s="216"/>
      <c r="L205" s="207"/>
      <c r="M205" s="207"/>
      <c r="N205" s="216"/>
      <c r="O205" s="216"/>
      <c r="P205" s="216"/>
      <c r="Q205" s="216"/>
      <c r="R205" s="216"/>
      <c r="S205" s="216"/>
      <c r="T205" s="216"/>
      <c r="U205" s="216"/>
      <c r="V205" s="216"/>
    </row>
    <row r="206" spans="1:22">
      <c r="A206" s="216"/>
      <c r="B206" s="216"/>
      <c r="C206" s="216"/>
      <c r="D206" s="216"/>
      <c r="E206" s="216"/>
      <c r="F206" s="216"/>
      <c r="G206" s="216"/>
      <c r="H206" s="216"/>
      <c r="I206" s="216"/>
      <c r="J206" s="216"/>
      <c r="K206" s="216"/>
      <c r="L206" s="207"/>
      <c r="M206" s="207"/>
      <c r="N206" s="216"/>
      <c r="O206" s="216"/>
      <c r="P206" s="216"/>
      <c r="Q206" s="216"/>
      <c r="R206" s="216"/>
      <c r="S206" s="216"/>
      <c r="T206" s="216"/>
      <c r="U206" s="216"/>
      <c r="V206" s="216"/>
    </row>
    <row r="207" spans="1:22">
      <c r="A207" s="216"/>
      <c r="B207" s="216"/>
      <c r="C207" s="216"/>
      <c r="D207" s="216"/>
      <c r="E207" s="216"/>
      <c r="F207" s="216"/>
      <c r="G207" s="216"/>
      <c r="H207" s="216"/>
      <c r="I207" s="216"/>
      <c r="J207" s="216"/>
      <c r="K207" s="216"/>
      <c r="L207" s="207"/>
      <c r="M207" s="207"/>
      <c r="N207" s="216"/>
      <c r="O207" s="216"/>
      <c r="P207" s="216"/>
      <c r="Q207" s="216"/>
      <c r="R207" s="216"/>
      <c r="S207" s="216"/>
      <c r="T207" s="216"/>
      <c r="U207" s="216"/>
      <c r="V207" s="216"/>
    </row>
    <row r="208" spans="1:22">
      <c r="A208" s="216"/>
      <c r="B208" s="216"/>
      <c r="C208" s="216"/>
      <c r="D208" s="216"/>
      <c r="E208" s="216"/>
      <c r="F208" s="216"/>
      <c r="G208" s="216"/>
      <c r="H208" s="216"/>
      <c r="I208" s="216"/>
      <c r="J208" s="216"/>
      <c r="K208" s="216"/>
      <c r="L208" s="207"/>
      <c r="M208" s="207"/>
      <c r="N208" s="216"/>
      <c r="O208" s="216"/>
      <c r="P208" s="216"/>
      <c r="Q208" s="216"/>
      <c r="R208" s="216"/>
      <c r="S208" s="216"/>
      <c r="T208" s="216"/>
      <c r="U208" s="216"/>
      <c r="V208" s="216"/>
    </row>
    <row r="209" spans="1:22">
      <c r="A209" s="216"/>
      <c r="B209" s="216"/>
      <c r="C209" s="216"/>
      <c r="D209" s="216"/>
      <c r="E209" s="216"/>
      <c r="F209" s="216"/>
      <c r="G209" s="216"/>
      <c r="H209" s="216"/>
      <c r="I209" s="216"/>
      <c r="J209" s="216"/>
      <c r="K209" s="216"/>
      <c r="L209" s="207"/>
      <c r="M209" s="207"/>
      <c r="N209" s="216"/>
      <c r="O209" s="216"/>
      <c r="P209" s="216"/>
      <c r="Q209" s="216"/>
      <c r="R209" s="216"/>
      <c r="S209" s="216"/>
      <c r="T209" s="216"/>
      <c r="U209" s="216"/>
      <c r="V209" s="216"/>
    </row>
    <row r="210" spans="1:22">
      <c r="A210" s="216"/>
      <c r="B210" s="216"/>
      <c r="C210" s="216"/>
      <c r="D210" s="216"/>
      <c r="E210" s="216"/>
      <c r="F210" s="216"/>
      <c r="G210" s="216"/>
      <c r="H210" s="216"/>
      <c r="I210" s="216"/>
      <c r="J210" s="216"/>
      <c r="K210" s="216"/>
      <c r="L210" s="207"/>
      <c r="M210" s="207"/>
      <c r="N210" s="216"/>
      <c r="O210" s="216"/>
      <c r="P210" s="216"/>
      <c r="Q210" s="216"/>
      <c r="R210" s="216"/>
      <c r="S210" s="216"/>
      <c r="T210" s="216"/>
      <c r="U210" s="216"/>
      <c r="V210" s="216"/>
    </row>
    <row r="211" spans="1:22">
      <c r="A211" s="216"/>
      <c r="B211" s="216"/>
      <c r="C211" s="216"/>
      <c r="D211" s="216"/>
      <c r="E211" s="216"/>
      <c r="F211" s="216"/>
      <c r="G211" s="216"/>
      <c r="H211" s="216"/>
      <c r="I211" s="216"/>
      <c r="J211" s="216"/>
      <c r="K211" s="216"/>
      <c r="L211" s="207"/>
      <c r="M211" s="207"/>
      <c r="N211" s="216"/>
      <c r="O211" s="216"/>
      <c r="P211" s="216"/>
      <c r="Q211" s="216"/>
      <c r="R211" s="216"/>
      <c r="S211" s="216"/>
      <c r="T211" s="216"/>
      <c r="U211" s="216"/>
      <c r="V211" s="216"/>
    </row>
    <row r="212" spans="1:22">
      <c r="A212" s="216"/>
      <c r="B212" s="216"/>
      <c r="C212" s="216"/>
      <c r="D212" s="216"/>
      <c r="E212" s="216"/>
      <c r="F212" s="216"/>
      <c r="G212" s="216"/>
      <c r="H212" s="216"/>
      <c r="I212" s="216"/>
      <c r="J212" s="216"/>
      <c r="K212" s="216"/>
      <c r="L212" s="207"/>
      <c r="M212" s="207"/>
      <c r="N212" s="216"/>
      <c r="O212" s="216"/>
      <c r="P212" s="216"/>
      <c r="Q212" s="216"/>
      <c r="R212" s="216"/>
      <c r="S212" s="216"/>
      <c r="T212" s="216"/>
      <c r="U212" s="216"/>
      <c r="V212" s="216"/>
    </row>
    <row r="213" spans="1:22">
      <c r="A213" s="216"/>
      <c r="B213" s="216"/>
      <c r="C213" s="216"/>
      <c r="D213" s="216"/>
      <c r="E213" s="216"/>
      <c r="F213" s="216"/>
      <c r="G213" s="216"/>
      <c r="H213" s="216"/>
      <c r="I213" s="216"/>
      <c r="J213" s="216"/>
      <c r="K213" s="216"/>
      <c r="L213" s="207"/>
      <c r="M213" s="207"/>
      <c r="N213" s="216"/>
      <c r="O213" s="216"/>
      <c r="P213" s="216"/>
      <c r="Q213" s="216"/>
      <c r="R213" s="216"/>
      <c r="S213" s="216"/>
      <c r="T213" s="216"/>
      <c r="U213" s="216"/>
      <c r="V213" s="216"/>
    </row>
    <row r="214" spans="1:22">
      <c r="A214" s="216"/>
      <c r="B214" s="216"/>
      <c r="C214" s="216"/>
      <c r="D214" s="216"/>
      <c r="E214" s="216"/>
      <c r="F214" s="216"/>
      <c r="G214" s="216"/>
      <c r="H214" s="216"/>
      <c r="I214" s="216"/>
      <c r="J214" s="216"/>
      <c r="K214" s="216"/>
      <c r="L214" s="207"/>
      <c r="M214" s="207"/>
      <c r="N214" s="216"/>
      <c r="O214" s="216"/>
      <c r="P214" s="216"/>
      <c r="Q214" s="216"/>
      <c r="R214" s="216"/>
      <c r="S214" s="216"/>
      <c r="T214" s="216"/>
      <c r="U214" s="216"/>
      <c r="V214" s="216"/>
    </row>
    <row r="215" spans="1:22">
      <c r="A215" s="216"/>
      <c r="B215" s="216"/>
      <c r="C215" s="216"/>
      <c r="D215" s="216"/>
      <c r="E215" s="216"/>
      <c r="F215" s="216"/>
      <c r="G215" s="216"/>
      <c r="H215" s="216"/>
      <c r="I215" s="216"/>
      <c r="J215" s="216"/>
      <c r="K215" s="216"/>
      <c r="L215" s="207"/>
      <c r="M215" s="207"/>
      <c r="N215" s="216"/>
      <c r="O215" s="216"/>
      <c r="P215" s="216"/>
      <c r="Q215" s="216"/>
      <c r="R215" s="216"/>
      <c r="S215" s="216"/>
      <c r="T215" s="216"/>
      <c r="U215" s="216"/>
      <c r="V215" s="216"/>
    </row>
    <row r="216" spans="1:22">
      <c r="A216" s="216"/>
      <c r="B216" s="216"/>
      <c r="C216" s="216"/>
      <c r="D216" s="216"/>
      <c r="E216" s="216"/>
      <c r="F216" s="216"/>
      <c r="G216" s="216"/>
      <c r="H216" s="216"/>
      <c r="I216" s="216"/>
      <c r="J216" s="216"/>
      <c r="K216" s="216"/>
      <c r="L216" s="207"/>
      <c r="M216" s="207"/>
      <c r="N216" s="216"/>
      <c r="O216" s="216"/>
      <c r="P216" s="216"/>
      <c r="Q216" s="216"/>
      <c r="R216" s="216"/>
      <c r="S216" s="216"/>
      <c r="T216" s="216"/>
      <c r="U216" s="216"/>
      <c r="V216" s="216"/>
    </row>
    <row r="217" spans="1:22">
      <c r="A217" s="216"/>
      <c r="B217" s="216"/>
      <c r="C217" s="216"/>
      <c r="D217" s="216"/>
      <c r="E217" s="216"/>
      <c r="F217" s="216"/>
      <c r="G217" s="216"/>
      <c r="H217" s="216"/>
      <c r="I217" s="216"/>
      <c r="J217" s="216"/>
      <c r="K217" s="216"/>
      <c r="L217" s="207"/>
      <c r="M217" s="207"/>
      <c r="N217" s="216"/>
      <c r="O217" s="216"/>
      <c r="P217" s="216"/>
      <c r="Q217" s="216"/>
      <c r="R217" s="216"/>
      <c r="S217" s="216"/>
      <c r="T217" s="216"/>
      <c r="U217" s="216"/>
      <c r="V217" s="216"/>
    </row>
    <row r="218" spans="1:22">
      <c r="A218" s="216"/>
      <c r="B218" s="216"/>
      <c r="C218" s="216"/>
      <c r="D218" s="216"/>
      <c r="E218" s="216"/>
      <c r="F218" s="216"/>
      <c r="G218" s="216"/>
      <c r="H218" s="216"/>
      <c r="I218" s="216"/>
      <c r="J218" s="216"/>
      <c r="K218" s="216"/>
      <c r="L218" s="207"/>
      <c r="M218" s="207"/>
      <c r="N218" s="216"/>
      <c r="O218" s="216"/>
      <c r="P218" s="216"/>
      <c r="Q218" s="216"/>
      <c r="R218" s="216"/>
      <c r="S218" s="216"/>
      <c r="T218" s="216"/>
      <c r="U218" s="216"/>
      <c r="V218" s="216"/>
    </row>
    <row r="219" spans="1:22">
      <c r="A219" s="216"/>
      <c r="B219" s="216"/>
      <c r="C219" s="216"/>
      <c r="D219" s="216"/>
      <c r="E219" s="216"/>
      <c r="F219" s="216"/>
      <c r="G219" s="216"/>
      <c r="H219" s="216"/>
      <c r="I219" s="216"/>
      <c r="J219" s="216"/>
      <c r="K219" s="216"/>
      <c r="L219" s="207"/>
      <c r="M219" s="207"/>
      <c r="N219" s="216"/>
      <c r="O219" s="216"/>
      <c r="P219" s="216"/>
      <c r="Q219" s="216"/>
      <c r="R219" s="216"/>
      <c r="S219" s="216"/>
      <c r="T219" s="216"/>
      <c r="U219" s="216"/>
      <c r="V219" s="216"/>
    </row>
    <row r="220" spans="1:22">
      <c r="A220" s="216"/>
      <c r="B220" s="216"/>
      <c r="C220" s="216"/>
      <c r="D220" s="216"/>
      <c r="E220" s="216"/>
      <c r="F220" s="216"/>
      <c r="G220" s="216"/>
      <c r="H220" s="216"/>
      <c r="I220" s="216"/>
      <c r="J220" s="216"/>
      <c r="K220" s="216"/>
      <c r="L220" s="207"/>
      <c r="M220" s="207"/>
      <c r="N220" s="216"/>
      <c r="O220" s="216"/>
      <c r="P220" s="216"/>
      <c r="Q220" s="216"/>
      <c r="R220" s="216"/>
      <c r="S220" s="216"/>
      <c r="T220" s="216"/>
      <c r="U220" s="216"/>
      <c r="V220" s="216"/>
    </row>
    <row r="221" spans="1:22">
      <c r="A221" s="216"/>
      <c r="B221" s="216"/>
      <c r="C221" s="216"/>
      <c r="D221" s="216"/>
      <c r="E221" s="216"/>
      <c r="F221" s="216"/>
      <c r="G221" s="216"/>
      <c r="H221" s="216"/>
      <c r="I221" s="216"/>
      <c r="J221" s="216"/>
      <c r="K221" s="216"/>
      <c r="L221" s="207"/>
      <c r="M221" s="207"/>
      <c r="N221" s="216"/>
      <c r="O221" s="216"/>
      <c r="P221" s="216"/>
      <c r="Q221" s="216"/>
      <c r="R221" s="216"/>
      <c r="S221" s="216"/>
      <c r="T221" s="216"/>
      <c r="U221" s="216"/>
      <c r="V221" s="216"/>
    </row>
    <row r="222" spans="1:22">
      <c r="A222" s="216"/>
      <c r="B222" s="216"/>
      <c r="C222" s="216"/>
      <c r="D222" s="216"/>
      <c r="E222" s="216"/>
      <c r="F222" s="216"/>
      <c r="G222" s="216"/>
      <c r="H222" s="216"/>
      <c r="I222" s="216"/>
      <c r="J222" s="216"/>
      <c r="K222" s="216"/>
      <c r="L222" s="207"/>
      <c r="M222" s="207"/>
      <c r="N222" s="216"/>
      <c r="O222" s="216"/>
      <c r="P222" s="216"/>
      <c r="Q222" s="216"/>
      <c r="R222" s="216"/>
      <c r="S222" s="216"/>
      <c r="T222" s="216"/>
      <c r="U222" s="216"/>
      <c r="V222" s="216"/>
    </row>
    <row r="223" spans="1:22">
      <c r="A223" s="216"/>
      <c r="B223" s="216"/>
      <c r="C223" s="216"/>
      <c r="D223" s="216"/>
      <c r="E223" s="216"/>
      <c r="F223" s="216"/>
      <c r="G223" s="216"/>
      <c r="H223" s="216"/>
      <c r="I223" s="216"/>
      <c r="J223" s="216"/>
      <c r="K223" s="216"/>
      <c r="L223" s="207"/>
      <c r="M223" s="207"/>
      <c r="N223" s="216"/>
      <c r="O223" s="216"/>
      <c r="P223" s="216"/>
      <c r="Q223" s="216"/>
      <c r="R223" s="216"/>
      <c r="S223" s="216"/>
      <c r="T223" s="216"/>
      <c r="U223" s="216"/>
      <c r="V223" s="216"/>
    </row>
    <row r="224" spans="1:22">
      <c r="A224" s="216"/>
      <c r="B224" s="216"/>
      <c r="C224" s="216"/>
      <c r="D224" s="216"/>
      <c r="E224" s="216"/>
      <c r="F224" s="216"/>
      <c r="G224" s="216"/>
      <c r="H224" s="216"/>
      <c r="I224" s="216"/>
      <c r="J224" s="216"/>
      <c r="K224" s="216"/>
      <c r="L224" s="207"/>
      <c r="M224" s="207"/>
      <c r="N224" s="216"/>
      <c r="O224" s="216"/>
      <c r="P224" s="216"/>
      <c r="Q224" s="216"/>
      <c r="R224" s="216"/>
      <c r="S224" s="216"/>
      <c r="T224" s="216"/>
      <c r="U224" s="216"/>
      <c r="V224" s="216"/>
    </row>
    <row r="225" spans="1:22">
      <c r="A225" s="216"/>
      <c r="B225" s="216"/>
      <c r="C225" s="216"/>
      <c r="D225" s="216"/>
      <c r="E225" s="216"/>
      <c r="F225" s="216"/>
      <c r="G225" s="216"/>
      <c r="H225" s="216"/>
      <c r="I225" s="216"/>
      <c r="J225" s="216"/>
      <c r="K225" s="216"/>
      <c r="L225" s="207"/>
      <c r="M225" s="207"/>
      <c r="N225" s="216"/>
      <c r="O225" s="216"/>
      <c r="P225" s="216"/>
      <c r="Q225" s="216"/>
      <c r="R225" s="216"/>
      <c r="S225" s="216"/>
      <c r="T225" s="216"/>
      <c r="U225" s="216"/>
      <c r="V225" s="216"/>
    </row>
    <row r="226" spans="1:22">
      <c r="A226" s="216"/>
      <c r="B226" s="216"/>
      <c r="C226" s="216"/>
      <c r="D226" s="216"/>
      <c r="E226" s="216"/>
      <c r="F226" s="216"/>
      <c r="G226" s="216"/>
      <c r="H226" s="216"/>
      <c r="I226" s="216"/>
      <c r="J226" s="216"/>
      <c r="K226" s="216"/>
      <c r="L226" s="207"/>
      <c r="M226" s="207"/>
      <c r="N226" s="216"/>
      <c r="O226" s="216"/>
      <c r="P226" s="216"/>
      <c r="Q226" s="216"/>
      <c r="R226" s="216"/>
      <c r="S226" s="216"/>
      <c r="T226" s="216"/>
      <c r="U226" s="216"/>
      <c r="V226" s="216"/>
    </row>
    <row r="227" spans="1:22">
      <c r="A227" s="216"/>
      <c r="B227" s="216"/>
      <c r="C227" s="216"/>
      <c r="D227" s="216"/>
      <c r="E227" s="216"/>
      <c r="F227" s="216"/>
      <c r="G227" s="216"/>
      <c r="H227" s="216"/>
      <c r="I227" s="216"/>
      <c r="J227" s="216"/>
      <c r="K227" s="216"/>
      <c r="L227" s="207"/>
      <c r="M227" s="207"/>
      <c r="N227" s="216"/>
      <c r="O227" s="216"/>
      <c r="P227" s="216"/>
      <c r="Q227" s="216"/>
      <c r="R227" s="216"/>
      <c r="S227" s="216"/>
      <c r="T227" s="216"/>
      <c r="U227" s="216"/>
      <c r="V227" s="216"/>
    </row>
    <row r="228" spans="1:22">
      <c r="A228" s="216"/>
      <c r="B228" s="216"/>
      <c r="C228" s="216"/>
      <c r="D228" s="216"/>
      <c r="E228" s="216"/>
      <c r="F228" s="216"/>
      <c r="G228" s="216"/>
      <c r="H228" s="216"/>
      <c r="I228" s="216"/>
      <c r="J228" s="216"/>
      <c r="K228" s="216"/>
      <c r="L228" s="207"/>
      <c r="M228" s="207"/>
      <c r="N228" s="216"/>
      <c r="O228" s="216"/>
      <c r="P228" s="216"/>
      <c r="Q228" s="216"/>
      <c r="R228" s="216"/>
      <c r="S228" s="216"/>
      <c r="T228" s="216"/>
      <c r="U228" s="216"/>
      <c r="V228" s="216"/>
    </row>
    <row r="229" spans="1:22">
      <c r="A229" s="216"/>
      <c r="B229" s="216"/>
      <c r="C229" s="216"/>
      <c r="D229" s="216"/>
      <c r="E229" s="216"/>
      <c r="F229" s="216"/>
      <c r="G229" s="216"/>
      <c r="H229" s="216"/>
      <c r="I229" s="216"/>
      <c r="J229" s="216"/>
      <c r="K229" s="216"/>
      <c r="L229" s="207"/>
      <c r="M229" s="207"/>
      <c r="N229" s="216"/>
      <c r="O229" s="216"/>
      <c r="P229" s="216"/>
      <c r="Q229" s="216"/>
      <c r="R229" s="216"/>
      <c r="S229" s="216"/>
      <c r="T229" s="216"/>
      <c r="U229" s="216"/>
      <c r="V229" s="216"/>
    </row>
    <row r="230" spans="1:22">
      <c r="A230" s="216"/>
      <c r="B230" s="216"/>
      <c r="C230" s="216"/>
      <c r="D230" s="216"/>
      <c r="E230" s="216"/>
      <c r="F230" s="216"/>
      <c r="G230" s="216"/>
      <c r="H230" s="216"/>
      <c r="I230" s="216"/>
      <c r="J230" s="216"/>
      <c r="K230" s="216"/>
      <c r="L230" s="207"/>
      <c r="M230" s="207"/>
      <c r="N230" s="216"/>
      <c r="O230" s="216"/>
      <c r="P230" s="216"/>
      <c r="Q230" s="216"/>
      <c r="R230" s="216"/>
      <c r="S230" s="216"/>
      <c r="T230" s="216"/>
      <c r="U230" s="216"/>
      <c r="V230" s="216"/>
    </row>
    <row r="231" spans="1:22">
      <c r="A231" s="216"/>
      <c r="B231" s="216"/>
      <c r="C231" s="216"/>
      <c r="D231" s="216"/>
      <c r="E231" s="216"/>
      <c r="F231" s="216"/>
      <c r="G231" s="216"/>
      <c r="H231" s="216"/>
      <c r="I231" s="216"/>
      <c r="J231" s="216"/>
      <c r="K231" s="216"/>
      <c r="L231" s="207"/>
      <c r="M231" s="207"/>
      <c r="N231" s="216"/>
      <c r="O231" s="216"/>
      <c r="P231" s="216"/>
      <c r="Q231" s="216"/>
      <c r="R231" s="216"/>
      <c r="S231" s="216"/>
      <c r="T231" s="216"/>
      <c r="U231" s="216"/>
      <c r="V231" s="216"/>
    </row>
    <row r="232" spans="1:22">
      <c r="A232" s="216"/>
      <c r="B232" s="216"/>
      <c r="C232" s="216"/>
      <c r="D232" s="216"/>
      <c r="E232" s="216"/>
      <c r="F232" s="216"/>
      <c r="G232" s="216"/>
      <c r="H232" s="216"/>
      <c r="I232" s="216"/>
      <c r="J232" s="216"/>
      <c r="K232" s="216"/>
      <c r="L232" s="207"/>
      <c r="M232" s="207"/>
      <c r="N232" s="216"/>
      <c r="O232" s="216"/>
      <c r="P232" s="216"/>
      <c r="Q232" s="216"/>
      <c r="R232" s="216"/>
      <c r="S232" s="216"/>
      <c r="T232" s="216"/>
      <c r="U232" s="216"/>
      <c r="V232" s="216"/>
    </row>
    <row r="233" spans="1:22">
      <c r="A233" s="216"/>
      <c r="B233" s="216"/>
      <c r="C233" s="216"/>
      <c r="D233" s="216"/>
      <c r="E233" s="216"/>
      <c r="F233" s="216"/>
      <c r="G233" s="216"/>
      <c r="H233" s="216"/>
      <c r="I233" s="216"/>
      <c r="J233" s="216"/>
      <c r="K233" s="216"/>
      <c r="L233" s="207"/>
      <c r="M233" s="207"/>
      <c r="N233" s="216"/>
      <c r="O233" s="216"/>
      <c r="P233" s="216"/>
      <c r="Q233" s="216"/>
      <c r="R233" s="216"/>
      <c r="S233" s="216"/>
      <c r="T233" s="216"/>
      <c r="U233" s="216"/>
      <c r="V233" s="216"/>
    </row>
    <row r="234" spans="1:22">
      <c r="A234" s="216"/>
      <c r="B234" s="216"/>
      <c r="C234" s="216"/>
      <c r="D234" s="216"/>
      <c r="E234" s="216"/>
      <c r="F234" s="216"/>
      <c r="G234" s="216"/>
      <c r="H234" s="216"/>
      <c r="I234" s="216"/>
      <c r="J234" s="216"/>
      <c r="K234" s="216"/>
      <c r="L234" s="207"/>
      <c r="M234" s="207"/>
      <c r="N234" s="216"/>
      <c r="O234" s="216"/>
      <c r="P234" s="216"/>
      <c r="Q234" s="216"/>
      <c r="R234" s="216"/>
      <c r="S234" s="216"/>
      <c r="T234" s="216"/>
      <c r="U234" s="216"/>
      <c r="V234" s="216"/>
    </row>
    <row r="235" spans="1:22">
      <c r="A235" s="216"/>
      <c r="B235" s="216"/>
      <c r="C235" s="216"/>
      <c r="D235" s="216"/>
      <c r="E235" s="216"/>
      <c r="F235" s="216"/>
      <c r="G235" s="216"/>
      <c r="H235" s="216"/>
      <c r="I235" s="216"/>
      <c r="J235" s="216"/>
      <c r="K235" s="216"/>
      <c r="L235" s="207"/>
      <c r="M235" s="207"/>
      <c r="N235" s="216"/>
      <c r="O235" s="216"/>
      <c r="P235" s="216"/>
      <c r="Q235" s="216"/>
      <c r="R235" s="216"/>
      <c r="S235" s="216"/>
      <c r="T235" s="216"/>
      <c r="U235" s="216"/>
      <c r="V235" s="216"/>
    </row>
    <row r="236" spans="1:22">
      <c r="A236" s="216"/>
      <c r="B236" s="216"/>
      <c r="C236" s="216"/>
      <c r="D236" s="216"/>
      <c r="E236" s="216"/>
      <c r="F236" s="216"/>
      <c r="G236" s="216"/>
      <c r="H236" s="216"/>
      <c r="I236" s="216"/>
      <c r="J236" s="216"/>
      <c r="K236" s="216"/>
      <c r="L236" s="207"/>
      <c r="M236" s="207"/>
      <c r="N236" s="216"/>
      <c r="O236" s="216"/>
      <c r="P236" s="216"/>
      <c r="Q236" s="216"/>
      <c r="R236" s="216"/>
      <c r="S236" s="216"/>
      <c r="T236" s="216"/>
      <c r="U236" s="216"/>
      <c r="V236" s="216"/>
    </row>
    <row r="237" spans="1:22">
      <c r="A237" s="216"/>
      <c r="B237" s="216"/>
      <c r="C237" s="216"/>
      <c r="D237" s="216"/>
      <c r="E237" s="216"/>
      <c r="F237" s="216"/>
      <c r="G237" s="216"/>
      <c r="H237" s="216"/>
      <c r="I237" s="216"/>
      <c r="J237" s="216"/>
      <c r="K237" s="216"/>
      <c r="L237" s="207"/>
      <c r="M237" s="207"/>
      <c r="N237" s="216"/>
      <c r="O237" s="216"/>
      <c r="P237" s="216"/>
      <c r="Q237" s="216"/>
      <c r="R237" s="216"/>
      <c r="S237" s="216"/>
      <c r="T237" s="216"/>
      <c r="U237" s="216"/>
      <c r="V237" s="216"/>
    </row>
    <row r="238" spans="1:22">
      <c r="A238" s="216"/>
      <c r="B238" s="216"/>
      <c r="C238" s="216"/>
      <c r="D238" s="216"/>
      <c r="E238" s="216"/>
      <c r="F238" s="216"/>
      <c r="G238" s="216"/>
      <c r="H238" s="216"/>
      <c r="I238" s="216"/>
      <c r="J238" s="216"/>
      <c r="K238" s="216"/>
      <c r="L238" s="207"/>
      <c r="M238" s="207"/>
      <c r="N238" s="216"/>
      <c r="O238" s="216"/>
      <c r="P238" s="216"/>
      <c r="Q238" s="216"/>
      <c r="R238" s="216"/>
      <c r="S238" s="216"/>
      <c r="T238" s="216"/>
      <c r="U238" s="216"/>
      <c r="V238" s="216"/>
    </row>
    <row r="239" spans="1:22">
      <c r="A239" s="216"/>
      <c r="B239" s="216"/>
      <c r="C239" s="216"/>
      <c r="D239" s="216"/>
      <c r="E239" s="216"/>
      <c r="F239" s="216"/>
      <c r="G239" s="216"/>
      <c r="H239" s="216"/>
      <c r="I239" s="216"/>
      <c r="J239" s="216"/>
      <c r="K239" s="216"/>
      <c r="L239" s="207"/>
      <c r="M239" s="207"/>
      <c r="N239" s="216"/>
      <c r="O239" s="216"/>
      <c r="P239" s="216"/>
      <c r="Q239" s="216"/>
      <c r="R239" s="216"/>
      <c r="S239" s="216"/>
      <c r="T239" s="216"/>
      <c r="U239" s="216"/>
      <c r="V239" s="216"/>
    </row>
    <row r="240" spans="1:22">
      <c r="A240" s="216"/>
      <c r="B240" s="216"/>
      <c r="C240" s="216"/>
      <c r="D240" s="216"/>
      <c r="E240" s="216"/>
      <c r="F240" s="216"/>
      <c r="G240" s="216"/>
      <c r="H240" s="216"/>
      <c r="I240" s="216"/>
      <c r="J240" s="216"/>
      <c r="K240" s="216"/>
      <c r="L240" s="207"/>
      <c r="M240" s="207"/>
      <c r="N240" s="216"/>
      <c r="O240" s="216"/>
      <c r="P240" s="216"/>
      <c r="Q240" s="216"/>
      <c r="R240" s="216"/>
      <c r="S240" s="216"/>
      <c r="T240" s="216"/>
      <c r="U240" s="216"/>
      <c r="V240" s="216"/>
    </row>
    <row r="241" spans="1:22">
      <c r="A241" s="216"/>
      <c r="B241" s="216"/>
      <c r="C241" s="216"/>
      <c r="D241" s="216"/>
      <c r="E241" s="216"/>
      <c r="F241" s="216"/>
      <c r="G241" s="216"/>
      <c r="H241" s="216"/>
      <c r="I241" s="216"/>
      <c r="J241" s="216"/>
      <c r="K241" s="216"/>
      <c r="L241" s="207"/>
      <c r="M241" s="207"/>
      <c r="N241" s="216"/>
      <c r="O241" s="216"/>
      <c r="P241" s="216"/>
      <c r="Q241" s="216"/>
      <c r="R241" s="216"/>
      <c r="S241" s="216"/>
      <c r="T241" s="216"/>
      <c r="U241" s="216"/>
      <c r="V241" s="216"/>
    </row>
    <row r="242" spans="1:22">
      <c r="A242" s="216"/>
      <c r="B242" s="216"/>
      <c r="C242" s="216"/>
      <c r="D242" s="216"/>
      <c r="E242" s="216"/>
      <c r="F242" s="216"/>
      <c r="G242" s="216"/>
      <c r="H242" s="216"/>
      <c r="I242" s="216"/>
      <c r="J242" s="216"/>
      <c r="K242" s="216"/>
      <c r="L242" s="207"/>
      <c r="M242" s="207"/>
      <c r="N242" s="216"/>
      <c r="O242" s="216"/>
      <c r="P242" s="216"/>
      <c r="Q242" s="216"/>
      <c r="R242" s="216"/>
      <c r="S242" s="216"/>
      <c r="T242" s="216"/>
      <c r="U242" s="216"/>
      <c r="V242" s="216"/>
    </row>
    <row r="243" spans="1:22">
      <c r="A243" s="216"/>
      <c r="B243" s="216"/>
      <c r="C243" s="216"/>
      <c r="D243" s="216"/>
      <c r="E243" s="216"/>
      <c r="F243" s="216"/>
      <c r="G243" s="216"/>
      <c r="H243" s="216"/>
      <c r="I243" s="216"/>
      <c r="J243" s="216"/>
      <c r="K243" s="216"/>
      <c r="L243" s="207"/>
      <c r="M243" s="207"/>
      <c r="N243" s="216"/>
      <c r="O243" s="216"/>
      <c r="P243" s="216"/>
      <c r="Q243" s="216"/>
      <c r="R243" s="216"/>
      <c r="S243" s="216"/>
      <c r="T243" s="216"/>
      <c r="U243" s="216"/>
      <c r="V243" s="216"/>
    </row>
    <row r="244" spans="1:22">
      <c r="A244" s="216"/>
      <c r="B244" s="216"/>
      <c r="C244" s="216"/>
      <c r="D244" s="216"/>
      <c r="E244" s="216"/>
      <c r="F244" s="216"/>
      <c r="G244" s="216"/>
      <c r="H244" s="216"/>
      <c r="I244" s="216"/>
      <c r="J244" s="216"/>
      <c r="K244" s="216"/>
      <c r="L244" s="207"/>
      <c r="M244" s="207"/>
      <c r="N244" s="216"/>
      <c r="O244" s="216"/>
      <c r="P244" s="216"/>
      <c r="Q244" s="216"/>
      <c r="R244" s="216"/>
      <c r="S244" s="216"/>
      <c r="T244" s="216"/>
      <c r="U244" s="216"/>
      <c r="V244" s="216"/>
    </row>
    <row r="245" spans="1:22">
      <c r="A245" s="216"/>
      <c r="B245" s="216"/>
      <c r="C245" s="216"/>
      <c r="D245" s="216"/>
      <c r="E245" s="216"/>
      <c r="F245" s="216"/>
      <c r="G245" s="216"/>
      <c r="H245" s="216"/>
      <c r="I245" s="216"/>
      <c r="J245" s="216"/>
      <c r="K245" s="216"/>
      <c r="L245" s="207"/>
      <c r="M245" s="207"/>
      <c r="N245" s="216"/>
      <c r="O245" s="216"/>
      <c r="P245" s="216"/>
      <c r="Q245" s="216"/>
      <c r="R245" s="216"/>
      <c r="S245" s="216"/>
      <c r="T245" s="216"/>
      <c r="U245" s="216"/>
      <c r="V245" s="216"/>
    </row>
    <row r="246" spans="1:22">
      <c r="A246" s="216"/>
      <c r="B246" s="216"/>
      <c r="C246" s="216"/>
      <c r="D246" s="216"/>
      <c r="E246" s="216"/>
      <c r="F246" s="216"/>
      <c r="G246" s="216"/>
      <c r="H246" s="216"/>
      <c r="I246" s="216"/>
      <c r="J246" s="216"/>
      <c r="K246" s="216"/>
      <c r="L246" s="207"/>
      <c r="M246" s="207"/>
      <c r="N246" s="216"/>
      <c r="O246" s="216"/>
      <c r="P246" s="216"/>
      <c r="Q246" s="216"/>
      <c r="R246" s="216"/>
      <c r="S246" s="216"/>
      <c r="T246" s="216"/>
      <c r="U246" s="216"/>
      <c r="V246" s="216"/>
    </row>
    <row r="247" spans="1:22">
      <c r="A247" s="216"/>
      <c r="B247" s="216"/>
      <c r="C247" s="216"/>
      <c r="D247" s="216"/>
      <c r="E247" s="216"/>
      <c r="F247" s="216"/>
      <c r="G247" s="216"/>
      <c r="H247" s="216"/>
      <c r="I247" s="216"/>
      <c r="J247" s="216"/>
      <c r="K247" s="216"/>
      <c r="L247" s="207"/>
      <c r="M247" s="207"/>
      <c r="N247" s="216"/>
      <c r="O247" s="216"/>
      <c r="P247" s="216"/>
      <c r="Q247" s="216"/>
      <c r="R247" s="216"/>
      <c r="S247" s="216"/>
      <c r="T247" s="216"/>
      <c r="U247" s="216"/>
      <c r="V247" s="216"/>
    </row>
    <row r="248" spans="1:22">
      <c r="A248" s="216"/>
      <c r="B248" s="216"/>
      <c r="C248" s="216"/>
      <c r="D248" s="216"/>
      <c r="E248" s="216"/>
      <c r="F248" s="216"/>
      <c r="G248" s="216"/>
      <c r="H248" s="216"/>
      <c r="I248" s="216"/>
      <c r="J248" s="216"/>
      <c r="K248" s="216"/>
      <c r="L248" s="207"/>
      <c r="M248" s="207"/>
      <c r="N248" s="216"/>
      <c r="O248" s="216"/>
      <c r="P248" s="216"/>
      <c r="Q248" s="216"/>
      <c r="R248" s="216"/>
      <c r="S248" s="216"/>
      <c r="T248" s="216"/>
      <c r="U248" s="216"/>
      <c r="V248" s="216"/>
    </row>
    <row r="249" spans="1:22">
      <c r="A249" s="216"/>
      <c r="B249" s="216"/>
      <c r="C249" s="216"/>
      <c r="D249" s="216"/>
      <c r="E249" s="216"/>
      <c r="F249" s="216"/>
      <c r="G249" s="216"/>
      <c r="H249" s="216"/>
      <c r="I249" s="216"/>
      <c r="J249" s="216"/>
      <c r="K249" s="216"/>
      <c r="L249" s="207"/>
      <c r="M249" s="207"/>
      <c r="N249" s="216"/>
      <c r="O249" s="216"/>
      <c r="P249" s="216"/>
      <c r="Q249" s="216"/>
      <c r="R249" s="216"/>
      <c r="S249" s="216"/>
      <c r="T249" s="216"/>
      <c r="U249" s="216"/>
      <c r="V249" s="216"/>
    </row>
    <row r="250" spans="1:22">
      <c r="A250" s="216"/>
      <c r="B250" s="216"/>
      <c r="C250" s="216"/>
      <c r="D250" s="216"/>
      <c r="E250" s="216"/>
      <c r="F250" s="216"/>
      <c r="G250" s="216"/>
      <c r="H250" s="216"/>
      <c r="I250" s="216"/>
      <c r="J250" s="216"/>
      <c r="K250" s="216"/>
      <c r="L250" s="207"/>
      <c r="M250" s="207"/>
      <c r="N250" s="216"/>
      <c r="O250" s="216"/>
      <c r="P250" s="216"/>
      <c r="Q250" s="216"/>
      <c r="R250" s="216"/>
      <c r="S250" s="216"/>
      <c r="T250" s="216"/>
      <c r="U250" s="216"/>
      <c r="V250" s="216"/>
    </row>
    <row r="251" spans="1:22">
      <c r="A251" s="216"/>
      <c r="B251" s="216"/>
      <c r="C251" s="216"/>
      <c r="D251" s="216"/>
      <c r="E251" s="216"/>
      <c r="F251" s="216"/>
      <c r="G251" s="216"/>
      <c r="H251" s="216"/>
      <c r="I251" s="216"/>
      <c r="J251" s="216"/>
      <c r="K251" s="216"/>
      <c r="L251" s="207"/>
      <c r="M251" s="207"/>
      <c r="N251" s="216"/>
      <c r="O251" s="216"/>
      <c r="P251" s="216"/>
      <c r="Q251" s="216"/>
      <c r="R251" s="216"/>
      <c r="S251" s="216"/>
      <c r="T251" s="216"/>
      <c r="U251" s="216"/>
      <c r="V251" s="216"/>
    </row>
    <row r="252" spans="1:22">
      <c r="A252" s="216"/>
      <c r="B252" s="216"/>
      <c r="C252" s="216"/>
      <c r="D252" s="216"/>
      <c r="E252" s="216"/>
      <c r="F252" s="216"/>
      <c r="G252" s="216"/>
      <c r="H252" s="216"/>
      <c r="I252" s="216"/>
      <c r="J252" s="216"/>
      <c r="K252" s="216"/>
      <c r="L252" s="207"/>
      <c r="M252" s="207"/>
      <c r="N252" s="216"/>
      <c r="O252" s="216"/>
      <c r="P252" s="216"/>
      <c r="Q252" s="216"/>
      <c r="R252" s="216"/>
      <c r="S252" s="216"/>
      <c r="T252" s="216"/>
      <c r="U252" s="216"/>
      <c r="V252" s="216"/>
    </row>
    <row r="253" spans="1:22">
      <c r="A253" s="216"/>
      <c r="B253" s="216"/>
      <c r="C253" s="216"/>
      <c r="D253" s="216"/>
      <c r="E253" s="216"/>
      <c r="F253" s="216"/>
      <c r="G253" s="216"/>
      <c r="H253" s="216"/>
      <c r="I253" s="216"/>
      <c r="J253" s="216"/>
      <c r="K253" s="216"/>
      <c r="L253" s="207"/>
      <c r="M253" s="207"/>
      <c r="N253" s="216"/>
      <c r="O253" s="216"/>
      <c r="P253" s="216"/>
      <c r="Q253" s="216"/>
      <c r="R253" s="216"/>
      <c r="S253" s="216"/>
      <c r="T253" s="216"/>
      <c r="U253" s="216"/>
      <c r="V253" s="216"/>
    </row>
    <row r="254" spans="1:22">
      <c r="A254" s="216"/>
      <c r="B254" s="216"/>
      <c r="C254" s="216"/>
      <c r="D254" s="216"/>
      <c r="E254" s="216"/>
      <c r="F254" s="216"/>
      <c r="G254" s="216"/>
      <c r="H254" s="216"/>
      <c r="I254" s="216"/>
      <c r="J254" s="216"/>
      <c r="K254" s="216"/>
      <c r="L254" s="207"/>
      <c r="M254" s="207"/>
      <c r="N254" s="216"/>
      <c r="O254" s="216"/>
      <c r="P254" s="216"/>
      <c r="Q254" s="216"/>
      <c r="R254" s="216"/>
      <c r="S254" s="216"/>
      <c r="T254" s="216"/>
      <c r="U254" s="216"/>
      <c r="V254" s="216"/>
    </row>
    <row r="255" spans="1:22">
      <c r="A255" s="216"/>
      <c r="B255" s="216"/>
      <c r="C255" s="216"/>
      <c r="D255" s="216"/>
      <c r="E255" s="216"/>
      <c r="F255" s="216"/>
      <c r="G255" s="216"/>
      <c r="H255" s="216"/>
      <c r="I255" s="216"/>
      <c r="J255" s="216"/>
      <c r="K255" s="216"/>
      <c r="L255" s="207"/>
      <c r="M255" s="207"/>
      <c r="N255" s="216"/>
      <c r="O255" s="216"/>
      <c r="P255" s="216"/>
      <c r="Q255" s="216"/>
      <c r="R255" s="216"/>
      <c r="S255" s="216"/>
      <c r="T255" s="216"/>
      <c r="U255" s="216"/>
      <c r="V255" s="216"/>
    </row>
    <row r="256" spans="1:22">
      <c r="A256" s="216"/>
      <c r="B256" s="216"/>
      <c r="C256" s="216"/>
      <c r="D256" s="216"/>
      <c r="E256" s="216"/>
      <c r="F256" s="216"/>
      <c r="G256" s="216"/>
      <c r="H256" s="216"/>
      <c r="I256" s="216"/>
      <c r="J256" s="216"/>
      <c r="K256" s="216"/>
      <c r="L256" s="207"/>
      <c r="M256" s="207"/>
      <c r="N256" s="216"/>
      <c r="O256" s="216"/>
      <c r="P256" s="216"/>
      <c r="Q256" s="216"/>
      <c r="R256" s="216"/>
      <c r="S256" s="216"/>
      <c r="T256" s="216"/>
      <c r="U256" s="216"/>
      <c r="V256" s="216"/>
    </row>
    <row r="257" spans="1:22">
      <c r="A257" s="216"/>
      <c r="B257" s="216"/>
      <c r="C257" s="216"/>
      <c r="D257" s="216"/>
      <c r="E257" s="216"/>
      <c r="F257" s="216"/>
      <c r="G257" s="216"/>
      <c r="H257" s="216"/>
      <c r="I257" s="216"/>
      <c r="J257" s="216"/>
      <c r="K257" s="216"/>
      <c r="L257" s="207"/>
      <c r="M257" s="207"/>
      <c r="N257" s="216"/>
      <c r="O257" s="216"/>
      <c r="P257" s="216"/>
      <c r="Q257" s="216"/>
      <c r="R257" s="216"/>
      <c r="S257" s="216"/>
      <c r="T257" s="216"/>
      <c r="U257" s="216"/>
      <c r="V257" s="216"/>
    </row>
    <row r="258" spans="1:22">
      <c r="A258" s="216"/>
      <c r="B258" s="216"/>
      <c r="C258" s="216"/>
      <c r="D258" s="216"/>
      <c r="E258" s="216"/>
      <c r="F258" s="216"/>
      <c r="G258" s="216"/>
      <c r="H258" s="216"/>
      <c r="I258" s="216"/>
      <c r="J258" s="216"/>
      <c r="K258" s="216"/>
      <c r="L258" s="207"/>
      <c r="M258" s="207"/>
      <c r="N258" s="216"/>
      <c r="O258" s="216"/>
      <c r="P258" s="216"/>
      <c r="Q258" s="216"/>
      <c r="R258" s="216"/>
      <c r="S258" s="216"/>
      <c r="T258" s="216"/>
      <c r="U258" s="216"/>
      <c r="V258" s="216"/>
    </row>
    <row r="259" spans="1:22">
      <c r="A259" s="216"/>
      <c r="B259" s="216"/>
      <c r="C259" s="216"/>
      <c r="D259" s="216"/>
      <c r="E259" s="216"/>
      <c r="F259" s="216"/>
      <c r="G259" s="216"/>
      <c r="H259" s="216"/>
      <c r="I259" s="216"/>
      <c r="J259" s="216"/>
      <c r="K259" s="216"/>
      <c r="L259" s="207"/>
      <c r="M259" s="207"/>
      <c r="N259" s="216"/>
      <c r="O259" s="216"/>
      <c r="P259" s="216"/>
      <c r="Q259" s="216"/>
      <c r="R259" s="216"/>
      <c r="S259" s="216"/>
      <c r="T259" s="216"/>
      <c r="U259" s="216"/>
      <c r="V259" s="216"/>
    </row>
    <row r="260" spans="1:22">
      <c r="A260" s="216"/>
      <c r="B260" s="216"/>
      <c r="C260" s="216"/>
      <c r="D260" s="216"/>
      <c r="E260" s="216"/>
      <c r="F260" s="216"/>
      <c r="G260" s="216"/>
      <c r="H260" s="216"/>
      <c r="I260" s="216"/>
      <c r="J260" s="216"/>
      <c r="K260" s="216"/>
      <c r="L260" s="207"/>
      <c r="M260" s="207"/>
      <c r="N260" s="216"/>
      <c r="O260" s="216"/>
      <c r="P260" s="216"/>
      <c r="Q260" s="216"/>
      <c r="R260" s="216"/>
      <c r="S260" s="216"/>
      <c r="T260" s="216"/>
      <c r="U260" s="216"/>
      <c r="V260" s="216"/>
    </row>
    <row r="261" spans="1:22">
      <c r="A261" s="216"/>
      <c r="B261" s="216"/>
      <c r="C261" s="216"/>
      <c r="D261" s="216"/>
      <c r="E261" s="216"/>
      <c r="F261" s="216"/>
      <c r="G261" s="216"/>
      <c r="H261" s="216"/>
      <c r="I261" s="216"/>
      <c r="J261" s="216"/>
      <c r="K261" s="216"/>
      <c r="L261" s="207"/>
      <c r="M261" s="207"/>
      <c r="N261" s="216"/>
      <c r="O261" s="216"/>
      <c r="P261" s="216"/>
      <c r="Q261" s="216"/>
      <c r="R261" s="216"/>
      <c r="S261" s="216"/>
      <c r="T261" s="216"/>
      <c r="U261" s="216"/>
      <c r="V261" s="216"/>
    </row>
    <row r="262" spans="1:22">
      <c r="A262" s="216"/>
      <c r="B262" s="216"/>
      <c r="C262" s="216"/>
      <c r="D262" s="216"/>
      <c r="E262" s="216"/>
      <c r="F262" s="216"/>
      <c r="G262" s="216"/>
      <c r="H262" s="216"/>
      <c r="I262" s="216"/>
      <c r="J262" s="216"/>
      <c r="K262" s="216"/>
      <c r="L262" s="207"/>
      <c r="M262" s="207"/>
      <c r="N262" s="216"/>
      <c r="O262" s="216"/>
      <c r="P262" s="216"/>
      <c r="Q262" s="216"/>
      <c r="R262" s="216"/>
      <c r="S262" s="216"/>
      <c r="T262" s="216"/>
      <c r="U262" s="216"/>
      <c r="V262" s="216"/>
    </row>
    <row r="263" spans="1:22">
      <c r="A263" s="216"/>
      <c r="B263" s="216"/>
      <c r="C263" s="216"/>
      <c r="D263" s="216"/>
      <c r="E263" s="216"/>
      <c r="F263" s="216"/>
      <c r="G263" s="216"/>
      <c r="H263" s="216"/>
      <c r="I263" s="216"/>
      <c r="J263" s="216"/>
      <c r="K263" s="216"/>
      <c r="L263" s="207"/>
      <c r="M263" s="207"/>
      <c r="N263" s="216"/>
      <c r="O263" s="216"/>
      <c r="P263" s="216"/>
      <c r="Q263" s="216"/>
      <c r="R263" s="216"/>
      <c r="S263" s="216"/>
      <c r="T263" s="216"/>
      <c r="U263" s="216"/>
      <c r="V263" s="216"/>
    </row>
    <row r="264" spans="1:22">
      <c r="A264" s="216"/>
      <c r="B264" s="216"/>
      <c r="C264" s="216"/>
      <c r="D264" s="216"/>
      <c r="E264" s="216"/>
      <c r="F264" s="216"/>
      <c r="G264" s="216"/>
      <c r="H264" s="216"/>
      <c r="I264" s="216"/>
      <c r="J264" s="216"/>
      <c r="K264" s="216"/>
      <c r="L264" s="207"/>
      <c r="M264" s="207"/>
      <c r="N264" s="216"/>
      <c r="O264" s="216"/>
      <c r="P264" s="216"/>
      <c r="Q264" s="216"/>
      <c r="R264" s="216"/>
      <c r="S264" s="216"/>
      <c r="T264" s="216"/>
      <c r="U264" s="216"/>
      <c r="V264" s="216"/>
    </row>
    <row r="265" spans="1:22">
      <c r="A265" s="216"/>
      <c r="B265" s="216"/>
      <c r="C265" s="216"/>
      <c r="D265" s="216"/>
      <c r="E265" s="216"/>
      <c r="F265" s="216"/>
      <c r="G265" s="216"/>
      <c r="H265" s="216"/>
      <c r="I265" s="216"/>
      <c r="J265" s="216"/>
      <c r="K265" s="216"/>
      <c r="L265" s="207"/>
      <c r="M265" s="207"/>
      <c r="N265" s="216"/>
      <c r="O265" s="216"/>
      <c r="P265" s="216"/>
      <c r="Q265" s="216"/>
      <c r="R265" s="216"/>
      <c r="S265" s="216"/>
      <c r="T265" s="216"/>
      <c r="U265" s="216"/>
      <c r="V265" s="216"/>
    </row>
    <row r="266" spans="1:22">
      <c r="A266" s="216"/>
      <c r="B266" s="216"/>
      <c r="C266" s="216"/>
      <c r="D266" s="216"/>
      <c r="E266" s="216"/>
      <c r="F266" s="216"/>
      <c r="G266" s="216"/>
      <c r="H266" s="216"/>
      <c r="I266" s="216"/>
      <c r="J266" s="216"/>
      <c r="K266" s="216"/>
      <c r="L266" s="207"/>
      <c r="M266" s="207"/>
      <c r="N266" s="216"/>
      <c r="O266" s="216"/>
      <c r="P266" s="216"/>
      <c r="Q266" s="216"/>
      <c r="R266" s="216"/>
      <c r="S266" s="216"/>
      <c r="T266" s="216"/>
      <c r="U266" s="216"/>
      <c r="V266" s="216"/>
    </row>
    <row r="267" spans="1:22">
      <c r="A267" s="216"/>
      <c r="B267" s="216"/>
      <c r="C267" s="216"/>
      <c r="D267" s="216"/>
      <c r="E267" s="216"/>
      <c r="F267" s="216"/>
      <c r="G267" s="216"/>
      <c r="H267" s="216"/>
      <c r="I267" s="216"/>
      <c r="J267" s="216"/>
      <c r="K267" s="216"/>
      <c r="L267" s="207"/>
      <c r="M267" s="207"/>
      <c r="N267" s="216"/>
      <c r="O267" s="216"/>
      <c r="P267" s="216"/>
      <c r="Q267" s="216"/>
      <c r="R267" s="216"/>
      <c r="S267" s="216"/>
      <c r="T267" s="216"/>
      <c r="U267" s="216"/>
      <c r="V267" s="216"/>
    </row>
    <row r="268" spans="1:22">
      <c r="A268" s="216"/>
      <c r="B268" s="216"/>
      <c r="C268" s="216"/>
      <c r="D268" s="216"/>
      <c r="E268" s="216"/>
      <c r="F268" s="216"/>
      <c r="G268" s="216"/>
      <c r="H268" s="216"/>
      <c r="I268" s="216"/>
      <c r="J268" s="216"/>
      <c r="K268" s="216"/>
      <c r="L268" s="207"/>
      <c r="M268" s="207"/>
      <c r="N268" s="216"/>
      <c r="O268" s="216"/>
      <c r="P268" s="216"/>
      <c r="Q268" s="216"/>
      <c r="R268" s="216"/>
      <c r="S268" s="216"/>
      <c r="T268" s="216"/>
      <c r="U268" s="216"/>
      <c r="V268" s="216"/>
    </row>
    <row r="269" spans="1:22">
      <c r="A269" s="216"/>
      <c r="B269" s="216"/>
      <c r="C269" s="216"/>
      <c r="D269" s="216"/>
      <c r="E269" s="216"/>
      <c r="F269" s="216"/>
      <c r="G269" s="216"/>
      <c r="H269" s="216"/>
      <c r="I269" s="216"/>
      <c r="J269" s="216"/>
      <c r="K269" s="216"/>
      <c r="L269" s="207"/>
      <c r="M269" s="207"/>
      <c r="N269" s="216"/>
      <c r="O269" s="216"/>
      <c r="P269" s="216"/>
      <c r="Q269" s="216"/>
      <c r="R269" s="216"/>
      <c r="S269" s="216"/>
      <c r="T269" s="216"/>
      <c r="U269" s="216"/>
      <c r="V269" s="216"/>
    </row>
    <row r="270" spans="1:22">
      <c r="A270" s="216"/>
      <c r="B270" s="216"/>
      <c r="C270" s="216"/>
      <c r="D270" s="216"/>
      <c r="E270" s="216"/>
      <c r="F270" s="216"/>
      <c r="G270" s="216"/>
      <c r="H270" s="216"/>
      <c r="I270" s="216"/>
      <c r="J270" s="216"/>
      <c r="K270" s="216"/>
      <c r="L270" s="207"/>
      <c r="M270" s="207"/>
      <c r="N270" s="216"/>
      <c r="O270" s="216"/>
      <c r="P270" s="216"/>
      <c r="Q270" s="216"/>
      <c r="R270" s="216"/>
      <c r="S270" s="216"/>
      <c r="T270" s="216"/>
      <c r="U270" s="216"/>
      <c r="V270" s="216"/>
    </row>
    <row r="271" spans="1:22">
      <c r="A271" s="216"/>
      <c r="B271" s="216"/>
      <c r="C271" s="216"/>
      <c r="D271" s="216"/>
      <c r="E271" s="216"/>
      <c r="F271" s="216"/>
      <c r="G271" s="216"/>
      <c r="H271" s="216"/>
      <c r="I271" s="216"/>
      <c r="J271" s="216"/>
      <c r="K271" s="216"/>
      <c r="L271" s="207"/>
      <c r="M271" s="207"/>
      <c r="N271" s="216"/>
      <c r="O271" s="216"/>
      <c r="P271" s="216"/>
      <c r="Q271" s="216"/>
      <c r="R271" s="216"/>
      <c r="S271" s="216"/>
      <c r="T271" s="216"/>
      <c r="U271" s="216"/>
      <c r="V271" s="216"/>
    </row>
    <row r="272" spans="1:22">
      <c r="A272" s="216"/>
      <c r="B272" s="216"/>
      <c r="C272" s="216"/>
      <c r="D272" s="216"/>
      <c r="E272" s="216"/>
      <c r="F272" s="216"/>
      <c r="G272" s="216"/>
      <c r="H272" s="216"/>
      <c r="I272" s="216"/>
      <c r="J272" s="216"/>
      <c r="K272" s="216"/>
      <c r="L272" s="207"/>
      <c r="M272" s="207"/>
      <c r="N272" s="216"/>
      <c r="O272" s="216"/>
      <c r="P272" s="216"/>
      <c r="Q272" s="216"/>
      <c r="R272" s="216"/>
      <c r="S272" s="216"/>
      <c r="T272" s="216"/>
      <c r="U272" s="216"/>
      <c r="V272" s="216"/>
    </row>
    <row r="273" spans="1:22">
      <c r="A273" s="216"/>
      <c r="B273" s="216"/>
      <c r="C273" s="216"/>
      <c r="D273" s="216"/>
      <c r="E273" s="216"/>
      <c r="F273" s="216"/>
      <c r="G273" s="216"/>
      <c r="H273" s="216"/>
      <c r="I273" s="216"/>
      <c r="J273" s="216"/>
      <c r="K273" s="216"/>
      <c r="L273" s="207"/>
      <c r="M273" s="207"/>
      <c r="N273" s="216"/>
      <c r="O273" s="216"/>
      <c r="P273" s="216"/>
      <c r="Q273" s="216"/>
      <c r="R273" s="216"/>
      <c r="S273" s="216"/>
      <c r="T273" s="216"/>
      <c r="U273" s="216"/>
      <c r="V273" s="216"/>
    </row>
    <row r="274" spans="1:22">
      <c r="A274" s="216"/>
      <c r="B274" s="216"/>
      <c r="C274" s="216"/>
      <c r="D274" s="216"/>
      <c r="E274" s="216"/>
      <c r="F274" s="216"/>
      <c r="G274" s="216"/>
      <c r="H274" s="216"/>
      <c r="I274" s="216"/>
      <c r="J274" s="216"/>
      <c r="K274" s="216"/>
      <c r="L274" s="207"/>
      <c r="M274" s="207"/>
      <c r="N274" s="216"/>
      <c r="O274" s="216"/>
      <c r="P274" s="216"/>
      <c r="Q274" s="216"/>
      <c r="R274" s="216"/>
      <c r="S274" s="216"/>
      <c r="T274" s="216"/>
      <c r="U274" s="216"/>
      <c r="V274" s="216"/>
    </row>
    <row r="275" spans="1:22">
      <c r="A275" s="216"/>
      <c r="B275" s="216"/>
      <c r="C275" s="216"/>
      <c r="D275" s="216"/>
      <c r="E275" s="216"/>
      <c r="F275" s="216"/>
      <c r="G275" s="216"/>
      <c r="H275" s="216"/>
      <c r="I275" s="216"/>
      <c r="J275" s="216"/>
      <c r="K275" s="216"/>
      <c r="L275" s="207"/>
      <c r="M275" s="207"/>
      <c r="N275" s="216"/>
      <c r="O275" s="216"/>
      <c r="P275" s="216"/>
      <c r="Q275" s="216"/>
      <c r="R275" s="216"/>
      <c r="S275" s="216"/>
      <c r="T275" s="216"/>
      <c r="U275" s="216"/>
      <c r="V275" s="216"/>
    </row>
    <row r="276" spans="1:22">
      <c r="A276" s="216"/>
      <c r="B276" s="216"/>
      <c r="C276" s="216"/>
      <c r="D276" s="216"/>
      <c r="E276" s="216"/>
      <c r="F276" s="216"/>
      <c r="G276" s="216"/>
      <c r="H276" s="216"/>
      <c r="I276" s="216"/>
      <c r="J276" s="216"/>
      <c r="K276" s="216"/>
      <c r="L276" s="207"/>
      <c r="M276" s="207"/>
      <c r="N276" s="216"/>
      <c r="O276" s="216"/>
      <c r="P276" s="216"/>
      <c r="Q276" s="216"/>
      <c r="R276" s="216"/>
      <c r="S276" s="216"/>
      <c r="T276" s="216"/>
      <c r="U276" s="216"/>
      <c r="V276" s="216"/>
    </row>
    <row r="277" spans="1:22">
      <c r="A277" s="216"/>
      <c r="B277" s="216"/>
      <c r="C277" s="216"/>
      <c r="D277" s="216"/>
      <c r="E277" s="216"/>
      <c r="F277" s="216"/>
      <c r="G277" s="216"/>
      <c r="H277" s="216"/>
      <c r="I277" s="216"/>
      <c r="J277" s="216"/>
      <c r="K277" s="216"/>
      <c r="L277" s="207"/>
      <c r="M277" s="207"/>
      <c r="N277" s="216"/>
      <c r="O277" s="216"/>
      <c r="P277" s="216"/>
      <c r="Q277" s="216"/>
      <c r="R277" s="216"/>
      <c r="S277" s="216"/>
      <c r="T277" s="216"/>
      <c r="U277" s="216"/>
      <c r="V277" s="216"/>
    </row>
    <row r="278" spans="1:22">
      <c r="A278" s="216"/>
      <c r="B278" s="216"/>
      <c r="C278" s="216"/>
      <c r="D278" s="216"/>
      <c r="E278" s="216"/>
      <c r="F278" s="216"/>
      <c r="G278" s="216"/>
      <c r="H278" s="216"/>
      <c r="I278" s="216"/>
      <c r="J278" s="216"/>
      <c r="K278" s="216"/>
      <c r="L278" s="207"/>
      <c r="M278" s="207"/>
      <c r="N278" s="216"/>
      <c r="O278" s="216"/>
      <c r="P278" s="216"/>
      <c r="Q278" s="216"/>
      <c r="R278" s="216"/>
      <c r="S278" s="216"/>
      <c r="T278" s="216"/>
      <c r="U278" s="216"/>
      <c r="V278" s="216"/>
    </row>
    <row r="279" spans="1:22">
      <c r="A279" s="216"/>
      <c r="B279" s="216"/>
      <c r="C279" s="216"/>
      <c r="D279" s="216"/>
      <c r="E279" s="216"/>
      <c r="F279" s="216"/>
      <c r="G279" s="216"/>
      <c r="H279" s="216"/>
      <c r="I279" s="216"/>
      <c r="J279" s="216"/>
      <c r="K279" s="216"/>
      <c r="L279" s="207"/>
      <c r="M279" s="207"/>
      <c r="N279" s="216"/>
      <c r="O279" s="216"/>
      <c r="P279" s="216"/>
      <c r="Q279" s="216"/>
      <c r="R279" s="216"/>
      <c r="S279" s="216"/>
      <c r="T279" s="216"/>
      <c r="U279" s="216"/>
      <c r="V279" s="216"/>
    </row>
    <row r="280" spans="1:22">
      <c r="A280" s="216"/>
      <c r="B280" s="216"/>
      <c r="C280" s="216"/>
      <c r="D280" s="216"/>
      <c r="E280" s="216"/>
      <c r="F280" s="216"/>
      <c r="G280" s="216"/>
      <c r="H280" s="216"/>
      <c r="I280" s="216"/>
      <c r="J280" s="216"/>
      <c r="K280" s="216"/>
      <c r="L280" s="207"/>
      <c r="M280" s="207"/>
      <c r="N280" s="216"/>
      <c r="O280" s="216"/>
      <c r="P280" s="216"/>
      <c r="Q280" s="216"/>
      <c r="R280" s="216"/>
      <c r="S280" s="216"/>
      <c r="T280" s="216"/>
      <c r="U280" s="216"/>
      <c r="V280" s="216"/>
    </row>
    <row r="281" spans="1:22">
      <c r="A281" s="216"/>
      <c r="B281" s="216"/>
      <c r="C281" s="216"/>
      <c r="D281" s="216"/>
      <c r="E281" s="216"/>
      <c r="F281" s="216"/>
      <c r="G281" s="216"/>
      <c r="H281" s="216"/>
      <c r="I281" s="216"/>
      <c r="J281" s="216"/>
      <c r="K281" s="216"/>
      <c r="L281" s="207"/>
      <c r="M281" s="207"/>
      <c r="N281" s="216"/>
      <c r="O281" s="216"/>
      <c r="P281" s="216"/>
      <c r="Q281" s="216"/>
      <c r="R281" s="216"/>
      <c r="S281" s="216"/>
      <c r="T281" s="216"/>
      <c r="U281" s="216"/>
      <c r="V281" s="216"/>
    </row>
    <row r="282" spans="1:22">
      <c r="A282" s="216"/>
      <c r="B282" s="216"/>
      <c r="C282" s="216"/>
      <c r="D282" s="216"/>
      <c r="E282" s="216"/>
      <c r="F282" s="216"/>
      <c r="G282" s="216"/>
      <c r="H282" s="216"/>
      <c r="I282" s="216"/>
      <c r="J282" s="216"/>
      <c r="K282" s="216"/>
      <c r="L282" s="207"/>
      <c r="M282" s="207"/>
      <c r="N282" s="216"/>
      <c r="O282" s="216"/>
      <c r="P282" s="216"/>
      <c r="Q282" s="216"/>
      <c r="R282" s="216"/>
      <c r="S282" s="216"/>
      <c r="T282" s="216"/>
      <c r="U282" s="216"/>
      <c r="V282" s="216"/>
    </row>
    <row r="283" spans="1:22">
      <c r="A283" s="216"/>
      <c r="B283" s="216"/>
      <c r="C283" s="216"/>
      <c r="D283" s="216"/>
      <c r="E283" s="216"/>
      <c r="F283" s="216"/>
      <c r="G283" s="216"/>
      <c r="H283" s="216"/>
      <c r="I283" s="216"/>
      <c r="J283" s="216"/>
      <c r="K283" s="216"/>
      <c r="L283" s="207"/>
      <c r="M283" s="207"/>
      <c r="N283" s="216"/>
      <c r="O283" s="216"/>
      <c r="P283" s="216"/>
      <c r="Q283" s="216"/>
      <c r="R283" s="216"/>
      <c r="S283" s="216"/>
      <c r="T283" s="216"/>
      <c r="U283" s="216"/>
      <c r="V283" s="216"/>
    </row>
    <row r="284" spans="1:22">
      <c r="A284" s="216"/>
      <c r="B284" s="216"/>
      <c r="C284" s="216"/>
      <c r="D284" s="216"/>
      <c r="E284" s="216"/>
      <c r="F284" s="216"/>
      <c r="G284" s="216"/>
      <c r="H284" s="216"/>
      <c r="I284" s="216"/>
      <c r="J284" s="216"/>
      <c r="K284" s="216"/>
      <c r="L284" s="207"/>
      <c r="M284" s="207"/>
      <c r="N284" s="216"/>
      <c r="O284" s="216"/>
      <c r="P284" s="216"/>
      <c r="Q284" s="216"/>
      <c r="R284" s="216"/>
      <c r="S284" s="216"/>
      <c r="T284" s="216"/>
      <c r="U284" s="216"/>
      <c r="V284" s="216"/>
    </row>
    <row r="285" spans="1:22">
      <c r="A285" s="216"/>
      <c r="B285" s="216"/>
      <c r="C285" s="216"/>
      <c r="D285" s="216"/>
      <c r="E285" s="216"/>
      <c r="F285" s="216"/>
      <c r="G285" s="216"/>
      <c r="H285" s="216"/>
      <c r="I285" s="216"/>
      <c r="J285" s="216"/>
      <c r="K285" s="216"/>
      <c r="L285" s="207"/>
      <c r="M285" s="207"/>
      <c r="N285" s="216"/>
      <c r="O285" s="216"/>
      <c r="P285" s="216"/>
      <c r="Q285" s="216"/>
      <c r="R285" s="216"/>
      <c r="S285" s="216"/>
      <c r="T285" s="216"/>
      <c r="U285" s="216"/>
      <c r="V285" s="216"/>
    </row>
    <row r="286" spans="1:22">
      <c r="A286" s="216"/>
      <c r="B286" s="216"/>
      <c r="C286" s="216"/>
      <c r="D286" s="216"/>
      <c r="E286" s="216"/>
      <c r="F286" s="216"/>
      <c r="G286" s="216"/>
      <c r="H286" s="216"/>
      <c r="I286" s="216"/>
      <c r="J286" s="216"/>
      <c r="K286" s="216"/>
      <c r="L286" s="207"/>
      <c r="M286" s="207"/>
      <c r="N286" s="216"/>
      <c r="O286" s="216"/>
      <c r="P286" s="216"/>
      <c r="Q286" s="216"/>
      <c r="R286" s="216"/>
      <c r="S286" s="216"/>
      <c r="T286" s="216"/>
      <c r="U286" s="216"/>
      <c r="V286" s="216"/>
    </row>
    <row r="287" spans="1:22">
      <c r="A287" s="216"/>
      <c r="B287" s="216"/>
      <c r="C287" s="216"/>
      <c r="D287" s="216"/>
      <c r="E287" s="216"/>
      <c r="F287" s="216"/>
      <c r="G287" s="216"/>
      <c r="H287" s="216"/>
      <c r="I287" s="216"/>
      <c r="J287" s="216"/>
      <c r="K287" s="216"/>
      <c r="L287" s="207"/>
      <c r="M287" s="207"/>
      <c r="N287" s="216"/>
      <c r="O287" s="216"/>
      <c r="P287" s="216"/>
      <c r="Q287" s="216"/>
      <c r="R287" s="216"/>
      <c r="S287" s="216"/>
      <c r="T287" s="216"/>
      <c r="U287" s="216"/>
      <c r="V287" s="216"/>
    </row>
    <row r="288" spans="1:22">
      <c r="A288" s="216"/>
      <c r="B288" s="216"/>
      <c r="C288" s="216"/>
      <c r="D288" s="216"/>
      <c r="E288" s="216"/>
      <c r="F288" s="216"/>
      <c r="G288" s="216"/>
      <c r="H288" s="216"/>
      <c r="I288" s="216"/>
      <c r="J288" s="216"/>
      <c r="K288" s="216"/>
      <c r="L288" s="207"/>
      <c r="M288" s="207"/>
      <c r="N288" s="216"/>
      <c r="O288" s="216"/>
      <c r="P288" s="216"/>
      <c r="Q288" s="216"/>
      <c r="R288" s="216"/>
      <c r="S288" s="216"/>
      <c r="T288" s="216"/>
      <c r="U288" s="216"/>
      <c r="V288" s="216"/>
    </row>
    <row r="289" spans="1:22">
      <c r="A289" s="216"/>
      <c r="B289" s="216"/>
      <c r="C289" s="216"/>
      <c r="D289" s="216"/>
      <c r="E289" s="216"/>
      <c r="F289" s="216"/>
      <c r="G289" s="216"/>
      <c r="H289" s="216"/>
      <c r="I289" s="216"/>
      <c r="J289" s="216"/>
      <c r="K289" s="216"/>
      <c r="L289" s="207"/>
      <c r="M289" s="207"/>
      <c r="N289" s="216"/>
      <c r="O289" s="216"/>
      <c r="P289" s="216"/>
      <c r="Q289" s="216"/>
      <c r="R289" s="216"/>
      <c r="S289" s="216"/>
      <c r="T289" s="216"/>
      <c r="U289" s="216"/>
      <c r="V289" s="216"/>
    </row>
    <row r="290" spans="1:22">
      <c r="A290" s="216"/>
      <c r="B290" s="216"/>
      <c r="C290" s="216"/>
      <c r="D290" s="216"/>
      <c r="E290" s="216"/>
      <c r="F290" s="216"/>
      <c r="G290" s="216"/>
      <c r="H290" s="216"/>
      <c r="I290" s="216"/>
      <c r="J290" s="216"/>
      <c r="K290" s="216"/>
      <c r="L290" s="207"/>
      <c r="M290" s="207"/>
      <c r="N290" s="216"/>
      <c r="O290" s="216"/>
      <c r="P290" s="216"/>
      <c r="Q290" s="216"/>
      <c r="R290" s="216"/>
      <c r="S290" s="216"/>
      <c r="T290" s="216"/>
      <c r="U290" s="216"/>
      <c r="V290" s="216"/>
    </row>
    <row r="291" spans="1:22">
      <c r="A291" s="216"/>
      <c r="B291" s="216"/>
      <c r="C291" s="216"/>
      <c r="D291" s="216"/>
      <c r="E291" s="216"/>
      <c r="F291" s="216"/>
      <c r="G291" s="216"/>
      <c r="H291" s="216"/>
      <c r="I291" s="216"/>
      <c r="J291" s="216"/>
      <c r="K291" s="216"/>
      <c r="L291" s="207"/>
      <c r="M291" s="207"/>
      <c r="N291" s="216"/>
      <c r="O291" s="216"/>
      <c r="P291" s="216"/>
      <c r="Q291" s="216"/>
      <c r="R291" s="216"/>
      <c r="S291" s="216"/>
      <c r="T291" s="216"/>
      <c r="U291" s="216"/>
      <c r="V291" s="216"/>
    </row>
    <row r="292" spans="1:22">
      <c r="A292" s="216"/>
      <c r="B292" s="216"/>
      <c r="C292" s="216"/>
      <c r="D292" s="216"/>
      <c r="E292" s="216"/>
      <c r="F292" s="216"/>
      <c r="G292" s="216"/>
      <c r="H292" s="216"/>
      <c r="I292" s="216"/>
      <c r="J292" s="216"/>
      <c r="K292" s="216"/>
      <c r="L292" s="207"/>
      <c r="M292" s="207"/>
      <c r="N292" s="216"/>
      <c r="O292" s="216"/>
      <c r="P292" s="216"/>
      <c r="Q292" s="216"/>
      <c r="R292" s="216"/>
      <c r="S292" s="216"/>
      <c r="T292" s="216"/>
      <c r="U292" s="216"/>
      <c r="V292" s="216"/>
    </row>
    <row r="293" spans="1:22">
      <c r="A293" s="216"/>
      <c r="B293" s="216"/>
      <c r="C293" s="216"/>
      <c r="D293" s="216"/>
      <c r="E293" s="216"/>
      <c r="F293" s="216"/>
      <c r="G293" s="216"/>
      <c r="H293" s="216"/>
      <c r="I293" s="216"/>
      <c r="J293" s="216"/>
      <c r="K293" s="216"/>
      <c r="L293" s="207"/>
      <c r="M293" s="207"/>
      <c r="N293" s="216"/>
      <c r="O293" s="216"/>
      <c r="P293" s="216"/>
      <c r="Q293" s="216"/>
      <c r="R293" s="216"/>
      <c r="S293" s="216"/>
      <c r="T293" s="216"/>
      <c r="U293" s="216"/>
      <c r="V293" s="216"/>
    </row>
    <row r="294" spans="1:22">
      <c r="A294" s="216"/>
      <c r="B294" s="216"/>
      <c r="C294" s="216"/>
      <c r="D294" s="216"/>
      <c r="E294" s="216"/>
      <c r="F294" s="216"/>
      <c r="G294" s="216"/>
      <c r="H294" s="216"/>
      <c r="I294" s="216"/>
      <c r="J294" s="216"/>
      <c r="K294" s="216"/>
      <c r="L294" s="207"/>
      <c r="M294" s="207"/>
      <c r="N294" s="216"/>
      <c r="O294" s="216"/>
      <c r="P294" s="216"/>
      <c r="Q294" s="216"/>
      <c r="R294" s="216"/>
      <c r="S294" s="216"/>
      <c r="T294" s="216"/>
      <c r="U294" s="216"/>
      <c r="V294" s="216"/>
    </row>
    <row r="295" spans="1:22">
      <c r="A295" s="216"/>
      <c r="B295" s="216"/>
      <c r="C295" s="216"/>
      <c r="D295" s="216"/>
      <c r="E295" s="216"/>
      <c r="F295" s="216"/>
      <c r="G295" s="216"/>
      <c r="H295" s="216"/>
      <c r="I295" s="216"/>
      <c r="J295" s="216"/>
      <c r="K295" s="216"/>
      <c r="L295" s="207"/>
      <c r="M295" s="207"/>
      <c r="N295" s="216"/>
      <c r="O295" s="216"/>
      <c r="P295" s="216"/>
      <c r="Q295" s="216"/>
      <c r="R295" s="216"/>
      <c r="S295" s="216"/>
      <c r="T295" s="216"/>
      <c r="U295" s="216"/>
      <c r="V295" s="216"/>
    </row>
    <row r="296" spans="1:22">
      <c r="A296" s="216"/>
      <c r="B296" s="216"/>
      <c r="C296" s="216"/>
      <c r="D296" s="216"/>
      <c r="E296" s="216"/>
      <c r="F296" s="216"/>
      <c r="G296" s="216"/>
      <c r="H296" s="216"/>
      <c r="I296" s="216"/>
      <c r="J296" s="216"/>
      <c r="K296" s="216"/>
      <c r="L296" s="207"/>
      <c r="M296" s="207"/>
      <c r="N296" s="216"/>
      <c r="O296" s="216"/>
      <c r="P296" s="216"/>
      <c r="Q296" s="216"/>
      <c r="R296" s="216"/>
      <c r="S296" s="216"/>
      <c r="T296" s="216"/>
      <c r="U296" s="216"/>
      <c r="V296" s="216"/>
    </row>
    <row r="297" spans="1:22">
      <c r="A297" s="216"/>
      <c r="B297" s="216"/>
      <c r="C297" s="216"/>
      <c r="D297" s="216"/>
      <c r="E297" s="216"/>
      <c r="F297" s="216"/>
      <c r="G297" s="216"/>
      <c r="H297" s="216"/>
      <c r="I297" s="216"/>
      <c r="J297" s="216"/>
      <c r="K297" s="216"/>
      <c r="L297" s="207"/>
      <c r="M297" s="207"/>
      <c r="N297" s="216"/>
      <c r="O297" s="216"/>
      <c r="P297" s="216"/>
      <c r="Q297" s="216"/>
      <c r="R297" s="216"/>
      <c r="S297" s="216"/>
      <c r="T297" s="216"/>
      <c r="U297" s="216"/>
      <c r="V297" s="216"/>
    </row>
    <row r="298" spans="1:22">
      <c r="A298" s="216"/>
      <c r="B298" s="216"/>
      <c r="C298" s="216"/>
      <c r="D298" s="216"/>
      <c r="E298" s="216"/>
      <c r="F298" s="216"/>
      <c r="G298" s="216"/>
      <c r="H298" s="216"/>
      <c r="I298" s="216"/>
      <c r="J298" s="216"/>
      <c r="K298" s="216"/>
      <c r="L298" s="207"/>
      <c r="M298" s="207"/>
      <c r="N298" s="216"/>
      <c r="O298" s="216"/>
      <c r="P298" s="216"/>
      <c r="Q298" s="216"/>
      <c r="R298" s="216"/>
      <c r="S298" s="216"/>
      <c r="T298" s="216"/>
      <c r="U298" s="216"/>
      <c r="V298" s="216"/>
    </row>
    <row r="299" spans="1:22">
      <c r="A299" s="216"/>
      <c r="B299" s="216"/>
      <c r="C299" s="216"/>
      <c r="D299" s="216"/>
      <c r="E299" s="216"/>
      <c r="F299" s="216"/>
      <c r="G299" s="216"/>
      <c r="H299" s="216"/>
      <c r="I299" s="216"/>
      <c r="J299" s="216"/>
      <c r="K299" s="216"/>
      <c r="L299" s="207"/>
      <c r="M299" s="207"/>
      <c r="N299" s="216"/>
      <c r="O299" s="216"/>
      <c r="P299" s="216"/>
      <c r="Q299" s="216"/>
      <c r="R299" s="216"/>
      <c r="S299" s="216"/>
      <c r="T299" s="216"/>
      <c r="U299" s="216"/>
      <c r="V299" s="216"/>
    </row>
    <row r="300" spans="1:22">
      <c r="A300" s="216"/>
      <c r="B300" s="216"/>
      <c r="C300" s="216"/>
      <c r="D300" s="216"/>
      <c r="E300" s="216"/>
      <c r="F300" s="216"/>
      <c r="G300" s="216"/>
      <c r="H300" s="216"/>
      <c r="I300" s="216"/>
      <c r="J300" s="216"/>
      <c r="K300" s="216"/>
      <c r="L300" s="207"/>
      <c r="M300" s="207"/>
      <c r="N300" s="216"/>
      <c r="O300" s="216"/>
      <c r="P300" s="216"/>
      <c r="Q300" s="216"/>
      <c r="R300" s="216"/>
      <c r="S300" s="216"/>
      <c r="T300" s="216"/>
      <c r="U300" s="216"/>
      <c r="V300" s="216"/>
    </row>
    <row r="301" spans="1:22">
      <c r="A301" s="216"/>
      <c r="B301" s="216"/>
      <c r="C301" s="216"/>
      <c r="D301" s="216"/>
      <c r="E301" s="216"/>
      <c r="F301" s="216"/>
      <c r="G301" s="216"/>
      <c r="H301" s="216"/>
      <c r="I301" s="216"/>
      <c r="J301" s="216"/>
      <c r="K301" s="216"/>
      <c r="L301" s="207"/>
      <c r="M301" s="207"/>
      <c r="N301" s="216"/>
      <c r="O301" s="216"/>
      <c r="P301" s="216"/>
      <c r="Q301" s="216"/>
      <c r="R301" s="216"/>
      <c r="S301" s="216"/>
      <c r="T301" s="216"/>
      <c r="U301" s="216"/>
      <c r="V301" s="216"/>
    </row>
    <row r="302" spans="1:22">
      <c r="A302" s="216"/>
      <c r="B302" s="216"/>
      <c r="C302" s="216"/>
      <c r="D302" s="216"/>
      <c r="E302" s="216"/>
      <c r="F302" s="216"/>
      <c r="G302" s="216"/>
      <c r="H302" s="216"/>
      <c r="I302" s="216"/>
      <c r="J302" s="216"/>
      <c r="K302" s="216"/>
      <c r="L302" s="207"/>
      <c r="M302" s="207"/>
      <c r="N302" s="216"/>
      <c r="O302" s="216"/>
      <c r="P302" s="216"/>
      <c r="Q302" s="216"/>
      <c r="R302" s="216"/>
      <c r="S302" s="216"/>
      <c r="T302" s="216"/>
      <c r="U302" s="216"/>
      <c r="V302" s="216"/>
    </row>
    <row r="303" spans="1:22">
      <c r="A303" s="216"/>
      <c r="B303" s="216"/>
      <c r="C303" s="216"/>
      <c r="D303" s="216"/>
      <c r="E303" s="216"/>
      <c r="F303" s="216"/>
      <c r="G303" s="216"/>
      <c r="H303" s="216"/>
      <c r="I303" s="216"/>
      <c r="J303" s="216"/>
      <c r="K303" s="216"/>
      <c r="L303" s="207"/>
      <c r="M303" s="207"/>
      <c r="N303" s="216"/>
      <c r="O303" s="216"/>
      <c r="P303" s="216"/>
      <c r="Q303" s="216"/>
      <c r="R303" s="216"/>
      <c r="S303" s="216"/>
      <c r="T303" s="216"/>
      <c r="U303" s="216"/>
      <c r="V303" s="216"/>
    </row>
    <row r="304" spans="1:22">
      <c r="A304" s="216"/>
      <c r="B304" s="216"/>
      <c r="C304" s="216"/>
      <c r="D304" s="216"/>
      <c r="E304" s="216"/>
      <c r="F304" s="216"/>
      <c r="G304" s="216"/>
      <c r="H304" s="216"/>
      <c r="I304" s="216"/>
      <c r="J304" s="216"/>
      <c r="K304" s="216"/>
      <c r="L304" s="207"/>
      <c r="M304" s="207"/>
      <c r="N304" s="216"/>
      <c r="O304" s="216"/>
      <c r="P304" s="216"/>
      <c r="Q304" s="216"/>
      <c r="R304" s="216"/>
      <c r="S304" s="216"/>
      <c r="T304" s="216"/>
      <c r="U304" s="216"/>
      <c r="V304" s="216"/>
    </row>
    <row r="305" spans="1:22">
      <c r="A305" s="216"/>
      <c r="B305" s="216"/>
      <c r="C305" s="216"/>
      <c r="D305" s="216"/>
      <c r="E305" s="216"/>
      <c r="F305" s="216"/>
      <c r="G305" s="216"/>
      <c r="H305" s="216"/>
      <c r="I305" s="216"/>
      <c r="J305" s="216"/>
      <c r="K305" s="216"/>
      <c r="L305" s="207"/>
      <c r="M305" s="207"/>
      <c r="N305" s="216"/>
      <c r="O305" s="216"/>
      <c r="P305" s="216"/>
      <c r="Q305" s="216"/>
      <c r="R305" s="216"/>
      <c r="S305" s="216"/>
      <c r="T305" s="216"/>
      <c r="U305" s="216"/>
      <c r="V305" s="216"/>
    </row>
    <row r="306" spans="1:22">
      <c r="A306" s="216"/>
      <c r="B306" s="216"/>
      <c r="C306" s="216"/>
      <c r="D306" s="216"/>
      <c r="E306" s="216"/>
      <c r="F306" s="216"/>
      <c r="G306" s="216"/>
      <c r="H306" s="216"/>
      <c r="I306" s="216"/>
      <c r="J306" s="216"/>
      <c r="K306" s="216"/>
      <c r="L306" s="207"/>
      <c r="M306" s="207"/>
      <c r="N306" s="216"/>
      <c r="O306" s="216"/>
      <c r="P306" s="216"/>
      <c r="Q306" s="216"/>
      <c r="R306" s="216"/>
      <c r="S306" s="216"/>
      <c r="T306" s="216"/>
      <c r="U306" s="216"/>
      <c r="V306" s="216"/>
    </row>
    <row r="307" spans="1:22">
      <c r="A307" s="216"/>
      <c r="B307" s="216"/>
      <c r="C307" s="216"/>
      <c r="D307" s="216"/>
      <c r="E307" s="216"/>
      <c r="F307" s="216"/>
      <c r="G307" s="216"/>
      <c r="H307" s="216"/>
      <c r="I307" s="216"/>
      <c r="J307" s="216"/>
      <c r="K307" s="216"/>
      <c r="L307" s="207"/>
      <c r="M307" s="207"/>
      <c r="N307" s="216"/>
      <c r="O307" s="216"/>
      <c r="P307" s="216"/>
      <c r="Q307" s="216"/>
      <c r="R307" s="216"/>
      <c r="S307" s="216"/>
      <c r="T307" s="216"/>
      <c r="U307" s="216"/>
      <c r="V307" s="216"/>
    </row>
    <row r="308" spans="1:22">
      <c r="A308" s="216"/>
      <c r="B308" s="216"/>
      <c r="C308" s="216"/>
      <c r="D308" s="216"/>
      <c r="E308" s="216"/>
      <c r="F308" s="216"/>
      <c r="G308" s="216"/>
      <c r="H308" s="216"/>
      <c r="I308" s="216"/>
      <c r="J308" s="216"/>
      <c r="K308" s="216"/>
      <c r="L308" s="207"/>
      <c r="M308" s="207"/>
      <c r="N308" s="216"/>
      <c r="O308" s="216"/>
      <c r="P308" s="216"/>
      <c r="Q308" s="216"/>
      <c r="R308" s="216"/>
      <c r="S308" s="216"/>
      <c r="T308" s="216"/>
      <c r="U308" s="216"/>
      <c r="V308" s="216"/>
    </row>
    <row r="309" spans="1:22">
      <c r="A309" s="216"/>
      <c r="B309" s="216"/>
      <c r="C309" s="216"/>
      <c r="D309" s="216"/>
      <c r="E309" s="216"/>
      <c r="F309" s="216"/>
      <c r="G309" s="216"/>
      <c r="H309" s="216"/>
      <c r="I309" s="216"/>
      <c r="J309" s="216"/>
      <c r="K309" s="216"/>
      <c r="L309" s="207"/>
      <c r="M309" s="207"/>
      <c r="N309" s="216"/>
      <c r="O309" s="216"/>
      <c r="P309" s="216"/>
      <c r="Q309" s="216"/>
      <c r="R309" s="216"/>
      <c r="S309" s="216"/>
      <c r="T309" s="216"/>
      <c r="U309" s="216"/>
      <c r="V309" s="216"/>
    </row>
    <row r="310" spans="1:22">
      <c r="A310" s="216"/>
      <c r="B310" s="216"/>
      <c r="C310" s="216"/>
      <c r="D310" s="216"/>
      <c r="E310" s="216"/>
      <c r="F310" s="216"/>
      <c r="G310" s="216"/>
      <c r="H310" s="216"/>
      <c r="I310" s="216"/>
      <c r="J310" s="216"/>
      <c r="K310" s="216"/>
      <c r="L310" s="207"/>
      <c r="M310" s="207"/>
      <c r="N310" s="216"/>
      <c r="O310" s="216"/>
      <c r="P310" s="216"/>
      <c r="Q310" s="216"/>
      <c r="R310" s="216"/>
      <c r="S310" s="216"/>
      <c r="T310" s="216"/>
      <c r="U310" s="216"/>
      <c r="V310" s="216"/>
    </row>
    <row r="311" spans="1:22">
      <c r="A311" s="216"/>
      <c r="B311" s="216"/>
      <c r="C311" s="216"/>
      <c r="D311" s="216"/>
      <c r="E311" s="216"/>
      <c r="F311" s="216"/>
      <c r="G311" s="216"/>
      <c r="H311" s="216"/>
      <c r="I311" s="216"/>
      <c r="J311" s="216"/>
      <c r="K311" s="216"/>
      <c r="L311" s="207"/>
      <c r="M311" s="207"/>
      <c r="N311" s="216"/>
      <c r="O311" s="216"/>
      <c r="P311" s="216"/>
      <c r="Q311" s="216"/>
      <c r="R311" s="216"/>
      <c r="S311" s="216"/>
      <c r="T311" s="216"/>
      <c r="U311" s="216"/>
      <c r="V311" s="216"/>
    </row>
    <row r="312" spans="1:22">
      <c r="A312" s="216"/>
      <c r="B312" s="216"/>
      <c r="C312" s="216"/>
      <c r="D312" s="216"/>
      <c r="E312" s="216"/>
      <c r="F312" s="216"/>
      <c r="G312" s="216"/>
      <c r="H312" s="216"/>
      <c r="I312" s="216"/>
      <c r="J312" s="216"/>
      <c r="K312" s="216"/>
      <c r="L312" s="207"/>
      <c r="M312" s="207"/>
      <c r="N312" s="216"/>
      <c r="O312" s="216"/>
      <c r="P312" s="216"/>
      <c r="Q312" s="216"/>
      <c r="R312" s="216"/>
      <c r="S312" s="216"/>
      <c r="T312" s="216"/>
      <c r="U312" s="216"/>
      <c r="V312" s="216"/>
    </row>
    <row r="313" spans="1:22">
      <c r="A313" s="216"/>
      <c r="B313" s="216"/>
      <c r="C313" s="216"/>
      <c r="D313" s="216"/>
      <c r="E313" s="216"/>
      <c r="F313" s="216"/>
      <c r="G313" s="216"/>
      <c r="H313" s="216"/>
      <c r="I313" s="216"/>
      <c r="J313" s="216"/>
      <c r="K313" s="216"/>
      <c r="L313" s="207"/>
      <c r="M313" s="207"/>
      <c r="N313" s="216"/>
      <c r="O313" s="216"/>
      <c r="P313" s="216"/>
      <c r="Q313" s="216"/>
      <c r="R313" s="216"/>
      <c r="S313" s="216"/>
      <c r="T313" s="216"/>
      <c r="U313" s="216"/>
      <c r="V313" s="216"/>
    </row>
    <row r="314" spans="1:22">
      <c r="A314" s="216"/>
      <c r="B314" s="216"/>
      <c r="C314" s="216"/>
      <c r="D314" s="216"/>
      <c r="E314" s="216"/>
      <c r="F314" s="216"/>
      <c r="G314" s="216"/>
      <c r="H314" s="216"/>
      <c r="I314" s="216"/>
      <c r="J314" s="216"/>
      <c r="K314" s="216"/>
      <c r="L314" s="207"/>
      <c r="M314" s="207"/>
      <c r="N314" s="216"/>
      <c r="O314" s="216"/>
      <c r="P314" s="216"/>
      <c r="Q314" s="216"/>
      <c r="R314" s="216"/>
      <c r="S314" s="216"/>
      <c r="T314" s="216"/>
      <c r="U314" s="216"/>
      <c r="V314" s="216"/>
    </row>
    <row r="315" spans="1:22">
      <c r="A315" s="216"/>
      <c r="B315" s="216"/>
      <c r="C315" s="216"/>
      <c r="D315" s="216"/>
      <c r="E315" s="216"/>
      <c r="F315" s="216"/>
      <c r="G315" s="216"/>
      <c r="H315" s="216"/>
      <c r="I315" s="216"/>
      <c r="J315" s="216"/>
      <c r="K315" s="216"/>
      <c r="L315" s="207"/>
      <c r="M315" s="207"/>
      <c r="N315" s="216"/>
      <c r="O315" s="216"/>
      <c r="P315" s="216"/>
      <c r="Q315" s="216"/>
      <c r="R315" s="216"/>
      <c r="S315" s="216"/>
      <c r="T315" s="216"/>
      <c r="U315" s="216"/>
      <c r="V315" s="216"/>
    </row>
    <row r="316" spans="1:22">
      <c r="A316" s="216"/>
      <c r="B316" s="216"/>
      <c r="C316" s="216"/>
      <c r="D316" s="216"/>
      <c r="E316" s="216"/>
      <c r="F316" s="216"/>
      <c r="G316" s="216"/>
      <c r="H316" s="216"/>
      <c r="I316" s="216"/>
      <c r="J316" s="216"/>
      <c r="K316" s="216"/>
      <c r="L316" s="207"/>
      <c r="M316" s="207"/>
      <c r="N316" s="216"/>
      <c r="O316" s="216"/>
      <c r="P316" s="216"/>
      <c r="Q316" s="216"/>
      <c r="R316" s="216"/>
      <c r="S316" s="216"/>
      <c r="T316" s="216"/>
      <c r="U316" s="216"/>
      <c r="V316" s="216"/>
    </row>
    <row r="317" spans="1:22">
      <c r="A317" s="216"/>
      <c r="B317" s="216"/>
      <c r="C317" s="216"/>
      <c r="D317" s="216"/>
      <c r="E317" s="216"/>
      <c r="F317" s="216"/>
      <c r="G317" s="216"/>
      <c r="H317" s="216"/>
      <c r="I317" s="216"/>
      <c r="J317" s="216"/>
      <c r="K317" s="216"/>
      <c r="L317" s="207"/>
      <c r="M317" s="207"/>
      <c r="N317" s="216"/>
      <c r="O317" s="216"/>
      <c r="P317" s="216"/>
      <c r="Q317" s="216"/>
      <c r="R317" s="216"/>
      <c r="S317" s="216"/>
      <c r="T317" s="216"/>
      <c r="U317" s="216"/>
      <c r="V317" s="216"/>
    </row>
    <row r="318" spans="1:22">
      <c r="A318" s="216"/>
      <c r="B318" s="216"/>
      <c r="C318" s="216"/>
      <c r="D318" s="216"/>
      <c r="E318" s="216"/>
      <c r="F318" s="216"/>
      <c r="G318" s="216"/>
      <c r="H318" s="216"/>
      <c r="I318" s="216"/>
      <c r="J318" s="216"/>
      <c r="K318" s="216"/>
      <c r="L318" s="207"/>
      <c r="M318" s="207"/>
      <c r="N318" s="216"/>
      <c r="O318" s="216"/>
      <c r="P318" s="216"/>
      <c r="Q318" s="216"/>
      <c r="R318" s="216"/>
      <c r="S318" s="216"/>
      <c r="T318" s="216"/>
      <c r="U318" s="216"/>
      <c r="V318" s="216"/>
    </row>
    <row r="319" spans="1:22">
      <c r="A319" s="216"/>
      <c r="B319" s="216"/>
      <c r="C319" s="216"/>
      <c r="D319" s="216"/>
      <c r="E319" s="216"/>
      <c r="F319" s="216"/>
      <c r="G319" s="216"/>
      <c r="H319" s="216"/>
      <c r="I319" s="216"/>
      <c r="J319" s="216"/>
      <c r="K319" s="216"/>
      <c r="L319" s="207"/>
      <c r="M319" s="207"/>
      <c r="N319" s="216"/>
      <c r="O319" s="216"/>
      <c r="P319" s="216"/>
      <c r="Q319" s="216"/>
      <c r="R319" s="216"/>
      <c r="S319" s="216"/>
      <c r="T319" s="216"/>
      <c r="U319" s="216"/>
      <c r="V319" s="216"/>
    </row>
    <row r="320" spans="1:22">
      <c r="A320" s="216"/>
      <c r="B320" s="216"/>
      <c r="C320" s="216"/>
      <c r="D320" s="216"/>
      <c r="E320" s="216"/>
      <c r="F320" s="216"/>
      <c r="G320" s="216"/>
      <c r="H320" s="216"/>
      <c r="I320" s="216"/>
      <c r="J320" s="216"/>
      <c r="K320" s="216"/>
      <c r="L320" s="207"/>
      <c r="M320" s="207"/>
      <c r="N320" s="216"/>
      <c r="O320" s="216"/>
      <c r="P320" s="216"/>
      <c r="Q320" s="216"/>
      <c r="R320" s="216"/>
      <c r="S320" s="216"/>
      <c r="T320" s="216"/>
      <c r="U320" s="216"/>
      <c r="V320" s="216"/>
    </row>
    <row r="321" spans="1:22">
      <c r="A321" s="216"/>
      <c r="B321" s="216"/>
      <c r="C321" s="216"/>
      <c r="D321" s="216"/>
      <c r="E321" s="216"/>
      <c r="F321" s="216"/>
      <c r="G321" s="216"/>
      <c r="H321" s="216"/>
      <c r="I321" s="216"/>
      <c r="J321" s="216"/>
      <c r="K321" s="216"/>
      <c r="L321" s="207"/>
      <c r="M321" s="207"/>
      <c r="N321" s="216"/>
      <c r="O321" s="216"/>
      <c r="P321" s="216"/>
      <c r="Q321" s="216"/>
      <c r="R321" s="216"/>
      <c r="S321" s="216"/>
      <c r="T321" s="216"/>
      <c r="U321" s="216"/>
      <c r="V321" s="216"/>
    </row>
    <row r="322" spans="1:22">
      <c r="A322" s="216"/>
      <c r="B322" s="216"/>
      <c r="C322" s="216"/>
      <c r="D322" s="216"/>
      <c r="E322" s="216"/>
      <c r="F322" s="216"/>
      <c r="G322" s="216"/>
      <c r="H322" s="216"/>
      <c r="I322" s="216"/>
      <c r="J322" s="216"/>
      <c r="K322" s="216"/>
      <c r="L322" s="207"/>
      <c r="M322" s="207"/>
      <c r="N322" s="216"/>
      <c r="O322" s="216"/>
      <c r="P322" s="216"/>
      <c r="Q322" s="216"/>
      <c r="R322" s="216"/>
      <c r="S322" s="216"/>
      <c r="T322" s="216"/>
      <c r="U322" s="216"/>
      <c r="V322" s="216"/>
    </row>
    <row r="323" spans="1:22">
      <c r="A323" s="216"/>
      <c r="B323" s="216"/>
      <c r="C323" s="216"/>
      <c r="D323" s="216"/>
      <c r="E323" s="216"/>
      <c r="F323" s="216"/>
      <c r="G323" s="216"/>
      <c r="H323" s="216"/>
      <c r="I323" s="216"/>
      <c r="J323" s="216"/>
      <c r="K323" s="216"/>
      <c r="L323" s="207"/>
      <c r="M323" s="207"/>
      <c r="N323" s="216"/>
      <c r="O323" s="216"/>
      <c r="P323" s="216"/>
      <c r="Q323" s="216"/>
      <c r="R323" s="216"/>
      <c r="S323" s="216"/>
      <c r="T323" s="216"/>
      <c r="U323" s="216"/>
      <c r="V323" s="216"/>
    </row>
    <row r="324" spans="1:22">
      <c r="A324" s="216"/>
      <c r="B324" s="216"/>
      <c r="C324" s="216"/>
      <c r="D324" s="216"/>
      <c r="E324" s="216"/>
      <c r="F324" s="216"/>
      <c r="G324" s="216"/>
      <c r="H324" s="216"/>
      <c r="I324" s="216"/>
      <c r="J324" s="216"/>
      <c r="K324" s="216"/>
      <c r="L324" s="207"/>
      <c r="M324" s="207"/>
      <c r="N324" s="216"/>
      <c r="O324" s="216"/>
      <c r="P324" s="216"/>
      <c r="Q324" s="216"/>
      <c r="R324" s="216"/>
      <c r="S324" s="216"/>
      <c r="T324" s="216"/>
      <c r="U324" s="216"/>
      <c r="V324" s="216"/>
    </row>
    <row r="325" spans="1:22">
      <c r="A325" s="216"/>
      <c r="B325" s="216"/>
      <c r="C325" s="216"/>
      <c r="D325" s="216"/>
      <c r="E325" s="216"/>
      <c r="F325" s="216"/>
      <c r="G325" s="216"/>
      <c r="H325" s="216"/>
      <c r="I325" s="216"/>
      <c r="J325" s="216"/>
      <c r="K325" s="216"/>
      <c r="L325" s="207"/>
      <c r="M325" s="207"/>
      <c r="N325" s="216"/>
      <c r="O325" s="216"/>
      <c r="P325" s="216"/>
      <c r="Q325" s="216"/>
      <c r="R325" s="216"/>
      <c r="S325" s="216"/>
      <c r="T325" s="216"/>
      <c r="U325" s="216"/>
      <c r="V325" s="216"/>
    </row>
    <row r="326" spans="1:22">
      <c r="A326" s="216"/>
      <c r="B326" s="216"/>
      <c r="C326" s="216"/>
      <c r="D326" s="216"/>
      <c r="E326" s="216"/>
      <c r="F326" s="216"/>
      <c r="G326" s="216"/>
      <c r="H326" s="216"/>
      <c r="I326" s="216"/>
      <c r="J326" s="216"/>
      <c r="K326" s="216"/>
      <c r="L326" s="207"/>
      <c r="M326" s="207"/>
      <c r="N326" s="216"/>
      <c r="O326" s="216"/>
      <c r="P326" s="216"/>
      <c r="Q326" s="216"/>
      <c r="R326" s="216"/>
      <c r="S326" s="216"/>
      <c r="T326" s="216"/>
      <c r="U326" s="216"/>
      <c r="V326" s="216"/>
    </row>
    <row r="327" spans="1:22">
      <c r="A327" s="216"/>
      <c r="B327" s="216"/>
      <c r="C327" s="216"/>
      <c r="D327" s="216"/>
      <c r="E327" s="216"/>
      <c r="F327" s="216"/>
      <c r="G327" s="216"/>
      <c r="H327" s="216"/>
      <c r="I327" s="216"/>
      <c r="J327" s="216"/>
      <c r="K327" s="216"/>
      <c r="L327" s="207"/>
      <c r="M327" s="207"/>
      <c r="N327" s="216"/>
      <c r="O327" s="216"/>
      <c r="P327" s="216"/>
      <c r="Q327" s="216"/>
      <c r="R327" s="216"/>
      <c r="S327" s="216"/>
      <c r="T327" s="216"/>
      <c r="U327" s="216"/>
      <c r="V327" s="216"/>
    </row>
    <row r="328" spans="1:22">
      <c r="A328" s="216"/>
      <c r="B328" s="216"/>
      <c r="C328" s="216"/>
      <c r="D328" s="216"/>
      <c r="E328" s="216"/>
      <c r="F328" s="216"/>
      <c r="G328" s="216"/>
      <c r="H328" s="216"/>
      <c r="I328" s="216"/>
      <c r="J328" s="216"/>
      <c r="K328" s="216"/>
      <c r="L328" s="207"/>
      <c r="M328" s="207"/>
      <c r="N328" s="216"/>
      <c r="O328" s="216"/>
      <c r="P328" s="216"/>
      <c r="Q328" s="216"/>
      <c r="R328" s="216"/>
      <c r="S328" s="216"/>
      <c r="T328" s="216"/>
      <c r="U328" s="216"/>
      <c r="V328" s="216"/>
    </row>
    <row r="329" spans="1:22">
      <c r="A329" s="216"/>
      <c r="B329" s="216"/>
      <c r="C329" s="216"/>
      <c r="D329" s="216"/>
      <c r="E329" s="216"/>
      <c r="F329" s="216"/>
      <c r="G329" s="216"/>
      <c r="H329" s="216"/>
      <c r="I329" s="216"/>
      <c r="J329" s="216"/>
      <c r="K329" s="216"/>
      <c r="L329" s="207"/>
      <c r="M329" s="207"/>
      <c r="N329" s="216"/>
      <c r="O329" s="216"/>
      <c r="P329" s="216"/>
      <c r="Q329" s="216"/>
      <c r="R329" s="216"/>
      <c r="S329" s="216"/>
      <c r="T329" s="216"/>
      <c r="U329" s="216"/>
      <c r="V329" s="216"/>
    </row>
    <row r="330" spans="1:22">
      <c r="A330" s="216"/>
      <c r="B330" s="216"/>
      <c r="C330" s="216"/>
      <c r="D330" s="216"/>
      <c r="E330" s="216"/>
      <c r="F330" s="216"/>
      <c r="G330" s="216"/>
      <c r="H330" s="216"/>
      <c r="I330" s="216"/>
      <c r="J330" s="216"/>
      <c r="K330" s="216"/>
      <c r="L330" s="207"/>
      <c r="M330" s="207"/>
      <c r="N330" s="216"/>
      <c r="O330" s="216"/>
      <c r="P330" s="216"/>
      <c r="Q330" s="216"/>
      <c r="R330" s="216"/>
      <c r="S330" s="216"/>
      <c r="T330" s="216"/>
      <c r="U330" s="216"/>
      <c r="V330" s="216"/>
    </row>
    <row r="331" spans="1:22">
      <c r="A331" s="216"/>
      <c r="B331" s="216"/>
      <c r="C331" s="216"/>
      <c r="D331" s="216"/>
      <c r="E331" s="216"/>
      <c r="F331" s="216"/>
      <c r="G331" s="216"/>
      <c r="H331" s="216"/>
      <c r="I331" s="216"/>
      <c r="J331" s="216"/>
      <c r="K331" s="216"/>
      <c r="L331" s="207"/>
      <c r="M331" s="207"/>
      <c r="N331" s="216"/>
      <c r="O331" s="216"/>
      <c r="P331" s="216"/>
      <c r="Q331" s="216"/>
      <c r="R331" s="216"/>
      <c r="S331" s="216"/>
      <c r="T331" s="216"/>
      <c r="U331" s="216"/>
      <c r="V331" s="216"/>
    </row>
    <row r="332" spans="1:22">
      <c r="A332" s="216"/>
      <c r="B332" s="216"/>
      <c r="C332" s="216"/>
      <c r="D332" s="216"/>
      <c r="E332" s="216"/>
      <c r="F332" s="216"/>
      <c r="G332" s="216"/>
      <c r="H332" s="216"/>
      <c r="I332" s="216"/>
      <c r="J332" s="216"/>
      <c r="K332" s="216"/>
      <c r="L332" s="207"/>
      <c r="M332" s="207"/>
      <c r="N332" s="216"/>
      <c r="O332" s="216"/>
      <c r="P332" s="216"/>
      <c r="Q332" s="216"/>
      <c r="R332" s="216"/>
      <c r="S332" s="216"/>
      <c r="T332" s="216"/>
      <c r="U332" s="216"/>
      <c r="V332" s="216"/>
    </row>
    <row r="333" spans="1:22">
      <c r="A333" s="216"/>
      <c r="B333" s="216"/>
      <c r="C333" s="216"/>
      <c r="D333" s="216"/>
      <c r="E333" s="216"/>
      <c r="F333" s="216"/>
      <c r="G333" s="216"/>
      <c r="H333" s="216"/>
      <c r="I333" s="216"/>
      <c r="J333" s="216"/>
      <c r="K333" s="216"/>
      <c r="L333" s="207"/>
      <c r="M333" s="207"/>
      <c r="N333" s="216"/>
      <c r="O333" s="216"/>
      <c r="P333" s="216"/>
      <c r="Q333" s="216"/>
      <c r="R333" s="216"/>
      <c r="S333" s="216"/>
      <c r="T333" s="216"/>
      <c r="U333" s="216"/>
      <c r="V333" s="216"/>
    </row>
    <row r="334" spans="1:22">
      <c r="A334" s="216"/>
      <c r="B334" s="216"/>
      <c r="C334" s="216"/>
      <c r="D334" s="216"/>
      <c r="E334" s="216"/>
      <c r="F334" s="216"/>
      <c r="G334" s="216"/>
      <c r="H334" s="216"/>
      <c r="I334" s="216"/>
      <c r="J334" s="216"/>
      <c r="K334" s="216"/>
      <c r="L334" s="207"/>
      <c r="M334" s="207"/>
      <c r="N334" s="216"/>
      <c r="O334" s="216"/>
      <c r="P334" s="216"/>
      <c r="Q334" s="216"/>
      <c r="R334" s="216"/>
      <c r="S334" s="216"/>
      <c r="T334" s="216"/>
      <c r="U334" s="216"/>
      <c r="V334" s="216"/>
    </row>
    <row r="335" spans="1:22">
      <c r="A335" s="216"/>
      <c r="B335" s="216"/>
      <c r="C335" s="216"/>
      <c r="D335" s="216"/>
      <c r="E335" s="216"/>
      <c r="F335" s="216"/>
      <c r="G335" s="216"/>
      <c r="H335" s="216"/>
      <c r="I335" s="216"/>
      <c r="J335" s="216"/>
      <c r="K335" s="216"/>
      <c r="L335" s="207"/>
      <c r="M335" s="207"/>
      <c r="N335" s="216"/>
      <c r="O335" s="216"/>
      <c r="P335" s="216"/>
      <c r="Q335" s="216"/>
      <c r="R335" s="216"/>
      <c r="S335" s="216"/>
      <c r="T335" s="216"/>
      <c r="U335" s="216"/>
      <c r="V335" s="216"/>
    </row>
    <row r="336" spans="1:22">
      <c r="A336" s="216"/>
      <c r="B336" s="216"/>
      <c r="C336" s="216"/>
      <c r="D336" s="216"/>
      <c r="E336" s="216"/>
      <c r="F336" s="216"/>
      <c r="G336" s="216"/>
      <c r="H336" s="216"/>
      <c r="I336" s="216"/>
      <c r="J336" s="216"/>
      <c r="K336" s="216"/>
      <c r="L336" s="207"/>
      <c r="M336" s="207"/>
      <c r="N336" s="216"/>
      <c r="O336" s="216"/>
      <c r="P336" s="216"/>
      <c r="Q336" s="216"/>
      <c r="R336" s="216"/>
      <c r="S336" s="216"/>
      <c r="T336" s="216"/>
      <c r="U336" s="216"/>
      <c r="V336" s="216"/>
    </row>
    <row r="337" spans="1:22">
      <c r="A337" s="216"/>
      <c r="B337" s="216"/>
      <c r="C337" s="216"/>
      <c r="D337" s="216"/>
      <c r="E337" s="216"/>
      <c r="F337" s="216"/>
      <c r="G337" s="216"/>
      <c r="H337" s="216"/>
      <c r="I337" s="216"/>
      <c r="J337" s="216"/>
      <c r="K337" s="216"/>
      <c r="L337" s="207"/>
      <c r="M337" s="207"/>
      <c r="N337" s="216"/>
      <c r="O337" s="216"/>
      <c r="P337" s="216"/>
      <c r="Q337" s="216"/>
      <c r="R337" s="216"/>
      <c r="S337" s="216"/>
      <c r="T337" s="216"/>
      <c r="U337" s="216"/>
      <c r="V337" s="216"/>
    </row>
    <row r="338" spans="1:22">
      <c r="A338" s="216"/>
      <c r="B338" s="216"/>
      <c r="C338" s="216"/>
      <c r="D338" s="216"/>
      <c r="E338" s="216"/>
      <c r="F338" s="216"/>
      <c r="G338" s="216"/>
      <c r="H338" s="216"/>
      <c r="I338" s="216"/>
      <c r="J338" s="216"/>
      <c r="K338" s="216"/>
      <c r="L338" s="207"/>
      <c r="M338" s="207"/>
      <c r="N338" s="216"/>
      <c r="O338" s="216"/>
      <c r="P338" s="216"/>
      <c r="Q338" s="216"/>
      <c r="R338" s="216"/>
      <c r="S338" s="216"/>
      <c r="T338" s="216"/>
      <c r="U338" s="216"/>
      <c r="V338" s="216"/>
    </row>
    <row r="339" spans="1:22">
      <c r="A339" s="216"/>
      <c r="B339" s="216"/>
      <c r="C339" s="216"/>
      <c r="D339" s="216"/>
      <c r="E339" s="216"/>
      <c r="F339" s="216"/>
      <c r="G339" s="216"/>
      <c r="H339" s="216"/>
      <c r="I339" s="216"/>
      <c r="J339" s="216"/>
      <c r="K339" s="216"/>
      <c r="L339" s="207"/>
      <c r="M339" s="207"/>
      <c r="N339" s="216"/>
      <c r="O339" s="216"/>
      <c r="P339" s="216"/>
      <c r="Q339" s="216"/>
      <c r="R339" s="216"/>
      <c r="S339" s="216"/>
      <c r="T339" s="216"/>
      <c r="U339" s="216"/>
      <c r="V339" s="216"/>
    </row>
    <row r="340" spans="1:22">
      <c r="A340" s="216"/>
      <c r="B340" s="216"/>
      <c r="C340" s="216"/>
      <c r="D340" s="216"/>
      <c r="E340" s="216"/>
      <c r="F340" s="216"/>
      <c r="G340" s="216"/>
      <c r="H340" s="216"/>
      <c r="I340" s="216"/>
      <c r="J340" s="216"/>
      <c r="K340" s="216"/>
      <c r="L340" s="207"/>
      <c r="M340" s="207"/>
      <c r="N340" s="216"/>
      <c r="O340" s="216"/>
      <c r="P340" s="216"/>
      <c r="Q340" s="216"/>
      <c r="R340" s="216"/>
      <c r="S340" s="216"/>
      <c r="T340" s="216"/>
      <c r="U340" s="216"/>
      <c r="V340" s="216"/>
    </row>
    <row r="341" spans="1:22">
      <c r="A341" s="216"/>
      <c r="B341" s="216"/>
      <c r="C341" s="216"/>
      <c r="D341" s="216"/>
      <c r="E341" s="216"/>
      <c r="F341" s="216"/>
      <c r="G341" s="216"/>
      <c r="H341" s="216"/>
      <c r="I341" s="216"/>
      <c r="J341" s="216"/>
      <c r="K341" s="216"/>
      <c r="L341" s="207"/>
      <c r="M341" s="207"/>
      <c r="N341" s="216"/>
      <c r="O341" s="216"/>
      <c r="P341" s="216"/>
      <c r="Q341" s="216"/>
      <c r="R341" s="216"/>
      <c r="S341" s="216"/>
      <c r="T341" s="216"/>
      <c r="U341" s="216"/>
      <c r="V341" s="216"/>
    </row>
    <row r="342" spans="1:22">
      <c r="A342" s="216"/>
      <c r="B342" s="216"/>
      <c r="C342" s="216"/>
      <c r="D342" s="216"/>
      <c r="E342" s="216"/>
      <c r="F342" s="216"/>
      <c r="G342" s="216"/>
      <c r="H342" s="216"/>
      <c r="I342" s="216"/>
      <c r="J342" s="216"/>
      <c r="K342" s="216"/>
      <c r="L342" s="207"/>
      <c r="M342" s="207"/>
      <c r="N342" s="216"/>
      <c r="O342" s="216"/>
      <c r="P342" s="216"/>
      <c r="Q342" s="216"/>
      <c r="R342" s="216"/>
      <c r="S342" s="216"/>
      <c r="T342" s="216"/>
      <c r="U342" s="216"/>
      <c r="V342" s="216"/>
    </row>
    <row r="343" spans="1:22">
      <c r="A343" s="216"/>
      <c r="B343" s="216"/>
      <c r="C343" s="216"/>
      <c r="D343" s="216"/>
      <c r="E343" s="216"/>
      <c r="F343" s="216"/>
      <c r="G343" s="216"/>
      <c r="H343" s="216"/>
      <c r="I343" s="216"/>
      <c r="J343" s="216"/>
      <c r="K343" s="216"/>
      <c r="L343" s="207"/>
      <c r="M343" s="207"/>
      <c r="N343" s="216"/>
      <c r="O343" s="216"/>
      <c r="P343" s="216"/>
      <c r="Q343" s="216"/>
      <c r="R343" s="216"/>
      <c r="S343" s="216"/>
      <c r="T343" s="216"/>
      <c r="U343" s="216"/>
      <c r="V343" s="216"/>
    </row>
    <row r="344" spans="1:22">
      <c r="A344" s="216"/>
      <c r="B344" s="216"/>
      <c r="C344" s="216"/>
      <c r="D344" s="216"/>
      <c r="E344" s="216"/>
      <c r="F344" s="216"/>
      <c r="G344" s="216"/>
      <c r="H344" s="216"/>
      <c r="I344" s="216"/>
      <c r="J344" s="216"/>
      <c r="K344" s="216"/>
      <c r="L344" s="207"/>
      <c r="M344" s="207"/>
      <c r="N344" s="216"/>
      <c r="O344" s="216"/>
      <c r="P344" s="216"/>
      <c r="Q344" s="216"/>
      <c r="R344" s="216"/>
      <c r="S344" s="216"/>
      <c r="T344" s="216"/>
      <c r="U344" s="216"/>
      <c r="V344" s="216"/>
    </row>
    <row r="345" spans="1:22">
      <c r="A345" s="216"/>
      <c r="B345" s="216"/>
      <c r="C345" s="216"/>
      <c r="D345" s="216"/>
      <c r="E345" s="216"/>
      <c r="F345" s="216"/>
      <c r="G345" s="216"/>
      <c r="H345" s="216"/>
      <c r="I345" s="216"/>
      <c r="J345" s="216"/>
      <c r="K345" s="216"/>
      <c r="L345" s="207"/>
      <c r="M345" s="207"/>
      <c r="N345" s="216"/>
      <c r="O345" s="216"/>
      <c r="P345" s="216"/>
      <c r="Q345" s="216"/>
      <c r="R345" s="216"/>
      <c r="S345" s="216"/>
      <c r="T345" s="216"/>
      <c r="U345" s="216"/>
      <c r="V345" s="216"/>
    </row>
    <row r="346" spans="1:22">
      <c r="A346" s="216"/>
      <c r="B346" s="216"/>
      <c r="C346" s="216"/>
      <c r="D346" s="216"/>
      <c r="E346" s="216"/>
      <c r="F346" s="216"/>
      <c r="G346" s="216"/>
      <c r="H346" s="216"/>
      <c r="I346" s="216"/>
      <c r="J346" s="216"/>
      <c r="K346" s="216"/>
      <c r="L346" s="207"/>
      <c r="M346" s="207"/>
      <c r="N346" s="216"/>
      <c r="O346" s="216"/>
      <c r="P346" s="216"/>
      <c r="Q346" s="216"/>
      <c r="R346" s="216"/>
      <c r="S346" s="216"/>
      <c r="T346" s="216"/>
      <c r="U346" s="216"/>
      <c r="V346" s="216"/>
    </row>
    <row r="347" spans="1:22">
      <c r="A347" s="216"/>
      <c r="B347" s="216"/>
      <c r="C347" s="216"/>
      <c r="D347" s="216"/>
      <c r="E347" s="216"/>
      <c r="F347" s="216"/>
      <c r="G347" s="216"/>
      <c r="H347" s="216"/>
      <c r="I347" s="216"/>
      <c r="J347" s="216"/>
      <c r="K347" s="216"/>
      <c r="L347" s="207"/>
      <c r="M347" s="207"/>
      <c r="N347" s="216"/>
      <c r="O347" s="216"/>
      <c r="P347" s="216"/>
      <c r="Q347" s="216"/>
      <c r="R347" s="216"/>
      <c r="S347" s="216"/>
      <c r="T347" s="216"/>
      <c r="U347" s="216"/>
      <c r="V347" s="216"/>
    </row>
    <row r="348" spans="1:22">
      <c r="A348" s="216"/>
      <c r="B348" s="216"/>
      <c r="C348" s="216"/>
      <c r="D348" s="216"/>
      <c r="E348" s="216"/>
      <c r="F348" s="216"/>
      <c r="G348" s="216"/>
      <c r="H348" s="216"/>
      <c r="I348" s="216"/>
      <c r="J348" s="216"/>
      <c r="K348" s="216"/>
      <c r="L348" s="207"/>
      <c r="M348" s="207"/>
      <c r="N348" s="216"/>
      <c r="O348" s="216"/>
      <c r="P348" s="216"/>
      <c r="Q348" s="216"/>
      <c r="R348" s="216"/>
      <c r="S348" s="216"/>
      <c r="T348" s="216"/>
      <c r="U348" s="216"/>
      <c r="V348" s="216"/>
    </row>
    <row r="349" spans="1:22">
      <c r="A349" s="216"/>
      <c r="B349" s="216"/>
      <c r="C349" s="216"/>
      <c r="D349" s="216"/>
      <c r="E349" s="216"/>
      <c r="F349" s="216"/>
      <c r="G349" s="216"/>
      <c r="H349" s="216"/>
      <c r="I349" s="216"/>
      <c r="J349" s="216"/>
      <c r="K349" s="216"/>
      <c r="L349" s="207"/>
      <c r="M349" s="207"/>
      <c r="N349" s="216"/>
      <c r="O349" s="216"/>
      <c r="P349" s="216"/>
      <c r="Q349" s="216"/>
      <c r="R349" s="216"/>
      <c r="S349" s="216"/>
      <c r="T349" s="216"/>
      <c r="U349" s="216"/>
      <c r="V349" s="216"/>
    </row>
    <row r="350" spans="1:22">
      <c r="A350" s="216"/>
      <c r="B350" s="216"/>
      <c r="C350" s="216"/>
      <c r="D350" s="216"/>
      <c r="E350" s="216"/>
      <c r="F350" s="216"/>
      <c r="G350" s="216"/>
      <c r="H350" s="216"/>
      <c r="I350" s="216"/>
      <c r="J350" s="216"/>
      <c r="K350" s="216"/>
      <c r="L350" s="207"/>
      <c r="M350" s="207"/>
      <c r="N350" s="216"/>
      <c r="O350" s="216"/>
      <c r="P350" s="216"/>
      <c r="Q350" s="216"/>
      <c r="R350" s="216"/>
      <c r="S350" s="216"/>
      <c r="T350" s="216"/>
      <c r="U350" s="216"/>
      <c r="V350" s="216"/>
    </row>
    <row r="351" spans="1:22">
      <c r="A351" s="216"/>
      <c r="B351" s="216"/>
      <c r="C351" s="216"/>
      <c r="D351" s="216"/>
      <c r="E351" s="216"/>
      <c r="F351" s="216"/>
      <c r="G351" s="216"/>
      <c r="H351" s="216"/>
      <c r="I351" s="216"/>
      <c r="J351" s="216"/>
      <c r="K351" s="216"/>
      <c r="L351" s="207"/>
      <c r="M351" s="207"/>
      <c r="N351" s="216"/>
      <c r="O351" s="216"/>
      <c r="P351" s="216"/>
      <c r="Q351" s="216"/>
      <c r="R351" s="216"/>
      <c r="S351" s="216"/>
      <c r="T351" s="216"/>
      <c r="U351" s="216"/>
      <c r="V351" s="216"/>
    </row>
    <row r="352" spans="1:22">
      <c r="A352" s="216"/>
      <c r="B352" s="216"/>
      <c r="C352" s="216"/>
      <c r="D352" s="216"/>
      <c r="E352" s="216"/>
      <c r="F352" s="216"/>
      <c r="G352" s="216"/>
      <c r="H352" s="216"/>
      <c r="I352" s="216"/>
      <c r="J352" s="216"/>
      <c r="K352" s="216"/>
      <c r="L352" s="207"/>
      <c r="M352" s="207"/>
      <c r="N352" s="216"/>
      <c r="O352" s="216"/>
      <c r="P352" s="216"/>
      <c r="Q352" s="216"/>
      <c r="R352" s="216"/>
      <c r="S352" s="216"/>
      <c r="T352" s="216"/>
      <c r="U352" s="216"/>
      <c r="V352" s="216"/>
    </row>
    <row r="353" spans="1:22">
      <c r="A353" s="216"/>
      <c r="B353" s="216"/>
      <c r="C353" s="216"/>
      <c r="D353" s="216"/>
      <c r="E353" s="216"/>
      <c r="F353" s="216"/>
      <c r="G353" s="216"/>
      <c r="H353" s="216"/>
      <c r="I353" s="216"/>
      <c r="J353" s="216"/>
      <c r="K353" s="216"/>
      <c r="L353" s="207"/>
      <c r="M353" s="207"/>
      <c r="N353" s="216"/>
      <c r="O353" s="216"/>
      <c r="P353" s="216"/>
      <c r="Q353" s="216"/>
      <c r="R353" s="216"/>
      <c r="S353" s="216"/>
      <c r="T353" s="216"/>
      <c r="U353" s="216"/>
      <c r="V353" s="216"/>
    </row>
    <row r="354" spans="1:22">
      <c r="A354" s="216"/>
      <c r="B354" s="216"/>
      <c r="C354" s="216"/>
      <c r="D354" s="216"/>
      <c r="E354" s="216"/>
      <c r="F354" s="216"/>
      <c r="G354" s="216"/>
      <c r="H354" s="216"/>
      <c r="I354" s="216"/>
      <c r="J354" s="216"/>
      <c r="K354" s="216"/>
      <c r="L354" s="207"/>
      <c r="M354" s="207"/>
      <c r="N354" s="216"/>
      <c r="O354" s="216"/>
      <c r="P354" s="216"/>
      <c r="Q354" s="216"/>
      <c r="R354" s="216"/>
      <c r="S354" s="216"/>
      <c r="T354" s="216"/>
      <c r="U354" s="216"/>
      <c r="V354" s="216"/>
    </row>
    <row r="355" spans="1:22">
      <c r="A355" s="216"/>
      <c r="B355" s="216"/>
      <c r="C355" s="216"/>
      <c r="D355" s="216"/>
      <c r="E355" s="216"/>
      <c r="F355" s="216"/>
      <c r="G355" s="216"/>
      <c r="H355" s="216"/>
      <c r="I355" s="216"/>
      <c r="J355" s="216"/>
      <c r="K355" s="216"/>
      <c r="L355" s="207"/>
      <c r="M355" s="207"/>
      <c r="N355" s="216"/>
      <c r="O355" s="216"/>
      <c r="P355" s="216"/>
      <c r="Q355" s="216"/>
      <c r="R355" s="216"/>
      <c r="S355" s="216"/>
      <c r="T355" s="216"/>
      <c r="U355" s="216"/>
      <c r="V355" s="216"/>
    </row>
    <row r="356" spans="1:22">
      <c r="A356" s="216"/>
      <c r="B356" s="216"/>
      <c r="C356" s="216"/>
      <c r="D356" s="216"/>
      <c r="E356" s="216"/>
      <c r="F356" s="216"/>
      <c r="G356" s="216"/>
      <c r="H356" s="216"/>
      <c r="I356" s="216"/>
      <c r="J356" s="216"/>
      <c r="K356" s="216"/>
      <c r="L356" s="207"/>
      <c r="M356" s="207"/>
      <c r="N356" s="216"/>
      <c r="O356" s="216"/>
      <c r="P356" s="216"/>
      <c r="Q356" s="216"/>
      <c r="R356" s="216"/>
      <c r="S356" s="216"/>
      <c r="T356" s="216"/>
      <c r="U356" s="216"/>
      <c r="V356" s="216"/>
    </row>
    <row r="357" spans="1:22">
      <c r="A357" s="216"/>
      <c r="B357" s="216"/>
      <c r="C357" s="216"/>
      <c r="D357" s="216"/>
      <c r="E357" s="216"/>
      <c r="F357" s="216"/>
      <c r="G357" s="216"/>
      <c r="H357" s="216"/>
      <c r="I357" s="216"/>
      <c r="J357" s="216"/>
      <c r="K357" s="216"/>
      <c r="L357" s="207"/>
      <c r="M357" s="207"/>
      <c r="N357" s="216"/>
      <c r="O357" s="216"/>
      <c r="P357" s="216"/>
      <c r="Q357" s="216"/>
      <c r="R357" s="216"/>
      <c r="S357" s="216"/>
      <c r="T357" s="216"/>
      <c r="U357" s="216"/>
      <c r="V357" s="216"/>
    </row>
    <row r="358" spans="1:22">
      <c r="A358" s="216"/>
      <c r="B358" s="216"/>
      <c r="C358" s="216"/>
      <c r="D358" s="216"/>
      <c r="E358" s="216"/>
      <c r="F358" s="216"/>
      <c r="G358" s="216"/>
      <c r="H358" s="216"/>
      <c r="I358" s="216"/>
      <c r="J358" s="216"/>
      <c r="K358" s="216"/>
      <c r="L358" s="207"/>
      <c r="M358" s="207"/>
      <c r="N358" s="216"/>
      <c r="O358" s="216"/>
      <c r="P358" s="216"/>
      <c r="Q358" s="216"/>
      <c r="R358" s="216"/>
      <c r="S358" s="216"/>
      <c r="T358" s="216"/>
      <c r="U358" s="216"/>
      <c r="V358" s="216"/>
    </row>
    <row r="359" spans="1:22">
      <c r="A359" s="216"/>
      <c r="B359" s="216"/>
      <c r="C359" s="216"/>
      <c r="D359" s="216"/>
      <c r="E359" s="216"/>
      <c r="F359" s="216"/>
      <c r="G359" s="216"/>
      <c r="H359" s="216"/>
      <c r="I359" s="216"/>
      <c r="J359" s="216"/>
      <c r="K359" s="216"/>
      <c r="L359" s="207"/>
      <c r="M359" s="207"/>
      <c r="N359" s="216"/>
      <c r="O359" s="216"/>
      <c r="P359" s="216"/>
      <c r="Q359" s="216"/>
      <c r="R359" s="216"/>
      <c r="S359" s="216"/>
      <c r="T359" s="216"/>
      <c r="U359" s="216"/>
      <c r="V359" s="216"/>
    </row>
    <row r="360" spans="1:22">
      <c r="A360" s="216"/>
      <c r="B360" s="216"/>
      <c r="C360" s="216"/>
      <c r="D360" s="216"/>
      <c r="E360" s="216"/>
      <c r="F360" s="216"/>
      <c r="G360" s="216"/>
      <c r="H360" s="216"/>
      <c r="I360" s="216"/>
      <c r="J360" s="216"/>
      <c r="K360" s="216"/>
      <c r="L360" s="207"/>
      <c r="M360" s="207"/>
      <c r="N360" s="216"/>
      <c r="O360" s="216"/>
      <c r="P360" s="216"/>
      <c r="Q360" s="216"/>
      <c r="R360" s="216"/>
      <c r="S360" s="216"/>
      <c r="T360" s="216"/>
      <c r="U360" s="216"/>
      <c r="V360" s="216"/>
    </row>
    <row r="361" spans="1:22">
      <c r="A361" s="216"/>
      <c r="B361" s="216"/>
      <c r="C361" s="216"/>
      <c r="D361" s="216"/>
      <c r="E361" s="216"/>
      <c r="F361" s="216"/>
      <c r="G361" s="216"/>
      <c r="H361" s="216"/>
      <c r="I361" s="216"/>
      <c r="J361" s="216"/>
      <c r="K361" s="216"/>
      <c r="L361" s="207"/>
      <c r="M361" s="207"/>
      <c r="N361" s="216"/>
      <c r="O361" s="216"/>
      <c r="P361" s="216"/>
      <c r="Q361" s="216"/>
      <c r="R361" s="216"/>
      <c r="S361" s="216"/>
      <c r="T361" s="216"/>
      <c r="U361" s="216"/>
      <c r="V361" s="216"/>
    </row>
    <row r="362" spans="1:22">
      <c r="A362" s="216"/>
      <c r="B362" s="216"/>
      <c r="C362" s="216"/>
      <c r="D362" s="216"/>
      <c r="E362" s="216"/>
      <c r="F362" s="216"/>
      <c r="G362" s="216"/>
      <c r="H362" s="216"/>
      <c r="I362" s="216"/>
      <c r="J362" s="216"/>
      <c r="K362" s="216"/>
      <c r="L362" s="207"/>
      <c r="M362" s="207"/>
      <c r="N362" s="216"/>
      <c r="O362" s="216"/>
      <c r="P362" s="216"/>
      <c r="Q362" s="216"/>
      <c r="R362" s="216"/>
      <c r="S362" s="216"/>
      <c r="T362" s="216"/>
      <c r="U362" s="216"/>
      <c r="V362" s="216"/>
    </row>
    <row r="363" spans="1:22">
      <c r="A363" s="216"/>
      <c r="B363" s="216"/>
      <c r="C363" s="216"/>
      <c r="D363" s="216"/>
      <c r="E363" s="216"/>
      <c r="F363" s="216"/>
      <c r="G363" s="216"/>
      <c r="H363" s="216"/>
      <c r="I363" s="216"/>
      <c r="J363" s="216"/>
      <c r="K363" s="216"/>
      <c r="L363" s="207"/>
      <c r="M363" s="207"/>
      <c r="N363" s="216"/>
      <c r="O363" s="216"/>
      <c r="P363" s="216"/>
      <c r="Q363" s="216"/>
      <c r="R363" s="216"/>
      <c r="S363" s="216"/>
      <c r="T363" s="216"/>
      <c r="U363" s="216"/>
      <c r="V363" s="216"/>
    </row>
    <row r="364" spans="1:22">
      <c r="A364" s="216"/>
      <c r="B364" s="216"/>
      <c r="C364" s="216"/>
      <c r="D364" s="216"/>
      <c r="E364" s="216"/>
      <c r="F364" s="216"/>
      <c r="G364" s="216"/>
      <c r="H364" s="216"/>
      <c r="I364" s="216"/>
      <c r="J364" s="216"/>
      <c r="K364" s="216"/>
      <c r="L364" s="207"/>
      <c r="M364" s="207"/>
      <c r="N364" s="216"/>
      <c r="O364" s="216"/>
      <c r="P364" s="216"/>
      <c r="Q364" s="216"/>
      <c r="R364" s="216"/>
      <c r="S364" s="216"/>
      <c r="T364" s="216"/>
      <c r="U364" s="216"/>
      <c r="V364" s="216"/>
    </row>
    <row r="365" spans="1:22">
      <c r="A365" s="216"/>
      <c r="B365" s="216"/>
      <c r="C365" s="216"/>
      <c r="D365" s="216"/>
      <c r="E365" s="216"/>
      <c r="F365" s="216"/>
      <c r="G365" s="216"/>
      <c r="H365" s="216"/>
      <c r="I365" s="216"/>
      <c r="J365" s="216"/>
      <c r="K365" s="216"/>
      <c r="L365" s="207"/>
      <c r="M365" s="207"/>
      <c r="N365" s="216"/>
      <c r="O365" s="216"/>
      <c r="P365" s="216"/>
      <c r="Q365" s="216"/>
      <c r="R365" s="216"/>
      <c r="S365" s="216"/>
      <c r="T365" s="216"/>
      <c r="U365" s="216"/>
      <c r="V365" s="216"/>
    </row>
    <row r="366" spans="1:22">
      <c r="A366" s="216"/>
      <c r="B366" s="216"/>
      <c r="C366" s="216"/>
      <c r="D366" s="216"/>
      <c r="E366" s="216"/>
      <c r="F366" s="216"/>
      <c r="G366" s="216"/>
      <c r="H366" s="216"/>
      <c r="I366" s="216"/>
      <c r="J366" s="216"/>
      <c r="K366" s="216"/>
      <c r="L366" s="207"/>
      <c r="M366" s="207"/>
      <c r="N366" s="216"/>
      <c r="O366" s="216"/>
      <c r="P366" s="216"/>
      <c r="Q366" s="216"/>
      <c r="R366" s="216"/>
      <c r="S366" s="216"/>
      <c r="T366" s="216"/>
      <c r="U366" s="216"/>
      <c r="V366" s="216"/>
    </row>
    <row r="367" spans="1:22">
      <c r="A367" s="216"/>
      <c r="B367" s="216"/>
      <c r="C367" s="216"/>
      <c r="D367" s="216"/>
      <c r="E367" s="216"/>
      <c r="F367" s="216"/>
      <c r="G367" s="216"/>
      <c r="H367" s="216"/>
      <c r="I367" s="216"/>
      <c r="J367" s="216"/>
      <c r="K367" s="216"/>
      <c r="L367" s="207"/>
      <c r="M367" s="207"/>
      <c r="N367" s="216"/>
      <c r="O367" s="216"/>
      <c r="P367" s="216"/>
      <c r="Q367" s="216"/>
      <c r="R367" s="216"/>
      <c r="S367" s="216"/>
      <c r="T367" s="216"/>
      <c r="U367" s="216"/>
      <c r="V367" s="216"/>
    </row>
    <row r="368" spans="1:22">
      <c r="A368" s="216"/>
      <c r="B368" s="216"/>
      <c r="C368" s="216"/>
      <c r="D368" s="216"/>
      <c r="E368" s="216"/>
      <c r="F368" s="216"/>
      <c r="G368" s="216"/>
      <c r="H368" s="216"/>
      <c r="I368" s="216"/>
      <c r="J368" s="216"/>
      <c r="K368" s="216"/>
      <c r="L368" s="207"/>
      <c r="M368" s="207"/>
      <c r="N368" s="216"/>
      <c r="O368" s="216"/>
      <c r="P368" s="216"/>
      <c r="Q368" s="216"/>
      <c r="R368" s="216"/>
      <c r="S368" s="216"/>
      <c r="T368" s="216"/>
      <c r="U368" s="216"/>
      <c r="V368" s="216"/>
    </row>
    <row r="369" spans="1:22">
      <c r="A369" s="216"/>
      <c r="B369" s="216"/>
      <c r="C369" s="216"/>
      <c r="D369" s="216"/>
      <c r="E369" s="216"/>
      <c r="F369" s="216"/>
      <c r="G369" s="216"/>
      <c r="H369" s="216"/>
      <c r="I369" s="216"/>
      <c r="J369" s="216"/>
      <c r="K369" s="216"/>
      <c r="L369" s="207"/>
      <c r="M369" s="207"/>
      <c r="N369" s="216"/>
      <c r="O369" s="216"/>
      <c r="P369" s="216"/>
      <c r="Q369" s="216"/>
      <c r="R369" s="216"/>
      <c r="S369" s="216"/>
      <c r="T369" s="216"/>
      <c r="U369" s="216"/>
      <c r="V369" s="216"/>
    </row>
    <row r="370" spans="1:22">
      <c r="A370" s="216"/>
      <c r="B370" s="216"/>
      <c r="C370" s="216"/>
      <c r="D370" s="216"/>
      <c r="E370" s="216"/>
      <c r="F370" s="216"/>
      <c r="G370" s="216"/>
      <c r="H370" s="216"/>
      <c r="I370" s="216"/>
      <c r="J370" s="216"/>
      <c r="K370" s="216"/>
      <c r="L370" s="207"/>
      <c r="M370" s="207"/>
      <c r="N370" s="216"/>
      <c r="O370" s="216"/>
      <c r="P370" s="216"/>
      <c r="Q370" s="216"/>
      <c r="R370" s="216"/>
      <c r="S370" s="216"/>
      <c r="T370" s="216"/>
      <c r="U370" s="216"/>
      <c r="V370" s="216"/>
    </row>
    <row r="371" spans="1:22">
      <c r="A371" s="216"/>
      <c r="B371" s="216"/>
      <c r="C371" s="216"/>
      <c r="D371" s="216"/>
      <c r="E371" s="216"/>
      <c r="F371" s="216"/>
      <c r="G371" s="216"/>
      <c r="H371" s="216"/>
      <c r="I371" s="216"/>
      <c r="J371" s="216"/>
      <c r="K371" s="216"/>
      <c r="L371" s="207"/>
      <c r="M371" s="207"/>
      <c r="N371" s="216"/>
      <c r="O371" s="216"/>
      <c r="P371" s="216"/>
      <c r="Q371" s="216"/>
      <c r="R371" s="216"/>
      <c r="S371" s="216"/>
      <c r="T371" s="216"/>
      <c r="U371" s="216"/>
      <c r="V371" s="216"/>
    </row>
    <row r="372" spans="1:22">
      <c r="A372" s="216"/>
      <c r="B372" s="216"/>
      <c r="C372" s="216"/>
      <c r="D372" s="216"/>
      <c r="E372" s="216"/>
      <c r="F372" s="216"/>
      <c r="G372" s="216"/>
      <c r="H372" s="216"/>
      <c r="I372" s="216"/>
      <c r="J372" s="216"/>
      <c r="K372" s="216"/>
      <c r="L372" s="207"/>
      <c r="M372" s="207"/>
      <c r="N372" s="216"/>
      <c r="O372" s="216"/>
      <c r="P372" s="216"/>
      <c r="Q372" s="216"/>
      <c r="R372" s="216"/>
      <c r="S372" s="216"/>
      <c r="T372" s="216"/>
      <c r="U372" s="216"/>
      <c r="V372" s="216"/>
    </row>
    <row r="373" spans="1:22">
      <c r="A373" s="216"/>
      <c r="B373" s="216"/>
      <c r="C373" s="216"/>
      <c r="D373" s="216"/>
      <c r="E373" s="216"/>
      <c r="F373" s="216"/>
      <c r="G373" s="216"/>
      <c r="H373" s="216"/>
      <c r="I373" s="216"/>
      <c r="J373" s="216"/>
      <c r="K373" s="216"/>
      <c r="L373" s="207"/>
      <c r="M373" s="207"/>
      <c r="N373" s="216"/>
      <c r="O373" s="216"/>
      <c r="P373" s="216"/>
      <c r="Q373" s="216"/>
      <c r="R373" s="216"/>
      <c r="S373" s="216"/>
      <c r="T373" s="216"/>
      <c r="U373" s="216"/>
      <c r="V373" s="216"/>
    </row>
    <row r="374" spans="1:22">
      <c r="A374" s="216"/>
      <c r="B374" s="216"/>
      <c r="C374" s="216"/>
      <c r="D374" s="216"/>
      <c r="E374" s="216"/>
      <c r="F374" s="216"/>
      <c r="G374" s="216"/>
      <c r="H374" s="216"/>
      <c r="I374" s="216"/>
      <c r="J374" s="216"/>
      <c r="K374" s="216"/>
      <c r="L374" s="207"/>
      <c r="M374" s="207"/>
      <c r="N374" s="216"/>
      <c r="O374" s="216"/>
      <c r="P374" s="216"/>
      <c r="Q374" s="216"/>
      <c r="R374" s="216"/>
      <c r="S374" s="216"/>
      <c r="T374" s="216"/>
      <c r="U374" s="216"/>
      <c r="V374" s="216"/>
    </row>
    <row r="375" spans="1:22">
      <c r="A375" s="216"/>
      <c r="B375" s="216"/>
      <c r="C375" s="216"/>
      <c r="D375" s="216"/>
      <c r="E375" s="216"/>
      <c r="F375" s="216"/>
      <c r="G375" s="216"/>
      <c r="H375" s="216"/>
      <c r="I375" s="216"/>
      <c r="J375" s="216"/>
      <c r="K375" s="216"/>
      <c r="L375" s="207"/>
      <c r="M375" s="207"/>
      <c r="N375" s="216"/>
      <c r="O375" s="216"/>
      <c r="P375" s="216"/>
      <c r="Q375" s="216"/>
      <c r="R375" s="216"/>
      <c r="S375" s="216"/>
      <c r="T375" s="216"/>
      <c r="U375" s="216"/>
      <c r="V375" s="216"/>
    </row>
    <row r="376" spans="1:22">
      <c r="A376" s="216"/>
      <c r="B376" s="216"/>
      <c r="C376" s="216"/>
      <c r="D376" s="216"/>
      <c r="E376" s="216"/>
      <c r="F376" s="216"/>
      <c r="G376" s="216"/>
      <c r="H376" s="216"/>
      <c r="I376" s="216"/>
      <c r="J376" s="216"/>
      <c r="K376" s="216"/>
      <c r="L376" s="207"/>
      <c r="M376" s="207"/>
      <c r="N376" s="216"/>
      <c r="O376" s="216"/>
      <c r="P376" s="216"/>
      <c r="Q376" s="216"/>
      <c r="R376" s="216"/>
      <c r="S376" s="216"/>
      <c r="T376" s="216"/>
      <c r="U376" s="216"/>
      <c r="V376" s="216"/>
    </row>
    <row r="377" spans="1:22">
      <c r="A377" s="216"/>
      <c r="B377" s="216"/>
      <c r="C377" s="216"/>
      <c r="D377" s="216"/>
      <c r="E377" s="216"/>
      <c r="F377" s="216"/>
      <c r="G377" s="216"/>
      <c r="H377" s="216"/>
      <c r="I377" s="216"/>
      <c r="J377" s="216"/>
      <c r="K377" s="216"/>
      <c r="L377" s="207"/>
      <c r="M377" s="207"/>
      <c r="N377" s="216"/>
      <c r="O377" s="216"/>
      <c r="P377" s="216"/>
      <c r="Q377" s="216"/>
      <c r="R377" s="216"/>
      <c r="S377" s="216"/>
      <c r="T377" s="216"/>
      <c r="U377" s="216"/>
      <c r="V377" s="216"/>
    </row>
    <row r="378" spans="1:22">
      <c r="A378" s="216"/>
      <c r="B378" s="216"/>
      <c r="C378" s="216"/>
      <c r="D378" s="216"/>
      <c r="E378" s="216"/>
      <c r="F378" s="216"/>
      <c r="G378" s="216"/>
      <c r="H378" s="216"/>
      <c r="I378" s="216"/>
      <c r="J378" s="216"/>
      <c r="K378" s="216"/>
      <c r="L378" s="207"/>
      <c r="M378" s="207"/>
      <c r="N378" s="216"/>
      <c r="O378" s="216"/>
      <c r="P378" s="216"/>
      <c r="Q378" s="216"/>
      <c r="R378" s="216"/>
      <c r="S378" s="216"/>
      <c r="T378" s="216"/>
      <c r="U378" s="216"/>
      <c r="V378" s="216"/>
    </row>
    <row r="379" spans="1:22">
      <c r="A379" s="216"/>
      <c r="B379" s="216"/>
      <c r="C379" s="216"/>
      <c r="D379" s="216"/>
      <c r="E379" s="216"/>
      <c r="F379" s="216"/>
      <c r="G379" s="216"/>
      <c r="H379" s="216"/>
      <c r="I379" s="216"/>
      <c r="J379" s="216"/>
      <c r="K379" s="216"/>
      <c r="L379" s="207"/>
      <c r="M379" s="207"/>
      <c r="N379" s="216"/>
      <c r="O379" s="216"/>
      <c r="P379" s="216"/>
      <c r="Q379" s="216"/>
      <c r="R379" s="216"/>
      <c r="S379" s="216"/>
      <c r="T379" s="216"/>
      <c r="U379" s="216"/>
      <c r="V379" s="216"/>
    </row>
    <row r="380" spans="1:22">
      <c r="A380" s="216"/>
      <c r="B380" s="216"/>
      <c r="C380" s="216"/>
      <c r="D380" s="216"/>
      <c r="E380" s="216"/>
      <c r="F380" s="216"/>
      <c r="G380" s="216"/>
      <c r="H380" s="216"/>
      <c r="I380" s="216"/>
      <c r="J380" s="216"/>
      <c r="K380" s="216"/>
      <c r="L380" s="207"/>
      <c r="M380" s="207"/>
      <c r="N380" s="216"/>
      <c r="O380" s="216"/>
      <c r="P380" s="216"/>
      <c r="Q380" s="216"/>
      <c r="R380" s="216"/>
      <c r="S380" s="216"/>
      <c r="T380" s="216"/>
      <c r="U380" s="216"/>
      <c r="V380" s="216"/>
    </row>
    <row r="381" spans="1:22">
      <c r="A381" s="216"/>
      <c r="B381" s="216"/>
      <c r="C381" s="216"/>
      <c r="D381" s="216"/>
      <c r="E381" s="216"/>
      <c r="F381" s="216"/>
      <c r="G381" s="216"/>
      <c r="H381" s="216"/>
      <c r="I381" s="216"/>
      <c r="J381" s="216"/>
      <c r="K381" s="216"/>
      <c r="L381" s="207"/>
      <c r="M381" s="207"/>
      <c r="N381" s="216"/>
      <c r="O381" s="216"/>
      <c r="P381" s="216"/>
      <c r="Q381" s="216"/>
      <c r="R381" s="216"/>
      <c r="S381" s="216"/>
      <c r="T381" s="216"/>
      <c r="U381" s="216"/>
      <c r="V381" s="216"/>
    </row>
    <row r="382" spans="1:22">
      <c r="A382" s="216"/>
      <c r="B382" s="216"/>
      <c r="C382" s="216"/>
      <c r="D382" s="216"/>
      <c r="E382" s="216"/>
      <c r="F382" s="216"/>
      <c r="G382" s="216"/>
      <c r="H382" s="216"/>
      <c r="I382" s="216"/>
      <c r="J382" s="216"/>
      <c r="K382" s="216"/>
      <c r="L382" s="207"/>
      <c r="M382" s="207"/>
      <c r="N382" s="216"/>
      <c r="O382" s="216"/>
      <c r="P382" s="216"/>
      <c r="Q382" s="216"/>
      <c r="R382" s="216"/>
      <c r="S382" s="216"/>
      <c r="T382" s="216"/>
      <c r="U382" s="216"/>
      <c r="V382" s="216"/>
    </row>
    <row r="383" spans="1:22">
      <c r="A383" s="216"/>
      <c r="B383" s="216"/>
      <c r="C383" s="216"/>
      <c r="D383" s="216"/>
      <c r="E383" s="216"/>
      <c r="F383" s="216"/>
      <c r="G383" s="216"/>
      <c r="H383" s="216"/>
      <c r="I383" s="216"/>
      <c r="J383" s="216"/>
      <c r="K383" s="216"/>
      <c r="L383" s="207"/>
      <c r="M383" s="207"/>
      <c r="N383" s="216"/>
      <c r="O383" s="216"/>
      <c r="P383" s="216"/>
      <c r="Q383" s="216"/>
      <c r="R383" s="216"/>
      <c r="S383" s="216"/>
      <c r="T383" s="216"/>
      <c r="U383" s="216"/>
      <c r="V383" s="216"/>
    </row>
    <row r="384" spans="1:22">
      <c r="A384" s="216"/>
      <c r="B384" s="216"/>
      <c r="C384" s="216"/>
      <c r="D384" s="216"/>
      <c r="E384" s="216"/>
      <c r="F384" s="216"/>
      <c r="G384" s="216"/>
      <c r="H384" s="216"/>
      <c r="I384" s="216"/>
      <c r="J384" s="216"/>
      <c r="K384" s="216"/>
      <c r="L384" s="207"/>
      <c r="M384" s="207"/>
      <c r="N384" s="216"/>
      <c r="O384" s="216"/>
      <c r="P384" s="216"/>
      <c r="Q384" s="216"/>
      <c r="R384" s="216"/>
      <c r="S384" s="216"/>
      <c r="T384" s="216"/>
      <c r="U384" s="216"/>
      <c r="V384" s="216"/>
    </row>
    <row r="385" spans="1:22">
      <c r="A385" s="216"/>
      <c r="B385" s="216"/>
      <c r="C385" s="216"/>
      <c r="D385" s="216"/>
      <c r="E385" s="216"/>
      <c r="F385" s="216"/>
      <c r="G385" s="216"/>
      <c r="H385" s="216"/>
      <c r="I385" s="216"/>
      <c r="J385" s="216"/>
      <c r="K385" s="216"/>
      <c r="L385" s="207"/>
      <c r="M385" s="207"/>
      <c r="N385" s="216"/>
      <c r="O385" s="216"/>
      <c r="P385" s="216"/>
      <c r="Q385" s="216"/>
      <c r="R385" s="216"/>
      <c r="S385" s="216"/>
      <c r="T385" s="216"/>
      <c r="U385" s="216"/>
      <c r="V385" s="216"/>
    </row>
    <row r="386" spans="1:22">
      <c r="A386" s="216"/>
      <c r="B386" s="216"/>
      <c r="C386" s="216"/>
      <c r="D386" s="216"/>
      <c r="E386" s="216"/>
      <c r="F386" s="216"/>
      <c r="G386" s="216"/>
      <c r="H386" s="216"/>
      <c r="I386" s="216"/>
      <c r="J386" s="216"/>
      <c r="K386" s="216"/>
      <c r="L386" s="207"/>
      <c r="M386" s="207"/>
      <c r="N386" s="216"/>
      <c r="O386" s="216"/>
      <c r="P386" s="216"/>
      <c r="Q386" s="216"/>
      <c r="R386" s="216"/>
      <c r="S386" s="216"/>
      <c r="T386" s="216"/>
      <c r="U386" s="216"/>
      <c r="V386" s="216"/>
    </row>
    <row r="387" spans="1:22">
      <c r="A387" s="216"/>
      <c r="B387" s="216"/>
      <c r="C387" s="216"/>
      <c r="D387" s="216"/>
      <c r="E387" s="216"/>
      <c r="F387" s="216"/>
      <c r="G387" s="216"/>
      <c r="H387" s="216"/>
      <c r="I387" s="216"/>
      <c r="J387" s="216"/>
      <c r="K387" s="216"/>
      <c r="L387" s="207"/>
      <c r="M387" s="207"/>
      <c r="N387" s="216"/>
      <c r="O387" s="216"/>
      <c r="P387" s="216"/>
      <c r="Q387" s="216"/>
      <c r="R387" s="216"/>
      <c r="S387" s="216"/>
      <c r="T387" s="216"/>
      <c r="U387" s="216"/>
      <c r="V387" s="216"/>
    </row>
    <row r="388" spans="1:22">
      <c r="A388" s="216"/>
      <c r="B388" s="216"/>
      <c r="C388" s="216"/>
      <c r="D388" s="216"/>
      <c r="E388" s="216"/>
      <c r="F388" s="216"/>
      <c r="G388" s="216"/>
      <c r="H388" s="216"/>
      <c r="I388" s="216"/>
      <c r="J388" s="216"/>
      <c r="K388" s="216"/>
      <c r="L388" s="207"/>
      <c r="M388" s="207"/>
      <c r="N388" s="216"/>
      <c r="O388" s="216"/>
      <c r="P388" s="216"/>
      <c r="Q388" s="216"/>
      <c r="R388" s="216"/>
      <c r="S388" s="216"/>
      <c r="T388" s="216"/>
      <c r="U388" s="216"/>
      <c r="V388" s="216"/>
    </row>
    <row r="389" spans="1:22">
      <c r="A389" s="216"/>
      <c r="B389" s="216"/>
      <c r="C389" s="216"/>
      <c r="D389" s="216"/>
      <c r="E389" s="216"/>
      <c r="F389" s="216"/>
      <c r="G389" s="216"/>
      <c r="H389" s="216"/>
      <c r="I389" s="216"/>
      <c r="J389" s="216"/>
      <c r="K389" s="216"/>
      <c r="L389" s="207"/>
      <c r="M389" s="207"/>
      <c r="N389" s="216"/>
      <c r="O389" s="216"/>
      <c r="P389" s="216"/>
      <c r="Q389" s="216"/>
      <c r="R389" s="216"/>
      <c r="S389" s="216"/>
      <c r="T389" s="216"/>
      <c r="U389" s="216"/>
      <c r="V389" s="216"/>
    </row>
    <row r="390" spans="1:22">
      <c r="A390" s="216"/>
      <c r="B390" s="216"/>
      <c r="C390" s="216"/>
      <c r="D390" s="216"/>
      <c r="E390" s="216"/>
      <c r="F390" s="216"/>
      <c r="G390" s="216"/>
      <c r="H390" s="216"/>
      <c r="I390" s="216"/>
      <c r="J390" s="216"/>
      <c r="K390" s="216"/>
      <c r="L390" s="207"/>
      <c r="M390" s="207"/>
      <c r="N390" s="216"/>
      <c r="O390" s="216"/>
      <c r="P390" s="216"/>
      <c r="Q390" s="216"/>
      <c r="R390" s="216"/>
      <c r="S390" s="216"/>
      <c r="T390" s="216"/>
      <c r="U390" s="216"/>
      <c r="V390" s="216"/>
    </row>
    <row r="391" spans="1:22">
      <c r="A391" s="216"/>
      <c r="B391" s="216"/>
      <c r="C391" s="216"/>
      <c r="D391" s="216"/>
      <c r="E391" s="216"/>
      <c r="F391" s="216"/>
      <c r="G391" s="216"/>
      <c r="H391" s="216"/>
      <c r="I391" s="216"/>
      <c r="J391" s="216"/>
      <c r="K391" s="216"/>
      <c r="L391" s="207"/>
      <c r="M391" s="207"/>
      <c r="N391" s="216"/>
      <c r="O391" s="216"/>
      <c r="P391" s="216"/>
      <c r="Q391" s="216"/>
      <c r="R391" s="216"/>
      <c r="S391" s="216"/>
      <c r="T391" s="216"/>
      <c r="U391" s="216"/>
      <c r="V391" s="216"/>
    </row>
    <row r="392" spans="1:22">
      <c r="A392" s="216"/>
      <c r="B392" s="216"/>
      <c r="C392" s="216"/>
      <c r="D392" s="216"/>
      <c r="E392" s="216"/>
      <c r="F392" s="216"/>
      <c r="G392" s="216"/>
      <c r="H392" s="216"/>
      <c r="I392" s="216"/>
      <c r="J392" s="216"/>
      <c r="K392" s="216"/>
      <c r="L392" s="207"/>
      <c r="M392" s="207"/>
      <c r="N392" s="216"/>
      <c r="O392" s="216"/>
      <c r="P392" s="216"/>
      <c r="Q392" s="216"/>
      <c r="R392" s="216"/>
      <c r="S392" s="216"/>
      <c r="T392" s="216"/>
      <c r="U392" s="216"/>
      <c r="V392" s="216"/>
    </row>
    <row r="393" spans="1:22">
      <c r="A393" s="216"/>
      <c r="B393" s="216"/>
      <c r="C393" s="216"/>
      <c r="D393" s="216"/>
      <c r="E393" s="216"/>
      <c r="F393" s="216"/>
      <c r="G393" s="216"/>
      <c r="H393" s="216"/>
      <c r="I393" s="216"/>
      <c r="J393" s="216"/>
      <c r="K393" s="216"/>
      <c r="L393" s="207"/>
      <c r="M393" s="207"/>
      <c r="N393" s="216"/>
      <c r="O393" s="216"/>
      <c r="P393" s="216"/>
      <c r="Q393" s="216"/>
      <c r="R393" s="216"/>
      <c r="S393" s="216"/>
      <c r="T393" s="216"/>
      <c r="U393" s="216"/>
      <c r="V393" s="216"/>
    </row>
    <row r="394" spans="1:22">
      <c r="A394" s="216"/>
      <c r="B394" s="216"/>
      <c r="C394" s="216"/>
      <c r="D394" s="216"/>
      <c r="E394" s="216"/>
      <c r="F394" s="216"/>
      <c r="G394" s="216"/>
      <c r="H394" s="216"/>
      <c r="I394" s="216"/>
      <c r="J394" s="216"/>
      <c r="K394" s="216"/>
      <c r="L394" s="207"/>
      <c r="M394" s="207"/>
      <c r="N394" s="216"/>
      <c r="O394" s="216"/>
      <c r="P394" s="216"/>
      <c r="Q394" s="216"/>
      <c r="R394" s="216"/>
      <c r="S394" s="216"/>
      <c r="T394" s="216"/>
      <c r="U394" s="216"/>
      <c r="V394" s="216"/>
    </row>
    <row r="395" spans="1:22">
      <c r="A395" s="216"/>
      <c r="B395" s="216"/>
      <c r="C395" s="216"/>
      <c r="D395" s="216"/>
      <c r="E395" s="216"/>
      <c r="F395" s="216"/>
      <c r="G395" s="216"/>
      <c r="H395" s="216"/>
      <c r="I395" s="216"/>
      <c r="J395" s="216"/>
      <c r="K395" s="216"/>
      <c r="L395" s="207"/>
      <c r="M395" s="207"/>
      <c r="N395" s="216"/>
      <c r="O395" s="216"/>
      <c r="P395" s="216"/>
      <c r="Q395" s="216"/>
      <c r="R395" s="216"/>
      <c r="S395" s="216"/>
      <c r="T395" s="216"/>
      <c r="U395" s="216"/>
      <c r="V395" s="216"/>
    </row>
    <row r="396" spans="1:22">
      <c r="A396" s="216"/>
      <c r="B396" s="216"/>
      <c r="C396" s="216"/>
      <c r="D396" s="216"/>
      <c r="E396" s="216"/>
      <c r="F396" s="216"/>
      <c r="G396" s="216"/>
      <c r="H396" s="216"/>
      <c r="I396" s="216"/>
      <c r="J396" s="216"/>
      <c r="K396" s="216"/>
      <c r="L396" s="207"/>
      <c r="M396" s="207"/>
      <c r="N396" s="216"/>
      <c r="O396" s="216"/>
      <c r="P396" s="216"/>
      <c r="Q396" s="216"/>
      <c r="R396" s="216"/>
      <c r="S396" s="216"/>
      <c r="T396" s="216"/>
      <c r="U396" s="216"/>
      <c r="V396" s="216"/>
    </row>
    <row r="397" spans="1:22">
      <c r="A397" s="216"/>
      <c r="B397" s="216"/>
      <c r="C397" s="216"/>
      <c r="D397" s="216"/>
      <c r="E397" s="216"/>
      <c r="F397" s="216"/>
      <c r="G397" s="216"/>
      <c r="H397" s="216"/>
      <c r="I397" s="216"/>
      <c r="J397" s="216"/>
      <c r="K397" s="216"/>
      <c r="L397" s="207"/>
      <c r="M397" s="207"/>
      <c r="N397" s="216"/>
      <c r="O397" s="216"/>
      <c r="P397" s="216"/>
      <c r="Q397" s="216"/>
      <c r="R397" s="216"/>
      <c r="S397" s="216"/>
      <c r="T397" s="216"/>
      <c r="U397" s="216"/>
      <c r="V397" s="216"/>
    </row>
    <row r="398" spans="1:22">
      <c r="A398" s="216"/>
      <c r="B398" s="216"/>
      <c r="C398" s="216"/>
      <c r="D398" s="216"/>
      <c r="E398" s="216"/>
      <c r="F398" s="216"/>
      <c r="G398" s="216"/>
      <c r="H398" s="216"/>
      <c r="I398" s="216"/>
      <c r="J398" s="216"/>
      <c r="K398" s="216"/>
      <c r="L398" s="207"/>
      <c r="M398" s="207"/>
      <c r="N398" s="216"/>
      <c r="O398" s="216"/>
      <c r="P398" s="216"/>
      <c r="Q398" s="216"/>
      <c r="R398" s="216"/>
      <c r="S398" s="216"/>
      <c r="T398" s="216"/>
      <c r="U398" s="216"/>
      <c r="V398" s="216"/>
    </row>
    <row r="399" spans="1:22">
      <c r="A399" s="216"/>
      <c r="B399" s="216"/>
      <c r="C399" s="216"/>
      <c r="D399" s="216"/>
      <c r="E399" s="216"/>
      <c r="F399" s="216"/>
      <c r="G399" s="216"/>
      <c r="H399" s="216"/>
      <c r="I399" s="216"/>
      <c r="J399" s="216"/>
      <c r="K399" s="216"/>
      <c r="L399" s="207"/>
      <c r="M399" s="207"/>
      <c r="N399" s="216"/>
      <c r="O399" s="216"/>
      <c r="P399" s="216"/>
      <c r="Q399" s="216"/>
      <c r="R399" s="216"/>
      <c r="S399" s="216"/>
      <c r="T399" s="216"/>
      <c r="U399" s="216"/>
      <c r="V399" s="216"/>
    </row>
    <row r="400" spans="1:22">
      <c r="A400" s="216"/>
      <c r="B400" s="216"/>
      <c r="C400" s="216"/>
      <c r="D400" s="216"/>
      <c r="E400" s="216"/>
      <c r="F400" s="216"/>
      <c r="G400" s="216"/>
      <c r="H400" s="216"/>
      <c r="I400" s="216"/>
      <c r="J400" s="216"/>
      <c r="K400" s="216"/>
      <c r="L400" s="207"/>
      <c r="M400" s="207"/>
      <c r="N400" s="216"/>
      <c r="O400" s="216"/>
      <c r="P400" s="216"/>
      <c r="Q400" s="216"/>
      <c r="R400" s="216"/>
      <c r="S400" s="216"/>
      <c r="T400" s="216"/>
      <c r="U400" s="216"/>
      <c r="V400" s="216"/>
    </row>
    <row r="401" spans="1:22">
      <c r="A401" s="216"/>
      <c r="B401" s="216"/>
      <c r="C401" s="216"/>
      <c r="D401" s="216"/>
      <c r="E401" s="216"/>
      <c r="F401" s="216"/>
      <c r="G401" s="216"/>
      <c r="H401" s="216"/>
      <c r="I401" s="216"/>
      <c r="J401" s="216"/>
      <c r="K401" s="216"/>
      <c r="L401" s="207"/>
      <c r="M401" s="207"/>
      <c r="N401" s="216"/>
      <c r="O401" s="216"/>
      <c r="P401" s="216"/>
      <c r="Q401" s="216"/>
      <c r="R401" s="216"/>
      <c r="S401" s="216"/>
      <c r="T401" s="216"/>
      <c r="U401" s="216"/>
      <c r="V401" s="216"/>
    </row>
    <row r="402" spans="1:22">
      <c r="A402" s="216"/>
      <c r="B402" s="216"/>
      <c r="C402" s="216"/>
      <c r="D402" s="216"/>
      <c r="E402" s="216"/>
      <c r="F402" s="216"/>
      <c r="G402" s="216"/>
      <c r="H402" s="216"/>
      <c r="I402" s="216"/>
      <c r="J402" s="216"/>
      <c r="K402" s="216"/>
      <c r="L402" s="207"/>
      <c r="M402" s="207"/>
      <c r="N402" s="216"/>
      <c r="O402" s="216"/>
      <c r="P402" s="216"/>
      <c r="Q402" s="216"/>
      <c r="R402" s="216"/>
      <c r="S402" s="216"/>
      <c r="T402" s="216"/>
      <c r="U402" s="216"/>
      <c r="V402" s="216"/>
    </row>
    <row r="403" spans="1:22">
      <c r="A403" s="216"/>
      <c r="B403" s="216"/>
      <c r="C403" s="216"/>
      <c r="D403" s="216"/>
      <c r="E403" s="216"/>
      <c r="F403" s="216"/>
      <c r="G403" s="216"/>
      <c r="H403" s="216"/>
      <c r="I403" s="216"/>
      <c r="J403" s="216"/>
      <c r="K403" s="216"/>
      <c r="L403" s="207"/>
      <c r="M403" s="207"/>
      <c r="N403" s="216"/>
      <c r="O403" s="216"/>
      <c r="P403" s="216"/>
      <c r="Q403" s="216"/>
      <c r="R403" s="216"/>
      <c r="S403" s="216"/>
      <c r="T403" s="216"/>
      <c r="U403" s="216"/>
      <c r="V403" s="216"/>
    </row>
    <row r="404" spans="1:22">
      <c r="A404" s="216"/>
      <c r="B404" s="216"/>
      <c r="C404" s="216"/>
      <c r="D404" s="216"/>
      <c r="E404" s="216"/>
      <c r="F404" s="216"/>
      <c r="G404" s="216"/>
      <c r="H404" s="216"/>
      <c r="I404" s="216"/>
      <c r="J404" s="216"/>
      <c r="K404" s="216"/>
      <c r="L404" s="207"/>
      <c r="M404" s="207"/>
      <c r="N404" s="216"/>
      <c r="O404" s="216"/>
      <c r="P404" s="216"/>
      <c r="Q404" s="216"/>
      <c r="R404" s="216"/>
      <c r="S404" s="216"/>
      <c r="T404" s="216"/>
      <c r="U404" s="216"/>
      <c r="V404" s="216"/>
    </row>
    <row r="405" spans="1:22">
      <c r="A405" s="216"/>
      <c r="B405" s="216"/>
      <c r="C405" s="216"/>
      <c r="D405" s="216"/>
      <c r="E405" s="216"/>
      <c r="F405" s="216"/>
      <c r="G405" s="216"/>
      <c r="H405" s="216"/>
      <c r="I405" s="216"/>
      <c r="J405" s="216"/>
      <c r="K405" s="216"/>
      <c r="L405" s="207"/>
      <c r="M405" s="207"/>
      <c r="N405" s="216"/>
      <c r="O405" s="216"/>
      <c r="P405" s="216"/>
      <c r="Q405" s="216"/>
      <c r="R405" s="216"/>
      <c r="S405" s="216"/>
      <c r="T405" s="216"/>
      <c r="U405" s="216"/>
      <c r="V405" s="216"/>
    </row>
    <row r="406" spans="1:22">
      <c r="A406" s="216"/>
      <c r="B406" s="216"/>
      <c r="C406" s="216"/>
      <c r="D406" s="216"/>
      <c r="E406" s="216"/>
      <c r="F406" s="216"/>
      <c r="G406" s="216"/>
      <c r="H406" s="216"/>
      <c r="I406" s="216"/>
      <c r="J406" s="216"/>
      <c r="K406" s="216"/>
      <c r="L406" s="207"/>
      <c r="M406" s="207"/>
      <c r="N406" s="216"/>
      <c r="O406" s="216"/>
      <c r="P406" s="216"/>
      <c r="Q406" s="216"/>
      <c r="R406" s="216"/>
      <c r="S406" s="216"/>
      <c r="T406" s="216"/>
      <c r="U406" s="216"/>
      <c r="V406" s="216"/>
    </row>
    <row r="407" spans="1:22">
      <c r="A407" s="216"/>
      <c r="B407" s="216"/>
      <c r="C407" s="216"/>
      <c r="D407" s="216"/>
      <c r="E407" s="216"/>
      <c r="F407" s="216"/>
      <c r="G407" s="216"/>
      <c r="H407" s="216"/>
      <c r="I407" s="216"/>
      <c r="J407" s="216"/>
      <c r="K407" s="216"/>
      <c r="L407" s="207"/>
      <c r="M407" s="207"/>
      <c r="N407" s="216"/>
      <c r="O407" s="216"/>
      <c r="P407" s="216"/>
      <c r="Q407" s="216"/>
      <c r="R407" s="216"/>
      <c r="S407" s="216"/>
      <c r="T407" s="216"/>
      <c r="U407" s="216"/>
      <c r="V407" s="216"/>
    </row>
    <row r="408" spans="1:22">
      <c r="A408" s="216"/>
      <c r="B408" s="216"/>
      <c r="C408" s="216"/>
      <c r="D408" s="216"/>
      <c r="E408" s="216"/>
      <c r="F408" s="216"/>
      <c r="G408" s="216"/>
      <c r="H408" s="216"/>
      <c r="I408" s="216"/>
      <c r="J408" s="216"/>
      <c r="K408" s="216"/>
      <c r="L408" s="207"/>
      <c r="M408" s="207"/>
      <c r="N408" s="216"/>
      <c r="O408" s="216"/>
      <c r="P408" s="216"/>
      <c r="Q408" s="216"/>
      <c r="R408" s="216"/>
      <c r="S408" s="216"/>
      <c r="T408" s="216"/>
      <c r="U408" s="216"/>
      <c r="V408" s="216"/>
    </row>
    <row r="409" spans="1:22">
      <c r="A409" s="216"/>
      <c r="B409" s="216"/>
      <c r="C409" s="216"/>
      <c r="D409" s="216"/>
      <c r="E409" s="216"/>
      <c r="F409" s="216"/>
      <c r="G409" s="216"/>
      <c r="H409" s="216"/>
      <c r="I409" s="216"/>
      <c r="J409" s="216"/>
      <c r="K409" s="216"/>
      <c r="L409" s="207"/>
      <c r="M409" s="207"/>
      <c r="N409" s="216"/>
      <c r="O409" s="216"/>
      <c r="P409" s="216"/>
      <c r="Q409" s="216"/>
      <c r="R409" s="216"/>
      <c r="S409" s="216"/>
      <c r="T409" s="216"/>
      <c r="U409" s="216"/>
      <c r="V409" s="216"/>
    </row>
    <row r="410" spans="1:22">
      <c r="A410" s="216"/>
      <c r="B410" s="216"/>
      <c r="C410" s="216"/>
      <c r="D410" s="216"/>
      <c r="E410" s="216"/>
      <c r="F410" s="216"/>
      <c r="G410" s="216"/>
      <c r="H410" s="216"/>
      <c r="I410" s="216"/>
      <c r="J410" s="216"/>
      <c r="K410" s="216"/>
      <c r="L410" s="207"/>
      <c r="M410" s="207"/>
      <c r="N410" s="216"/>
      <c r="O410" s="216"/>
      <c r="P410" s="216"/>
      <c r="Q410" s="216"/>
      <c r="R410" s="216"/>
      <c r="S410" s="216"/>
      <c r="T410" s="216"/>
      <c r="U410" s="216"/>
      <c r="V410" s="216"/>
    </row>
    <row r="411" spans="1:22">
      <c r="A411" s="216"/>
      <c r="B411" s="216"/>
      <c r="C411" s="216"/>
      <c r="D411" s="216"/>
      <c r="E411" s="216"/>
      <c r="F411" s="216"/>
      <c r="G411" s="216"/>
      <c r="H411" s="216"/>
      <c r="I411" s="216"/>
      <c r="J411" s="216"/>
      <c r="K411" s="216"/>
      <c r="L411" s="207"/>
      <c r="M411" s="207"/>
      <c r="N411" s="216"/>
      <c r="O411" s="216"/>
      <c r="P411" s="216"/>
      <c r="Q411" s="216"/>
      <c r="R411" s="216"/>
      <c r="S411" s="216"/>
      <c r="T411" s="216"/>
      <c r="U411" s="216"/>
      <c r="V411" s="216"/>
    </row>
    <row r="412" spans="1:22">
      <c r="A412" s="216"/>
      <c r="B412" s="216"/>
      <c r="C412" s="216"/>
      <c r="D412" s="216"/>
      <c r="E412" s="216"/>
      <c r="F412" s="216"/>
      <c r="G412" s="216"/>
      <c r="H412" s="216"/>
      <c r="I412" s="216"/>
      <c r="J412" s="216"/>
      <c r="K412" s="216"/>
      <c r="L412" s="207"/>
      <c r="M412" s="207"/>
      <c r="N412" s="216"/>
      <c r="O412" s="216"/>
      <c r="P412" s="216"/>
      <c r="Q412" s="216"/>
      <c r="R412" s="216"/>
      <c r="S412" s="216"/>
      <c r="T412" s="216"/>
      <c r="U412" s="216"/>
      <c r="V412" s="216"/>
    </row>
    <row r="413" spans="1:22">
      <c r="A413" s="216"/>
      <c r="B413" s="216"/>
      <c r="C413" s="216"/>
      <c r="D413" s="216"/>
      <c r="E413" s="216"/>
      <c r="F413" s="216"/>
      <c r="G413" s="216"/>
      <c r="H413" s="216"/>
      <c r="I413" s="216"/>
      <c r="J413" s="216"/>
      <c r="K413" s="216"/>
      <c r="L413" s="207"/>
      <c r="M413" s="207"/>
      <c r="N413" s="216"/>
      <c r="O413" s="216"/>
      <c r="P413" s="216"/>
      <c r="Q413" s="216"/>
      <c r="R413" s="216"/>
      <c r="S413" s="216"/>
      <c r="T413" s="216"/>
      <c r="U413" s="216"/>
      <c r="V413" s="216"/>
    </row>
    <row r="414" spans="1:22">
      <c r="A414" s="216"/>
      <c r="B414" s="216"/>
      <c r="C414" s="216"/>
      <c r="D414" s="216"/>
      <c r="E414" s="216"/>
      <c r="F414" s="216"/>
      <c r="G414" s="216"/>
      <c r="H414" s="216"/>
      <c r="I414" s="216"/>
      <c r="J414" s="216"/>
      <c r="K414" s="216"/>
      <c r="L414" s="207"/>
      <c r="M414" s="207"/>
      <c r="N414" s="216"/>
      <c r="O414" s="216"/>
      <c r="P414" s="216"/>
      <c r="Q414" s="216"/>
      <c r="R414" s="216"/>
      <c r="S414" s="216"/>
      <c r="T414" s="216"/>
      <c r="U414" s="216"/>
      <c r="V414" s="216"/>
    </row>
    <row r="415" spans="1:22">
      <c r="A415" s="216"/>
      <c r="B415" s="216"/>
      <c r="C415" s="216"/>
      <c r="D415" s="216"/>
      <c r="E415" s="216"/>
      <c r="F415" s="216"/>
      <c r="G415" s="216"/>
      <c r="H415" s="216"/>
      <c r="I415" s="216"/>
      <c r="J415" s="216"/>
      <c r="K415" s="216"/>
      <c r="L415" s="207"/>
      <c r="M415" s="207"/>
      <c r="N415" s="216"/>
      <c r="O415" s="216"/>
      <c r="P415" s="216"/>
      <c r="Q415" s="216"/>
      <c r="R415" s="216"/>
      <c r="S415" s="216"/>
      <c r="T415" s="216"/>
      <c r="U415" s="216"/>
      <c r="V415" s="216"/>
    </row>
    <row r="416" spans="1:22">
      <c r="A416" s="216"/>
      <c r="B416" s="216"/>
      <c r="C416" s="216"/>
      <c r="D416" s="216"/>
      <c r="E416" s="216"/>
      <c r="F416" s="216"/>
      <c r="G416" s="216"/>
      <c r="H416" s="216"/>
      <c r="I416" s="216"/>
      <c r="J416" s="216"/>
      <c r="K416" s="216"/>
      <c r="L416" s="207"/>
      <c r="M416" s="207"/>
      <c r="N416" s="216"/>
      <c r="O416" s="216"/>
      <c r="P416" s="216"/>
      <c r="Q416" s="216"/>
      <c r="R416" s="216"/>
      <c r="S416" s="216"/>
      <c r="T416" s="216"/>
      <c r="U416" s="216"/>
      <c r="V416" s="216"/>
    </row>
    <row r="417" spans="1:22">
      <c r="A417" s="216"/>
      <c r="B417" s="216"/>
      <c r="C417" s="216"/>
      <c r="D417" s="216"/>
      <c r="E417" s="216"/>
      <c r="F417" s="216"/>
      <c r="G417" s="216"/>
      <c r="H417" s="216"/>
      <c r="I417" s="216"/>
      <c r="J417" s="216"/>
      <c r="K417" s="216"/>
      <c r="L417" s="207"/>
      <c r="M417" s="207"/>
      <c r="N417" s="216"/>
      <c r="O417" s="216"/>
      <c r="P417" s="216"/>
      <c r="Q417" s="216"/>
      <c r="R417" s="216"/>
      <c r="S417" s="216"/>
      <c r="T417" s="216"/>
      <c r="U417" s="216"/>
      <c r="V417" s="216"/>
    </row>
    <row r="418" spans="1:22">
      <c r="A418" s="216"/>
      <c r="B418" s="216"/>
      <c r="C418" s="216"/>
      <c r="D418" s="216"/>
      <c r="E418" s="216"/>
      <c r="F418" s="216"/>
      <c r="G418" s="216"/>
      <c r="H418" s="216"/>
      <c r="I418" s="216"/>
      <c r="J418" s="216"/>
      <c r="K418" s="216"/>
      <c r="L418" s="207"/>
      <c r="M418" s="207"/>
      <c r="N418" s="216"/>
      <c r="O418" s="216"/>
      <c r="P418" s="216"/>
      <c r="Q418" s="216"/>
      <c r="R418" s="216"/>
      <c r="S418" s="216"/>
      <c r="T418" s="216"/>
      <c r="U418" s="216"/>
      <c r="V418" s="216"/>
    </row>
    <row r="419" spans="1:22">
      <c r="A419" s="216"/>
      <c r="B419" s="216"/>
      <c r="C419" s="216"/>
      <c r="D419" s="216"/>
      <c r="E419" s="216"/>
      <c r="F419" s="216"/>
      <c r="G419" s="216"/>
      <c r="H419" s="216"/>
      <c r="I419" s="216"/>
      <c r="J419" s="216"/>
      <c r="K419" s="216"/>
      <c r="L419" s="207"/>
      <c r="M419" s="207"/>
      <c r="N419" s="216"/>
      <c r="O419" s="216"/>
      <c r="P419" s="216"/>
      <c r="Q419" s="216"/>
      <c r="R419" s="216"/>
      <c r="S419" s="216"/>
      <c r="T419" s="216"/>
      <c r="U419" s="216"/>
      <c r="V419" s="216"/>
    </row>
    <row r="420" spans="1:22">
      <c r="A420" s="216"/>
      <c r="B420" s="216"/>
      <c r="C420" s="216"/>
      <c r="D420" s="216"/>
      <c r="E420" s="216"/>
      <c r="F420" s="216"/>
      <c r="G420" s="216"/>
      <c r="H420" s="216"/>
      <c r="I420" s="216"/>
      <c r="J420" s="216"/>
      <c r="K420" s="216"/>
      <c r="L420" s="207"/>
      <c r="M420" s="207"/>
      <c r="N420" s="216"/>
      <c r="O420" s="216"/>
      <c r="P420" s="216"/>
      <c r="Q420" s="216"/>
      <c r="R420" s="216"/>
      <c r="S420" s="216"/>
      <c r="T420" s="216"/>
      <c r="U420" s="216"/>
      <c r="V420" s="216"/>
    </row>
    <row r="421" spans="1:22">
      <c r="A421" s="216"/>
      <c r="B421" s="216"/>
      <c r="C421" s="216"/>
      <c r="D421" s="216"/>
      <c r="E421" s="216"/>
      <c r="F421" s="216"/>
      <c r="G421" s="216"/>
      <c r="H421" s="216"/>
      <c r="I421" s="216"/>
      <c r="J421" s="216"/>
      <c r="K421" s="216"/>
      <c r="L421" s="207"/>
      <c r="M421" s="207"/>
      <c r="N421" s="216"/>
      <c r="O421" s="216"/>
      <c r="P421" s="216"/>
      <c r="Q421" s="216"/>
      <c r="R421" s="216"/>
      <c r="S421" s="216"/>
      <c r="T421" s="216"/>
      <c r="U421" s="216"/>
      <c r="V421" s="216"/>
    </row>
    <row r="422" spans="1:22">
      <c r="A422" s="216"/>
      <c r="B422" s="216"/>
      <c r="C422" s="216"/>
      <c r="D422" s="216"/>
      <c r="E422" s="216"/>
      <c r="F422" s="216"/>
      <c r="G422" s="216"/>
      <c r="H422" s="216"/>
      <c r="I422" s="216"/>
      <c r="J422" s="216"/>
      <c r="K422" s="216"/>
      <c r="L422" s="207"/>
      <c r="M422" s="207"/>
      <c r="N422" s="216"/>
      <c r="O422" s="216"/>
      <c r="P422" s="216"/>
      <c r="Q422" s="216"/>
      <c r="R422" s="216"/>
      <c r="S422" s="216"/>
      <c r="T422" s="216"/>
      <c r="U422" s="216"/>
      <c r="V422" s="216"/>
    </row>
    <row r="423" spans="1:22">
      <c r="A423" s="216"/>
      <c r="B423" s="216"/>
      <c r="C423" s="216"/>
      <c r="D423" s="216"/>
      <c r="E423" s="216"/>
      <c r="F423" s="216"/>
      <c r="G423" s="216"/>
      <c r="H423" s="216"/>
      <c r="I423" s="216"/>
      <c r="J423" s="216"/>
      <c r="K423" s="216"/>
      <c r="L423" s="207"/>
      <c r="M423" s="207"/>
      <c r="N423" s="216"/>
      <c r="O423" s="216"/>
      <c r="P423" s="216"/>
      <c r="Q423" s="216"/>
      <c r="R423" s="216"/>
      <c r="S423" s="216"/>
      <c r="T423" s="216"/>
      <c r="U423" s="216"/>
      <c r="V423" s="216"/>
    </row>
    <row r="424" spans="1:22">
      <c r="A424" s="216"/>
      <c r="B424" s="216"/>
      <c r="C424" s="216"/>
      <c r="D424" s="216"/>
      <c r="E424" s="216"/>
      <c r="F424" s="216"/>
      <c r="G424" s="216"/>
      <c r="H424" s="216"/>
      <c r="I424" s="216"/>
      <c r="J424" s="216"/>
      <c r="K424" s="216"/>
      <c r="L424" s="207"/>
      <c r="M424" s="207"/>
      <c r="N424" s="216"/>
      <c r="O424" s="216"/>
      <c r="P424" s="216"/>
      <c r="Q424" s="216"/>
      <c r="R424" s="216"/>
      <c r="S424" s="216"/>
      <c r="T424" s="216"/>
      <c r="U424" s="216"/>
      <c r="V424" s="216"/>
    </row>
    <row r="425" spans="1:22">
      <c r="A425" s="216"/>
      <c r="B425" s="216"/>
      <c r="C425" s="216"/>
      <c r="D425" s="216"/>
      <c r="E425" s="216"/>
      <c r="F425" s="216"/>
      <c r="G425" s="216"/>
      <c r="H425" s="216"/>
      <c r="I425" s="216"/>
      <c r="J425" s="216"/>
      <c r="K425" s="216"/>
      <c r="L425" s="207"/>
      <c r="M425" s="207"/>
      <c r="N425" s="216"/>
      <c r="O425" s="216"/>
      <c r="P425" s="216"/>
      <c r="Q425" s="216"/>
      <c r="R425" s="216"/>
      <c r="S425" s="216"/>
      <c r="T425" s="216"/>
      <c r="U425" s="216"/>
      <c r="V425" s="216"/>
    </row>
    <row r="426" spans="1:22">
      <c r="A426" s="216"/>
      <c r="B426" s="216"/>
      <c r="C426" s="216"/>
      <c r="D426" s="216"/>
      <c r="E426" s="216"/>
      <c r="F426" s="216"/>
      <c r="G426" s="216"/>
      <c r="H426" s="216"/>
      <c r="I426" s="216"/>
      <c r="J426" s="216"/>
      <c r="K426" s="216"/>
      <c r="L426" s="207"/>
      <c r="M426" s="207"/>
      <c r="N426" s="216"/>
      <c r="O426" s="216"/>
      <c r="P426" s="216"/>
      <c r="Q426" s="216"/>
      <c r="R426" s="216"/>
      <c r="S426" s="216"/>
      <c r="T426" s="216"/>
      <c r="U426" s="216"/>
      <c r="V426" s="216"/>
    </row>
    <row r="427" spans="1:22">
      <c r="A427" s="216"/>
      <c r="B427" s="216"/>
      <c r="C427" s="216"/>
      <c r="D427" s="216"/>
      <c r="E427" s="216"/>
      <c r="F427" s="216"/>
      <c r="G427" s="216"/>
      <c r="H427" s="216"/>
      <c r="I427" s="216"/>
      <c r="J427" s="216"/>
      <c r="K427" s="216"/>
      <c r="L427" s="207"/>
      <c r="M427" s="207"/>
      <c r="N427" s="216"/>
      <c r="O427" s="216"/>
      <c r="P427" s="216"/>
      <c r="Q427" s="216"/>
      <c r="R427" s="216"/>
      <c r="S427" s="216"/>
      <c r="T427" s="216"/>
      <c r="U427" s="216"/>
      <c r="V427" s="216"/>
    </row>
    <row r="428" spans="1:22">
      <c r="A428" s="216"/>
      <c r="B428" s="216"/>
      <c r="C428" s="216"/>
      <c r="D428" s="216"/>
      <c r="E428" s="216"/>
      <c r="F428" s="216"/>
      <c r="G428" s="216"/>
      <c r="H428" s="216"/>
      <c r="I428" s="216"/>
      <c r="J428" s="216"/>
      <c r="K428" s="216"/>
      <c r="L428" s="207"/>
      <c r="M428" s="207"/>
      <c r="N428" s="216"/>
      <c r="O428" s="216"/>
      <c r="P428" s="216"/>
      <c r="Q428" s="216"/>
      <c r="R428" s="216"/>
      <c r="S428" s="216"/>
      <c r="T428" s="216"/>
      <c r="U428" s="216"/>
      <c r="V428" s="216"/>
    </row>
    <row r="429" spans="1:22">
      <c r="A429" s="216"/>
      <c r="B429" s="216"/>
      <c r="C429" s="216"/>
      <c r="D429" s="216"/>
      <c r="E429" s="216"/>
      <c r="F429" s="216"/>
      <c r="G429" s="216"/>
      <c r="H429" s="216"/>
      <c r="I429" s="216"/>
      <c r="J429" s="216"/>
      <c r="K429" s="216"/>
      <c r="L429" s="207"/>
      <c r="M429" s="207"/>
      <c r="N429" s="216"/>
      <c r="O429" s="216"/>
      <c r="P429" s="216"/>
      <c r="Q429" s="216"/>
      <c r="R429" s="216"/>
      <c r="S429" s="216"/>
      <c r="T429" s="216"/>
      <c r="U429" s="216"/>
      <c r="V429" s="216"/>
    </row>
    <row r="430" spans="1:22">
      <c r="A430" s="216"/>
      <c r="B430" s="216"/>
      <c r="C430" s="216"/>
      <c r="D430" s="216"/>
      <c r="E430" s="216"/>
      <c r="F430" s="216"/>
      <c r="G430" s="216"/>
      <c r="H430" s="216"/>
      <c r="I430" s="216"/>
      <c r="J430" s="216"/>
      <c r="K430" s="216"/>
      <c r="L430" s="207"/>
      <c r="M430" s="207"/>
      <c r="N430" s="216"/>
      <c r="O430" s="216"/>
      <c r="P430" s="216"/>
      <c r="Q430" s="216"/>
      <c r="R430" s="216"/>
      <c r="S430" s="216"/>
      <c r="T430" s="216"/>
      <c r="U430" s="216"/>
      <c r="V430" s="216"/>
    </row>
    <row r="431" spans="1:22">
      <c r="A431" s="216"/>
      <c r="B431" s="216"/>
      <c r="C431" s="216"/>
      <c r="D431" s="216"/>
      <c r="E431" s="216"/>
      <c r="F431" s="216"/>
      <c r="G431" s="216"/>
      <c r="H431" s="216"/>
      <c r="I431" s="216"/>
      <c r="J431" s="216"/>
      <c r="K431" s="216"/>
      <c r="L431" s="207"/>
      <c r="M431" s="207"/>
      <c r="N431" s="216"/>
      <c r="O431" s="216"/>
      <c r="P431" s="216"/>
      <c r="Q431" s="216"/>
      <c r="R431" s="216"/>
      <c r="S431" s="216"/>
      <c r="T431" s="216"/>
      <c r="U431" s="216"/>
      <c r="V431" s="216"/>
    </row>
    <row r="432" spans="1:22">
      <c r="A432" s="216"/>
      <c r="B432" s="216"/>
      <c r="C432" s="216"/>
      <c r="D432" s="216"/>
      <c r="E432" s="216"/>
      <c r="F432" s="216"/>
      <c r="G432" s="216"/>
      <c r="H432" s="216"/>
      <c r="I432" s="216"/>
      <c r="J432" s="216"/>
      <c r="K432" s="216"/>
      <c r="L432" s="207"/>
      <c r="M432" s="207"/>
      <c r="N432" s="216"/>
      <c r="O432" s="216"/>
      <c r="P432" s="216"/>
      <c r="Q432" s="216"/>
      <c r="R432" s="216"/>
      <c r="S432" s="216"/>
      <c r="T432" s="216"/>
      <c r="U432" s="216"/>
      <c r="V432" s="216"/>
    </row>
    <row r="433" spans="1:22">
      <c r="A433" s="216"/>
      <c r="B433" s="216"/>
      <c r="C433" s="216"/>
      <c r="D433" s="216"/>
      <c r="E433" s="216"/>
      <c r="F433" s="216"/>
      <c r="G433" s="216"/>
      <c r="H433" s="216"/>
      <c r="I433" s="216"/>
      <c r="J433" s="216"/>
      <c r="K433" s="216"/>
      <c r="L433" s="207"/>
      <c r="M433" s="207"/>
      <c r="N433" s="216"/>
      <c r="O433" s="216"/>
      <c r="P433" s="216"/>
      <c r="Q433" s="216"/>
      <c r="R433" s="216"/>
      <c r="S433" s="216"/>
      <c r="T433" s="216"/>
      <c r="U433" s="216"/>
      <c r="V433" s="216"/>
    </row>
    <row r="434" spans="1:22">
      <c r="A434" s="216"/>
      <c r="B434" s="216"/>
      <c r="C434" s="216"/>
      <c r="D434" s="216"/>
      <c r="E434" s="216"/>
      <c r="F434" s="216"/>
      <c r="G434" s="216"/>
      <c r="H434" s="216"/>
      <c r="I434" s="216"/>
      <c r="J434" s="216"/>
      <c r="K434" s="216"/>
      <c r="L434" s="207"/>
      <c r="M434" s="207"/>
      <c r="N434" s="216"/>
      <c r="O434" s="216"/>
      <c r="P434" s="216"/>
      <c r="Q434" s="216"/>
      <c r="R434" s="216"/>
      <c r="S434" s="216"/>
      <c r="T434" s="216"/>
      <c r="U434" s="216"/>
      <c r="V434" s="216"/>
    </row>
    <row r="435" spans="1:22">
      <c r="A435" s="216"/>
      <c r="B435" s="216"/>
      <c r="C435" s="216"/>
      <c r="D435" s="216"/>
      <c r="E435" s="216"/>
      <c r="F435" s="216"/>
      <c r="G435" s="216"/>
      <c r="H435" s="216"/>
      <c r="I435" s="216"/>
      <c r="J435" s="216"/>
      <c r="K435" s="216"/>
      <c r="L435" s="207"/>
      <c r="M435" s="207"/>
      <c r="N435" s="216"/>
      <c r="O435" s="216"/>
      <c r="P435" s="216"/>
      <c r="Q435" s="216"/>
      <c r="R435" s="216"/>
      <c r="S435" s="216"/>
      <c r="T435" s="216"/>
      <c r="U435" s="216"/>
      <c r="V435" s="216"/>
    </row>
    <row r="436" spans="1:22">
      <c r="A436" s="216"/>
      <c r="B436" s="216"/>
      <c r="C436" s="216"/>
      <c r="D436" s="216"/>
      <c r="E436" s="216"/>
      <c r="F436" s="216"/>
      <c r="G436" s="216"/>
      <c r="H436" s="216"/>
      <c r="I436" s="216"/>
      <c r="J436" s="216"/>
      <c r="K436" s="216"/>
      <c r="L436" s="207"/>
      <c r="M436" s="207"/>
      <c r="N436" s="216"/>
      <c r="O436" s="216"/>
      <c r="P436" s="216"/>
      <c r="Q436" s="216"/>
      <c r="R436" s="216"/>
      <c r="S436" s="216"/>
      <c r="T436" s="216"/>
      <c r="U436" s="216"/>
      <c r="V436" s="216"/>
    </row>
    <row r="437" spans="1:22">
      <c r="A437" s="216"/>
      <c r="B437" s="216"/>
      <c r="C437" s="216"/>
      <c r="D437" s="216"/>
      <c r="E437" s="216"/>
      <c r="F437" s="216"/>
      <c r="G437" s="216"/>
      <c r="H437" s="216"/>
      <c r="I437" s="216"/>
      <c r="J437" s="216"/>
      <c r="K437" s="216"/>
      <c r="L437" s="207"/>
      <c r="M437" s="207"/>
      <c r="N437" s="216"/>
      <c r="O437" s="216"/>
      <c r="P437" s="216"/>
      <c r="Q437" s="216"/>
      <c r="R437" s="216"/>
      <c r="S437" s="216"/>
      <c r="T437" s="216"/>
      <c r="U437" s="216"/>
      <c r="V437" s="216"/>
    </row>
    <row r="438" spans="1:22">
      <c r="A438" s="216"/>
      <c r="B438" s="216"/>
      <c r="C438" s="216"/>
      <c r="D438" s="216"/>
      <c r="E438" s="216"/>
      <c r="F438" s="216"/>
      <c r="G438" s="216"/>
      <c r="H438" s="216"/>
      <c r="I438" s="216"/>
      <c r="J438" s="216"/>
      <c r="K438" s="216"/>
      <c r="L438" s="207"/>
      <c r="M438" s="207"/>
      <c r="N438" s="216"/>
      <c r="O438" s="216"/>
      <c r="P438" s="216"/>
      <c r="Q438" s="216"/>
      <c r="R438" s="216"/>
      <c r="S438" s="216"/>
      <c r="T438" s="216"/>
      <c r="U438" s="216"/>
      <c r="V438" s="216"/>
    </row>
    <row r="439" spans="1:22">
      <c r="A439" s="216"/>
      <c r="B439" s="216"/>
      <c r="C439" s="216"/>
      <c r="D439" s="216"/>
      <c r="E439" s="216"/>
      <c r="F439" s="216"/>
      <c r="G439" s="216"/>
      <c r="H439" s="216"/>
      <c r="I439" s="216"/>
      <c r="J439" s="216"/>
      <c r="K439" s="216"/>
      <c r="L439" s="207"/>
      <c r="M439" s="207"/>
      <c r="N439" s="216"/>
      <c r="O439" s="216"/>
      <c r="P439" s="216"/>
      <c r="Q439" s="216"/>
      <c r="R439" s="216"/>
      <c r="S439" s="216"/>
      <c r="T439" s="216"/>
      <c r="U439" s="216"/>
      <c r="V439" s="216"/>
    </row>
    <row r="440" spans="1:22">
      <c r="A440" s="216"/>
      <c r="B440" s="216"/>
      <c r="C440" s="216"/>
      <c r="D440" s="216"/>
      <c r="E440" s="216"/>
      <c r="F440" s="216"/>
      <c r="G440" s="216"/>
      <c r="H440" s="216"/>
      <c r="I440" s="216"/>
      <c r="J440" s="216"/>
      <c r="K440" s="216"/>
      <c r="L440" s="207"/>
      <c r="M440" s="207"/>
      <c r="N440" s="216"/>
      <c r="O440" s="216"/>
      <c r="P440" s="216"/>
      <c r="Q440" s="216"/>
      <c r="R440" s="216"/>
      <c r="S440" s="216"/>
      <c r="T440" s="216"/>
      <c r="U440" s="216"/>
      <c r="V440" s="216"/>
    </row>
    <row r="441" spans="1:22">
      <c r="A441" s="216"/>
      <c r="B441" s="216"/>
      <c r="C441" s="216"/>
      <c r="D441" s="216"/>
      <c r="E441" s="216"/>
      <c r="F441" s="216"/>
      <c r="G441" s="216"/>
      <c r="H441" s="216"/>
      <c r="I441" s="216"/>
      <c r="J441" s="216"/>
      <c r="K441" s="216"/>
      <c r="L441" s="207"/>
      <c r="M441" s="207"/>
      <c r="N441" s="216"/>
      <c r="O441" s="216"/>
      <c r="P441" s="216"/>
      <c r="Q441" s="216"/>
      <c r="R441" s="216"/>
      <c r="S441" s="216"/>
      <c r="T441" s="216"/>
      <c r="U441" s="216"/>
      <c r="V441" s="216"/>
    </row>
    <row r="442" spans="1:22">
      <c r="A442" s="216"/>
      <c r="B442" s="216"/>
      <c r="C442" s="216"/>
      <c r="D442" s="216"/>
      <c r="E442" s="216"/>
      <c r="F442" s="216"/>
      <c r="G442" s="216"/>
      <c r="H442" s="216"/>
      <c r="I442" s="216"/>
      <c r="J442" s="216"/>
      <c r="K442" s="216"/>
      <c r="L442" s="207"/>
      <c r="M442" s="207"/>
      <c r="N442" s="216"/>
      <c r="O442" s="216"/>
      <c r="P442" s="216"/>
      <c r="Q442" s="216"/>
      <c r="R442" s="216"/>
      <c r="S442" s="216"/>
      <c r="T442" s="216"/>
      <c r="U442" s="216"/>
      <c r="V442" s="216"/>
    </row>
    <row r="443" spans="1:22">
      <c r="A443" s="216"/>
      <c r="B443" s="216"/>
      <c r="C443" s="216"/>
      <c r="D443" s="216"/>
      <c r="E443" s="216"/>
      <c r="F443" s="216"/>
      <c r="G443" s="216"/>
      <c r="H443" s="216"/>
      <c r="I443" s="216"/>
      <c r="J443" s="216"/>
      <c r="K443" s="216"/>
      <c r="L443" s="207"/>
      <c r="M443" s="207"/>
      <c r="N443" s="216"/>
      <c r="O443" s="216"/>
      <c r="P443" s="216"/>
      <c r="Q443" s="216"/>
      <c r="R443" s="216"/>
      <c r="S443" s="216"/>
      <c r="T443" s="216"/>
      <c r="U443" s="216"/>
      <c r="V443" s="216"/>
    </row>
    <row r="444" spans="1:22">
      <c r="A444" s="216"/>
      <c r="B444" s="216"/>
      <c r="C444" s="216"/>
      <c r="D444" s="216"/>
      <c r="E444" s="216"/>
      <c r="F444" s="216"/>
      <c r="G444" s="216"/>
      <c r="H444" s="216"/>
      <c r="I444" s="216"/>
      <c r="J444" s="216"/>
      <c r="K444" s="216"/>
      <c r="L444" s="207"/>
      <c r="M444" s="207"/>
      <c r="N444" s="216"/>
      <c r="O444" s="216"/>
      <c r="P444" s="216"/>
      <c r="Q444" s="216"/>
      <c r="R444" s="216"/>
      <c r="S444" s="216"/>
      <c r="T444" s="216"/>
      <c r="U444" s="216"/>
      <c r="V444" s="216"/>
    </row>
    <row r="445" spans="1:22">
      <c r="A445" s="216"/>
      <c r="B445" s="216"/>
      <c r="C445" s="216"/>
      <c r="D445" s="216"/>
      <c r="E445" s="216"/>
      <c r="F445" s="216"/>
      <c r="G445" s="216"/>
      <c r="H445" s="216"/>
      <c r="I445" s="216"/>
      <c r="J445" s="216"/>
      <c r="K445" s="216"/>
      <c r="L445" s="207"/>
      <c r="M445" s="207"/>
      <c r="N445" s="216"/>
      <c r="O445" s="216"/>
      <c r="P445" s="216"/>
      <c r="Q445" s="216"/>
      <c r="R445" s="216"/>
      <c r="S445" s="216"/>
      <c r="T445" s="216"/>
      <c r="U445" s="216"/>
      <c r="V445" s="216"/>
    </row>
    <row r="446" spans="1:22">
      <c r="A446" s="216"/>
      <c r="B446" s="216"/>
      <c r="C446" s="216"/>
      <c r="D446" s="216"/>
      <c r="E446" s="216"/>
      <c r="F446" s="216"/>
      <c r="G446" s="216"/>
      <c r="H446" s="216"/>
      <c r="I446" s="216"/>
      <c r="J446" s="216"/>
      <c r="K446" s="216"/>
      <c r="L446" s="207"/>
      <c r="M446" s="207"/>
      <c r="N446" s="216"/>
      <c r="O446" s="216"/>
      <c r="P446" s="216"/>
      <c r="Q446" s="216"/>
      <c r="R446" s="216"/>
      <c r="S446" s="216"/>
      <c r="T446" s="216"/>
      <c r="U446" s="216"/>
      <c r="V446" s="216"/>
    </row>
    <row r="447" spans="1:22">
      <c r="A447" s="216"/>
      <c r="B447" s="216"/>
      <c r="C447" s="216"/>
      <c r="D447" s="216"/>
      <c r="E447" s="216"/>
      <c r="F447" s="216"/>
      <c r="G447" s="216"/>
      <c r="H447" s="216"/>
      <c r="I447" s="216"/>
      <c r="J447" s="216"/>
      <c r="K447" s="216"/>
      <c r="L447" s="207"/>
      <c r="M447" s="207"/>
      <c r="N447" s="216"/>
      <c r="O447" s="216"/>
      <c r="P447" s="216"/>
      <c r="Q447" s="216"/>
      <c r="R447" s="216"/>
      <c r="S447" s="216"/>
      <c r="T447" s="216"/>
      <c r="U447" s="216"/>
      <c r="V447" s="216"/>
    </row>
    <row r="448" spans="1:22">
      <c r="A448" s="216"/>
      <c r="B448" s="216"/>
      <c r="C448" s="216"/>
      <c r="D448" s="216"/>
      <c r="E448" s="216"/>
      <c r="F448" s="216"/>
      <c r="G448" s="216"/>
      <c r="H448" s="216"/>
      <c r="I448" s="216"/>
      <c r="J448" s="216"/>
      <c r="K448" s="216"/>
      <c r="L448" s="207"/>
      <c r="M448" s="207"/>
      <c r="N448" s="216"/>
      <c r="O448" s="216"/>
      <c r="P448" s="216"/>
      <c r="Q448" s="216"/>
      <c r="R448" s="216"/>
      <c r="S448" s="216"/>
      <c r="T448" s="216"/>
      <c r="U448" s="216"/>
      <c r="V448" s="216"/>
    </row>
    <row r="449" spans="1:22">
      <c r="A449" s="216"/>
      <c r="B449" s="216"/>
      <c r="C449" s="216"/>
      <c r="D449" s="216"/>
      <c r="E449" s="216"/>
      <c r="F449" s="216"/>
      <c r="G449" s="216"/>
      <c r="H449" s="216"/>
      <c r="I449" s="216"/>
      <c r="J449" s="216"/>
      <c r="K449" s="216"/>
      <c r="L449" s="207"/>
      <c r="M449" s="207"/>
      <c r="N449" s="216"/>
      <c r="O449" s="216"/>
      <c r="P449" s="216"/>
      <c r="Q449" s="216"/>
      <c r="R449" s="216"/>
      <c r="S449" s="216"/>
      <c r="T449" s="216"/>
      <c r="U449" s="216"/>
      <c r="V449" s="216"/>
    </row>
    <row r="450" spans="1:22">
      <c r="A450" s="216"/>
      <c r="B450" s="216"/>
      <c r="C450" s="216"/>
      <c r="D450" s="216"/>
      <c r="E450" s="216"/>
      <c r="F450" s="216"/>
      <c r="G450" s="216"/>
      <c r="H450" s="216"/>
      <c r="I450" s="216"/>
      <c r="J450" s="216"/>
      <c r="K450" s="216"/>
      <c r="L450" s="207"/>
      <c r="M450" s="207"/>
      <c r="N450" s="216"/>
      <c r="O450" s="216"/>
      <c r="P450" s="216"/>
      <c r="Q450" s="216"/>
      <c r="R450" s="216"/>
      <c r="S450" s="216"/>
      <c r="T450" s="216"/>
      <c r="U450" s="216"/>
      <c r="V450" s="216"/>
    </row>
    <row r="451" spans="1:22">
      <c r="A451" s="216"/>
      <c r="B451" s="216"/>
      <c r="C451" s="216"/>
      <c r="D451" s="216"/>
      <c r="E451" s="216"/>
      <c r="F451" s="216"/>
      <c r="G451" s="216"/>
      <c r="H451" s="216"/>
      <c r="I451" s="216"/>
      <c r="J451" s="216"/>
      <c r="K451" s="216"/>
      <c r="L451" s="207"/>
      <c r="M451" s="207"/>
      <c r="N451" s="216"/>
      <c r="O451" s="216"/>
      <c r="P451" s="216"/>
      <c r="Q451" s="216"/>
      <c r="R451" s="216"/>
      <c r="S451" s="216"/>
      <c r="T451" s="216"/>
      <c r="U451" s="216"/>
      <c r="V451" s="216"/>
    </row>
    <row r="452" spans="1:22">
      <c r="A452" s="216"/>
      <c r="B452" s="216"/>
      <c r="C452" s="216"/>
      <c r="D452" s="216"/>
      <c r="E452" s="216"/>
      <c r="F452" s="216"/>
      <c r="G452" s="216"/>
      <c r="H452" s="216"/>
      <c r="I452" s="216"/>
      <c r="J452" s="216"/>
      <c r="K452" s="216"/>
      <c r="L452" s="207"/>
      <c r="M452" s="207"/>
      <c r="N452" s="216"/>
      <c r="O452" s="216"/>
      <c r="P452" s="216"/>
      <c r="Q452" s="216"/>
      <c r="R452" s="216"/>
      <c r="S452" s="216"/>
      <c r="T452" s="216"/>
      <c r="U452" s="216"/>
      <c r="V452" s="216"/>
    </row>
    <row r="453" spans="1:22">
      <c r="A453" s="216"/>
      <c r="B453" s="216"/>
      <c r="C453" s="216"/>
      <c r="D453" s="216"/>
      <c r="E453" s="216"/>
      <c r="F453" s="216"/>
      <c r="G453" s="216"/>
      <c r="H453" s="216"/>
      <c r="I453" s="216"/>
      <c r="J453" s="216"/>
      <c r="K453" s="216"/>
      <c r="L453" s="207"/>
      <c r="M453" s="207"/>
      <c r="N453" s="216"/>
      <c r="O453" s="216"/>
      <c r="P453" s="216"/>
      <c r="Q453" s="216"/>
      <c r="R453" s="216"/>
      <c r="S453" s="216"/>
      <c r="T453" s="216"/>
      <c r="U453" s="216"/>
      <c r="V453" s="216"/>
    </row>
    <row r="454" spans="1:22">
      <c r="A454" s="216"/>
      <c r="B454" s="216"/>
      <c r="C454" s="216"/>
      <c r="D454" s="216"/>
      <c r="E454" s="216"/>
      <c r="F454" s="216"/>
      <c r="G454" s="216"/>
      <c r="H454" s="216"/>
      <c r="I454" s="216"/>
      <c r="J454" s="216"/>
      <c r="K454" s="216"/>
      <c r="L454" s="207"/>
      <c r="M454" s="207"/>
      <c r="N454" s="216"/>
      <c r="O454" s="216"/>
      <c r="P454" s="216"/>
      <c r="Q454" s="216"/>
      <c r="R454" s="216"/>
      <c r="S454" s="216"/>
      <c r="T454" s="216"/>
      <c r="U454" s="216"/>
      <c r="V454" s="216"/>
    </row>
    <row r="455" spans="1:22">
      <c r="A455" s="216"/>
      <c r="B455" s="216"/>
      <c r="C455" s="216"/>
      <c r="D455" s="216"/>
      <c r="E455" s="216"/>
      <c r="F455" s="216"/>
      <c r="G455" s="216"/>
      <c r="H455" s="216"/>
      <c r="I455" s="216"/>
      <c r="J455" s="216"/>
      <c r="K455" s="216"/>
      <c r="L455" s="207"/>
      <c r="M455" s="207"/>
      <c r="N455" s="216"/>
      <c r="O455" s="216"/>
      <c r="P455" s="216"/>
      <c r="Q455" s="216"/>
      <c r="R455" s="216"/>
      <c r="S455" s="216"/>
      <c r="T455" s="216"/>
      <c r="U455" s="216"/>
      <c r="V455" s="216"/>
    </row>
    <row r="456" spans="1:22">
      <c r="A456" s="216"/>
      <c r="B456" s="216"/>
      <c r="C456" s="216"/>
      <c r="D456" s="216"/>
      <c r="E456" s="216"/>
      <c r="F456" s="216"/>
      <c r="G456" s="216"/>
      <c r="H456" s="216"/>
      <c r="I456" s="216"/>
      <c r="J456" s="216"/>
      <c r="K456" s="216"/>
      <c r="L456" s="207"/>
      <c r="M456" s="207"/>
      <c r="N456" s="216"/>
      <c r="O456" s="216"/>
      <c r="P456" s="216"/>
      <c r="Q456" s="216"/>
      <c r="R456" s="216"/>
      <c r="S456" s="216"/>
      <c r="T456" s="216"/>
      <c r="U456" s="216"/>
      <c r="V456" s="216"/>
    </row>
    <row r="457" spans="1:22">
      <c r="A457" s="216"/>
      <c r="B457" s="216"/>
      <c r="C457" s="216"/>
      <c r="D457" s="216"/>
      <c r="E457" s="216"/>
      <c r="F457" s="216"/>
      <c r="G457" s="216"/>
      <c r="H457" s="216"/>
      <c r="I457" s="216"/>
      <c r="J457" s="216"/>
      <c r="K457" s="216"/>
      <c r="L457" s="207"/>
      <c r="M457" s="207"/>
      <c r="N457" s="216"/>
      <c r="O457" s="216"/>
      <c r="P457" s="216"/>
      <c r="Q457" s="216"/>
      <c r="R457" s="216"/>
      <c r="S457" s="216"/>
      <c r="T457" s="216"/>
      <c r="U457" s="216"/>
      <c r="V457" s="216"/>
    </row>
    <row r="458" spans="1:22">
      <c r="A458" s="216"/>
      <c r="B458" s="216"/>
      <c r="C458" s="216"/>
      <c r="D458" s="216"/>
      <c r="E458" s="216"/>
      <c r="F458" s="216"/>
      <c r="G458" s="216"/>
      <c r="H458" s="216"/>
      <c r="I458" s="216"/>
      <c r="J458" s="216"/>
      <c r="K458" s="216"/>
      <c r="L458" s="207"/>
      <c r="M458" s="207"/>
      <c r="N458" s="216"/>
      <c r="O458" s="216"/>
      <c r="P458" s="216"/>
      <c r="Q458" s="216"/>
      <c r="R458" s="216"/>
      <c r="S458" s="216"/>
      <c r="T458" s="216"/>
      <c r="U458" s="216"/>
      <c r="V458" s="216"/>
    </row>
    <row r="459" spans="1:22">
      <c r="A459" s="216"/>
      <c r="B459" s="216"/>
      <c r="C459" s="216"/>
      <c r="D459" s="216"/>
      <c r="E459" s="216"/>
      <c r="F459" s="216"/>
      <c r="G459" s="216"/>
      <c r="H459" s="216"/>
      <c r="I459" s="216"/>
      <c r="J459" s="216"/>
      <c r="K459" s="216"/>
      <c r="L459" s="207"/>
      <c r="M459" s="207"/>
      <c r="N459" s="216"/>
      <c r="O459" s="216"/>
      <c r="P459" s="216"/>
      <c r="Q459" s="216"/>
      <c r="R459" s="216"/>
      <c r="S459" s="216"/>
      <c r="T459" s="216"/>
      <c r="U459" s="216"/>
      <c r="V459" s="216"/>
    </row>
    <row r="460" spans="1:22">
      <c r="A460" s="216"/>
      <c r="B460" s="216"/>
      <c r="C460" s="216"/>
      <c r="D460" s="216"/>
      <c r="E460" s="216"/>
      <c r="F460" s="216"/>
      <c r="G460" s="216"/>
      <c r="H460" s="216"/>
      <c r="I460" s="216"/>
      <c r="J460" s="216"/>
      <c r="K460" s="216"/>
      <c r="L460" s="207"/>
      <c r="M460" s="207"/>
      <c r="N460" s="216"/>
      <c r="O460" s="216"/>
      <c r="P460" s="216"/>
      <c r="Q460" s="216"/>
      <c r="R460" s="216"/>
      <c r="S460" s="216"/>
      <c r="T460" s="216"/>
      <c r="U460" s="216"/>
      <c r="V460" s="216"/>
    </row>
    <row r="461" spans="1:22">
      <c r="A461" s="216"/>
      <c r="B461" s="216"/>
      <c r="C461" s="216"/>
      <c r="D461" s="216"/>
      <c r="E461" s="216"/>
      <c r="F461" s="216"/>
      <c r="G461" s="216"/>
      <c r="H461" s="216"/>
      <c r="I461" s="216"/>
      <c r="J461" s="216"/>
      <c r="K461" s="216"/>
      <c r="L461" s="207"/>
      <c r="M461" s="207"/>
      <c r="N461" s="216"/>
      <c r="O461" s="216"/>
      <c r="P461" s="216"/>
      <c r="Q461" s="216"/>
      <c r="R461" s="216"/>
      <c r="S461" s="216"/>
      <c r="T461" s="216"/>
      <c r="U461" s="216"/>
      <c r="V461" s="216"/>
    </row>
    <row r="462" spans="1:22">
      <c r="A462" s="216"/>
      <c r="B462" s="216"/>
      <c r="C462" s="216"/>
      <c r="D462" s="216"/>
      <c r="E462" s="216"/>
      <c r="F462" s="216"/>
      <c r="G462" s="216"/>
      <c r="H462" s="216"/>
      <c r="I462" s="216"/>
      <c r="J462" s="216"/>
      <c r="K462" s="216"/>
      <c r="L462" s="207"/>
      <c r="M462" s="207"/>
      <c r="N462" s="216"/>
      <c r="O462" s="216"/>
      <c r="P462" s="216"/>
      <c r="Q462" s="216"/>
      <c r="R462" s="216"/>
      <c r="S462" s="216"/>
      <c r="T462" s="216"/>
      <c r="U462" s="216"/>
      <c r="V462" s="216"/>
    </row>
    <row r="463" spans="1:22">
      <c r="A463" s="216"/>
      <c r="B463" s="216"/>
      <c r="C463" s="216"/>
      <c r="D463" s="216"/>
      <c r="E463" s="216"/>
      <c r="F463" s="216"/>
      <c r="G463" s="216"/>
      <c r="H463" s="216"/>
      <c r="I463" s="216"/>
      <c r="J463" s="216"/>
      <c r="K463" s="216"/>
      <c r="L463" s="207"/>
      <c r="M463" s="207"/>
      <c r="N463" s="216"/>
      <c r="O463" s="216"/>
      <c r="P463" s="216"/>
      <c r="Q463" s="216"/>
      <c r="R463" s="216"/>
      <c r="S463" s="216"/>
      <c r="T463" s="216"/>
      <c r="U463" s="216"/>
      <c r="V463" s="216"/>
    </row>
    <row r="464" spans="1:22">
      <c r="A464" s="216"/>
      <c r="B464" s="216"/>
      <c r="C464" s="216"/>
      <c r="D464" s="216"/>
      <c r="E464" s="216"/>
      <c r="F464" s="216"/>
      <c r="G464" s="216"/>
      <c r="H464" s="216"/>
      <c r="I464" s="216"/>
      <c r="J464" s="216"/>
      <c r="K464" s="216"/>
      <c r="L464" s="207"/>
      <c r="M464" s="207"/>
      <c r="N464" s="216"/>
      <c r="O464" s="216"/>
      <c r="P464" s="216"/>
      <c r="Q464" s="216"/>
      <c r="R464" s="216"/>
      <c r="S464" s="216"/>
      <c r="T464" s="216"/>
      <c r="U464" s="216"/>
      <c r="V464" s="216"/>
    </row>
    <row r="465" spans="1:22">
      <c r="A465" s="216"/>
      <c r="B465" s="216"/>
      <c r="C465" s="216"/>
      <c r="D465" s="216"/>
      <c r="E465" s="216"/>
      <c r="F465" s="216"/>
      <c r="G465" s="216"/>
      <c r="H465" s="216"/>
      <c r="I465" s="216"/>
      <c r="J465" s="216"/>
      <c r="K465" s="216"/>
      <c r="L465" s="207"/>
      <c r="M465" s="207"/>
      <c r="N465" s="216"/>
      <c r="O465" s="216"/>
      <c r="P465" s="216"/>
      <c r="Q465" s="216"/>
      <c r="R465" s="216"/>
      <c r="S465" s="216"/>
      <c r="T465" s="216"/>
      <c r="U465" s="216"/>
      <c r="V465" s="216"/>
    </row>
    <row r="466" spans="1:22">
      <c r="A466" s="216"/>
      <c r="B466" s="216"/>
      <c r="C466" s="216"/>
      <c r="D466" s="216"/>
      <c r="E466" s="216"/>
      <c r="F466" s="216"/>
      <c r="G466" s="216"/>
      <c r="H466" s="216"/>
      <c r="I466" s="216"/>
      <c r="J466" s="216"/>
      <c r="K466" s="216"/>
      <c r="L466" s="207"/>
      <c r="M466" s="207"/>
      <c r="N466" s="216"/>
      <c r="O466" s="216"/>
      <c r="P466" s="216"/>
      <c r="Q466" s="216"/>
      <c r="R466" s="216"/>
      <c r="S466" s="216"/>
      <c r="T466" s="216"/>
      <c r="U466" s="216"/>
      <c r="V466" s="216"/>
    </row>
    <row r="467" spans="1:22">
      <c r="A467" s="216"/>
      <c r="B467" s="216"/>
      <c r="C467" s="216"/>
      <c r="D467" s="216"/>
      <c r="E467" s="216"/>
      <c r="F467" s="216"/>
      <c r="G467" s="216"/>
      <c r="H467" s="216"/>
      <c r="I467" s="216"/>
      <c r="J467" s="216"/>
      <c r="K467" s="216"/>
      <c r="L467" s="207"/>
      <c r="M467" s="207"/>
      <c r="N467" s="216"/>
      <c r="O467" s="216"/>
      <c r="P467" s="216"/>
      <c r="Q467" s="216"/>
      <c r="R467" s="216"/>
      <c r="S467" s="216"/>
      <c r="T467" s="216"/>
      <c r="U467" s="216"/>
      <c r="V467" s="216"/>
    </row>
    <row r="468" spans="1:22">
      <c r="A468" s="216"/>
      <c r="B468" s="216"/>
      <c r="C468" s="216"/>
      <c r="D468" s="216"/>
      <c r="E468" s="216"/>
      <c r="F468" s="216"/>
      <c r="G468" s="216"/>
      <c r="H468" s="216"/>
      <c r="I468" s="216"/>
      <c r="J468" s="216"/>
      <c r="K468" s="216"/>
      <c r="L468" s="207"/>
      <c r="M468" s="207"/>
      <c r="N468" s="216"/>
      <c r="O468" s="216"/>
      <c r="P468" s="216"/>
      <c r="Q468" s="216"/>
      <c r="R468" s="216"/>
      <c r="S468" s="216"/>
      <c r="T468" s="216"/>
      <c r="U468" s="216"/>
      <c r="V468" s="216"/>
    </row>
    <row r="469" spans="1:22">
      <c r="A469" s="216"/>
      <c r="B469" s="216"/>
      <c r="C469" s="216"/>
      <c r="D469" s="216"/>
      <c r="E469" s="216"/>
      <c r="F469" s="216"/>
      <c r="G469" s="216"/>
      <c r="H469" s="216"/>
      <c r="I469" s="216"/>
      <c r="J469" s="216"/>
      <c r="K469" s="216"/>
      <c r="L469" s="207"/>
      <c r="M469" s="207"/>
      <c r="N469" s="216"/>
      <c r="O469" s="216"/>
      <c r="P469" s="216"/>
      <c r="Q469" s="216"/>
      <c r="R469" s="216"/>
      <c r="S469" s="216"/>
      <c r="T469" s="216"/>
      <c r="U469" s="216"/>
      <c r="V469" s="216"/>
    </row>
    <row r="470" spans="1:22">
      <c r="A470" s="216"/>
      <c r="B470" s="216"/>
      <c r="C470" s="216"/>
      <c r="D470" s="216"/>
      <c r="E470" s="216"/>
      <c r="F470" s="216"/>
      <c r="G470" s="216"/>
      <c r="H470" s="216"/>
      <c r="I470" s="216"/>
      <c r="J470" s="216"/>
      <c r="K470" s="216"/>
      <c r="L470" s="207"/>
      <c r="M470" s="207"/>
      <c r="N470" s="216"/>
      <c r="O470" s="216"/>
      <c r="P470" s="216"/>
      <c r="Q470" s="216"/>
      <c r="R470" s="216"/>
      <c r="S470" s="216"/>
      <c r="T470" s="216"/>
      <c r="U470" s="216"/>
      <c r="V470" s="216"/>
    </row>
    <row r="471" spans="1:22">
      <c r="A471" s="216"/>
      <c r="B471" s="216"/>
      <c r="C471" s="216"/>
      <c r="D471" s="216"/>
      <c r="E471" s="216"/>
      <c r="F471" s="216"/>
      <c r="G471" s="216"/>
      <c r="H471" s="216"/>
      <c r="I471" s="216"/>
      <c r="J471" s="216"/>
      <c r="K471" s="216"/>
      <c r="L471" s="207"/>
      <c r="M471" s="207"/>
      <c r="N471" s="216"/>
      <c r="O471" s="216"/>
      <c r="P471" s="216"/>
      <c r="Q471" s="216"/>
      <c r="R471" s="216"/>
      <c r="S471" s="216"/>
      <c r="T471" s="216"/>
      <c r="U471" s="216"/>
      <c r="V471" s="216"/>
    </row>
    <row r="472" spans="1:22">
      <c r="A472" s="216"/>
      <c r="B472" s="216"/>
      <c r="C472" s="216"/>
      <c r="D472" s="216"/>
      <c r="E472" s="216"/>
      <c r="F472" s="216"/>
      <c r="G472" s="216"/>
      <c r="H472" s="216"/>
      <c r="I472" s="216"/>
      <c r="J472" s="216"/>
      <c r="K472" s="216"/>
      <c r="L472" s="207"/>
      <c r="M472" s="207"/>
      <c r="N472" s="216"/>
      <c r="O472" s="216"/>
      <c r="P472" s="216"/>
      <c r="Q472" s="216"/>
      <c r="R472" s="216"/>
      <c r="S472" s="216"/>
      <c r="T472" s="216"/>
      <c r="U472" s="216"/>
      <c r="V472" s="216"/>
    </row>
    <row r="473" spans="1:22">
      <c r="A473" s="216"/>
      <c r="B473" s="216"/>
      <c r="C473" s="216"/>
      <c r="D473" s="216"/>
      <c r="E473" s="216"/>
      <c r="F473" s="216"/>
      <c r="G473" s="216"/>
      <c r="H473" s="216"/>
      <c r="I473" s="216"/>
      <c r="J473" s="216"/>
      <c r="K473" s="216"/>
      <c r="L473" s="207"/>
      <c r="M473" s="207"/>
      <c r="N473" s="216"/>
      <c r="O473" s="216"/>
      <c r="P473" s="216"/>
      <c r="Q473" s="216"/>
      <c r="R473" s="216"/>
      <c r="S473" s="216"/>
      <c r="T473" s="216"/>
      <c r="U473" s="216"/>
      <c r="V473" s="216"/>
    </row>
    <row r="474" spans="1:22">
      <c r="A474" s="216"/>
      <c r="B474" s="216"/>
      <c r="C474" s="216"/>
      <c r="D474" s="216"/>
      <c r="E474" s="216"/>
      <c r="F474" s="216"/>
      <c r="G474" s="216"/>
      <c r="H474" s="216"/>
      <c r="I474" s="216"/>
      <c r="J474" s="216"/>
      <c r="K474" s="216"/>
      <c r="L474" s="207"/>
      <c r="M474" s="207"/>
      <c r="N474" s="216"/>
      <c r="O474" s="216"/>
      <c r="P474" s="216"/>
      <c r="Q474" s="216"/>
      <c r="R474" s="216"/>
      <c r="S474" s="216"/>
      <c r="T474" s="216"/>
      <c r="U474" s="216"/>
      <c r="V474" s="216"/>
    </row>
    <row r="475" spans="1:22">
      <c r="A475" s="216"/>
      <c r="B475" s="216"/>
      <c r="C475" s="216"/>
      <c r="D475" s="216"/>
      <c r="E475" s="216"/>
      <c r="F475" s="216"/>
      <c r="G475" s="216"/>
      <c r="H475" s="216"/>
      <c r="I475" s="216"/>
      <c r="J475" s="216"/>
      <c r="K475" s="216"/>
      <c r="L475" s="207"/>
      <c r="M475" s="207"/>
      <c r="N475" s="216"/>
      <c r="O475" s="216"/>
      <c r="P475" s="216"/>
      <c r="Q475" s="216"/>
      <c r="R475" s="216"/>
      <c r="S475" s="216"/>
      <c r="T475" s="216"/>
      <c r="U475" s="216"/>
      <c r="V475" s="216"/>
    </row>
    <row r="476" spans="1:22">
      <c r="A476" s="216"/>
      <c r="B476" s="216"/>
      <c r="C476" s="216"/>
      <c r="D476" s="216"/>
      <c r="E476" s="216"/>
      <c r="F476" s="216"/>
      <c r="G476" s="216"/>
      <c r="H476" s="216"/>
      <c r="I476" s="216"/>
      <c r="J476" s="216"/>
      <c r="K476" s="216"/>
      <c r="L476" s="207"/>
      <c r="M476" s="207"/>
      <c r="N476" s="216"/>
      <c r="O476" s="216"/>
      <c r="P476" s="216"/>
      <c r="Q476" s="216"/>
      <c r="R476" s="216"/>
      <c r="S476" s="216"/>
      <c r="T476" s="216"/>
      <c r="U476" s="216"/>
      <c r="V476" s="216"/>
    </row>
    <row r="477" spans="1:22">
      <c r="A477" s="216"/>
      <c r="B477" s="216"/>
      <c r="C477" s="216"/>
      <c r="D477" s="216"/>
      <c r="E477" s="216"/>
      <c r="F477" s="216"/>
      <c r="G477" s="216"/>
      <c r="H477" s="216"/>
      <c r="I477" s="216"/>
      <c r="J477" s="216"/>
      <c r="K477" s="216"/>
      <c r="L477" s="207"/>
      <c r="M477" s="207"/>
      <c r="N477" s="216"/>
      <c r="O477" s="216"/>
      <c r="P477" s="216"/>
      <c r="Q477" s="216"/>
      <c r="R477" s="216"/>
      <c r="S477" s="216"/>
      <c r="T477" s="216"/>
      <c r="U477" s="216"/>
      <c r="V477" s="216"/>
    </row>
    <row r="478" spans="1:22">
      <c r="A478" s="216"/>
      <c r="B478" s="216"/>
      <c r="C478" s="216"/>
      <c r="D478" s="216"/>
      <c r="E478" s="216"/>
      <c r="F478" s="216"/>
      <c r="G478" s="216"/>
      <c r="H478" s="216"/>
      <c r="I478" s="216"/>
      <c r="J478" s="216"/>
      <c r="K478" s="216"/>
      <c r="L478" s="207"/>
      <c r="M478" s="207"/>
      <c r="N478" s="216"/>
      <c r="O478" s="216"/>
      <c r="P478" s="216"/>
      <c r="Q478" s="216"/>
      <c r="R478" s="216"/>
      <c r="S478" s="216"/>
      <c r="T478" s="216"/>
      <c r="U478" s="216"/>
      <c r="V478" s="216"/>
    </row>
    <row r="479" spans="1:22">
      <c r="A479" s="216"/>
      <c r="B479" s="216"/>
      <c r="C479" s="216"/>
      <c r="D479" s="216"/>
      <c r="E479" s="216"/>
      <c r="F479" s="216"/>
      <c r="G479" s="216"/>
      <c r="H479" s="216"/>
      <c r="I479" s="216"/>
      <c r="J479" s="216"/>
      <c r="K479" s="216"/>
      <c r="L479" s="207"/>
      <c r="M479" s="207"/>
      <c r="N479" s="216"/>
      <c r="O479" s="216"/>
      <c r="P479" s="216"/>
      <c r="Q479" s="216"/>
      <c r="R479" s="216"/>
      <c r="S479" s="216"/>
      <c r="T479" s="216"/>
      <c r="U479" s="216"/>
      <c r="V479" s="216"/>
    </row>
    <row r="480" spans="1:22">
      <c r="A480" s="216"/>
      <c r="B480" s="216"/>
      <c r="C480" s="216"/>
      <c r="D480" s="216"/>
      <c r="E480" s="216"/>
      <c r="F480" s="216"/>
      <c r="G480" s="216"/>
      <c r="H480" s="216"/>
      <c r="I480" s="216"/>
      <c r="J480" s="216"/>
      <c r="K480" s="216"/>
      <c r="L480" s="207"/>
      <c r="M480" s="207"/>
      <c r="N480" s="216"/>
      <c r="O480" s="216"/>
      <c r="P480" s="216"/>
      <c r="Q480" s="216"/>
      <c r="R480" s="216"/>
      <c r="S480" s="216"/>
      <c r="T480" s="216"/>
      <c r="U480" s="216"/>
      <c r="V480" s="216"/>
    </row>
    <row r="481" spans="1:22">
      <c r="A481" s="216"/>
      <c r="B481" s="216"/>
      <c r="C481" s="216"/>
      <c r="D481" s="216"/>
      <c r="E481" s="216"/>
      <c r="F481" s="216"/>
      <c r="G481" s="216"/>
      <c r="H481" s="216"/>
      <c r="I481" s="216"/>
      <c r="J481" s="216"/>
      <c r="K481" s="216"/>
      <c r="L481" s="207"/>
      <c r="M481" s="207"/>
      <c r="N481" s="216"/>
      <c r="O481" s="216"/>
      <c r="P481" s="216"/>
      <c r="Q481" s="216"/>
      <c r="R481" s="216"/>
      <c r="S481" s="216"/>
      <c r="T481" s="216"/>
      <c r="U481" s="216"/>
      <c r="V481" s="216"/>
    </row>
    <row r="482" spans="1:22">
      <c r="A482" s="216"/>
      <c r="B482" s="216"/>
      <c r="C482" s="216"/>
      <c r="D482" s="216"/>
      <c r="E482" s="216"/>
      <c r="F482" s="216"/>
      <c r="G482" s="216"/>
      <c r="H482" s="216"/>
      <c r="I482" s="216"/>
      <c r="J482" s="216"/>
      <c r="K482" s="216"/>
      <c r="L482" s="207"/>
      <c r="M482" s="207"/>
      <c r="N482" s="216"/>
      <c r="O482" s="216"/>
      <c r="P482" s="216"/>
      <c r="Q482" s="216"/>
      <c r="R482" s="216"/>
      <c r="S482" s="216"/>
      <c r="T482" s="216"/>
      <c r="U482" s="216"/>
      <c r="V482" s="216"/>
    </row>
    <row r="483" spans="1:22">
      <c r="A483" s="216"/>
      <c r="B483" s="216"/>
      <c r="C483" s="216"/>
      <c r="D483" s="216"/>
      <c r="E483" s="216"/>
      <c r="F483" s="216"/>
      <c r="G483" s="216"/>
      <c r="H483" s="216"/>
      <c r="I483" s="216"/>
      <c r="J483" s="216"/>
      <c r="K483" s="216"/>
      <c r="L483" s="207"/>
      <c r="M483" s="207"/>
      <c r="N483" s="216"/>
      <c r="O483" s="216"/>
      <c r="P483" s="216"/>
      <c r="Q483" s="216"/>
      <c r="R483" s="216"/>
      <c r="S483" s="216"/>
      <c r="T483" s="216"/>
      <c r="U483" s="216"/>
      <c r="V483" s="216"/>
    </row>
    <row r="484" spans="1:22">
      <c r="A484" s="216"/>
      <c r="B484" s="216"/>
      <c r="C484" s="216"/>
      <c r="D484" s="216"/>
      <c r="E484" s="216"/>
      <c r="F484" s="216"/>
      <c r="G484" s="216"/>
      <c r="H484" s="216"/>
      <c r="I484" s="216"/>
      <c r="J484" s="216"/>
      <c r="K484" s="216"/>
      <c r="L484" s="207"/>
      <c r="M484" s="207"/>
      <c r="N484" s="216"/>
      <c r="O484" s="216"/>
      <c r="P484" s="216"/>
      <c r="Q484" s="216"/>
      <c r="R484" s="216"/>
      <c r="S484" s="216"/>
      <c r="T484" s="216"/>
      <c r="U484" s="216"/>
      <c r="V484" s="216"/>
    </row>
    <row r="485" spans="1:22">
      <c r="A485" s="216"/>
      <c r="B485" s="216"/>
      <c r="C485" s="216"/>
      <c r="D485" s="216"/>
      <c r="E485" s="216"/>
      <c r="F485" s="216"/>
      <c r="G485" s="216"/>
      <c r="H485" s="216"/>
      <c r="I485" s="216"/>
      <c r="J485" s="216"/>
      <c r="K485" s="216"/>
      <c r="L485" s="207"/>
      <c r="M485" s="207"/>
      <c r="N485" s="216"/>
      <c r="O485" s="216"/>
      <c r="P485" s="216"/>
      <c r="Q485" s="216"/>
      <c r="R485" s="216"/>
      <c r="S485" s="216"/>
      <c r="T485" s="216"/>
      <c r="U485" s="216"/>
      <c r="V485" s="216"/>
    </row>
    <row r="486" spans="1:22">
      <c r="A486" s="216"/>
      <c r="B486" s="216"/>
      <c r="C486" s="216"/>
      <c r="D486" s="216"/>
      <c r="E486" s="216"/>
      <c r="F486" s="216"/>
      <c r="G486" s="216"/>
      <c r="H486" s="216"/>
      <c r="I486" s="216"/>
      <c r="J486" s="216"/>
      <c r="K486" s="216"/>
      <c r="L486" s="207"/>
      <c r="M486" s="207"/>
      <c r="N486" s="216"/>
      <c r="O486" s="216"/>
      <c r="P486" s="216"/>
      <c r="Q486" s="216"/>
      <c r="R486" s="216"/>
      <c r="S486" s="216"/>
      <c r="T486" s="216"/>
      <c r="U486" s="216"/>
      <c r="V486" s="216"/>
    </row>
    <row r="487" spans="1:22">
      <c r="A487" s="216"/>
      <c r="B487" s="216"/>
      <c r="C487" s="216"/>
      <c r="D487" s="216"/>
      <c r="E487" s="216"/>
      <c r="F487" s="216"/>
      <c r="G487" s="216"/>
      <c r="H487" s="216"/>
      <c r="I487" s="216"/>
      <c r="J487" s="216"/>
      <c r="K487" s="216"/>
      <c r="L487" s="207"/>
      <c r="M487" s="207"/>
      <c r="N487" s="216"/>
      <c r="O487" s="216"/>
      <c r="P487" s="216"/>
      <c r="Q487" s="216"/>
      <c r="R487" s="216"/>
      <c r="S487" s="216"/>
      <c r="T487" s="216"/>
      <c r="U487" s="216"/>
      <c r="V487" s="216"/>
    </row>
    <row r="488" spans="1:22">
      <c r="A488" s="216"/>
      <c r="B488" s="216"/>
      <c r="C488" s="216"/>
      <c r="D488" s="216"/>
      <c r="E488" s="216"/>
      <c r="F488" s="216"/>
      <c r="G488" s="216"/>
      <c r="H488" s="216"/>
      <c r="I488" s="216"/>
      <c r="J488" s="216"/>
      <c r="K488" s="216"/>
      <c r="L488" s="207"/>
      <c r="M488" s="207"/>
      <c r="N488" s="216"/>
      <c r="O488" s="216"/>
      <c r="P488" s="216"/>
      <c r="Q488" s="216"/>
      <c r="R488" s="216"/>
      <c r="S488" s="216"/>
      <c r="T488" s="216"/>
      <c r="U488" s="216"/>
      <c r="V488" s="216"/>
    </row>
    <row r="489" spans="1:22">
      <c r="A489" s="216"/>
      <c r="B489" s="216"/>
      <c r="C489" s="216"/>
      <c r="D489" s="216"/>
      <c r="E489" s="216"/>
      <c r="F489" s="216"/>
      <c r="G489" s="216"/>
      <c r="H489" s="216"/>
      <c r="I489" s="216"/>
      <c r="J489" s="216"/>
      <c r="K489" s="216"/>
      <c r="L489" s="207"/>
      <c r="M489" s="207"/>
      <c r="N489" s="216"/>
      <c r="O489" s="216"/>
      <c r="P489" s="216"/>
      <c r="Q489" s="216"/>
      <c r="R489" s="216"/>
      <c r="S489" s="216"/>
      <c r="T489" s="216"/>
      <c r="U489" s="216"/>
      <c r="V489" s="216"/>
    </row>
    <row r="490" spans="1:22">
      <c r="A490" s="216"/>
      <c r="B490" s="216"/>
      <c r="C490" s="216"/>
      <c r="D490" s="216"/>
      <c r="E490" s="216"/>
      <c r="F490" s="216"/>
      <c r="G490" s="216"/>
      <c r="H490" s="216"/>
      <c r="I490" s="216"/>
      <c r="J490" s="216"/>
      <c r="K490" s="216"/>
      <c r="L490" s="207"/>
      <c r="M490" s="207"/>
      <c r="N490" s="216"/>
      <c r="O490" s="216"/>
      <c r="P490" s="216"/>
      <c r="Q490" s="216"/>
      <c r="R490" s="216"/>
      <c r="S490" s="216"/>
      <c r="T490" s="216"/>
      <c r="U490" s="216"/>
      <c r="V490" s="216"/>
    </row>
    <row r="491" spans="1:22">
      <c r="A491" s="216"/>
      <c r="B491" s="216"/>
      <c r="C491" s="216"/>
      <c r="D491" s="216"/>
      <c r="E491" s="216"/>
      <c r="F491" s="216"/>
      <c r="G491" s="216"/>
      <c r="H491" s="216"/>
      <c r="I491" s="216"/>
      <c r="J491" s="216"/>
      <c r="K491" s="216"/>
      <c r="L491" s="207"/>
      <c r="M491" s="207"/>
      <c r="N491" s="216"/>
      <c r="O491" s="216"/>
      <c r="P491" s="216"/>
      <c r="Q491" s="216"/>
      <c r="R491" s="216"/>
      <c r="S491" s="216"/>
      <c r="T491" s="216"/>
      <c r="U491" s="216"/>
      <c r="V491" s="216"/>
    </row>
    <row r="492" spans="1:22">
      <c r="A492" s="216"/>
      <c r="B492" s="216"/>
      <c r="C492" s="216"/>
      <c r="D492" s="216"/>
      <c r="E492" s="216"/>
      <c r="F492" s="216"/>
      <c r="G492" s="216"/>
      <c r="H492" s="216"/>
      <c r="I492" s="216"/>
      <c r="J492" s="216"/>
      <c r="K492" s="216"/>
      <c r="L492" s="207"/>
      <c r="M492" s="207"/>
      <c r="N492" s="216"/>
      <c r="O492" s="216"/>
      <c r="P492" s="216"/>
      <c r="Q492" s="216"/>
      <c r="R492" s="216"/>
      <c r="S492" s="216"/>
      <c r="T492" s="216"/>
      <c r="U492" s="216"/>
      <c r="V492" s="216"/>
    </row>
    <row r="493" spans="1:22">
      <c r="A493" s="216"/>
      <c r="B493" s="216"/>
      <c r="C493" s="216"/>
      <c r="D493" s="216"/>
      <c r="E493" s="216"/>
      <c r="F493" s="216"/>
      <c r="G493" s="216"/>
      <c r="H493" s="216"/>
      <c r="I493" s="216"/>
      <c r="J493" s="216"/>
      <c r="K493" s="216"/>
      <c r="L493" s="207"/>
      <c r="M493" s="207"/>
      <c r="N493" s="216"/>
      <c r="O493" s="216"/>
      <c r="P493" s="216"/>
      <c r="Q493" s="216"/>
      <c r="R493" s="216"/>
      <c r="S493" s="216"/>
      <c r="T493" s="216"/>
      <c r="U493" s="216"/>
      <c r="V493" s="216"/>
    </row>
    <row r="494" spans="1:22">
      <c r="A494" s="216"/>
      <c r="B494" s="216"/>
      <c r="C494" s="216"/>
      <c r="D494" s="216"/>
      <c r="E494" s="216"/>
      <c r="F494" s="216"/>
      <c r="G494" s="216"/>
      <c r="H494" s="216"/>
      <c r="I494" s="216"/>
      <c r="J494" s="216"/>
      <c r="K494" s="216"/>
      <c r="L494" s="207"/>
      <c r="M494" s="207"/>
      <c r="N494" s="216"/>
      <c r="O494" s="216"/>
      <c r="P494" s="216"/>
      <c r="Q494" s="216"/>
      <c r="R494" s="216"/>
      <c r="S494" s="216"/>
      <c r="T494" s="216"/>
      <c r="U494" s="216"/>
      <c r="V494" s="216"/>
    </row>
    <row r="495" spans="1:22">
      <c r="A495" s="216"/>
      <c r="B495" s="216"/>
      <c r="C495" s="216"/>
      <c r="D495" s="216"/>
      <c r="E495" s="216"/>
      <c r="F495" s="216"/>
      <c r="G495" s="216"/>
      <c r="H495" s="216"/>
      <c r="I495" s="216"/>
      <c r="J495" s="216"/>
      <c r="K495" s="216"/>
      <c r="L495" s="207"/>
      <c r="M495" s="207"/>
      <c r="N495" s="216"/>
      <c r="O495" s="216"/>
      <c r="P495" s="216"/>
      <c r="Q495" s="216"/>
      <c r="R495" s="216"/>
      <c r="S495" s="216"/>
      <c r="T495" s="216"/>
      <c r="U495" s="216"/>
      <c r="V495" s="216"/>
    </row>
    <row r="496" spans="1:22">
      <c r="A496" s="216"/>
      <c r="B496" s="216"/>
      <c r="C496" s="216"/>
      <c r="D496" s="216"/>
      <c r="E496" s="216"/>
      <c r="F496" s="216"/>
      <c r="G496" s="216"/>
      <c r="H496" s="216"/>
      <c r="I496" s="216"/>
      <c r="J496" s="216"/>
      <c r="K496" s="216"/>
      <c r="L496" s="207"/>
      <c r="M496" s="207"/>
      <c r="N496" s="216"/>
      <c r="O496" s="216"/>
      <c r="P496" s="216"/>
      <c r="Q496" s="216"/>
      <c r="R496" s="216"/>
      <c r="S496" s="216"/>
      <c r="T496" s="216"/>
      <c r="U496" s="216"/>
      <c r="V496" s="216"/>
    </row>
    <row r="497" spans="1:22">
      <c r="A497" s="216"/>
      <c r="B497" s="216"/>
      <c r="C497" s="216"/>
      <c r="D497" s="216"/>
      <c r="E497" s="216"/>
      <c r="F497" s="216"/>
      <c r="G497" s="216"/>
      <c r="H497" s="216"/>
      <c r="I497" s="216"/>
      <c r="J497" s="216"/>
      <c r="K497" s="216"/>
      <c r="L497" s="207"/>
      <c r="M497" s="207"/>
      <c r="N497" s="216"/>
      <c r="O497" s="216"/>
      <c r="P497" s="216"/>
      <c r="Q497" s="216"/>
      <c r="R497" s="216"/>
      <c r="S497" s="216"/>
      <c r="T497" s="216"/>
      <c r="U497" s="216"/>
      <c r="V497" s="216"/>
    </row>
    <row r="498" spans="1:22">
      <c r="A498" s="216"/>
      <c r="B498" s="216"/>
      <c r="C498" s="216"/>
      <c r="D498" s="216"/>
      <c r="E498" s="216"/>
      <c r="F498" s="216"/>
      <c r="G498" s="216"/>
      <c r="H498" s="216"/>
      <c r="I498" s="216"/>
      <c r="J498" s="216"/>
      <c r="K498" s="216"/>
      <c r="L498" s="207"/>
      <c r="M498" s="207"/>
      <c r="N498" s="216"/>
      <c r="O498" s="216"/>
      <c r="P498" s="216"/>
      <c r="Q498" s="216"/>
      <c r="R498" s="216"/>
      <c r="S498" s="216"/>
      <c r="T498" s="216"/>
      <c r="U498" s="216"/>
      <c r="V498" s="216"/>
    </row>
    <row r="499" spans="1:22">
      <c r="A499" s="216"/>
      <c r="B499" s="216"/>
      <c r="C499" s="216"/>
      <c r="D499" s="216"/>
      <c r="E499" s="216"/>
      <c r="F499" s="216"/>
      <c r="G499" s="216"/>
      <c r="H499" s="216"/>
      <c r="I499" s="216"/>
      <c r="J499" s="216"/>
      <c r="K499" s="216"/>
      <c r="L499" s="207"/>
      <c r="M499" s="207"/>
      <c r="N499" s="216"/>
      <c r="O499" s="216"/>
      <c r="P499" s="216"/>
      <c r="Q499" s="216"/>
      <c r="R499" s="216"/>
      <c r="S499" s="216"/>
      <c r="T499" s="216"/>
      <c r="U499" s="216"/>
      <c r="V499" s="216"/>
    </row>
    <row r="500" spans="1:22">
      <c r="A500" s="216"/>
      <c r="B500" s="216"/>
      <c r="C500" s="216"/>
      <c r="D500" s="216"/>
      <c r="E500" s="216"/>
      <c r="F500" s="216"/>
      <c r="G500" s="216"/>
      <c r="H500" s="216"/>
      <c r="I500" s="216"/>
      <c r="J500" s="216"/>
      <c r="K500" s="216"/>
      <c r="L500" s="207"/>
      <c r="M500" s="207"/>
      <c r="N500" s="216"/>
      <c r="O500" s="216"/>
      <c r="P500" s="216"/>
      <c r="Q500" s="216"/>
      <c r="R500" s="216"/>
      <c r="S500" s="216"/>
      <c r="T500" s="216"/>
      <c r="U500" s="216"/>
      <c r="V500" s="216"/>
    </row>
    <row r="501" spans="1:22">
      <c r="A501" s="216"/>
      <c r="B501" s="216"/>
      <c r="C501" s="216"/>
      <c r="D501" s="216"/>
      <c r="E501" s="216"/>
      <c r="F501" s="216"/>
      <c r="G501" s="216"/>
      <c r="H501" s="216"/>
      <c r="I501" s="216"/>
      <c r="J501" s="216"/>
      <c r="K501" s="216"/>
      <c r="L501" s="207"/>
      <c r="M501" s="207"/>
      <c r="N501" s="216"/>
      <c r="O501" s="216"/>
      <c r="P501" s="216"/>
      <c r="Q501" s="216"/>
      <c r="R501" s="216"/>
      <c r="S501" s="216"/>
      <c r="T501" s="216"/>
      <c r="U501" s="216"/>
      <c r="V501" s="216"/>
    </row>
    <row r="502" spans="1:22">
      <c r="A502" s="216"/>
      <c r="B502" s="216"/>
      <c r="C502" s="216"/>
      <c r="D502" s="216"/>
      <c r="E502" s="216"/>
      <c r="F502" s="216"/>
      <c r="G502" s="216"/>
      <c r="H502" s="216"/>
      <c r="I502" s="216"/>
      <c r="J502" s="216"/>
      <c r="K502" s="216"/>
      <c r="L502" s="207"/>
      <c r="M502" s="207"/>
      <c r="N502" s="216"/>
      <c r="O502" s="216"/>
      <c r="P502" s="216"/>
      <c r="Q502" s="216"/>
      <c r="R502" s="216"/>
      <c r="S502" s="216"/>
      <c r="T502" s="216"/>
      <c r="U502" s="216"/>
      <c r="V502" s="216"/>
    </row>
    <row r="503" spans="1:22">
      <c r="A503" s="216"/>
      <c r="B503" s="216"/>
      <c r="C503" s="216"/>
      <c r="D503" s="216"/>
      <c r="E503" s="216"/>
      <c r="F503" s="216"/>
      <c r="G503" s="216"/>
      <c r="H503" s="216"/>
      <c r="I503" s="216"/>
      <c r="J503" s="216"/>
      <c r="K503" s="216"/>
      <c r="L503" s="207"/>
      <c r="M503" s="207"/>
      <c r="N503" s="216"/>
      <c r="O503" s="216"/>
      <c r="P503" s="216"/>
      <c r="Q503" s="216"/>
      <c r="R503" s="216"/>
      <c r="S503" s="216"/>
      <c r="T503" s="216"/>
      <c r="U503" s="216"/>
      <c r="V503" s="216"/>
    </row>
    <row r="504" spans="1:22">
      <c r="A504" s="216"/>
      <c r="B504" s="216"/>
      <c r="C504" s="216"/>
      <c r="D504" s="216"/>
      <c r="E504" s="216"/>
      <c r="F504" s="216"/>
      <c r="G504" s="216"/>
      <c r="H504" s="216"/>
      <c r="I504" s="216"/>
      <c r="J504" s="216"/>
      <c r="K504" s="216"/>
      <c r="L504" s="207"/>
      <c r="M504" s="207"/>
      <c r="N504" s="216"/>
      <c r="O504" s="216"/>
      <c r="P504" s="216"/>
      <c r="Q504" s="216"/>
      <c r="R504" s="216"/>
      <c r="S504" s="216"/>
      <c r="T504" s="216"/>
      <c r="U504" s="216"/>
      <c r="V504" s="216"/>
    </row>
    <row r="505" spans="1:22">
      <c r="A505" s="216"/>
      <c r="B505" s="216"/>
      <c r="C505" s="216"/>
      <c r="D505" s="216"/>
      <c r="E505" s="216"/>
      <c r="F505" s="216"/>
      <c r="G505" s="216"/>
      <c r="H505" s="216"/>
      <c r="I505" s="216"/>
      <c r="J505" s="216"/>
      <c r="K505" s="216"/>
      <c r="L505" s="207"/>
      <c r="M505" s="207"/>
      <c r="N505" s="216"/>
      <c r="O505" s="216"/>
      <c r="P505" s="216"/>
      <c r="Q505" s="216"/>
      <c r="R505" s="216"/>
      <c r="S505" s="216"/>
      <c r="T505" s="216"/>
      <c r="U505" s="216"/>
      <c r="V505" s="216"/>
    </row>
    <row r="506" spans="1:22">
      <c r="A506" s="216"/>
      <c r="B506" s="216"/>
      <c r="C506" s="216"/>
      <c r="D506" s="216"/>
      <c r="E506" s="216"/>
      <c r="F506" s="216"/>
      <c r="G506" s="216"/>
      <c r="H506" s="216"/>
      <c r="I506" s="216"/>
      <c r="J506" s="216"/>
      <c r="K506" s="216"/>
      <c r="L506" s="207"/>
      <c r="M506" s="207"/>
      <c r="N506" s="216"/>
      <c r="O506" s="216"/>
      <c r="P506" s="216"/>
      <c r="Q506" s="216"/>
      <c r="R506" s="216"/>
      <c r="S506" s="216"/>
      <c r="T506" s="216"/>
      <c r="U506" s="216"/>
      <c r="V506" s="216"/>
    </row>
    <row r="507" spans="1:22">
      <c r="A507" s="216"/>
      <c r="B507" s="216"/>
      <c r="C507" s="216"/>
      <c r="D507" s="216"/>
      <c r="E507" s="216"/>
      <c r="F507" s="216"/>
      <c r="G507" s="216"/>
      <c r="H507" s="216"/>
      <c r="I507" s="216"/>
      <c r="J507" s="216"/>
      <c r="K507" s="216"/>
      <c r="L507" s="207"/>
      <c r="M507" s="207"/>
      <c r="N507" s="216"/>
      <c r="O507" s="216"/>
      <c r="P507" s="216"/>
      <c r="Q507" s="216"/>
      <c r="R507" s="216"/>
      <c r="S507" s="216"/>
      <c r="T507" s="216"/>
      <c r="U507" s="216"/>
      <c r="V507" s="216"/>
    </row>
    <row r="508" spans="1:22">
      <c r="A508" s="216"/>
      <c r="B508" s="216"/>
      <c r="C508" s="216"/>
      <c r="D508" s="216"/>
      <c r="E508" s="216"/>
      <c r="F508" s="216"/>
      <c r="G508" s="216"/>
      <c r="H508" s="216"/>
      <c r="I508" s="216"/>
      <c r="J508" s="216"/>
      <c r="K508" s="216"/>
      <c r="L508" s="207"/>
      <c r="M508" s="207"/>
      <c r="N508" s="216"/>
      <c r="O508" s="216"/>
      <c r="P508" s="216"/>
      <c r="Q508" s="216"/>
      <c r="R508" s="216"/>
      <c r="S508" s="216"/>
      <c r="T508" s="216"/>
      <c r="U508" s="216"/>
      <c r="V508" s="216"/>
    </row>
    <row r="509" spans="1:22">
      <c r="A509" s="216"/>
      <c r="B509" s="216"/>
      <c r="C509" s="216"/>
      <c r="D509" s="216"/>
      <c r="E509" s="216"/>
      <c r="F509" s="216"/>
      <c r="G509" s="216"/>
      <c r="H509" s="216"/>
      <c r="I509" s="216"/>
      <c r="J509" s="216"/>
      <c r="K509" s="216"/>
      <c r="L509" s="207"/>
      <c r="M509" s="207"/>
      <c r="N509" s="216"/>
      <c r="O509" s="216"/>
      <c r="P509" s="216"/>
      <c r="Q509" s="216"/>
      <c r="R509" s="216"/>
      <c r="S509" s="216"/>
      <c r="T509" s="216"/>
      <c r="U509" s="216"/>
      <c r="V509" s="216"/>
    </row>
    <row r="510" spans="1:22">
      <c r="A510" s="216"/>
      <c r="B510" s="216"/>
      <c r="C510" s="216"/>
      <c r="D510" s="216"/>
      <c r="E510" s="216"/>
      <c r="F510" s="216"/>
      <c r="G510" s="216"/>
      <c r="H510" s="216"/>
      <c r="I510" s="216"/>
      <c r="J510" s="216"/>
      <c r="K510" s="216"/>
      <c r="L510" s="207"/>
      <c r="M510" s="207"/>
      <c r="N510" s="216"/>
      <c r="O510" s="216"/>
      <c r="P510" s="216"/>
      <c r="Q510" s="216"/>
      <c r="R510" s="216"/>
      <c r="S510" s="216"/>
      <c r="T510" s="216"/>
      <c r="U510" s="216"/>
      <c r="V510" s="216"/>
    </row>
    <row r="511" spans="1:22">
      <c r="A511" s="216"/>
      <c r="B511" s="216"/>
      <c r="C511" s="216"/>
      <c r="D511" s="216"/>
      <c r="E511" s="216"/>
      <c r="F511" s="216"/>
      <c r="G511" s="216"/>
      <c r="H511" s="216"/>
      <c r="I511" s="216"/>
      <c r="J511" s="216"/>
      <c r="K511" s="216"/>
      <c r="L511" s="207"/>
      <c r="M511" s="207"/>
      <c r="N511" s="216"/>
      <c r="O511" s="216"/>
      <c r="P511" s="216"/>
      <c r="Q511" s="216"/>
      <c r="R511" s="216"/>
      <c r="S511" s="216"/>
      <c r="T511" s="216"/>
      <c r="U511" s="216"/>
      <c r="V511" s="216"/>
    </row>
    <row r="512" spans="1:22">
      <c r="A512" s="216"/>
      <c r="B512" s="216"/>
      <c r="C512" s="216"/>
      <c r="D512" s="216"/>
      <c r="E512" s="216"/>
      <c r="F512" s="216"/>
      <c r="G512" s="216"/>
      <c r="H512" s="216"/>
      <c r="I512" s="216"/>
      <c r="J512" s="216"/>
      <c r="K512" s="216"/>
      <c r="L512" s="207"/>
      <c r="M512" s="207"/>
      <c r="N512" s="216"/>
      <c r="O512" s="216"/>
      <c r="P512" s="216"/>
      <c r="Q512" s="216"/>
      <c r="R512" s="216"/>
      <c r="S512" s="216"/>
      <c r="T512" s="216"/>
      <c r="U512" s="216"/>
      <c r="V512" s="216"/>
    </row>
    <row r="513" spans="1:22">
      <c r="A513" s="216"/>
      <c r="B513" s="216"/>
      <c r="C513" s="216"/>
      <c r="D513" s="216"/>
      <c r="E513" s="216"/>
      <c r="F513" s="216"/>
      <c r="G513" s="216"/>
      <c r="H513" s="216"/>
      <c r="I513" s="216"/>
      <c r="J513" s="216"/>
      <c r="K513" s="216"/>
      <c r="L513" s="207"/>
      <c r="M513" s="207"/>
      <c r="N513" s="216"/>
      <c r="O513" s="216"/>
      <c r="P513" s="216"/>
      <c r="Q513" s="216"/>
      <c r="R513" s="216"/>
      <c r="S513" s="216"/>
      <c r="T513" s="216"/>
      <c r="U513" s="216"/>
      <c r="V513" s="216"/>
    </row>
    <row r="514" spans="1:22">
      <c r="A514" s="216"/>
      <c r="B514" s="216"/>
      <c r="C514" s="216"/>
      <c r="D514" s="216"/>
      <c r="E514" s="216"/>
      <c r="F514" s="216"/>
      <c r="G514" s="216"/>
      <c r="H514" s="216"/>
      <c r="I514" s="216"/>
      <c r="J514" s="216"/>
      <c r="K514" s="216"/>
      <c r="L514" s="207"/>
      <c r="M514" s="207"/>
      <c r="N514" s="216"/>
      <c r="O514" s="216"/>
      <c r="P514" s="216"/>
      <c r="Q514" s="216"/>
      <c r="R514" s="216"/>
      <c r="S514" s="216"/>
      <c r="T514" s="216"/>
      <c r="U514" s="216"/>
      <c r="V514" s="216"/>
    </row>
    <row r="515" spans="1:22">
      <c r="A515" s="216"/>
      <c r="B515" s="216"/>
      <c r="C515" s="216"/>
      <c r="D515" s="216"/>
      <c r="E515" s="216"/>
      <c r="F515" s="216"/>
      <c r="G515" s="216"/>
      <c r="H515" s="216"/>
      <c r="I515" s="216"/>
      <c r="J515" s="216"/>
      <c r="K515" s="216"/>
      <c r="L515" s="207"/>
      <c r="M515" s="207"/>
      <c r="N515" s="216"/>
      <c r="O515" s="216"/>
      <c r="P515" s="216"/>
      <c r="Q515" s="216"/>
      <c r="R515" s="216"/>
      <c r="S515" s="216"/>
      <c r="T515" s="216"/>
      <c r="U515" s="216"/>
      <c r="V515" s="216"/>
    </row>
    <row r="516" spans="1:22">
      <c r="A516" s="216"/>
      <c r="B516" s="216"/>
      <c r="C516" s="216"/>
      <c r="D516" s="216"/>
      <c r="E516" s="216"/>
      <c r="F516" s="216"/>
      <c r="G516" s="216"/>
      <c r="H516" s="216"/>
      <c r="I516" s="216"/>
      <c r="J516" s="216"/>
      <c r="K516" s="216"/>
      <c r="L516" s="207"/>
      <c r="M516" s="207"/>
      <c r="N516" s="216"/>
      <c r="O516" s="216"/>
      <c r="P516" s="216"/>
      <c r="Q516" s="216"/>
      <c r="R516" s="216"/>
      <c r="S516" s="216"/>
      <c r="T516" s="216"/>
      <c r="U516" s="216"/>
      <c r="V516" s="216"/>
    </row>
    <row r="517" spans="1:22">
      <c r="A517" s="216"/>
      <c r="B517" s="216"/>
      <c r="C517" s="216"/>
      <c r="D517" s="216"/>
      <c r="E517" s="216"/>
      <c r="F517" s="216"/>
      <c r="G517" s="216"/>
      <c r="H517" s="216"/>
      <c r="I517" s="216"/>
      <c r="J517" s="216"/>
      <c r="K517" s="216"/>
      <c r="L517" s="207"/>
      <c r="M517" s="207"/>
      <c r="N517" s="216"/>
      <c r="O517" s="216"/>
      <c r="P517" s="216"/>
      <c r="Q517" s="216"/>
      <c r="R517" s="216"/>
      <c r="S517" s="216"/>
      <c r="T517" s="216"/>
      <c r="U517" s="216"/>
      <c r="V517" s="216"/>
    </row>
    <row r="518" spans="1:22">
      <c r="A518" s="216"/>
      <c r="B518" s="216"/>
      <c r="C518" s="216"/>
      <c r="D518" s="216"/>
      <c r="E518" s="216"/>
      <c r="F518" s="216"/>
      <c r="G518" s="216"/>
      <c r="H518" s="216"/>
      <c r="I518" s="216"/>
      <c r="J518" s="216"/>
      <c r="K518" s="216"/>
      <c r="L518" s="207"/>
      <c r="M518" s="207"/>
      <c r="N518" s="216"/>
      <c r="O518" s="216"/>
      <c r="P518" s="216"/>
      <c r="Q518" s="216"/>
      <c r="R518" s="216"/>
      <c r="S518" s="216"/>
      <c r="T518" s="216"/>
      <c r="U518" s="216"/>
      <c r="V518" s="216"/>
    </row>
    <row r="519" spans="1:22">
      <c r="A519" s="216"/>
      <c r="B519" s="216"/>
      <c r="C519" s="216"/>
      <c r="D519" s="216"/>
      <c r="E519" s="216"/>
      <c r="F519" s="216"/>
      <c r="G519" s="216"/>
      <c r="H519" s="216"/>
      <c r="I519" s="216"/>
      <c r="J519" s="216"/>
      <c r="K519" s="216"/>
      <c r="L519" s="207"/>
      <c r="M519" s="207"/>
      <c r="N519" s="216"/>
      <c r="O519" s="216"/>
      <c r="P519" s="216"/>
      <c r="Q519" s="216"/>
      <c r="R519" s="216"/>
      <c r="S519" s="216"/>
      <c r="T519" s="216"/>
      <c r="U519" s="216"/>
      <c r="V519" s="216"/>
    </row>
    <row r="520" spans="1:22">
      <c r="A520" s="216"/>
      <c r="B520" s="216"/>
      <c r="C520" s="216"/>
      <c r="D520" s="216"/>
      <c r="E520" s="216"/>
      <c r="F520" s="216"/>
      <c r="G520" s="216"/>
      <c r="H520" s="216"/>
      <c r="I520" s="216"/>
      <c r="J520" s="216"/>
      <c r="K520" s="216"/>
      <c r="L520" s="207"/>
      <c r="M520" s="207"/>
      <c r="N520" s="216"/>
      <c r="O520" s="216"/>
      <c r="P520" s="216"/>
      <c r="Q520" s="216"/>
      <c r="R520" s="216"/>
      <c r="S520" s="216"/>
      <c r="T520" s="216"/>
      <c r="U520" s="216"/>
      <c r="V520" s="216"/>
    </row>
    <row r="521" spans="1:22">
      <c r="A521" s="216"/>
      <c r="B521" s="216"/>
      <c r="C521" s="216"/>
      <c r="D521" s="216"/>
      <c r="E521" s="216"/>
      <c r="F521" s="216"/>
      <c r="G521" s="216"/>
      <c r="H521" s="216"/>
      <c r="I521" s="216"/>
      <c r="J521" s="216"/>
      <c r="K521" s="216"/>
      <c r="L521" s="207"/>
      <c r="M521" s="207"/>
      <c r="N521" s="216"/>
      <c r="O521" s="216"/>
      <c r="P521" s="216"/>
      <c r="Q521" s="216"/>
      <c r="R521" s="216"/>
      <c r="S521" s="216"/>
      <c r="T521" s="216"/>
      <c r="U521" s="216"/>
      <c r="V521" s="216"/>
    </row>
    <row r="522" spans="1:22">
      <c r="A522" s="216"/>
      <c r="B522" s="216"/>
      <c r="C522" s="216"/>
      <c r="D522" s="216"/>
      <c r="E522" s="216"/>
      <c r="F522" s="216"/>
      <c r="G522" s="216"/>
      <c r="H522" s="216"/>
      <c r="I522" s="216"/>
      <c r="J522" s="216"/>
      <c r="K522" s="216"/>
      <c r="L522" s="207"/>
      <c r="M522" s="207"/>
      <c r="N522" s="216"/>
      <c r="O522" s="216"/>
      <c r="P522" s="216"/>
      <c r="Q522" s="216"/>
      <c r="R522" s="216"/>
      <c r="S522" s="216"/>
      <c r="T522" s="216"/>
      <c r="U522" s="216"/>
      <c r="V522" s="216"/>
    </row>
    <row r="523" spans="1:22">
      <c r="A523" s="216"/>
      <c r="B523" s="216"/>
      <c r="C523" s="216"/>
      <c r="D523" s="216"/>
      <c r="E523" s="216"/>
      <c r="F523" s="216"/>
      <c r="G523" s="216"/>
      <c r="H523" s="216"/>
      <c r="I523" s="216"/>
      <c r="J523" s="216"/>
      <c r="K523" s="216"/>
      <c r="L523" s="207"/>
      <c r="M523" s="207"/>
      <c r="N523" s="216"/>
      <c r="O523" s="216"/>
      <c r="P523" s="216"/>
      <c r="Q523" s="216"/>
      <c r="R523" s="216"/>
      <c r="S523" s="216"/>
      <c r="T523" s="216"/>
      <c r="U523" s="216"/>
      <c r="V523" s="216"/>
    </row>
    <row r="524" spans="1:22">
      <c r="A524" s="216"/>
      <c r="B524" s="216"/>
      <c r="C524" s="216"/>
      <c r="D524" s="216"/>
      <c r="E524" s="216"/>
      <c r="F524" s="216"/>
      <c r="G524" s="216"/>
      <c r="H524" s="216"/>
      <c r="I524" s="216"/>
      <c r="J524" s="216"/>
      <c r="K524" s="216"/>
      <c r="L524" s="207"/>
      <c r="M524" s="207"/>
      <c r="N524" s="216"/>
      <c r="O524" s="216"/>
      <c r="P524" s="216"/>
      <c r="Q524" s="216"/>
      <c r="R524" s="216"/>
      <c r="S524" s="216"/>
      <c r="T524" s="216"/>
      <c r="U524" s="216"/>
      <c r="V524" s="216"/>
    </row>
    <row r="525" spans="1:22">
      <c r="A525" s="216"/>
      <c r="B525" s="216"/>
      <c r="C525" s="216"/>
      <c r="D525" s="216"/>
      <c r="E525" s="216"/>
      <c r="F525" s="216"/>
      <c r="G525" s="216"/>
      <c r="H525" s="216"/>
      <c r="I525" s="216"/>
      <c r="J525" s="216"/>
      <c r="K525" s="216"/>
      <c r="L525" s="207"/>
      <c r="M525" s="207"/>
      <c r="N525" s="216"/>
      <c r="O525" s="216"/>
      <c r="P525" s="216"/>
      <c r="Q525" s="216"/>
      <c r="R525" s="216"/>
      <c r="S525" s="216"/>
      <c r="T525" s="216"/>
      <c r="U525" s="216"/>
      <c r="V525" s="216"/>
    </row>
    <row r="526" spans="1:22">
      <c r="A526" s="216"/>
      <c r="B526" s="216"/>
      <c r="C526" s="216"/>
      <c r="D526" s="216"/>
      <c r="E526" s="216"/>
      <c r="F526" s="216"/>
      <c r="G526" s="216"/>
      <c r="H526" s="216"/>
      <c r="I526" s="216"/>
      <c r="J526" s="216"/>
      <c r="K526" s="216"/>
      <c r="L526" s="207"/>
      <c r="M526" s="207"/>
      <c r="N526" s="216"/>
      <c r="O526" s="216"/>
      <c r="P526" s="216"/>
      <c r="Q526" s="216"/>
      <c r="R526" s="216"/>
      <c r="S526" s="216"/>
      <c r="T526" s="216"/>
      <c r="U526" s="216"/>
      <c r="V526" s="216"/>
    </row>
    <row r="527" spans="1:22">
      <c r="A527" s="216"/>
      <c r="B527" s="216"/>
      <c r="C527" s="216"/>
      <c r="D527" s="216"/>
      <c r="E527" s="216"/>
      <c r="F527" s="216"/>
      <c r="G527" s="216"/>
      <c r="H527" s="216"/>
      <c r="I527" s="216"/>
      <c r="J527" s="216"/>
      <c r="K527" s="216"/>
      <c r="L527" s="207"/>
      <c r="M527" s="207"/>
      <c r="N527" s="216"/>
      <c r="O527" s="216"/>
      <c r="P527" s="216"/>
      <c r="Q527" s="216"/>
      <c r="R527" s="216"/>
      <c r="S527" s="216"/>
      <c r="T527" s="216"/>
      <c r="U527" s="216"/>
      <c r="V527" s="216"/>
    </row>
    <row r="528" spans="1:22">
      <c r="A528" s="216"/>
      <c r="B528" s="216"/>
      <c r="C528" s="216"/>
      <c r="D528" s="216"/>
      <c r="E528" s="216"/>
      <c r="F528" s="216"/>
      <c r="G528" s="216"/>
      <c r="H528" s="216"/>
      <c r="I528" s="216"/>
      <c r="J528" s="216"/>
      <c r="K528" s="216"/>
      <c r="L528" s="207"/>
      <c r="M528" s="207"/>
      <c r="N528" s="216"/>
      <c r="O528" s="216"/>
      <c r="P528" s="216"/>
      <c r="Q528" s="216"/>
      <c r="R528" s="216"/>
      <c r="S528" s="216"/>
      <c r="T528" s="216"/>
      <c r="U528" s="216"/>
      <c r="V528" s="216"/>
    </row>
    <row r="529" spans="1:22">
      <c r="A529" s="216"/>
      <c r="B529" s="216"/>
      <c r="C529" s="216"/>
      <c r="D529" s="216"/>
      <c r="E529" s="216"/>
      <c r="F529" s="216"/>
      <c r="G529" s="216"/>
      <c r="H529" s="216"/>
      <c r="I529" s="216"/>
      <c r="J529" s="216"/>
      <c r="K529" s="216"/>
      <c r="L529" s="207"/>
      <c r="M529" s="207"/>
      <c r="N529" s="216"/>
      <c r="O529" s="216"/>
      <c r="P529" s="216"/>
      <c r="Q529" s="216"/>
      <c r="R529" s="216"/>
      <c r="S529" s="216"/>
      <c r="T529" s="216"/>
      <c r="U529" s="216"/>
      <c r="V529" s="216"/>
    </row>
    <row r="530" spans="1:22">
      <c r="A530" s="216"/>
      <c r="B530" s="216"/>
      <c r="C530" s="216"/>
      <c r="D530" s="216"/>
      <c r="E530" s="216"/>
      <c r="F530" s="216"/>
      <c r="G530" s="216"/>
      <c r="H530" s="216"/>
      <c r="I530" s="216"/>
      <c r="J530" s="216"/>
      <c r="K530" s="216"/>
      <c r="L530" s="207"/>
      <c r="M530" s="207"/>
      <c r="N530" s="216"/>
      <c r="O530" s="216"/>
      <c r="P530" s="216"/>
      <c r="Q530" s="216"/>
      <c r="R530" s="216"/>
      <c r="S530" s="216"/>
      <c r="T530" s="216"/>
      <c r="U530" s="216"/>
      <c r="V530" s="216"/>
    </row>
    <row r="531" spans="1:22">
      <c r="A531" s="216"/>
      <c r="B531" s="216"/>
      <c r="C531" s="216"/>
      <c r="D531" s="216"/>
      <c r="E531" s="216"/>
      <c r="F531" s="216"/>
      <c r="G531" s="216"/>
      <c r="H531" s="216"/>
      <c r="I531" s="216"/>
      <c r="J531" s="216"/>
      <c r="K531" s="216"/>
      <c r="L531" s="207"/>
      <c r="M531" s="207"/>
      <c r="N531" s="216"/>
      <c r="O531" s="216"/>
      <c r="P531" s="216"/>
      <c r="Q531" s="216"/>
      <c r="R531" s="216"/>
      <c r="S531" s="216"/>
      <c r="T531" s="216"/>
      <c r="U531" s="216"/>
      <c r="V531" s="216"/>
    </row>
    <row r="532" spans="1:22">
      <c r="A532" s="216"/>
      <c r="B532" s="216"/>
      <c r="C532" s="216"/>
      <c r="D532" s="216"/>
      <c r="E532" s="216"/>
      <c r="F532" s="216"/>
      <c r="G532" s="216"/>
      <c r="H532" s="216"/>
      <c r="I532" s="216"/>
      <c r="J532" s="216"/>
      <c r="K532" s="216"/>
      <c r="L532" s="207"/>
      <c r="M532" s="207"/>
      <c r="N532" s="216"/>
      <c r="O532" s="216"/>
      <c r="P532" s="216"/>
      <c r="Q532" s="216"/>
      <c r="R532" s="216"/>
      <c r="S532" s="216"/>
      <c r="T532" s="216"/>
      <c r="U532" s="216"/>
      <c r="V532" s="216"/>
    </row>
    <row r="533" spans="1:22">
      <c r="A533" s="216"/>
      <c r="B533" s="216"/>
      <c r="C533" s="216"/>
      <c r="D533" s="216"/>
      <c r="E533" s="216"/>
      <c r="F533" s="216"/>
      <c r="G533" s="216"/>
      <c r="H533" s="216"/>
      <c r="I533" s="216"/>
      <c r="J533" s="216"/>
      <c r="K533" s="216"/>
      <c r="L533" s="207"/>
      <c r="M533" s="207"/>
      <c r="N533" s="216"/>
      <c r="O533" s="216"/>
      <c r="P533" s="216"/>
      <c r="Q533" s="216"/>
      <c r="R533" s="216"/>
      <c r="S533" s="216"/>
      <c r="T533" s="216"/>
      <c r="U533" s="216"/>
      <c r="V533" s="216"/>
    </row>
    <row r="534" spans="1:22">
      <c r="A534" s="216"/>
      <c r="B534" s="216"/>
      <c r="C534" s="216"/>
      <c r="D534" s="216"/>
      <c r="E534" s="216"/>
      <c r="F534" s="216"/>
      <c r="G534" s="216"/>
      <c r="H534" s="216"/>
      <c r="I534" s="216"/>
      <c r="J534" s="216"/>
      <c r="K534" s="216"/>
      <c r="L534" s="207"/>
      <c r="M534" s="207"/>
      <c r="N534" s="216"/>
      <c r="O534" s="216"/>
      <c r="P534" s="216"/>
      <c r="Q534" s="216"/>
      <c r="R534" s="216"/>
      <c r="S534" s="216"/>
      <c r="T534" s="216"/>
      <c r="U534" s="216"/>
      <c r="V534" s="216"/>
    </row>
    <row r="535" spans="1:22">
      <c r="A535" s="216"/>
      <c r="B535" s="216"/>
      <c r="C535" s="216"/>
      <c r="D535" s="216"/>
      <c r="E535" s="216"/>
      <c r="F535" s="216"/>
      <c r="G535" s="216"/>
      <c r="H535" s="216"/>
      <c r="I535" s="216"/>
      <c r="J535" s="216"/>
      <c r="K535" s="216"/>
      <c r="L535" s="207"/>
      <c r="M535" s="207"/>
      <c r="N535" s="216"/>
      <c r="O535" s="216"/>
      <c r="P535" s="216"/>
      <c r="Q535" s="216"/>
      <c r="R535" s="216"/>
      <c r="S535" s="216"/>
      <c r="T535" s="216"/>
      <c r="U535" s="216"/>
      <c r="V535" s="216"/>
    </row>
    <row r="536" spans="1:22">
      <c r="A536" s="216"/>
      <c r="B536" s="216"/>
      <c r="C536" s="216"/>
      <c r="D536" s="216"/>
      <c r="E536" s="216"/>
      <c r="F536" s="216"/>
      <c r="G536" s="216"/>
      <c r="H536" s="216"/>
      <c r="I536" s="216"/>
      <c r="J536" s="216"/>
      <c r="K536" s="216"/>
      <c r="L536" s="207"/>
      <c r="M536" s="207"/>
      <c r="N536" s="216"/>
      <c r="O536" s="216"/>
      <c r="P536" s="216"/>
      <c r="Q536" s="216"/>
      <c r="R536" s="216"/>
      <c r="S536" s="216"/>
      <c r="T536" s="216"/>
      <c r="U536" s="216"/>
      <c r="V536" s="216"/>
    </row>
    <row r="537" spans="1:22">
      <c r="A537" s="216"/>
      <c r="B537" s="216"/>
      <c r="C537" s="216"/>
      <c r="D537" s="216"/>
      <c r="E537" s="216"/>
      <c r="F537" s="216"/>
      <c r="G537" s="216"/>
      <c r="H537" s="216"/>
      <c r="I537" s="216"/>
      <c r="J537" s="216"/>
      <c r="K537" s="216"/>
      <c r="L537" s="207"/>
      <c r="M537" s="207"/>
      <c r="N537" s="216"/>
      <c r="O537" s="216"/>
      <c r="P537" s="216"/>
      <c r="Q537" s="216"/>
      <c r="R537" s="216"/>
      <c r="S537" s="216"/>
      <c r="T537" s="216"/>
      <c r="U537" s="216"/>
      <c r="V537" s="216"/>
    </row>
    <row r="538" spans="1:22">
      <c r="A538" s="216"/>
      <c r="B538" s="216"/>
      <c r="C538" s="216"/>
      <c r="D538" s="216"/>
      <c r="E538" s="216"/>
      <c r="F538" s="216"/>
      <c r="G538" s="216"/>
      <c r="H538" s="216"/>
      <c r="I538" s="216"/>
      <c r="J538" s="216"/>
      <c r="K538" s="216"/>
      <c r="L538" s="207"/>
      <c r="M538" s="207"/>
      <c r="N538" s="216"/>
      <c r="O538" s="216"/>
      <c r="P538" s="216"/>
      <c r="Q538" s="216"/>
      <c r="R538" s="216"/>
      <c r="S538" s="216"/>
      <c r="T538" s="216"/>
      <c r="U538" s="216"/>
      <c r="V538" s="216"/>
    </row>
    <row r="539" spans="1:22">
      <c r="A539" s="216"/>
      <c r="B539" s="216"/>
      <c r="C539" s="216"/>
      <c r="D539" s="216"/>
      <c r="E539" s="216"/>
      <c r="F539" s="216"/>
      <c r="G539" s="216"/>
      <c r="H539" s="216"/>
      <c r="I539" s="216"/>
      <c r="J539" s="216"/>
      <c r="K539" s="216"/>
      <c r="L539" s="207"/>
      <c r="M539" s="207"/>
      <c r="N539" s="216"/>
      <c r="O539" s="216"/>
      <c r="P539" s="216"/>
      <c r="Q539" s="216"/>
      <c r="R539" s="216"/>
      <c r="S539" s="216"/>
      <c r="T539" s="216"/>
      <c r="U539" s="216"/>
      <c r="V539" s="216"/>
    </row>
    <row r="540" spans="1:22">
      <c r="A540" s="216"/>
      <c r="B540" s="216"/>
      <c r="C540" s="216"/>
      <c r="D540" s="216"/>
      <c r="E540" s="216"/>
      <c r="F540" s="216"/>
      <c r="G540" s="216"/>
      <c r="H540" s="216"/>
      <c r="I540" s="216"/>
      <c r="J540" s="216"/>
      <c r="K540" s="216"/>
      <c r="L540" s="207"/>
      <c r="M540" s="207"/>
      <c r="N540" s="216"/>
      <c r="O540" s="216"/>
      <c r="P540" s="216"/>
      <c r="Q540" s="216"/>
      <c r="R540" s="216"/>
      <c r="S540" s="216"/>
      <c r="T540" s="216"/>
      <c r="U540" s="216"/>
      <c r="V540" s="216"/>
    </row>
    <row r="541" spans="1:22">
      <c r="A541" s="216"/>
      <c r="B541" s="216"/>
      <c r="C541" s="216"/>
      <c r="D541" s="216"/>
      <c r="E541" s="216"/>
      <c r="F541" s="216"/>
      <c r="G541" s="216"/>
      <c r="H541" s="216"/>
      <c r="I541" s="216"/>
      <c r="J541" s="216"/>
      <c r="K541" s="216"/>
      <c r="L541" s="207"/>
      <c r="M541" s="207"/>
      <c r="N541" s="216"/>
      <c r="O541" s="216"/>
      <c r="P541" s="216"/>
      <c r="Q541" s="216"/>
      <c r="R541" s="216"/>
      <c r="S541" s="216"/>
      <c r="T541" s="216"/>
      <c r="U541" s="216"/>
      <c r="V541" s="216"/>
    </row>
    <row r="542" spans="1:22">
      <c r="A542" s="216"/>
      <c r="B542" s="216"/>
      <c r="C542" s="216"/>
      <c r="D542" s="216"/>
      <c r="E542" s="216"/>
      <c r="F542" s="216"/>
      <c r="G542" s="216"/>
      <c r="H542" s="216"/>
      <c r="I542" s="216"/>
      <c r="J542" s="216"/>
      <c r="K542" s="216"/>
      <c r="L542" s="207"/>
      <c r="M542" s="207"/>
      <c r="N542" s="216"/>
      <c r="O542" s="216"/>
      <c r="P542" s="216"/>
      <c r="Q542" s="216"/>
      <c r="R542" s="216"/>
      <c r="S542" s="216"/>
      <c r="T542" s="216"/>
      <c r="U542" s="216"/>
      <c r="V542" s="216"/>
    </row>
    <row r="543" spans="1:22">
      <c r="A543" s="216"/>
      <c r="B543" s="216"/>
      <c r="C543" s="216"/>
      <c r="D543" s="216"/>
      <c r="E543" s="216"/>
      <c r="F543" s="216"/>
      <c r="G543" s="216"/>
      <c r="H543" s="216"/>
      <c r="I543" s="216"/>
      <c r="J543" s="216"/>
      <c r="K543" s="216"/>
      <c r="L543" s="207"/>
      <c r="M543" s="207"/>
      <c r="N543" s="216"/>
      <c r="O543" s="216"/>
      <c r="P543" s="216"/>
      <c r="Q543" s="216"/>
      <c r="R543" s="216"/>
      <c r="S543" s="216"/>
      <c r="T543" s="216"/>
      <c r="U543" s="216"/>
      <c r="V543" s="216"/>
    </row>
    <row r="544" spans="1:22">
      <c r="A544" s="216"/>
      <c r="B544" s="216"/>
      <c r="C544" s="216"/>
      <c r="D544" s="216"/>
      <c r="E544" s="216"/>
      <c r="F544" s="216"/>
      <c r="G544" s="216"/>
      <c r="H544" s="216"/>
      <c r="I544" s="216"/>
      <c r="J544" s="216"/>
      <c r="K544" s="216"/>
      <c r="L544" s="207"/>
      <c r="M544" s="207"/>
      <c r="N544" s="216"/>
      <c r="O544" s="216"/>
      <c r="P544" s="216"/>
      <c r="Q544" s="216"/>
      <c r="R544" s="216"/>
      <c r="S544" s="216"/>
      <c r="T544" s="216"/>
      <c r="U544" s="216"/>
      <c r="V544" s="216"/>
    </row>
    <row r="545" spans="1:22">
      <c r="A545" s="216"/>
      <c r="B545" s="216"/>
      <c r="C545" s="216"/>
      <c r="D545" s="216"/>
      <c r="E545" s="216"/>
      <c r="F545" s="216"/>
      <c r="G545" s="216"/>
      <c r="H545" s="216"/>
      <c r="I545" s="216"/>
      <c r="J545" s="216"/>
      <c r="K545" s="216"/>
      <c r="L545" s="207"/>
      <c r="M545" s="207"/>
      <c r="N545" s="216"/>
      <c r="O545" s="216"/>
      <c r="P545" s="216"/>
      <c r="Q545" s="216"/>
      <c r="R545" s="216"/>
      <c r="S545" s="216"/>
      <c r="T545" s="216"/>
      <c r="U545" s="216"/>
      <c r="V545" s="216"/>
    </row>
    <row r="546" spans="1:22">
      <c r="A546" s="216"/>
      <c r="B546" s="216"/>
      <c r="C546" s="216"/>
      <c r="D546" s="216"/>
      <c r="E546" s="216"/>
      <c r="F546" s="216"/>
      <c r="G546" s="216"/>
      <c r="H546" s="216"/>
      <c r="I546" s="216"/>
      <c r="J546" s="216"/>
      <c r="K546" s="216"/>
      <c r="L546" s="207"/>
      <c r="M546" s="207"/>
      <c r="N546" s="216"/>
      <c r="O546" s="216"/>
      <c r="P546" s="216"/>
      <c r="Q546" s="216"/>
      <c r="R546" s="216"/>
      <c r="S546" s="216"/>
      <c r="T546" s="216"/>
      <c r="U546" s="216"/>
      <c r="V546" s="216"/>
    </row>
    <row r="547" spans="1:22">
      <c r="A547" s="216"/>
      <c r="B547" s="216"/>
      <c r="C547" s="216"/>
      <c r="D547" s="216"/>
      <c r="E547" s="216"/>
      <c r="F547" s="216"/>
      <c r="G547" s="216"/>
      <c r="H547" s="216"/>
      <c r="I547" s="216"/>
      <c r="J547" s="216"/>
      <c r="K547" s="216"/>
      <c r="L547" s="207"/>
      <c r="M547" s="207"/>
      <c r="N547" s="216"/>
      <c r="O547" s="216"/>
      <c r="P547" s="216"/>
      <c r="Q547" s="216"/>
      <c r="R547" s="216"/>
      <c r="S547" s="216"/>
      <c r="T547" s="216"/>
      <c r="U547" s="216"/>
      <c r="V547" s="216"/>
    </row>
    <row r="548" spans="1:22">
      <c r="A548" s="216"/>
      <c r="B548" s="216"/>
      <c r="C548" s="216"/>
      <c r="D548" s="216"/>
      <c r="E548" s="216"/>
      <c r="F548" s="216"/>
      <c r="G548" s="216"/>
      <c r="H548" s="216"/>
      <c r="I548" s="216"/>
      <c r="J548" s="216"/>
      <c r="K548" s="216"/>
      <c r="L548" s="207"/>
      <c r="M548" s="207"/>
      <c r="N548" s="216"/>
      <c r="O548" s="216"/>
      <c r="P548" s="216"/>
      <c r="Q548" s="216"/>
      <c r="R548" s="216"/>
      <c r="S548" s="216"/>
      <c r="T548" s="216"/>
      <c r="U548" s="216"/>
      <c r="V548" s="216"/>
    </row>
    <row r="549" spans="1:22">
      <c r="A549" s="216"/>
      <c r="B549" s="216"/>
      <c r="C549" s="216"/>
      <c r="D549" s="216"/>
      <c r="E549" s="216"/>
      <c r="F549" s="216"/>
      <c r="G549" s="216"/>
      <c r="H549" s="216"/>
      <c r="I549" s="216"/>
      <c r="J549" s="216"/>
      <c r="K549" s="216"/>
      <c r="L549" s="207"/>
      <c r="M549" s="207"/>
      <c r="N549" s="216"/>
      <c r="O549" s="216"/>
      <c r="P549" s="216"/>
      <c r="Q549" s="216"/>
      <c r="R549" s="216"/>
      <c r="S549" s="216"/>
      <c r="T549" s="216"/>
      <c r="U549" s="216"/>
      <c r="V549" s="216"/>
    </row>
    <row r="550" spans="1:22">
      <c r="A550" s="216"/>
      <c r="B550" s="216"/>
      <c r="C550" s="216"/>
      <c r="D550" s="216"/>
      <c r="E550" s="216"/>
      <c r="F550" s="216"/>
      <c r="G550" s="216"/>
      <c r="H550" s="216"/>
      <c r="I550" s="216"/>
      <c r="J550" s="216"/>
      <c r="K550" s="216"/>
      <c r="L550" s="207"/>
      <c r="M550" s="207"/>
      <c r="N550" s="216"/>
      <c r="O550" s="216"/>
      <c r="P550" s="216"/>
      <c r="Q550" s="216"/>
      <c r="R550" s="216"/>
      <c r="S550" s="216"/>
      <c r="T550" s="216"/>
      <c r="U550" s="216"/>
      <c r="V550" s="216"/>
    </row>
    <row r="551" spans="1:22">
      <c r="A551" s="216"/>
      <c r="B551" s="216"/>
      <c r="C551" s="216"/>
      <c r="D551" s="216"/>
      <c r="E551" s="216"/>
      <c r="F551" s="216"/>
      <c r="G551" s="216"/>
      <c r="H551" s="216"/>
      <c r="I551" s="216"/>
      <c r="J551" s="216"/>
      <c r="K551" s="216"/>
      <c r="L551" s="207"/>
      <c r="M551" s="207"/>
      <c r="N551" s="216"/>
      <c r="O551" s="216"/>
      <c r="P551" s="216"/>
      <c r="Q551" s="216"/>
      <c r="R551" s="216"/>
      <c r="S551" s="216"/>
      <c r="T551" s="216"/>
      <c r="U551" s="216"/>
      <c r="V551" s="216"/>
    </row>
    <row r="552" spans="1:22">
      <c r="A552" s="216"/>
      <c r="B552" s="216"/>
      <c r="C552" s="216"/>
      <c r="D552" s="216"/>
      <c r="E552" s="216"/>
      <c r="F552" s="216"/>
      <c r="G552" s="216"/>
      <c r="H552" s="216"/>
      <c r="I552" s="216"/>
      <c r="J552" s="216"/>
      <c r="K552" s="216"/>
      <c r="L552" s="207"/>
      <c r="M552" s="207"/>
      <c r="N552" s="216"/>
      <c r="O552" s="216"/>
      <c r="P552" s="216"/>
      <c r="Q552" s="216"/>
      <c r="R552" s="216"/>
      <c r="S552" s="216"/>
      <c r="T552" s="216"/>
      <c r="U552" s="216"/>
      <c r="V552" s="216"/>
    </row>
    <row r="553" spans="1:22">
      <c r="A553" s="216"/>
      <c r="B553" s="216"/>
      <c r="C553" s="216"/>
      <c r="D553" s="216"/>
      <c r="E553" s="216"/>
      <c r="F553" s="216"/>
      <c r="G553" s="216"/>
      <c r="H553" s="216"/>
      <c r="I553" s="216"/>
      <c r="J553" s="216"/>
      <c r="K553" s="216"/>
      <c r="L553" s="207"/>
      <c r="M553" s="207"/>
      <c r="N553" s="216"/>
      <c r="O553" s="216"/>
      <c r="P553" s="216"/>
      <c r="Q553" s="216"/>
      <c r="R553" s="216"/>
      <c r="S553" s="216"/>
      <c r="T553" s="216"/>
      <c r="U553" s="216"/>
      <c r="V553" s="216"/>
    </row>
    <row r="554" spans="1:22">
      <c r="A554" s="216"/>
      <c r="B554" s="216"/>
      <c r="C554" s="216"/>
      <c r="D554" s="216"/>
      <c r="E554" s="216"/>
      <c r="F554" s="216"/>
      <c r="G554" s="216"/>
      <c r="H554" s="216"/>
      <c r="I554" s="216"/>
      <c r="J554" s="216"/>
      <c r="K554" s="216"/>
      <c r="L554" s="207"/>
      <c r="M554" s="207"/>
      <c r="N554" s="216"/>
      <c r="O554" s="216"/>
      <c r="P554" s="216"/>
      <c r="Q554" s="216"/>
      <c r="R554" s="216"/>
      <c r="S554" s="216"/>
      <c r="T554" s="216"/>
      <c r="U554" s="216"/>
      <c r="V554" s="216"/>
    </row>
    <row r="555" spans="1:22">
      <c r="A555" s="216"/>
      <c r="B555" s="216"/>
      <c r="C555" s="216"/>
      <c r="D555" s="216"/>
      <c r="E555" s="216"/>
      <c r="F555" s="216"/>
      <c r="G555" s="216"/>
      <c r="H555" s="216"/>
      <c r="I555" s="216"/>
      <c r="J555" s="216"/>
      <c r="K555" s="216"/>
      <c r="L555" s="207"/>
      <c r="M555" s="207"/>
      <c r="N555" s="216"/>
      <c r="O555" s="216"/>
      <c r="P555" s="216"/>
      <c r="Q555" s="216"/>
      <c r="R555" s="216"/>
      <c r="S555" s="216"/>
      <c r="T555" s="216"/>
      <c r="U555" s="216"/>
      <c r="V555" s="216"/>
    </row>
    <row r="556" spans="1:22">
      <c r="A556" s="216"/>
      <c r="B556" s="216"/>
      <c r="C556" s="216"/>
      <c r="D556" s="216"/>
      <c r="E556" s="216"/>
      <c r="F556" s="216"/>
      <c r="G556" s="216"/>
      <c r="H556" s="216"/>
      <c r="I556" s="216"/>
      <c r="J556" s="216"/>
      <c r="K556" s="216"/>
      <c r="L556" s="207"/>
      <c r="M556" s="207"/>
      <c r="N556" s="216"/>
      <c r="O556" s="216"/>
      <c r="P556" s="216"/>
      <c r="Q556" s="216"/>
      <c r="R556" s="216"/>
      <c r="S556" s="216"/>
      <c r="T556" s="216"/>
      <c r="U556" s="216"/>
      <c r="V556" s="216"/>
    </row>
    <row r="557" spans="1:22">
      <c r="A557" s="216"/>
      <c r="B557" s="216"/>
      <c r="C557" s="216"/>
      <c r="D557" s="216"/>
      <c r="E557" s="216"/>
      <c r="F557" s="216"/>
      <c r="G557" s="216"/>
      <c r="H557" s="216"/>
      <c r="I557" s="216"/>
      <c r="J557" s="216"/>
      <c r="K557" s="216"/>
      <c r="L557" s="207"/>
      <c r="M557" s="207"/>
      <c r="N557" s="216"/>
      <c r="O557" s="216"/>
      <c r="P557" s="216"/>
      <c r="Q557" s="216"/>
      <c r="R557" s="216"/>
      <c r="S557" s="216"/>
      <c r="T557" s="216"/>
      <c r="U557" s="216"/>
      <c r="V557" s="216"/>
    </row>
    <row r="558" spans="1:22">
      <c r="A558" s="216"/>
      <c r="B558" s="216"/>
      <c r="C558" s="216"/>
      <c r="D558" s="216"/>
      <c r="E558" s="216"/>
      <c r="F558" s="216"/>
      <c r="G558" s="216"/>
      <c r="H558" s="216"/>
      <c r="I558" s="216"/>
      <c r="J558" s="216"/>
      <c r="K558" s="216"/>
      <c r="L558" s="207"/>
      <c r="M558" s="207"/>
      <c r="N558" s="216"/>
      <c r="O558" s="216"/>
      <c r="P558" s="216"/>
      <c r="Q558" s="216"/>
      <c r="R558" s="216"/>
      <c r="S558" s="216"/>
      <c r="T558" s="216"/>
      <c r="U558" s="216"/>
      <c r="V558" s="216"/>
    </row>
    <row r="559" spans="1:22">
      <c r="A559" s="216"/>
      <c r="B559" s="216"/>
      <c r="C559" s="216"/>
      <c r="D559" s="216"/>
      <c r="E559" s="216"/>
      <c r="F559" s="216"/>
      <c r="G559" s="216"/>
      <c r="H559" s="216"/>
      <c r="I559" s="216"/>
      <c r="J559" s="216"/>
      <c r="K559" s="216"/>
      <c r="L559" s="207"/>
      <c r="M559" s="207"/>
      <c r="N559" s="216"/>
      <c r="O559" s="216"/>
      <c r="P559" s="216"/>
      <c r="Q559" s="216"/>
      <c r="R559" s="216"/>
      <c r="S559" s="216"/>
      <c r="T559" s="216"/>
      <c r="U559" s="216"/>
      <c r="V559" s="216"/>
    </row>
    <row r="560" spans="1:22">
      <c r="A560" s="216"/>
      <c r="B560" s="216"/>
      <c r="C560" s="216"/>
      <c r="D560" s="216"/>
      <c r="E560" s="216"/>
      <c r="F560" s="216"/>
      <c r="G560" s="216"/>
      <c r="H560" s="216"/>
      <c r="I560" s="216"/>
      <c r="J560" s="216"/>
      <c r="K560" s="216"/>
      <c r="L560" s="207"/>
      <c r="M560" s="207"/>
      <c r="N560" s="216"/>
      <c r="O560" s="216"/>
      <c r="P560" s="216"/>
      <c r="Q560" s="216"/>
      <c r="R560" s="216"/>
      <c r="S560" s="216"/>
      <c r="T560" s="216"/>
      <c r="U560" s="216"/>
      <c r="V560" s="216"/>
    </row>
    <row r="561" spans="1:22">
      <c r="A561" s="216"/>
      <c r="B561" s="216"/>
      <c r="C561" s="216"/>
      <c r="D561" s="216"/>
      <c r="E561" s="216"/>
      <c r="F561" s="216"/>
      <c r="G561" s="216"/>
      <c r="H561" s="216"/>
      <c r="I561" s="216"/>
      <c r="J561" s="216"/>
      <c r="K561" s="216"/>
      <c r="L561" s="207"/>
      <c r="M561" s="207"/>
      <c r="N561" s="216"/>
      <c r="O561" s="216"/>
      <c r="P561" s="216"/>
      <c r="Q561" s="216"/>
      <c r="R561" s="216"/>
      <c r="S561" s="216"/>
      <c r="T561" s="216"/>
      <c r="U561" s="216"/>
      <c r="V561" s="216"/>
    </row>
    <row r="562" spans="1:22">
      <c r="A562" s="216"/>
      <c r="B562" s="216"/>
      <c r="C562" s="216"/>
      <c r="D562" s="216"/>
      <c r="E562" s="216"/>
      <c r="F562" s="216"/>
      <c r="G562" s="216"/>
      <c r="H562" s="216"/>
      <c r="I562" s="216"/>
      <c r="J562" s="216"/>
      <c r="K562" s="216"/>
      <c r="L562" s="207"/>
      <c r="M562" s="207"/>
      <c r="N562" s="216"/>
      <c r="O562" s="216"/>
      <c r="P562" s="216"/>
      <c r="Q562" s="216"/>
      <c r="R562" s="216"/>
      <c r="S562" s="216"/>
      <c r="T562" s="216"/>
      <c r="U562" s="216"/>
      <c r="V562" s="216"/>
    </row>
    <row r="563" spans="1:22">
      <c r="A563" s="216"/>
      <c r="B563" s="216"/>
      <c r="C563" s="216"/>
      <c r="D563" s="216"/>
      <c r="E563" s="216"/>
      <c r="F563" s="216"/>
      <c r="G563" s="216"/>
      <c r="H563" s="216"/>
      <c r="I563" s="216"/>
      <c r="J563" s="216"/>
      <c r="K563" s="216"/>
      <c r="L563" s="207"/>
      <c r="M563" s="207"/>
      <c r="N563" s="216"/>
      <c r="O563" s="216"/>
      <c r="P563" s="216"/>
      <c r="Q563" s="216"/>
      <c r="R563" s="216"/>
      <c r="S563" s="216"/>
      <c r="T563" s="216"/>
      <c r="U563" s="216"/>
      <c r="V563" s="216"/>
    </row>
    <row r="564" spans="1:22">
      <c r="A564" s="216"/>
      <c r="B564" s="216"/>
      <c r="C564" s="216"/>
      <c r="D564" s="216"/>
      <c r="E564" s="216"/>
      <c r="F564" s="216"/>
      <c r="G564" s="216"/>
      <c r="H564" s="216"/>
      <c r="I564" s="216"/>
      <c r="J564" s="216"/>
      <c r="K564" s="216"/>
      <c r="L564" s="207"/>
      <c r="M564" s="207"/>
      <c r="N564" s="216"/>
      <c r="O564" s="216"/>
      <c r="P564" s="216"/>
      <c r="Q564" s="216"/>
      <c r="R564" s="216"/>
      <c r="S564" s="216"/>
      <c r="T564" s="216"/>
      <c r="U564" s="216"/>
      <c r="V564" s="216"/>
    </row>
    <row r="565" spans="1:22">
      <c r="A565" s="216"/>
      <c r="B565" s="216"/>
      <c r="C565" s="216"/>
      <c r="D565" s="216"/>
      <c r="E565" s="216"/>
      <c r="F565" s="216"/>
      <c r="G565" s="216"/>
      <c r="H565" s="216"/>
      <c r="I565" s="216"/>
      <c r="J565" s="216"/>
      <c r="K565" s="216"/>
      <c r="L565" s="207"/>
      <c r="M565" s="207"/>
      <c r="N565" s="216"/>
      <c r="O565" s="216"/>
      <c r="P565" s="216"/>
      <c r="Q565" s="216"/>
      <c r="R565" s="216"/>
      <c r="S565" s="216"/>
      <c r="T565" s="216"/>
      <c r="U565" s="216"/>
      <c r="V565" s="216"/>
    </row>
    <row r="566" spans="1:22">
      <c r="A566" s="216"/>
      <c r="B566" s="216"/>
      <c r="C566" s="216"/>
      <c r="D566" s="216"/>
      <c r="E566" s="216"/>
      <c r="F566" s="216"/>
      <c r="G566" s="216"/>
      <c r="H566" s="216"/>
      <c r="I566" s="216"/>
      <c r="J566" s="216"/>
      <c r="K566" s="216"/>
      <c r="L566" s="207"/>
      <c r="M566" s="207"/>
      <c r="N566" s="216"/>
      <c r="O566" s="216"/>
      <c r="P566" s="216"/>
      <c r="Q566" s="216"/>
      <c r="R566" s="216"/>
      <c r="S566" s="216"/>
      <c r="T566" s="216"/>
      <c r="U566" s="216"/>
      <c r="V566" s="216"/>
    </row>
    <row r="567" spans="1:22">
      <c r="A567" s="216"/>
      <c r="B567" s="216"/>
      <c r="C567" s="216"/>
      <c r="D567" s="216"/>
      <c r="E567" s="216"/>
      <c r="F567" s="216"/>
      <c r="G567" s="216"/>
      <c r="H567" s="216"/>
      <c r="I567" s="216"/>
      <c r="J567" s="216"/>
      <c r="K567" s="216"/>
      <c r="L567" s="207"/>
      <c r="M567" s="207"/>
      <c r="N567" s="216"/>
      <c r="O567" s="216"/>
      <c r="P567" s="216"/>
      <c r="Q567" s="216"/>
      <c r="R567" s="216"/>
      <c r="S567" s="216"/>
      <c r="T567" s="216"/>
      <c r="U567" s="216"/>
      <c r="V567" s="216"/>
    </row>
    <row r="568" spans="1:22">
      <c r="A568" s="216"/>
      <c r="B568" s="216"/>
      <c r="C568" s="216"/>
      <c r="D568" s="216"/>
      <c r="E568" s="216"/>
      <c r="F568" s="216"/>
      <c r="G568" s="216"/>
      <c r="H568" s="216"/>
      <c r="I568" s="216"/>
      <c r="J568" s="216"/>
      <c r="K568" s="216"/>
      <c r="L568" s="207"/>
      <c r="M568" s="207"/>
      <c r="N568" s="216"/>
      <c r="O568" s="216"/>
      <c r="P568" s="216"/>
      <c r="Q568" s="216"/>
      <c r="R568" s="216"/>
      <c r="S568" s="216"/>
      <c r="T568" s="216"/>
      <c r="U568" s="216"/>
      <c r="V568" s="216"/>
    </row>
    <row r="569" spans="1:22">
      <c r="A569" s="216"/>
      <c r="B569" s="216"/>
      <c r="C569" s="216"/>
      <c r="D569" s="216"/>
      <c r="E569" s="216"/>
      <c r="F569" s="216"/>
      <c r="G569" s="216"/>
      <c r="H569" s="216"/>
      <c r="I569" s="216"/>
      <c r="J569" s="216"/>
      <c r="K569" s="216"/>
      <c r="L569" s="207"/>
      <c r="M569" s="207"/>
      <c r="N569" s="216"/>
      <c r="O569" s="216"/>
      <c r="P569" s="216"/>
      <c r="Q569" s="216"/>
      <c r="R569" s="216"/>
      <c r="S569" s="216"/>
      <c r="T569" s="216"/>
      <c r="U569" s="216"/>
      <c r="V569" s="216"/>
    </row>
    <row r="570" spans="1:22">
      <c r="A570" s="216"/>
      <c r="B570" s="216"/>
      <c r="C570" s="216"/>
      <c r="D570" s="216"/>
      <c r="E570" s="216"/>
      <c r="F570" s="216"/>
      <c r="G570" s="216"/>
      <c r="H570" s="216"/>
      <c r="I570" s="216"/>
      <c r="J570" s="216"/>
      <c r="K570" s="216"/>
      <c r="L570" s="207"/>
      <c r="M570" s="207"/>
      <c r="N570" s="216"/>
      <c r="O570" s="216"/>
      <c r="P570" s="216"/>
      <c r="Q570" s="216"/>
      <c r="R570" s="216"/>
      <c r="S570" s="216"/>
      <c r="T570" s="216"/>
      <c r="U570" s="216"/>
      <c r="V570" s="216"/>
    </row>
    <row r="571" spans="1:22">
      <c r="A571" s="216"/>
      <c r="B571" s="216"/>
      <c r="C571" s="216"/>
      <c r="D571" s="216"/>
      <c r="E571" s="216"/>
      <c r="F571" s="216"/>
      <c r="G571" s="216"/>
      <c r="H571" s="216"/>
      <c r="I571" s="216"/>
      <c r="J571" s="216"/>
      <c r="K571" s="216"/>
      <c r="L571" s="207"/>
      <c r="M571" s="207"/>
      <c r="N571" s="216"/>
      <c r="O571" s="216"/>
      <c r="P571" s="216"/>
      <c r="Q571" s="216"/>
      <c r="R571" s="216"/>
      <c r="S571" s="216"/>
      <c r="T571" s="216"/>
      <c r="U571" s="216"/>
      <c r="V571" s="216"/>
    </row>
    <row r="572" spans="1:22">
      <c r="A572" s="216"/>
      <c r="B572" s="216"/>
      <c r="C572" s="216"/>
      <c r="D572" s="216"/>
      <c r="E572" s="216"/>
      <c r="F572" s="216"/>
      <c r="G572" s="216"/>
      <c r="H572" s="216"/>
      <c r="I572" s="216"/>
      <c r="J572" s="216"/>
      <c r="K572" s="216"/>
      <c r="L572" s="207"/>
      <c r="M572" s="207"/>
      <c r="N572" s="216"/>
      <c r="O572" s="216"/>
      <c r="P572" s="216"/>
      <c r="Q572" s="216"/>
      <c r="R572" s="216"/>
      <c r="S572" s="216"/>
      <c r="T572" s="216"/>
      <c r="U572" s="216"/>
      <c r="V572" s="216"/>
    </row>
    <row r="573" spans="1:22">
      <c r="A573" s="216"/>
      <c r="B573" s="216"/>
      <c r="C573" s="216"/>
      <c r="D573" s="216"/>
      <c r="E573" s="216"/>
      <c r="F573" s="216"/>
      <c r="G573" s="216"/>
      <c r="H573" s="216"/>
      <c r="I573" s="216"/>
      <c r="J573" s="216"/>
      <c r="K573" s="216"/>
      <c r="L573" s="207"/>
      <c r="M573" s="207"/>
      <c r="N573" s="216"/>
      <c r="O573" s="216"/>
      <c r="P573" s="216"/>
      <c r="Q573" s="216"/>
      <c r="R573" s="216"/>
      <c r="S573" s="216"/>
      <c r="T573" s="216"/>
      <c r="U573" s="216"/>
      <c r="V573" s="216"/>
    </row>
    <row r="574" spans="1:22">
      <c r="A574" s="216"/>
      <c r="B574" s="216"/>
      <c r="C574" s="216"/>
      <c r="D574" s="216"/>
      <c r="E574" s="216"/>
      <c r="F574" s="216"/>
      <c r="G574" s="216"/>
      <c r="H574" s="216"/>
      <c r="I574" s="216"/>
      <c r="J574" s="216"/>
      <c r="K574" s="216"/>
      <c r="L574" s="207"/>
      <c r="M574" s="207"/>
      <c r="N574" s="216"/>
      <c r="O574" s="216"/>
      <c r="P574" s="216"/>
      <c r="Q574" s="216"/>
      <c r="R574" s="216"/>
      <c r="S574" s="216"/>
      <c r="T574" s="216"/>
      <c r="U574" s="216"/>
      <c r="V574" s="216"/>
    </row>
    <row r="575" spans="1:22">
      <c r="A575" s="216"/>
      <c r="B575" s="216"/>
      <c r="C575" s="216"/>
      <c r="D575" s="216"/>
      <c r="E575" s="216"/>
      <c r="F575" s="216"/>
      <c r="G575" s="216"/>
      <c r="H575" s="216"/>
      <c r="I575" s="216"/>
      <c r="J575" s="216"/>
      <c r="K575" s="216"/>
      <c r="L575" s="207"/>
      <c r="M575" s="207"/>
      <c r="N575" s="216"/>
      <c r="O575" s="216"/>
      <c r="P575" s="216"/>
      <c r="Q575" s="216"/>
      <c r="R575" s="216"/>
      <c r="S575" s="216"/>
      <c r="T575" s="216"/>
      <c r="U575" s="216"/>
      <c r="V575" s="216"/>
    </row>
    <row r="576" spans="1:22">
      <c r="A576" s="216"/>
      <c r="B576" s="216"/>
      <c r="C576" s="216"/>
      <c r="D576" s="216"/>
      <c r="E576" s="216"/>
      <c r="F576" s="216"/>
      <c r="G576" s="216"/>
      <c r="H576" s="216"/>
      <c r="I576" s="216"/>
      <c r="J576" s="216"/>
      <c r="K576" s="216"/>
      <c r="L576" s="207"/>
      <c r="M576" s="207"/>
      <c r="N576" s="216"/>
      <c r="O576" s="216"/>
      <c r="P576" s="216"/>
      <c r="Q576" s="216"/>
      <c r="R576" s="216"/>
      <c r="S576" s="216"/>
      <c r="T576" s="216"/>
      <c r="U576" s="216"/>
      <c r="V576" s="216"/>
    </row>
    <row r="577" spans="1:22">
      <c r="A577" s="216"/>
      <c r="B577" s="216"/>
      <c r="C577" s="216"/>
      <c r="D577" s="216"/>
      <c r="E577" s="216"/>
      <c r="F577" s="216"/>
      <c r="G577" s="216"/>
      <c r="H577" s="216"/>
      <c r="I577" s="216"/>
      <c r="J577" s="216"/>
      <c r="K577" s="216"/>
      <c r="L577" s="207"/>
      <c r="M577" s="207"/>
      <c r="N577" s="216"/>
      <c r="O577" s="216"/>
      <c r="P577" s="216"/>
      <c r="Q577" s="216"/>
      <c r="R577" s="216"/>
      <c r="S577" s="216"/>
      <c r="T577" s="216"/>
      <c r="U577" s="216"/>
      <c r="V577" s="216"/>
    </row>
    <row r="578" spans="1:22">
      <c r="A578" s="216"/>
      <c r="B578" s="216"/>
      <c r="C578" s="216"/>
      <c r="D578" s="216"/>
      <c r="E578" s="216"/>
      <c r="F578" s="216"/>
      <c r="G578" s="216"/>
      <c r="H578" s="216"/>
      <c r="I578" s="216"/>
      <c r="J578" s="216"/>
      <c r="K578" s="216"/>
      <c r="L578" s="207"/>
      <c r="M578" s="207"/>
      <c r="N578" s="216"/>
      <c r="O578" s="216"/>
      <c r="P578" s="216"/>
      <c r="Q578" s="216"/>
      <c r="R578" s="216"/>
      <c r="S578" s="216"/>
      <c r="T578" s="216"/>
      <c r="U578" s="216"/>
      <c r="V578" s="216"/>
    </row>
    <row r="579" spans="1:22">
      <c r="A579" s="216"/>
      <c r="B579" s="216"/>
      <c r="C579" s="216"/>
      <c r="D579" s="216"/>
      <c r="E579" s="216"/>
      <c r="F579" s="216"/>
      <c r="G579" s="216"/>
      <c r="H579" s="216"/>
      <c r="I579" s="216"/>
      <c r="J579" s="216"/>
      <c r="K579" s="216"/>
      <c r="L579" s="207"/>
      <c r="M579" s="207"/>
      <c r="N579" s="216"/>
      <c r="O579" s="216"/>
      <c r="P579" s="216"/>
      <c r="Q579" s="216"/>
      <c r="R579" s="216"/>
      <c r="S579" s="216"/>
      <c r="T579" s="216"/>
      <c r="U579" s="216"/>
      <c r="V579" s="216"/>
    </row>
    <row r="580" spans="1:22">
      <c r="A580" s="216"/>
      <c r="B580" s="216"/>
      <c r="C580" s="216"/>
      <c r="D580" s="216"/>
      <c r="E580" s="216"/>
      <c r="F580" s="216"/>
      <c r="G580" s="216"/>
      <c r="H580" s="216"/>
      <c r="I580" s="216"/>
      <c r="J580" s="216"/>
      <c r="K580" s="216"/>
      <c r="L580" s="207"/>
      <c r="M580" s="207"/>
      <c r="N580" s="216"/>
      <c r="O580" s="216"/>
      <c r="P580" s="216"/>
      <c r="Q580" s="216"/>
      <c r="R580" s="216"/>
      <c r="S580" s="216"/>
      <c r="T580" s="216"/>
      <c r="U580" s="216"/>
      <c r="V580" s="216"/>
    </row>
    <row r="581" spans="1:22">
      <c r="A581" s="216"/>
      <c r="B581" s="216"/>
      <c r="C581" s="216"/>
      <c r="D581" s="216"/>
      <c r="E581" s="216"/>
      <c r="F581" s="216"/>
      <c r="G581" s="216"/>
      <c r="H581" s="216"/>
      <c r="I581" s="216"/>
      <c r="J581" s="216"/>
      <c r="K581" s="216"/>
      <c r="L581" s="207"/>
      <c r="M581" s="207"/>
      <c r="N581" s="216"/>
      <c r="O581" s="216"/>
      <c r="P581" s="216"/>
      <c r="Q581" s="216"/>
      <c r="R581" s="216"/>
      <c r="S581" s="216"/>
      <c r="T581" s="216"/>
      <c r="U581" s="216"/>
      <c r="V581" s="216"/>
    </row>
    <row r="582" spans="1:22">
      <c r="A582" s="216"/>
      <c r="B582" s="216"/>
      <c r="C582" s="216"/>
      <c r="D582" s="216"/>
      <c r="E582" s="216"/>
      <c r="F582" s="216"/>
      <c r="G582" s="216"/>
      <c r="H582" s="216"/>
      <c r="I582" s="216"/>
      <c r="J582" s="216"/>
      <c r="K582" s="216"/>
      <c r="L582" s="207"/>
      <c r="M582" s="207"/>
      <c r="N582" s="216"/>
      <c r="O582" s="216"/>
      <c r="P582" s="216"/>
      <c r="Q582" s="216"/>
      <c r="R582" s="216"/>
      <c r="S582" s="216"/>
      <c r="T582" s="216"/>
      <c r="U582" s="216"/>
      <c r="V582" s="216"/>
    </row>
    <row r="583" spans="1:22">
      <c r="A583" s="216"/>
      <c r="B583" s="216"/>
      <c r="C583" s="216"/>
      <c r="D583" s="216"/>
      <c r="E583" s="216"/>
      <c r="F583" s="216"/>
      <c r="G583" s="216"/>
      <c r="H583" s="216"/>
      <c r="I583" s="216"/>
      <c r="J583" s="216"/>
      <c r="K583" s="216"/>
      <c r="L583" s="207"/>
      <c r="M583" s="207"/>
      <c r="N583" s="216"/>
      <c r="O583" s="216"/>
      <c r="P583" s="216"/>
      <c r="Q583" s="216"/>
      <c r="R583" s="216"/>
      <c r="S583" s="216"/>
      <c r="T583" s="216"/>
      <c r="U583" s="216"/>
      <c r="V583" s="216"/>
    </row>
    <row r="584" spans="1:22">
      <c r="A584" s="216"/>
      <c r="B584" s="216"/>
      <c r="C584" s="216"/>
      <c r="D584" s="216"/>
      <c r="E584" s="216"/>
      <c r="F584" s="216"/>
      <c r="G584" s="216"/>
      <c r="H584" s="216"/>
      <c r="I584" s="216"/>
      <c r="J584" s="216"/>
      <c r="K584" s="216"/>
      <c r="L584" s="207"/>
      <c r="M584" s="207"/>
      <c r="N584" s="216"/>
      <c r="O584" s="216"/>
      <c r="P584" s="216"/>
      <c r="Q584" s="216"/>
      <c r="R584" s="216"/>
      <c r="S584" s="216"/>
      <c r="T584" s="216"/>
      <c r="U584" s="216"/>
      <c r="V584" s="216"/>
    </row>
    <row r="585" spans="1:22">
      <c r="A585" s="216"/>
      <c r="B585" s="216"/>
      <c r="C585" s="216"/>
      <c r="D585" s="216"/>
      <c r="E585" s="216"/>
      <c r="F585" s="216"/>
      <c r="G585" s="216"/>
      <c r="H585" s="216"/>
      <c r="I585" s="216"/>
      <c r="J585" s="216"/>
      <c r="K585" s="216"/>
      <c r="L585" s="207"/>
      <c r="M585" s="207"/>
      <c r="N585" s="216"/>
      <c r="O585" s="216"/>
      <c r="P585" s="216"/>
      <c r="Q585" s="216"/>
      <c r="R585" s="216"/>
      <c r="S585" s="216"/>
      <c r="T585" s="216"/>
      <c r="U585" s="216"/>
      <c r="V585" s="216"/>
    </row>
    <row r="586" spans="1:22">
      <c r="A586" s="216"/>
      <c r="B586" s="216"/>
      <c r="C586" s="216"/>
      <c r="D586" s="216"/>
      <c r="E586" s="216"/>
      <c r="F586" s="216"/>
      <c r="G586" s="216"/>
      <c r="H586" s="216"/>
      <c r="I586" s="216"/>
      <c r="J586" s="216"/>
      <c r="K586" s="216"/>
      <c r="L586" s="207"/>
      <c r="M586" s="207"/>
      <c r="N586" s="216"/>
      <c r="O586" s="216"/>
      <c r="P586" s="216"/>
      <c r="Q586" s="216"/>
      <c r="R586" s="216"/>
      <c r="S586" s="216"/>
      <c r="T586" s="216"/>
      <c r="U586" s="216"/>
      <c r="V586" s="216"/>
    </row>
    <row r="587" spans="1:22">
      <c r="A587" s="216"/>
      <c r="B587" s="216"/>
      <c r="C587" s="216"/>
      <c r="D587" s="216"/>
      <c r="E587" s="216"/>
      <c r="F587" s="216"/>
      <c r="G587" s="216"/>
      <c r="H587" s="216"/>
      <c r="I587" s="216"/>
      <c r="J587" s="216"/>
      <c r="K587" s="216"/>
      <c r="L587" s="207"/>
      <c r="M587" s="207"/>
      <c r="N587" s="216"/>
      <c r="O587" s="216"/>
      <c r="P587" s="216"/>
      <c r="Q587" s="216"/>
      <c r="R587" s="216"/>
      <c r="S587" s="216"/>
      <c r="T587" s="216"/>
      <c r="U587" s="216"/>
      <c r="V587" s="216"/>
    </row>
    <row r="588" spans="1:22">
      <c r="A588" s="216"/>
      <c r="B588" s="216"/>
      <c r="C588" s="216"/>
      <c r="D588" s="216"/>
      <c r="E588" s="216"/>
      <c r="F588" s="216"/>
      <c r="G588" s="216"/>
      <c r="H588" s="216"/>
      <c r="I588" s="216"/>
      <c r="J588" s="216"/>
      <c r="K588" s="216"/>
      <c r="L588" s="207"/>
      <c r="M588" s="207"/>
      <c r="N588" s="216"/>
      <c r="O588" s="216"/>
      <c r="P588" s="216"/>
      <c r="Q588" s="216"/>
      <c r="R588" s="216"/>
      <c r="S588" s="216"/>
      <c r="T588" s="216"/>
      <c r="U588" s="216"/>
      <c r="V588" s="216"/>
    </row>
    <row r="589" spans="1:22">
      <c r="A589" s="216"/>
      <c r="B589" s="216"/>
      <c r="C589" s="216"/>
      <c r="D589" s="216"/>
      <c r="E589" s="216"/>
      <c r="F589" s="216"/>
      <c r="G589" s="216"/>
      <c r="H589" s="216"/>
      <c r="I589" s="216"/>
      <c r="J589" s="216"/>
      <c r="K589" s="216"/>
      <c r="L589" s="207"/>
      <c r="M589" s="207"/>
      <c r="N589" s="216"/>
      <c r="O589" s="216"/>
      <c r="P589" s="216"/>
      <c r="Q589" s="216"/>
      <c r="R589" s="216"/>
      <c r="S589" s="216"/>
      <c r="T589" s="216"/>
      <c r="U589" s="216"/>
      <c r="V589" s="216"/>
    </row>
    <row r="590" spans="1:22">
      <c r="A590" s="216"/>
      <c r="B590" s="216"/>
      <c r="C590" s="216"/>
      <c r="D590" s="216"/>
      <c r="E590" s="216"/>
      <c r="F590" s="216"/>
      <c r="G590" s="216"/>
      <c r="H590" s="216"/>
      <c r="I590" s="216"/>
      <c r="J590" s="216"/>
      <c r="K590" s="216"/>
      <c r="L590" s="207"/>
      <c r="M590" s="207"/>
      <c r="N590" s="216"/>
      <c r="O590" s="216"/>
      <c r="P590" s="216"/>
      <c r="Q590" s="216"/>
      <c r="R590" s="216"/>
      <c r="S590" s="216"/>
      <c r="T590" s="216"/>
      <c r="U590" s="216"/>
      <c r="V590" s="216"/>
    </row>
    <row r="591" spans="1:22">
      <c r="A591" s="216"/>
      <c r="B591" s="216"/>
      <c r="C591" s="216"/>
      <c r="D591" s="216"/>
      <c r="E591" s="216"/>
      <c r="F591" s="216"/>
      <c r="G591" s="216"/>
      <c r="H591" s="216"/>
      <c r="I591" s="216"/>
      <c r="J591" s="216"/>
      <c r="K591" s="216"/>
      <c r="L591" s="207"/>
      <c r="M591" s="207"/>
      <c r="N591" s="216"/>
      <c r="O591" s="216"/>
      <c r="P591" s="216"/>
      <c r="Q591" s="216"/>
      <c r="R591" s="216"/>
      <c r="S591" s="216"/>
      <c r="T591" s="216"/>
      <c r="U591" s="216"/>
      <c r="V591" s="216"/>
    </row>
    <row r="592" spans="1:22">
      <c r="A592" s="216"/>
      <c r="B592" s="216"/>
      <c r="C592" s="216"/>
      <c r="D592" s="216"/>
      <c r="E592" s="216"/>
      <c r="F592" s="216"/>
      <c r="G592" s="216"/>
      <c r="H592" s="216"/>
      <c r="I592" s="216"/>
      <c r="J592" s="216"/>
      <c r="K592" s="216"/>
      <c r="L592" s="207"/>
      <c r="M592" s="207"/>
      <c r="N592" s="216"/>
      <c r="O592" s="216"/>
      <c r="P592" s="216"/>
      <c r="Q592" s="216"/>
      <c r="R592" s="216"/>
      <c r="S592" s="216"/>
      <c r="T592" s="216"/>
      <c r="U592" s="216"/>
      <c r="V592" s="216"/>
    </row>
    <row r="593" spans="1:22">
      <c r="A593" s="216"/>
      <c r="B593" s="216"/>
      <c r="C593" s="216"/>
      <c r="D593" s="216"/>
      <c r="E593" s="216"/>
      <c r="F593" s="216"/>
      <c r="G593" s="216"/>
      <c r="H593" s="216"/>
      <c r="I593" s="216"/>
      <c r="J593" s="216"/>
      <c r="K593" s="216"/>
      <c r="L593" s="207"/>
      <c r="M593" s="207"/>
      <c r="N593" s="216"/>
      <c r="O593" s="216"/>
      <c r="P593" s="216"/>
      <c r="Q593" s="216"/>
      <c r="R593" s="216"/>
      <c r="S593" s="216"/>
      <c r="T593" s="216"/>
      <c r="U593" s="216"/>
      <c r="V593" s="216"/>
    </row>
    <row r="594" spans="1:22">
      <c r="A594" s="216"/>
      <c r="B594" s="216"/>
      <c r="C594" s="216"/>
      <c r="D594" s="216"/>
      <c r="E594" s="216"/>
      <c r="F594" s="216"/>
      <c r="G594" s="216"/>
      <c r="H594" s="216"/>
      <c r="I594" s="216"/>
      <c r="J594" s="216"/>
      <c r="K594" s="216"/>
      <c r="L594" s="207"/>
      <c r="M594" s="207"/>
      <c r="N594" s="216"/>
      <c r="O594" s="216"/>
      <c r="P594" s="216"/>
      <c r="Q594" s="216"/>
      <c r="R594" s="216"/>
      <c r="S594" s="216"/>
      <c r="T594" s="216"/>
      <c r="U594" s="216"/>
      <c r="V594" s="216"/>
    </row>
    <row r="595" spans="1:22">
      <c r="A595" s="216"/>
      <c r="B595" s="216"/>
      <c r="C595" s="216"/>
      <c r="D595" s="216"/>
      <c r="E595" s="216"/>
      <c r="F595" s="216"/>
      <c r="G595" s="216"/>
      <c r="H595" s="216"/>
      <c r="I595" s="216"/>
      <c r="J595" s="216"/>
      <c r="K595" s="216"/>
      <c r="L595" s="207"/>
      <c r="M595" s="207"/>
      <c r="N595" s="216"/>
      <c r="O595" s="216"/>
      <c r="P595" s="216"/>
      <c r="Q595" s="216"/>
      <c r="R595" s="216"/>
      <c r="S595" s="216"/>
      <c r="T595" s="216"/>
      <c r="U595" s="216"/>
      <c r="V595" s="216"/>
    </row>
    <row r="596" spans="1:22">
      <c r="A596" s="216"/>
      <c r="B596" s="216"/>
      <c r="C596" s="216"/>
      <c r="D596" s="216"/>
      <c r="E596" s="216"/>
      <c r="F596" s="216"/>
      <c r="G596" s="216"/>
      <c r="H596" s="216"/>
      <c r="I596" s="216"/>
      <c r="J596" s="216"/>
      <c r="K596" s="216"/>
      <c r="L596" s="207"/>
      <c r="M596" s="207"/>
      <c r="N596" s="216"/>
      <c r="O596" s="216"/>
      <c r="P596" s="216"/>
      <c r="Q596" s="216"/>
      <c r="R596" s="216"/>
      <c r="S596" s="216"/>
      <c r="T596" s="216"/>
      <c r="U596" s="216"/>
      <c r="V596" s="216"/>
    </row>
    <row r="597" spans="1:22">
      <c r="A597" s="216"/>
      <c r="B597" s="216"/>
      <c r="C597" s="216"/>
      <c r="D597" s="216"/>
      <c r="E597" s="216"/>
      <c r="F597" s="216"/>
      <c r="G597" s="216"/>
      <c r="H597" s="216"/>
      <c r="I597" s="216"/>
      <c r="J597" s="216"/>
      <c r="K597" s="216"/>
      <c r="L597" s="207"/>
      <c r="M597" s="207"/>
      <c r="N597" s="216"/>
      <c r="O597" s="216"/>
      <c r="P597" s="216"/>
      <c r="Q597" s="216"/>
      <c r="R597" s="216"/>
      <c r="S597" s="216"/>
      <c r="T597" s="216"/>
      <c r="U597" s="216"/>
      <c r="V597" s="216"/>
    </row>
    <row r="598" spans="1:22">
      <c r="A598" s="216"/>
      <c r="B598" s="216"/>
      <c r="C598" s="216"/>
      <c r="D598" s="216"/>
      <c r="E598" s="216"/>
      <c r="F598" s="216"/>
      <c r="G598" s="216"/>
      <c r="H598" s="216"/>
      <c r="I598" s="216"/>
      <c r="J598" s="216"/>
      <c r="K598" s="216"/>
      <c r="L598" s="207"/>
      <c r="M598" s="207"/>
      <c r="N598" s="216"/>
      <c r="O598" s="216"/>
      <c r="P598" s="216"/>
      <c r="Q598" s="216"/>
      <c r="R598" s="216"/>
      <c r="S598" s="216"/>
      <c r="T598" s="216"/>
      <c r="U598" s="216"/>
      <c r="V598" s="216"/>
    </row>
    <row r="599" spans="1:22">
      <c r="A599" s="216"/>
      <c r="B599" s="216"/>
      <c r="C599" s="216"/>
      <c r="D599" s="216"/>
      <c r="E599" s="216"/>
      <c r="F599" s="216"/>
      <c r="G599" s="216"/>
      <c r="H599" s="216"/>
      <c r="I599" s="216"/>
      <c r="J599" s="216"/>
      <c r="K599" s="216"/>
      <c r="L599" s="207"/>
      <c r="M599" s="207"/>
      <c r="N599" s="216"/>
      <c r="O599" s="216"/>
      <c r="P599" s="216"/>
      <c r="Q599" s="216"/>
      <c r="R599" s="216"/>
      <c r="S599" s="216"/>
      <c r="T599" s="216"/>
      <c r="U599" s="216"/>
      <c r="V599" s="216"/>
    </row>
    <row r="600" spans="1:22">
      <c r="A600" s="216"/>
      <c r="B600" s="216"/>
      <c r="C600" s="216"/>
      <c r="D600" s="216"/>
      <c r="E600" s="216"/>
      <c r="F600" s="216"/>
      <c r="G600" s="216"/>
      <c r="H600" s="216"/>
      <c r="I600" s="216"/>
      <c r="J600" s="216"/>
      <c r="K600" s="216"/>
      <c r="L600" s="207"/>
      <c r="M600" s="207"/>
      <c r="N600" s="216"/>
      <c r="O600" s="216"/>
      <c r="P600" s="216"/>
      <c r="Q600" s="216"/>
      <c r="R600" s="216"/>
      <c r="S600" s="216"/>
      <c r="T600" s="216"/>
      <c r="U600" s="216"/>
      <c r="V600" s="216"/>
    </row>
    <row r="601" spans="1:22">
      <c r="A601" s="216"/>
      <c r="B601" s="216"/>
      <c r="C601" s="216"/>
      <c r="D601" s="216"/>
      <c r="E601" s="216"/>
      <c r="F601" s="216"/>
      <c r="G601" s="216"/>
      <c r="H601" s="216"/>
      <c r="I601" s="216"/>
      <c r="J601" s="216"/>
      <c r="K601" s="216"/>
      <c r="L601" s="207"/>
      <c r="M601" s="207"/>
      <c r="N601" s="216"/>
      <c r="O601" s="216"/>
      <c r="P601" s="216"/>
      <c r="Q601" s="216"/>
      <c r="R601" s="216"/>
      <c r="S601" s="216"/>
      <c r="T601" s="216"/>
      <c r="U601" s="216"/>
      <c r="V601" s="216"/>
    </row>
    <row r="602" spans="1:22">
      <c r="A602" s="216"/>
      <c r="B602" s="216"/>
      <c r="C602" s="216"/>
      <c r="D602" s="216"/>
      <c r="E602" s="216"/>
      <c r="F602" s="216"/>
      <c r="G602" s="216"/>
      <c r="H602" s="216"/>
      <c r="I602" s="216"/>
      <c r="J602" s="216"/>
      <c r="K602" s="216"/>
      <c r="L602" s="207"/>
      <c r="M602" s="207"/>
      <c r="N602" s="216"/>
      <c r="O602" s="216"/>
      <c r="P602" s="216"/>
      <c r="Q602" s="216"/>
      <c r="R602" s="216"/>
      <c r="S602" s="216"/>
      <c r="T602" s="216"/>
      <c r="U602" s="216"/>
      <c r="V602" s="216"/>
    </row>
    <row r="603" spans="1:22">
      <c r="A603" s="216"/>
      <c r="B603" s="216"/>
      <c r="C603" s="216"/>
      <c r="D603" s="216"/>
      <c r="E603" s="216"/>
      <c r="F603" s="216"/>
      <c r="G603" s="216"/>
      <c r="H603" s="216"/>
      <c r="I603" s="216"/>
      <c r="J603" s="216"/>
      <c r="K603" s="216"/>
      <c r="L603" s="207"/>
      <c r="M603" s="207"/>
      <c r="N603" s="216"/>
      <c r="O603" s="216"/>
      <c r="P603" s="216"/>
      <c r="Q603" s="216"/>
      <c r="R603" s="216"/>
      <c r="S603" s="216"/>
      <c r="T603" s="216"/>
      <c r="U603" s="216"/>
      <c r="V603" s="216"/>
    </row>
    <row r="604" spans="1:22">
      <c r="A604" s="216"/>
      <c r="B604" s="216"/>
      <c r="C604" s="216"/>
      <c r="D604" s="216"/>
      <c r="E604" s="216"/>
      <c r="F604" s="216"/>
      <c r="G604" s="216"/>
      <c r="H604" s="216"/>
      <c r="I604" s="216"/>
      <c r="J604" s="216"/>
      <c r="K604" s="216"/>
      <c r="L604" s="207"/>
      <c r="M604" s="207"/>
      <c r="N604" s="216"/>
      <c r="O604" s="216"/>
      <c r="P604" s="216"/>
      <c r="Q604" s="216"/>
      <c r="R604" s="216"/>
      <c r="S604" s="216"/>
      <c r="T604" s="216"/>
      <c r="U604" s="216"/>
      <c r="V604" s="216"/>
    </row>
    <row r="605" spans="1:22">
      <c r="A605" s="216"/>
      <c r="B605" s="216"/>
      <c r="C605" s="216"/>
      <c r="D605" s="216"/>
      <c r="E605" s="216"/>
      <c r="F605" s="216"/>
      <c r="G605" s="216"/>
      <c r="H605" s="216"/>
      <c r="I605" s="216"/>
      <c r="J605" s="216"/>
      <c r="K605" s="216"/>
      <c r="L605" s="207"/>
      <c r="M605" s="207"/>
      <c r="N605" s="216"/>
      <c r="O605" s="216"/>
      <c r="P605" s="216"/>
      <c r="Q605" s="216"/>
      <c r="R605" s="216"/>
      <c r="S605" s="216"/>
      <c r="T605" s="216"/>
      <c r="U605" s="216"/>
      <c r="V605" s="216"/>
    </row>
    <row r="606" spans="1:22">
      <c r="A606" s="216"/>
      <c r="B606" s="216"/>
      <c r="C606" s="216"/>
      <c r="D606" s="216"/>
      <c r="E606" s="216"/>
      <c r="F606" s="216"/>
      <c r="G606" s="216"/>
      <c r="H606" s="216"/>
      <c r="I606" s="216"/>
      <c r="J606" s="216"/>
      <c r="K606" s="216"/>
      <c r="L606" s="207"/>
      <c r="M606" s="207"/>
      <c r="N606" s="216"/>
      <c r="O606" s="216"/>
      <c r="P606" s="216"/>
      <c r="Q606" s="216"/>
      <c r="R606" s="216"/>
      <c r="S606" s="216"/>
      <c r="T606" s="216"/>
      <c r="U606" s="216"/>
      <c r="V606" s="216"/>
    </row>
    <row r="607" spans="1:22">
      <c r="A607" s="216"/>
      <c r="B607" s="216"/>
      <c r="C607" s="216"/>
      <c r="D607" s="216"/>
      <c r="E607" s="216"/>
      <c r="F607" s="216"/>
      <c r="G607" s="216"/>
      <c r="H607" s="216"/>
      <c r="I607" s="216"/>
      <c r="J607" s="216"/>
      <c r="K607" s="216"/>
      <c r="L607" s="207"/>
      <c r="M607" s="207"/>
      <c r="N607" s="216"/>
      <c r="O607" s="216"/>
      <c r="P607" s="216"/>
      <c r="Q607" s="216"/>
      <c r="R607" s="216"/>
      <c r="S607" s="216"/>
      <c r="T607" s="216"/>
      <c r="U607" s="216"/>
      <c r="V607" s="216"/>
    </row>
    <row r="608" spans="1:22">
      <c r="A608" s="216"/>
      <c r="B608" s="216"/>
      <c r="C608" s="216"/>
      <c r="D608" s="216"/>
      <c r="E608" s="216"/>
      <c r="F608" s="216"/>
      <c r="G608" s="216"/>
      <c r="H608" s="216"/>
      <c r="I608" s="216"/>
      <c r="J608" s="216"/>
      <c r="K608" s="216"/>
      <c r="L608" s="207"/>
      <c r="M608" s="207"/>
      <c r="N608" s="216"/>
      <c r="O608" s="216"/>
      <c r="P608" s="216"/>
      <c r="Q608" s="216"/>
      <c r="R608" s="216"/>
      <c r="S608" s="216"/>
      <c r="T608" s="216"/>
      <c r="U608" s="216"/>
      <c r="V608" s="216"/>
    </row>
    <row r="609" spans="1:22">
      <c r="A609" s="216"/>
      <c r="B609" s="216"/>
      <c r="C609" s="216"/>
      <c r="D609" s="216"/>
      <c r="E609" s="216"/>
      <c r="F609" s="216"/>
      <c r="G609" s="216"/>
      <c r="H609" s="216"/>
      <c r="I609" s="216"/>
      <c r="J609" s="216"/>
      <c r="K609" s="216"/>
      <c r="L609" s="207"/>
      <c r="M609" s="207"/>
      <c r="N609" s="216"/>
      <c r="O609" s="216"/>
      <c r="P609" s="216"/>
      <c r="Q609" s="216"/>
      <c r="R609" s="216"/>
      <c r="S609" s="216"/>
      <c r="T609" s="216"/>
      <c r="U609" s="216"/>
      <c r="V609" s="216"/>
    </row>
    <row r="610" spans="1:22">
      <c r="A610" s="216"/>
      <c r="B610" s="216"/>
      <c r="C610" s="216"/>
      <c r="D610" s="216"/>
      <c r="E610" s="216"/>
      <c r="F610" s="216"/>
      <c r="G610" s="216"/>
      <c r="H610" s="216"/>
      <c r="I610" s="216"/>
      <c r="J610" s="216"/>
      <c r="K610" s="216"/>
      <c r="L610" s="207"/>
      <c r="M610" s="207"/>
      <c r="N610" s="216"/>
      <c r="O610" s="216"/>
      <c r="P610" s="216"/>
      <c r="Q610" s="216"/>
      <c r="R610" s="216"/>
      <c r="S610" s="216"/>
      <c r="T610" s="216"/>
      <c r="U610" s="216"/>
      <c r="V610" s="216"/>
    </row>
    <row r="611" spans="1:22">
      <c r="A611" s="216"/>
      <c r="B611" s="216"/>
      <c r="C611" s="216"/>
      <c r="D611" s="216"/>
      <c r="E611" s="216"/>
      <c r="F611" s="216"/>
      <c r="G611" s="216"/>
      <c r="H611" s="216"/>
      <c r="I611" s="216"/>
      <c r="J611" s="216"/>
      <c r="K611" s="216"/>
      <c r="L611" s="207"/>
      <c r="M611" s="207"/>
      <c r="N611" s="216"/>
      <c r="O611" s="216"/>
      <c r="P611" s="216"/>
      <c r="Q611" s="216"/>
      <c r="R611" s="216"/>
      <c r="S611" s="216"/>
      <c r="T611" s="216"/>
      <c r="U611" s="216"/>
      <c r="V611" s="216"/>
    </row>
    <row r="612" spans="1:22">
      <c r="A612" s="216"/>
      <c r="B612" s="216"/>
      <c r="C612" s="216"/>
      <c r="D612" s="216"/>
      <c r="E612" s="216"/>
      <c r="F612" s="216"/>
      <c r="G612" s="216"/>
      <c r="H612" s="216"/>
      <c r="I612" s="216"/>
      <c r="J612" s="216"/>
      <c r="K612" s="216"/>
      <c r="L612" s="207"/>
      <c r="M612" s="207"/>
      <c r="N612" s="216"/>
      <c r="O612" s="216"/>
      <c r="P612" s="216"/>
      <c r="Q612" s="216"/>
      <c r="R612" s="216"/>
      <c r="S612" s="216"/>
      <c r="T612" s="216"/>
      <c r="U612" s="216"/>
      <c r="V612" s="216"/>
    </row>
    <row r="613" spans="1:22">
      <c r="A613" s="216"/>
      <c r="B613" s="216"/>
      <c r="C613" s="216"/>
      <c r="D613" s="216"/>
      <c r="E613" s="216"/>
      <c r="F613" s="216"/>
      <c r="G613" s="216"/>
      <c r="H613" s="216"/>
      <c r="I613" s="216"/>
      <c r="J613" s="216"/>
      <c r="K613" s="216"/>
      <c r="L613" s="207"/>
      <c r="M613" s="207"/>
      <c r="N613" s="216"/>
      <c r="O613" s="216"/>
      <c r="P613" s="216"/>
      <c r="Q613" s="216"/>
      <c r="R613" s="216"/>
      <c r="S613" s="216"/>
      <c r="T613" s="216"/>
      <c r="U613" s="216"/>
      <c r="V613" s="216"/>
    </row>
    <row r="614" spans="1:22">
      <c r="A614" s="216"/>
      <c r="B614" s="216"/>
      <c r="C614" s="216"/>
      <c r="D614" s="216"/>
      <c r="E614" s="216"/>
      <c r="F614" s="216"/>
      <c r="G614" s="216"/>
      <c r="H614" s="216"/>
      <c r="I614" s="216"/>
      <c r="J614" s="216"/>
      <c r="K614" s="216"/>
      <c r="L614" s="207"/>
      <c r="M614" s="207"/>
      <c r="N614" s="216"/>
      <c r="O614" s="216"/>
      <c r="P614" s="216"/>
      <c r="Q614" s="216"/>
      <c r="R614" s="216"/>
      <c r="S614" s="216"/>
      <c r="T614" s="216"/>
      <c r="U614" s="216"/>
      <c r="V614" s="216"/>
    </row>
    <row r="615" spans="1:22">
      <c r="A615" s="216"/>
      <c r="B615" s="216"/>
      <c r="C615" s="216"/>
      <c r="D615" s="216"/>
      <c r="E615" s="216"/>
      <c r="F615" s="216"/>
      <c r="G615" s="216"/>
      <c r="H615" s="216"/>
      <c r="I615" s="216"/>
      <c r="J615" s="216"/>
      <c r="K615" s="216"/>
      <c r="L615" s="207"/>
      <c r="M615" s="207"/>
      <c r="N615" s="216"/>
      <c r="O615" s="216"/>
      <c r="P615" s="216"/>
      <c r="Q615" s="216"/>
      <c r="R615" s="216"/>
      <c r="S615" s="216"/>
      <c r="T615" s="216"/>
      <c r="U615" s="216"/>
      <c r="V615" s="216"/>
    </row>
    <row r="616" spans="1:22">
      <c r="A616" s="216"/>
      <c r="B616" s="216"/>
      <c r="C616" s="216"/>
      <c r="D616" s="216"/>
      <c r="E616" s="216"/>
      <c r="F616" s="216"/>
      <c r="G616" s="216"/>
      <c r="H616" s="216"/>
      <c r="I616" s="216"/>
      <c r="J616" s="216"/>
      <c r="K616" s="216"/>
      <c r="L616" s="207"/>
      <c r="M616" s="207"/>
      <c r="N616" s="216"/>
      <c r="O616" s="216"/>
      <c r="P616" s="216"/>
      <c r="Q616" s="216"/>
      <c r="R616" s="216"/>
      <c r="S616" s="216"/>
      <c r="T616" s="216"/>
      <c r="U616" s="216"/>
      <c r="V616" s="216"/>
    </row>
    <row r="617" spans="1:22">
      <c r="A617" s="216"/>
      <c r="B617" s="216"/>
      <c r="C617" s="216"/>
      <c r="D617" s="216"/>
      <c r="E617" s="216"/>
      <c r="F617" s="216"/>
      <c r="G617" s="216"/>
      <c r="H617" s="216"/>
      <c r="I617" s="216"/>
      <c r="J617" s="216"/>
      <c r="K617" s="216"/>
      <c r="L617" s="207"/>
      <c r="M617" s="207"/>
      <c r="N617" s="216"/>
      <c r="O617" s="216"/>
      <c r="P617" s="216"/>
      <c r="Q617" s="216"/>
      <c r="R617" s="216"/>
      <c r="S617" s="216"/>
      <c r="T617" s="216"/>
      <c r="U617" s="216"/>
      <c r="V617" s="216"/>
    </row>
    <row r="618" spans="1:22">
      <c r="A618" s="216"/>
      <c r="B618" s="216"/>
      <c r="C618" s="216"/>
      <c r="D618" s="216"/>
      <c r="E618" s="216"/>
      <c r="F618" s="216"/>
      <c r="G618" s="216"/>
      <c r="H618" s="216"/>
      <c r="I618" s="216"/>
      <c r="J618" s="216"/>
      <c r="K618" s="216"/>
      <c r="L618" s="207"/>
      <c r="M618" s="207"/>
      <c r="N618" s="216"/>
      <c r="O618" s="216"/>
      <c r="P618" s="216"/>
      <c r="Q618" s="216"/>
      <c r="R618" s="216"/>
      <c r="S618" s="216"/>
      <c r="T618" s="216"/>
      <c r="U618" s="216"/>
      <c r="V618" s="216"/>
    </row>
    <row r="619" spans="1:22">
      <c r="A619" s="216"/>
      <c r="B619" s="216"/>
      <c r="C619" s="216"/>
      <c r="D619" s="216"/>
      <c r="E619" s="216"/>
      <c r="F619" s="216"/>
      <c r="G619" s="216"/>
      <c r="H619" s="216"/>
      <c r="I619" s="216"/>
      <c r="J619" s="216"/>
      <c r="K619" s="216"/>
      <c r="L619" s="207"/>
      <c r="M619" s="207"/>
      <c r="N619" s="216"/>
      <c r="O619" s="216"/>
      <c r="P619" s="216"/>
      <c r="Q619" s="216"/>
      <c r="R619" s="216"/>
      <c r="S619" s="216"/>
      <c r="T619" s="216"/>
      <c r="U619" s="216"/>
      <c r="V619" s="216"/>
    </row>
    <row r="620" spans="1:22">
      <c r="A620" s="216"/>
      <c r="B620" s="216"/>
      <c r="C620" s="216"/>
      <c r="D620" s="216"/>
      <c r="E620" s="216"/>
      <c r="F620" s="216"/>
      <c r="G620" s="216"/>
      <c r="H620" s="216"/>
      <c r="I620" s="216"/>
      <c r="J620" s="216"/>
      <c r="K620" s="216"/>
      <c r="L620" s="207"/>
      <c r="M620" s="207"/>
      <c r="N620" s="216"/>
      <c r="O620" s="216"/>
      <c r="P620" s="216"/>
      <c r="Q620" s="216"/>
      <c r="R620" s="216"/>
      <c r="S620" s="216"/>
      <c r="T620" s="216"/>
      <c r="U620" s="216"/>
      <c r="V620" s="216"/>
    </row>
    <row r="621" spans="1:22">
      <c r="A621" s="216"/>
      <c r="B621" s="216"/>
      <c r="C621" s="216"/>
      <c r="D621" s="216"/>
      <c r="E621" s="216"/>
      <c r="F621" s="216"/>
      <c r="G621" s="216"/>
      <c r="H621" s="216"/>
      <c r="I621" s="216"/>
      <c r="J621" s="216"/>
      <c r="K621" s="216"/>
      <c r="L621" s="207"/>
      <c r="M621" s="207"/>
      <c r="N621" s="216"/>
      <c r="O621" s="216"/>
      <c r="P621" s="216"/>
      <c r="Q621" s="216"/>
      <c r="R621" s="216"/>
      <c r="S621" s="216"/>
      <c r="T621" s="216"/>
      <c r="U621" s="216"/>
      <c r="V621" s="216"/>
    </row>
    <row r="622" spans="1:22">
      <c r="A622" s="216"/>
      <c r="B622" s="216"/>
      <c r="C622" s="216"/>
      <c r="D622" s="216"/>
      <c r="E622" s="216"/>
      <c r="F622" s="216"/>
      <c r="G622" s="216"/>
      <c r="H622" s="216"/>
      <c r="I622" s="216"/>
      <c r="J622" s="216"/>
      <c r="K622" s="216"/>
      <c r="L622" s="207"/>
      <c r="M622" s="207"/>
      <c r="N622" s="216"/>
      <c r="O622" s="216"/>
      <c r="P622" s="216"/>
      <c r="Q622" s="216"/>
      <c r="R622" s="216"/>
      <c r="S622" s="216"/>
      <c r="T622" s="216"/>
      <c r="U622" s="216"/>
      <c r="V622" s="216"/>
    </row>
    <row r="623" spans="1:22">
      <c r="A623" s="216"/>
      <c r="B623" s="216"/>
      <c r="C623" s="216"/>
      <c r="D623" s="216"/>
      <c r="E623" s="216"/>
      <c r="F623" s="216"/>
      <c r="G623" s="216"/>
      <c r="H623" s="216"/>
      <c r="I623" s="216"/>
      <c r="J623" s="216"/>
      <c r="K623" s="216"/>
      <c r="L623" s="207"/>
      <c r="M623" s="207"/>
      <c r="N623" s="216"/>
      <c r="O623" s="216"/>
      <c r="P623" s="216"/>
      <c r="Q623" s="216"/>
      <c r="R623" s="216"/>
      <c r="S623" s="216"/>
      <c r="T623" s="216"/>
      <c r="U623" s="216"/>
      <c r="V623" s="216"/>
    </row>
    <row r="624" spans="1:22">
      <c r="A624" s="216"/>
      <c r="B624" s="216"/>
      <c r="C624" s="216"/>
      <c r="D624" s="216"/>
      <c r="E624" s="216"/>
      <c r="F624" s="216"/>
      <c r="G624" s="216"/>
      <c r="H624" s="216"/>
      <c r="I624" s="216"/>
      <c r="J624" s="216"/>
      <c r="K624" s="216"/>
      <c r="L624" s="207"/>
      <c r="M624" s="207"/>
      <c r="N624" s="216"/>
      <c r="O624" s="216"/>
      <c r="P624" s="216"/>
      <c r="Q624" s="216"/>
      <c r="R624" s="216"/>
      <c r="S624" s="216"/>
      <c r="T624" s="216"/>
      <c r="U624" s="216"/>
      <c r="V624" s="216"/>
    </row>
    <row r="625" spans="1:22">
      <c r="A625" s="216"/>
      <c r="B625" s="216"/>
      <c r="C625" s="216"/>
      <c r="D625" s="216"/>
      <c r="E625" s="216"/>
      <c r="F625" s="216"/>
      <c r="G625" s="216"/>
      <c r="H625" s="216"/>
      <c r="I625" s="216"/>
      <c r="J625" s="216"/>
      <c r="K625" s="216"/>
      <c r="L625" s="207"/>
      <c r="M625" s="207"/>
      <c r="N625" s="216"/>
      <c r="O625" s="216"/>
      <c r="P625" s="216"/>
      <c r="Q625" s="216"/>
      <c r="R625" s="216"/>
      <c r="S625" s="216"/>
      <c r="T625" s="216"/>
      <c r="U625" s="216"/>
      <c r="V625" s="216"/>
    </row>
    <row r="626" spans="1:22">
      <c r="A626" s="216"/>
      <c r="B626" s="216"/>
      <c r="C626" s="216"/>
      <c r="D626" s="216"/>
      <c r="E626" s="216"/>
      <c r="F626" s="216"/>
      <c r="G626" s="216"/>
      <c r="H626" s="216"/>
      <c r="I626" s="216"/>
      <c r="J626" s="216"/>
      <c r="K626" s="216"/>
      <c r="L626" s="207"/>
      <c r="M626" s="207"/>
      <c r="N626" s="216"/>
      <c r="O626" s="216"/>
      <c r="P626" s="216"/>
      <c r="Q626" s="216"/>
      <c r="R626" s="216"/>
      <c r="S626" s="216"/>
      <c r="T626" s="216"/>
      <c r="U626" s="216"/>
      <c r="V626" s="216"/>
    </row>
    <row r="627" spans="1:22">
      <c r="A627" s="216"/>
      <c r="B627" s="216"/>
      <c r="C627" s="216"/>
      <c r="D627" s="216"/>
      <c r="E627" s="216"/>
      <c r="F627" s="216"/>
      <c r="G627" s="216"/>
      <c r="H627" s="216"/>
      <c r="I627" s="216"/>
      <c r="J627" s="216"/>
      <c r="K627" s="216"/>
      <c r="L627" s="207"/>
      <c r="M627" s="207"/>
      <c r="N627" s="216"/>
      <c r="O627" s="216"/>
      <c r="P627" s="216"/>
      <c r="Q627" s="216"/>
      <c r="R627" s="216"/>
      <c r="S627" s="216"/>
      <c r="T627" s="216"/>
      <c r="U627" s="216"/>
      <c r="V627" s="216"/>
    </row>
    <row r="628" spans="1:22">
      <c r="A628" s="216"/>
      <c r="B628" s="216"/>
      <c r="C628" s="216"/>
      <c r="D628" s="216"/>
      <c r="E628" s="216"/>
      <c r="F628" s="216"/>
      <c r="G628" s="216"/>
      <c r="H628" s="216"/>
      <c r="I628" s="216"/>
      <c r="J628" s="216"/>
      <c r="K628" s="216"/>
      <c r="L628" s="207"/>
      <c r="M628" s="207"/>
      <c r="N628" s="216"/>
      <c r="O628" s="216"/>
      <c r="P628" s="216"/>
      <c r="Q628" s="216"/>
      <c r="R628" s="216"/>
      <c r="S628" s="216"/>
      <c r="T628" s="216"/>
      <c r="U628" s="216"/>
      <c r="V628" s="216"/>
    </row>
    <row r="629" spans="1:22">
      <c r="A629" s="216"/>
      <c r="B629" s="216"/>
      <c r="C629" s="216"/>
      <c r="D629" s="216"/>
      <c r="E629" s="216"/>
      <c r="F629" s="216"/>
      <c r="G629" s="216"/>
      <c r="H629" s="216"/>
      <c r="I629" s="216"/>
      <c r="J629" s="216"/>
      <c r="K629" s="216"/>
      <c r="L629" s="207"/>
      <c r="M629" s="207"/>
      <c r="N629" s="216"/>
      <c r="O629" s="216"/>
      <c r="P629" s="216"/>
      <c r="Q629" s="216"/>
      <c r="R629" s="216"/>
      <c r="S629" s="216"/>
      <c r="T629" s="216"/>
      <c r="U629" s="216"/>
      <c r="V629" s="216"/>
    </row>
    <row r="630" spans="1:22">
      <c r="A630" s="216"/>
      <c r="B630" s="216"/>
      <c r="C630" s="216"/>
      <c r="D630" s="216"/>
      <c r="E630" s="216"/>
      <c r="F630" s="216"/>
      <c r="G630" s="216"/>
      <c r="H630" s="216"/>
      <c r="I630" s="216"/>
      <c r="J630" s="216"/>
      <c r="K630" s="216"/>
      <c r="L630" s="207"/>
      <c r="M630" s="207"/>
      <c r="N630" s="216"/>
      <c r="O630" s="216"/>
      <c r="P630" s="216"/>
      <c r="Q630" s="216"/>
      <c r="R630" s="216"/>
      <c r="S630" s="216"/>
      <c r="T630" s="216"/>
      <c r="U630" s="216"/>
      <c r="V630" s="216"/>
    </row>
    <row r="631" spans="1:22">
      <c r="A631" s="216"/>
      <c r="B631" s="216"/>
      <c r="C631" s="216"/>
      <c r="D631" s="216"/>
      <c r="E631" s="216"/>
      <c r="F631" s="216"/>
      <c r="G631" s="216"/>
      <c r="H631" s="216"/>
      <c r="I631" s="216"/>
      <c r="J631" s="216"/>
      <c r="K631" s="216"/>
      <c r="L631" s="207"/>
      <c r="M631" s="207"/>
      <c r="N631" s="216"/>
      <c r="O631" s="216"/>
      <c r="P631" s="216"/>
      <c r="Q631" s="216"/>
      <c r="R631" s="216"/>
      <c r="S631" s="216"/>
      <c r="T631" s="216"/>
      <c r="U631" s="216"/>
      <c r="V631" s="216"/>
    </row>
    <row r="632" spans="1:22">
      <c r="A632" s="216"/>
      <c r="B632" s="216"/>
      <c r="C632" s="216"/>
      <c r="D632" s="216"/>
      <c r="E632" s="216"/>
      <c r="F632" s="216"/>
      <c r="G632" s="216"/>
      <c r="H632" s="216"/>
      <c r="I632" s="216"/>
      <c r="J632" s="216"/>
      <c r="K632" s="216"/>
      <c r="L632" s="207"/>
      <c r="M632" s="207"/>
      <c r="N632" s="216"/>
      <c r="O632" s="216"/>
      <c r="P632" s="216"/>
      <c r="Q632" s="216"/>
      <c r="R632" s="216"/>
      <c r="S632" s="216"/>
      <c r="T632" s="216"/>
      <c r="U632" s="216"/>
      <c r="V632" s="216"/>
    </row>
    <row r="633" spans="1:22">
      <c r="A633" s="216"/>
      <c r="B633" s="216"/>
      <c r="C633" s="216"/>
      <c r="D633" s="216"/>
      <c r="E633" s="216"/>
      <c r="F633" s="216"/>
      <c r="G633" s="216"/>
      <c r="H633" s="216"/>
      <c r="I633" s="216"/>
      <c r="J633" s="216"/>
      <c r="K633" s="216"/>
      <c r="L633" s="207"/>
      <c r="M633" s="207"/>
      <c r="N633" s="216"/>
      <c r="O633" s="216"/>
      <c r="P633" s="216"/>
      <c r="Q633" s="216"/>
      <c r="R633" s="216"/>
      <c r="S633" s="216"/>
      <c r="T633" s="216"/>
      <c r="U633" s="216"/>
      <c r="V633" s="216"/>
    </row>
    <row r="634" spans="1:22">
      <c r="A634" s="216"/>
      <c r="B634" s="216"/>
      <c r="C634" s="216"/>
      <c r="D634" s="216"/>
      <c r="E634" s="216"/>
      <c r="F634" s="216"/>
      <c r="G634" s="216"/>
      <c r="H634" s="216"/>
      <c r="I634" s="216"/>
      <c r="J634" s="216"/>
      <c r="K634" s="216"/>
      <c r="L634" s="207"/>
      <c r="M634" s="207"/>
      <c r="N634" s="216"/>
      <c r="O634" s="216"/>
      <c r="P634" s="216"/>
      <c r="Q634" s="216"/>
      <c r="R634" s="216"/>
      <c r="S634" s="216"/>
      <c r="T634" s="216"/>
      <c r="U634" s="216"/>
      <c r="V634" s="216"/>
    </row>
    <row r="635" spans="1:22">
      <c r="A635" s="216"/>
      <c r="B635" s="216"/>
      <c r="C635" s="216"/>
      <c r="D635" s="216"/>
      <c r="E635" s="216"/>
      <c r="F635" s="216"/>
      <c r="G635" s="216"/>
      <c r="H635" s="216"/>
      <c r="I635" s="216"/>
      <c r="J635" s="216"/>
      <c r="K635" s="216"/>
      <c r="L635" s="207"/>
      <c r="M635" s="207"/>
      <c r="N635" s="216"/>
      <c r="O635" s="216"/>
      <c r="P635" s="216"/>
      <c r="Q635" s="216"/>
      <c r="R635" s="216"/>
      <c r="S635" s="216"/>
      <c r="T635" s="216"/>
      <c r="U635" s="216"/>
      <c r="V635" s="216"/>
    </row>
    <row r="636" spans="1:22">
      <c r="A636" s="216"/>
      <c r="B636" s="216"/>
      <c r="C636" s="216"/>
      <c r="D636" s="216"/>
      <c r="E636" s="216"/>
      <c r="F636" s="216"/>
      <c r="G636" s="216"/>
      <c r="H636" s="216"/>
      <c r="I636" s="216"/>
      <c r="J636" s="216"/>
      <c r="K636" s="216"/>
      <c r="L636" s="207"/>
      <c r="M636" s="207"/>
      <c r="N636" s="216"/>
      <c r="O636" s="216"/>
      <c r="P636" s="216"/>
      <c r="Q636" s="216"/>
      <c r="R636" s="216"/>
      <c r="S636" s="216"/>
      <c r="T636" s="216"/>
      <c r="U636" s="216"/>
      <c r="V636" s="216"/>
    </row>
    <row r="637" spans="1:22">
      <c r="A637" s="216"/>
      <c r="B637" s="216"/>
      <c r="C637" s="216"/>
      <c r="D637" s="216"/>
      <c r="E637" s="216"/>
      <c r="F637" s="216"/>
      <c r="G637" s="216"/>
      <c r="H637" s="216"/>
      <c r="I637" s="216"/>
      <c r="J637" s="216"/>
      <c r="K637" s="216"/>
      <c r="L637" s="207"/>
      <c r="M637" s="207"/>
      <c r="N637" s="216"/>
      <c r="O637" s="216"/>
      <c r="P637" s="216"/>
      <c r="Q637" s="216"/>
      <c r="R637" s="216"/>
      <c r="S637" s="216"/>
      <c r="T637" s="216"/>
      <c r="U637" s="216"/>
      <c r="V637" s="216"/>
    </row>
    <row r="638" spans="1:22">
      <c r="A638" s="216"/>
      <c r="B638" s="216"/>
      <c r="C638" s="216"/>
      <c r="D638" s="216"/>
      <c r="E638" s="216"/>
      <c r="F638" s="216"/>
      <c r="G638" s="216"/>
      <c r="H638" s="216"/>
      <c r="I638" s="216"/>
      <c r="J638" s="216"/>
      <c r="K638" s="216"/>
      <c r="L638" s="207"/>
      <c r="M638" s="207"/>
      <c r="N638" s="216"/>
      <c r="O638" s="216"/>
      <c r="P638" s="216"/>
      <c r="Q638" s="216"/>
      <c r="R638" s="216"/>
      <c r="S638" s="216"/>
      <c r="T638" s="216"/>
      <c r="U638" s="216"/>
      <c r="V638" s="216"/>
    </row>
    <row r="639" spans="1:22">
      <c r="A639" s="216"/>
      <c r="B639" s="216"/>
      <c r="C639" s="216"/>
      <c r="D639" s="216"/>
      <c r="E639" s="216"/>
      <c r="F639" s="216"/>
      <c r="G639" s="216"/>
      <c r="H639" s="216"/>
      <c r="I639" s="216"/>
      <c r="J639" s="216"/>
      <c r="K639" s="216"/>
      <c r="L639" s="207"/>
      <c r="M639" s="207"/>
      <c r="N639" s="216"/>
      <c r="O639" s="216"/>
      <c r="P639" s="216"/>
      <c r="Q639" s="216"/>
      <c r="R639" s="216"/>
      <c r="S639" s="216"/>
      <c r="T639" s="216"/>
      <c r="U639" s="216"/>
      <c r="V639" s="216"/>
    </row>
    <row r="640" spans="1:22">
      <c r="A640" s="216"/>
      <c r="B640" s="216"/>
      <c r="C640" s="216"/>
      <c r="D640" s="216"/>
      <c r="E640" s="216"/>
      <c r="F640" s="216"/>
      <c r="G640" s="216"/>
      <c r="H640" s="216"/>
      <c r="I640" s="216"/>
      <c r="J640" s="216"/>
      <c r="K640" s="216"/>
      <c r="L640" s="207"/>
      <c r="M640" s="207"/>
      <c r="N640" s="216"/>
      <c r="O640" s="216"/>
      <c r="P640" s="216"/>
      <c r="Q640" s="216"/>
      <c r="R640" s="216"/>
      <c r="S640" s="216"/>
      <c r="T640" s="216"/>
      <c r="U640" s="216"/>
      <c r="V640" s="216"/>
    </row>
    <row r="641" spans="1:22">
      <c r="A641" s="216"/>
      <c r="B641" s="216"/>
      <c r="C641" s="216"/>
      <c r="D641" s="216"/>
      <c r="E641" s="216"/>
      <c r="F641" s="216"/>
      <c r="G641" s="216"/>
      <c r="H641" s="216"/>
      <c r="I641" s="216"/>
      <c r="J641" s="216"/>
      <c r="K641" s="216"/>
      <c r="L641" s="207"/>
      <c r="M641" s="207"/>
      <c r="N641" s="216"/>
      <c r="O641" s="216"/>
      <c r="P641" s="216"/>
      <c r="Q641" s="216"/>
      <c r="R641" s="216"/>
      <c r="S641" s="216"/>
      <c r="T641" s="216"/>
      <c r="U641" s="216"/>
      <c r="V641" s="216"/>
    </row>
    <row r="642" spans="1:22">
      <c r="A642" s="216"/>
      <c r="B642" s="216"/>
      <c r="C642" s="216"/>
      <c r="D642" s="216"/>
      <c r="E642" s="216"/>
      <c r="F642" s="216"/>
      <c r="G642" s="216"/>
      <c r="H642" s="216"/>
      <c r="I642" s="216"/>
      <c r="J642" s="216"/>
      <c r="K642" s="216"/>
      <c r="L642" s="207"/>
      <c r="M642" s="207"/>
      <c r="N642" s="216"/>
      <c r="O642" s="216"/>
      <c r="P642" s="216"/>
      <c r="Q642" s="216"/>
      <c r="R642" s="216"/>
      <c r="S642" s="216"/>
      <c r="T642" s="216"/>
      <c r="U642" s="216"/>
      <c r="V642" s="216"/>
    </row>
    <row r="643" spans="1:22">
      <c r="A643" s="216"/>
      <c r="B643" s="216"/>
      <c r="C643" s="216"/>
      <c r="D643" s="216"/>
      <c r="E643" s="216"/>
      <c r="F643" s="216"/>
      <c r="G643" s="216"/>
      <c r="H643" s="216"/>
      <c r="I643" s="216"/>
      <c r="J643" s="216"/>
      <c r="K643" s="216"/>
      <c r="L643" s="207"/>
      <c r="M643" s="207"/>
      <c r="N643" s="216"/>
      <c r="O643" s="216"/>
      <c r="P643" s="216"/>
      <c r="Q643" s="216"/>
      <c r="R643" s="216"/>
      <c r="S643" s="216"/>
      <c r="T643" s="216"/>
      <c r="U643" s="216"/>
      <c r="V643" s="216"/>
    </row>
    <row r="644" spans="1:22">
      <c r="A644" s="216"/>
      <c r="B644" s="216"/>
      <c r="C644" s="216"/>
      <c r="D644" s="216"/>
      <c r="E644" s="216"/>
      <c r="F644" s="216"/>
      <c r="G644" s="216"/>
      <c r="H644" s="216"/>
      <c r="I644" s="216"/>
      <c r="J644" s="216"/>
      <c r="K644" s="216"/>
      <c r="L644" s="207"/>
      <c r="M644" s="207"/>
      <c r="N644" s="216"/>
      <c r="O644" s="216"/>
      <c r="P644" s="216"/>
      <c r="Q644" s="216"/>
      <c r="R644" s="216"/>
      <c r="S644" s="216"/>
      <c r="T644" s="216"/>
      <c r="U644" s="216"/>
      <c r="V644" s="216"/>
    </row>
    <row r="645" spans="1:22">
      <c r="A645" s="216"/>
      <c r="B645" s="216"/>
      <c r="C645" s="216"/>
      <c r="D645" s="216"/>
      <c r="E645" s="216"/>
      <c r="F645" s="216"/>
      <c r="G645" s="216"/>
      <c r="H645" s="216"/>
      <c r="I645" s="216"/>
      <c r="J645" s="216"/>
      <c r="K645" s="216"/>
      <c r="L645" s="207"/>
      <c r="M645" s="207"/>
      <c r="N645" s="216"/>
      <c r="O645" s="216"/>
      <c r="P645" s="216"/>
      <c r="Q645" s="216"/>
      <c r="R645" s="216"/>
      <c r="S645" s="216"/>
      <c r="T645" s="216"/>
      <c r="U645" s="216"/>
      <c r="V645" s="216"/>
    </row>
    <row r="646" spans="1:22">
      <c r="A646" s="216"/>
      <c r="B646" s="216"/>
      <c r="C646" s="216"/>
      <c r="D646" s="216"/>
      <c r="E646" s="216"/>
      <c r="F646" s="216"/>
      <c r="G646" s="216"/>
      <c r="H646" s="216"/>
      <c r="I646" s="216"/>
      <c r="J646" s="216"/>
      <c r="K646" s="216"/>
      <c r="L646" s="207"/>
      <c r="M646" s="207"/>
      <c r="N646" s="216"/>
      <c r="O646" s="216"/>
      <c r="P646" s="216"/>
      <c r="Q646" s="216"/>
      <c r="R646" s="216"/>
      <c r="S646" s="216"/>
      <c r="T646" s="216"/>
      <c r="U646" s="216"/>
      <c r="V646" s="216"/>
    </row>
    <row r="647" spans="1:22">
      <c r="A647" s="216"/>
      <c r="B647" s="216"/>
      <c r="C647" s="216"/>
      <c r="D647" s="216"/>
      <c r="E647" s="216"/>
      <c r="F647" s="216"/>
      <c r="G647" s="216"/>
      <c r="H647" s="216"/>
      <c r="I647" s="216"/>
      <c r="J647" s="216"/>
      <c r="K647" s="216"/>
      <c r="L647" s="207"/>
      <c r="M647" s="207"/>
      <c r="N647" s="216"/>
      <c r="O647" s="216"/>
      <c r="P647" s="216"/>
      <c r="Q647" s="216"/>
      <c r="R647" s="216"/>
      <c r="S647" s="216"/>
      <c r="T647" s="216"/>
      <c r="U647" s="216"/>
      <c r="V647" s="216"/>
    </row>
    <row r="648" spans="1:22">
      <c r="A648" s="216"/>
      <c r="B648" s="216"/>
      <c r="C648" s="216"/>
      <c r="D648" s="216"/>
      <c r="E648" s="216"/>
      <c r="F648" s="216"/>
      <c r="G648" s="216"/>
      <c r="H648" s="216"/>
      <c r="I648" s="216"/>
      <c r="J648" s="216"/>
      <c r="K648" s="216"/>
      <c r="L648" s="207"/>
      <c r="M648" s="207"/>
      <c r="N648" s="216"/>
      <c r="O648" s="216"/>
      <c r="P648" s="216"/>
      <c r="Q648" s="216"/>
      <c r="R648" s="216"/>
      <c r="S648" s="216"/>
      <c r="T648" s="216"/>
      <c r="U648" s="216"/>
      <c r="V648" s="216"/>
    </row>
    <row r="649" spans="1:22">
      <c r="A649" s="216"/>
      <c r="B649" s="216"/>
      <c r="C649" s="216"/>
      <c r="D649" s="216"/>
      <c r="E649" s="216"/>
      <c r="F649" s="216"/>
      <c r="G649" s="216"/>
      <c r="H649" s="216"/>
      <c r="I649" s="216"/>
      <c r="J649" s="216"/>
      <c r="K649" s="216"/>
      <c r="L649" s="207"/>
      <c r="M649" s="207"/>
      <c r="N649" s="216"/>
      <c r="O649" s="216"/>
      <c r="P649" s="216"/>
      <c r="Q649" s="216"/>
      <c r="R649" s="216"/>
      <c r="S649" s="216"/>
      <c r="T649" s="216"/>
      <c r="U649" s="216"/>
      <c r="V649" s="216"/>
    </row>
    <row r="650" spans="1:22">
      <c r="A650" s="216"/>
      <c r="B650" s="216"/>
      <c r="C650" s="216"/>
      <c r="D650" s="216"/>
      <c r="E650" s="216"/>
      <c r="F650" s="216"/>
      <c r="G650" s="216"/>
      <c r="H650" s="216"/>
      <c r="I650" s="216"/>
      <c r="J650" s="216"/>
      <c r="K650" s="216"/>
      <c r="L650" s="207"/>
      <c r="M650" s="207"/>
      <c r="N650" s="216"/>
      <c r="O650" s="216"/>
      <c r="P650" s="216"/>
      <c r="Q650" s="216"/>
      <c r="R650" s="216"/>
      <c r="S650" s="216"/>
      <c r="T650" s="216"/>
      <c r="U650" s="216"/>
      <c r="V650" s="216"/>
    </row>
    <row r="651" spans="1:22">
      <c r="A651" s="216"/>
      <c r="B651" s="216"/>
      <c r="C651" s="216"/>
      <c r="D651" s="216"/>
      <c r="E651" s="216"/>
      <c r="F651" s="216"/>
      <c r="G651" s="216"/>
      <c r="H651" s="216"/>
      <c r="I651" s="216"/>
      <c r="J651" s="216"/>
      <c r="K651" s="216"/>
      <c r="L651" s="207"/>
      <c r="M651" s="207"/>
      <c r="N651" s="216"/>
      <c r="O651" s="216"/>
      <c r="P651" s="216"/>
      <c r="Q651" s="216"/>
      <c r="R651" s="216"/>
      <c r="S651" s="216"/>
      <c r="T651" s="216"/>
      <c r="U651" s="216"/>
      <c r="V651" s="216"/>
    </row>
    <row r="652" spans="1:22">
      <c r="A652" s="216"/>
      <c r="B652" s="216"/>
      <c r="C652" s="216"/>
      <c r="D652" s="216"/>
      <c r="E652" s="216"/>
      <c r="F652" s="216"/>
      <c r="G652" s="216"/>
      <c r="H652" s="216"/>
      <c r="I652" s="216"/>
      <c r="J652" s="216"/>
      <c r="K652" s="216"/>
      <c r="L652" s="207"/>
      <c r="M652" s="207"/>
      <c r="N652" s="216"/>
      <c r="O652" s="216"/>
      <c r="P652" s="216"/>
      <c r="Q652" s="216"/>
      <c r="R652" s="216"/>
      <c r="S652" s="216"/>
      <c r="T652" s="216"/>
      <c r="U652" s="216"/>
      <c r="V652" s="216"/>
    </row>
    <row r="653" spans="1:22">
      <c r="A653" s="216"/>
      <c r="B653" s="216"/>
      <c r="C653" s="216"/>
      <c r="D653" s="216"/>
      <c r="E653" s="216"/>
      <c r="F653" s="216"/>
      <c r="G653" s="216"/>
      <c r="H653" s="216"/>
      <c r="I653" s="216"/>
      <c r="J653" s="216"/>
      <c r="K653" s="216"/>
      <c r="L653" s="207"/>
      <c r="M653" s="207"/>
      <c r="N653" s="216"/>
      <c r="O653" s="216"/>
      <c r="P653" s="216"/>
      <c r="Q653" s="216"/>
      <c r="R653" s="216"/>
      <c r="S653" s="216"/>
      <c r="T653" s="216"/>
      <c r="U653" s="216"/>
      <c r="V653" s="216"/>
    </row>
    <row r="654" spans="1:22">
      <c r="A654" s="216"/>
      <c r="B654" s="216"/>
      <c r="C654" s="216"/>
      <c r="D654" s="216"/>
      <c r="E654" s="216"/>
      <c r="F654" s="216"/>
      <c r="G654" s="216"/>
      <c r="H654" s="216"/>
      <c r="I654" s="216"/>
      <c r="J654" s="216"/>
      <c r="K654" s="216"/>
      <c r="L654" s="207"/>
      <c r="M654" s="207"/>
      <c r="N654" s="216"/>
      <c r="O654" s="216"/>
      <c r="P654" s="216"/>
      <c r="Q654" s="216"/>
      <c r="R654" s="216"/>
      <c r="S654" s="216"/>
      <c r="T654" s="216"/>
      <c r="U654" s="216"/>
      <c r="V654" s="216"/>
    </row>
    <row r="655" spans="1:22">
      <c r="A655" s="216"/>
      <c r="B655" s="216"/>
      <c r="C655" s="216"/>
      <c r="D655" s="216"/>
      <c r="E655" s="216"/>
      <c r="F655" s="216"/>
      <c r="G655" s="216"/>
      <c r="H655" s="216"/>
      <c r="I655" s="216"/>
      <c r="J655" s="216"/>
      <c r="K655" s="216"/>
      <c r="L655" s="207"/>
      <c r="M655" s="207"/>
      <c r="N655" s="216"/>
      <c r="O655" s="216"/>
      <c r="P655" s="216"/>
      <c r="Q655" s="216"/>
      <c r="R655" s="216"/>
      <c r="S655" s="216"/>
      <c r="T655" s="216"/>
      <c r="U655" s="216"/>
      <c r="V655" s="216"/>
    </row>
    <row r="656" spans="1:22">
      <c r="A656" s="216"/>
      <c r="B656" s="216"/>
      <c r="C656" s="216"/>
      <c r="D656" s="216"/>
      <c r="E656" s="216"/>
      <c r="F656" s="216"/>
      <c r="G656" s="216"/>
      <c r="H656" s="216"/>
      <c r="I656" s="216"/>
      <c r="J656" s="216"/>
      <c r="K656" s="216"/>
      <c r="L656" s="207"/>
      <c r="M656" s="207"/>
      <c r="N656" s="216"/>
      <c r="O656" s="216"/>
      <c r="P656" s="216"/>
      <c r="Q656" s="216"/>
      <c r="R656" s="216"/>
      <c r="S656" s="216"/>
      <c r="T656" s="216"/>
      <c r="U656" s="216"/>
      <c r="V656" s="216"/>
    </row>
    <row r="657" spans="1:22">
      <c r="A657" s="216"/>
      <c r="B657" s="216"/>
      <c r="C657" s="216"/>
      <c r="D657" s="216"/>
      <c r="E657" s="216"/>
      <c r="F657" s="216"/>
      <c r="G657" s="216"/>
      <c r="H657" s="216"/>
      <c r="I657" s="216"/>
      <c r="J657" s="216"/>
      <c r="K657" s="216"/>
      <c r="L657" s="207"/>
      <c r="M657" s="207"/>
      <c r="N657" s="216"/>
      <c r="O657" s="216"/>
      <c r="P657" s="216"/>
      <c r="Q657" s="216"/>
      <c r="R657" s="216"/>
      <c r="S657" s="216"/>
      <c r="T657" s="216"/>
      <c r="U657" s="216"/>
      <c r="V657" s="216"/>
    </row>
    <row r="658" spans="1:22">
      <c r="A658" s="216"/>
      <c r="B658" s="216"/>
      <c r="C658" s="216"/>
      <c r="D658" s="216"/>
      <c r="E658" s="216"/>
      <c r="F658" s="216"/>
      <c r="G658" s="216"/>
      <c r="H658" s="216"/>
      <c r="I658" s="216"/>
      <c r="J658" s="216"/>
      <c r="K658" s="216"/>
      <c r="L658" s="207"/>
      <c r="M658" s="207"/>
      <c r="N658" s="216"/>
      <c r="O658" s="216"/>
      <c r="P658" s="216"/>
      <c r="Q658" s="216"/>
      <c r="R658" s="216"/>
      <c r="S658" s="216"/>
      <c r="T658" s="216"/>
      <c r="U658" s="216"/>
      <c r="V658" s="216"/>
    </row>
    <row r="659" spans="1:22">
      <c r="A659" s="216"/>
      <c r="B659" s="216"/>
      <c r="C659" s="216"/>
      <c r="D659" s="216"/>
      <c r="E659" s="216"/>
      <c r="F659" s="216"/>
      <c r="G659" s="216"/>
      <c r="H659" s="216"/>
      <c r="I659" s="216"/>
      <c r="J659" s="216"/>
      <c r="K659" s="216"/>
      <c r="L659" s="207"/>
      <c r="M659" s="207"/>
      <c r="N659" s="216"/>
      <c r="O659" s="216"/>
      <c r="P659" s="216"/>
      <c r="Q659" s="216"/>
      <c r="R659" s="216"/>
      <c r="S659" s="216"/>
      <c r="T659" s="216"/>
      <c r="U659" s="216"/>
      <c r="V659" s="216"/>
    </row>
    <row r="660" spans="1:22">
      <c r="A660" s="216"/>
      <c r="B660" s="216"/>
      <c r="C660" s="216"/>
      <c r="D660" s="216"/>
      <c r="E660" s="216"/>
      <c r="F660" s="216"/>
      <c r="G660" s="216"/>
      <c r="H660" s="216"/>
      <c r="I660" s="216"/>
      <c r="J660" s="216"/>
      <c r="K660" s="216"/>
      <c r="L660" s="207"/>
      <c r="M660" s="207"/>
      <c r="N660" s="216"/>
      <c r="O660" s="216"/>
      <c r="P660" s="216"/>
      <c r="Q660" s="216"/>
      <c r="R660" s="216"/>
      <c r="S660" s="216"/>
      <c r="T660" s="216"/>
      <c r="U660" s="216"/>
      <c r="V660" s="216"/>
    </row>
    <row r="661" spans="1:22">
      <c r="A661" s="216"/>
      <c r="B661" s="216"/>
      <c r="C661" s="216"/>
      <c r="D661" s="216"/>
      <c r="E661" s="216"/>
      <c r="F661" s="216"/>
      <c r="G661" s="216"/>
      <c r="H661" s="216"/>
      <c r="I661" s="216"/>
      <c r="J661" s="216"/>
      <c r="K661" s="216"/>
      <c r="L661" s="207"/>
      <c r="M661" s="207"/>
      <c r="N661" s="216"/>
      <c r="O661" s="216"/>
      <c r="P661" s="216"/>
      <c r="Q661" s="216"/>
      <c r="R661" s="216"/>
      <c r="S661" s="216"/>
      <c r="T661" s="216"/>
      <c r="U661" s="216"/>
      <c r="V661" s="216"/>
    </row>
    <row r="662" spans="1:22">
      <c r="A662" s="216"/>
      <c r="B662" s="216"/>
      <c r="C662" s="216"/>
      <c r="D662" s="216"/>
      <c r="E662" s="216"/>
      <c r="F662" s="216"/>
      <c r="G662" s="216"/>
      <c r="H662" s="216"/>
      <c r="I662" s="216"/>
      <c r="J662" s="216"/>
      <c r="K662" s="216"/>
      <c r="L662" s="207"/>
      <c r="M662" s="207"/>
      <c r="N662" s="216"/>
      <c r="O662" s="216"/>
      <c r="P662" s="216"/>
      <c r="Q662" s="216"/>
      <c r="R662" s="216"/>
      <c r="S662" s="216"/>
      <c r="T662" s="216"/>
      <c r="U662" s="216"/>
      <c r="V662" s="216"/>
    </row>
    <row r="663" spans="1:22">
      <c r="A663" s="216"/>
      <c r="B663" s="216"/>
      <c r="C663" s="216"/>
      <c r="D663" s="216"/>
      <c r="E663" s="216"/>
      <c r="F663" s="216"/>
      <c r="G663" s="216"/>
      <c r="H663" s="216"/>
      <c r="I663" s="216"/>
      <c r="J663" s="216"/>
      <c r="K663" s="216"/>
      <c r="L663" s="207"/>
      <c r="M663" s="207"/>
      <c r="N663" s="216"/>
      <c r="O663" s="216"/>
      <c r="P663" s="216"/>
      <c r="Q663" s="216"/>
      <c r="R663" s="216"/>
      <c r="S663" s="216"/>
      <c r="T663" s="216"/>
      <c r="U663" s="216"/>
      <c r="V663" s="216"/>
    </row>
    <row r="664" spans="1:22">
      <c r="A664" s="216"/>
      <c r="B664" s="216"/>
      <c r="C664" s="216"/>
      <c r="D664" s="216"/>
      <c r="E664" s="216"/>
      <c r="F664" s="216"/>
      <c r="G664" s="216"/>
      <c r="H664" s="216"/>
      <c r="I664" s="216"/>
      <c r="J664" s="216"/>
      <c r="K664" s="216"/>
      <c r="L664" s="207"/>
      <c r="M664" s="207"/>
      <c r="N664" s="216"/>
      <c r="O664" s="216"/>
      <c r="P664" s="216"/>
      <c r="Q664" s="216"/>
      <c r="R664" s="216"/>
      <c r="S664" s="216"/>
      <c r="T664" s="216"/>
      <c r="U664" s="216"/>
      <c r="V664" s="216"/>
    </row>
    <row r="665" spans="1:22">
      <c r="A665" s="216"/>
      <c r="B665" s="216"/>
      <c r="C665" s="216"/>
      <c r="D665" s="216"/>
      <c r="E665" s="216"/>
      <c r="F665" s="216"/>
      <c r="G665" s="216"/>
      <c r="H665" s="216"/>
      <c r="I665" s="216"/>
      <c r="J665" s="216"/>
      <c r="K665" s="216"/>
      <c r="L665" s="207"/>
      <c r="M665" s="207"/>
      <c r="N665" s="216"/>
      <c r="O665" s="216"/>
      <c r="P665" s="216"/>
      <c r="Q665" s="216"/>
      <c r="R665" s="216"/>
      <c r="S665" s="216"/>
      <c r="T665" s="216"/>
      <c r="U665" s="216"/>
      <c r="V665" s="216"/>
    </row>
    <row r="666" spans="1:22">
      <c r="A666" s="216"/>
      <c r="B666" s="216"/>
      <c r="C666" s="216"/>
      <c r="D666" s="216"/>
      <c r="E666" s="216"/>
      <c r="F666" s="216"/>
      <c r="G666" s="216"/>
      <c r="H666" s="216"/>
      <c r="I666" s="216"/>
      <c r="J666" s="216"/>
      <c r="K666" s="216"/>
      <c r="L666" s="207"/>
      <c r="M666" s="207"/>
      <c r="N666" s="216"/>
      <c r="O666" s="216"/>
      <c r="P666" s="216"/>
      <c r="Q666" s="216"/>
      <c r="R666" s="216"/>
      <c r="S666" s="216"/>
      <c r="T666" s="216"/>
      <c r="U666" s="216"/>
      <c r="V666" s="216"/>
    </row>
    <row r="667" spans="1:22">
      <c r="A667" s="216"/>
      <c r="B667" s="216"/>
      <c r="C667" s="216"/>
      <c r="D667" s="216"/>
      <c r="E667" s="216"/>
      <c r="F667" s="216"/>
      <c r="G667" s="216"/>
      <c r="H667" s="216"/>
      <c r="I667" s="216"/>
      <c r="J667" s="216"/>
      <c r="K667" s="216"/>
      <c r="L667" s="207"/>
      <c r="M667" s="207"/>
      <c r="N667" s="216"/>
      <c r="O667" s="216"/>
      <c r="P667" s="216"/>
      <c r="Q667" s="216"/>
      <c r="R667" s="216"/>
      <c r="S667" s="216"/>
      <c r="T667" s="216"/>
      <c r="U667" s="216"/>
      <c r="V667" s="216"/>
    </row>
    <row r="668" spans="1:22">
      <c r="A668" s="216"/>
      <c r="B668" s="216"/>
      <c r="C668" s="216"/>
      <c r="D668" s="216"/>
      <c r="E668" s="216"/>
      <c r="F668" s="216"/>
      <c r="G668" s="216"/>
      <c r="H668" s="216"/>
      <c r="I668" s="216"/>
      <c r="J668" s="216"/>
      <c r="K668" s="216"/>
      <c r="L668" s="207"/>
      <c r="M668" s="207"/>
      <c r="N668" s="216"/>
      <c r="O668" s="216"/>
      <c r="P668" s="216"/>
      <c r="Q668" s="216"/>
      <c r="R668" s="216"/>
      <c r="S668" s="216"/>
      <c r="T668" s="216"/>
      <c r="U668" s="216"/>
      <c r="V668" s="216"/>
    </row>
    <row r="669" spans="1:22">
      <c r="A669" s="216"/>
      <c r="B669" s="216"/>
      <c r="C669" s="216"/>
      <c r="D669" s="216"/>
      <c r="E669" s="216"/>
      <c r="F669" s="216"/>
      <c r="G669" s="216"/>
      <c r="H669" s="216"/>
      <c r="I669" s="216"/>
      <c r="J669" s="216"/>
      <c r="K669" s="216"/>
      <c r="L669" s="207"/>
      <c r="M669" s="207"/>
      <c r="N669" s="216"/>
      <c r="O669" s="216"/>
      <c r="P669" s="216"/>
      <c r="Q669" s="216"/>
      <c r="R669" s="216"/>
      <c r="S669" s="216"/>
      <c r="T669" s="216"/>
      <c r="U669" s="216"/>
      <c r="V669" s="216"/>
    </row>
    <row r="670" spans="1:22">
      <c r="A670" s="216"/>
      <c r="B670" s="216"/>
      <c r="C670" s="216"/>
      <c r="D670" s="216"/>
      <c r="E670" s="216"/>
      <c r="F670" s="216"/>
      <c r="G670" s="216"/>
      <c r="H670" s="216"/>
      <c r="I670" s="216"/>
      <c r="J670" s="216"/>
      <c r="K670" s="216"/>
      <c r="L670" s="207"/>
      <c r="M670" s="207"/>
      <c r="N670" s="216"/>
      <c r="O670" s="216"/>
      <c r="P670" s="216"/>
      <c r="Q670" s="216"/>
      <c r="R670" s="216"/>
      <c r="S670" s="216"/>
      <c r="T670" s="216"/>
      <c r="U670" s="216"/>
      <c r="V670" s="216"/>
    </row>
    <row r="671" spans="1:22">
      <c r="A671" s="216"/>
      <c r="B671" s="216"/>
      <c r="C671" s="216"/>
      <c r="D671" s="216"/>
      <c r="E671" s="216"/>
      <c r="F671" s="216"/>
      <c r="G671" s="216"/>
      <c r="H671" s="216"/>
      <c r="I671" s="216"/>
      <c r="J671" s="216"/>
      <c r="K671" s="216"/>
      <c r="L671" s="207"/>
      <c r="M671" s="207"/>
      <c r="N671" s="216"/>
      <c r="O671" s="216"/>
      <c r="P671" s="216"/>
      <c r="Q671" s="216"/>
      <c r="R671" s="216"/>
      <c r="S671" s="216"/>
      <c r="T671" s="216"/>
      <c r="U671" s="216"/>
      <c r="V671" s="216"/>
    </row>
    <row r="672" spans="1:22">
      <c r="A672" s="216"/>
      <c r="B672" s="216"/>
      <c r="C672" s="216"/>
      <c r="D672" s="216"/>
      <c r="E672" s="216"/>
      <c r="F672" s="216"/>
      <c r="G672" s="216"/>
      <c r="H672" s="216"/>
      <c r="I672" s="216"/>
      <c r="J672" s="216"/>
      <c r="K672" s="216"/>
      <c r="L672" s="207"/>
      <c r="M672" s="207"/>
      <c r="N672" s="216"/>
      <c r="O672" s="216"/>
      <c r="P672" s="216"/>
      <c r="Q672" s="216"/>
      <c r="R672" s="216"/>
      <c r="S672" s="216"/>
      <c r="T672" s="216"/>
      <c r="U672" s="216"/>
      <c r="V672" s="216"/>
    </row>
    <row r="673" spans="1:22">
      <c r="A673" s="216"/>
      <c r="B673" s="216"/>
      <c r="C673" s="216"/>
      <c r="D673" s="216"/>
      <c r="E673" s="216"/>
      <c r="F673" s="216"/>
      <c r="G673" s="216"/>
      <c r="H673" s="216"/>
      <c r="I673" s="216"/>
      <c r="J673" s="216"/>
      <c r="K673" s="216"/>
      <c r="L673" s="207"/>
      <c r="M673" s="207"/>
      <c r="N673" s="216"/>
      <c r="O673" s="216"/>
      <c r="P673" s="216"/>
      <c r="Q673" s="216"/>
      <c r="R673" s="216"/>
      <c r="S673" s="216"/>
      <c r="T673" s="216"/>
      <c r="U673" s="216"/>
      <c r="V673" s="216"/>
    </row>
    <row r="674" spans="1:22">
      <c r="A674" s="216"/>
      <c r="B674" s="216"/>
      <c r="C674" s="216"/>
      <c r="D674" s="216"/>
      <c r="E674" s="216"/>
      <c r="F674" s="216"/>
      <c r="G674" s="216"/>
      <c r="H674" s="216"/>
      <c r="I674" s="216"/>
      <c r="J674" s="216"/>
      <c r="K674" s="216"/>
      <c r="L674" s="207"/>
      <c r="M674" s="207"/>
      <c r="N674" s="216"/>
      <c r="O674" s="216"/>
      <c r="P674" s="216"/>
      <c r="Q674" s="216"/>
      <c r="R674" s="216"/>
      <c r="S674" s="216"/>
      <c r="T674" s="216"/>
      <c r="U674" s="216"/>
      <c r="V674" s="216"/>
    </row>
    <row r="675" spans="1:22">
      <c r="A675" s="216"/>
      <c r="B675" s="216"/>
      <c r="C675" s="216"/>
      <c r="D675" s="216"/>
      <c r="E675" s="216"/>
      <c r="F675" s="216"/>
      <c r="G675" s="216"/>
      <c r="H675" s="216"/>
      <c r="I675" s="216"/>
      <c r="J675" s="216"/>
      <c r="K675" s="216"/>
      <c r="L675" s="207"/>
      <c r="M675" s="207"/>
      <c r="N675" s="216"/>
      <c r="O675" s="216"/>
      <c r="P675" s="216"/>
      <c r="Q675" s="216"/>
      <c r="R675" s="216"/>
      <c r="S675" s="216"/>
      <c r="T675" s="216"/>
      <c r="U675" s="216"/>
      <c r="V675" s="216"/>
    </row>
    <row r="676" spans="1:22">
      <c r="A676" s="216"/>
      <c r="B676" s="216"/>
      <c r="C676" s="216"/>
      <c r="D676" s="216"/>
      <c r="E676" s="216"/>
      <c r="F676" s="216"/>
      <c r="G676" s="216"/>
      <c r="H676" s="216"/>
      <c r="I676" s="216"/>
      <c r="J676" s="216"/>
      <c r="K676" s="216"/>
      <c r="L676" s="207"/>
      <c r="M676" s="207"/>
      <c r="N676" s="216"/>
      <c r="O676" s="216"/>
      <c r="P676" s="216"/>
      <c r="Q676" s="216"/>
      <c r="R676" s="216"/>
      <c r="S676" s="216"/>
      <c r="T676" s="216"/>
      <c r="U676" s="216"/>
      <c r="V676" s="216"/>
    </row>
    <row r="677" spans="1:22">
      <c r="A677" s="216"/>
      <c r="B677" s="216"/>
      <c r="C677" s="216"/>
      <c r="D677" s="216"/>
      <c r="E677" s="216"/>
      <c r="F677" s="216"/>
      <c r="G677" s="216"/>
      <c r="H677" s="216"/>
      <c r="I677" s="216"/>
      <c r="J677" s="216"/>
      <c r="K677" s="216"/>
      <c r="L677" s="207"/>
      <c r="M677" s="207"/>
      <c r="N677" s="216"/>
      <c r="O677" s="216"/>
      <c r="P677" s="216"/>
      <c r="Q677" s="216"/>
      <c r="R677" s="216"/>
      <c r="S677" s="216"/>
      <c r="T677" s="216"/>
      <c r="U677" s="216"/>
      <c r="V677" s="216"/>
    </row>
    <row r="678" spans="1:22">
      <c r="A678" s="216"/>
      <c r="B678" s="216"/>
      <c r="C678" s="216"/>
      <c r="D678" s="216"/>
      <c r="E678" s="216"/>
      <c r="F678" s="216"/>
      <c r="G678" s="216"/>
      <c r="H678" s="216"/>
      <c r="I678" s="216"/>
      <c r="J678" s="216"/>
      <c r="K678" s="216"/>
      <c r="L678" s="207"/>
      <c r="M678" s="207"/>
      <c r="N678" s="216"/>
      <c r="O678" s="216"/>
      <c r="P678" s="216"/>
      <c r="Q678" s="216"/>
      <c r="R678" s="216"/>
      <c r="S678" s="216"/>
      <c r="T678" s="216"/>
      <c r="U678" s="216"/>
      <c r="V678" s="216"/>
    </row>
    <row r="679" spans="1:22">
      <c r="A679" s="216"/>
      <c r="B679" s="216"/>
      <c r="C679" s="216"/>
      <c r="D679" s="216"/>
      <c r="E679" s="216"/>
      <c r="F679" s="216"/>
      <c r="G679" s="216"/>
      <c r="H679" s="216"/>
      <c r="I679" s="216"/>
      <c r="J679" s="216"/>
      <c r="K679" s="216"/>
      <c r="L679" s="207"/>
      <c r="M679" s="207"/>
      <c r="N679" s="216"/>
      <c r="O679" s="216"/>
      <c r="P679" s="216"/>
      <c r="Q679" s="216"/>
      <c r="R679" s="216"/>
      <c r="S679" s="216"/>
      <c r="T679" s="216"/>
      <c r="U679" s="216"/>
      <c r="V679" s="216"/>
    </row>
    <row r="680" spans="1:22">
      <c r="A680" s="216"/>
      <c r="B680" s="216"/>
      <c r="C680" s="216"/>
      <c r="D680" s="216"/>
      <c r="E680" s="216"/>
      <c r="F680" s="216"/>
      <c r="G680" s="216"/>
      <c r="H680" s="216"/>
      <c r="I680" s="216"/>
      <c r="J680" s="216"/>
      <c r="K680" s="216"/>
      <c r="L680" s="207"/>
      <c r="M680" s="207"/>
      <c r="N680" s="216"/>
      <c r="O680" s="216"/>
      <c r="P680" s="216"/>
      <c r="Q680" s="216"/>
      <c r="R680" s="216"/>
      <c r="S680" s="216"/>
      <c r="T680" s="216"/>
      <c r="U680" s="216"/>
      <c r="V680" s="216"/>
    </row>
    <row r="681" spans="1:22">
      <c r="A681" s="216"/>
      <c r="B681" s="216"/>
      <c r="C681" s="216"/>
      <c r="D681" s="216"/>
      <c r="E681" s="216"/>
      <c r="F681" s="216"/>
      <c r="G681" s="216"/>
      <c r="H681" s="216"/>
      <c r="I681" s="216"/>
      <c r="J681" s="216"/>
      <c r="K681" s="216"/>
      <c r="L681" s="207"/>
      <c r="M681" s="207"/>
      <c r="N681" s="216"/>
      <c r="O681" s="216"/>
      <c r="P681" s="216"/>
      <c r="Q681" s="216"/>
      <c r="R681" s="216"/>
      <c r="S681" s="216"/>
      <c r="T681" s="216"/>
      <c r="U681" s="216"/>
      <c r="V681" s="216"/>
    </row>
    <row r="682" spans="1:22">
      <c r="A682" s="216"/>
      <c r="B682" s="216"/>
      <c r="C682" s="216"/>
      <c r="D682" s="216"/>
      <c r="E682" s="216"/>
      <c r="F682" s="216"/>
      <c r="G682" s="216"/>
      <c r="H682" s="216"/>
      <c r="I682" s="216"/>
      <c r="J682" s="216"/>
      <c r="K682" s="216"/>
      <c r="L682" s="207"/>
      <c r="M682" s="207"/>
      <c r="N682" s="216"/>
      <c r="O682" s="216"/>
      <c r="P682" s="216"/>
      <c r="Q682" s="216"/>
      <c r="R682" s="216"/>
      <c r="S682" s="216"/>
      <c r="T682" s="216"/>
      <c r="U682" s="216"/>
      <c r="V682" s="216"/>
    </row>
    <row r="683" spans="1:22">
      <c r="A683" s="216"/>
      <c r="B683" s="216"/>
      <c r="C683" s="216"/>
      <c r="D683" s="216"/>
      <c r="E683" s="216"/>
      <c r="F683" s="216"/>
      <c r="G683" s="216"/>
      <c r="H683" s="216"/>
      <c r="I683" s="216"/>
      <c r="J683" s="216"/>
      <c r="K683" s="216"/>
      <c r="L683" s="207"/>
      <c r="M683" s="207"/>
      <c r="N683" s="216"/>
      <c r="O683" s="216"/>
      <c r="P683" s="216"/>
      <c r="Q683" s="216"/>
      <c r="R683" s="216"/>
      <c r="S683" s="216"/>
      <c r="T683" s="216"/>
      <c r="U683" s="216"/>
      <c r="V683" s="216"/>
    </row>
    <row r="684" spans="1:22">
      <c r="A684" s="216"/>
      <c r="B684" s="216"/>
      <c r="C684" s="216"/>
      <c r="D684" s="216"/>
      <c r="E684" s="216"/>
      <c r="F684" s="216"/>
      <c r="G684" s="216"/>
      <c r="H684" s="216"/>
      <c r="I684" s="216"/>
      <c r="J684" s="216"/>
      <c r="K684" s="216"/>
      <c r="L684" s="207"/>
      <c r="M684" s="207"/>
      <c r="N684" s="216"/>
      <c r="O684" s="216"/>
      <c r="P684" s="216"/>
      <c r="Q684" s="216"/>
      <c r="R684" s="216"/>
      <c r="S684" s="216"/>
      <c r="T684" s="216"/>
      <c r="U684" s="216"/>
      <c r="V684" s="216"/>
    </row>
    <row r="685" spans="1:22">
      <c r="A685" s="216"/>
      <c r="B685" s="216"/>
      <c r="C685" s="216"/>
      <c r="D685" s="216"/>
      <c r="E685" s="216"/>
      <c r="F685" s="216"/>
      <c r="G685" s="216"/>
      <c r="H685" s="216"/>
      <c r="I685" s="216"/>
      <c r="J685" s="216"/>
      <c r="K685" s="216"/>
      <c r="L685" s="207"/>
      <c r="M685" s="207"/>
      <c r="N685" s="216"/>
      <c r="O685" s="216"/>
      <c r="P685" s="216"/>
      <c r="Q685" s="216"/>
      <c r="R685" s="216"/>
      <c r="S685" s="216"/>
      <c r="T685" s="216"/>
      <c r="U685" s="216"/>
      <c r="V685" s="216"/>
    </row>
    <row r="686" spans="1:22">
      <c r="A686" s="216"/>
      <c r="B686" s="216"/>
      <c r="C686" s="216"/>
      <c r="D686" s="216"/>
      <c r="E686" s="216"/>
      <c r="F686" s="216"/>
      <c r="G686" s="216"/>
      <c r="H686" s="216"/>
      <c r="I686" s="216"/>
      <c r="J686" s="216"/>
      <c r="K686" s="216"/>
      <c r="L686" s="207"/>
      <c r="M686" s="207"/>
      <c r="N686" s="216"/>
      <c r="O686" s="216"/>
      <c r="P686" s="216"/>
      <c r="Q686" s="216"/>
      <c r="R686" s="216"/>
      <c r="S686" s="216"/>
      <c r="T686" s="216"/>
      <c r="U686" s="216"/>
      <c r="V686" s="216"/>
    </row>
    <row r="687" spans="1:22">
      <c r="A687" s="216"/>
      <c r="B687" s="216"/>
      <c r="C687" s="216"/>
      <c r="D687" s="216"/>
      <c r="E687" s="216"/>
      <c r="F687" s="216"/>
      <c r="G687" s="216"/>
      <c r="H687" s="216"/>
      <c r="I687" s="216"/>
      <c r="J687" s="216"/>
      <c r="K687" s="216"/>
      <c r="L687" s="207"/>
      <c r="M687" s="207"/>
      <c r="N687" s="216"/>
      <c r="O687" s="216"/>
      <c r="P687" s="216"/>
      <c r="Q687" s="216"/>
      <c r="R687" s="216"/>
      <c r="S687" s="216"/>
      <c r="T687" s="216"/>
      <c r="U687" s="216"/>
      <c r="V687" s="216"/>
    </row>
    <row r="688" spans="1:22">
      <c r="A688" s="216"/>
      <c r="B688" s="216"/>
      <c r="C688" s="216"/>
      <c r="D688" s="216"/>
      <c r="E688" s="216"/>
      <c r="F688" s="216"/>
      <c r="G688" s="216"/>
      <c r="H688" s="216"/>
      <c r="I688" s="216"/>
      <c r="J688" s="216"/>
      <c r="K688" s="216"/>
      <c r="L688" s="207"/>
      <c r="M688" s="207"/>
      <c r="N688" s="216"/>
      <c r="O688" s="216"/>
      <c r="P688" s="216"/>
      <c r="Q688" s="216"/>
      <c r="R688" s="216"/>
      <c r="S688" s="216"/>
      <c r="T688" s="216"/>
      <c r="U688" s="216"/>
      <c r="V688" s="216"/>
    </row>
    <row r="689" spans="1:22">
      <c r="A689" s="216"/>
      <c r="B689" s="216"/>
      <c r="C689" s="216"/>
      <c r="D689" s="216"/>
      <c r="E689" s="216"/>
      <c r="F689" s="216"/>
      <c r="G689" s="216"/>
      <c r="H689" s="216"/>
      <c r="I689" s="216"/>
      <c r="J689" s="216"/>
      <c r="K689" s="216"/>
      <c r="L689" s="207"/>
      <c r="M689" s="207"/>
      <c r="N689" s="216"/>
      <c r="O689" s="216"/>
      <c r="P689" s="216"/>
      <c r="Q689" s="216"/>
      <c r="R689" s="216"/>
      <c r="S689" s="216"/>
      <c r="T689" s="216"/>
      <c r="U689" s="216"/>
      <c r="V689" s="216"/>
    </row>
    <row r="690" spans="1:22">
      <c r="A690" s="216"/>
      <c r="B690" s="216"/>
      <c r="C690" s="216"/>
      <c r="D690" s="216"/>
      <c r="E690" s="216"/>
      <c r="F690" s="216"/>
      <c r="G690" s="216"/>
      <c r="H690" s="216"/>
      <c r="I690" s="216"/>
      <c r="J690" s="216"/>
      <c r="K690" s="216"/>
      <c r="L690" s="207"/>
      <c r="M690" s="207"/>
      <c r="N690" s="216"/>
      <c r="O690" s="216"/>
      <c r="P690" s="216"/>
      <c r="Q690" s="216"/>
      <c r="R690" s="216"/>
      <c r="S690" s="216"/>
      <c r="T690" s="216"/>
      <c r="U690" s="216"/>
      <c r="V690" s="216"/>
    </row>
    <row r="691" spans="1:22">
      <c r="A691" s="216"/>
      <c r="B691" s="216"/>
      <c r="C691" s="216"/>
      <c r="D691" s="216"/>
      <c r="E691" s="216"/>
      <c r="F691" s="216"/>
      <c r="G691" s="216"/>
      <c r="H691" s="216"/>
      <c r="I691" s="216"/>
      <c r="J691" s="216"/>
      <c r="K691" s="216"/>
      <c r="L691" s="207"/>
      <c r="M691" s="207"/>
      <c r="N691" s="216"/>
      <c r="O691" s="216"/>
      <c r="P691" s="216"/>
      <c r="Q691" s="216"/>
      <c r="R691" s="216"/>
      <c r="S691" s="216"/>
      <c r="T691" s="216"/>
      <c r="U691" s="216"/>
      <c r="V691" s="216"/>
    </row>
    <row r="692" spans="1:22">
      <c r="A692" s="216"/>
      <c r="B692" s="216"/>
      <c r="C692" s="216"/>
      <c r="D692" s="216"/>
      <c r="E692" s="216"/>
      <c r="F692" s="216"/>
      <c r="G692" s="216"/>
      <c r="H692" s="216"/>
      <c r="I692" s="216"/>
      <c r="J692" s="216"/>
      <c r="K692" s="216"/>
      <c r="L692" s="207"/>
      <c r="M692" s="207"/>
      <c r="N692" s="216"/>
      <c r="O692" s="216"/>
      <c r="P692" s="216"/>
      <c r="Q692" s="216"/>
      <c r="R692" s="216"/>
      <c r="S692" s="216"/>
      <c r="T692" s="216"/>
      <c r="U692" s="216"/>
      <c r="V692" s="216"/>
    </row>
    <row r="693" spans="1:22">
      <c r="A693" s="216"/>
      <c r="B693" s="216"/>
      <c r="C693" s="216"/>
      <c r="D693" s="216"/>
      <c r="E693" s="216"/>
      <c r="F693" s="216"/>
      <c r="G693" s="216"/>
      <c r="H693" s="216"/>
      <c r="I693" s="216"/>
      <c r="J693" s="216"/>
      <c r="K693" s="216"/>
      <c r="L693" s="207"/>
      <c r="M693" s="207"/>
      <c r="N693" s="216"/>
      <c r="O693" s="216"/>
      <c r="P693" s="216"/>
      <c r="Q693" s="216"/>
      <c r="R693" s="216"/>
      <c r="S693" s="216"/>
      <c r="T693" s="216"/>
      <c r="U693" s="216"/>
      <c r="V693" s="216"/>
    </row>
    <row r="694" spans="1:22">
      <c r="A694" s="216"/>
      <c r="B694" s="216"/>
      <c r="C694" s="216"/>
      <c r="D694" s="216"/>
      <c r="E694" s="216"/>
      <c r="F694" s="216"/>
      <c r="G694" s="216"/>
      <c r="H694" s="216"/>
      <c r="I694" s="216"/>
      <c r="J694" s="216"/>
      <c r="K694" s="216"/>
      <c r="L694" s="207"/>
      <c r="M694" s="207"/>
      <c r="N694" s="216"/>
      <c r="O694" s="216"/>
      <c r="P694" s="216"/>
      <c r="Q694" s="216"/>
      <c r="R694" s="216"/>
      <c r="S694" s="216"/>
      <c r="T694" s="216"/>
      <c r="U694" s="216"/>
      <c r="V694" s="216"/>
    </row>
    <row r="695" spans="1:22">
      <c r="A695" s="216"/>
      <c r="B695" s="216"/>
      <c r="C695" s="216"/>
      <c r="D695" s="216"/>
      <c r="E695" s="216"/>
      <c r="F695" s="216"/>
      <c r="G695" s="216"/>
      <c r="H695" s="216"/>
      <c r="I695" s="216"/>
      <c r="J695" s="216"/>
      <c r="K695" s="216"/>
      <c r="L695" s="207"/>
      <c r="M695" s="207"/>
      <c r="N695" s="216"/>
      <c r="O695" s="216"/>
      <c r="P695" s="216"/>
      <c r="Q695" s="216"/>
      <c r="R695" s="216"/>
      <c r="S695" s="216"/>
      <c r="T695" s="216"/>
      <c r="U695" s="216"/>
      <c r="V695" s="216"/>
    </row>
    <row r="696" spans="1:22">
      <c r="A696" s="216"/>
      <c r="B696" s="216"/>
      <c r="C696" s="216"/>
      <c r="D696" s="216"/>
      <c r="E696" s="216"/>
      <c r="F696" s="216"/>
      <c r="G696" s="216"/>
      <c r="H696" s="216"/>
      <c r="I696" s="216"/>
      <c r="J696" s="216"/>
      <c r="K696" s="216"/>
      <c r="L696" s="207"/>
      <c r="M696" s="207"/>
      <c r="N696" s="216"/>
      <c r="O696" s="216"/>
      <c r="P696" s="216"/>
      <c r="Q696" s="216"/>
      <c r="R696" s="216"/>
      <c r="S696" s="216"/>
      <c r="T696" s="216"/>
      <c r="U696" s="216"/>
      <c r="V696" s="216"/>
    </row>
    <row r="697" spans="1:22">
      <c r="A697" s="216"/>
      <c r="B697" s="216"/>
      <c r="C697" s="216"/>
      <c r="D697" s="216"/>
      <c r="E697" s="216"/>
      <c r="F697" s="216"/>
      <c r="G697" s="216"/>
      <c r="H697" s="216"/>
      <c r="I697" s="216"/>
      <c r="J697" s="216"/>
      <c r="K697" s="216"/>
      <c r="L697" s="207"/>
      <c r="M697" s="207"/>
      <c r="N697" s="216"/>
      <c r="O697" s="216"/>
      <c r="P697" s="216"/>
      <c r="Q697" s="216"/>
      <c r="R697" s="216"/>
      <c r="S697" s="216"/>
      <c r="T697" s="216"/>
      <c r="U697" s="216"/>
      <c r="V697" s="216"/>
    </row>
    <row r="698" spans="1:22">
      <c r="A698" s="216"/>
      <c r="B698" s="216"/>
      <c r="C698" s="216"/>
      <c r="D698" s="216"/>
      <c r="E698" s="216"/>
      <c r="F698" s="216"/>
      <c r="G698" s="216"/>
      <c r="H698" s="216"/>
      <c r="I698" s="216"/>
      <c r="J698" s="216"/>
      <c r="K698" s="216"/>
      <c r="L698" s="207"/>
      <c r="M698" s="207"/>
      <c r="N698" s="216"/>
      <c r="O698" s="216"/>
      <c r="P698" s="216"/>
      <c r="Q698" s="216"/>
      <c r="R698" s="216"/>
      <c r="S698" s="216"/>
      <c r="T698" s="216"/>
      <c r="U698" s="216"/>
      <c r="V698" s="216"/>
    </row>
    <row r="699" spans="1:22">
      <c r="A699" s="216"/>
      <c r="B699" s="216"/>
      <c r="C699" s="216"/>
      <c r="D699" s="216"/>
      <c r="E699" s="216"/>
      <c r="F699" s="216"/>
      <c r="G699" s="216"/>
      <c r="H699" s="216"/>
      <c r="I699" s="216"/>
      <c r="J699" s="216"/>
      <c r="K699" s="216"/>
      <c r="L699" s="207"/>
      <c r="M699" s="207"/>
      <c r="N699" s="216"/>
      <c r="O699" s="216"/>
      <c r="P699" s="216"/>
      <c r="Q699" s="216"/>
      <c r="R699" s="216"/>
      <c r="S699" s="216"/>
      <c r="T699" s="216"/>
      <c r="U699" s="216"/>
      <c r="V699" s="216"/>
    </row>
    <row r="700" spans="1:22">
      <c r="A700" s="216"/>
      <c r="B700" s="216"/>
      <c r="C700" s="216"/>
      <c r="D700" s="216"/>
      <c r="E700" s="216"/>
      <c r="F700" s="216"/>
      <c r="G700" s="216"/>
      <c r="H700" s="216"/>
      <c r="I700" s="216"/>
      <c r="J700" s="216"/>
      <c r="K700" s="216"/>
      <c r="L700" s="207"/>
      <c r="M700" s="207"/>
      <c r="N700" s="216"/>
      <c r="O700" s="216"/>
      <c r="P700" s="216"/>
      <c r="Q700" s="216"/>
      <c r="R700" s="216"/>
      <c r="S700" s="216"/>
      <c r="T700" s="216"/>
      <c r="U700" s="216"/>
      <c r="V700" s="216"/>
    </row>
    <row r="701" spans="1:22">
      <c r="A701" s="216"/>
      <c r="B701" s="216"/>
      <c r="C701" s="216"/>
      <c r="D701" s="216"/>
      <c r="E701" s="216"/>
      <c r="F701" s="216"/>
      <c r="G701" s="216"/>
      <c r="H701" s="216"/>
      <c r="I701" s="216"/>
      <c r="J701" s="216"/>
      <c r="K701" s="216"/>
      <c r="L701" s="207"/>
      <c r="M701" s="207"/>
      <c r="N701" s="216"/>
      <c r="O701" s="216"/>
      <c r="P701" s="216"/>
      <c r="Q701" s="216"/>
      <c r="R701" s="216"/>
      <c r="S701" s="216"/>
      <c r="T701" s="216"/>
      <c r="U701" s="216"/>
      <c r="V701" s="216"/>
    </row>
    <row r="702" spans="1:22">
      <c r="A702" s="216"/>
      <c r="B702" s="216"/>
      <c r="C702" s="216"/>
      <c r="D702" s="216"/>
      <c r="E702" s="216"/>
      <c r="F702" s="216"/>
      <c r="G702" s="216"/>
      <c r="H702" s="216"/>
      <c r="I702" s="216"/>
      <c r="J702" s="216"/>
      <c r="K702" s="216"/>
      <c r="L702" s="207"/>
      <c r="M702" s="207"/>
      <c r="N702" s="216"/>
      <c r="O702" s="216"/>
      <c r="P702" s="216"/>
      <c r="Q702" s="216"/>
      <c r="R702" s="216"/>
      <c r="S702" s="216"/>
      <c r="T702" s="216"/>
      <c r="U702" s="216"/>
      <c r="V702" s="216"/>
    </row>
    <row r="703" spans="1:22">
      <c r="A703" s="216"/>
      <c r="B703" s="216"/>
      <c r="C703" s="216"/>
      <c r="D703" s="216"/>
      <c r="E703" s="216"/>
      <c r="F703" s="216"/>
      <c r="G703" s="216"/>
      <c r="H703" s="216"/>
      <c r="I703" s="216"/>
      <c r="J703" s="216"/>
      <c r="K703" s="216"/>
      <c r="L703" s="207"/>
      <c r="M703" s="207"/>
      <c r="N703" s="216"/>
      <c r="O703" s="216"/>
      <c r="P703" s="216"/>
      <c r="Q703" s="216"/>
      <c r="R703" s="216"/>
      <c r="S703" s="216"/>
      <c r="T703" s="216"/>
      <c r="U703" s="216"/>
      <c r="V703" s="216"/>
    </row>
    <row r="704" spans="1:22">
      <c r="A704" s="216"/>
      <c r="B704" s="216"/>
      <c r="C704" s="216"/>
      <c r="D704" s="216"/>
      <c r="E704" s="216"/>
      <c r="F704" s="216"/>
      <c r="G704" s="216"/>
      <c r="H704" s="216"/>
      <c r="I704" s="216"/>
      <c r="J704" s="216"/>
      <c r="K704" s="216"/>
      <c r="L704" s="207"/>
      <c r="M704" s="207"/>
      <c r="N704" s="216"/>
      <c r="O704" s="216"/>
      <c r="P704" s="216"/>
      <c r="Q704" s="216"/>
      <c r="R704" s="216"/>
      <c r="S704" s="216"/>
      <c r="T704" s="216"/>
      <c r="U704" s="216"/>
      <c r="V704" s="216"/>
    </row>
    <row r="705" spans="1:22">
      <c r="A705" s="216"/>
      <c r="B705" s="216"/>
      <c r="C705" s="216"/>
      <c r="D705" s="216"/>
      <c r="E705" s="216"/>
      <c r="F705" s="216"/>
      <c r="G705" s="216"/>
      <c r="H705" s="216"/>
      <c r="I705" s="216"/>
      <c r="J705" s="216"/>
      <c r="K705" s="216"/>
      <c r="L705" s="207"/>
      <c r="M705" s="207"/>
      <c r="N705" s="216"/>
      <c r="O705" s="216"/>
      <c r="P705" s="216"/>
      <c r="Q705" s="216"/>
      <c r="R705" s="216"/>
      <c r="S705" s="216"/>
      <c r="T705" s="216"/>
      <c r="U705" s="216"/>
      <c r="V705" s="216"/>
    </row>
    <row r="706" spans="1:22">
      <c r="A706" s="216"/>
      <c r="B706" s="216"/>
      <c r="C706" s="216"/>
      <c r="D706" s="216"/>
      <c r="E706" s="216"/>
      <c r="F706" s="216"/>
      <c r="G706" s="216"/>
      <c r="H706" s="216"/>
      <c r="I706" s="216"/>
      <c r="J706" s="216"/>
      <c r="K706" s="216"/>
      <c r="L706" s="207"/>
      <c r="M706" s="207"/>
      <c r="N706" s="216"/>
      <c r="O706" s="216"/>
      <c r="P706" s="216"/>
      <c r="Q706" s="216"/>
      <c r="R706" s="216"/>
      <c r="S706" s="216"/>
      <c r="T706" s="216"/>
      <c r="U706" s="216"/>
      <c r="V706" s="216"/>
    </row>
    <row r="707" spans="1:22">
      <c r="A707" s="216"/>
      <c r="B707" s="216"/>
      <c r="C707" s="216"/>
      <c r="D707" s="216"/>
      <c r="E707" s="216"/>
      <c r="F707" s="216"/>
      <c r="G707" s="216"/>
      <c r="H707" s="216"/>
      <c r="I707" s="216"/>
      <c r="J707" s="216"/>
      <c r="K707" s="216"/>
      <c r="L707" s="207"/>
      <c r="M707" s="207"/>
      <c r="N707" s="216"/>
      <c r="O707" s="216"/>
      <c r="P707" s="216"/>
      <c r="Q707" s="216"/>
      <c r="R707" s="216"/>
      <c r="S707" s="216"/>
      <c r="T707" s="216"/>
      <c r="U707" s="216"/>
      <c r="V707" s="216"/>
    </row>
    <row r="708" spans="1:22">
      <c r="A708" s="216"/>
      <c r="B708" s="216"/>
      <c r="C708" s="216"/>
      <c r="D708" s="216"/>
      <c r="E708" s="216"/>
      <c r="F708" s="216"/>
      <c r="G708" s="216"/>
      <c r="H708" s="216"/>
      <c r="I708" s="216"/>
      <c r="J708" s="216"/>
      <c r="K708" s="216"/>
      <c r="L708" s="207"/>
      <c r="M708" s="207"/>
      <c r="N708" s="216"/>
      <c r="O708" s="216"/>
      <c r="P708" s="216"/>
      <c r="Q708" s="216"/>
      <c r="R708" s="216"/>
      <c r="S708" s="216"/>
      <c r="T708" s="216"/>
      <c r="U708" s="216"/>
      <c r="V708" s="216"/>
    </row>
    <row r="709" spans="1:22">
      <c r="A709" s="216"/>
      <c r="B709" s="216"/>
      <c r="C709" s="216"/>
      <c r="D709" s="216"/>
      <c r="E709" s="216"/>
      <c r="F709" s="216"/>
      <c r="G709" s="216"/>
      <c r="H709" s="216"/>
      <c r="I709" s="216"/>
      <c r="J709" s="216"/>
      <c r="K709" s="216"/>
      <c r="L709" s="207"/>
      <c r="M709" s="207"/>
      <c r="N709" s="216"/>
      <c r="O709" s="216"/>
      <c r="P709" s="216"/>
      <c r="Q709" s="216"/>
      <c r="R709" s="216"/>
      <c r="S709" s="216"/>
      <c r="T709" s="216"/>
      <c r="U709" s="216"/>
      <c r="V709" s="216"/>
    </row>
    <row r="710" spans="1:22">
      <c r="A710" s="216"/>
      <c r="B710" s="216"/>
      <c r="C710" s="216"/>
      <c r="D710" s="216"/>
      <c r="E710" s="216"/>
      <c r="F710" s="216"/>
      <c r="G710" s="216"/>
      <c r="H710" s="216"/>
      <c r="I710" s="216"/>
      <c r="J710" s="216"/>
      <c r="K710" s="216"/>
      <c r="L710" s="207"/>
      <c r="M710" s="207"/>
      <c r="N710" s="216"/>
      <c r="O710" s="216"/>
      <c r="P710" s="216"/>
      <c r="Q710" s="216"/>
      <c r="R710" s="216"/>
      <c r="S710" s="216"/>
      <c r="T710" s="216"/>
      <c r="U710" s="216"/>
      <c r="V710" s="216"/>
    </row>
    <row r="711" spans="1:22">
      <c r="A711" s="216"/>
      <c r="B711" s="216"/>
      <c r="C711" s="216"/>
      <c r="D711" s="216"/>
      <c r="E711" s="216"/>
      <c r="F711" s="216"/>
      <c r="G711" s="216"/>
      <c r="H711" s="216"/>
      <c r="I711" s="216"/>
      <c r="J711" s="216"/>
      <c r="K711" s="216"/>
      <c r="L711" s="207"/>
      <c r="M711" s="207"/>
      <c r="N711" s="216"/>
      <c r="O711" s="216"/>
      <c r="P711" s="216"/>
      <c r="Q711" s="216"/>
      <c r="R711" s="216"/>
      <c r="S711" s="216"/>
      <c r="T711" s="216"/>
      <c r="U711" s="216"/>
      <c r="V711" s="216"/>
    </row>
    <row r="712" spans="1:22">
      <c r="A712" s="216"/>
      <c r="B712" s="216"/>
      <c r="C712" s="216"/>
      <c r="D712" s="216"/>
      <c r="E712" s="216"/>
      <c r="F712" s="216"/>
      <c r="G712" s="216"/>
      <c r="H712" s="216"/>
      <c r="I712" s="216"/>
      <c r="J712" s="216"/>
      <c r="K712" s="216"/>
      <c r="L712" s="207"/>
      <c r="M712" s="207"/>
      <c r="N712" s="216"/>
      <c r="O712" s="216"/>
      <c r="P712" s="216"/>
      <c r="Q712" s="216"/>
      <c r="R712" s="216"/>
      <c r="S712" s="216"/>
      <c r="T712" s="216"/>
      <c r="U712" s="216"/>
      <c r="V712" s="216"/>
    </row>
    <row r="713" spans="1:22">
      <c r="A713" s="216"/>
      <c r="B713" s="216"/>
      <c r="C713" s="216"/>
      <c r="D713" s="216"/>
      <c r="E713" s="216"/>
      <c r="F713" s="216"/>
      <c r="G713" s="216"/>
      <c r="H713" s="216"/>
      <c r="I713" s="216"/>
      <c r="J713" s="216"/>
      <c r="K713" s="216"/>
      <c r="L713" s="207"/>
      <c r="M713" s="207"/>
      <c r="N713" s="216"/>
      <c r="O713" s="216"/>
      <c r="P713" s="216"/>
      <c r="Q713" s="216"/>
      <c r="R713" s="216"/>
      <c r="S713" s="216"/>
      <c r="T713" s="216"/>
      <c r="U713" s="216"/>
      <c r="V713" s="216"/>
    </row>
    <row r="714" spans="1:22">
      <c r="A714" s="216"/>
      <c r="B714" s="216"/>
      <c r="C714" s="216"/>
      <c r="D714" s="216"/>
      <c r="E714" s="216"/>
      <c r="F714" s="216"/>
      <c r="G714" s="216"/>
      <c r="H714" s="216"/>
      <c r="I714" s="216"/>
      <c r="J714" s="216"/>
      <c r="K714" s="216"/>
      <c r="L714" s="207"/>
      <c r="M714" s="207"/>
      <c r="N714" s="216"/>
      <c r="O714" s="216"/>
      <c r="P714" s="216"/>
      <c r="Q714" s="216"/>
      <c r="R714" s="216"/>
      <c r="S714" s="216"/>
      <c r="T714" s="216"/>
      <c r="U714" s="216"/>
      <c r="V714" s="216"/>
    </row>
    <row r="715" spans="1:22">
      <c r="A715" s="216"/>
      <c r="B715" s="216"/>
      <c r="C715" s="216"/>
      <c r="D715" s="216"/>
      <c r="E715" s="216"/>
      <c r="F715" s="216"/>
      <c r="G715" s="216"/>
      <c r="H715" s="216"/>
      <c r="I715" s="216"/>
      <c r="J715" s="216"/>
      <c r="K715" s="216"/>
      <c r="L715" s="207"/>
      <c r="M715" s="207"/>
      <c r="N715" s="216"/>
      <c r="O715" s="216"/>
      <c r="P715" s="216"/>
      <c r="Q715" s="216"/>
      <c r="R715" s="216"/>
      <c r="S715" s="216"/>
      <c r="T715" s="216"/>
      <c r="U715" s="216"/>
      <c r="V715" s="216"/>
    </row>
    <row r="716" spans="1:22">
      <c r="A716" s="216"/>
      <c r="B716" s="216"/>
      <c r="C716" s="216"/>
      <c r="D716" s="216"/>
      <c r="E716" s="216"/>
      <c r="F716" s="216"/>
      <c r="G716" s="216"/>
      <c r="H716" s="216"/>
      <c r="I716" s="216"/>
      <c r="J716" s="216"/>
      <c r="K716" s="216"/>
      <c r="L716" s="207"/>
      <c r="M716" s="207"/>
      <c r="N716" s="216"/>
      <c r="O716" s="216"/>
      <c r="P716" s="216"/>
      <c r="Q716" s="216"/>
      <c r="R716" s="216"/>
      <c r="S716" s="216"/>
      <c r="T716" s="216"/>
      <c r="U716" s="216"/>
      <c r="V716" s="216"/>
    </row>
    <row r="717" spans="1:22">
      <c r="A717" s="216"/>
      <c r="B717" s="216"/>
      <c r="C717" s="216"/>
      <c r="D717" s="216"/>
      <c r="E717" s="216"/>
      <c r="F717" s="216"/>
      <c r="G717" s="216"/>
      <c r="H717" s="216"/>
      <c r="I717" s="216"/>
      <c r="J717" s="216"/>
      <c r="K717" s="216"/>
      <c r="L717" s="207"/>
      <c r="M717" s="207"/>
      <c r="N717" s="216"/>
      <c r="O717" s="216"/>
      <c r="P717" s="216"/>
      <c r="Q717" s="216"/>
      <c r="R717" s="216"/>
      <c r="S717" s="216"/>
      <c r="T717" s="216"/>
      <c r="U717" s="216"/>
      <c r="V717" s="216"/>
    </row>
    <row r="718" spans="1:22">
      <c r="A718" s="216"/>
      <c r="B718" s="216"/>
      <c r="C718" s="216"/>
      <c r="D718" s="216"/>
      <c r="E718" s="216"/>
      <c r="F718" s="216"/>
      <c r="G718" s="216"/>
      <c r="H718" s="216"/>
      <c r="I718" s="216"/>
      <c r="J718" s="216"/>
      <c r="K718" s="216"/>
      <c r="L718" s="207"/>
      <c r="M718" s="207"/>
      <c r="N718" s="216"/>
      <c r="O718" s="216"/>
      <c r="P718" s="216"/>
      <c r="Q718" s="216"/>
      <c r="R718" s="216"/>
      <c r="S718" s="216"/>
      <c r="T718" s="216"/>
      <c r="U718" s="216"/>
      <c r="V718" s="216"/>
    </row>
    <row r="719" spans="1:22">
      <c r="A719" s="216"/>
      <c r="B719" s="216"/>
      <c r="C719" s="216"/>
      <c r="D719" s="216"/>
      <c r="E719" s="216"/>
      <c r="F719" s="216"/>
      <c r="G719" s="216"/>
      <c r="H719" s="216"/>
      <c r="I719" s="216"/>
      <c r="J719" s="216"/>
      <c r="K719" s="216"/>
      <c r="L719" s="207"/>
      <c r="M719" s="207"/>
      <c r="N719" s="216"/>
      <c r="O719" s="216"/>
      <c r="P719" s="216"/>
      <c r="Q719" s="216"/>
      <c r="R719" s="216"/>
      <c r="S719" s="216"/>
      <c r="T719" s="216"/>
      <c r="U719" s="216"/>
      <c r="V719" s="216"/>
    </row>
    <row r="720" spans="1:22">
      <c r="A720" s="216"/>
      <c r="B720" s="216"/>
      <c r="C720" s="216"/>
      <c r="D720" s="216"/>
      <c r="E720" s="216"/>
      <c r="F720" s="216"/>
      <c r="G720" s="216"/>
      <c r="H720" s="216"/>
      <c r="I720" s="216"/>
      <c r="J720" s="216"/>
      <c r="K720" s="216"/>
      <c r="L720" s="207"/>
      <c r="M720" s="207"/>
      <c r="N720" s="216"/>
      <c r="O720" s="216"/>
      <c r="P720" s="216"/>
      <c r="Q720" s="216"/>
      <c r="R720" s="216"/>
      <c r="S720" s="216"/>
      <c r="T720" s="216"/>
      <c r="U720" s="216"/>
      <c r="V720" s="216"/>
    </row>
    <row r="721" spans="1:22">
      <c r="A721" s="216"/>
      <c r="B721" s="216"/>
      <c r="C721" s="216"/>
      <c r="D721" s="216"/>
      <c r="E721" s="216"/>
      <c r="F721" s="216"/>
      <c r="G721" s="216"/>
      <c r="H721" s="216"/>
      <c r="I721" s="216"/>
      <c r="J721" s="216"/>
      <c r="K721" s="216"/>
      <c r="L721" s="207"/>
      <c r="M721" s="207"/>
      <c r="N721" s="216"/>
      <c r="O721" s="216"/>
      <c r="P721" s="216"/>
      <c r="Q721" s="216"/>
      <c r="R721" s="216"/>
      <c r="S721" s="216"/>
      <c r="T721" s="216"/>
      <c r="U721" s="216"/>
      <c r="V721" s="216"/>
    </row>
    <row r="722" spans="1:22">
      <c r="A722" s="216"/>
      <c r="B722" s="216"/>
      <c r="C722" s="216"/>
      <c r="D722" s="216"/>
      <c r="E722" s="216"/>
      <c r="F722" s="216"/>
      <c r="G722" s="216"/>
      <c r="H722" s="216"/>
      <c r="I722" s="216"/>
      <c r="J722" s="216"/>
      <c r="K722" s="216"/>
      <c r="L722" s="207"/>
      <c r="M722" s="207"/>
      <c r="N722" s="216"/>
      <c r="O722" s="216"/>
      <c r="P722" s="216"/>
      <c r="Q722" s="216"/>
      <c r="R722" s="216"/>
      <c r="S722" s="216"/>
      <c r="T722" s="216"/>
      <c r="U722" s="216"/>
      <c r="V722" s="216"/>
    </row>
    <row r="723" spans="1:22">
      <c r="A723" s="216"/>
      <c r="B723" s="216"/>
      <c r="C723" s="216"/>
      <c r="D723" s="216"/>
      <c r="E723" s="216"/>
      <c r="F723" s="216"/>
      <c r="G723" s="216"/>
      <c r="H723" s="216"/>
      <c r="I723" s="216"/>
      <c r="J723" s="216"/>
      <c r="K723" s="216"/>
      <c r="L723" s="207"/>
      <c r="M723" s="207"/>
      <c r="N723" s="216"/>
      <c r="O723" s="216"/>
      <c r="P723" s="216"/>
      <c r="Q723" s="216"/>
      <c r="R723" s="216"/>
      <c r="S723" s="216"/>
      <c r="T723" s="216"/>
      <c r="U723" s="216"/>
      <c r="V723" s="216"/>
    </row>
    <row r="724" spans="1:22">
      <c r="A724" s="216"/>
      <c r="B724" s="216"/>
      <c r="C724" s="216"/>
      <c r="D724" s="216"/>
      <c r="E724" s="216"/>
      <c r="F724" s="216"/>
      <c r="G724" s="216"/>
      <c r="H724" s="216"/>
      <c r="I724" s="216"/>
      <c r="J724" s="216"/>
      <c r="K724" s="216"/>
      <c r="L724" s="207"/>
      <c r="M724" s="207"/>
      <c r="N724" s="216"/>
      <c r="O724" s="216"/>
      <c r="P724" s="216"/>
      <c r="Q724" s="216"/>
      <c r="R724" s="216"/>
      <c r="S724" s="216"/>
      <c r="T724" s="216"/>
      <c r="U724" s="216"/>
      <c r="V724" s="216"/>
    </row>
    <row r="725" spans="1:22">
      <c r="A725" s="216"/>
      <c r="B725" s="216"/>
      <c r="C725" s="216"/>
      <c r="D725" s="216"/>
      <c r="E725" s="216"/>
      <c r="F725" s="216"/>
      <c r="G725" s="216"/>
      <c r="H725" s="216"/>
      <c r="I725" s="216"/>
      <c r="J725" s="216"/>
      <c r="K725" s="216"/>
      <c r="L725" s="207"/>
      <c r="M725" s="207"/>
      <c r="N725" s="216"/>
      <c r="O725" s="216"/>
      <c r="P725" s="216"/>
      <c r="Q725" s="216"/>
      <c r="R725" s="216"/>
      <c r="S725" s="216"/>
      <c r="T725" s="216"/>
      <c r="U725" s="216"/>
      <c r="V725" s="216"/>
    </row>
    <row r="726" spans="1:22">
      <c r="A726" s="216"/>
      <c r="B726" s="216"/>
      <c r="C726" s="216"/>
      <c r="D726" s="216"/>
      <c r="E726" s="216"/>
      <c r="F726" s="216"/>
      <c r="G726" s="216"/>
      <c r="H726" s="216"/>
      <c r="I726" s="216"/>
      <c r="J726" s="216"/>
      <c r="K726" s="216"/>
      <c r="L726" s="207"/>
      <c r="M726" s="207"/>
      <c r="N726" s="216"/>
      <c r="O726" s="216"/>
      <c r="P726" s="216"/>
      <c r="Q726" s="216"/>
      <c r="R726" s="216"/>
      <c r="S726" s="216"/>
      <c r="T726" s="216"/>
      <c r="U726" s="216"/>
      <c r="V726" s="216"/>
    </row>
    <row r="727" spans="1:22">
      <c r="A727" s="216"/>
      <c r="B727" s="216"/>
      <c r="C727" s="216"/>
      <c r="D727" s="216"/>
      <c r="E727" s="216"/>
      <c r="F727" s="216"/>
      <c r="G727" s="216"/>
      <c r="H727" s="216"/>
      <c r="I727" s="216"/>
      <c r="J727" s="216"/>
      <c r="K727" s="216"/>
      <c r="L727" s="207"/>
      <c r="M727" s="207"/>
      <c r="N727" s="216"/>
      <c r="O727" s="216"/>
      <c r="P727" s="216"/>
      <c r="Q727" s="216"/>
      <c r="R727" s="216"/>
      <c r="S727" s="216"/>
      <c r="T727" s="216"/>
      <c r="U727" s="216"/>
      <c r="V727" s="216"/>
    </row>
    <row r="728" spans="1:22">
      <c r="A728" s="216"/>
      <c r="B728" s="216"/>
      <c r="C728" s="216"/>
      <c r="D728" s="216"/>
      <c r="E728" s="216"/>
      <c r="F728" s="216"/>
      <c r="G728" s="216"/>
      <c r="H728" s="216"/>
      <c r="I728" s="216"/>
      <c r="J728" s="216"/>
      <c r="K728" s="216"/>
      <c r="L728" s="207"/>
      <c r="M728" s="207"/>
      <c r="N728" s="216"/>
      <c r="O728" s="216"/>
      <c r="P728" s="216"/>
      <c r="Q728" s="216"/>
      <c r="R728" s="216"/>
      <c r="S728" s="216"/>
      <c r="T728" s="216"/>
      <c r="U728" s="216"/>
      <c r="V728" s="216"/>
    </row>
    <row r="729" spans="1:22">
      <c r="A729" s="216"/>
      <c r="B729" s="216"/>
      <c r="C729" s="216"/>
      <c r="D729" s="216"/>
      <c r="E729" s="216"/>
      <c r="F729" s="216"/>
      <c r="G729" s="216"/>
      <c r="H729" s="216"/>
      <c r="I729" s="216"/>
      <c r="J729" s="216"/>
      <c r="K729" s="216"/>
      <c r="L729" s="207"/>
      <c r="M729" s="207"/>
      <c r="N729" s="216"/>
      <c r="O729" s="216"/>
      <c r="P729" s="216"/>
      <c r="Q729" s="216"/>
      <c r="R729" s="216"/>
      <c r="S729" s="216"/>
      <c r="T729" s="216"/>
      <c r="U729" s="216"/>
      <c r="V729" s="216"/>
    </row>
    <row r="730" spans="1:22">
      <c r="A730" s="216"/>
      <c r="B730" s="216"/>
      <c r="C730" s="216"/>
      <c r="D730" s="216"/>
      <c r="E730" s="216"/>
      <c r="F730" s="216"/>
      <c r="G730" s="216"/>
      <c r="H730" s="216"/>
      <c r="I730" s="216"/>
      <c r="J730" s="216"/>
      <c r="K730" s="216"/>
      <c r="L730" s="207"/>
      <c r="M730" s="207"/>
      <c r="N730" s="216"/>
      <c r="O730" s="216"/>
      <c r="P730" s="216"/>
      <c r="Q730" s="216"/>
      <c r="R730" s="216"/>
      <c r="S730" s="216"/>
      <c r="T730" s="216"/>
      <c r="U730" s="216"/>
      <c r="V730" s="216"/>
    </row>
    <row r="731" spans="1:22">
      <c r="A731" s="216"/>
      <c r="B731" s="216"/>
      <c r="C731" s="216"/>
      <c r="D731" s="216"/>
      <c r="E731" s="216"/>
      <c r="F731" s="216"/>
      <c r="G731" s="216"/>
      <c r="H731" s="216"/>
      <c r="I731" s="216"/>
      <c r="J731" s="216"/>
      <c r="K731" s="216"/>
      <c r="L731" s="207"/>
      <c r="M731" s="207"/>
      <c r="N731" s="216"/>
      <c r="O731" s="216"/>
      <c r="P731" s="216"/>
      <c r="Q731" s="216"/>
      <c r="R731" s="216"/>
      <c r="S731" s="216"/>
      <c r="T731" s="216"/>
      <c r="U731" s="216"/>
      <c r="V731" s="216"/>
    </row>
    <row r="732" spans="1:22">
      <c r="A732" s="216"/>
      <c r="B732" s="216"/>
      <c r="C732" s="216"/>
      <c r="D732" s="216"/>
      <c r="E732" s="216"/>
      <c r="F732" s="216"/>
      <c r="G732" s="216"/>
      <c r="H732" s="216"/>
      <c r="I732" s="216"/>
      <c r="J732" s="216"/>
      <c r="K732" s="216"/>
      <c r="L732" s="207"/>
      <c r="M732" s="207"/>
      <c r="N732" s="216"/>
      <c r="O732" s="216"/>
      <c r="P732" s="216"/>
      <c r="Q732" s="216"/>
      <c r="R732" s="216"/>
      <c r="S732" s="216"/>
      <c r="T732" s="216"/>
      <c r="U732" s="216"/>
      <c r="V732" s="216"/>
    </row>
    <row r="733" spans="1:22">
      <c r="A733" s="216"/>
      <c r="B733" s="216"/>
      <c r="C733" s="216"/>
      <c r="D733" s="216"/>
      <c r="E733" s="216"/>
      <c r="F733" s="216"/>
      <c r="G733" s="216"/>
      <c r="H733" s="216"/>
      <c r="I733" s="216"/>
      <c r="J733" s="216"/>
      <c r="K733" s="216"/>
      <c r="L733" s="207"/>
      <c r="M733" s="207"/>
      <c r="N733" s="216"/>
      <c r="O733" s="216"/>
      <c r="P733" s="216"/>
      <c r="Q733" s="216"/>
      <c r="R733" s="216"/>
      <c r="S733" s="216"/>
      <c r="T733" s="216"/>
      <c r="U733" s="216"/>
      <c r="V733" s="216"/>
    </row>
    <row r="734" spans="1:22">
      <c r="A734" s="216"/>
      <c r="B734" s="216"/>
      <c r="C734" s="216"/>
      <c r="D734" s="216"/>
      <c r="E734" s="216"/>
      <c r="F734" s="216"/>
      <c r="G734" s="216"/>
      <c r="H734" s="216"/>
      <c r="I734" s="216"/>
      <c r="J734" s="216"/>
      <c r="K734" s="216"/>
      <c r="L734" s="207"/>
      <c r="M734" s="207"/>
      <c r="N734" s="216"/>
      <c r="O734" s="216"/>
      <c r="P734" s="216"/>
      <c r="Q734" s="216"/>
      <c r="R734" s="216"/>
      <c r="S734" s="216"/>
      <c r="T734" s="216"/>
      <c r="U734" s="216"/>
      <c r="V734" s="216"/>
    </row>
    <row r="735" spans="1:22">
      <c r="A735" s="216"/>
      <c r="B735" s="216"/>
      <c r="C735" s="216"/>
      <c r="D735" s="216"/>
      <c r="E735" s="216"/>
      <c r="F735" s="216"/>
      <c r="G735" s="216"/>
      <c r="H735" s="216"/>
      <c r="I735" s="216"/>
      <c r="J735" s="216"/>
      <c r="K735" s="216"/>
      <c r="L735" s="207"/>
      <c r="M735" s="207"/>
      <c r="N735" s="216"/>
      <c r="O735" s="216"/>
      <c r="P735" s="216"/>
      <c r="Q735" s="216"/>
      <c r="R735" s="216"/>
      <c r="S735" s="216"/>
      <c r="T735" s="216"/>
      <c r="U735" s="216"/>
      <c r="V735" s="216"/>
    </row>
    <row r="736" spans="1:22">
      <c r="A736" s="216"/>
      <c r="B736" s="216"/>
      <c r="C736" s="216"/>
      <c r="D736" s="216"/>
      <c r="E736" s="216"/>
      <c r="F736" s="216"/>
      <c r="G736" s="216"/>
      <c r="H736" s="216"/>
      <c r="I736" s="216"/>
      <c r="J736" s="216"/>
      <c r="K736" s="216"/>
      <c r="L736" s="207"/>
      <c r="M736" s="207"/>
      <c r="N736" s="216"/>
      <c r="O736" s="216"/>
      <c r="P736" s="216"/>
      <c r="Q736" s="216"/>
      <c r="R736" s="216"/>
      <c r="S736" s="216"/>
      <c r="T736" s="216"/>
      <c r="U736" s="216"/>
      <c r="V736" s="216"/>
    </row>
    <row r="737" spans="1:22">
      <c r="A737" s="216"/>
      <c r="B737" s="216"/>
      <c r="C737" s="216"/>
      <c r="D737" s="216"/>
      <c r="E737" s="216"/>
      <c r="F737" s="216"/>
      <c r="G737" s="216"/>
      <c r="H737" s="216"/>
      <c r="I737" s="216"/>
      <c r="J737" s="216"/>
      <c r="K737" s="216"/>
      <c r="L737" s="207"/>
      <c r="M737" s="207"/>
      <c r="N737" s="216"/>
      <c r="O737" s="216"/>
      <c r="P737" s="216"/>
      <c r="Q737" s="216"/>
      <c r="R737" s="216"/>
      <c r="S737" s="216"/>
      <c r="T737" s="216"/>
      <c r="U737" s="216"/>
      <c r="V737" s="216"/>
    </row>
    <row r="738" spans="1:22">
      <c r="A738" s="216"/>
      <c r="B738" s="216"/>
      <c r="C738" s="216"/>
      <c r="D738" s="216"/>
      <c r="E738" s="216"/>
      <c r="F738" s="216"/>
      <c r="G738" s="216"/>
      <c r="H738" s="216"/>
      <c r="I738" s="216"/>
      <c r="J738" s="216"/>
      <c r="K738" s="216"/>
      <c r="L738" s="207"/>
      <c r="M738" s="207"/>
      <c r="N738" s="216"/>
      <c r="O738" s="216"/>
      <c r="P738" s="216"/>
      <c r="Q738" s="216"/>
      <c r="R738" s="216"/>
      <c r="S738" s="216"/>
      <c r="T738" s="216"/>
      <c r="U738" s="216"/>
      <c r="V738" s="216"/>
    </row>
    <row r="739" spans="1:22">
      <c r="A739" s="216"/>
      <c r="B739" s="216"/>
      <c r="C739" s="216"/>
      <c r="D739" s="216"/>
      <c r="E739" s="216"/>
      <c r="F739" s="216"/>
      <c r="G739" s="216"/>
      <c r="H739" s="216"/>
      <c r="I739" s="216"/>
      <c r="J739" s="216"/>
      <c r="K739" s="216"/>
      <c r="L739" s="207"/>
      <c r="M739" s="207"/>
      <c r="N739" s="216"/>
      <c r="O739" s="216"/>
      <c r="P739" s="216"/>
      <c r="Q739" s="216"/>
      <c r="R739" s="216"/>
      <c r="S739" s="216"/>
      <c r="T739" s="216"/>
      <c r="U739" s="216"/>
      <c r="V739" s="216"/>
    </row>
    <row r="740" spans="1:22">
      <c r="A740" s="216"/>
      <c r="B740" s="216"/>
      <c r="C740" s="216"/>
      <c r="D740" s="216"/>
      <c r="E740" s="216"/>
      <c r="F740" s="216"/>
      <c r="G740" s="216"/>
      <c r="H740" s="216"/>
      <c r="I740" s="216"/>
      <c r="J740" s="216"/>
      <c r="K740" s="216"/>
      <c r="L740" s="207"/>
      <c r="M740" s="207"/>
      <c r="N740" s="216"/>
      <c r="O740" s="216"/>
      <c r="P740" s="216"/>
      <c r="Q740" s="216"/>
      <c r="R740" s="216"/>
      <c r="S740" s="216"/>
      <c r="T740" s="216"/>
      <c r="U740" s="216"/>
      <c r="V740" s="216"/>
    </row>
    <row r="741" spans="1:22">
      <c r="A741" s="216"/>
      <c r="B741" s="216"/>
      <c r="C741" s="216"/>
      <c r="D741" s="216"/>
      <c r="E741" s="216"/>
      <c r="F741" s="216"/>
      <c r="G741" s="216"/>
      <c r="H741" s="216"/>
      <c r="I741" s="216"/>
      <c r="J741" s="216"/>
      <c r="K741" s="216"/>
      <c r="L741" s="207"/>
      <c r="M741" s="207"/>
      <c r="N741" s="216"/>
      <c r="O741" s="216"/>
      <c r="P741" s="216"/>
      <c r="Q741" s="216"/>
      <c r="R741" s="216"/>
      <c r="S741" s="216"/>
      <c r="T741" s="216"/>
      <c r="U741" s="216"/>
      <c r="V741" s="216"/>
    </row>
    <row r="742" spans="1:22">
      <c r="A742" s="216"/>
      <c r="B742" s="216"/>
      <c r="C742" s="216"/>
      <c r="D742" s="216"/>
      <c r="E742" s="216"/>
      <c r="F742" s="216"/>
      <c r="G742" s="216"/>
      <c r="H742" s="216"/>
      <c r="I742" s="216"/>
      <c r="J742" s="216"/>
      <c r="K742" s="216"/>
      <c r="L742" s="207"/>
      <c r="M742" s="207"/>
      <c r="N742" s="216"/>
      <c r="O742" s="216"/>
      <c r="P742" s="216"/>
      <c r="Q742" s="216"/>
      <c r="R742" s="216"/>
      <c r="S742" s="216"/>
      <c r="T742" s="216"/>
      <c r="U742" s="216"/>
      <c r="V742" s="216"/>
    </row>
    <row r="743" spans="1:22">
      <c r="A743" s="216"/>
      <c r="B743" s="216"/>
      <c r="C743" s="216"/>
      <c r="D743" s="216"/>
      <c r="E743" s="216"/>
      <c r="F743" s="216"/>
      <c r="G743" s="216"/>
      <c r="H743" s="216"/>
      <c r="I743" s="216"/>
      <c r="J743" s="216"/>
      <c r="K743" s="216"/>
      <c r="L743" s="207"/>
      <c r="M743" s="207"/>
      <c r="N743" s="216"/>
      <c r="O743" s="216"/>
      <c r="P743" s="216"/>
      <c r="Q743" s="216"/>
      <c r="R743" s="216"/>
      <c r="S743" s="216"/>
      <c r="T743" s="216"/>
      <c r="U743" s="216"/>
      <c r="V743" s="216"/>
    </row>
    <row r="744" spans="1:22">
      <c r="A744" s="216"/>
      <c r="B744" s="216"/>
      <c r="C744" s="216"/>
      <c r="D744" s="216"/>
      <c r="E744" s="216"/>
      <c r="F744" s="216"/>
      <c r="G744" s="216"/>
      <c r="H744" s="216"/>
      <c r="I744" s="216"/>
      <c r="J744" s="216"/>
      <c r="K744" s="216"/>
      <c r="L744" s="207"/>
      <c r="M744" s="207"/>
      <c r="N744" s="216"/>
      <c r="O744" s="216"/>
      <c r="P744" s="216"/>
      <c r="Q744" s="216"/>
      <c r="R744" s="216"/>
      <c r="S744" s="216"/>
      <c r="T744" s="216"/>
      <c r="U744" s="216"/>
      <c r="V744" s="216"/>
    </row>
    <row r="745" spans="1:22">
      <c r="A745" s="216"/>
      <c r="B745" s="216"/>
      <c r="C745" s="216"/>
      <c r="D745" s="216"/>
      <c r="E745" s="216"/>
      <c r="F745" s="216"/>
      <c r="G745" s="216"/>
      <c r="H745" s="216"/>
      <c r="I745" s="216"/>
      <c r="J745" s="216"/>
      <c r="K745" s="216"/>
      <c r="L745" s="207"/>
      <c r="M745" s="207"/>
      <c r="N745" s="216"/>
      <c r="O745" s="216"/>
      <c r="P745" s="216"/>
      <c r="Q745" s="216"/>
      <c r="R745" s="216"/>
      <c r="S745" s="216"/>
      <c r="T745" s="216"/>
      <c r="U745" s="216"/>
      <c r="V745" s="216"/>
    </row>
    <row r="746" spans="1:22">
      <c r="A746" s="216"/>
      <c r="B746" s="216"/>
      <c r="C746" s="216"/>
      <c r="D746" s="216"/>
      <c r="E746" s="216"/>
      <c r="F746" s="216"/>
      <c r="G746" s="216"/>
      <c r="H746" s="216"/>
      <c r="I746" s="216"/>
      <c r="J746" s="216"/>
      <c r="K746" s="216"/>
      <c r="L746" s="207"/>
      <c r="M746" s="207"/>
      <c r="N746" s="216"/>
      <c r="O746" s="216"/>
      <c r="P746" s="216"/>
      <c r="Q746" s="216"/>
      <c r="R746" s="216"/>
      <c r="S746" s="216"/>
      <c r="T746" s="216"/>
      <c r="U746" s="216"/>
      <c r="V746" s="216"/>
    </row>
    <row r="747" spans="1:22">
      <c r="A747" s="216"/>
      <c r="B747" s="216"/>
      <c r="C747" s="216"/>
      <c r="D747" s="216"/>
      <c r="E747" s="216"/>
      <c r="F747" s="216"/>
      <c r="G747" s="216"/>
      <c r="H747" s="216"/>
      <c r="I747" s="216"/>
      <c r="J747" s="216"/>
      <c r="K747" s="216"/>
      <c r="L747" s="207"/>
      <c r="M747" s="207"/>
      <c r="N747" s="216"/>
      <c r="O747" s="216"/>
      <c r="P747" s="216"/>
      <c r="Q747" s="216"/>
      <c r="R747" s="216"/>
      <c r="S747" s="216"/>
      <c r="T747" s="216"/>
      <c r="U747" s="216"/>
      <c r="V747" s="216"/>
    </row>
    <row r="748" spans="1:22">
      <c r="A748" s="216"/>
      <c r="B748" s="216"/>
      <c r="C748" s="216"/>
      <c r="D748" s="216"/>
      <c r="E748" s="216"/>
      <c r="F748" s="216"/>
      <c r="G748" s="216"/>
      <c r="H748" s="216"/>
      <c r="I748" s="216"/>
      <c r="J748" s="216"/>
      <c r="K748" s="216"/>
      <c r="L748" s="207"/>
      <c r="M748" s="207"/>
      <c r="N748" s="216"/>
      <c r="O748" s="216"/>
      <c r="P748" s="216"/>
      <c r="Q748" s="216"/>
      <c r="R748" s="216"/>
      <c r="S748" s="216"/>
      <c r="T748" s="216"/>
      <c r="U748" s="216"/>
      <c r="V748" s="216"/>
    </row>
    <row r="749" spans="1:22">
      <c r="A749" s="216"/>
      <c r="B749" s="216"/>
      <c r="C749" s="216"/>
      <c r="D749" s="216"/>
      <c r="E749" s="216"/>
      <c r="F749" s="216"/>
      <c r="G749" s="216"/>
      <c r="H749" s="216"/>
      <c r="I749" s="216"/>
      <c r="J749" s="216"/>
      <c r="K749" s="216"/>
      <c r="L749" s="207"/>
      <c r="M749" s="207"/>
      <c r="N749" s="216"/>
      <c r="O749" s="216"/>
      <c r="P749" s="216"/>
      <c r="Q749" s="216"/>
      <c r="R749" s="216"/>
      <c r="S749" s="216"/>
      <c r="T749" s="216"/>
      <c r="U749" s="216"/>
      <c r="V749" s="216"/>
    </row>
    <row r="750" spans="1:22">
      <c r="A750" s="216"/>
      <c r="B750" s="216"/>
      <c r="C750" s="216"/>
      <c r="D750" s="216"/>
      <c r="E750" s="216"/>
      <c r="F750" s="216"/>
      <c r="G750" s="216"/>
      <c r="H750" s="216"/>
      <c r="I750" s="216"/>
      <c r="J750" s="216"/>
      <c r="K750" s="216"/>
      <c r="L750" s="207"/>
      <c r="M750" s="207"/>
      <c r="N750" s="216"/>
      <c r="O750" s="216"/>
      <c r="P750" s="216"/>
      <c r="Q750" s="216"/>
      <c r="R750" s="216"/>
      <c r="S750" s="216"/>
      <c r="T750" s="216"/>
      <c r="U750" s="216"/>
      <c r="V750" s="216"/>
    </row>
    <row r="751" spans="1:22">
      <c r="A751" s="216"/>
      <c r="B751" s="216"/>
      <c r="C751" s="216"/>
      <c r="D751" s="216"/>
      <c r="E751" s="216"/>
      <c r="F751" s="216"/>
      <c r="G751" s="216"/>
      <c r="H751" s="216"/>
      <c r="I751" s="216"/>
      <c r="J751" s="216"/>
      <c r="K751" s="216"/>
      <c r="L751" s="207"/>
      <c r="M751" s="207"/>
      <c r="N751" s="216"/>
      <c r="O751" s="216"/>
      <c r="P751" s="216"/>
      <c r="Q751" s="216"/>
      <c r="R751" s="216"/>
      <c r="S751" s="216"/>
      <c r="T751" s="216"/>
      <c r="U751" s="216"/>
      <c r="V751" s="216"/>
    </row>
    <row r="752" spans="1:22">
      <c r="A752" s="216"/>
      <c r="B752" s="216"/>
      <c r="C752" s="216"/>
      <c r="D752" s="216"/>
      <c r="E752" s="216"/>
      <c r="F752" s="216"/>
      <c r="G752" s="216"/>
      <c r="H752" s="216"/>
      <c r="I752" s="216"/>
      <c r="J752" s="216"/>
      <c r="K752" s="216"/>
      <c r="L752" s="207"/>
      <c r="M752" s="207"/>
      <c r="N752" s="216"/>
      <c r="O752" s="216"/>
      <c r="P752" s="216"/>
      <c r="Q752" s="216"/>
      <c r="R752" s="216"/>
      <c r="S752" s="216"/>
      <c r="T752" s="216"/>
      <c r="U752" s="216"/>
      <c r="V752" s="216"/>
    </row>
    <row r="753" spans="1:22">
      <c r="A753" s="216"/>
      <c r="B753" s="216"/>
      <c r="C753" s="216"/>
      <c r="D753" s="216"/>
      <c r="E753" s="216"/>
      <c r="F753" s="216"/>
      <c r="G753" s="216"/>
      <c r="H753" s="216"/>
      <c r="I753" s="216"/>
      <c r="J753" s="216"/>
      <c r="K753" s="216"/>
      <c r="L753" s="207"/>
      <c r="M753" s="207"/>
      <c r="N753" s="216"/>
      <c r="O753" s="216"/>
      <c r="P753" s="216"/>
      <c r="Q753" s="216"/>
      <c r="R753" s="216"/>
      <c r="S753" s="216"/>
      <c r="T753" s="216"/>
      <c r="U753" s="216"/>
      <c r="V753" s="216"/>
    </row>
    <row r="754" spans="1:22">
      <c r="A754" s="216"/>
      <c r="B754" s="216"/>
      <c r="C754" s="216"/>
      <c r="D754" s="216"/>
      <c r="E754" s="216"/>
      <c r="F754" s="216"/>
      <c r="G754" s="216"/>
      <c r="H754" s="216"/>
      <c r="I754" s="216"/>
      <c r="J754" s="216"/>
      <c r="K754" s="216"/>
      <c r="L754" s="207"/>
      <c r="M754" s="207"/>
      <c r="N754" s="216"/>
      <c r="O754" s="216"/>
      <c r="P754" s="216"/>
      <c r="Q754" s="216"/>
      <c r="R754" s="216"/>
      <c r="S754" s="216"/>
      <c r="T754" s="216"/>
      <c r="U754" s="216"/>
      <c r="V754" s="216"/>
    </row>
    <row r="755" spans="1:22">
      <c r="A755" s="216"/>
      <c r="B755" s="216"/>
      <c r="C755" s="216"/>
      <c r="D755" s="216"/>
      <c r="E755" s="216"/>
      <c r="F755" s="216"/>
      <c r="G755" s="216"/>
      <c r="H755" s="216"/>
      <c r="I755" s="216"/>
      <c r="J755" s="216"/>
      <c r="K755" s="216"/>
      <c r="L755" s="207"/>
      <c r="M755" s="207"/>
      <c r="N755" s="216"/>
      <c r="O755" s="216"/>
      <c r="P755" s="216"/>
      <c r="Q755" s="216"/>
      <c r="R755" s="216"/>
      <c r="S755" s="216"/>
      <c r="T755" s="216"/>
      <c r="U755" s="216"/>
      <c r="V755" s="216"/>
    </row>
    <row r="756" spans="1:22">
      <c r="A756" s="216"/>
      <c r="B756" s="216"/>
      <c r="C756" s="216"/>
      <c r="D756" s="216"/>
      <c r="E756" s="216"/>
      <c r="F756" s="216"/>
      <c r="G756" s="216"/>
      <c r="H756" s="216"/>
      <c r="I756" s="216"/>
      <c r="J756" s="216"/>
      <c r="K756" s="216"/>
      <c r="L756" s="207"/>
      <c r="M756" s="207"/>
      <c r="N756" s="216"/>
      <c r="O756" s="216"/>
      <c r="P756" s="216"/>
      <c r="Q756" s="216"/>
      <c r="R756" s="216"/>
      <c r="S756" s="216"/>
      <c r="T756" s="216"/>
      <c r="U756" s="216"/>
      <c r="V756" s="216"/>
    </row>
    <row r="757" spans="1:22">
      <c r="A757" s="216"/>
      <c r="B757" s="216"/>
      <c r="C757" s="216"/>
      <c r="D757" s="216"/>
      <c r="E757" s="216"/>
      <c r="F757" s="216"/>
      <c r="G757" s="216"/>
      <c r="H757" s="216"/>
      <c r="I757" s="216"/>
      <c r="J757" s="216"/>
      <c r="K757" s="216"/>
      <c r="L757" s="207"/>
      <c r="M757" s="207"/>
      <c r="N757" s="216"/>
      <c r="O757" s="216"/>
      <c r="P757" s="216"/>
      <c r="Q757" s="216"/>
      <c r="R757" s="216"/>
      <c r="S757" s="216"/>
      <c r="T757" s="216"/>
      <c r="U757" s="216"/>
      <c r="V757" s="216"/>
    </row>
    <row r="758" spans="1:22">
      <c r="A758" s="216"/>
      <c r="B758" s="216"/>
      <c r="C758" s="216"/>
      <c r="D758" s="216"/>
      <c r="E758" s="216"/>
      <c r="F758" s="216"/>
      <c r="G758" s="216"/>
      <c r="H758" s="216"/>
      <c r="I758" s="216"/>
      <c r="J758" s="216"/>
      <c r="K758" s="216"/>
      <c r="L758" s="207"/>
      <c r="M758" s="207"/>
      <c r="N758" s="216"/>
      <c r="O758" s="216"/>
      <c r="P758" s="216"/>
      <c r="Q758" s="216"/>
      <c r="R758" s="216"/>
      <c r="S758" s="216"/>
      <c r="T758" s="216"/>
      <c r="U758" s="216"/>
      <c r="V758" s="216"/>
    </row>
    <row r="759" spans="1:22">
      <c r="A759" s="216"/>
      <c r="B759" s="216"/>
      <c r="C759" s="216"/>
      <c r="D759" s="216"/>
      <c r="E759" s="216"/>
      <c r="F759" s="216"/>
      <c r="G759" s="216"/>
      <c r="H759" s="216"/>
      <c r="I759" s="216"/>
      <c r="J759" s="216"/>
      <c r="K759" s="216"/>
      <c r="L759" s="207"/>
      <c r="M759" s="207"/>
      <c r="N759" s="216"/>
      <c r="O759" s="216"/>
      <c r="P759" s="216"/>
      <c r="Q759" s="216"/>
      <c r="R759" s="216"/>
      <c r="S759" s="216"/>
      <c r="T759" s="216"/>
      <c r="U759" s="216"/>
      <c r="V759" s="216"/>
    </row>
    <row r="760" spans="1:22">
      <c r="A760" s="216"/>
      <c r="B760" s="216"/>
      <c r="C760" s="216"/>
      <c r="D760" s="216"/>
      <c r="E760" s="216"/>
      <c r="F760" s="216"/>
      <c r="G760" s="216"/>
      <c r="H760" s="216"/>
      <c r="I760" s="216"/>
      <c r="J760" s="216"/>
      <c r="K760" s="216"/>
      <c r="L760" s="207"/>
      <c r="M760" s="207"/>
      <c r="N760" s="216"/>
      <c r="O760" s="216"/>
      <c r="P760" s="216"/>
      <c r="Q760" s="216"/>
      <c r="R760" s="216"/>
      <c r="S760" s="216"/>
      <c r="T760" s="216"/>
      <c r="U760" s="216"/>
      <c r="V760" s="216"/>
    </row>
    <row r="761" spans="1:22">
      <c r="A761" s="216"/>
      <c r="B761" s="216"/>
      <c r="C761" s="216"/>
      <c r="D761" s="216"/>
      <c r="E761" s="216"/>
      <c r="F761" s="216"/>
      <c r="G761" s="216"/>
      <c r="H761" s="216"/>
      <c r="I761" s="216"/>
      <c r="J761" s="216"/>
      <c r="K761" s="216"/>
      <c r="L761" s="207"/>
      <c r="M761" s="207"/>
      <c r="N761" s="216"/>
      <c r="O761" s="216"/>
      <c r="P761" s="216"/>
      <c r="Q761" s="216"/>
      <c r="R761" s="216"/>
      <c r="S761" s="216"/>
      <c r="T761" s="216"/>
      <c r="U761" s="216"/>
      <c r="V761" s="216"/>
    </row>
    <row r="762" spans="1:22">
      <c r="A762" s="216"/>
      <c r="B762" s="216"/>
      <c r="C762" s="216"/>
      <c r="D762" s="216"/>
      <c r="E762" s="216"/>
      <c r="F762" s="216"/>
      <c r="G762" s="216"/>
      <c r="H762" s="216"/>
      <c r="I762" s="216"/>
      <c r="J762" s="216"/>
      <c r="K762" s="216"/>
      <c r="L762" s="207"/>
      <c r="M762" s="207"/>
      <c r="N762" s="216"/>
      <c r="O762" s="216"/>
      <c r="P762" s="216"/>
      <c r="Q762" s="216"/>
      <c r="R762" s="216"/>
      <c r="S762" s="216"/>
      <c r="T762" s="216"/>
      <c r="U762" s="216"/>
      <c r="V762" s="216"/>
    </row>
    <row r="763" spans="1:22">
      <c r="A763" s="216"/>
      <c r="B763" s="216"/>
      <c r="C763" s="216"/>
      <c r="D763" s="216"/>
      <c r="E763" s="216"/>
      <c r="F763" s="216"/>
      <c r="G763" s="216"/>
      <c r="H763" s="216"/>
      <c r="I763" s="216"/>
      <c r="J763" s="216"/>
      <c r="K763" s="216"/>
      <c r="L763" s="207"/>
      <c r="M763" s="207"/>
      <c r="N763" s="216"/>
      <c r="O763" s="216"/>
      <c r="P763" s="216"/>
      <c r="Q763" s="216"/>
      <c r="R763" s="216"/>
      <c r="S763" s="216"/>
      <c r="T763" s="216"/>
      <c r="U763" s="216"/>
      <c r="V763" s="216"/>
    </row>
    <row r="764" spans="1:22">
      <c r="A764" s="216"/>
      <c r="B764" s="216"/>
      <c r="C764" s="216"/>
      <c r="D764" s="216"/>
      <c r="E764" s="216"/>
      <c r="F764" s="216"/>
      <c r="G764" s="216"/>
      <c r="H764" s="216"/>
      <c r="I764" s="216"/>
      <c r="J764" s="216"/>
      <c r="K764" s="216"/>
      <c r="L764" s="207"/>
      <c r="M764" s="207"/>
      <c r="N764" s="216"/>
      <c r="O764" s="216"/>
      <c r="P764" s="216"/>
      <c r="Q764" s="216"/>
      <c r="R764" s="216"/>
      <c r="S764" s="216"/>
      <c r="T764" s="216"/>
      <c r="U764" s="216"/>
      <c r="V764" s="216"/>
    </row>
    <row r="765" spans="1:22">
      <c r="A765" s="216"/>
      <c r="B765" s="216"/>
      <c r="C765" s="216"/>
      <c r="D765" s="216"/>
      <c r="E765" s="216"/>
      <c r="F765" s="216"/>
      <c r="G765" s="216"/>
      <c r="H765" s="216"/>
      <c r="I765" s="216"/>
      <c r="J765" s="216"/>
      <c r="K765" s="216"/>
      <c r="L765" s="207"/>
      <c r="M765" s="207"/>
      <c r="N765" s="216"/>
      <c r="O765" s="216"/>
      <c r="P765" s="216"/>
      <c r="Q765" s="216"/>
      <c r="R765" s="216"/>
      <c r="S765" s="216"/>
      <c r="T765" s="216"/>
      <c r="U765" s="216"/>
      <c r="V765" s="216"/>
    </row>
    <row r="766" spans="1:22">
      <c r="A766" s="216"/>
      <c r="B766" s="216"/>
      <c r="C766" s="216"/>
      <c r="D766" s="216"/>
      <c r="E766" s="216"/>
      <c r="F766" s="216"/>
      <c r="G766" s="216"/>
      <c r="H766" s="216"/>
      <c r="I766" s="216"/>
      <c r="J766" s="216"/>
      <c r="K766" s="216"/>
      <c r="L766" s="207"/>
      <c r="M766" s="207"/>
      <c r="N766" s="216"/>
      <c r="O766" s="216"/>
      <c r="P766" s="216"/>
      <c r="Q766" s="216"/>
      <c r="R766" s="216"/>
      <c r="S766" s="216"/>
      <c r="T766" s="216"/>
      <c r="U766" s="216"/>
      <c r="V766" s="216"/>
    </row>
    <row r="767" spans="1:22">
      <c r="A767" s="216"/>
      <c r="B767" s="216"/>
      <c r="C767" s="216"/>
      <c r="D767" s="216"/>
      <c r="E767" s="216"/>
      <c r="F767" s="216"/>
      <c r="G767" s="216"/>
      <c r="H767" s="216"/>
      <c r="I767" s="216"/>
      <c r="J767" s="216"/>
      <c r="K767" s="216"/>
      <c r="L767" s="207"/>
      <c r="M767" s="207"/>
      <c r="N767" s="216"/>
      <c r="O767" s="216"/>
      <c r="P767" s="216"/>
      <c r="Q767" s="216"/>
      <c r="R767" s="216"/>
      <c r="S767" s="216"/>
      <c r="T767" s="216"/>
      <c r="U767" s="216"/>
      <c r="V767" s="216"/>
    </row>
    <row r="768" spans="1:22">
      <c r="A768" s="216"/>
      <c r="B768" s="216"/>
      <c r="C768" s="216"/>
      <c r="D768" s="216"/>
      <c r="E768" s="216"/>
      <c r="F768" s="216"/>
      <c r="G768" s="216"/>
      <c r="H768" s="216"/>
      <c r="I768" s="216"/>
      <c r="J768" s="216"/>
      <c r="K768" s="216"/>
      <c r="L768" s="207"/>
      <c r="M768" s="207"/>
      <c r="N768" s="216"/>
      <c r="O768" s="216"/>
      <c r="P768" s="216"/>
      <c r="Q768" s="216"/>
      <c r="R768" s="216"/>
      <c r="S768" s="216"/>
      <c r="T768" s="216"/>
      <c r="U768" s="216"/>
      <c r="V768" s="216"/>
    </row>
    <row r="769" spans="1:22">
      <c r="A769" s="216"/>
      <c r="B769" s="216"/>
      <c r="C769" s="216"/>
      <c r="D769" s="216"/>
      <c r="E769" s="216"/>
      <c r="F769" s="216"/>
      <c r="G769" s="216"/>
      <c r="H769" s="216"/>
      <c r="I769" s="216"/>
      <c r="J769" s="216"/>
      <c r="K769" s="216"/>
      <c r="L769" s="207"/>
      <c r="M769" s="207"/>
      <c r="N769" s="216"/>
      <c r="O769" s="216"/>
      <c r="P769" s="216"/>
      <c r="Q769" s="216"/>
      <c r="R769" s="216"/>
      <c r="S769" s="216"/>
      <c r="T769" s="216"/>
      <c r="U769" s="216"/>
      <c r="V769" s="216"/>
    </row>
    <row r="770" spans="1:22">
      <c r="A770" s="216"/>
      <c r="B770" s="216"/>
      <c r="C770" s="216"/>
      <c r="D770" s="216"/>
      <c r="E770" s="216"/>
      <c r="F770" s="216"/>
      <c r="G770" s="216"/>
      <c r="H770" s="216"/>
      <c r="I770" s="216"/>
      <c r="J770" s="216"/>
      <c r="K770" s="216"/>
      <c r="L770" s="207"/>
      <c r="M770" s="207"/>
      <c r="N770" s="216"/>
      <c r="O770" s="216"/>
      <c r="P770" s="216"/>
      <c r="Q770" s="216"/>
      <c r="R770" s="216"/>
      <c r="S770" s="216"/>
      <c r="T770" s="216"/>
      <c r="U770" s="216"/>
      <c r="V770" s="216"/>
    </row>
    <row r="771" spans="1:22">
      <c r="A771" s="216"/>
      <c r="B771" s="216"/>
      <c r="C771" s="216"/>
      <c r="D771" s="216"/>
      <c r="E771" s="216"/>
      <c r="F771" s="216"/>
      <c r="G771" s="216"/>
      <c r="H771" s="216"/>
      <c r="I771" s="216"/>
      <c r="J771" s="216"/>
      <c r="K771" s="216"/>
      <c r="L771" s="207"/>
      <c r="M771" s="207"/>
      <c r="N771" s="216"/>
      <c r="O771" s="216"/>
      <c r="P771" s="216"/>
      <c r="Q771" s="216"/>
      <c r="R771" s="216"/>
      <c r="S771" s="216"/>
      <c r="T771" s="216"/>
      <c r="U771" s="216"/>
      <c r="V771" s="216"/>
    </row>
    <row r="772" spans="1:22">
      <c r="A772" s="216"/>
      <c r="B772" s="216"/>
      <c r="C772" s="216"/>
      <c r="D772" s="216"/>
      <c r="E772" s="216"/>
      <c r="F772" s="216"/>
      <c r="G772" s="216"/>
      <c r="H772" s="216"/>
      <c r="I772" s="216"/>
      <c r="J772" s="216"/>
      <c r="K772" s="216"/>
      <c r="L772" s="207"/>
      <c r="M772" s="207"/>
      <c r="N772" s="216"/>
      <c r="O772" s="216"/>
      <c r="P772" s="216"/>
      <c r="Q772" s="216"/>
      <c r="R772" s="216"/>
      <c r="S772" s="216"/>
      <c r="T772" s="216"/>
      <c r="U772" s="216"/>
      <c r="V772" s="216"/>
    </row>
    <row r="773" spans="1:22">
      <c r="A773" s="216"/>
      <c r="B773" s="216"/>
      <c r="C773" s="216"/>
      <c r="D773" s="216"/>
      <c r="E773" s="216"/>
      <c r="F773" s="216"/>
      <c r="G773" s="216"/>
      <c r="H773" s="216"/>
      <c r="I773" s="216"/>
      <c r="J773" s="216"/>
      <c r="K773" s="216"/>
      <c r="L773" s="207"/>
      <c r="M773" s="207"/>
      <c r="N773" s="216"/>
      <c r="O773" s="216"/>
      <c r="P773" s="216"/>
      <c r="Q773" s="216"/>
      <c r="R773" s="216"/>
      <c r="S773" s="216"/>
      <c r="T773" s="216"/>
      <c r="U773" s="216"/>
      <c r="V773" s="216"/>
    </row>
    <row r="774" spans="1:22">
      <c r="A774" s="216"/>
      <c r="B774" s="216"/>
      <c r="C774" s="216"/>
      <c r="D774" s="216"/>
      <c r="E774" s="216"/>
      <c r="F774" s="216"/>
      <c r="G774" s="216"/>
      <c r="H774" s="216"/>
      <c r="I774" s="216"/>
      <c r="J774" s="216"/>
      <c r="K774" s="216"/>
      <c r="L774" s="207"/>
      <c r="M774" s="207"/>
      <c r="N774" s="216"/>
      <c r="O774" s="216"/>
      <c r="P774" s="216"/>
      <c r="Q774" s="216"/>
      <c r="R774" s="216"/>
      <c r="S774" s="216"/>
      <c r="T774" s="216"/>
      <c r="U774" s="216"/>
      <c r="V774" s="216"/>
    </row>
    <row r="775" spans="1:22">
      <c r="A775" s="216"/>
      <c r="B775" s="216"/>
      <c r="C775" s="216"/>
      <c r="D775" s="216"/>
      <c r="E775" s="216"/>
      <c r="F775" s="216"/>
      <c r="G775" s="216"/>
      <c r="H775" s="216"/>
      <c r="I775" s="216"/>
      <c r="J775" s="216"/>
      <c r="K775" s="216"/>
      <c r="L775" s="207"/>
      <c r="M775" s="207"/>
      <c r="N775" s="216"/>
      <c r="O775" s="216"/>
      <c r="P775" s="216"/>
      <c r="Q775" s="216"/>
      <c r="R775" s="216"/>
      <c r="S775" s="216"/>
      <c r="T775" s="216"/>
      <c r="U775" s="216"/>
      <c r="V775" s="216"/>
    </row>
    <row r="776" spans="1:22">
      <c r="A776" s="216"/>
      <c r="B776" s="216"/>
      <c r="C776" s="216"/>
      <c r="D776" s="216"/>
      <c r="E776" s="216"/>
      <c r="F776" s="216"/>
      <c r="G776" s="216"/>
      <c r="H776" s="216"/>
      <c r="I776" s="216"/>
      <c r="J776" s="216"/>
      <c r="K776" s="216"/>
      <c r="L776" s="207"/>
      <c r="M776" s="207"/>
      <c r="N776" s="216"/>
      <c r="O776" s="216"/>
      <c r="P776" s="216"/>
      <c r="Q776" s="216"/>
      <c r="R776" s="216"/>
      <c r="S776" s="216"/>
      <c r="T776" s="216"/>
      <c r="U776" s="216"/>
      <c r="V776" s="216"/>
    </row>
    <row r="777" spans="1:22">
      <c r="A777" s="216"/>
      <c r="B777" s="216"/>
      <c r="C777" s="216"/>
      <c r="D777" s="216"/>
      <c r="E777" s="216"/>
      <c r="F777" s="216"/>
      <c r="G777" s="216"/>
      <c r="H777" s="216"/>
      <c r="I777" s="216"/>
      <c r="J777" s="216"/>
      <c r="K777" s="216"/>
      <c r="L777" s="207"/>
      <c r="M777" s="207"/>
      <c r="N777" s="216"/>
      <c r="O777" s="216"/>
      <c r="P777" s="216"/>
      <c r="Q777" s="216"/>
      <c r="R777" s="216"/>
      <c r="S777" s="216"/>
      <c r="T777" s="216"/>
      <c r="U777" s="216"/>
      <c r="V777" s="216"/>
    </row>
    <row r="778" spans="1:22">
      <c r="A778" s="216"/>
      <c r="B778" s="216"/>
      <c r="C778" s="216"/>
      <c r="D778" s="216"/>
      <c r="E778" s="216"/>
      <c r="F778" s="216"/>
      <c r="G778" s="216"/>
      <c r="H778" s="216"/>
      <c r="I778" s="216"/>
      <c r="J778" s="216"/>
      <c r="K778" s="216"/>
      <c r="L778" s="207"/>
      <c r="M778" s="207"/>
      <c r="N778" s="216"/>
      <c r="O778" s="216"/>
      <c r="P778" s="216"/>
      <c r="Q778" s="216"/>
      <c r="R778" s="216"/>
      <c r="S778" s="216"/>
      <c r="T778" s="216"/>
      <c r="U778" s="216"/>
      <c r="V778" s="216"/>
    </row>
    <row r="779" spans="1:22">
      <c r="A779" s="216"/>
      <c r="B779" s="216"/>
      <c r="C779" s="216"/>
      <c r="D779" s="216"/>
      <c r="E779" s="216"/>
      <c r="F779" s="216"/>
      <c r="G779" s="216"/>
      <c r="H779" s="216"/>
      <c r="I779" s="216"/>
      <c r="J779" s="216"/>
      <c r="K779" s="216"/>
      <c r="L779" s="207"/>
      <c r="M779" s="207"/>
      <c r="N779" s="216"/>
      <c r="O779" s="216"/>
      <c r="P779" s="216"/>
      <c r="Q779" s="216"/>
      <c r="R779" s="216"/>
      <c r="S779" s="216"/>
      <c r="T779" s="216"/>
      <c r="U779" s="216"/>
      <c r="V779" s="216"/>
    </row>
    <row r="780" spans="1:22">
      <c r="A780" s="216"/>
      <c r="B780" s="216"/>
      <c r="C780" s="216"/>
      <c r="D780" s="216"/>
      <c r="E780" s="216"/>
      <c r="F780" s="216"/>
      <c r="G780" s="216"/>
      <c r="H780" s="216"/>
      <c r="I780" s="216"/>
      <c r="J780" s="216"/>
      <c r="K780" s="216"/>
      <c r="L780" s="207"/>
      <c r="M780" s="207"/>
      <c r="N780" s="216"/>
      <c r="O780" s="216"/>
      <c r="P780" s="216"/>
      <c r="Q780" s="216"/>
      <c r="R780" s="216"/>
      <c r="S780" s="216"/>
      <c r="T780" s="216"/>
      <c r="U780" s="216"/>
      <c r="V780" s="216"/>
    </row>
    <row r="781" spans="1:22">
      <c r="A781" s="216"/>
      <c r="B781" s="216"/>
      <c r="C781" s="216"/>
      <c r="D781" s="216"/>
      <c r="E781" s="216"/>
      <c r="F781" s="216"/>
      <c r="G781" s="216"/>
      <c r="H781" s="216"/>
      <c r="I781" s="216"/>
      <c r="J781" s="216"/>
      <c r="K781" s="216"/>
      <c r="L781" s="207"/>
      <c r="M781" s="207"/>
      <c r="N781" s="216"/>
      <c r="O781" s="216"/>
      <c r="P781" s="216"/>
      <c r="Q781" s="216"/>
      <c r="R781" s="216"/>
      <c r="S781" s="216"/>
      <c r="T781" s="216"/>
      <c r="U781" s="216"/>
      <c r="V781" s="216"/>
    </row>
    <row r="782" spans="1:22">
      <c r="A782" s="216"/>
      <c r="B782" s="216"/>
      <c r="C782" s="216"/>
      <c r="D782" s="216"/>
      <c r="E782" s="216"/>
      <c r="F782" s="216"/>
      <c r="G782" s="216"/>
      <c r="H782" s="216"/>
      <c r="I782" s="216"/>
      <c r="J782" s="216"/>
      <c r="K782" s="216"/>
      <c r="L782" s="207"/>
      <c r="M782" s="207"/>
      <c r="N782" s="216"/>
      <c r="O782" s="216"/>
      <c r="P782" s="216"/>
      <c r="Q782" s="216"/>
      <c r="R782" s="216"/>
      <c r="S782" s="216"/>
      <c r="T782" s="216"/>
      <c r="U782" s="216"/>
      <c r="V782" s="216"/>
    </row>
    <row r="783" spans="1:22">
      <c r="A783" s="216"/>
      <c r="B783" s="216"/>
      <c r="C783" s="216"/>
      <c r="D783" s="216"/>
      <c r="E783" s="216"/>
      <c r="F783" s="216"/>
      <c r="G783" s="216"/>
      <c r="H783" s="216"/>
      <c r="I783" s="216"/>
      <c r="J783" s="216"/>
      <c r="K783" s="216"/>
      <c r="L783" s="207"/>
      <c r="M783" s="207"/>
      <c r="N783" s="216"/>
      <c r="O783" s="216"/>
      <c r="P783" s="216"/>
      <c r="Q783" s="216"/>
      <c r="R783" s="216"/>
      <c r="S783" s="216"/>
      <c r="T783" s="216"/>
      <c r="U783" s="216"/>
      <c r="V783" s="216"/>
    </row>
    <row r="784" spans="1:22">
      <c r="A784" s="216"/>
      <c r="B784" s="216"/>
      <c r="C784" s="216"/>
      <c r="D784" s="216"/>
      <c r="E784" s="216"/>
      <c r="F784" s="216"/>
      <c r="G784" s="216"/>
      <c r="H784" s="216"/>
      <c r="I784" s="216"/>
      <c r="J784" s="216"/>
      <c r="K784" s="216"/>
      <c r="L784" s="207"/>
      <c r="M784" s="207"/>
      <c r="N784" s="216"/>
      <c r="O784" s="216"/>
      <c r="P784" s="216"/>
      <c r="Q784" s="216"/>
      <c r="R784" s="216"/>
      <c r="S784" s="216"/>
      <c r="T784" s="216"/>
      <c r="U784" s="216"/>
      <c r="V784" s="216"/>
    </row>
    <row r="785" spans="1:22">
      <c r="A785" s="216"/>
      <c r="B785" s="216"/>
      <c r="C785" s="216"/>
      <c r="D785" s="216"/>
      <c r="E785" s="216"/>
      <c r="F785" s="216"/>
      <c r="G785" s="216"/>
      <c r="H785" s="216"/>
      <c r="I785" s="216"/>
      <c r="J785" s="216"/>
      <c r="K785" s="216"/>
      <c r="L785" s="207"/>
      <c r="M785" s="207"/>
      <c r="N785" s="216"/>
      <c r="O785" s="216"/>
      <c r="P785" s="216"/>
      <c r="Q785" s="216"/>
      <c r="R785" s="216"/>
      <c r="S785" s="216"/>
      <c r="T785" s="216"/>
      <c r="U785" s="216"/>
      <c r="V785" s="216"/>
    </row>
    <row r="786" spans="1:22">
      <c r="A786" s="216"/>
      <c r="B786" s="216"/>
      <c r="C786" s="216"/>
      <c r="D786" s="216"/>
      <c r="E786" s="216"/>
      <c r="F786" s="216"/>
      <c r="G786" s="216"/>
      <c r="H786" s="216"/>
      <c r="I786" s="216"/>
      <c r="J786" s="216"/>
      <c r="K786" s="216"/>
      <c r="L786" s="207"/>
      <c r="M786" s="207"/>
      <c r="N786" s="216"/>
      <c r="O786" s="216"/>
      <c r="P786" s="216"/>
      <c r="Q786" s="216"/>
      <c r="R786" s="216"/>
      <c r="S786" s="216"/>
      <c r="T786" s="216"/>
      <c r="U786" s="216"/>
      <c r="V786" s="216"/>
    </row>
    <row r="787" spans="1:22">
      <c r="A787" s="216"/>
      <c r="B787" s="216"/>
      <c r="C787" s="216"/>
      <c r="D787" s="216"/>
      <c r="E787" s="216"/>
      <c r="F787" s="216"/>
      <c r="G787" s="216"/>
      <c r="H787" s="216"/>
      <c r="I787" s="216"/>
      <c r="J787" s="216"/>
      <c r="K787" s="216"/>
      <c r="L787" s="207"/>
      <c r="M787" s="207"/>
      <c r="N787" s="216"/>
      <c r="O787" s="216"/>
      <c r="P787" s="216"/>
      <c r="Q787" s="216"/>
      <c r="R787" s="216"/>
      <c r="S787" s="216"/>
      <c r="T787" s="216"/>
      <c r="U787" s="216"/>
      <c r="V787" s="216"/>
    </row>
    <row r="788" spans="1:22">
      <c r="A788" s="216"/>
      <c r="B788" s="216"/>
      <c r="C788" s="216"/>
      <c r="D788" s="216"/>
      <c r="E788" s="216"/>
      <c r="F788" s="216"/>
      <c r="G788" s="216"/>
      <c r="H788" s="216"/>
      <c r="I788" s="216"/>
      <c r="J788" s="216"/>
      <c r="K788" s="216"/>
      <c r="L788" s="207"/>
      <c r="M788" s="207"/>
      <c r="N788" s="216"/>
      <c r="O788" s="216"/>
      <c r="P788" s="216"/>
      <c r="Q788" s="216"/>
      <c r="R788" s="216"/>
      <c r="S788" s="216"/>
      <c r="T788" s="216"/>
      <c r="U788" s="216"/>
      <c r="V788" s="216"/>
    </row>
    <row r="789" spans="1:22">
      <c r="A789" s="216"/>
      <c r="B789" s="216"/>
      <c r="C789" s="216"/>
      <c r="D789" s="216"/>
      <c r="E789" s="216"/>
      <c r="F789" s="216"/>
      <c r="G789" s="216"/>
      <c r="H789" s="216"/>
      <c r="I789" s="216"/>
      <c r="J789" s="216"/>
      <c r="K789" s="216"/>
      <c r="L789" s="207"/>
      <c r="M789" s="207"/>
      <c r="N789" s="216"/>
      <c r="O789" s="216"/>
      <c r="P789" s="216"/>
      <c r="Q789" s="216"/>
      <c r="R789" s="216"/>
      <c r="S789" s="216"/>
      <c r="T789" s="216"/>
      <c r="U789" s="216"/>
      <c r="V789" s="216"/>
    </row>
    <row r="790" spans="1:22">
      <c r="A790" s="216"/>
      <c r="B790" s="216"/>
      <c r="C790" s="216"/>
      <c r="D790" s="216"/>
      <c r="E790" s="216"/>
      <c r="F790" s="216"/>
      <c r="G790" s="216"/>
      <c r="H790" s="216"/>
      <c r="I790" s="216"/>
      <c r="J790" s="216"/>
      <c r="K790" s="216"/>
      <c r="L790" s="207"/>
      <c r="M790" s="207"/>
      <c r="N790" s="216"/>
      <c r="O790" s="216"/>
      <c r="P790" s="216"/>
      <c r="Q790" s="216"/>
      <c r="R790" s="216"/>
      <c r="S790" s="216"/>
      <c r="T790" s="216"/>
      <c r="U790" s="216"/>
      <c r="V790" s="216"/>
    </row>
    <row r="791" spans="1:22">
      <c r="A791" s="216"/>
      <c r="B791" s="216"/>
      <c r="C791" s="216"/>
      <c r="D791" s="216"/>
      <c r="E791" s="216"/>
      <c r="F791" s="216"/>
      <c r="G791" s="216"/>
      <c r="H791" s="216"/>
      <c r="I791" s="216"/>
      <c r="J791" s="216"/>
      <c r="K791" s="216"/>
      <c r="L791" s="207"/>
      <c r="M791" s="207"/>
      <c r="N791" s="216"/>
      <c r="O791" s="216"/>
      <c r="P791" s="216"/>
      <c r="Q791" s="216"/>
      <c r="R791" s="216"/>
      <c r="S791" s="216"/>
      <c r="T791" s="216"/>
      <c r="U791" s="216"/>
      <c r="V791" s="216"/>
    </row>
    <row r="792" spans="1:22">
      <c r="A792" s="216"/>
      <c r="B792" s="216"/>
      <c r="C792" s="216"/>
      <c r="D792" s="216"/>
      <c r="E792" s="216"/>
      <c r="F792" s="216"/>
      <c r="G792" s="216"/>
      <c r="H792" s="216"/>
      <c r="I792" s="216"/>
      <c r="J792" s="216"/>
      <c r="K792" s="216"/>
      <c r="L792" s="207"/>
      <c r="M792" s="207"/>
      <c r="N792" s="216"/>
      <c r="O792" s="216"/>
      <c r="P792" s="216"/>
      <c r="Q792" s="216"/>
      <c r="R792" s="216"/>
      <c r="S792" s="216"/>
      <c r="T792" s="216"/>
      <c r="U792" s="216"/>
      <c r="V792" s="216"/>
    </row>
    <row r="793" spans="1:22">
      <c r="A793" s="216"/>
      <c r="B793" s="216"/>
      <c r="C793" s="216"/>
      <c r="D793" s="216"/>
      <c r="E793" s="216"/>
      <c r="F793" s="216"/>
      <c r="G793" s="216"/>
      <c r="H793" s="216"/>
      <c r="I793" s="216"/>
      <c r="J793" s="216"/>
      <c r="K793" s="216"/>
      <c r="L793" s="207"/>
      <c r="M793" s="207"/>
      <c r="N793" s="216"/>
      <c r="O793" s="216"/>
      <c r="P793" s="216"/>
      <c r="Q793" s="216"/>
      <c r="R793" s="216"/>
      <c r="S793" s="216"/>
      <c r="T793" s="216"/>
      <c r="U793" s="216"/>
      <c r="V793" s="216"/>
    </row>
    <row r="794" spans="1:22">
      <c r="A794" s="216"/>
      <c r="B794" s="216"/>
      <c r="C794" s="216"/>
      <c r="D794" s="216"/>
      <c r="E794" s="216"/>
      <c r="F794" s="216"/>
      <c r="G794" s="216"/>
      <c r="H794" s="216"/>
      <c r="I794" s="216"/>
      <c r="J794" s="216"/>
      <c r="K794" s="216"/>
      <c r="L794" s="207"/>
      <c r="M794" s="207"/>
      <c r="N794" s="216"/>
      <c r="O794" s="216"/>
      <c r="P794" s="216"/>
      <c r="Q794" s="216"/>
      <c r="R794" s="216"/>
      <c r="S794" s="216"/>
      <c r="T794" s="216"/>
      <c r="U794" s="216"/>
      <c r="V794" s="216"/>
    </row>
    <row r="795" spans="1:22">
      <c r="A795" s="216"/>
      <c r="B795" s="216"/>
      <c r="C795" s="216"/>
      <c r="D795" s="216"/>
      <c r="E795" s="216"/>
      <c r="F795" s="216"/>
      <c r="G795" s="216"/>
      <c r="H795" s="216"/>
      <c r="I795" s="216"/>
      <c r="J795" s="216"/>
      <c r="K795" s="216"/>
      <c r="L795" s="207"/>
      <c r="M795" s="207"/>
      <c r="N795" s="216"/>
      <c r="O795" s="216"/>
      <c r="P795" s="216"/>
      <c r="Q795" s="216"/>
      <c r="R795" s="216"/>
      <c r="S795" s="216"/>
      <c r="T795" s="216"/>
      <c r="U795" s="216"/>
      <c r="V795" s="216"/>
    </row>
    <row r="796" spans="1:22">
      <c r="A796" s="216"/>
      <c r="B796" s="216"/>
      <c r="C796" s="216"/>
      <c r="D796" s="216"/>
      <c r="E796" s="216"/>
      <c r="F796" s="216"/>
      <c r="G796" s="216"/>
      <c r="H796" s="216"/>
      <c r="I796" s="216"/>
      <c r="J796" s="216"/>
      <c r="K796" s="216"/>
      <c r="L796" s="207"/>
      <c r="M796" s="207"/>
      <c r="N796" s="216"/>
      <c r="O796" s="216"/>
      <c r="P796" s="216"/>
      <c r="Q796" s="216"/>
      <c r="R796" s="216"/>
      <c r="S796" s="216"/>
      <c r="T796" s="216"/>
      <c r="U796" s="216"/>
      <c r="V796" s="216"/>
    </row>
    <row r="797" spans="1:22">
      <c r="A797" s="216"/>
      <c r="B797" s="216"/>
      <c r="C797" s="216"/>
      <c r="D797" s="216"/>
      <c r="E797" s="216"/>
      <c r="F797" s="216"/>
      <c r="G797" s="216"/>
      <c r="H797" s="216"/>
      <c r="I797" s="216"/>
      <c r="J797" s="216"/>
      <c r="K797" s="216"/>
      <c r="L797" s="207"/>
      <c r="M797" s="207"/>
      <c r="N797" s="216"/>
      <c r="O797" s="216"/>
      <c r="P797" s="216"/>
      <c r="Q797" s="216"/>
      <c r="R797" s="216"/>
      <c r="S797" s="216"/>
      <c r="T797" s="216"/>
      <c r="U797" s="216"/>
      <c r="V797" s="216"/>
    </row>
    <row r="798" spans="1:22">
      <c r="A798" s="216"/>
      <c r="B798" s="216"/>
      <c r="C798" s="216"/>
      <c r="D798" s="216"/>
      <c r="E798" s="216"/>
      <c r="F798" s="216"/>
      <c r="G798" s="216"/>
      <c r="H798" s="216"/>
      <c r="I798" s="216"/>
      <c r="J798" s="216"/>
      <c r="K798" s="216"/>
      <c r="L798" s="207"/>
      <c r="M798" s="207"/>
      <c r="N798" s="216"/>
      <c r="O798" s="216"/>
      <c r="P798" s="216"/>
      <c r="Q798" s="216"/>
      <c r="R798" s="216"/>
      <c r="S798" s="216"/>
      <c r="T798" s="216"/>
      <c r="U798" s="216"/>
      <c r="V798" s="216"/>
    </row>
    <row r="799" spans="1:22">
      <c r="A799" s="216"/>
      <c r="B799" s="216"/>
      <c r="C799" s="216"/>
      <c r="D799" s="216"/>
      <c r="E799" s="216"/>
      <c r="F799" s="216"/>
      <c r="G799" s="216"/>
      <c r="H799" s="216"/>
      <c r="I799" s="216"/>
      <c r="J799" s="216"/>
      <c r="K799" s="216"/>
      <c r="L799" s="207"/>
      <c r="M799" s="207"/>
      <c r="N799" s="216"/>
      <c r="O799" s="216"/>
      <c r="P799" s="216"/>
      <c r="Q799" s="216"/>
      <c r="R799" s="216"/>
      <c r="S799" s="216"/>
      <c r="T799" s="216"/>
      <c r="U799" s="216"/>
      <c r="V799" s="216"/>
    </row>
    <row r="800" spans="1:22">
      <c r="A800" s="216"/>
      <c r="B800" s="216"/>
      <c r="C800" s="216"/>
      <c r="D800" s="216"/>
      <c r="E800" s="216"/>
      <c r="F800" s="216"/>
      <c r="G800" s="216"/>
      <c r="H800" s="216"/>
      <c r="I800" s="216"/>
      <c r="J800" s="216"/>
      <c r="K800" s="216"/>
      <c r="L800" s="207"/>
      <c r="M800" s="207"/>
      <c r="N800" s="216"/>
      <c r="O800" s="216"/>
      <c r="P800" s="216"/>
      <c r="Q800" s="216"/>
      <c r="R800" s="216"/>
      <c r="S800" s="216"/>
      <c r="T800" s="216"/>
      <c r="U800" s="216"/>
      <c r="V800" s="216"/>
    </row>
    <row r="801" spans="1:22">
      <c r="A801" s="216"/>
      <c r="B801" s="216"/>
      <c r="C801" s="216"/>
      <c r="D801" s="216"/>
      <c r="E801" s="216"/>
      <c r="F801" s="216"/>
      <c r="G801" s="216"/>
      <c r="H801" s="216"/>
      <c r="I801" s="216"/>
      <c r="J801" s="216"/>
      <c r="K801" s="216"/>
      <c r="L801" s="207"/>
      <c r="M801" s="207"/>
      <c r="N801" s="216"/>
      <c r="O801" s="216"/>
      <c r="P801" s="216"/>
      <c r="Q801" s="216"/>
      <c r="R801" s="216"/>
      <c r="S801" s="216"/>
      <c r="T801" s="216"/>
      <c r="U801" s="216"/>
      <c r="V801" s="216"/>
    </row>
    <row r="802" spans="1:22">
      <c r="A802" s="216"/>
      <c r="B802" s="216"/>
      <c r="C802" s="216"/>
      <c r="D802" s="216"/>
      <c r="E802" s="216"/>
      <c r="F802" s="216"/>
      <c r="G802" s="216"/>
      <c r="H802" s="216"/>
      <c r="I802" s="216"/>
      <c r="J802" s="216"/>
      <c r="K802" s="216"/>
      <c r="L802" s="207"/>
      <c r="M802" s="207"/>
      <c r="N802" s="216"/>
      <c r="O802" s="216"/>
      <c r="P802" s="216"/>
      <c r="Q802" s="216"/>
      <c r="R802" s="216"/>
      <c r="S802" s="216"/>
      <c r="T802" s="216"/>
      <c r="U802" s="216"/>
      <c r="V802" s="216"/>
    </row>
    <row r="803" spans="1:22">
      <c r="A803" s="216"/>
      <c r="B803" s="216"/>
      <c r="C803" s="216"/>
      <c r="D803" s="216"/>
      <c r="E803" s="216"/>
      <c r="F803" s="216"/>
      <c r="G803" s="216"/>
      <c r="H803" s="216"/>
      <c r="I803" s="216"/>
      <c r="J803" s="216"/>
      <c r="K803" s="216"/>
      <c r="L803" s="207"/>
      <c r="M803" s="207"/>
      <c r="N803" s="216"/>
      <c r="O803" s="216"/>
      <c r="P803" s="216"/>
      <c r="Q803" s="216"/>
      <c r="R803" s="216"/>
      <c r="S803" s="216"/>
      <c r="T803" s="216"/>
      <c r="U803" s="216"/>
      <c r="V803" s="216"/>
    </row>
    <row r="804" spans="1:22">
      <c r="A804" s="216"/>
      <c r="B804" s="216"/>
      <c r="C804" s="216"/>
      <c r="D804" s="216"/>
      <c r="E804" s="216"/>
      <c r="F804" s="216"/>
      <c r="G804" s="216"/>
      <c r="H804" s="216"/>
      <c r="I804" s="216"/>
      <c r="J804" s="216"/>
      <c r="K804" s="216"/>
      <c r="L804" s="207"/>
      <c r="M804" s="207"/>
      <c r="N804" s="216"/>
      <c r="O804" s="216"/>
      <c r="P804" s="216"/>
      <c r="Q804" s="216"/>
      <c r="R804" s="216"/>
      <c r="S804" s="216"/>
      <c r="T804" s="216"/>
      <c r="U804" s="216"/>
      <c r="V804" s="216"/>
    </row>
    <row r="805" spans="1:22">
      <c r="A805" s="216"/>
      <c r="B805" s="216"/>
      <c r="C805" s="216"/>
      <c r="D805" s="216"/>
      <c r="E805" s="216"/>
      <c r="F805" s="216"/>
      <c r="G805" s="216"/>
      <c r="H805" s="216"/>
      <c r="I805" s="216"/>
      <c r="J805" s="216"/>
      <c r="K805" s="216"/>
      <c r="L805" s="207"/>
      <c r="M805" s="207"/>
      <c r="N805" s="216"/>
      <c r="O805" s="216"/>
      <c r="P805" s="216"/>
      <c r="Q805" s="216"/>
      <c r="R805" s="216"/>
      <c r="S805" s="216"/>
      <c r="T805" s="216"/>
      <c r="U805" s="216"/>
      <c r="V805" s="216"/>
    </row>
    <row r="806" spans="1:22">
      <c r="A806" s="216"/>
      <c r="B806" s="216"/>
      <c r="C806" s="216"/>
      <c r="D806" s="216"/>
      <c r="E806" s="216"/>
      <c r="F806" s="216"/>
      <c r="G806" s="216"/>
      <c r="H806" s="216"/>
      <c r="I806" s="216"/>
      <c r="J806" s="216"/>
      <c r="K806" s="216"/>
      <c r="L806" s="207"/>
      <c r="M806" s="207"/>
      <c r="N806" s="216"/>
      <c r="O806" s="216"/>
      <c r="P806" s="216"/>
      <c r="Q806" s="216"/>
      <c r="R806" s="216"/>
      <c r="S806" s="216"/>
      <c r="T806" s="216"/>
      <c r="U806" s="216"/>
      <c r="V806" s="216"/>
    </row>
    <row r="807" spans="1:22">
      <c r="A807" s="216"/>
      <c r="B807" s="216"/>
      <c r="C807" s="216"/>
      <c r="D807" s="216"/>
      <c r="E807" s="216"/>
      <c r="F807" s="216"/>
      <c r="G807" s="216"/>
      <c r="H807" s="216"/>
      <c r="I807" s="216"/>
      <c r="J807" s="216"/>
      <c r="K807" s="216"/>
      <c r="L807" s="207"/>
      <c r="M807" s="207"/>
      <c r="N807" s="216"/>
      <c r="O807" s="216"/>
      <c r="P807" s="216"/>
      <c r="Q807" s="216"/>
      <c r="R807" s="216"/>
      <c r="S807" s="216"/>
      <c r="T807" s="216"/>
      <c r="U807" s="216"/>
      <c r="V807" s="216"/>
    </row>
    <row r="808" spans="1:22">
      <c r="A808" s="216"/>
      <c r="B808" s="216"/>
      <c r="C808" s="216"/>
      <c r="D808" s="216"/>
      <c r="E808" s="216"/>
      <c r="F808" s="216"/>
      <c r="G808" s="216"/>
      <c r="H808" s="216"/>
      <c r="I808" s="216"/>
      <c r="J808" s="216"/>
      <c r="K808" s="216"/>
      <c r="L808" s="207"/>
      <c r="M808" s="207"/>
      <c r="N808" s="216"/>
      <c r="O808" s="216"/>
      <c r="P808" s="216"/>
      <c r="Q808" s="216"/>
      <c r="R808" s="216"/>
      <c r="S808" s="216"/>
      <c r="T808" s="216"/>
      <c r="U808" s="216"/>
      <c r="V808" s="216"/>
    </row>
    <row r="809" spans="1:22">
      <c r="A809" s="216"/>
      <c r="B809" s="216"/>
      <c r="C809" s="216"/>
      <c r="D809" s="216"/>
      <c r="E809" s="216"/>
      <c r="F809" s="216"/>
      <c r="G809" s="216"/>
      <c r="H809" s="216"/>
      <c r="I809" s="216"/>
      <c r="J809" s="216"/>
      <c r="K809" s="216"/>
      <c r="L809" s="207"/>
      <c r="M809" s="207"/>
      <c r="N809" s="216"/>
      <c r="O809" s="216"/>
      <c r="P809" s="216"/>
      <c r="Q809" s="216"/>
      <c r="R809" s="216"/>
      <c r="S809" s="216"/>
      <c r="T809" s="216"/>
      <c r="U809" s="216"/>
      <c r="V809" s="216"/>
    </row>
    <row r="810" spans="1:22">
      <c r="A810" s="216"/>
      <c r="B810" s="216"/>
      <c r="C810" s="216"/>
      <c r="D810" s="216"/>
      <c r="E810" s="216"/>
      <c r="F810" s="216"/>
      <c r="G810" s="216"/>
      <c r="H810" s="216"/>
      <c r="I810" s="216"/>
      <c r="J810" s="216"/>
      <c r="K810" s="216"/>
      <c r="L810" s="207"/>
      <c r="M810" s="207"/>
      <c r="N810" s="216"/>
      <c r="O810" s="216"/>
      <c r="P810" s="216"/>
      <c r="Q810" s="216"/>
      <c r="R810" s="216"/>
      <c r="S810" s="216"/>
      <c r="T810" s="216"/>
      <c r="U810" s="216"/>
      <c r="V810" s="216"/>
    </row>
    <row r="811" spans="1:22">
      <c r="A811" s="216"/>
      <c r="B811" s="216"/>
      <c r="C811" s="216"/>
      <c r="D811" s="216"/>
      <c r="E811" s="216"/>
      <c r="F811" s="216"/>
      <c r="G811" s="216"/>
      <c r="H811" s="216"/>
      <c r="I811" s="216"/>
      <c r="J811" s="216"/>
      <c r="K811" s="216"/>
      <c r="L811" s="207"/>
      <c r="M811" s="207"/>
      <c r="N811" s="216"/>
      <c r="O811" s="216"/>
      <c r="P811" s="216"/>
      <c r="Q811" s="216"/>
      <c r="R811" s="216"/>
      <c r="S811" s="216"/>
      <c r="T811" s="216"/>
      <c r="U811" s="216"/>
      <c r="V811" s="216"/>
    </row>
    <row r="812" spans="1:22">
      <c r="A812" s="216"/>
      <c r="B812" s="216"/>
      <c r="C812" s="216"/>
      <c r="D812" s="216"/>
      <c r="E812" s="216"/>
      <c r="F812" s="216"/>
      <c r="G812" s="216"/>
      <c r="H812" s="216"/>
      <c r="I812" s="216"/>
      <c r="J812" s="216"/>
      <c r="K812" s="216"/>
      <c r="L812" s="207"/>
      <c r="M812" s="207"/>
      <c r="N812" s="216"/>
      <c r="O812" s="216"/>
      <c r="P812" s="216"/>
      <c r="Q812" s="216"/>
      <c r="R812" s="216"/>
      <c r="S812" s="216"/>
      <c r="T812" s="216"/>
      <c r="U812" s="216"/>
      <c r="V812" s="216"/>
    </row>
    <row r="813" spans="1:22">
      <c r="A813" s="216"/>
      <c r="B813" s="216"/>
      <c r="C813" s="216"/>
      <c r="D813" s="216"/>
      <c r="E813" s="216"/>
      <c r="F813" s="216"/>
      <c r="G813" s="216"/>
      <c r="H813" s="216"/>
      <c r="I813" s="216"/>
      <c r="J813" s="216"/>
      <c r="K813" s="216"/>
      <c r="L813" s="207"/>
      <c r="M813" s="207"/>
      <c r="N813" s="216"/>
      <c r="O813" s="216"/>
      <c r="P813" s="216"/>
      <c r="Q813" s="216"/>
      <c r="R813" s="216"/>
      <c r="S813" s="216"/>
      <c r="T813" s="216"/>
      <c r="U813" s="216"/>
      <c r="V813" s="216"/>
    </row>
    <row r="814" spans="1:22">
      <c r="A814" s="216"/>
      <c r="B814" s="216"/>
      <c r="C814" s="216"/>
      <c r="D814" s="216"/>
      <c r="E814" s="216"/>
      <c r="F814" s="216"/>
      <c r="G814" s="216"/>
      <c r="H814" s="216"/>
      <c r="I814" s="216"/>
      <c r="J814" s="216"/>
      <c r="K814" s="216"/>
      <c r="L814" s="207"/>
      <c r="M814" s="207"/>
      <c r="N814" s="216"/>
      <c r="O814" s="216"/>
      <c r="P814" s="216"/>
      <c r="Q814" s="216"/>
      <c r="R814" s="216"/>
      <c r="S814" s="216"/>
      <c r="T814" s="216"/>
      <c r="U814" s="216"/>
      <c r="V814" s="216"/>
    </row>
    <row r="815" spans="1:22">
      <c r="A815" s="216"/>
      <c r="B815" s="216"/>
      <c r="C815" s="216"/>
      <c r="D815" s="216"/>
      <c r="E815" s="216"/>
      <c r="F815" s="216"/>
      <c r="G815" s="216"/>
      <c r="H815" s="216"/>
      <c r="I815" s="216"/>
      <c r="J815" s="216"/>
      <c r="K815" s="216"/>
      <c r="L815" s="207"/>
      <c r="M815" s="207"/>
      <c r="N815" s="216"/>
      <c r="O815" s="216"/>
      <c r="P815" s="216"/>
      <c r="Q815" s="216"/>
      <c r="R815" s="216"/>
      <c r="S815" s="216"/>
      <c r="T815" s="216"/>
      <c r="U815" s="216"/>
      <c r="V815" s="216"/>
    </row>
    <row r="816" spans="1:22">
      <c r="A816" s="216"/>
      <c r="B816" s="216"/>
      <c r="C816" s="216"/>
      <c r="D816" s="216"/>
      <c r="E816" s="216"/>
      <c r="F816" s="216"/>
      <c r="G816" s="216"/>
      <c r="H816" s="216"/>
      <c r="I816" s="216"/>
      <c r="J816" s="216"/>
      <c r="K816" s="216"/>
      <c r="L816" s="207"/>
      <c r="M816" s="207"/>
      <c r="N816" s="216"/>
      <c r="O816" s="216"/>
      <c r="P816" s="216"/>
      <c r="Q816" s="216"/>
      <c r="R816" s="216"/>
      <c r="S816" s="216"/>
      <c r="T816" s="216"/>
      <c r="U816" s="216"/>
      <c r="V816" s="216"/>
    </row>
    <row r="817" spans="1:22">
      <c r="A817" s="216"/>
      <c r="B817" s="216"/>
      <c r="C817" s="216"/>
      <c r="D817" s="216"/>
      <c r="E817" s="216"/>
      <c r="F817" s="216"/>
      <c r="G817" s="216"/>
      <c r="H817" s="216"/>
      <c r="I817" s="216"/>
      <c r="J817" s="216"/>
      <c r="K817" s="216"/>
      <c r="L817" s="207"/>
      <c r="M817" s="207"/>
      <c r="N817" s="216"/>
      <c r="O817" s="216"/>
      <c r="P817" s="216"/>
      <c r="Q817" s="216"/>
      <c r="R817" s="216"/>
      <c r="S817" s="216"/>
      <c r="T817" s="216"/>
      <c r="U817" s="216"/>
      <c r="V817" s="216"/>
    </row>
    <row r="818" spans="1:22">
      <c r="A818" s="216"/>
      <c r="B818" s="216"/>
      <c r="C818" s="216"/>
      <c r="D818" s="216"/>
      <c r="E818" s="216"/>
      <c r="F818" s="216"/>
      <c r="G818" s="216"/>
      <c r="H818" s="216"/>
      <c r="I818" s="216"/>
      <c r="J818" s="216"/>
      <c r="K818" s="216"/>
      <c r="L818" s="207"/>
      <c r="M818" s="207"/>
      <c r="N818" s="216"/>
      <c r="O818" s="216"/>
      <c r="P818" s="216"/>
      <c r="Q818" s="216"/>
      <c r="R818" s="216"/>
      <c r="S818" s="216"/>
      <c r="T818" s="216"/>
      <c r="U818" s="216"/>
      <c r="V818" s="216"/>
    </row>
    <row r="819" spans="1:22">
      <c r="A819" s="216"/>
      <c r="B819" s="216"/>
      <c r="C819" s="216"/>
      <c r="D819" s="216"/>
      <c r="E819" s="216"/>
      <c r="F819" s="216"/>
      <c r="G819" s="216"/>
      <c r="H819" s="216"/>
      <c r="I819" s="216"/>
      <c r="J819" s="216"/>
      <c r="K819" s="216"/>
      <c r="L819" s="207"/>
      <c r="M819" s="207"/>
      <c r="N819" s="216"/>
      <c r="O819" s="216"/>
      <c r="P819" s="216"/>
      <c r="Q819" s="216"/>
      <c r="R819" s="216"/>
      <c r="S819" s="216"/>
      <c r="T819" s="216"/>
      <c r="U819" s="216"/>
      <c r="V819" s="216"/>
    </row>
    <row r="820" spans="1:22">
      <c r="A820" s="216"/>
      <c r="B820" s="216"/>
      <c r="C820" s="216"/>
      <c r="D820" s="216"/>
      <c r="E820" s="216"/>
      <c r="F820" s="216"/>
      <c r="G820" s="216"/>
      <c r="H820" s="216"/>
      <c r="I820" s="216"/>
      <c r="J820" s="216"/>
      <c r="K820" s="216"/>
      <c r="L820" s="207"/>
      <c r="M820" s="207"/>
      <c r="N820" s="216"/>
      <c r="O820" s="216"/>
      <c r="P820" s="216"/>
      <c r="Q820" s="216"/>
      <c r="R820" s="216"/>
      <c r="S820" s="216"/>
      <c r="T820" s="216"/>
      <c r="U820" s="216"/>
      <c r="V820" s="216"/>
    </row>
    <row r="821" spans="1:22">
      <c r="A821" s="216"/>
      <c r="B821" s="216"/>
      <c r="C821" s="216"/>
      <c r="D821" s="216"/>
      <c r="E821" s="216"/>
      <c r="F821" s="216"/>
      <c r="G821" s="216"/>
      <c r="H821" s="216"/>
      <c r="I821" s="216"/>
      <c r="J821" s="216"/>
      <c r="K821" s="216"/>
      <c r="L821" s="207"/>
      <c r="M821" s="207"/>
      <c r="N821" s="216"/>
      <c r="O821" s="216"/>
      <c r="P821" s="216"/>
      <c r="Q821" s="216"/>
      <c r="R821" s="216"/>
      <c r="S821" s="216"/>
      <c r="T821" s="216"/>
      <c r="U821" s="216"/>
      <c r="V821" s="216"/>
    </row>
    <row r="822" spans="1:22">
      <c r="A822" s="216"/>
      <c r="B822" s="216"/>
      <c r="C822" s="216"/>
      <c r="D822" s="216"/>
      <c r="E822" s="216"/>
      <c r="F822" s="216"/>
      <c r="G822" s="216"/>
      <c r="H822" s="216"/>
      <c r="I822" s="216"/>
      <c r="J822" s="216"/>
      <c r="K822" s="216"/>
      <c r="L822" s="207"/>
      <c r="M822" s="207"/>
      <c r="N822" s="216"/>
      <c r="O822" s="216"/>
      <c r="P822" s="216"/>
      <c r="Q822" s="216"/>
      <c r="R822" s="216"/>
      <c r="S822" s="216"/>
      <c r="T822" s="216"/>
      <c r="U822" s="216"/>
      <c r="V822" s="216"/>
    </row>
    <row r="823" spans="1:22">
      <c r="A823" s="216"/>
      <c r="B823" s="216"/>
      <c r="C823" s="216"/>
      <c r="D823" s="216"/>
      <c r="E823" s="216"/>
      <c r="F823" s="216"/>
      <c r="G823" s="216"/>
      <c r="H823" s="216"/>
      <c r="I823" s="216"/>
      <c r="J823" s="216"/>
      <c r="K823" s="216"/>
      <c r="L823" s="207"/>
      <c r="M823" s="207"/>
      <c r="N823" s="216"/>
      <c r="O823" s="216"/>
      <c r="P823" s="216"/>
      <c r="Q823" s="216"/>
      <c r="R823" s="216"/>
      <c r="S823" s="216"/>
      <c r="T823" s="216"/>
      <c r="U823" s="216"/>
      <c r="V823" s="216"/>
    </row>
    <row r="824" spans="1:22">
      <c r="A824" s="216"/>
      <c r="B824" s="216"/>
      <c r="C824" s="216"/>
      <c r="D824" s="216"/>
      <c r="E824" s="216"/>
      <c r="F824" s="216"/>
      <c r="G824" s="216"/>
      <c r="H824" s="216"/>
      <c r="I824" s="216"/>
      <c r="J824" s="216"/>
      <c r="K824" s="216"/>
      <c r="L824" s="207"/>
      <c r="M824" s="207"/>
      <c r="N824" s="216"/>
      <c r="O824" s="216"/>
      <c r="P824" s="216"/>
      <c r="Q824" s="216"/>
      <c r="R824" s="216"/>
      <c r="S824" s="216"/>
      <c r="T824" s="216"/>
      <c r="U824" s="216"/>
      <c r="V824" s="216"/>
    </row>
    <row r="825" spans="1:22">
      <c r="A825" s="216"/>
      <c r="B825" s="216"/>
      <c r="C825" s="216"/>
      <c r="D825" s="216"/>
      <c r="E825" s="216"/>
      <c r="F825" s="216"/>
      <c r="G825" s="216"/>
      <c r="H825" s="216"/>
      <c r="I825" s="216"/>
      <c r="J825" s="216"/>
      <c r="K825" s="216"/>
      <c r="L825" s="207"/>
      <c r="M825" s="207"/>
      <c r="N825" s="216"/>
      <c r="O825" s="216"/>
      <c r="P825" s="216"/>
      <c r="Q825" s="216"/>
      <c r="R825" s="216"/>
      <c r="S825" s="216"/>
      <c r="T825" s="216"/>
      <c r="U825" s="216"/>
      <c r="V825" s="216"/>
    </row>
    <row r="826" spans="1:22">
      <c r="A826" s="216"/>
      <c r="B826" s="216"/>
      <c r="C826" s="216"/>
      <c r="D826" s="216"/>
      <c r="E826" s="216"/>
      <c r="F826" s="216"/>
      <c r="G826" s="216"/>
      <c r="H826" s="216"/>
      <c r="I826" s="216"/>
      <c r="J826" s="216"/>
      <c r="K826" s="216"/>
      <c r="L826" s="207"/>
      <c r="M826" s="207"/>
      <c r="N826" s="216"/>
      <c r="O826" s="216"/>
      <c r="P826" s="216"/>
      <c r="Q826" s="216"/>
      <c r="R826" s="216"/>
      <c r="S826" s="216"/>
      <c r="T826" s="216"/>
      <c r="U826" s="216"/>
      <c r="V826" s="216"/>
    </row>
    <row r="827" spans="1:22">
      <c r="A827" s="216"/>
      <c r="B827" s="216"/>
      <c r="C827" s="216"/>
      <c r="D827" s="216"/>
      <c r="E827" s="216"/>
      <c r="F827" s="216"/>
      <c r="G827" s="216"/>
      <c r="H827" s="216"/>
      <c r="I827" s="216"/>
      <c r="J827" s="216"/>
      <c r="K827" s="216"/>
      <c r="L827" s="207"/>
      <c r="M827" s="207"/>
      <c r="N827" s="216"/>
      <c r="O827" s="216"/>
      <c r="P827" s="216"/>
      <c r="Q827" s="216"/>
      <c r="R827" s="216"/>
      <c r="S827" s="216"/>
      <c r="T827" s="216"/>
      <c r="U827" s="216"/>
      <c r="V827" s="216"/>
    </row>
    <row r="828" spans="1:22">
      <c r="A828" s="216"/>
      <c r="B828" s="216"/>
      <c r="C828" s="216"/>
      <c r="D828" s="216"/>
      <c r="E828" s="216"/>
      <c r="F828" s="216"/>
      <c r="G828" s="216"/>
      <c r="H828" s="216"/>
      <c r="I828" s="216"/>
      <c r="J828" s="216"/>
      <c r="K828" s="216"/>
      <c r="L828" s="207"/>
      <c r="M828" s="207"/>
      <c r="N828" s="216"/>
      <c r="O828" s="216"/>
      <c r="P828" s="216"/>
      <c r="Q828" s="216"/>
      <c r="R828" s="216"/>
      <c r="S828" s="216"/>
      <c r="T828" s="216"/>
      <c r="U828" s="216"/>
      <c r="V828" s="216"/>
    </row>
    <row r="829" spans="1:22">
      <c r="A829" s="216"/>
      <c r="B829" s="216"/>
      <c r="C829" s="216"/>
      <c r="D829" s="216"/>
      <c r="E829" s="216"/>
      <c r="F829" s="216"/>
      <c r="G829" s="216"/>
      <c r="H829" s="216"/>
      <c r="I829" s="216"/>
      <c r="J829" s="216"/>
      <c r="K829" s="216"/>
      <c r="L829" s="207"/>
      <c r="M829" s="207"/>
      <c r="N829" s="216"/>
      <c r="O829" s="216"/>
      <c r="P829" s="216"/>
      <c r="Q829" s="216"/>
      <c r="R829" s="216"/>
      <c r="S829" s="216"/>
      <c r="T829" s="216"/>
      <c r="U829" s="216"/>
      <c r="V829" s="216"/>
    </row>
    <row r="830" spans="1:22">
      <c r="A830" s="216"/>
      <c r="B830" s="216"/>
      <c r="C830" s="216"/>
      <c r="D830" s="216"/>
      <c r="E830" s="216"/>
      <c r="F830" s="216"/>
      <c r="G830" s="216"/>
      <c r="H830" s="216"/>
      <c r="I830" s="216"/>
      <c r="J830" s="216"/>
      <c r="K830" s="216"/>
      <c r="L830" s="207"/>
      <c r="M830" s="207"/>
      <c r="N830" s="216"/>
      <c r="O830" s="216"/>
      <c r="P830" s="216"/>
      <c r="Q830" s="216"/>
      <c r="R830" s="216"/>
      <c r="S830" s="216"/>
      <c r="T830" s="216"/>
      <c r="U830" s="216"/>
      <c r="V830" s="216"/>
    </row>
    <row r="831" spans="1:22">
      <c r="A831" s="216"/>
      <c r="B831" s="216"/>
      <c r="C831" s="216"/>
      <c r="D831" s="216"/>
      <c r="E831" s="216"/>
      <c r="F831" s="216"/>
      <c r="G831" s="216"/>
      <c r="H831" s="216"/>
      <c r="I831" s="216"/>
      <c r="J831" s="216"/>
      <c r="K831" s="216"/>
      <c r="L831" s="207"/>
      <c r="M831" s="207"/>
      <c r="N831" s="216"/>
      <c r="O831" s="216"/>
      <c r="P831" s="216"/>
      <c r="Q831" s="216"/>
      <c r="R831" s="216"/>
      <c r="S831" s="216"/>
      <c r="T831" s="216"/>
      <c r="U831" s="216"/>
      <c r="V831" s="216"/>
    </row>
    <row r="832" spans="1:22">
      <c r="A832" s="216"/>
      <c r="B832" s="216"/>
      <c r="C832" s="216"/>
      <c r="D832" s="216"/>
      <c r="E832" s="216"/>
      <c r="F832" s="216"/>
      <c r="G832" s="216"/>
      <c r="H832" s="216"/>
      <c r="I832" s="216"/>
      <c r="J832" s="216"/>
      <c r="K832" s="216"/>
      <c r="L832" s="207"/>
      <c r="M832" s="207"/>
      <c r="N832" s="216"/>
      <c r="O832" s="216"/>
      <c r="P832" s="216"/>
      <c r="Q832" s="216"/>
      <c r="R832" s="216"/>
      <c r="S832" s="216"/>
      <c r="T832" s="216"/>
      <c r="U832" s="216"/>
      <c r="V832" s="216"/>
    </row>
    <row r="833" spans="1:22">
      <c r="A833" s="216"/>
      <c r="B833" s="216"/>
      <c r="C833" s="216"/>
      <c r="D833" s="216"/>
      <c r="E833" s="216"/>
      <c r="F833" s="216"/>
      <c r="G833" s="216"/>
      <c r="H833" s="216"/>
      <c r="I833" s="216"/>
      <c r="J833" s="216"/>
      <c r="K833" s="216"/>
      <c r="L833" s="207"/>
      <c r="M833" s="207"/>
      <c r="N833" s="216"/>
      <c r="O833" s="216"/>
      <c r="P833" s="216"/>
      <c r="Q833" s="216"/>
      <c r="R833" s="216"/>
      <c r="S833" s="216"/>
      <c r="T833" s="216"/>
      <c r="U833" s="216"/>
      <c r="V833" s="216"/>
    </row>
    <row r="834" spans="1:22">
      <c r="A834" s="216"/>
      <c r="B834" s="216"/>
      <c r="C834" s="216"/>
      <c r="D834" s="216"/>
      <c r="E834" s="216"/>
      <c r="F834" s="216"/>
      <c r="G834" s="216"/>
      <c r="H834" s="216"/>
      <c r="I834" s="216"/>
      <c r="J834" s="216"/>
      <c r="K834" s="216"/>
      <c r="L834" s="207"/>
      <c r="M834" s="207"/>
      <c r="N834" s="216"/>
      <c r="O834" s="216"/>
      <c r="P834" s="216"/>
      <c r="Q834" s="216"/>
      <c r="R834" s="216"/>
      <c r="S834" s="216"/>
      <c r="T834" s="216"/>
      <c r="U834" s="216"/>
      <c r="V834" s="216"/>
    </row>
    <row r="835" spans="1:22">
      <c r="A835" s="216"/>
      <c r="B835" s="216"/>
      <c r="C835" s="216"/>
      <c r="D835" s="216"/>
      <c r="E835" s="216"/>
      <c r="F835" s="216"/>
      <c r="G835" s="216"/>
      <c r="H835" s="216"/>
      <c r="I835" s="216"/>
      <c r="J835" s="216"/>
      <c r="K835" s="216"/>
      <c r="L835" s="207"/>
      <c r="M835" s="207"/>
      <c r="N835" s="216"/>
      <c r="O835" s="216"/>
      <c r="P835" s="216"/>
      <c r="Q835" s="216"/>
      <c r="R835" s="216"/>
      <c r="S835" s="216"/>
      <c r="T835" s="216"/>
      <c r="U835" s="216"/>
      <c r="V835" s="216"/>
    </row>
    <row r="836" spans="1:22">
      <c r="A836" s="216"/>
      <c r="B836" s="216"/>
      <c r="C836" s="216"/>
      <c r="D836" s="216"/>
      <c r="E836" s="216"/>
      <c r="F836" s="216"/>
      <c r="G836" s="216"/>
      <c r="H836" s="216"/>
      <c r="I836" s="216"/>
      <c r="J836" s="216"/>
      <c r="K836" s="216"/>
      <c r="L836" s="207"/>
      <c r="M836" s="207"/>
      <c r="N836" s="216"/>
      <c r="O836" s="216"/>
      <c r="P836" s="216"/>
      <c r="Q836" s="216"/>
      <c r="R836" s="216"/>
      <c r="S836" s="216"/>
      <c r="T836" s="216"/>
      <c r="U836" s="216"/>
      <c r="V836" s="216"/>
    </row>
    <row r="837" spans="1:22">
      <c r="A837" s="216"/>
      <c r="B837" s="216"/>
      <c r="C837" s="216"/>
      <c r="D837" s="216"/>
      <c r="E837" s="216"/>
      <c r="F837" s="216"/>
      <c r="G837" s="216"/>
      <c r="H837" s="216"/>
      <c r="I837" s="216"/>
      <c r="J837" s="216"/>
      <c r="K837" s="216"/>
      <c r="L837" s="207"/>
      <c r="M837" s="207"/>
      <c r="N837" s="216"/>
      <c r="O837" s="216"/>
      <c r="P837" s="216"/>
      <c r="Q837" s="216"/>
      <c r="R837" s="216"/>
      <c r="S837" s="216"/>
      <c r="T837" s="216"/>
      <c r="U837" s="216"/>
      <c r="V837" s="216"/>
    </row>
    <row r="838" spans="1:22">
      <c r="A838" s="216"/>
      <c r="B838" s="216"/>
      <c r="C838" s="216"/>
      <c r="D838" s="216"/>
      <c r="E838" s="216"/>
      <c r="F838" s="216"/>
      <c r="G838" s="216"/>
      <c r="H838" s="216"/>
      <c r="I838" s="216"/>
      <c r="J838" s="216"/>
      <c r="K838" s="216"/>
      <c r="L838" s="207"/>
      <c r="M838" s="207"/>
      <c r="N838" s="216"/>
      <c r="O838" s="216"/>
      <c r="P838" s="216"/>
      <c r="Q838" s="216"/>
      <c r="R838" s="216"/>
      <c r="S838" s="216"/>
      <c r="T838" s="216"/>
      <c r="U838" s="216"/>
      <c r="V838" s="216"/>
    </row>
    <row r="839" spans="1:22">
      <c r="A839" s="216"/>
      <c r="B839" s="216"/>
      <c r="C839" s="216"/>
      <c r="D839" s="216"/>
      <c r="E839" s="216"/>
      <c r="F839" s="216"/>
      <c r="G839" s="216"/>
      <c r="H839" s="216"/>
      <c r="I839" s="216"/>
      <c r="J839" s="216"/>
      <c r="K839" s="216"/>
      <c r="L839" s="207"/>
      <c r="M839" s="207"/>
      <c r="N839" s="216"/>
      <c r="O839" s="216"/>
      <c r="P839" s="216"/>
      <c r="Q839" s="216"/>
      <c r="R839" s="216"/>
      <c r="S839" s="216"/>
      <c r="T839" s="216"/>
      <c r="U839" s="216"/>
      <c r="V839" s="216"/>
    </row>
    <row r="840" spans="1:22">
      <c r="A840" s="216"/>
      <c r="B840" s="216"/>
      <c r="C840" s="216"/>
      <c r="D840" s="216"/>
      <c r="E840" s="216"/>
      <c r="F840" s="216"/>
      <c r="G840" s="216"/>
      <c r="H840" s="216"/>
      <c r="I840" s="216"/>
      <c r="J840" s="216"/>
      <c r="K840" s="216"/>
      <c r="L840" s="207"/>
      <c r="M840" s="207"/>
      <c r="N840" s="216"/>
      <c r="O840" s="216"/>
      <c r="P840" s="216"/>
      <c r="Q840" s="216"/>
      <c r="R840" s="216"/>
      <c r="S840" s="216"/>
      <c r="T840" s="216"/>
      <c r="U840" s="216"/>
      <c r="V840" s="216"/>
    </row>
    <row r="841" spans="1:22">
      <c r="A841" s="216"/>
      <c r="B841" s="216"/>
      <c r="C841" s="216"/>
      <c r="D841" s="216"/>
      <c r="E841" s="216"/>
      <c r="F841" s="216"/>
      <c r="G841" s="216"/>
      <c r="H841" s="216"/>
      <c r="I841" s="216"/>
      <c r="J841" s="216"/>
      <c r="K841" s="216"/>
      <c r="L841" s="207"/>
      <c r="M841" s="207"/>
      <c r="N841" s="216"/>
      <c r="O841" s="216"/>
      <c r="P841" s="216"/>
      <c r="Q841" s="216"/>
      <c r="R841" s="216"/>
      <c r="S841" s="216"/>
      <c r="T841" s="216"/>
      <c r="U841" s="216"/>
      <c r="V841" s="216"/>
    </row>
    <row r="842" spans="1:22">
      <c r="A842" s="216"/>
      <c r="B842" s="216"/>
      <c r="C842" s="216"/>
      <c r="D842" s="216"/>
      <c r="E842" s="216"/>
      <c r="F842" s="216"/>
      <c r="G842" s="216"/>
      <c r="H842" s="216"/>
      <c r="I842" s="216"/>
      <c r="J842" s="216"/>
      <c r="K842" s="216"/>
      <c r="L842" s="207"/>
      <c r="M842" s="207"/>
      <c r="N842" s="216"/>
      <c r="O842" s="216"/>
      <c r="P842" s="216"/>
      <c r="Q842" s="216"/>
      <c r="R842" s="216"/>
      <c r="S842" s="216"/>
      <c r="T842" s="216"/>
      <c r="U842" s="216"/>
      <c r="V842" s="216"/>
    </row>
    <row r="843" spans="1:22">
      <c r="A843" s="216"/>
      <c r="B843" s="216"/>
      <c r="C843" s="216"/>
      <c r="D843" s="216"/>
      <c r="E843" s="216"/>
      <c r="F843" s="216"/>
      <c r="G843" s="216"/>
      <c r="H843" s="216"/>
      <c r="I843" s="216"/>
      <c r="J843" s="216"/>
      <c r="K843" s="216"/>
      <c r="L843" s="207"/>
      <c r="M843" s="207"/>
      <c r="N843" s="216"/>
      <c r="O843" s="216"/>
      <c r="P843" s="216"/>
      <c r="Q843" s="216"/>
      <c r="R843" s="216"/>
      <c r="S843" s="216"/>
      <c r="T843" s="216"/>
      <c r="U843" s="216"/>
      <c r="V843" s="216"/>
    </row>
    <row r="844" spans="1:22">
      <c r="A844" s="216"/>
      <c r="B844" s="216"/>
      <c r="C844" s="216"/>
      <c r="D844" s="216"/>
      <c r="E844" s="216"/>
      <c r="F844" s="216"/>
      <c r="G844" s="216"/>
      <c r="H844" s="216"/>
      <c r="I844" s="216"/>
      <c r="J844" s="216"/>
      <c r="K844" s="216"/>
      <c r="L844" s="207"/>
      <c r="M844" s="207"/>
      <c r="N844" s="216"/>
      <c r="O844" s="216"/>
      <c r="P844" s="216"/>
      <c r="Q844" s="216"/>
      <c r="R844" s="216"/>
      <c r="S844" s="216"/>
      <c r="T844" s="216"/>
      <c r="U844" s="216"/>
      <c r="V844" s="216"/>
    </row>
    <row r="845" spans="1:22">
      <c r="A845" s="216"/>
      <c r="B845" s="216"/>
      <c r="C845" s="216"/>
      <c r="D845" s="216"/>
      <c r="E845" s="216"/>
      <c r="F845" s="216"/>
      <c r="G845" s="216"/>
      <c r="H845" s="216"/>
      <c r="I845" s="216"/>
      <c r="J845" s="216"/>
      <c r="K845" s="216"/>
      <c r="L845" s="207"/>
      <c r="M845" s="207"/>
      <c r="N845" s="216"/>
      <c r="O845" s="216"/>
      <c r="P845" s="216"/>
      <c r="Q845" s="216"/>
      <c r="R845" s="216"/>
      <c r="S845" s="216"/>
      <c r="T845" s="216"/>
      <c r="U845" s="216"/>
      <c r="V845" s="216"/>
    </row>
    <row r="846" spans="1:22">
      <c r="A846" s="216"/>
      <c r="B846" s="216"/>
      <c r="C846" s="216"/>
      <c r="D846" s="216"/>
      <c r="E846" s="216"/>
      <c r="F846" s="216"/>
      <c r="G846" s="216"/>
      <c r="H846" s="216"/>
      <c r="I846" s="216"/>
      <c r="J846" s="216"/>
      <c r="K846" s="216"/>
      <c r="L846" s="207"/>
      <c r="M846" s="207"/>
      <c r="N846" s="216"/>
      <c r="O846" s="216"/>
      <c r="P846" s="216"/>
      <c r="Q846" s="216"/>
      <c r="R846" s="216"/>
      <c r="S846" s="216"/>
      <c r="T846" s="216"/>
      <c r="U846" s="216"/>
      <c r="V846" s="216"/>
    </row>
    <row r="847" spans="1:22">
      <c r="A847" s="216"/>
      <c r="B847" s="216"/>
      <c r="C847" s="216"/>
      <c r="D847" s="216"/>
      <c r="E847" s="216"/>
      <c r="F847" s="216"/>
      <c r="G847" s="216"/>
      <c r="H847" s="216"/>
      <c r="I847" s="216"/>
      <c r="J847" s="216"/>
      <c r="K847" s="216"/>
      <c r="L847" s="207"/>
      <c r="M847" s="207"/>
      <c r="N847" s="216"/>
      <c r="O847" s="216"/>
      <c r="P847" s="216"/>
      <c r="Q847" s="216"/>
      <c r="R847" s="216"/>
      <c r="S847" s="216"/>
      <c r="T847" s="216"/>
      <c r="U847" s="216"/>
      <c r="V847" s="216"/>
    </row>
    <row r="848" spans="1:22">
      <c r="A848" s="216"/>
      <c r="B848" s="216"/>
      <c r="C848" s="216"/>
      <c r="D848" s="216"/>
      <c r="E848" s="216"/>
      <c r="F848" s="216"/>
      <c r="G848" s="216"/>
      <c r="H848" s="216"/>
      <c r="I848" s="216"/>
      <c r="J848" s="216"/>
      <c r="K848" s="216"/>
      <c r="L848" s="207"/>
      <c r="M848" s="207"/>
      <c r="N848" s="216"/>
      <c r="O848" s="216"/>
      <c r="P848" s="216"/>
      <c r="Q848" s="216"/>
      <c r="R848" s="216"/>
      <c r="S848" s="216"/>
      <c r="T848" s="216"/>
      <c r="U848" s="216"/>
      <c r="V848" s="216"/>
    </row>
    <row r="849" spans="1:22">
      <c r="A849" s="216"/>
      <c r="B849" s="216"/>
      <c r="C849" s="216"/>
      <c r="D849" s="216"/>
      <c r="E849" s="216"/>
      <c r="F849" s="216"/>
      <c r="G849" s="216"/>
      <c r="H849" s="216"/>
      <c r="I849" s="216"/>
      <c r="J849" s="216"/>
      <c r="K849" s="216"/>
      <c r="L849" s="207"/>
      <c r="M849" s="207"/>
      <c r="N849" s="216"/>
      <c r="O849" s="216"/>
      <c r="P849" s="216"/>
      <c r="Q849" s="216"/>
      <c r="R849" s="216"/>
      <c r="S849" s="216"/>
      <c r="T849" s="216"/>
      <c r="U849" s="216"/>
      <c r="V849" s="216"/>
    </row>
    <row r="850" spans="1:22">
      <c r="A850" s="216"/>
      <c r="B850" s="216"/>
      <c r="C850" s="216"/>
      <c r="D850" s="216"/>
      <c r="E850" s="216"/>
      <c r="F850" s="216"/>
      <c r="G850" s="216"/>
      <c r="H850" s="216"/>
      <c r="I850" s="216"/>
      <c r="J850" s="216"/>
      <c r="K850" s="216"/>
      <c r="L850" s="207"/>
      <c r="M850" s="207"/>
      <c r="N850" s="216"/>
      <c r="O850" s="216"/>
      <c r="P850" s="216"/>
      <c r="Q850" s="216"/>
      <c r="R850" s="216"/>
      <c r="S850" s="216"/>
      <c r="T850" s="216"/>
      <c r="U850" s="216"/>
      <c r="V850" s="216"/>
    </row>
    <row r="851" spans="1:22">
      <c r="A851" s="216"/>
      <c r="B851" s="216"/>
      <c r="C851" s="216"/>
      <c r="D851" s="216"/>
      <c r="E851" s="216"/>
      <c r="F851" s="216"/>
      <c r="G851" s="216"/>
      <c r="H851" s="216"/>
      <c r="I851" s="216"/>
      <c r="J851" s="216"/>
      <c r="K851" s="216"/>
      <c r="L851" s="207"/>
      <c r="M851" s="207"/>
      <c r="N851" s="216"/>
      <c r="O851" s="216"/>
      <c r="P851" s="216"/>
      <c r="Q851" s="216"/>
      <c r="R851" s="216"/>
      <c r="S851" s="216"/>
      <c r="T851" s="216"/>
      <c r="U851" s="216"/>
      <c r="V851" s="216"/>
    </row>
    <row r="852" spans="1:22">
      <c r="A852" s="216"/>
      <c r="B852" s="216"/>
      <c r="C852" s="216"/>
      <c r="D852" s="216"/>
      <c r="E852" s="216"/>
      <c r="F852" s="216"/>
      <c r="G852" s="216"/>
      <c r="H852" s="216"/>
      <c r="I852" s="216"/>
      <c r="J852" s="216"/>
      <c r="K852" s="216"/>
      <c r="L852" s="207"/>
      <c r="M852" s="207"/>
      <c r="N852" s="216"/>
      <c r="O852" s="216"/>
      <c r="P852" s="216"/>
      <c r="Q852" s="216"/>
      <c r="R852" s="216"/>
      <c r="S852" s="216"/>
      <c r="T852" s="216"/>
      <c r="U852" s="216"/>
      <c r="V852" s="216"/>
    </row>
    <row r="853" spans="1:22">
      <c r="A853" s="216"/>
      <c r="B853" s="216"/>
      <c r="C853" s="216"/>
      <c r="D853" s="216"/>
      <c r="E853" s="216"/>
      <c r="F853" s="216"/>
      <c r="G853" s="216"/>
      <c r="H853" s="216"/>
      <c r="I853" s="216"/>
      <c r="J853" s="216"/>
      <c r="K853" s="216"/>
      <c r="L853" s="207"/>
      <c r="M853" s="207"/>
      <c r="N853" s="216"/>
      <c r="O853" s="216"/>
      <c r="P853" s="216"/>
      <c r="Q853" s="216"/>
      <c r="R853" s="216"/>
      <c r="S853" s="216"/>
      <c r="T853" s="216"/>
      <c r="U853" s="216"/>
      <c r="V853" s="216"/>
    </row>
    <row r="854" spans="1:22">
      <c r="A854" s="216"/>
      <c r="B854" s="216"/>
      <c r="C854" s="216"/>
      <c r="D854" s="216"/>
      <c r="E854" s="216"/>
      <c r="F854" s="216"/>
      <c r="G854" s="216"/>
      <c r="H854" s="216"/>
      <c r="I854" s="216"/>
      <c r="J854" s="216"/>
      <c r="K854" s="216"/>
      <c r="L854" s="207"/>
      <c r="M854" s="207"/>
      <c r="N854" s="216"/>
      <c r="O854" s="216"/>
      <c r="P854" s="216"/>
      <c r="Q854" s="216"/>
      <c r="R854" s="216"/>
      <c r="S854" s="216"/>
      <c r="T854" s="216"/>
      <c r="U854" s="216"/>
      <c r="V854" s="216"/>
    </row>
    <row r="855" spans="1:22">
      <c r="A855" s="216"/>
      <c r="B855" s="216"/>
      <c r="C855" s="216"/>
      <c r="D855" s="216"/>
      <c r="E855" s="216"/>
      <c r="F855" s="216"/>
      <c r="G855" s="216"/>
      <c r="H855" s="216"/>
      <c r="I855" s="216"/>
      <c r="J855" s="216"/>
      <c r="K855" s="216"/>
      <c r="L855" s="207"/>
      <c r="M855" s="207"/>
      <c r="N855" s="216"/>
      <c r="O855" s="216"/>
      <c r="P855" s="216"/>
      <c r="Q855" s="216"/>
      <c r="R855" s="216"/>
      <c r="S855" s="216"/>
      <c r="T855" s="216"/>
      <c r="U855" s="216"/>
      <c r="V855" s="216"/>
    </row>
    <row r="856" spans="1:22">
      <c r="A856" s="216"/>
      <c r="B856" s="216"/>
      <c r="C856" s="216"/>
      <c r="D856" s="216"/>
      <c r="E856" s="216"/>
      <c r="F856" s="216"/>
      <c r="G856" s="216"/>
      <c r="H856" s="216"/>
      <c r="I856" s="216"/>
      <c r="J856" s="216"/>
      <c r="K856" s="216"/>
      <c r="L856" s="207"/>
      <c r="M856" s="207"/>
      <c r="N856" s="216"/>
      <c r="O856" s="216"/>
      <c r="P856" s="216"/>
      <c r="Q856" s="216"/>
      <c r="R856" s="216"/>
      <c r="S856" s="216"/>
      <c r="T856" s="216"/>
      <c r="U856" s="216"/>
      <c r="V856" s="216"/>
    </row>
    <row r="857" spans="1:22">
      <c r="A857" s="216"/>
      <c r="B857" s="216"/>
      <c r="C857" s="216"/>
      <c r="D857" s="216"/>
      <c r="E857" s="216"/>
      <c r="F857" s="216"/>
      <c r="G857" s="216"/>
      <c r="H857" s="216"/>
      <c r="I857" s="216"/>
      <c r="J857" s="216"/>
      <c r="K857" s="216"/>
      <c r="L857" s="207"/>
      <c r="M857" s="207"/>
      <c r="N857" s="216"/>
      <c r="O857" s="216"/>
      <c r="P857" s="216"/>
      <c r="Q857" s="216"/>
      <c r="R857" s="216"/>
      <c r="S857" s="216"/>
      <c r="T857" s="216"/>
      <c r="U857" s="216"/>
      <c r="V857" s="216"/>
    </row>
    <row r="858" spans="1:22">
      <c r="A858" s="216"/>
      <c r="B858" s="216"/>
      <c r="C858" s="216"/>
      <c r="D858" s="216"/>
      <c r="E858" s="216"/>
      <c r="F858" s="216"/>
      <c r="G858" s="216"/>
      <c r="H858" s="216"/>
      <c r="I858" s="216"/>
      <c r="J858" s="216"/>
      <c r="K858" s="216"/>
      <c r="L858" s="207"/>
      <c r="M858" s="207"/>
      <c r="N858" s="216"/>
      <c r="O858" s="216"/>
      <c r="P858" s="216"/>
      <c r="Q858" s="216"/>
      <c r="R858" s="216"/>
      <c r="S858" s="216"/>
      <c r="T858" s="216"/>
      <c r="U858" s="216"/>
      <c r="V858" s="216"/>
    </row>
    <row r="859" spans="1:22">
      <c r="A859" s="216"/>
      <c r="B859" s="216"/>
      <c r="C859" s="216"/>
      <c r="D859" s="216"/>
      <c r="E859" s="216"/>
      <c r="F859" s="216"/>
      <c r="G859" s="216"/>
      <c r="H859" s="216"/>
      <c r="I859" s="216"/>
      <c r="J859" s="216"/>
      <c r="K859" s="216"/>
      <c r="L859" s="207"/>
      <c r="M859" s="207"/>
      <c r="N859" s="216"/>
      <c r="O859" s="216"/>
      <c r="P859" s="216"/>
      <c r="Q859" s="216"/>
      <c r="R859" s="216"/>
      <c r="S859" s="216"/>
      <c r="T859" s="216"/>
      <c r="U859" s="216"/>
      <c r="V859" s="216"/>
    </row>
    <row r="860" spans="1:22">
      <c r="A860" s="216"/>
      <c r="B860" s="216"/>
      <c r="C860" s="216"/>
      <c r="D860" s="216"/>
      <c r="E860" s="216"/>
      <c r="F860" s="216"/>
      <c r="G860" s="216"/>
      <c r="H860" s="216"/>
      <c r="I860" s="216"/>
      <c r="J860" s="216"/>
      <c r="K860" s="216"/>
      <c r="L860" s="207"/>
      <c r="M860" s="207"/>
      <c r="N860" s="216"/>
      <c r="O860" s="216"/>
      <c r="P860" s="216"/>
      <c r="Q860" s="216"/>
      <c r="R860" s="216"/>
      <c r="S860" s="216"/>
      <c r="T860" s="216"/>
      <c r="U860" s="216"/>
      <c r="V860" s="216"/>
    </row>
    <row r="861" spans="1:22">
      <c r="A861" s="216"/>
      <c r="B861" s="216"/>
      <c r="C861" s="216"/>
      <c r="D861" s="216"/>
      <c r="E861" s="216"/>
      <c r="F861" s="216"/>
      <c r="G861" s="216"/>
      <c r="H861" s="216"/>
      <c r="I861" s="216"/>
      <c r="J861" s="216"/>
      <c r="K861" s="216"/>
      <c r="L861" s="207"/>
      <c r="M861" s="207"/>
      <c r="N861" s="216"/>
      <c r="O861" s="216"/>
      <c r="P861" s="216"/>
      <c r="Q861" s="216"/>
      <c r="R861" s="216"/>
      <c r="S861" s="216"/>
      <c r="T861" s="216"/>
      <c r="U861" s="216"/>
      <c r="V861" s="216"/>
    </row>
    <row r="862" spans="1:22">
      <c r="A862" s="216"/>
      <c r="B862" s="216"/>
      <c r="C862" s="216"/>
      <c r="D862" s="216"/>
      <c r="E862" s="216"/>
      <c r="F862" s="216"/>
      <c r="G862" s="216"/>
      <c r="H862" s="216"/>
      <c r="I862" s="216"/>
      <c r="J862" s="216"/>
      <c r="K862" s="216"/>
      <c r="L862" s="207"/>
      <c r="M862" s="207"/>
      <c r="N862" s="216"/>
      <c r="O862" s="216"/>
      <c r="P862" s="216"/>
      <c r="Q862" s="216"/>
      <c r="R862" s="216"/>
      <c r="S862" s="216"/>
      <c r="T862" s="216"/>
      <c r="U862" s="216"/>
      <c r="V862" s="216"/>
    </row>
    <row r="863" spans="1:22">
      <c r="A863" s="216"/>
      <c r="B863" s="216"/>
      <c r="C863" s="216"/>
      <c r="D863" s="216"/>
      <c r="E863" s="216"/>
      <c r="F863" s="216"/>
      <c r="G863" s="216"/>
      <c r="H863" s="216"/>
      <c r="I863" s="216"/>
      <c r="J863" s="216"/>
      <c r="K863" s="216"/>
      <c r="L863" s="207"/>
      <c r="M863" s="207"/>
      <c r="N863" s="216"/>
      <c r="O863" s="216"/>
      <c r="P863" s="216"/>
      <c r="Q863" s="216"/>
      <c r="R863" s="216"/>
      <c r="S863" s="216"/>
      <c r="T863" s="216"/>
      <c r="U863" s="216"/>
      <c r="V863" s="216"/>
    </row>
    <row r="864" spans="1:22">
      <c r="A864" s="216"/>
      <c r="B864" s="216"/>
      <c r="C864" s="216"/>
      <c r="D864" s="216"/>
      <c r="E864" s="216"/>
      <c r="F864" s="216"/>
      <c r="G864" s="216"/>
      <c r="H864" s="216"/>
      <c r="I864" s="216"/>
      <c r="J864" s="216"/>
      <c r="K864" s="216"/>
      <c r="L864" s="207"/>
      <c r="M864" s="207"/>
      <c r="N864" s="216"/>
      <c r="O864" s="216"/>
      <c r="P864" s="216"/>
      <c r="Q864" s="216"/>
      <c r="R864" s="216"/>
      <c r="S864" s="216"/>
      <c r="T864" s="216"/>
      <c r="U864" s="216"/>
      <c r="V864" s="216"/>
    </row>
    <row r="865" spans="1:22">
      <c r="A865" s="216"/>
      <c r="B865" s="216"/>
      <c r="C865" s="216"/>
      <c r="D865" s="216"/>
      <c r="E865" s="216"/>
      <c r="F865" s="216"/>
      <c r="G865" s="216"/>
      <c r="H865" s="216"/>
      <c r="I865" s="216"/>
      <c r="J865" s="216"/>
      <c r="K865" s="216"/>
      <c r="L865" s="207"/>
      <c r="M865" s="207"/>
      <c r="N865" s="216"/>
      <c r="O865" s="216"/>
      <c r="P865" s="216"/>
      <c r="Q865" s="216"/>
      <c r="R865" s="216"/>
      <c r="S865" s="216"/>
      <c r="T865" s="216"/>
      <c r="U865" s="216"/>
      <c r="V865" s="216"/>
    </row>
    <row r="866" spans="1:22">
      <c r="A866" s="216"/>
      <c r="B866" s="216"/>
      <c r="C866" s="216"/>
      <c r="D866" s="216"/>
      <c r="E866" s="216"/>
      <c r="F866" s="216"/>
      <c r="G866" s="216"/>
      <c r="H866" s="216"/>
      <c r="I866" s="216"/>
      <c r="J866" s="216"/>
      <c r="K866" s="216"/>
      <c r="L866" s="207"/>
      <c r="M866" s="207"/>
      <c r="N866" s="216"/>
      <c r="O866" s="216"/>
      <c r="P866" s="216"/>
      <c r="Q866" s="216"/>
      <c r="R866" s="216"/>
      <c r="S866" s="216"/>
      <c r="T866" s="216"/>
      <c r="U866" s="216"/>
      <c r="V866" s="216"/>
    </row>
    <row r="867" spans="1:22">
      <c r="A867" s="216"/>
      <c r="B867" s="216"/>
      <c r="C867" s="216"/>
      <c r="D867" s="216"/>
      <c r="E867" s="216"/>
      <c r="F867" s="216"/>
      <c r="G867" s="216"/>
      <c r="H867" s="216"/>
      <c r="I867" s="216"/>
      <c r="J867" s="216"/>
      <c r="K867" s="216"/>
      <c r="L867" s="207"/>
      <c r="M867" s="207"/>
      <c r="N867" s="216"/>
      <c r="O867" s="216"/>
      <c r="P867" s="216"/>
      <c r="Q867" s="216"/>
      <c r="R867" s="216"/>
      <c r="S867" s="216"/>
      <c r="T867" s="216"/>
      <c r="U867" s="216"/>
      <c r="V867" s="216"/>
    </row>
    <row r="868" spans="1:22">
      <c r="A868" s="216"/>
      <c r="B868" s="216"/>
      <c r="C868" s="216"/>
      <c r="D868" s="216"/>
      <c r="E868" s="216"/>
      <c r="F868" s="216"/>
      <c r="G868" s="216"/>
      <c r="H868" s="216"/>
      <c r="I868" s="216"/>
      <c r="J868" s="216"/>
      <c r="K868" s="216"/>
      <c r="L868" s="207"/>
      <c r="M868" s="207"/>
      <c r="N868" s="216"/>
      <c r="O868" s="216"/>
      <c r="P868" s="216"/>
      <c r="Q868" s="216"/>
      <c r="R868" s="216"/>
      <c r="S868" s="216"/>
      <c r="T868" s="216"/>
      <c r="U868" s="216"/>
      <c r="V868" s="216"/>
    </row>
    <row r="869" spans="1:22">
      <c r="A869" s="216"/>
      <c r="B869" s="216"/>
      <c r="C869" s="216"/>
      <c r="D869" s="216"/>
      <c r="E869" s="216"/>
      <c r="F869" s="216"/>
      <c r="G869" s="216"/>
      <c r="H869" s="216"/>
      <c r="I869" s="216"/>
      <c r="J869" s="216"/>
      <c r="K869" s="216"/>
      <c r="L869" s="207"/>
      <c r="M869" s="207"/>
      <c r="N869" s="216"/>
      <c r="O869" s="216"/>
      <c r="P869" s="216"/>
      <c r="Q869" s="216"/>
      <c r="R869" s="216"/>
      <c r="S869" s="216"/>
      <c r="T869" s="216"/>
      <c r="U869" s="216"/>
      <c r="V869" s="216"/>
    </row>
    <row r="870" spans="1:22">
      <c r="A870" s="216"/>
      <c r="B870" s="216"/>
      <c r="C870" s="216"/>
      <c r="D870" s="216"/>
      <c r="E870" s="216"/>
      <c r="F870" s="216"/>
      <c r="G870" s="216"/>
      <c r="H870" s="216"/>
      <c r="I870" s="216"/>
      <c r="J870" s="216"/>
      <c r="K870" s="216"/>
      <c r="L870" s="207"/>
      <c r="M870" s="207"/>
      <c r="N870" s="216"/>
      <c r="O870" s="216"/>
      <c r="P870" s="216"/>
      <c r="Q870" s="216"/>
      <c r="R870" s="216"/>
      <c r="S870" s="216"/>
      <c r="T870" s="216"/>
      <c r="U870" s="216"/>
      <c r="V870" s="216"/>
    </row>
    <row r="871" spans="1:22">
      <c r="A871" s="216"/>
      <c r="B871" s="216"/>
      <c r="C871" s="216"/>
      <c r="D871" s="216"/>
      <c r="E871" s="216"/>
      <c r="F871" s="216"/>
      <c r="G871" s="216"/>
      <c r="H871" s="216"/>
      <c r="I871" s="216"/>
      <c r="J871" s="216"/>
      <c r="K871" s="216"/>
      <c r="L871" s="207"/>
      <c r="M871" s="207"/>
      <c r="N871" s="216"/>
      <c r="O871" s="216"/>
      <c r="P871" s="216"/>
      <c r="Q871" s="216"/>
      <c r="R871" s="216"/>
      <c r="S871" s="216"/>
      <c r="T871" s="216"/>
      <c r="U871" s="216"/>
      <c r="V871" s="216"/>
    </row>
    <row r="872" spans="1:22">
      <c r="A872" s="216"/>
      <c r="B872" s="216"/>
      <c r="C872" s="216"/>
      <c r="D872" s="216"/>
      <c r="E872" s="216"/>
      <c r="F872" s="216"/>
      <c r="G872" s="216"/>
      <c r="H872" s="216"/>
      <c r="I872" s="216"/>
      <c r="J872" s="216"/>
      <c r="K872" s="216"/>
      <c r="L872" s="207"/>
      <c r="M872" s="207"/>
      <c r="N872" s="216"/>
      <c r="O872" s="216"/>
      <c r="P872" s="216"/>
      <c r="Q872" s="216"/>
      <c r="R872" s="216"/>
      <c r="S872" s="216"/>
      <c r="T872" s="216"/>
      <c r="U872" s="216"/>
      <c r="V872" s="216"/>
    </row>
    <row r="873" spans="1:22">
      <c r="A873" s="216"/>
      <c r="B873" s="216"/>
      <c r="C873" s="216"/>
      <c r="D873" s="216"/>
      <c r="E873" s="216"/>
      <c r="F873" s="216"/>
      <c r="G873" s="216"/>
      <c r="H873" s="216"/>
      <c r="I873" s="216"/>
      <c r="J873" s="216"/>
      <c r="K873" s="216"/>
      <c r="L873" s="207"/>
      <c r="M873" s="207"/>
      <c r="N873" s="216"/>
      <c r="O873" s="216"/>
      <c r="P873" s="216"/>
      <c r="Q873" s="216"/>
      <c r="R873" s="216"/>
      <c r="S873" s="216"/>
      <c r="T873" s="216"/>
      <c r="U873" s="216"/>
      <c r="V873" s="216"/>
    </row>
    <row r="874" spans="1:22">
      <c r="A874" s="216"/>
      <c r="B874" s="216"/>
      <c r="C874" s="216"/>
      <c r="D874" s="216"/>
      <c r="E874" s="216"/>
      <c r="F874" s="216"/>
      <c r="G874" s="216"/>
      <c r="H874" s="216"/>
      <c r="I874" s="216"/>
      <c r="J874" s="216"/>
      <c r="K874" s="216"/>
      <c r="L874" s="207"/>
      <c r="M874" s="207"/>
      <c r="N874" s="216"/>
      <c r="O874" s="216"/>
      <c r="P874" s="216"/>
      <c r="Q874" s="216"/>
      <c r="R874" s="216"/>
      <c r="S874" s="216"/>
      <c r="T874" s="216"/>
      <c r="U874" s="216"/>
      <c r="V874" s="216"/>
    </row>
    <row r="875" spans="1:22">
      <c r="A875" s="216"/>
      <c r="B875" s="216"/>
      <c r="C875" s="216"/>
      <c r="D875" s="216"/>
      <c r="E875" s="216"/>
      <c r="F875" s="216"/>
      <c r="G875" s="216"/>
      <c r="H875" s="216"/>
      <c r="I875" s="216"/>
      <c r="J875" s="216"/>
      <c r="K875" s="216"/>
      <c r="L875" s="207"/>
      <c r="M875" s="207"/>
      <c r="N875" s="216"/>
      <c r="O875" s="216"/>
      <c r="P875" s="216"/>
      <c r="Q875" s="216"/>
      <c r="R875" s="216"/>
      <c r="S875" s="216"/>
      <c r="T875" s="216"/>
      <c r="U875" s="216"/>
      <c r="V875" s="216"/>
    </row>
    <row r="876" spans="1:22">
      <c r="A876" s="216"/>
      <c r="B876" s="216"/>
      <c r="C876" s="216"/>
      <c r="D876" s="216"/>
      <c r="E876" s="216"/>
      <c r="F876" s="216"/>
      <c r="G876" s="216"/>
      <c r="H876" s="216"/>
      <c r="I876" s="216"/>
      <c r="J876" s="216"/>
      <c r="K876" s="216"/>
      <c r="L876" s="207"/>
      <c r="M876" s="207"/>
      <c r="N876" s="216"/>
      <c r="O876" s="216"/>
      <c r="P876" s="216"/>
      <c r="Q876" s="216"/>
      <c r="R876" s="216"/>
      <c r="S876" s="216"/>
      <c r="T876" s="216"/>
      <c r="U876" s="216"/>
      <c r="V876" s="216"/>
    </row>
    <row r="877" spans="1:22">
      <c r="A877" s="216"/>
      <c r="B877" s="216"/>
      <c r="C877" s="216"/>
      <c r="D877" s="216"/>
      <c r="E877" s="216"/>
      <c r="F877" s="216"/>
      <c r="G877" s="216"/>
      <c r="H877" s="216"/>
      <c r="I877" s="216"/>
      <c r="J877" s="216"/>
      <c r="K877" s="216"/>
      <c r="L877" s="207"/>
      <c r="M877" s="207"/>
      <c r="N877" s="216"/>
      <c r="O877" s="216"/>
      <c r="P877" s="216"/>
      <c r="Q877" s="216"/>
      <c r="R877" s="216"/>
      <c r="S877" s="216"/>
      <c r="T877" s="216"/>
      <c r="U877" s="216"/>
      <c r="V877" s="216"/>
    </row>
    <row r="878" spans="1:22">
      <c r="A878" s="216"/>
      <c r="B878" s="216"/>
      <c r="C878" s="216"/>
      <c r="D878" s="216"/>
      <c r="E878" s="216"/>
      <c r="F878" s="216"/>
      <c r="G878" s="216"/>
      <c r="H878" s="216"/>
      <c r="I878" s="216"/>
      <c r="J878" s="216"/>
      <c r="K878" s="216"/>
      <c r="L878" s="207"/>
      <c r="M878" s="207"/>
      <c r="N878" s="216"/>
      <c r="O878" s="216"/>
      <c r="P878" s="216"/>
      <c r="Q878" s="216"/>
      <c r="R878" s="216"/>
      <c r="S878" s="216"/>
      <c r="T878" s="216"/>
      <c r="U878" s="216"/>
      <c r="V878" s="216"/>
    </row>
    <row r="879" spans="1:22">
      <c r="A879" s="216"/>
      <c r="B879" s="216"/>
      <c r="C879" s="216"/>
      <c r="D879" s="216"/>
      <c r="E879" s="216"/>
      <c r="F879" s="216"/>
      <c r="G879" s="216"/>
      <c r="H879" s="216"/>
      <c r="I879" s="216"/>
      <c r="J879" s="216"/>
      <c r="K879" s="216"/>
      <c r="L879" s="207"/>
      <c r="M879" s="207"/>
      <c r="N879" s="216"/>
      <c r="O879" s="216"/>
      <c r="P879" s="216"/>
      <c r="Q879" s="216"/>
      <c r="R879" s="216"/>
      <c r="S879" s="216"/>
      <c r="T879" s="216"/>
      <c r="U879" s="216"/>
      <c r="V879" s="216"/>
    </row>
    <row r="880" spans="1:22">
      <c r="A880" s="216"/>
      <c r="B880" s="216"/>
      <c r="C880" s="216"/>
      <c r="D880" s="216"/>
      <c r="E880" s="216"/>
      <c r="F880" s="216"/>
      <c r="G880" s="216"/>
      <c r="H880" s="216"/>
      <c r="I880" s="216"/>
      <c r="J880" s="216"/>
      <c r="K880" s="216"/>
      <c r="L880" s="207"/>
      <c r="M880" s="207"/>
      <c r="N880" s="216"/>
      <c r="O880" s="216"/>
      <c r="P880" s="216"/>
      <c r="Q880" s="216"/>
      <c r="R880" s="216"/>
      <c r="S880" s="216"/>
      <c r="T880" s="216"/>
      <c r="U880" s="216"/>
      <c r="V880" s="216"/>
    </row>
    <row r="881" spans="1:22">
      <c r="A881" s="216"/>
      <c r="B881" s="216"/>
      <c r="C881" s="216"/>
      <c r="D881" s="216"/>
      <c r="E881" s="216"/>
      <c r="F881" s="216"/>
      <c r="G881" s="216"/>
      <c r="H881" s="216"/>
      <c r="I881" s="216"/>
      <c r="J881" s="216"/>
      <c r="K881" s="216"/>
      <c r="L881" s="207"/>
      <c r="M881" s="207"/>
      <c r="N881" s="216"/>
      <c r="O881" s="216"/>
      <c r="P881" s="216"/>
      <c r="Q881" s="216"/>
      <c r="R881" s="216"/>
      <c r="S881" s="216"/>
      <c r="T881" s="216"/>
      <c r="U881" s="216"/>
      <c r="V881" s="216"/>
    </row>
    <row r="882" spans="1:22">
      <c r="A882" s="216"/>
      <c r="B882" s="216"/>
      <c r="C882" s="216"/>
      <c r="D882" s="216"/>
      <c r="E882" s="216"/>
      <c r="F882" s="216"/>
      <c r="G882" s="216"/>
      <c r="H882" s="216"/>
      <c r="I882" s="216"/>
      <c r="J882" s="216"/>
      <c r="K882" s="216"/>
      <c r="L882" s="207"/>
      <c r="M882" s="207"/>
      <c r="N882" s="216"/>
      <c r="O882" s="216"/>
      <c r="P882" s="216"/>
      <c r="Q882" s="216"/>
      <c r="R882" s="216"/>
      <c r="S882" s="216"/>
      <c r="T882" s="216"/>
      <c r="U882" s="216"/>
      <c r="V882" s="216"/>
    </row>
    <row r="883" spans="1:22">
      <c r="A883" s="216"/>
      <c r="B883" s="216"/>
      <c r="C883" s="216"/>
      <c r="D883" s="216"/>
      <c r="E883" s="216"/>
      <c r="F883" s="216"/>
      <c r="G883" s="216"/>
      <c r="H883" s="216"/>
      <c r="I883" s="216"/>
      <c r="J883" s="216"/>
      <c r="K883" s="216"/>
      <c r="L883" s="207"/>
      <c r="M883" s="207"/>
      <c r="N883" s="216"/>
      <c r="O883" s="216"/>
      <c r="P883" s="216"/>
      <c r="Q883" s="216"/>
      <c r="R883" s="216"/>
      <c r="S883" s="216"/>
      <c r="T883" s="216"/>
      <c r="U883" s="216"/>
      <c r="V883" s="216"/>
    </row>
    <row r="884" spans="1:22">
      <c r="A884" s="216"/>
      <c r="B884" s="216"/>
      <c r="C884" s="216"/>
      <c r="D884" s="216"/>
      <c r="E884" s="216"/>
      <c r="F884" s="216"/>
      <c r="G884" s="216"/>
      <c r="H884" s="216"/>
      <c r="I884" s="216"/>
      <c r="J884" s="216"/>
      <c r="K884" s="216"/>
      <c r="L884" s="207"/>
      <c r="M884" s="207"/>
      <c r="N884" s="216"/>
      <c r="O884" s="216"/>
      <c r="P884" s="216"/>
      <c r="Q884" s="216"/>
      <c r="R884" s="216"/>
      <c r="S884" s="216"/>
      <c r="T884" s="216"/>
      <c r="U884" s="216"/>
      <c r="V884" s="216"/>
    </row>
    <row r="885" spans="1:22">
      <c r="A885" s="216"/>
      <c r="B885" s="216"/>
      <c r="C885" s="216"/>
      <c r="D885" s="216"/>
      <c r="E885" s="216"/>
      <c r="F885" s="216"/>
      <c r="G885" s="216"/>
      <c r="H885" s="216"/>
      <c r="I885" s="216"/>
      <c r="J885" s="216"/>
      <c r="K885" s="216"/>
      <c r="L885" s="207"/>
      <c r="M885" s="207"/>
      <c r="N885" s="216"/>
      <c r="O885" s="216"/>
      <c r="P885" s="216"/>
      <c r="Q885" s="216"/>
      <c r="R885" s="216"/>
      <c r="S885" s="216"/>
      <c r="T885" s="216"/>
      <c r="U885" s="216"/>
      <c r="V885" s="216"/>
    </row>
    <row r="886" spans="1:22">
      <c r="A886" s="216"/>
      <c r="B886" s="216"/>
      <c r="C886" s="216"/>
      <c r="D886" s="216"/>
      <c r="E886" s="216"/>
      <c r="F886" s="216"/>
      <c r="G886" s="216"/>
      <c r="H886" s="216"/>
      <c r="I886" s="216"/>
      <c r="J886" s="216"/>
      <c r="K886" s="216"/>
      <c r="L886" s="207"/>
      <c r="M886" s="207"/>
      <c r="N886" s="216"/>
      <c r="O886" s="216"/>
      <c r="P886" s="216"/>
      <c r="Q886" s="216"/>
      <c r="R886" s="216"/>
      <c r="S886" s="216"/>
      <c r="T886" s="216"/>
      <c r="U886" s="216"/>
      <c r="V886" s="216"/>
    </row>
    <row r="887" spans="1:22">
      <c r="A887" s="216"/>
      <c r="B887" s="216"/>
      <c r="C887" s="216"/>
      <c r="D887" s="216"/>
      <c r="E887" s="216"/>
      <c r="F887" s="216"/>
      <c r="G887" s="216"/>
      <c r="H887" s="216"/>
      <c r="I887" s="216"/>
      <c r="J887" s="216"/>
      <c r="K887" s="216"/>
      <c r="L887" s="207"/>
      <c r="M887" s="207"/>
      <c r="N887" s="216"/>
      <c r="O887" s="216"/>
      <c r="P887" s="216"/>
      <c r="Q887" s="216"/>
      <c r="R887" s="216"/>
      <c r="S887" s="216"/>
      <c r="T887" s="216"/>
      <c r="U887" s="216"/>
      <c r="V887" s="216"/>
    </row>
    <row r="888" spans="1:22">
      <c r="A888" s="216"/>
      <c r="B888" s="216"/>
      <c r="C888" s="216"/>
      <c r="D888" s="216"/>
      <c r="E888" s="216"/>
      <c r="F888" s="216"/>
      <c r="G888" s="216"/>
      <c r="H888" s="216"/>
      <c r="I888" s="216"/>
      <c r="J888" s="216"/>
      <c r="K888" s="216"/>
      <c r="L888" s="207"/>
      <c r="M888" s="207"/>
      <c r="N888" s="216"/>
      <c r="O888" s="216"/>
      <c r="P888" s="216"/>
      <c r="Q888" s="216"/>
      <c r="R888" s="216"/>
      <c r="S888" s="216"/>
      <c r="T888" s="216"/>
      <c r="U888" s="216"/>
      <c r="V888" s="216"/>
    </row>
    <row r="889" spans="1:22">
      <c r="A889" s="216"/>
      <c r="B889" s="216"/>
      <c r="C889" s="216"/>
      <c r="D889" s="216"/>
      <c r="E889" s="216"/>
      <c r="F889" s="216"/>
      <c r="G889" s="216"/>
      <c r="H889" s="216"/>
      <c r="I889" s="216"/>
      <c r="J889" s="216"/>
      <c r="K889" s="216"/>
      <c r="L889" s="207"/>
      <c r="M889" s="207"/>
      <c r="N889" s="216"/>
      <c r="O889" s="216"/>
      <c r="P889" s="216"/>
      <c r="Q889" s="216"/>
      <c r="R889" s="216"/>
      <c r="S889" s="216"/>
      <c r="T889" s="216"/>
      <c r="U889" s="216"/>
      <c r="V889" s="216"/>
    </row>
    <row r="890" spans="1:22">
      <c r="A890" s="216"/>
      <c r="B890" s="216"/>
      <c r="C890" s="216"/>
      <c r="D890" s="216"/>
      <c r="E890" s="216"/>
      <c r="F890" s="216"/>
      <c r="G890" s="216"/>
      <c r="H890" s="216"/>
      <c r="I890" s="216"/>
      <c r="J890" s="216"/>
      <c r="K890" s="216"/>
      <c r="L890" s="207"/>
      <c r="M890" s="207"/>
      <c r="N890" s="216"/>
      <c r="O890" s="216"/>
      <c r="P890" s="216"/>
      <c r="Q890" s="216"/>
      <c r="R890" s="216"/>
      <c r="S890" s="216"/>
      <c r="T890" s="216"/>
      <c r="U890" s="216"/>
      <c r="V890" s="216"/>
    </row>
    <row r="891" spans="1:22">
      <c r="A891" s="216"/>
      <c r="B891" s="216"/>
      <c r="C891" s="216"/>
      <c r="D891" s="216"/>
      <c r="E891" s="216"/>
      <c r="F891" s="216"/>
      <c r="G891" s="216"/>
      <c r="H891" s="216"/>
      <c r="I891" s="216"/>
      <c r="J891" s="216"/>
      <c r="K891" s="216"/>
      <c r="L891" s="207"/>
      <c r="M891" s="207"/>
      <c r="N891" s="216"/>
      <c r="O891" s="216"/>
      <c r="P891" s="216"/>
      <c r="Q891" s="216"/>
      <c r="R891" s="216"/>
      <c r="S891" s="216"/>
      <c r="T891" s="216"/>
      <c r="U891" s="216"/>
      <c r="V891" s="216"/>
    </row>
    <row r="892" spans="1:22">
      <c r="A892" s="216"/>
      <c r="B892" s="216"/>
      <c r="C892" s="216"/>
      <c r="D892" s="216"/>
      <c r="E892" s="216"/>
      <c r="F892" s="216"/>
      <c r="G892" s="216"/>
      <c r="H892" s="216"/>
      <c r="I892" s="216"/>
      <c r="J892" s="216"/>
      <c r="K892" s="216"/>
      <c r="L892" s="207"/>
      <c r="M892" s="207"/>
      <c r="N892" s="216"/>
      <c r="O892" s="216"/>
      <c r="P892" s="216"/>
      <c r="Q892" s="216"/>
      <c r="R892" s="216"/>
      <c r="S892" s="216"/>
      <c r="T892" s="216"/>
      <c r="U892" s="216"/>
      <c r="V892" s="216"/>
    </row>
    <row r="893" spans="1:22">
      <c r="A893" s="216"/>
      <c r="B893" s="216"/>
      <c r="C893" s="216"/>
      <c r="D893" s="216"/>
      <c r="E893" s="216"/>
      <c r="F893" s="216"/>
      <c r="G893" s="216"/>
      <c r="H893" s="216"/>
      <c r="I893" s="216"/>
      <c r="J893" s="216"/>
      <c r="K893" s="216"/>
      <c r="L893" s="207"/>
      <c r="M893" s="207"/>
      <c r="N893" s="216"/>
      <c r="O893" s="216"/>
      <c r="P893" s="216"/>
      <c r="Q893" s="216"/>
      <c r="R893" s="216"/>
      <c r="S893" s="216"/>
      <c r="T893" s="216"/>
      <c r="U893" s="216"/>
      <c r="V893" s="216"/>
    </row>
    <row r="894" spans="1:22">
      <c r="A894" s="216"/>
      <c r="B894" s="216"/>
      <c r="C894" s="216"/>
      <c r="D894" s="216"/>
      <c r="E894" s="216"/>
      <c r="F894" s="216"/>
      <c r="G894" s="216"/>
      <c r="H894" s="216"/>
      <c r="I894" s="216"/>
      <c r="J894" s="216"/>
      <c r="K894" s="216"/>
      <c r="L894" s="207"/>
      <c r="M894" s="207"/>
      <c r="N894" s="216"/>
      <c r="O894" s="216"/>
      <c r="P894" s="216"/>
      <c r="Q894" s="216"/>
      <c r="R894" s="216"/>
      <c r="S894" s="216"/>
      <c r="T894" s="216"/>
      <c r="U894" s="216"/>
      <c r="V894" s="216"/>
    </row>
    <row r="895" spans="1:22">
      <c r="A895" s="216"/>
      <c r="B895" s="216"/>
      <c r="C895" s="216"/>
      <c r="D895" s="216"/>
      <c r="E895" s="216"/>
      <c r="F895" s="216"/>
      <c r="G895" s="216"/>
      <c r="H895" s="216"/>
      <c r="I895" s="216"/>
      <c r="J895" s="216"/>
      <c r="K895" s="216"/>
      <c r="L895" s="207"/>
      <c r="M895" s="207"/>
      <c r="N895" s="216"/>
      <c r="O895" s="216"/>
      <c r="P895" s="216"/>
      <c r="Q895" s="216"/>
      <c r="R895" s="216"/>
      <c r="S895" s="216"/>
      <c r="T895" s="216"/>
      <c r="U895" s="216"/>
      <c r="V895" s="216"/>
    </row>
    <row r="896" spans="1:22">
      <c r="A896" s="216"/>
      <c r="B896" s="216"/>
      <c r="C896" s="216"/>
      <c r="D896" s="216"/>
      <c r="E896" s="216"/>
      <c r="F896" s="216"/>
      <c r="G896" s="216"/>
      <c r="H896" s="216"/>
      <c r="I896" s="216"/>
      <c r="J896" s="216"/>
      <c r="K896" s="216"/>
      <c r="L896" s="207"/>
      <c r="M896" s="207"/>
      <c r="N896" s="216"/>
      <c r="O896" s="216"/>
      <c r="P896" s="216"/>
      <c r="Q896" s="216"/>
      <c r="R896" s="216"/>
      <c r="S896" s="216"/>
      <c r="T896" s="216"/>
      <c r="U896" s="216"/>
      <c r="V896" s="216"/>
    </row>
    <row r="897" spans="1:22">
      <c r="A897" s="216"/>
      <c r="B897" s="216"/>
      <c r="C897" s="216"/>
      <c r="D897" s="216"/>
      <c r="E897" s="216"/>
      <c r="F897" s="216"/>
      <c r="G897" s="216"/>
      <c r="H897" s="216"/>
      <c r="I897" s="216"/>
      <c r="J897" s="216"/>
      <c r="K897" s="216"/>
      <c r="L897" s="207"/>
      <c r="M897" s="207"/>
      <c r="N897" s="216"/>
      <c r="O897" s="216"/>
      <c r="P897" s="216"/>
      <c r="Q897" s="216"/>
      <c r="R897" s="216"/>
      <c r="S897" s="216"/>
      <c r="T897" s="216"/>
      <c r="U897" s="216"/>
      <c r="V897" s="216"/>
    </row>
    <row r="898" spans="1:22">
      <c r="A898" s="216"/>
      <c r="B898" s="216"/>
      <c r="C898" s="216"/>
      <c r="D898" s="216"/>
      <c r="E898" s="216"/>
      <c r="F898" s="216"/>
      <c r="G898" s="216"/>
      <c r="H898" s="216"/>
      <c r="I898" s="216"/>
      <c r="J898" s="216"/>
      <c r="K898" s="216"/>
      <c r="L898" s="207"/>
      <c r="M898" s="207"/>
      <c r="N898" s="216"/>
      <c r="O898" s="216"/>
      <c r="P898" s="216"/>
      <c r="Q898" s="216"/>
      <c r="R898" s="216"/>
      <c r="S898" s="216"/>
      <c r="T898" s="216"/>
      <c r="U898" s="216"/>
      <c r="V898" s="216"/>
    </row>
    <row r="899" spans="1:22">
      <c r="A899" s="216"/>
      <c r="B899" s="216"/>
      <c r="C899" s="216"/>
      <c r="D899" s="216"/>
      <c r="E899" s="216"/>
      <c r="F899" s="216"/>
      <c r="G899" s="216"/>
      <c r="H899" s="216"/>
      <c r="I899" s="216"/>
      <c r="J899" s="216"/>
      <c r="K899" s="216"/>
      <c r="L899" s="207"/>
      <c r="M899" s="207"/>
      <c r="N899" s="216"/>
      <c r="O899" s="216"/>
      <c r="P899" s="216"/>
      <c r="Q899" s="216"/>
      <c r="R899" s="216"/>
      <c r="S899" s="216"/>
      <c r="T899" s="216"/>
      <c r="U899" s="216"/>
      <c r="V899" s="216"/>
    </row>
    <row r="900" spans="1:22">
      <c r="A900" s="216"/>
      <c r="B900" s="216"/>
      <c r="C900" s="216"/>
      <c r="D900" s="216"/>
      <c r="E900" s="216"/>
      <c r="F900" s="216"/>
      <c r="G900" s="216"/>
      <c r="H900" s="216"/>
      <c r="I900" s="216"/>
      <c r="J900" s="216"/>
      <c r="K900" s="216"/>
      <c r="L900" s="207"/>
      <c r="M900" s="207"/>
      <c r="N900" s="216"/>
      <c r="O900" s="216"/>
      <c r="P900" s="216"/>
      <c r="Q900" s="216"/>
      <c r="R900" s="216"/>
      <c r="S900" s="216"/>
      <c r="T900" s="216"/>
      <c r="U900" s="216"/>
      <c r="V900" s="216"/>
    </row>
    <row r="901" spans="1:22">
      <c r="A901" s="216"/>
      <c r="B901" s="216"/>
      <c r="C901" s="216"/>
      <c r="D901" s="216"/>
      <c r="E901" s="216"/>
      <c r="F901" s="216"/>
      <c r="G901" s="216"/>
      <c r="H901" s="216"/>
      <c r="I901" s="216"/>
      <c r="J901" s="216"/>
      <c r="K901" s="216"/>
      <c r="L901" s="207"/>
      <c r="M901" s="207"/>
      <c r="N901" s="216"/>
      <c r="O901" s="216"/>
      <c r="P901" s="216"/>
      <c r="Q901" s="216"/>
      <c r="R901" s="216"/>
      <c r="S901" s="216"/>
      <c r="T901" s="216"/>
      <c r="U901" s="216"/>
      <c r="V901" s="216"/>
    </row>
    <row r="902" spans="1:22">
      <c r="A902" s="216"/>
      <c r="B902" s="216"/>
      <c r="C902" s="216"/>
      <c r="D902" s="216"/>
      <c r="E902" s="216"/>
      <c r="F902" s="216"/>
      <c r="G902" s="216"/>
      <c r="H902" s="216"/>
      <c r="I902" s="216"/>
      <c r="J902" s="216"/>
      <c r="K902" s="216"/>
      <c r="L902" s="207"/>
      <c r="M902" s="207"/>
      <c r="N902" s="216"/>
      <c r="O902" s="216"/>
      <c r="P902" s="216"/>
      <c r="Q902" s="216"/>
      <c r="R902" s="216"/>
      <c r="S902" s="216"/>
      <c r="T902" s="216"/>
      <c r="U902" s="216"/>
      <c r="V902" s="216"/>
    </row>
    <row r="903" spans="1:22">
      <c r="A903" s="216"/>
      <c r="B903" s="216"/>
      <c r="C903" s="216"/>
      <c r="D903" s="216"/>
      <c r="E903" s="216"/>
      <c r="F903" s="216"/>
      <c r="G903" s="216"/>
      <c r="H903" s="216"/>
      <c r="I903" s="216"/>
      <c r="J903" s="216"/>
      <c r="K903" s="216"/>
      <c r="L903" s="207"/>
      <c r="M903" s="207"/>
      <c r="N903" s="216"/>
      <c r="O903" s="216"/>
      <c r="P903" s="216"/>
      <c r="Q903" s="216"/>
      <c r="R903" s="216"/>
      <c r="S903" s="216"/>
      <c r="T903" s="216"/>
      <c r="U903" s="216"/>
      <c r="V903" s="216"/>
    </row>
    <row r="904" spans="1:22">
      <c r="A904" s="216"/>
      <c r="B904" s="216"/>
      <c r="C904" s="216"/>
      <c r="D904" s="216"/>
      <c r="E904" s="216"/>
      <c r="F904" s="216"/>
      <c r="G904" s="216"/>
      <c r="H904" s="216"/>
      <c r="I904" s="216"/>
      <c r="J904" s="216"/>
      <c r="K904" s="216"/>
      <c r="L904" s="207"/>
      <c r="M904" s="207"/>
      <c r="N904" s="216"/>
      <c r="O904" s="216"/>
      <c r="P904" s="216"/>
      <c r="Q904" s="216"/>
      <c r="R904" s="216"/>
      <c r="S904" s="216"/>
      <c r="T904" s="216"/>
      <c r="U904" s="216"/>
      <c r="V904" s="216"/>
    </row>
    <row r="905" spans="1:22">
      <c r="A905" s="216"/>
      <c r="B905" s="216"/>
      <c r="C905" s="216"/>
      <c r="D905" s="216"/>
      <c r="E905" s="216"/>
      <c r="F905" s="216"/>
      <c r="G905" s="216"/>
      <c r="H905" s="216"/>
      <c r="I905" s="216"/>
      <c r="J905" s="216"/>
      <c r="K905" s="216"/>
      <c r="L905" s="207"/>
      <c r="M905" s="207"/>
      <c r="N905" s="216"/>
      <c r="O905" s="216"/>
      <c r="P905" s="216"/>
      <c r="Q905" s="216"/>
      <c r="R905" s="216"/>
      <c r="S905" s="216"/>
      <c r="T905" s="216"/>
      <c r="U905" s="216"/>
      <c r="V905" s="216"/>
    </row>
    <row r="906" spans="1:22">
      <c r="A906" s="216"/>
      <c r="B906" s="216"/>
      <c r="C906" s="216"/>
      <c r="D906" s="216"/>
      <c r="E906" s="216"/>
      <c r="F906" s="216"/>
      <c r="G906" s="216"/>
      <c r="H906" s="216"/>
      <c r="I906" s="216"/>
      <c r="J906" s="216"/>
      <c r="K906" s="216"/>
      <c r="L906" s="207"/>
      <c r="M906" s="207"/>
      <c r="N906" s="216"/>
      <c r="O906" s="216"/>
      <c r="P906" s="216"/>
      <c r="Q906" s="216"/>
      <c r="R906" s="216"/>
      <c r="S906" s="216"/>
      <c r="T906" s="216"/>
      <c r="U906" s="216"/>
      <c r="V906" s="216"/>
    </row>
    <row r="907" spans="1:22">
      <c r="A907" s="216"/>
      <c r="B907" s="216"/>
      <c r="C907" s="216"/>
      <c r="D907" s="216"/>
      <c r="E907" s="216"/>
      <c r="F907" s="216"/>
      <c r="G907" s="216"/>
      <c r="H907" s="216"/>
      <c r="I907" s="216"/>
      <c r="J907" s="216"/>
      <c r="K907" s="216"/>
      <c r="L907" s="207"/>
      <c r="M907" s="207"/>
      <c r="N907" s="216"/>
      <c r="O907" s="216"/>
      <c r="P907" s="216"/>
      <c r="Q907" s="216"/>
      <c r="R907" s="216"/>
      <c r="S907" s="216"/>
      <c r="T907" s="216"/>
      <c r="U907" s="216"/>
      <c r="V907" s="216"/>
    </row>
    <row r="908" spans="1:22">
      <c r="A908" s="216"/>
      <c r="B908" s="216"/>
      <c r="C908" s="216"/>
      <c r="D908" s="216"/>
      <c r="E908" s="216"/>
      <c r="F908" s="216"/>
      <c r="G908" s="216"/>
      <c r="H908" s="216"/>
      <c r="I908" s="216"/>
      <c r="J908" s="216"/>
      <c r="K908" s="216"/>
      <c r="L908" s="207"/>
      <c r="M908" s="207"/>
      <c r="N908" s="216"/>
      <c r="O908" s="216"/>
      <c r="P908" s="216"/>
      <c r="Q908" s="216"/>
      <c r="R908" s="216"/>
      <c r="S908" s="216"/>
      <c r="T908" s="216"/>
      <c r="U908" s="216"/>
      <c r="V908" s="216"/>
    </row>
    <row r="909" spans="1:22">
      <c r="A909" s="216"/>
      <c r="B909" s="216"/>
      <c r="C909" s="216"/>
      <c r="D909" s="216"/>
      <c r="E909" s="216"/>
      <c r="F909" s="216"/>
      <c r="G909" s="216"/>
      <c r="H909" s="216"/>
      <c r="I909" s="216"/>
      <c r="J909" s="216"/>
      <c r="K909" s="216"/>
      <c r="L909" s="207"/>
      <c r="M909" s="207"/>
      <c r="N909" s="216"/>
      <c r="O909" s="216"/>
      <c r="P909" s="216"/>
      <c r="Q909" s="216"/>
      <c r="R909" s="216"/>
      <c r="S909" s="216"/>
      <c r="T909" s="216"/>
      <c r="U909" s="216"/>
      <c r="V909" s="216"/>
    </row>
    <row r="910" spans="1:22">
      <c r="A910" s="216"/>
      <c r="B910" s="216"/>
      <c r="C910" s="216"/>
      <c r="D910" s="216"/>
      <c r="E910" s="216"/>
      <c r="F910" s="216"/>
      <c r="G910" s="216"/>
      <c r="H910" s="216"/>
      <c r="I910" s="216"/>
      <c r="J910" s="216"/>
      <c r="K910" s="216"/>
      <c r="L910" s="207"/>
      <c r="M910" s="207"/>
      <c r="N910" s="216"/>
      <c r="O910" s="216"/>
      <c r="P910" s="216"/>
      <c r="Q910" s="216"/>
      <c r="R910" s="216"/>
      <c r="S910" s="216"/>
      <c r="T910" s="216"/>
      <c r="U910" s="216"/>
      <c r="V910" s="216"/>
    </row>
    <row r="911" spans="1:22">
      <c r="A911" s="216"/>
      <c r="B911" s="216"/>
      <c r="C911" s="216"/>
      <c r="D911" s="216"/>
      <c r="E911" s="216"/>
      <c r="F911" s="216"/>
      <c r="G911" s="216"/>
      <c r="H911" s="216"/>
      <c r="I911" s="216"/>
      <c r="J911" s="216"/>
      <c r="K911" s="216"/>
      <c r="L911" s="207"/>
      <c r="M911" s="207"/>
      <c r="N911" s="216"/>
      <c r="O911" s="216"/>
      <c r="P911" s="216"/>
      <c r="Q911" s="216"/>
      <c r="R911" s="216"/>
      <c r="S911" s="216"/>
      <c r="T911" s="216"/>
      <c r="U911" s="216"/>
      <c r="V911" s="216"/>
    </row>
    <row r="912" spans="1:22">
      <c r="A912" s="216"/>
      <c r="B912" s="216"/>
      <c r="C912" s="216"/>
      <c r="D912" s="216"/>
      <c r="E912" s="216"/>
      <c r="F912" s="216"/>
      <c r="G912" s="216"/>
      <c r="H912" s="216"/>
      <c r="I912" s="216"/>
      <c r="J912" s="216"/>
      <c r="K912" s="216"/>
      <c r="L912" s="207"/>
      <c r="M912" s="207"/>
      <c r="N912" s="216"/>
      <c r="O912" s="216"/>
      <c r="P912" s="216"/>
      <c r="Q912" s="216"/>
      <c r="R912" s="216"/>
      <c r="S912" s="216"/>
      <c r="T912" s="216"/>
      <c r="U912" s="216"/>
      <c r="V912" s="216"/>
    </row>
    <row r="913" spans="1:22">
      <c r="A913" s="216"/>
      <c r="B913" s="216"/>
      <c r="C913" s="216"/>
      <c r="D913" s="216"/>
      <c r="E913" s="216"/>
      <c r="F913" s="216"/>
      <c r="G913" s="216"/>
      <c r="H913" s="216"/>
      <c r="I913" s="216"/>
      <c r="J913" s="216"/>
      <c r="K913" s="216"/>
      <c r="L913" s="207"/>
      <c r="M913" s="207"/>
      <c r="N913" s="216"/>
      <c r="O913" s="216"/>
      <c r="P913" s="216"/>
      <c r="Q913" s="216"/>
      <c r="R913" s="216"/>
      <c r="S913" s="216"/>
      <c r="T913" s="216"/>
      <c r="U913" s="216"/>
      <c r="V913" s="216"/>
    </row>
    <row r="914" spans="1:22">
      <c r="A914" s="216"/>
      <c r="B914" s="216"/>
      <c r="C914" s="216"/>
      <c r="D914" s="216"/>
      <c r="E914" s="216"/>
      <c r="F914" s="216"/>
      <c r="G914" s="216"/>
      <c r="H914" s="216"/>
      <c r="I914" s="216"/>
      <c r="J914" s="216"/>
      <c r="K914" s="216"/>
      <c r="L914" s="207"/>
      <c r="M914" s="207"/>
      <c r="N914" s="216"/>
      <c r="O914" s="216"/>
      <c r="P914" s="216"/>
      <c r="Q914" s="216"/>
      <c r="R914" s="216"/>
      <c r="S914" s="216"/>
      <c r="T914" s="216"/>
      <c r="U914" s="216"/>
      <c r="V914" s="216"/>
    </row>
    <row r="915" spans="1:22">
      <c r="A915" s="216"/>
      <c r="B915" s="216"/>
      <c r="C915" s="216"/>
      <c r="D915" s="216"/>
      <c r="E915" s="216"/>
      <c r="F915" s="216"/>
      <c r="G915" s="216"/>
      <c r="H915" s="216"/>
      <c r="I915" s="216"/>
      <c r="J915" s="216"/>
      <c r="K915" s="216"/>
      <c r="L915" s="207"/>
      <c r="M915" s="207"/>
      <c r="N915" s="216"/>
      <c r="O915" s="216"/>
      <c r="P915" s="216"/>
      <c r="Q915" s="216"/>
      <c r="R915" s="216"/>
      <c r="S915" s="216"/>
      <c r="T915" s="216"/>
      <c r="U915" s="216"/>
      <c r="V915" s="216"/>
    </row>
    <row r="916" spans="1:22">
      <c r="A916" s="216"/>
      <c r="B916" s="216"/>
      <c r="C916" s="216"/>
      <c r="D916" s="216"/>
      <c r="E916" s="216"/>
      <c r="F916" s="216"/>
      <c r="G916" s="216"/>
      <c r="H916" s="216"/>
      <c r="I916" s="216"/>
      <c r="J916" s="216"/>
      <c r="K916" s="216"/>
      <c r="L916" s="207"/>
      <c r="M916" s="207"/>
      <c r="N916" s="216"/>
      <c r="O916" s="216"/>
      <c r="P916" s="216"/>
      <c r="Q916" s="216"/>
      <c r="R916" s="216"/>
      <c r="S916" s="216"/>
      <c r="T916" s="216"/>
      <c r="U916" s="216"/>
      <c r="V916" s="216"/>
    </row>
    <row r="917" spans="1:22">
      <c r="A917" s="216"/>
      <c r="B917" s="216"/>
      <c r="C917" s="216"/>
      <c r="D917" s="216"/>
      <c r="E917" s="216"/>
      <c r="F917" s="216"/>
      <c r="G917" s="216"/>
      <c r="H917" s="216"/>
      <c r="I917" s="216"/>
      <c r="J917" s="216"/>
      <c r="K917" s="216"/>
      <c r="L917" s="207"/>
      <c r="M917" s="207"/>
      <c r="N917" s="216"/>
      <c r="O917" s="216"/>
      <c r="P917" s="216"/>
      <c r="Q917" s="216"/>
      <c r="R917" s="216"/>
      <c r="S917" s="216"/>
      <c r="T917" s="216"/>
      <c r="U917" s="216"/>
      <c r="V917" s="216"/>
    </row>
    <row r="918" spans="1:22">
      <c r="A918" s="216"/>
      <c r="B918" s="216"/>
      <c r="C918" s="216"/>
      <c r="D918" s="216"/>
      <c r="E918" s="216"/>
      <c r="F918" s="216"/>
      <c r="G918" s="216"/>
      <c r="H918" s="216"/>
      <c r="I918" s="216"/>
      <c r="J918" s="216"/>
      <c r="K918" s="216"/>
      <c r="L918" s="207"/>
      <c r="M918" s="207"/>
      <c r="N918" s="216"/>
      <c r="O918" s="216"/>
      <c r="P918" s="216"/>
      <c r="Q918" s="216"/>
      <c r="R918" s="216"/>
      <c r="S918" s="216"/>
      <c r="T918" s="216"/>
      <c r="U918" s="216"/>
      <c r="V918" s="216"/>
    </row>
    <row r="919" spans="1:22">
      <c r="A919" s="216"/>
      <c r="B919" s="216"/>
      <c r="C919" s="216"/>
      <c r="D919" s="216"/>
      <c r="E919" s="216"/>
      <c r="F919" s="216"/>
      <c r="G919" s="216"/>
      <c r="H919" s="216"/>
      <c r="I919" s="216"/>
      <c r="J919" s="216"/>
      <c r="K919" s="216"/>
      <c r="L919" s="207"/>
      <c r="M919" s="207"/>
      <c r="N919" s="216"/>
      <c r="O919" s="216"/>
      <c r="P919" s="216"/>
      <c r="Q919" s="216"/>
      <c r="R919" s="216"/>
      <c r="S919" s="216"/>
      <c r="T919" s="216"/>
      <c r="U919" s="216"/>
      <c r="V919" s="216"/>
    </row>
    <row r="920" spans="1:22">
      <c r="A920" s="216"/>
      <c r="B920" s="216"/>
      <c r="C920" s="216"/>
      <c r="D920" s="216"/>
      <c r="E920" s="216"/>
      <c r="F920" s="216"/>
      <c r="G920" s="216"/>
      <c r="H920" s="216"/>
      <c r="I920" s="216"/>
      <c r="J920" s="216"/>
      <c r="K920" s="216"/>
      <c r="L920" s="207"/>
      <c r="M920" s="207"/>
      <c r="N920" s="216"/>
      <c r="O920" s="216"/>
      <c r="P920" s="216"/>
      <c r="Q920" s="216"/>
      <c r="R920" s="216"/>
      <c r="S920" s="216"/>
      <c r="T920" s="216"/>
      <c r="U920" s="216"/>
      <c r="V920" s="216"/>
    </row>
    <row r="921" spans="1:22">
      <c r="A921" s="216"/>
      <c r="B921" s="216"/>
      <c r="C921" s="216"/>
      <c r="D921" s="216"/>
      <c r="E921" s="216"/>
      <c r="F921" s="216"/>
      <c r="G921" s="216"/>
      <c r="H921" s="216"/>
      <c r="I921" s="216"/>
      <c r="J921" s="216"/>
      <c r="K921" s="216"/>
      <c r="L921" s="207"/>
      <c r="M921" s="207"/>
      <c r="N921" s="216"/>
      <c r="O921" s="216"/>
      <c r="P921" s="216"/>
      <c r="Q921" s="216"/>
      <c r="R921" s="216"/>
      <c r="S921" s="216"/>
      <c r="T921" s="216"/>
      <c r="U921" s="216"/>
      <c r="V921" s="216"/>
    </row>
    <row r="922" spans="1:22">
      <c r="A922" s="216"/>
      <c r="B922" s="216"/>
      <c r="C922" s="216"/>
      <c r="D922" s="216"/>
      <c r="E922" s="216"/>
      <c r="F922" s="216"/>
      <c r="G922" s="216"/>
      <c r="H922" s="216"/>
      <c r="I922" s="216"/>
      <c r="J922" s="216"/>
      <c r="K922" s="216"/>
      <c r="L922" s="207"/>
      <c r="M922" s="207"/>
      <c r="N922" s="216"/>
      <c r="O922" s="216"/>
      <c r="P922" s="216"/>
      <c r="Q922" s="216"/>
      <c r="R922" s="216"/>
      <c r="S922" s="216"/>
      <c r="T922" s="216"/>
      <c r="U922" s="216"/>
      <c r="V922" s="216"/>
    </row>
    <row r="923" spans="1:22">
      <c r="A923" s="216"/>
      <c r="B923" s="216"/>
      <c r="C923" s="216"/>
      <c r="D923" s="216"/>
      <c r="E923" s="216"/>
      <c r="F923" s="216"/>
      <c r="G923" s="216"/>
      <c r="H923" s="216"/>
      <c r="I923" s="216"/>
      <c r="J923" s="216"/>
      <c r="K923" s="216"/>
      <c r="L923" s="207"/>
      <c r="M923" s="207"/>
      <c r="N923" s="216"/>
      <c r="O923" s="216"/>
      <c r="P923" s="216"/>
      <c r="Q923" s="216"/>
      <c r="R923" s="216"/>
      <c r="S923" s="216"/>
      <c r="T923" s="216"/>
      <c r="U923" s="216"/>
      <c r="V923" s="216"/>
    </row>
    <row r="924" spans="1:22">
      <c r="A924" s="216"/>
      <c r="B924" s="216"/>
      <c r="C924" s="216"/>
      <c r="D924" s="216"/>
      <c r="E924" s="216"/>
      <c r="F924" s="216"/>
      <c r="G924" s="216"/>
      <c r="H924" s="216"/>
      <c r="I924" s="216"/>
      <c r="J924" s="216"/>
      <c r="K924" s="216"/>
      <c r="L924" s="207"/>
      <c r="M924" s="207"/>
      <c r="N924" s="216"/>
      <c r="O924" s="216"/>
      <c r="P924" s="216"/>
      <c r="Q924" s="216"/>
      <c r="R924" s="216"/>
      <c r="S924" s="216"/>
      <c r="T924" s="216"/>
      <c r="U924" s="216"/>
      <c r="V924" s="216"/>
    </row>
    <row r="925" spans="1:22">
      <c r="A925" s="216"/>
      <c r="B925" s="216"/>
      <c r="C925" s="216"/>
      <c r="D925" s="216"/>
      <c r="E925" s="216"/>
      <c r="F925" s="216"/>
      <c r="G925" s="216"/>
      <c r="H925" s="216"/>
      <c r="I925" s="216"/>
      <c r="J925" s="216"/>
      <c r="K925" s="216"/>
      <c r="L925" s="207"/>
      <c r="M925" s="207"/>
      <c r="N925" s="216"/>
      <c r="O925" s="216"/>
      <c r="P925" s="216"/>
      <c r="Q925" s="216"/>
      <c r="R925" s="216"/>
      <c r="S925" s="216"/>
      <c r="T925" s="216"/>
      <c r="U925" s="216"/>
      <c r="V925" s="216"/>
    </row>
    <row r="926" spans="1:22">
      <c r="A926" s="216"/>
      <c r="B926" s="216"/>
      <c r="C926" s="216"/>
      <c r="D926" s="216"/>
      <c r="E926" s="216"/>
      <c r="F926" s="216"/>
      <c r="G926" s="216"/>
      <c r="H926" s="216"/>
      <c r="I926" s="216"/>
      <c r="J926" s="216"/>
      <c r="K926" s="216"/>
      <c r="L926" s="207"/>
      <c r="M926" s="207"/>
      <c r="N926" s="216"/>
      <c r="O926" s="216"/>
      <c r="P926" s="216"/>
      <c r="Q926" s="216"/>
      <c r="R926" s="216"/>
      <c r="S926" s="216"/>
      <c r="T926" s="216"/>
      <c r="U926" s="216"/>
      <c r="V926" s="216"/>
    </row>
    <row r="927" spans="1:22">
      <c r="A927" s="216"/>
      <c r="B927" s="216"/>
      <c r="C927" s="216"/>
      <c r="D927" s="216"/>
      <c r="E927" s="216"/>
      <c r="F927" s="216"/>
      <c r="G927" s="216"/>
      <c r="H927" s="216"/>
      <c r="I927" s="216"/>
      <c r="J927" s="216"/>
      <c r="K927" s="216"/>
      <c r="L927" s="207"/>
      <c r="M927" s="207"/>
      <c r="N927" s="216"/>
      <c r="O927" s="216"/>
      <c r="P927" s="216"/>
      <c r="Q927" s="216"/>
      <c r="R927" s="216"/>
      <c r="S927" s="216"/>
      <c r="T927" s="216"/>
      <c r="U927" s="216"/>
      <c r="V927" s="216"/>
    </row>
    <row r="928" spans="1:22">
      <c r="A928" s="216"/>
      <c r="B928" s="216"/>
      <c r="C928" s="216"/>
      <c r="D928" s="216"/>
      <c r="E928" s="216"/>
      <c r="F928" s="216"/>
      <c r="G928" s="216"/>
      <c r="H928" s="216"/>
      <c r="I928" s="216"/>
      <c r="J928" s="216"/>
      <c r="K928" s="216"/>
      <c r="L928" s="207"/>
      <c r="M928" s="207"/>
      <c r="N928" s="216"/>
      <c r="O928" s="216"/>
      <c r="P928" s="216"/>
      <c r="Q928" s="216"/>
      <c r="R928" s="216"/>
      <c r="S928" s="216"/>
      <c r="T928" s="216"/>
      <c r="U928" s="216"/>
      <c r="V928" s="216"/>
    </row>
    <row r="929" spans="1:22">
      <c r="A929" s="216"/>
      <c r="B929" s="216"/>
      <c r="C929" s="216"/>
      <c r="D929" s="216"/>
      <c r="E929" s="216"/>
      <c r="F929" s="216"/>
      <c r="G929" s="216"/>
      <c r="H929" s="216"/>
      <c r="I929" s="216"/>
      <c r="J929" s="216"/>
      <c r="K929" s="216"/>
      <c r="L929" s="207"/>
      <c r="M929" s="207"/>
      <c r="N929" s="216"/>
      <c r="O929" s="216"/>
      <c r="P929" s="216"/>
      <c r="Q929" s="216"/>
      <c r="R929" s="216"/>
      <c r="S929" s="216"/>
      <c r="T929" s="216"/>
      <c r="U929" s="216"/>
      <c r="V929" s="216"/>
    </row>
    <row r="930" spans="1:22">
      <c r="A930" s="216"/>
      <c r="B930" s="216"/>
      <c r="C930" s="216"/>
      <c r="D930" s="216"/>
      <c r="E930" s="216"/>
      <c r="F930" s="216"/>
      <c r="G930" s="216"/>
      <c r="H930" s="216"/>
      <c r="I930" s="216"/>
      <c r="J930" s="216"/>
      <c r="K930" s="216"/>
      <c r="L930" s="207"/>
      <c r="M930" s="207"/>
      <c r="N930" s="216"/>
      <c r="O930" s="216"/>
      <c r="P930" s="216"/>
      <c r="Q930" s="216"/>
      <c r="R930" s="216"/>
      <c r="S930" s="216"/>
      <c r="T930" s="216"/>
      <c r="U930" s="216"/>
      <c r="V930" s="216"/>
    </row>
    <row r="931" spans="1:22">
      <c r="A931" s="216"/>
      <c r="B931" s="216"/>
      <c r="C931" s="216"/>
      <c r="D931" s="216"/>
      <c r="E931" s="216"/>
      <c r="F931" s="216"/>
      <c r="G931" s="216"/>
      <c r="H931" s="216"/>
      <c r="I931" s="216"/>
      <c r="J931" s="216"/>
      <c r="K931" s="216"/>
      <c r="L931" s="207"/>
      <c r="M931" s="207"/>
      <c r="N931" s="216"/>
      <c r="O931" s="216"/>
      <c r="P931" s="216"/>
      <c r="Q931" s="216"/>
      <c r="R931" s="216"/>
      <c r="S931" s="216"/>
      <c r="T931" s="216"/>
      <c r="U931" s="216"/>
      <c r="V931" s="216"/>
    </row>
    <row r="932" spans="1:22">
      <c r="A932" s="216"/>
      <c r="B932" s="216"/>
      <c r="C932" s="216"/>
      <c r="D932" s="216"/>
      <c r="E932" s="216"/>
      <c r="F932" s="216"/>
      <c r="G932" s="216"/>
      <c r="H932" s="216"/>
      <c r="I932" s="216"/>
      <c r="J932" s="216"/>
      <c r="K932" s="216"/>
      <c r="L932" s="207"/>
      <c r="M932" s="207"/>
      <c r="N932" s="216"/>
      <c r="O932" s="216"/>
      <c r="P932" s="216"/>
      <c r="Q932" s="216"/>
      <c r="R932" s="216"/>
      <c r="S932" s="216"/>
      <c r="T932" s="216"/>
      <c r="U932" s="216"/>
      <c r="V932" s="216"/>
    </row>
    <row r="933" spans="1:22">
      <c r="A933" s="216"/>
      <c r="B933" s="216"/>
      <c r="C933" s="216"/>
      <c r="D933" s="216"/>
      <c r="E933" s="216"/>
      <c r="F933" s="216"/>
      <c r="G933" s="216"/>
      <c r="H933" s="216"/>
      <c r="I933" s="216"/>
      <c r="J933" s="216"/>
      <c r="K933" s="216"/>
      <c r="L933" s="207"/>
      <c r="M933" s="207"/>
      <c r="N933" s="216"/>
      <c r="O933" s="216"/>
      <c r="P933" s="216"/>
      <c r="Q933" s="216"/>
      <c r="R933" s="216"/>
      <c r="S933" s="216"/>
      <c r="T933" s="216"/>
      <c r="U933" s="216"/>
      <c r="V933" s="216"/>
    </row>
    <row r="934" spans="1:22">
      <c r="A934" s="216"/>
      <c r="B934" s="216"/>
      <c r="C934" s="216"/>
      <c r="D934" s="216"/>
      <c r="E934" s="216"/>
      <c r="F934" s="216"/>
      <c r="G934" s="216"/>
      <c r="H934" s="216"/>
      <c r="I934" s="216"/>
      <c r="J934" s="216"/>
      <c r="K934" s="216"/>
      <c r="L934" s="207"/>
      <c r="M934" s="207"/>
      <c r="N934" s="216"/>
      <c r="O934" s="216"/>
      <c r="P934" s="216"/>
      <c r="Q934" s="216"/>
      <c r="R934" s="216"/>
      <c r="S934" s="216"/>
      <c r="T934" s="216"/>
      <c r="U934" s="216"/>
      <c r="V934" s="216"/>
    </row>
    <row r="935" spans="1:22">
      <c r="A935" s="216"/>
      <c r="B935" s="216"/>
      <c r="C935" s="216"/>
      <c r="D935" s="216"/>
      <c r="E935" s="216"/>
      <c r="F935" s="216"/>
      <c r="G935" s="216"/>
      <c r="H935" s="216"/>
      <c r="I935" s="216"/>
      <c r="J935" s="216"/>
      <c r="K935" s="216"/>
      <c r="L935" s="207"/>
      <c r="M935" s="207"/>
      <c r="N935" s="216"/>
      <c r="O935" s="216"/>
      <c r="P935" s="216"/>
      <c r="Q935" s="216"/>
      <c r="R935" s="216"/>
      <c r="S935" s="216"/>
      <c r="T935" s="216"/>
      <c r="U935" s="216"/>
      <c r="V935" s="216"/>
    </row>
    <row r="936" spans="1:22">
      <c r="A936" s="216"/>
      <c r="B936" s="216"/>
      <c r="C936" s="216"/>
      <c r="D936" s="216"/>
      <c r="E936" s="216"/>
      <c r="F936" s="216"/>
      <c r="G936" s="216"/>
      <c r="H936" s="216"/>
      <c r="I936" s="216"/>
      <c r="J936" s="216"/>
      <c r="K936" s="216"/>
      <c r="L936" s="207"/>
      <c r="M936" s="207"/>
      <c r="N936" s="216"/>
      <c r="O936" s="216"/>
      <c r="P936" s="216"/>
      <c r="Q936" s="216"/>
      <c r="R936" s="216"/>
      <c r="S936" s="216"/>
      <c r="T936" s="216"/>
      <c r="U936" s="216"/>
      <c r="V936" s="216"/>
    </row>
    <row r="937" spans="1:22">
      <c r="A937" s="216"/>
      <c r="B937" s="216"/>
      <c r="C937" s="216"/>
      <c r="D937" s="216"/>
      <c r="E937" s="216"/>
      <c r="F937" s="216"/>
      <c r="G937" s="216"/>
      <c r="H937" s="216"/>
      <c r="I937" s="216"/>
      <c r="J937" s="216"/>
      <c r="K937" s="216"/>
      <c r="L937" s="207"/>
      <c r="M937" s="207"/>
      <c r="N937" s="216"/>
      <c r="O937" s="216"/>
      <c r="P937" s="216"/>
      <c r="Q937" s="216"/>
      <c r="R937" s="216"/>
      <c r="S937" s="216"/>
      <c r="T937" s="216"/>
      <c r="U937" s="216"/>
      <c r="V937" s="216"/>
    </row>
    <row r="938" spans="1:22">
      <c r="A938" s="216"/>
      <c r="B938" s="216"/>
      <c r="C938" s="216"/>
      <c r="D938" s="216"/>
      <c r="E938" s="216"/>
      <c r="F938" s="216"/>
      <c r="G938" s="216"/>
      <c r="H938" s="216"/>
      <c r="I938" s="216"/>
      <c r="J938" s="216"/>
      <c r="K938" s="216"/>
      <c r="L938" s="207"/>
      <c r="M938" s="207"/>
      <c r="N938" s="216"/>
      <c r="O938" s="216"/>
      <c r="P938" s="216"/>
      <c r="Q938" s="216"/>
      <c r="R938" s="216"/>
      <c r="S938" s="216"/>
      <c r="T938" s="216"/>
      <c r="U938" s="216"/>
      <c r="V938" s="216"/>
    </row>
    <row r="939" spans="1:22">
      <c r="A939" s="216"/>
      <c r="B939" s="216"/>
      <c r="C939" s="216"/>
      <c r="D939" s="216"/>
      <c r="E939" s="216"/>
      <c r="F939" s="216"/>
      <c r="G939" s="216"/>
      <c r="H939" s="216"/>
      <c r="I939" s="216"/>
      <c r="J939" s="216"/>
      <c r="K939" s="216"/>
      <c r="L939" s="207"/>
      <c r="M939" s="207"/>
      <c r="N939" s="216"/>
      <c r="O939" s="216"/>
      <c r="P939" s="216"/>
      <c r="Q939" s="216"/>
      <c r="R939" s="216"/>
      <c r="S939" s="216"/>
      <c r="T939" s="216"/>
      <c r="U939" s="216"/>
      <c r="V939" s="216"/>
    </row>
    <row r="940" spans="1:22">
      <c r="A940" s="216"/>
      <c r="B940" s="216"/>
      <c r="C940" s="216"/>
      <c r="D940" s="216"/>
      <c r="E940" s="216"/>
      <c r="F940" s="216"/>
      <c r="G940" s="216"/>
      <c r="H940" s="216"/>
      <c r="I940" s="216"/>
      <c r="J940" s="216"/>
      <c r="K940" s="216"/>
      <c r="L940" s="207"/>
      <c r="M940" s="207"/>
      <c r="N940" s="216"/>
      <c r="O940" s="216"/>
      <c r="P940" s="216"/>
      <c r="Q940" s="216"/>
      <c r="R940" s="216"/>
      <c r="S940" s="216"/>
      <c r="T940" s="216"/>
      <c r="U940" s="216"/>
      <c r="V940" s="216"/>
    </row>
    <row r="941" spans="1:22">
      <c r="A941" s="216"/>
      <c r="B941" s="216"/>
      <c r="C941" s="216"/>
      <c r="D941" s="216"/>
      <c r="E941" s="216"/>
      <c r="F941" s="216"/>
      <c r="G941" s="216"/>
      <c r="H941" s="216"/>
      <c r="I941" s="216"/>
      <c r="J941" s="216"/>
      <c r="K941" s="216"/>
      <c r="L941" s="207"/>
      <c r="M941" s="207"/>
      <c r="N941" s="216"/>
      <c r="O941" s="216"/>
      <c r="P941" s="216"/>
      <c r="Q941" s="216"/>
      <c r="R941" s="216"/>
      <c r="S941" s="216"/>
      <c r="T941" s="216"/>
      <c r="U941" s="216"/>
      <c r="V941" s="216"/>
    </row>
    <row r="942" spans="1:22">
      <c r="A942" s="216"/>
      <c r="B942" s="216"/>
      <c r="C942" s="216"/>
      <c r="D942" s="216"/>
      <c r="E942" s="216"/>
      <c r="F942" s="216"/>
      <c r="G942" s="216"/>
      <c r="H942" s="216"/>
      <c r="I942" s="216"/>
      <c r="J942" s="216"/>
      <c r="K942" s="216"/>
      <c r="L942" s="207"/>
      <c r="M942" s="207"/>
      <c r="N942" s="216"/>
      <c r="O942" s="216"/>
      <c r="P942" s="216"/>
      <c r="Q942" s="216"/>
      <c r="R942" s="216"/>
      <c r="S942" s="216"/>
      <c r="T942" s="216"/>
      <c r="U942" s="216"/>
      <c r="V942" s="216"/>
    </row>
    <row r="943" spans="1:22">
      <c r="A943" s="216"/>
      <c r="B943" s="216"/>
      <c r="C943" s="216"/>
      <c r="D943" s="216"/>
      <c r="E943" s="216"/>
      <c r="F943" s="216"/>
      <c r="G943" s="216"/>
      <c r="H943" s="216"/>
      <c r="I943" s="216"/>
      <c r="J943" s="216"/>
      <c r="K943" s="216"/>
      <c r="L943" s="207"/>
      <c r="M943" s="207"/>
      <c r="N943" s="216"/>
      <c r="O943" s="216"/>
      <c r="P943" s="216"/>
      <c r="Q943" s="216"/>
      <c r="R943" s="216"/>
      <c r="S943" s="216"/>
      <c r="T943" s="216"/>
      <c r="U943" s="216"/>
      <c r="V943" s="216"/>
    </row>
    <row r="944" spans="1:22">
      <c r="A944" s="216"/>
      <c r="B944" s="216"/>
      <c r="C944" s="216"/>
      <c r="D944" s="216"/>
      <c r="E944" s="216"/>
      <c r="F944" s="216"/>
      <c r="G944" s="216"/>
      <c r="H944" s="216"/>
      <c r="I944" s="216"/>
      <c r="J944" s="216"/>
      <c r="K944" s="216"/>
      <c r="L944" s="207"/>
      <c r="M944" s="207"/>
      <c r="N944" s="216"/>
      <c r="O944" s="216"/>
      <c r="P944" s="216"/>
      <c r="Q944" s="216"/>
      <c r="R944" s="216"/>
      <c r="S944" s="216"/>
      <c r="T944" s="216"/>
      <c r="U944" s="216"/>
      <c r="V944" s="216"/>
    </row>
    <row r="945" spans="1:22">
      <c r="A945" s="216"/>
      <c r="B945" s="216"/>
      <c r="C945" s="216"/>
      <c r="D945" s="216"/>
      <c r="E945" s="216"/>
      <c r="F945" s="216"/>
      <c r="G945" s="216"/>
      <c r="H945" s="216"/>
      <c r="I945" s="216"/>
      <c r="J945" s="216"/>
      <c r="K945" s="216"/>
      <c r="L945" s="207"/>
      <c r="M945" s="207"/>
      <c r="N945" s="216"/>
      <c r="O945" s="216"/>
      <c r="P945" s="216"/>
      <c r="Q945" s="216"/>
      <c r="R945" s="216"/>
      <c r="S945" s="216"/>
      <c r="T945" s="216"/>
      <c r="U945" s="216"/>
      <c r="V945" s="216"/>
    </row>
    <row r="946" spans="1:22">
      <c r="A946" s="216"/>
      <c r="B946" s="216"/>
      <c r="C946" s="216"/>
      <c r="D946" s="216"/>
      <c r="E946" s="216"/>
      <c r="F946" s="216"/>
      <c r="G946" s="216"/>
      <c r="H946" s="216"/>
      <c r="I946" s="216"/>
      <c r="J946" s="216"/>
      <c r="K946" s="216"/>
      <c r="L946" s="207"/>
      <c r="M946" s="207"/>
      <c r="N946" s="216"/>
      <c r="O946" s="216"/>
      <c r="P946" s="216"/>
      <c r="Q946" s="216"/>
      <c r="R946" s="216"/>
      <c r="S946" s="216"/>
      <c r="T946" s="216"/>
      <c r="U946" s="216"/>
      <c r="V946" s="216"/>
    </row>
    <row r="947" spans="1:22">
      <c r="A947" s="216"/>
      <c r="B947" s="216"/>
      <c r="C947" s="216"/>
      <c r="D947" s="216"/>
      <c r="E947" s="216"/>
      <c r="F947" s="216"/>
      <c r="G947" s="216"/>
      <c r="H947" s="216"/>
      <c r="I947" s="216"/>
      <c r="J947" s="216"/>
      <c r="K947" s="216"/>
      <c r="L947" s="207"/>
      <c r="M947" s="207"/>
      <c r="N947" s="216"/>
      <c r="O947" s="216"/>
      <c r="P947" s="216"/>
      <c r="Q947" s="216"/>
      <c r="R947" s="216"/>
      <c r="S947" s="216"/>
      <c r="T947" s="216"/>
      <c r="U947" s="216"/>
      <c r="V947" s="216"/>
    </row>
    <row r="948" spans="1:22">
      <c r="A948" s="216"/>
      <c r="B948" s="216"/>
      <c r="C948" s="216"/>
      <c r="D948" s="216"/>
      <c r="E948" s="216"/>
      <c r="F948" s="216"/>
      <c r="G948" s="216"/>
      <c r="H948" s="216"/>
      <c r="I948" s="216"/>
      <c r="J948" s="216"/>
      <c r="K948" s="216"/>
      <c r="L948" s="207"/>
      <c r="M948" s="207"/>
      <c r="N948" s="216"/>
      <c r="O948" s="216"/>
      <c r="P948" s="216"/>
      <c r="Q948" s="216"/>
      <c r="R948" s="216"/>
      <c r="S948" s="216"/>
      <c r="T948" s="216"/>
      <c r="U948" s="216"/>
      <c r="V948" s="216"/>
    </row>
    <row r="949" spans="1:22">
      <c r="A949" s="216"/>
      <c r="B949" s="216"/>
      <c r="C949" s="216"/>
      <c r="D949" s="216"/>
      <c r="E949" s="216"/>
      <c r="F949" s="216"/>
      <c r="G949" s="216"/>
      <c r="H949" s="216"/>
      <c r="I949" s="216"/>
      <c r="J949" s="216"/>
      <c r="K949" s="216"/>
      <c r="L949" s="207"/>
      <c r="M949" s="207"/>
      <c r="N949" s="216"/>
      <c r="O949" s="216"/>
      <c r="P949" s="216"/>
      <c r="Q949" s="216"/>
      <c r="R949" s="216"/>
      <c r="S949" s="216"/>
      <c r="T949" s="216"/>
      <c r="U949" s="216"/>
      <c r="V949" s="216"/>
    </row>
    <row r="950" spans="1:22">
      <c r="A950" s="216"/>
      <c r="B950" s="216"/>
      <c r="C950" s="216"/>
      <c r="D950" s="216"/>
      <c r="E950" s="216"/>
      <c r="F950" s="216"/>
      <c r="G950" s="216"/>
      <c r="H950" s="216"/>
      <c r="I950" s="216"/>
      <c r="J950" s="216"/>
      <c r="K950" s="216"/>
      <c r="L950" s="207"/>
      <c r="M950" s="207"/>
      <c r="N950" s="216"/>
      <c r="O950" s="216"/>
      <c r="P950" s="216"/>
      <c r="Q950" s="216"/>
      <c r="R950" s="216"/>
      <c r="S950" s="216"/>
      <c r="T950" s="216"/>
      <c r="U950" s="216"/>
      <c r="V950" s="216"/>
    </row>
    <row r="951" spans="1:22">
      <c r="A951" s="216"/>
      <c r="B951" s="216"/>
      <c r="C951" s="216"/>
      <c r="D951" s="216"/>
      <c r="E951" s="216"/>
      <c r="F951" s="216"/>
      <c r="G951" s="216"/>
      <c r="H951" s="216"/>
      <c r="I951" s="216"/>
      <c r="J951" s="216"/>
      <c r="K951" s="216"/>
      <c r="L951" s="207"/>
      <c r="M951" s="207"/>
      <c r="N951" s="216"/>
      <c r="O951" s="216"/>
      <c r="P951" s="216"/>
      <c r="Q951" s="216"/>
      <c r="R951" s="216"/>
      <c r="S951" s="216"/>
      <c r="T951" s="216"/>
      <c r="U951" s="216"/>
      <c r="V951" s="216"/>
    </row>
    <row r="952" spans="1:22">
      <c r="A952" s="216"/>
      <c r="B952" s="216"/>
      <c r="C952" s="216"/>
      <c r="D952" s="216"/>
      <c r="E952" s="216"/>
      <c r="F952" s="216"/>
      <c r="G952" s="216"/>
      <c r="H952" s="216"/>
      <c r="I952" s="216"/>
      <c r="J952" s="216"/>
      <c r="K952" s="216"/>
      <c r="L952" s="207"/>
      <c r="M952" s="207"/>
      <c r="N952" s="216"/>
      <c r="O952" s="216"/>
      <c r="P952" s="216"/>
      <c r="Q952" s="216"/>
      <c r="R952" s="216"/>
      <c r="S952" s="216"/>
      <c r="T952" s="216"/>
      <c r="U952" s="216"/>
      <c r="V952" s="216"/>
    </row>
    <row r="953" spans="1:22">
      <c r="A953" s="216"/>
      <c r="B953" s="216"/>
      <c r="C953" s="216"/>
      <c r="D953" s="216"/>
      <c r="E953" s="216"/>
      <c r="F953" s="216"/>
      <c r="G953" s="216"/>
      <c r="H953" s="216"/>
      <c r="I953" s="216"/>
      <c r="J953" s="216"/>
      <c r="K953" s="216"/>
      <c r="L953" s="207"/>
      <c r="M953" s="207"/>
      <c r="N953" s="216"/>
      <c r="O953" s="216"/>
      <c r="P953" s="216"/>
      <c r="Q953" s="216"/>
      <c r="R953" s="216"/>
      <c r="S953" s="216"/>
      <c r="T953" s="216"/>
      <c r="U953" s="216"/>
      <c r="V953" s="216"/>
    </row>
    <row r="954" spans="1:22">
      <c r="A954" s="216"/>
      <c r="B954" s="216"/>
      <c r="C954" s="216"/>
      <c r="D954" s="216"/>
      <c r="E954" s="216"/>
      <c r="F954" s="216"/>
      <c r="G954" s="216"/>
      <c r="H954" s="216"/>
      <c r="I954" s="216"/>
      <c r="J954" s="216"/>
      <c r="K954" s="216"/>
      <c r="L954" s="207"/>
      <c r="M954" s="207"/>
      <c r="N954" s="216"/>
      <c r="O954" s="216"/>
      <c r="P954" s="216"/>
      <c r="Q954" s="216"/>
      <c r="R954" s="216"/>
      <c r="S954" s="216"/>
      <c r="T954" s="216"/>
      <c r="U954" s="216"/>
      <c r="V954" s="216"/>
    </row>
    <row r="955" spans="1:22">
      <c r="A955" s="216"/>
      <c r="B955" s="216"/>
      <c r="C955" s="216"/>
      <c r="D955" s="216"/>
      <c r="E955" s="216"/>
      <c r="F955" s="216"/>
      <c r="G955" s="216"/>
      <c r="H955" s="216"/>
      <c r="I955" s="216"/>
      <c r="J955" s="216"/>
      <c r="K955" s="216"/>
      <c r="L955" s="207"/>
      <c r="M955" s="207"/>
      <c r="N955" s="216"/>
      <c r="O955" s="216"/>
      <c r="P955" s="216"/>
      <c r="Q955" s="216"/>
      <c r="R955" s="216"/>
      <c r="S955" s="216"/>
      <c r="T955" s="216"/>
      <c r="U955" s="216"/>
      <c r="V955" s="216"/>
    </row>
    <row r="956" spans="1:22">
      <c r="A956" s="216"/>
      <c r="B956" s="216"/>
      <c r="C956" s="216"/>
      <c r="D956" s="216"/>
      <c r="E956" s="216"/>
      <c r="F956" s="216"/>
      <c r="G956" s="216"/>
      <c r="H956" s="216"/>
      <c r="I956" s="216"/>
      <c r="J956" s="216"/>
      <c r="K956" s="216"/>
      <c r="L956" s="207"/>
      <c r="M956" s="207"/>
      <c r="N956" s="216"/>
      <c r="O956" s="216"/>
      <c r="P956" s="216"/>
      <c r="Q956" s="216"/>
      <c r="R956" s="216"/>
      <c r="S956" s="216"/>
      <c r="T956" s="216"/>
      <c r="U956" s="216"/>
      <c r="V956" s="216"/>
    </row>
    <row r="957" spans="1:22">
      <c r="A957" s="216"/>
      <c r="B957" s="216"/>
      <c r="C957" s="216"/>
      <c r="D957" s="216"/>
      <c r="E957" s="216"/>
      <c r="F957" s="216"/>
      <c r="G957" s="216"/>
      <c r="H957" s="216"/>
      <c r="I957" s="216"/>
      <c r="J957" s="216"/>
      <c r="K957" s="216"/>
      <c r="L957" s="207"/>
      <c r="M957" s="207"/>
      <c r="N957" s="216"/>
      <c r="O957" s="216"/>
      <c r="P957" s="216"/>
      <c r="Q957" s="216"/>
      <c r="R957" s="216"/>
      <c r="S957" s="216"/>
      <c r="T957" s="216"/>
      <c r="U957" s="216"/>
      <c r="V957" s="216"/>
    </row>
    <row r="958" spans="1:22">
      <c r="A958" s="216"/>
      <c r="B958" s="216"/>
      <c r="C958" s="216"/>
      <c r="D958" s="216"/>
      <c r="E958" s="216"/>
      <c r="F958" s="216"/>
      <c r="G958" s="216"/>
      <c r="H958" s="216"/>
      <c r="I958" s="216"/>
      <c r="J958" s="216"/>
      <c r="K958" s="216"/>
      <c r="L958" s="207"/>
      <c r="M958" s="207"/>
      <c r="N958" s="216"/>
      <c r="O958" s="216"/>
      <c r="P958" s="216"/>
      <c r="Q958" s="216"/>
      <c r="R958" s="216"/>
      <c r="S958" s="216"/>
      <c r="T958" s="216"/>
      <c r="U958" s="216"/>
      <c r="V958" s="216"/>
    </row>
    <row r="959" spans="1:22">
      <c r="A959" s="216"/>
      <c r="B959" s="216"/>
      <c r="C959" s="216"/>
      <c r="D959" s="216"/>
      <c r="E959" s="216"/>
      <c r="F959" s="216"/>
      <c r="G959" s="216"/>
      <c r="H959" s="216"/>
      <c r="I959" s="216"/>
      <c r="J959" s="216"/>
      <c r="K959" s="216"/>
      <c r="L959" s="207"/>
      <c r="M959" s="207"/>
      <c r="N959" s="216"/>
      <c r="O959" s="216"/>
      <c r="P959" s="216"/>
      <c r="Q959" s="216"/>
      <c r="R959" s="216"/>
      <c r="S959" s="216"/>
      <c r="T959" s="216"/>
      <c r="U959" s="216"/>
      <c r="V959" s="216"/>
    </row>
    <row r="960" spans="1:22">
      <c r="A960" s="216"/>
      <c r="B960" s="216"/>
      <c r="C960" s="216"/>
      <c r="D960" s="216"/>
      <c r="E960" s="216"/>
      <c r="F960" s="216"/>
      <c r="G960" s="216"/>
      <c r="H960" s="216"/>
      <c r="I960" s="216"/>
      <c r="J960" s="216"/>
      <c r="K960" s="216"/>
      <c r="L960" s="207"/>
      <c r="M960" s="207"/>
      <c r="N960" s="216"/>
      <c r="O960" s="216"/>
      <c r="P960" s="216"/>
      <c r="Q960" s="216"/>
      <c r="R960" s="216"/>
      <c r="S960" s="216"/>
      <c r="T960" s="216"/>
      <c r="U960" s="216"/>
      <c r="V960" s="216"/>
    </row>
    <row r="961" spans="1:22">
      <c r="A961" s="216"/>
      <c r="B961" s="216"/>
      <c r="C961" s="216"/>
      <c r="D961" s="216"/>
      <c r="E961" s="216"/>
      <c r="F961" s="216"/>
      <c r="G961" s="216"/>
      <c r="H961" s="216"/>
      <c r="I961" s="216"/>
      <c r="J961" s="216"/>
      <c r="K961" s="216"/>
      <c r="L961" s="207"/>
      <c r="M961" s="207"/>
      <c r="N961" s="216"/>
      <c r="O961" s="216"/>
      <c r="P961" s="216"/>
      <c r="Q961" s="216"/>
      <c r="R961" s="216"/>
      <c r="S961" s="216"/>
      <c r="T961" s="216"/>
      <c r="U961" s="216"/>
      <c r="V961" s="216"/>
    </row>
    <row r="962" spans="1:22">
      <c r="A962" s="216"/>
      <c r="B962" s="216"/>
      <c r="C962" s="216"/>
      <c r="D962" s="216"/>
      <c r="E962" s="216"/>
      <c r="F962" s="216"/>
      <c r="G962" s="216"/>
      <c r="H962" s="216"/>
      <c r="I962" s="216"/>
      <c r="J962" s="216"/>
      <c r="K962" s="216"/>
      <c r="L962" s="207"/>
      <c r="M962" s="207"/>
      <c r="N962" s="216"/>
      <c r="O962" s="216"/>
      <c r="P962" s="216"/>
      <c r="Q962" s="216"/>
      <c r="R962" s="216"/>
      <c r="S962" s="216"/>
      <c r="T962" s="216"/>
      <c r="U962" s="216"/>
      <c r="V962" s="216"/>
    </row>
    <row r="963" spans="1:22">
      <c r="A963" s="216"/>
      <c r="B963" s="216"/>
      <c r="C963" s="216"/>
      <c r="D963" s="216"/>
      <c r="E963" s="216"/>
      <c r="F963" s="216"/>
      <c r="G963" s="216"/>
      <c r="H963" s="216"/>
      <c r="I963" s="216"/>
      <c r="J963" s="216"/>
      <c r="K963" s="216"/>
      <c r="L963" s="207"/>
      <c r="M963" s="207"/>
      <c r="N963" s="216"/>
      <c r="O963" s="216"/>
      <c r="P963" s="216"/>
      <c r="Q963" s="216"/>
      <c r="R963" s="216"/>
      <c r="S963" s="216"/>
      <c r="T963" s="216"/>
      <c r="U963" s="216"/>
      <c r="V963" s="216"/>
    </row>
    <row r="964" spans="1:22">
      <c r="A964" s="216"/>
      <c r="B964" s="216"/>
      <c r="C964" s="216"/>
      <c r="D964" s="216"/>
      <c r="E964" s="216"/>
      <c r="F964" s="216"/>
      <c r="G964" s="216"/>
      <c r="H964" s="216"/>
      <c r="I964" s="216"/>
      <c r="J964" s="216"/>
      <c r="K964" s="216"/>
      <c r="L964" s="207"/>
      <c r="M964" s="207"/>
      <c r="N964" s="216"/>
      <c r="O964" s="216"/>
      <c r="P964" s="216"/>
      <c r="Q964" s="216"/>
      <c r="R964" s="216"/>
      <c r="S964" s="216"/>
      <c r="T964" s="216"/>
      <c r="U964" s="216"/>
      <c r="V964" s="216"/>
    </row>
    <row r="965" spans="1:22">
      <c r="A965" s="216"/>
      <c r="B965" s="216"/>
      <c r="C965" s="216"/>
      <c r="D965" s="216"/>
      <c r="E965" s="216"/>
      <c r="F965" s="216"/>
      <c r="G965" s="216"/>
      <c r="H965" s="216"/>
      <c r="I965" s="216"/>
      <c r="J965" s="216"/>
      <c r="K965" s="216"/>
      <c r="L965" s="207"/>
      <c r="M965" s="207"/>
      <c r="N965" s="216"/>
      <c r="O965" s="216"/>
      <c r="P965" s="216"/>
      <c r="Q965" s="216"/>
      <c r="R965" s="216"/>
      <c r="S965" s="216"/>
      <c r="T965" s="216"/>
      <c r="U965" s="216"/>
      <c r="V965" s="216"/>
    </row>
    <row r="966" spans="1:22">
      <c r="A966" s="216"/>
      <c r="B966" s="216"/>
      <c r="C966" s="216"/>
      <c r="D966" s="216"/>
      <c r="E966" s="216"/>
      <c r="F966" s="216"/>
      <c r="G966" s="216"/>
      <c r="H966" s="216"/>
      <c r="I966" s="216"/>
      <c r="J966" s="216"/>
      <c r="K966" s="216"/>
      <c r="L966" s="207"/>
      <c r="M966" s="207"/>
      <c r="N966" s="216"/>
      <c r="O966" s="216"/>
      <c r="P966" s="216"/>
      <c r="Q966" s="216"/>
      <c r="R966" s="216"/>
      <c r="S966" s="216"/>
      <c r="T966" s="216"/>
      <c r="U966" s="216"/>
      <c r="V966" s="216"/>
    </row>
    <row r="967" spans="1:22">
      <c r="A967" s="216"/>
      <c r="B967" s="216"/>
      <c r="C967" s="216"/>
      <c r="D967" s="216"/>
      <c r="E967" s="216"/>
      <c r="F967" s="216"/>
      <c r="G967" s="216"/>
      <c r="H967" s="216"/>
      <c r="I967" s="216"/>
      <c r="J967" s="216"/>
      <c r="K967" s="216"/>
      <c r="L967" s="207"/>
      <c r="M967" s="207"/>
      <c r="N967" s="216"/>
      <c r="O967" s="216"/>
      <c r="P967" s="216"/>
      <c r="Q967" s="216"/>
      <c r="R967" s="216"/>
      <c r="S967" s="216"/>
      <c r="T967" s="216"/>
      <c r="U967" s="216"/>
      <c r="V967" s="216"/>
    </row>
    <row r="968" spans="1:22">
      <c r="A968" s="216"/>
      <c r="B968" s="216"/>
      <c r="C968" s="216"/>
      <c r="D968" s="216"/>
      <c r="E968" s="216"/>
      <c r="F968" s="216"/>
      <c r="G968" s="216"/>
      <c r="H968" s="216"/>
      <c r="I968" s="216"/>
      <c r="J968" s="216"/>
      <c r="K968" s="216"/>
      <c r="L968" s="207"/>
      <c r="M968" s="207"/>
      <c r="N968" s="216"/>
      <c r="O968" s="216"/>
      <c r="P968" s="216"/>
      <c r="Q968" s="216"/>
      <c r="R968" s="216"/>
      <c r="S968" s="216"/>
      <c r="T968" s="216"/>
      <c r="U968" s="216"/>
      <c r="V968" s="216"/>
    </row>
    <row r="969" spans="1:22">
      <c r="A969" s="216"/>
      <c r="B969" s="216"/>
      <c r="C969" s="216"/>
      <c r="D969" s="216"/>
      <c r="E969" s="216"/>
      <c r="F969" s="216"/>
      <c r="G969" s="216"/>
      <c r="H969" s="216"/>
      <c r="I969" s="216"/>
      <c r="J969" s="216"/>
      <c r="K969" s="216"/>
      <c r="L969" s="207"/>
      <c r="M969" s="207"/>
      <c r="N969" s="216"/>
      <c r="O969" s="216"/>
      <c r="P969" s="216"/>
      <c r="Q969" s="216"/>
      <c r="R969" s="216"/>
      <c r="S969" s="216"/>
      <c r="T969" s="216"/>
      <c r="U969" s="216"/>
      <c r="V969" s="216"/>
    </row>
    <row r="970" spans="1:22">
      <c r="A970" s="216"/>
      <c r="B970" s="216"/>
      <c r="C970" s="216"/>
      <c r="D970" s="216"/>
      <c r="E970" s="216"/>
      <c r="F970" s="216"/>
      <c r="G970" s="216"/>
      <c r="H970" s="216"/>
      <c r="I970" s="216"/>
      <c r="J970" s="216"/>
      <c r="K970" s="216"/>
      <c r="L970" s="207"/>
      <c r="M970" s="207"/>
      <c r="N970" s="216"/>
      <c r="O970" s="216"/>
      <c r="P970" s="216"/>
      <c r="Q970" s="216"/>
      <c r="R970" s="216"/>
      <c r="S970" s="216"/>
      <c r="T970" s="216"/>
      <c r="U970" s="216"/>
      <c r="V970" s="216"/>
    </row>
    <row r="971" spans="1:22">
      <c r="A971" s="216"/>
      <c r="B971" s="216"/>
      <c r="C971" s="216"/>
      <c r="D971" s="216"/>
      <c r="E971" s="216"/>
      <c r="F971" s="216"/>
      <c r="G971" s="216"/>
      <c r="H971" s="216"/>
      <c r="I971" s="216"/>
      <c r="J971" s="216"/>
      <c r="K971" s="216"/>
      <c r="L971" s="207"/>
      <c r="M971" s="207"/>
      <c r="N971" s="216"/>
      <c r="O971" s="216"/>
      <c r="P971" s="216"/>
      <c r="Q971" s="216"/>
      <c r="R971" s="216"/>
      <c r="S971" s="216"/>
      <c r="T971" s="216"/>
      <c r="U971" s="216"/>
      <c r="V971" s="216"/>
    </row>
    <row r="972" spans="1:22">
      <c r="A972" s="216"/>
      <c r="B972" s="216"/>
      <c r="C972" s="216"/>
      <c r="D972" s="216"/>
      <c r="E972" s="216"/>
      <c r="F972" s="216"/>
      <c r="G972" s="216"/>
      <c r="H972" s="216"/>
      <c r="I972" s="216"/>
      <c r="J972" s="216"/>
      <c r="K972" s="216"/>
      <c r="L972" s="207"/>
      <c r="M972" s="207"/>
      <c r="N972" s="216"/>
      <c r="O972" s="216"/>
      <c r="P972" s="216"/>
      <c r="Q972" s="216"/>
      <c r="R972" s="216"/>
      <c r="S972" s="216"/>
      <c r="T972" s="216"/>
      <c r="U972" s="216"/>
      <c r="V972" s="216"/>
    </row>
    <row r="973" spans="1:22">
      <c r="A973" s="216"/>
      <c r="B973" s="216"/>
      <c r="C973" s="216"/>
      <c r="D973" s="216"/>
      <c r="E973" s="216"/>
      <c r="F973" s="216"/>
      <c r="G973" s="216"/>
      <c r="H973" s="216"/>
      <c r="I973" s="216"/>
      <c r="J973" s="216"/>
      <c r="K973" s="216"/>
      <c r="L973" s="207"/>
      <c r="M973" s="207"/>
      <c r="N973" s="216"/>
      <c r="O973" s="216"/>
      <c r="P973" s="216"/>
      <c r="Q973" s="216"/>
      <c r="R973" s="216"/>
      <c r="S973" s="216"/>
      <c r="T973" s="216"/>
      <c r="U973" s="216"/>
      <c r="V973" s="216"/>
    </row>
    <row r="974" spans="1:22">
      <c r="A974" s="216"/>
      <c r="B974" s="216"/>
      <c r="C974" s="216"/>
      <c r="D974" s="216"/>
      <c r="E974" s="216"/>
      <c r="F974" s="216"/>
      <c r="G974" s="216"/>
      <c r="H974" s="216"/>
      <c r="I974" s="216"/>
      <c r="J974" s="216"/>
      <c r="K974" s="216"/>
      <c r="L974" s="207"/>
      <c r="M974" s="207"/>
      <c r="N974" s="216"/>
      <c r="O974" s="216"/>
      <c r="P974" s="216"/>
      <c r="Q974" s="216"/>
      <c r="R974" s="216"/>
      <c r="S974" s="216"/>
      <c r="T974" s="216"/>
      <c r="U974" s="216"/>
      <c r="V974" s="216"/>
    </row>
    <row r="975" spans="1:22">
      <c r="A975" s="216"/>
      <c r="B975" s="216"/>
      <c r="C975" s="216"/>
      <c r="D975" s="216"/>
      <c r="E975" s="216"/>
      <c r="F975" s="216"/>
      <c r="G975" s="216"/>
      <c r="H975" s="216"/>
      <c r="I975" s="216"/>
      <c r="J975" s="216"/>
      <c r="K975" s="216"/>
      <c r="L975" s="207"/>
      <c r="M975" s="207"/>
      <c r="N975" s="216"/>
      <c r="O975" s="216"/>
      <c r="P975" s="216"/>
      <c r="Q975" s="216"/>
      <c r="R975" s="216"/>
      <c r="S975" s="216"/>
      <c r="T975" s="216"/>
      <c r="U975" s="216"/>
      <c r="V975" s="216"/>
    </row>
    <row r="976" spans="1:22">
      <c r="A976" s="216"/>
      <c r="B976" s="216"/>
      <c r="C976" s="216"/>
      <c r="D976" s="216"/>
      <c r="E976" s="216"/>
      <c r="F976" s="216"/>
      <c r="G976" s="216"/>
      <c r="H976" s="216"/>
      <c r="I976" s="216"/>
      <c r="J976" s="216"/>
      <c r="K976" s="216"/>
      <c r="L976" s="207"/>
      <c r="M976" s="207"/>
      <c r="N976" s="216"/>
      <c r="O976" s="216"/>
      <c r="P976" s="216"/>
      <c r="Q976" s="216"/>
      <c r="R976" s="216"/>
      <c r="S976" s="216"/>
      <c r="T976" s="216"/>
      <c r="U976" s="216"/>
      <c r="V976" s="216"/>
    </row>
    <row r="977" spans="1:22">
      <c r="A977" s="216"/>
      <c r="B977" s="216"/>
      <c r="C977" s="216"/>
      <c r="D977" s="216"/>
      <c r="E977" s="216"/>
      <c r="F977" s="216"/>
      <c r="G977" s="216"/>
      <c r="H977" s="216"/>
      <c r="I977" s="216"/>
      <c r="J977" s="216"/>
      <c r="K977" s="216"/>
      <c r="L977" s="207"/>
      <c r="M977" s="207"/>
      <c r="N977" s="216"/>
      <c r="O977" s="216"/>
      <c r="P977" s="216"/>
      <c r="Q977" s="216"/>
      <c r="R977" s="216"/>
      <c r="S977" s="216"/>
      <c r="T977" s="216"/>
      <c r="U977" s="216"/>
      <c r="V977" s="216"/>
    </row>
    <row r="978" spans="1:22">
      <c r="A978" s="216"/>
      <c r="B978" s="216"/>
      <c r="C978" s="216"/>
      <c r="D978" s="216"/>
      <c r="E978" s="216"/>
      <c r="F978" s="216"/>
      <c r="G978" s="216"/>
      <c r="H978" s="216"/>
      <c r="I978" s="216"/>
      <c r="J978" s="216"/>
      <c r="K978" s="216"/>
      <c r="L978" s="207"/>
      <c r="M978" s="207"/>
      <c r="N978" s="216"/>
      <c r="O978" s="216"/>
      <c r="P978" s="216"/>
      <c r="Q978" s="216"/>
      <c r="R978" s="216"/>
      <c r="S978" s="216"/>
      <c r="T978" s="216"/>
      <c r="U978" s="216"/>
      <c r="V978" s="216"/>
    </row>
    <row r="979" spans="1:22">
      <c r="A979" s="216"/>
      <c r="B979" s="216"/>
      <c r="C979" s="216"/>
      <c r="D979" s="216"/>
      <c r="E979" s="216"/>
      <c r="F979" s="216"/>
      <c r="G979" s="216"/>
      <c r="H979" s="216"/>
      <c r="I979" s="216"/>
      <c r="J979" s="216"/>
      <c r="K979" s="216"/>
      <c r="L979" s="207"/>
      <c r="M979" s="207"/>
      <c r="N979" s="216"/>
      <c r="O979" s="216"/>
      <c r="P979" s="216"/>
      <c r="Q979" s="216"/>
      <c r="R979" s="216"/>
      <c r="S979" s="216"/>
      <c r="T979" s="216"/>
      <c r="U979" s="216"/>
      <c r="V979" s="216"/>
    </row>
    <row r="980" spans="1:22">
      <c r="A980" s="216"/>
      <c r="B980" s="216"/>
      <c r="C980" s="216"/>
      <c r="D980" s="216"/>
      <c r="E980" s="216"/>
      <c r="F980" s="216"/>
      <c r="G980" s="216"/>
      <c r="H980" s="216"/>
      <c r="I980" s="216"/>
      <c r="J980" s="216"/>
      <c r="K980" s="216"/>
      <c r="L980" s="207"/>
      <c r="M980" s="207"/>
      <c r="N980" s="216"/>
      <c r="O980" s="216"/>
      <c r="P980" s="216"/>
      <c r="Q980" s="216"/>
      <c r="R980" s="216"/>
      <c r="S980" s="216"/>
      <c r="T980" s="216"/>
      <c r="U980" s="216"/>
      <c r="V980" s="216"/>
    </row>
    <row r="981" spans="1:22">
      <c r="A981" s="216"/>
      <c r="B981" s="216"/>
      <c r="C981" s="216"/>
      <c r="D981" s="216"/>
      <c r="E981" s="216"/>
      <c r="F981" s="216"/>
      <c r="G981" s="216"/>
      <c r="H981" s="216"/>
      <c r="I981" s="216"/>
      <c r="J981" s="216"/>
      <c r="K981" s="216"/>
      <c r="L981" s="207"/>
      <c r="M981" s="207"/>
      <c r="N981" s="216"/>
      <c r="O981" s="216"/>
      <c r="P981" s="216"/>
      <c r="Q981" s="216"/>
      <c r="R981" s="216"/>
      <c r="S981" s="216"/>
      <c r="T981" s="216"/>
      <c r="U981" s="216"/>
      <c r="V981" s="216"/>
    </row>
    <row r="982" spans="1:22">
      <c r="A982" s="216"/>
      <c r="B982" s="216"/>
      <c r="C982" s="216"/>
      <c r="D982" s="216"/>
      <c r="E982" s="216"/>
      <c r="F982" s="216"/>
      <c r="G982" s="216"/>
      <c r="H982" s="216"/>
      <c r="I982" s="216"/>
      <c r="J982" s="216"/>
      <c r="K982" s="216"/>
      <c r="L982" s="207"/>
      <c r="M982" s="207"/>
      <c r="N982" s="216"/>
      <c r="O982" s="216"/>
      <c r="P982" s="216"/>
      <c r="Q982" s="216"/>
      <c r="R982" s="216"/>
      <c r="S982" s="216"/>
      <c r="T982" s="216"/>
      <c r="U982" s="216"/>
      <c r="V982" s="216"/>
    </row>
    <row r="983" spans="1:22">
      <c r="A983" s="216"/>
      <c r="B983" s="216"/>
      <c r="C983" s="216"/>
      <c r="D983" s="216"/>
      <c r="E983" s="216"/>
      <c r="F983" s="216"/>
      <c r="G983" s="216"/>
      <c r="H983" s="216"/>
      <c r="I983" s="216"/>
      <c r="J983" s="216"/>
      <c r="K983" s="216"/>
      <c r="L983" s="207"/>
      <c r="M983" s="207"/>
      <c r="N983" s="216"/>
      <c r="O983" s="216"/>
      <c r="P983" s="216"/>
      <c r="Q983" s="216"/>
      <c r="R983" s="216"/>
      <c r="S983" s="216"/>
      <c r="T983" s="216"/>
      <c r="U983" s="216"/>
      <c r="V983" s="216"/>
    </row>
    <row r="984" spans="1:22">
      <c r="A984" s="216"/>
      <c r="B984" s="216"/>
      <c r="C984" s="216"/>
      <c r="D984" s="216"/>
      <c r="E984" s="216"/>
      <c r="F984" s="216"/>
      <c r="G984" s="216"/>
      <c r="H984" s="216"/>
      <c r="I984" s="216"/>
      <c r="J984" s="216"/>
      <c r="K984" s="216"/>
      <c r="L984" s="207"/>
      <c r="M984" s="207"/>
      <c r="N984" s="216"/>
      <c r="O984" s="216"/>
      <c r="P984" s="216"/>
      <c r="Q984" s="216"/>
      <c r="R984" s="216"/>
      <c r="S984" s="216"/>
      <c r="T984" s="216"/>
      <c r="U984" s="216"/>
      <c r="V984" s="216"/>
    </row>
    <row r="985" spans="1:22">
      <c r="A985" s="216"/>
      <c r="B985" s="216"/>
      <c r="C985" s="216"/>
      <c r="D985" s="216"/>
      <c r="E985" s="216"/>
      <c r="F985" s="216"/>
      <c r="G985" s="216"/>
      <c r="H985" s="216"/>
      <c r="I985" s="216"/>
      <c r="J985" s="216"/>
      <c r="K985" s="216"/>
      <c r="L985" s="207"/>
      <c r="M985" s="207"/>
      <c r="N985" s="216"/>
      <c r="O985" s="216"/>
      <c r="P985" s="216"/>
      <c r="Q985" s="216"/>
      <c r="R985" s="216"/>
      <c r="S985" s="216"/>
      <c r="T985" s="216"/>
      <c r="U985" s="216"/>
      <c r="V985" s="216"/>
    </row>
    <row r="986" spans="1:22">
      <c r="A986" s="216"/>
      <c r="B986" s="216"/>
      <c r="C986" s="216"/>
      <c r="D986" s="216"/>
      <c r="E986" s="216"/>
      <c r="F986" s="216"/>
      <c r="G986" s="216"/>
      <c r="H986" s="216"/>
      <c r="I986" s="216"/>
      <c r="J986" s="216"/>
      <c r="K986" s="216"/>
      <c r="L986" s="207"/>
      <c r="M986" s="207"/>
      <c r="N986" s="216"/>
      <c r="O986" s="216"/>
      <c r="P986" s="216"/>
      <c r="Q986" s="216"/>
      <c r="R986" s="216"/>
      <c r="S986" s="216"/>
      <c r="T986" s="216"/>
      <c r="U986" s="216"/>
      <c r="V986" s="216"/>
    </row>
    <row r="987" spans="1:22">
      <c r="A987" s="216"/>
      <c r="B987" s="216"/>
      <c r="C987" s="216"/>
      <c r="D987" s="216"/>
      <c r="E987" s="216"/>
      <c r="F987" s="216"/>
      <c r="G987" s="216"/>
      <c r="H987" s="216"/>
      <c r="I987" s="216"/>
      <c r="J987" s="216"/>
      <c r="K987" s="216"/>
      <c r="L987" s="207"/>
      <c r="M987" s="207"/>
      <c r="N987" s="216"/>
      <c r="O987" s="216"/>
      <c r="P987" s="216"/>
      <c r="Q987" s="216"/>
      <c r="R987" s="216"/>
      <c r="S987" s="216"/>
      <c r="T987" s="216"/>
      <c r="U987" s="216"/>
      <c r="V987" s="216"/>
    </row>
    <row r="988" spans="1:22">
      <c r="A988" s="216"/>
      <c r="B988" s="216"/>
      <c r="C988" s="216"/>
      <c r="D988" s="216"/>
      <c r="E988" s="216"/>
      <c r="F988" s="216"/>
      <c r="G988" s="216"/>
      <c r="H988" s="216"/>
      <c r="I988" s="216"/>
      <c r="J988" s="216"/>
      <c r="K988" s="216"/>
      <c r="L988" s="207"/>
      <c r="M988" s="207"/>
      <c r="N988" s="216"/>
      <c r="O988" s="216"/>
      <c r="P988" s="216"/>
      <c r="Q988" s="216"/>
      <c r="R988" s="216"/>
      <c r="S988" s="216"/>
      <c r="T988" s="216"/>
      <c r="U988" s="216"/>
      <c r="V988" s="216"/>
    </row>
    <row r="989" spans="1:22">
      <c r="A989" s="216"/>
      <c r="B989" s="216"/>
      <c r="C989" s="216"/>
      <c r="D989" s="216"/>
      <c r="E989" s="216"/>
      <c r="F989" s="216"/>
      <c r="G989" s="216"/>
      <c r="H989" s="216"/>
      <c r="I989" s="216"/>
      <c r="J989" s="216"/>
      <c r="K989" s="216"/>
      <c r="L989" s="207"/>
      <c r="M989" s="207"/>
      <c r="N989" s="216"/>
      <c r="O989" s="216"/>
      <c r="P989" s="216"/>
      <c r="Q989" s="216"/>
      <c r="R989" s="216"/>
      <c r="S989" s="216"/>
      <c r="T989" s="216"/>
      <c r="U989" s="216"/>
      <c r="V989" s="216"/>
    </row>
    <row r="990" spans="1:22">
      <c r="A990" s="216"/>
      <c r="B990" s="216"/>
      <c r="C990" s="216"/>
      <c r="D990" s="216"/>
      <c r="E990" s="216"/>
      <c r="F990" s="216"/>
      <c r="G990" s="216"/>
      <c r="H990" s="216"/>
      <c r="I990" s="216"/>
      <c r="J990" s="216"/>
      <c r="K990" s="216"/>
      <c r="L990" s="207"/>
      <c r="M990" s="207"/>
      <c r="N990" s="216"/>
      <c r="O990" s="216"/>
      <c r="P990" s="216"/>
      <c r="Q990" s="216"/>
      <c r="R990" s="216"/>
      <c r="S990" s="216"/>
      <c r="T990" s="216"/>
      <c r="U990" s="216"/>
      <c r="V990" s="216"/>
    </row>
    <row r="991" spans="1:22">
      <c r="A991" s="216"/>
      <c r="B991" s="216"/>
      <c r="C991" s="216"/>
      <c r="D991" s="216"/>
      <c r="E991" s="216"/>
      <c r="F991" s="216"/>
      <c r="G991" s="216"/>
      <c r="H991" s="216"/>
      <c r="I991" s="216"/>
      <c r="J991" s="216"/>
      <c r="K991" s="216"/>
      <c r="L991" s="207"/>
      <c r="M991" s="207"/>
      <c r="N991" s="216"/>
      <c r="O991" s="216"/>
      <c r="P991" s="216"/>
      <c r="Q991" s="216"/>
      <c r="R991" s="216"/>
      <c r="S991" s="216"/>
      <c r="T991" s="216"/>
      <c r="U991" s="216"/>
      <c r="V991" s="216"/>
    </row>
    <row r="992" spans="1:22">
      <c r="A992" s="216"/>
      <c r="B992" s="216"/>
      <c r="C992" s="216"/>
      <c r="D992" s="216"/>
      <c r="E992" s="216"/>
      <c r="F992" s="216"/>
      <c r="G992" s="216"/>
      <c r="H992" s="216"/>
      <c r="I992" s="216"/>
      <c r="J992" s="216"/>
      <c r="K992" s="216"/>
      <c r="L992" s="207"/>
      <c r="M992" s="207"/>
      <c r="N992" s="216"/>
      <c r="O992" s="216"/>
      <c r="P992" s="216"/>
      <c r="Q992" s="216"/>
      <c r="R992" s="216"/>
      <c r="S992" s="216"/>
      <c r="T992" s="216"/>
      <c r="U992" s="216"/>
      <c r="V992" s="216"/>
    </row>
    <row r="993" spans="1:22">
      <c r="A993" s="216"/>
      <c r="B993" s="216"/>
      <c r="C993" s="216"/>
      <c r="D993" s="216"/>
      <c r="E993" s="216"/>
      <c r="F993" s="216"/>
      <c r="G993" s="216"/>
      <c r="H993" s="216"/>
      <c r="I993" s="216"/>
      <c r="J993" s="216"/>
      <c r="K993" s="216"/>
      <c r="L993" s="207"/>
      <c r="M993" s="207"/>
      <c r="N993" s="216"/>
      <c r="O993" s="216"/>
      <c r="P993" s="216"/>
      <c r="Q993" s="216"/>
      <c r="R993" s="216"/>
      <c r="S993" s="216"/>
      <c r="T993" s="216"/>
      <c r="U993" s="216"/>
      <c r="V993" s="216"/>
    </row>
    <row r="994" spans="1:22">
      <c r="A994" s="216"/>
      <c r="B994" s="216"/>
      <c r="C994" s="216"/>
      <c r="D994" s="216"/>
      <c r="E994" s="216"/>
      <c r="F994" s="216"/>
      <c r="G994" s="216"/>
      <c r="H994" s="216"/>
      <c r="I994" s="216"/>
      <c r="J994" s="216"/>
      <c r="K994" s="216"/>
      <c r="L994" s="207"/>
      <c r="M994" s="207"/>
      <c r="N994" s="216"/>
      <c r="O994" s="216"/>
      <c r="P994" s="216"/>
      <c r="Q994" s="216"/>
      <c r="R994" s="216"/>
      <c r="S994" s="216"/>
      <c r="T994" s="216"/>
      <c r="U994" s="216"/>
      <c r="V994" s="216"/>
    </row>
    <row r="995" spans="1:22">
      <c r="A995" s="216"/>
      <c r="B995" s="216"/>
      <c r="C995" s="216"/>
      <c r="D995" s="216"/>
      <c r="E995" s="216"/>
      <c r="F995" s="216"/>
      <c r="G995" s="216"/>
      <c r="H995" s="216"/>
      <c r="I995" s="216"/>
      <c r="J995" s="216"/>
      <c r="K995" s="216"/>
      <c r="L995" s="207"/>
      <c r="M995" s="207"/>
      <c r="N995" s="216"/>
      <c r="O995" s="216"/>
      <c r="P995" s="216"/>
      <c r="Q995" s="216"/>
      <c r="R995" s="216"/>
      <c r="S995" s="216"/>
      <c r="T995" s="216"/>
      <c r="U995" s="216"/>
      <c r="V995" s="216"/>
    </row>
    <row r="996" spans="1:22">
      <c r="A996" s="216"/>
      <c r="B996" s="216"/>
      <c r="C996" s="216"/>
      <c r="D996" s="216"/>
      <c r="E996" s="216"/>
      <c r="F996" s="216"/>
      <c r="G996" s="216"/>
      <c r="H996" s="216"/>
      <c r="I996" s="216"/>
      <c r="J996" s="216"/>
      <c r="K996" s="216"/>
      <c r="L996" s="207"/>
      <c r="M996" s="207"/>
      <c r="N996" s="216"/>
      <c r="O996" s="216"/>
      <c r="P996" s="216"/>
      <c r="Q996" s="216"/>
      <c r="R996" s="216"/>
      <c r="S996" s="216"/>
      <c r="T996" s="216"/>
      <c r="U996" s="216"/>
      <c r="V996" s="216"/>
    </row>
    <row r="997" spans="1:22">
      <c r="A997" s="216"/>
      <c r="B997" s="216"/>
      <c r="C997" s="216"/>
      <c r="D997" s="216"/>
      <c r="E997" s="216"/>
      <c r="F997" s="216"/>
      <c r="G997" s="216"/>
      <c r="H997" s="216"/>
      <c r="I997" s="216"/>
      <c r="J997" s="216"/>
      <c r="K997" s="216"/>
      <c r="L997" s="207"/>
      <c r="M997" s="207"/>
      <c r="N997" s="216"/>
      <c r="O997" s="216"/>
      <c r="P997" s="216"/>
      <c r="Q997" s="216"/>
      <c r="R997" s="216"/>
      <c r="S997" s="216"/>
      <c r="T997" s="216"/>
      <c r="U997" s="216"/>
      <c r="V997" s="216"/>
    </row>
    <row r="998" spans="1:22">
      <c r="A998" s="216"/>
      <c r="B998" s="216"/>
      <c r="C998" s="216"/>
      <c r="D998" s="216"/>
      <c r="E998" s="216"/>
      <c r="F998" s="216"/>
      <c r="G998" s="216"/>
      <c r="H998" s="216"/>
      <c r="I998" s="216"/>
      <c r="J998" s="216"/>
      <c r="K998" s="216"/>
      <c r="L998" s="207"/>
      <c r="M998" s="207"/>
      <c r="N998" s="216"/>
      <c r="O998" s="216"/>
      <c r="P998" s="216"/>
      <c r="Q998" s="216"/>
      <c r="R998" s="216"/>
      <c r="S998" s="216"/>
      <c r="T998" s="216"/>
      <c r="U998" s="216"/>
      <c r="V998" s="216"/>
    </row>
    <row r="999" spans="1:22">
      <c r="A999" s="216"/>
      <c r="B999" s="216"/>
      <c r="C999" s="216"/>
      <c r="D999" s="216"/>
      <c r="E999" s="216"/>
      <c r="F999" s="216"/>
      <c r="G999" s="216"/>
      <c r="H999" s="216"/>
      <c r="I999" s="216"/>
      <c r="J999" s="216"/>
      <c r="K999" s="216"/>
      <c r="L999" s="207"/>
      <c r="M999" s="207"/>
      <c r="N999" s="216"/>
      <c r="O999" s="216"/>
      <c r="P999" s="216"/>
      <c r="Q999" s="216"/>
      <c r="R999" s="216"/>
      <c r="S999" s="216"/>
      <c r="T999" s="216"/>
      <c r="U999" s="216"/>
      <c r="V999" s="216"/>
    </row>
    <row r="1000" spans="1:22">
      <c r="A1000" s="216"/>
      <c r="B1000" s="216"/>
      <c r="C1000" s="216"/>
      <c r="D1000" s="216"/>
      <c r="E1000" s="216"/>
      <c r="F1000" s="216"/>
      <c r="G1000" s="216"/>
      <c r="H1000" s="216"/>
      <c r="I1000" s="216"/>
      <c r="J1000" s="216"/>
      <c r="K1000" s="216"/>
      <c r="L1000" s="207"/>
      <c r="M1000" s="207"/>
      <c r="N1000" s="216"/>
      <c r="O1000" s="216"/>
      <c r="P1000" s="216"/>
      <c r="Q1000" s="216"/>
      <c r="R1000" s="216"/>
      <c r="S1000" s="216"/>
      <c r="T1000" s="216"/>
      <c r="U1000" s="216"/>
      <c r="V1000" s="216"/>
    </row>
    <row r="1001" spans="1:22">
      <c r="A1001" s="216"/>
      <c r="B1001" s="216"/>
      <c r="C1001" s="216"/>
      <c r="D1001" s="216"/>
      <c r="E1001" s="216"/>
      <c r="F1001" s="216"/>
      <c r="G1001" s="216"/>
      <c r="H1001" s="216"/>
      <c r="I1001" s="216"/>
      <c r="J1001" s="216"/>
      <c r="K1001" s="216"/>
      <c r="L1001" s="207"/>
      <c r="M1001" s="207"/>
      <c r="N1001" s="216"/>
      <c r="O1001" s="216"/>
      <c r="P1001" s="216"/>
      <c r="Q1001" s="216"/>
      <c r="R1001" s="216"/>
      <c r="S1001" s="216"/>
      <c r="T1001" s="216"/>
      <c r="U1001" s="216"/>
      <c r="V1001" s="216"/>
    </row>
    <row r="1002" spans="1:22">
      <c r="A1002" s="216"/>
      <c r="B1002" s="216"/>
      <c r="C1002" s="216"/>
      <c r="D1002" s="216"/>
      <c r="E1002" s="216"/>
      <c r="F1002" s="216"/>
      <c r="G1002" s="216"/>
      <c r="H1002" s="216"/>
      <c r="I1002" s="216"/>
      <c r="J1002" s="216"/>
      <c r="K1002" s="216"/>
      <c r="L1002" s="207"/>
      <c r="M1002" s="207"/>
      <c r="N1002" s="216"/>
      <c r="O1002" s="216"/>
      <c r="P1002" s="216"/>
      <c r="Q1002" s="216"/>
      <c r="R1002" s="216"/>
      <c r="S1002" s="216"/>
      <c r="T1002" s="216"/>
      <c r="U1002" s="216"/>
      <c r="V1002" s="216"/>
    </row>
    <row r="1003" spans="1:22">
      <c r="A1003" s="216"/>
      <c r="B1003" s="216"/>
      <c r="C1003" s="216"/>
      <c r="D1003" s="216"/>
      <c r="E1003" s="216"/>
      <c r="F1003" s="216"/>
      <c r="G1003" s="216"/>
      <c r="H1003" s="216"/>
      <c r="I1003" s="216"/>
      <c r="J1003" s="216"/>
      <c r="K1003" s="216"/>
      <c r="L1003" s="207"/>
      <c r="M1003" s="207"/>
      <c r="N1003" s="216"/>
      <c r="O1003" s="216"/>
      <c r="P1003" s="216"/>
      <c r="Q1003" s="216"/>
      <c r="R1003" s="216"/>
      <c r="S1003" s="216"/>
      <c r="T1003" s="216"/>
      <c r="U1003" s="216"/>
      <c r="V1003" s="216"/>
    </row>
    <row r="1004" spans="1:22">
      <c r="A1004" s="216"/>
      <c r="B1004" s="216"/>
      <c r="C1004" s="216"/>
      <c r="D1004" s="216"/>
      <c r="E1004" s="216"/>
      <c r="F1004" s="216"/>
      <c r="G1004" s="216"/>
      <c r="H1004" s="216"/>
      <c r="I1004" s="216"/>
      <c r="J1004" s="216"/>
      <c r="K1004" s="216"/>
      <c r="L1004" s="207"/>
      <c r="M1004" s="207"/>
      <c r="N1004" s="216"/>
      <c r="O1004" s="216"/>
      <c r="P1004" s="216"/>
      <c r="Q1004" s="216"/>
      <c r="R1004" s="216"/>
      <c r="S1004" s="216"/>
      <c r="T1004" s="216"/>
      <c r="U1004" s="216"/>
      <c r="V1004" s="216"/>
    </row>
    <row r="1005" spans="1:22">
      <c r="A1005" s="216"/>
      <c r="B1005" s="216"/>
      <c r="C1005" s="216"/>
      <c r="D1005" s="216"/>
      <c r="E1005" s="216"/>
      <c r="F1005" s="216"/>
      <c r="G1005" s="216"/>
      <c r="H1005" s="216"/>
      <c r="I1005" s="216"/>
      <c r="J1005" s="216"/>
      <c r="K1005" s="216"/>
      <c r="L1005" s="207"/>
      <c r="M1005" s="207"/>
      <c r="N1005" s="216"/>
      <c r="O1005" s="216"/>
      <c r="P1005" s="216"/>
      <c r="Q1005" s="216"/>
      <c r="R1005" s="216"/>
      <c r="S1005" s="216"/>
      <c r="T1005" s="216"/>
      <c r="U1005" s="216"/>
      <c r="V1005" s="216"/>
    </row>
    <row r="1006" spans="1:22">
      <c r="A1006" s="216"/>
      <c r="B1006" s="216"/>
      <c r="C1006" s="216"/>
      <c r="D1006" s="216"/>
      <c r="E1006" s="216"/>
      <c r="F1006" s="216"/>
      <c r="G1006" s="216"/>
      <c r="H1006" s="216"/>
      <c r="I1006" s="216"/>
      <c r="J1006" s="216"/>
      <c r="K1006" s="216"/>
      <c r="L1006" s="207"/>
      <c r="M1006" s="207"/>
      <c r="N1006" s="216"/>
      <c r="O1006" s="216"/>
      <c r="P1006" s="216"/>
      <c r="Q1006" s="216"/>
      <c r="R1006" s="216"/>
      <c r="S1006" s="216"/>
      <c r="T1006" s="216"/>
      <c r="U1006" s="216"/>
      <c r="V1006" s="216"/>
    </row>
    <row r="1007" spans="1:22">
      <c r="A1007" s="216"/>
      <c r="B1007" s="216"/>
      <c r="C1007" s="216"/>
      <c r="D1007" s="216"/>
      <c r="E1007" s="216"/>
      <c r="F1007" s="216"/>
      <c r="G1007" s="216"/>
      <c r="H1007" s="216"/>
      <c r="I1007" s="216"/>
      <c r="J1007" s="216"/>
      <c r="K1007" s="216"/>
      <c r="L1007" s="207"/>
      <c r="M1007" s="207"/>
      <c r="N1007" s="216"/>
      <c r="O1007" s="216"/>
      <c r="P1007" s="216"/>
      <c r="Q1007" s="216"/>
      <c r="R1007" s="216"/>
      <c r="S1007" s="216"/>
      <c r="T1007" s="216"/>
      <c r="U1007" s="216"/>
      <c r="V1007" s="216"/>
    </row>
    <row r="1008" spans="1:22">
      <c r="A1008" s="216"/>
      <c r="B1008" s="216"/>
      <c r="C1008" s="216"/>
      <c r="D1008" s="216"/>
      <c r="E1008" s="216"/>
      <c r="F1008" s="216"/>
      <c r="G1008" s="216"/>
      <c r="H1008" s="216"/>
      <c r="I1008" s="216"/>
      <c r="J1008" s="216"/>
      <c r="K1008" s="216"/>
      <c r="L1008" s="207"/>
      <c r="M1008" s="207"/>
      <c r="N1008" s="216"/>
      <c r="O1008" s="216"/>
      <c r="P1008" s="216"/>
      <c r="Q1008" s="216"/>
      <c r="R1008" s="216"/>
      <c r="S1008" s="216"/>
      <c r="T1008" s="216"/>
      <c r="U1008" s="216"/>
      <c r="V1008" s="216"/>
    </row>
    <row r="1009" spans="1:22">
      <c r="A1009" s="216"/>
      <c r="B1009" s="216"/>
      <c r="C1009" s="216"/>
      <c r="D1009" s="216"/>
      <c r="E1009" s="216"/>
      <c r="F1009" s="216"/>
      <c r="G1009" s="216"/>
      <c r="H1009" s="216"/>
      <c r="I1009" s="216"/>
      <c r="J1009" s="216"/>
      <c r="K1009" s="216"/>
      <c r="L1009" s="207"/>
      <c r="M1009" s="207"/>
      <c r="N1009" s="216"/>
      <c r="O1009" s="216"/>
      <c r="P1009" s="216"/>
      <c r="Q1009" s="216"/>
      <c r="R1009" s="216"/>
      <c r="S1009" s="216"/>
      <c r="T1009" s="216"/>
      <c r="U1009" s="216"/>
      <c r="V1009" s="216"/>
    </row>
    <row r="1010" spans="1:22">
      <c r="A1010" s="216"/>
      <c r="B1010" s="216"/>
      <c r="C1010" s="216"/>
      <c r="D1010" s="216"/>
      <c r="E1010" s="216"/>
      <c r="F1010" s="216"/>
      <c r="G1010" s="216"/>
      <c r="H1010" s="216"/>
      <c r="I1010" s="216"/>
      <c r="J1010" s="216"/>
      <c r="K1010" s="216"/>
      <c r="L1010" s="207"/>
      <c r="M1010" s="207"/>
      <c r="N1010" s="216"/>
      <c r="O1010" s="216"/>
      <c r="P1010" s="216"/>
      <c r="Q1010" s="216"/>
      <c r="R1010" s="216"/>
      <c r="S1010" s="216"/>
      <c r="T1010" s="216"/>
      <c r="U1010" s="216"/>
      <c r="V1010" s="216"/>
    </row>
    <row r="1011" spans="1:22">
      <c r="A1011" s="216"/>
      <c r="B1011" s="216"/>
      <c r="C1011" s="216"/>
      <c r="D1011" s="216"/>
      <c r="E1011" s="216"/>
      <c r="F1011" s="216"/>
      <c r="G1011" s="216"/>
      <c r="H1011" s="216"/>
      <c r="I1011" s="216"/>
      <c r="J1011" s="216"/>
      <c r="K1011" s="216"/>
      <c r="L1011" s="207"/>
      <c r="M1011" s="207"/>
      <c r="N1011" s="216"/>
      <c r="O1011" s="216"/>
      <c r="P1011" s="216"/>
      <c r="Q1011" s="216"/>
      <c r="R1011" s="216"/>
      <c r="S1011" s="216"/>
      <c r="T1011" s="216"/>
      <c r="U1011" s="216"/>
      <c r="V1011" s="216"/>
    </row>
    <row r="1012" spans="1:22">
      <c r="A1012" s="216"/>
      <c r="B1012" s="216"/>
      <c r="C1012" s="216"/>
      <c r="D1012" s="216"/>
      <c r="E1012" s="216"/>
      <c r="F1012" s="216"/>
      <c r="G1012" s="216"/>
      <c r="H1012" s="216"/>
      <c r="I1012" s="216"/>
      <c r="J1012" s="216"/>
      <c r="K1012" s="216"/>
      <c r="L1012" s="207"/>
      <c r="M1012" s="207"/>
      <c r="N1012" s="216"/>
      <c r="O1012" s="216"/>
      <c r="P1012" s="216"/>
      <c r="Q1012" s="216"/>
      <c r="R1012" s="216"/>
      <c r="S1012" s="216"/>
      <c r="T1012" s="216"/>
      <c r="U1012" s="216"/>
      <c r="V1012" s="216"/>
    </row>
    <row r="1013" spans="1:22">
      <c r="A1013" s="216"/>
      <c r="B1013" s="216"/>
      <c r="C1013" s="216"/>
      <c r="D1013" s="216"/>
      <c r="E1013" s="216"/>
      <c r="F1013" s="216"/>
      <c r="G1013" s="216"/>
      <c r="H1013" s="216"/>
      <c r="I1013" s="216"/>
      <c r="J1013" s="216"/>
      <c r="K1013" s="216"/>
      <c r="L1013" s="207"/>
      <c r="M1013" s="207"/>
      <c r="N1013" s="216"/>
      <c r="O1013" s="216"/>
      <c r="P1013" s="216"/>
      <c r="Q1013" s="216"/>
      <c r="R1013" s="216"/>
      <c r="S1013" s="216"/>
      <c r="T1013" s="216"/>
      <c r="U1013" s="216"/>
      <c r="V1013" s="216"/>
    </row>
    <row r="1014" spans="1:22">
      <c r="A1014" s="216"/>
      <c r="B1014" s="216"/>
      <c r="C1014" s="216"/>
      <c r="D1014" s="216"/>
      <c r="E1014" s="216"/>
      <c r="F1014" s="216"/>
      <c r="G1014" s="216"/>
      <c r="H1014" s="216"/>
      <c r="I1014" s="216"/>
      <c r="J1014" s="216"/>
      <c r="K1014" s="216"/>
      <c r="L1014" s="207"/>
      <c r="M1014" s="207"/>
      <c r="N1014" s="216"/>
      <c r="O1014" s="216"/>
      <c r="P1014" s="216"/>
      <c r="Q1014" s="216"/>
      <c r="R1014" s="216"/>
      <c r="S1014" s="216"/>
      <c r="T1014" s="216"/>
      <c r="U1014" s="216"/>
      <c r="V1014" s="216"/>
    </row>
    <row r="1015" spans="1:22">
      <c r="A1015" s="216"/>
      <c r="B1015" s="216"/>
      <c r="C1015" s="216"/>
      <c r="D1015" s="216"/>
      <c r="E1015" s="216"/>
      <c r="F1015" s="216"/>
      <c r="G1015" s="216"/>
      <c r="H1015" s="216"/>
      <c r="I1015" s="216"/>
      <c r="J1015" s="216"/>
      <c r="K1015" s="216"/>
      <c r="L1015" s="207"/>
      <c r="M1015" s="207"/>
      <c r="N1015" s="216"/>
      <c r="O1015" s="216"/>
      <c r="P1015" s="216"/>
      <c r="Q1015" s="216"/>
      <c r="R1015" s="216"/>
      <c r="S1015" s="216"/>
      <c r="T1015" s="216"/>
      <c r="U1015" s="216"/>
      <c r="V1015" s="216"/>
    </row>
    <row r="1016" spans="1:22">
      <c r="A1016" s="216"/>
      <c r="B1016" s="216"/>
      <c r="C1016" s="216"/>
      <c r="D1016" s="216"/>
      <c r="E1016" s="216"/>
      <c r="F1016" s="216"/>
      <c r="G1016" s="216"/>
      <c r="H1016" s="216"/>
      <c r="I1016" s="216"/>
      <c r="J1016" s="216"/>
      <c r="K1016" s="216"/>
      <c r="L1016" s="207"/>
      <c r="M1016" s="207"/>
      <c r="N1016" s="216"/>
      <c r="O1016" s="216"/>
      <c r="P1016" s="216"/>
      <c r="Q1016" s="216"/>
      <c r="R1016" s="216"/>
      <c r="S1016" s="216"/>
      <c r="T1016" s="216"/>
      <c r="U1016" s="216"/>
      <c r="V1016" s="216"/>
    </row>
    <row r="1017" spans="1:22">
      <c r="A1017" s="216"/>
      <c r="B1017" s="216"/>
      <c r="C1017" s="216"/>
      <c r="D1017" s="216"/>
      <c r="E1017" s="216"/>
      <c r="F1017" s="216"/>
      <c r="G1017" s="216"/>
      <c r="H1017" s="216"/>
      <c r="I1017" s="216"/>
      <c r="J1017" s="216"/>
      <c r="K1017" s="216"/>
      <c r="L1017" s="207"/>
      <c r="M1017" s="207"/>
      <c r="N1017" s="216"/>
      <c r="O1017" s="216"/>
      <c r="P1017" s="216"/>
      <c r="Q1017" s="216"/>
      <c r="R1017" s="216"/>
      <c r="S1017" s="216"/>
      <c r="T1017" s="216"/>
      <c r="U1017" s="216"/>
      <c r="V1017" s="216"/>
    </row>
    <row r="1018" spans="1:22">
      <c r="A1018" s="216"/>
      <c r="B1018" s="216"/>
      <c r="C1018" s="216"/>
      <c r="D1018" s="216"/>
      <c r="E1018" s="216"/>
      <c r="F1018" s="216"/>
      <c r="G1018" s="216"/>
      <c r="H1018" s="216"/>
      <c r="I1018" s="216"/>
      <c r="J1018" s="216"/>
      <c r="K1018" s="216"/>
      <c r="L1018" s="207"/>
      <c r="M1018" s="207"/>
      <c r="N1018" s="216"/>
      <c r="O1018" s="216"/>
      <c r="P1018" s="216"/>
      <c r="Q1018" s="216"/>
      <c r="R1018" s="216"/>
      <c r="S1018" s="216"/>
      <c r="T1018" s="216"/>
      <c r="U1018" s="216"/>
      <c r="V1018" s="216"/>
    </row>
    <row r="1019" spans="1:22">
      <c r="A1019" s="216"/>
      <c r="B1019" s="216"/>
      <c r="C1019" s="216"/>
      <c r="D1019" s="216"/>
      <c r="E1019" s="216"/>
      <c r="F1019" s="216"/>
      <c r="G1019" s="216"/>
      <c r="H1019" s="216"/>
      <c r="I1019" s="216"/>
      <c r="J1019" s="216"/>
      <c r="K1019" s="216"/>
      <c r="L1019" s="207"/>
      <c r="M1019" s="207"/>
      <c r="N1019" s="216"/>
      <c r="O1019" s="216"/>
      <c r="P1019" s="216"/>
      <c r="Q1019" s="216"/>
      <c r="R1019" s="216"/>
      <c r="S1019" s="216"/>
      <c r="T1019" s="216"/>
      <c r="U1019" s="216"/>
      <c r="V1019" s="216"/>
    </row>
    <row r="1020" spans="1:22">
      <c r="A1020" s="216"/>
      <c r="B1020" s="216"/>
      <c r="C1020" s="216"/>
      <c r="D1020" s="216"/>
      <c r="E1020" s="216"/>
      <c r="F1020" s="216"/>
      <c r="G1020" s="216"/>
      <c r="H1020" s="216"/>
      <c r="I1020" s="216"/>
      <c r="J1020" s="216"/>
      <c r="K1020" s="216"/>
      <c r="L1020" s="207"/>
      <c r="M1020" s="207"/>
      <c r="N1020" s="216"/>
      <c r="O1020" s="216"/>
      <c r="P1020" s="216"/>
      <c r="Q1020" s="216"/>
      <c r="R1020" s="216"/>
      <c r="S1020" s="216"/>
      <c r="T1020" s="216"/>
      <c r="U1020" s="216"/>
      <c r="V1020" s="216"/>
    </row>
    <row r="1021" spans="1:22">
      <c r="A1021" s="216"/>
      <c r="B1021" s="216"/>
      <c r="C1021" s="216"/>
      <c r="D1021" s="216"/>
      <c r="E1021" s="216"/>
      <c r="F1021" s="216"/>
      <c r="G1021" s="216"/>
      <c r="H1021" s="216"/>
      <c r="I1021" s="216"/>
      <c r="J1021" s="216"/>
      <c r="K1021" s="216"/>
      <c r="L1021" s="207"/>
      <c r="M1021" s="207"/>
      <c r="N1021" s="216"/>
      <c r="O1021" s="216"/>
      <c r="P1021" s="216"/>
      <c r="Q1021" s="216"/>
      <c r="R1021" s="216"/>
      <c r="S1021" s="216"/>
      <c r="T1021" s="216"/>
      <c r="U1021" s="216"/>
      <c r="V1021" s="216"/>
    </row>
    <row r="1022" spans="1:22">
      <c r="A1022" s="216"/>
      <c r="B1022" s="216"/>
      <c r="C1022" s="216"/>
      <c r="D1022" s="216"/>
      <c r="E1022" s="216"/>
      <c r="F1022" s="216"/>
      <c r="G1022" s="216"/>
      <c r="H1022" s="216"/>
      <c r="I1022" s="216"/>
      <c r="J1022" s="216"/>
      <c r="K1022" s="216"/>
      <c r="L1022" s="207"/>
      <c r="M1022" s="207"/>
      <c r="N1022" s="216"/>
      <c r="O1022" s="216"/>
      <c r="P1022" s="216"/>
      <c r="Q1022" s="216"/>
      <c r="R1022" s="216"/>
      <c r="S1022" s="216"/>
      <c r="T1022" s="216"/>
      <c r="U1022" s="216"/>
      <c r="V1022" s="216"/>
    </row>
    <row r="1023" spans="1:22">
      <c r="A1023" s="216"/>
      <c r="B1023" s="216"/>
      <c r="C1023" s="216"/>
      <c r="D1023" s="216"/>
      <c r="E1023" s="216"/>
      <c r="F1023" s="216"/>
      <c r="G1023" s="216"/>
      <c r="H1023" s="216"/>
      <c r="I1023" s="216"/>
      <c r="J1023" s="216"/>
      <c r="K1023" s="216"/>
      <c r="L1023" s="207"/>
      <c r="M1023" s="207"/>
      <c r="N1023" s="216"/>
      <c r="O1023" s="216"/>
      <c r="P1023" s="216"/>
      <c r="Q1023" s="216"/>
      <c r="R1023" s="216"/>
      <c r="S1023" s="216"/>
      <c r="T1023" s="216"/>
      <c r="U1023" s="216"/>
      <c r="V1023" s="216"/>
    </row>
    <row r="1024" spans="1:22">
      <c r="A1024" s="216"/>
      <c r="B1024" s="216"/>
      <c r="C1024" s="216"/>
      <c r="D1024" s="216"/>
      <c r="E1024" s="216"/>
      <c r="F1024" s="216"/>
      <c r="G1024" s="216"/>
      <c r="H1024" s="216"/>
      <c r="I1024" s="216"/>
      <c r="J1024" s="216"/>
      <c r="K1024" s="216"/>
      <c r="L1024" s="207"/>
      <c r="M1024" s="207"/>
      <c r="N1024" s="216"/>
      <c r="O1024" s="216"/>
      <c r="P1024" s="216"/>
      <c r="Q1024" s="216"/>
      <c r="R1024" s="216"/>
      <c r="S1024" s="216"/>
      <c r="T1024" s="216"/>
      <c r="U1024" s="216"/>
      <c r="V1024" s="216"/>
    </row>
    <row r="1025" spans="1:22">
      <c r="A1025" s="216"/>
      <c r="B1025" s="216"/>
      <c r="C1025" s="216"/>
      <c r="D1025" s="216"/>
      <c r="E1025" s="216"/>
      <c r="F1025" s="216"/>
      <c r="G1025" s="216"/>
      <c r="H1025" s="216"/>
      <c r="I1025" s="216"/>
      <c r="J1025" s="216"/>
      <c r="K1025" s="216"/>
      <c r="L1025" s="207"/>
      <c r="M1025" s="207"/>
      <c r="N1025" s="216"/>
      <c r="O1025" s="216"/>
      <c r="P1025" s="216"/>
      <c r="Q1025" s="216"/>
      <c r="R1025" s="216"/>
      <c r="S1025" s="216"/>
      <c r="T1025" s="216"/>
      <c r="U1025" s="216"/>
      <c r="V1025" s="216"/>
    </row>
    <row r="1026" spans="1:22">
      <c r="A1026" s="216"/>
      <c r="B1026" s="216"/>
      <c r="C1026" s="216"/>
      <c r="D1026" s="216"/>
      <c r="E1026" s="216"/>
      <c r="F1026" s="216"/>
      <c r="G1026" s="216"/>
      <c r="H1026" s="216"/>
      <c r="I1026" s="216"/>
      <c r="J1026" s="216"/>
      <c r="K1026" s="216"/>
      <c r="L1026" s="207"/>
      <c r="M1026" s="207"/>
      <c r="N1026" s="216"/>
      <c r="O1026" s="216"/>
      <c r="P1026" s="216"/>
      <c r="Q1026" s="216"/>
      <c r="R1026" s="216"/>
      <c r="S1026" s="216"/>
      <c r="T1026" s="216"/>
      <c r="U1026" s="216"/>
      <c r="V1026" s="216"/>
    </row>
    <row r="1027" spans="1:22">
      <c r="A1027" s="216"/>
      <c r="B1027" s="216"/>
      <c r="C1027" s="216"/>
      <c r="D1027" s="216"/>
      <c r="E1027" s="216"/>
      <c r="F1027" s="216"/>
      <c r="G1027" s="216"/>
      <c r="H1027" s="216"/>
      <c r="I1027" s="216"/>
      <c r="J1027" s="216"/>
      <c r="K1027" s="216"/>
      <c r="L1027" s="207"/>
      <c r="M1027" s="207"/>
      <c r="N1027" s="216"/>
      <c r="O1027" s="216"/>
      <c r="P1027" s="216"/>
      <c r="Q1027" s="216"/>
      <c r="R1027" s="216"/>
      <c r="S1027" s="216"/>
      <c r="T1027" s="216"/>
      <c r="U1027" s="216"/>
      <c r="V1027" s="216"/>
    </row>
    <row r="1028" spans="1:22">
      <c r="A1028" s="216"/>
      <c r="B1028" s="216"/>
      <c r="C1028" s="216"/>
      <c r="D1028" s="216"/>
      <c r="E1028" s="216"/>
      <c r="F1028" s="216"/>
      <c r="G1028" s="216"/>
      <c r="H1028" s="216"/>
      <c r="I1028" s="216"/>
      <c r="J1028" s="216"/>
      <c r="K1028" s="216"/>
      <c r="L1028" s="207"/>
      <c r="M1028" s="207"/>
      <c r="N1028" s="216"/>
      <c r="O1028" s="216"/>
      <c r="P1028" s="216"/>
      <c r="Q1028" s="216"/>
      <c r="R1028" s="216"/>
      <c r="S1028" s="216"/>
      <c r="T1028" s="216"/>
      <c r="U1028" s="216"/>
      <c r="V1028" s="216"/>
    </row>
    <row r="1029" spans="1:22">
      <c r="A1029" s="216"/>
      <c r="B1029" s="216"/>
      <c r="C1029" s="216"/>
      <c r="D1029" s="216"/>
      <c r="E1029" s="216"/>
      <c r="F1029" s="216"/>
      <c r="G1029" s="216"/>
      <c r="H1029" s="216"/>
      <c r="I1029" s="216"/>
      <c r="J1029" s="216"/>
      <c r="K1029" s="216"/>
      <c r="L1029" s="207"/>
      <c r="M1029" s="207"/>
      <c r="N1029" s="216"/>
      <c r="O1029" s="216"/>
      <c r="P1029" s="216"/>
      <c r="Q1029" s="216"/>
      <c r="R1029" s="216"/>
      <c r="S1029" s="216"/>
      <c r="T1029" s="216"/>
      <c r="U1029" s="216"/>
      <c r="V1029" s="216"/>
    </row>
    <row r="1030" spans="1:22">
      <c r="A1030" s="216"/>
      <c r="B1030" s="216"/>
      <c r="C1030" s="216"/>
      <c r="D1030" s="216"/>
      <c r="E1030" s="216"/>
      <c r="F1030" s="216"/>
      <c r="G1030" s="216"/>
      <c r="H1030" s="216"/>
      <c r="I1030" s="216"/>
      <c r="J1030" s="216"/>
      <c r="K1030" s="216"/>
      <c r="L1030" s="207"/>
      <c r="M1030" s="207"/>
      <c r="N1030" s="216"/>
      <c r="O1030" s="216"/>
      <c r="P1030" s="216"/>
      <c r="Q1030" s="216"/>
      <c r="R1030" s="216"/>
      <c r="S1030" s="216"/>
      <c r="T1030" s="216"/>
      <c r="U1030" s="216"/>
      <c r="V1030" s="216"/>
    </row>
    <row r="1031" spans="1:22">
      <c r="A1031" s="216"/>
      <c r="B1031" s="216"/>
      <c r="C1031" s="216"/>
      <c r="D1031" s="216"/>
      <c r="E1031" s="216"/>
      <c r="F1031" s="216"/>
      <c r="G1031" s="216"/>
      <c r="H1031" s="216"/>
      <c r="I1031" s="216"/>
      <c r="J1031" s="216"/>
      <c r="K1031" s="216"/>
      <c r="L1031" s="207"/>
      <c r="M1031" s="207"/>
      <c r="N1031" s="216"/>
      <c r="O1031" s="216"/>
      <c r="P1031" s="216"/>
      <c r="Q1031" s="216"/>
      <c r="R1031" s="216"/>
      <c r="S1031" s="216"/>
      <c r="T1031" s="216"/>
      <c r="U1031" s="216"/>
      <c r="V1031" s="216"/>
    </row>
    <row r="1032" spans="1:22">
      <c r="A1032" s="216"/>
      <c r="B1032" s="216"/>
      <c r="C1032" s="216"/>
      <c r="D1032" s="216"/>
      <c r="E1032" s="216"/>
      <c r="F1032" s="216"/>
      <c r="G1032" s="216"/>
      <c r="H1032" s="216"/>
      <c r="I1032" s="216"/>
      <c r="J1032" s="216"/>
      <c r="K1032" s="216"/>
      <c r="L1032" s="207"/>
      <c r="M1032" s="207"/>
      <c r="N1032" s="216"/>
      <c r="O1032" s="216"/>
      <c r="P1032" s="216"/>
      <c r="Q1032" s="216"/>
      <c r="R1032" s="216"/>
      <c r="S1032" s="216"/>
      <c r="T1032" s="216"/>
      <c r="U1032" s="216"/>
      <c r="V1032" s="216"/>
    </row>
    <row r="1033" spans="1:22">
      <c r="A1033" s="216"/>
      <c r="B1033" s="216"/>
      <c r="C1033" s="216"/>
      <c r="D1033" s="216"/>
      <c r="E1033" s="216"/>
      <c r="F1033" s="216"/>
      <c r="G1033" s="216"/>
      <c r="H1033" s="216"/>
      <c r="I1033" s="216"/>
      <c r="J1033" s="216"/>
      <c r="K1033" s="216"/>
      <c r="L1033" s="207"/>
      <c r="M1033" s="207"/>
      <c r="N1033" s="216"/>
      <c r="O1033" s="216"/>
      <c r="P1033" s="216"/>
      <c r="Q1033" s="216"/>
      <c r="R1033" s="216"/>
      <c r="S1033" s="216"/>
      <c r="T1033" s="216"/>
      <c r="U1033" s="216"/>
      <c r="V1033" s="216"/>
    </row>
    <row r="1034" spans="1:22">
      <c r="A1034" s="216"/>
      <c r="B1034" s="216"/>
      <c r="C1034" s="216"/>
      <c r="D1034" s="216"/>
      <c r="E1034" s="216"/>
      <c r="F1034" s="216"/>
      <c r="G1034" s="216"/>
      <c r="H1034" s="216"/>
      <c r="I1034" s="216"/>
      <c r="J1034" s="216"/>
      <c r="K1034" s="216"/>
      <c r="L1034" s="207"/>
      <c r="M1034" s="207"/>
      <c r="N1034" s="216"/>
      <c r="O1034" s="216"/>
      <c r="P1034" s="216"/>
      <c r="Q1034" s="216"/>
      <c r="R1034" s="216"/>
      <c r="S1034" s="216"/>
      <c r="T1034" s="216"/>
      <c r="U1034" s="216"/>
      <c r="V1034" s="216"/>
    </row>
    <row r="1035" spans="1:22">
      <c r="A1035" s="216"/>
      <c r="B1035" s="216"/>
      <c r="C1035" s="216"/>
      <c r="D1035" s="216"/>
      <c r="E1035" s="216"/>
      <c r="F1035" s="216"/>
      <c r="G1035" s="216"/>
      <c r="H1035" s="216"/>
      <c r="I1035" s="216"/>
      <c r="J1035" s="216"/>
      <c r="K1035" s="216"/>
      <c r="L1035" s="207"/>
      <c r="M1035" s="207"/>
      <c r="N1035" s="216"/>
      <c r="O1035" s="216"/>
      <c r="P1035" s="216"/>
      <c r="Q1035" s="216"/>
      <c r="R1035" s="216"/>
      <c r="S1035" s="216"/>
      <c r="T1035" s="216"/>
      <c r="U1035" s="216"/>
      <c r="V1035" s="216"/>
    </row>
    <row r="1036" spans="1:22">
      <c r="A1036" s="216"/>
      <c r="B1036" s="216"/>
      <c r="C1036" s="216"/>
      <c r="D1036" s="216"/>
      <c r="E1036" s="216"/>
      <c r="F1036" s="216"/>
      <c r="G1036" s="216"/>
      <c r="H1036" s="216"/>
      <c r="I1036" s="216"/>
      <c r="J1036" s="216"/>
      <c r="K1036" s="216"/>
      <c r="L1036" s="207"/>
      <c r="M1036" s="207"/>
      <c r="N1036" s="216"/>
      <c r="O1036" s="216"/>
      <c r="P1036" s="216"/>
      <c r="Q1036" s="216"/>
      <c r="R1036" s="216"/>
      <c r="S1036" s="216"/>
      <c r="T1036" s="216"/>
      <c r="U1036" s="216"/>
      <c r="V1036" s="216"/>
    </row>
    <row r="1037" spans="1:22">
      <c r="A1037" s="216"/>
      <c r="B1037" s="216"/>
      <c r="C1037" s="216"/>
      <c r="D1037" s="216"/>
      <c r="E1037" s="216"/>
      <c r="F1037" s="216"/>
      <c r="G1037" s="216"/>
      <c r="H1037" s="216"/>
      <c r="I1037" s="216"/>
      <c r="J1037" s="216"/>
      <c r="K1037" s="216"/>
      <c r="L1037" s="207"/>
      <c r="M1037" s="207"/>
      <c r="N1037" s="216"/>
      <c r="O1037" s="216"/>
      <c r="P1037" s="216"/>
      <c r="Q1037" s="216"/>
      <c r="R1037" s="216"/>
      <c r="S1037" s="216"/>
      <c r="T1037" s="216"/>
      <c r="U1037" s="216"/>
      <c r="V1037" s="216"/>
    </row>
    <row r="1038" spans="1:22">
      <c r="A1038" s="216"/>
      <c r="B1038" s="216"/>
      <c r="C1038" s="216"/>
      <c r="D1038" s="216"/>
      <c r="E1038" s="216"/>
      <c r="F1038" s="216"/>
      <c r="G1038" s="216"/>
      <c r="H1038" s="216"/>
      <c r="I1038" s="216"/>
      <c r="J1038" s="216"/>
      <c r="K1038" s="216"/>
      <c r="L1038" s="207"/>
      <c r="M1038" s="207"/>
      <c r="N1038" s="216"/>
      <c r="O1038" s="216"/>
      <c r="P1038" s="216"/>
      <c r="Q1038" s="216"/>
      <c r="R1038" s="216"/>
      <c r="S1038" s="216"/>
      <c r="T1038" s="216"/>
      <c r="U1038" s="216"/>
      <c r="V1038" s="216"/>
    </row>
    <row r="1039" spans="1:22">
      <c r="A1039" s="216"/>
      <c r="B1039" s="216"/>
      <c r="C1039" s="216"/>
      <c r="D1039" s="216"/>
      <c r="E1039" s="216"/>
      <c r="F1039" s="216"/>
      <c r="G1039" s="216"/>
      <c r="H1039" s="216"/>
      <c r="I1039" s="216"/>
      <c r="J1039" s="216"/>
      <c r="K1039" s="216"/>
      <c r="L1039" s="207"/>
      <c r="M1039" s="207"/>
      <c r="N1039" s="216"/>
      <c r="O1039" s="216"/>
      <c r="P1039" s="216"/>
      <c r="Q1039" s="216"/>
      <c r="R1039" s="216"/>
      <c r="S1039" s="216"/>
      <c r="T1039" s="216"/>
      <c r="U1039" s="216"/>
      <c r="V1039" s="216"/>
    </row>
    <row r="1040" spans="1:22">
      <c r="A1040" s="216"/>
      <c r="B1040" s="216"/>
      <c r="C1040" s="216"/>
      <c r="D1040" s="216"/>
      <c r="E1040" s="216"/>
      <c r="F1040" s="216"/>
      <c r="G1040" s="216"/>
      <c r="H1040" s="216"/>
      <c r="I1040" s="216"/>
      <c r="J1040" s="216"/>
      <c r="K1040" s="216"/>
      <c r="L1040" s="207"/>
      <c r="M1040" s="207"/>
      <c r="N1040" s="216"/>
      <c r="O1040" s="216"/>
      <c r="P1040" s="216"/>
      <c r="Q1040" s="216"/>
      <c r="R1040" s="216"/>
      <c r="S1040" s="216"/>
      <c r="T1040" s="216"/>
      <c r="U1040" s="216"/>
      <c r="V1040" s="216"/>
    </row>
    <row r="1041" spans="1:22">
      <c r="A1041" s="216"/>
      <c r="B1041" s="216"/>
      <c r="C1041" s="216"/>
      <c r="D1041" s="216"/>
      <c r="E1041" s="216"/>
      <c r="F1041" s="216"/>
      <c r="G1041" s="216"/>
      <c r="H1041" s="216"/>
      <c r="I1041" s="216"/>
      <c r="J1041" s="216"/>
      <c r="K1041" s="216"/>
      <c r="L1041" s="207"/>
      <c r="M1041" s="207"/>
      <c r="N1041" s="216"/>
      <c r="O1041" s="216"/>
      <c r="P1041" s="216"/>
      <c r="Q1041" s="216"/>
      <c r="R1041" s="216"/>
      <c r="S1041" s="216"/>
      <c r="T1041" s="216"/>
      <c r="U1041" s="216"/>
      <c r="V1041" s="216"/>
    </row>
    <row r="1042" spans="1:22">
      <c r="A1042" s="216"/>
      <c r="B1042" s="216"/>
      <c r="C1042" s="216"/>
      <c r="D1042" s="216"/>
      <c r="E1042" s="216"/>
      <c r="F1042" s="216"/>
      <c r="G1042" s="216"/>
      <c r="H1042" s="216"/>
      <c r="I1042" s="216"/>
      <c r="J1042" s="216"/>
      <c r="K1042" s="216"/>
      <c r="L1042" s="207"/>
      <c r="M1042" s="207"/>
      <c r="N1042" s="216"/>
      <c r="O1042" s="216"/>
      <c r="P1042" s="216"/>
      <c r="Q1042" s="216"/>
      <c r="R1042" s="216"/>
      <c r="S1042" s="216"/>
      <c r="T1042" s="216"/>
      <c r="U1042" s="216"/>
      <c r="V1042" s="216"/>
    </row>
    <row r="1043" spans="1:22">
      <c r="A1043" s="216"/>
      <c r="B1043" s="216"/>
      <c r="C1043" s="216"/>
      <c r="D1043" s="216"/>
      <c r="E1043" s="216"/>
      <c r="F1043" s="216"/>
      <c r="G1043" s="216"/>
      <c r="H1043" s="216"/>
      <c r="I1043" s="216"/>
      <c r="J1043" s="216"/>
      <c r="K1043" s="216"/>
      <c r="L1043" s="207"/>
      <c r="M1043" s="207"/>
      <c r="N1043" s="216"/>
      <c r="O1043" s="216"/>
      <c r="P1043" s="216"/>
      <c r="Q1043" s="216"/>
      <c r="R1043" s="216"/>
      <c r="S1043" s="216"/>
      <c r="T1043" s="216"/>
      <c r="U1043" s="216"/>
      <c r="V1043" s="216"/>
    </row>
    <row r="1044" spans="1:22">
      <c r="A1044" s="216"/>
      <c r="B1044" s="216"/>
      <c r="C1044" s="216"/>
      <c r="D1044" s="216"/>
      <c r="E1044" s="216"/>
      <c r="F1044" s="216"/>
      <c r="G1044" s="216"/>
      <c r="H1044" s="216"/>
      <c r="I1044" s="216"/>
      <c r="J1044" s="216"/>
      <c r="K1044" s="216"/>
      <c r="L1044" s="207"/>
      <c r="M1044" s="207"/>
      <c r="N1044" s="216"/>
      <c r="O1044" s="216"/>
      <c r="P1044" s="216"/>
      <c r="Q1044" s="216"/>
      <c r="R1044" s="216"/>
      <c r="S1044" s="216"/>
      <c r="T1044" s="216"/>
      <c r="U1044" s="216"/>
      <c r="V1044" s="216"/>
    </row>
    <row r="1045" spans="1:22">
      <c r="A1045" s="216"/>
      <c r="B1045" s="216"/>
      <c r="C1045" s="216"/>
      <c r="D1045" s="216"/>
      <c r="E1045" s="216"/>
      <c r="F1045" s="216"/>
      <c r="G1045" s="216"/>
      <c r="H1045" s="216"/>
      <c r="I1045" s="216"/>
      <c r="J1045" s="216"/>
      <c r="K1045" s="216"/>
      <c r="L1045" s="207"/>
      <c r="M1045" s="207"/>
      <c r="N1045" s="216"/>
      <c r="O1045" s="216"/>
      <c r="P1045" s="216"/>
      <c r="Q1045" s="216"/>
      <c r="R1045" s="216"/>
      <c r="S1045" s="216"/>
      <c r="T1045" s="216"/>
      <c r="U1045" s="216"/>
      <c r="V1045" s="216"/>
    </row>
    <row r="1046" spans="1:22">
      <c r="A1046" s="216"/>
      <c r="B1046" s="216"/>
      <c r="C1046" s="216"/>
      <c r="D1046" s="216"/>
      <c r="E1046" s="216"/>
      <c r="F1046" s="216"/>
      <c r="G1046" s="216"/>
      <c r="H1046" s="216"/>
      <c r="I1046" s="216"/>
      <c r="J1046" s="216"/>
      <c r="K1046" s="216"/>
      <c r="L1046" s="207"/>
      <c r="M1046" s="207"/>
      <c r="N1046" s="216"/>
      <c r="O1046" s="216"/>
      <c r="P1046" s="216"/>
      <c r="Q1046" s="216"/>
      <c r="R1046" s="216"/>
      <c r="S1046" s="216"/>
      <c r="T1046" s="216"/>
      <c r="U1046" s="216"/>
      <c r="V1046" s="216"/>
    </row>
    <row r="1047" spans="1:22">
      <c r="A1047" s="216"/>
      <c r="B1047" s="216"/>
      <c r="C1047" s="216"/>
      <c r="D1047" s="216"/>
      <c r="E1047" s="216"/>
      <c r="F1047" s="216"/>
      <c r="G1047" s="216"/>
      <c r="H1047" s="216"/>
      <c r="I1047" s="216"/>
      <c r="J1047" s="216"/>
      <c r="K1047" s="216"/>
      <c r="L1047" s="207"/>
      <c r="M1047" s="207"/>
      <c r="N1047" s="216"/>
      <c r="O1047" s="216"/>
      <c r="P1047" s="216"/>
      <c r="Q1047" s="216"/>
      <c r="R1047" s="216"/>
      <c r="S1047" s="216"/>
      <c r="T1047" s="216"/>
      <c r="U1047" s="216"/>
      <c r="V1047" s="216"/>
    </row>
    <row r="1048" spans="1:22">
      <c r="A1048" s="216"/>
      <c r="B1048" s="216"/>
      <c r="C1048" s="216"/>
      <c r="D1048" s="216"/>
      <c r="E1048" s="216"/>
      <c r="F1048" s="216"/>
      <c r="G1048" s="216"/>
      <c r="H1048" s="216"/>
      <c r="I1048" s="216"/>
      <c r="J1048" s="216"/>
      <c r="K1048" s="216"/>
      <c r="L1048" s="207"/>
      <c r="M1048" s="207"/>
      <c r="N1048" s="216"/>
      <c r="O1048" s="216"/>
      <c r="P1048" s="216"/>
      <c r="Q1048" s="216"/>
      <c r="R1048" s="216"/>
      <c r="S1048" s="216"/>
      <c r="T1048" s="216"/>
      <c r="U1048" s="216"/>
      <c r="V1048" s="216"/>
    </row>
    <row r="1049" spans="1:22">
      <c r="A1049" s="216"/>
      <c r="B1049" s="216"/>
      <c r="C1049" s="216"/>
      <c r="D1049" s="216"/>
      <c r="E1049" s="216"/>
      <c r="F1049" s="216"/>
      <c r="G1049" s="216"/>
      <c r="H1049" s="216"/>
      <c r="I1049" s="216"/>
      <c r="J1049" s="216"/>
      <c r="K1049" s="216"/>
      <c r="L1049" s="207"/>
      <c r="M1049" s="207"/>
      <c r="N1049" s="216"/>
      <c r="O1049" s="216"/>
      <c r="P1049" s="216"/>
      <c r="Q1049" s="216"/>
      <c r="R1049" s="216"/>
      <c r="S1049" s="216"/>
      <c r="T1049" s="216"/>
      <c r="U1049" s="216"/>
      <c r="V1049" s="216"/>
    </row>
    <row r="1050" spans="1:22">
      <c r="A1050" s="216"/>
      <c r="B1050" s="216"/>
      <c r="C1050" s="216"/>
      <c r="D1050" s="216"/>
      <c r="E1050" s="216"/>
      <c r="F1050" s="216"/>
      <c r="G1050" s="216"/>
      <c r="H1050" s="216"/>
      <c r="I1050" s="216"/>
      <c r="J1050" s="216"/>
      <c r="K1050" s="216"/>
      <c r="L1050" s="207"/>
      <c r="M1050" s="207"/>
      <c r="N1050" s="216"/>
      <c r="O1050" s="216"/>
      <c r="P1050" s="216"/>
      <c r="Q1050" s="216"/>
      <c r="R1050" s="216"/>
      <c r="S1050" s="216"/>
      <c r="T1050" s="216"/>
      <c r="U1050" s="216"/>
      <c r="V1050" s="216"/>
    </row>
    <row r="1051" spans="1:22">
      <c r="A1051" s="216"/>
      <c r="B1051" s="216"/>
      <c r="C1051" s="216"/>
      <c r="D1051" s="216"/>
      <c r="E1051" s="216"/>
      <c r="F1051" s="216"/>
      <c r="G1051" s="216"/>
      <c r="H1051" s="216"/>
      <c r="I1051" s="216"/>
      <c r="J1051" s="216"/>
      <c r="K1051" s="216"/>
      <c r="L1051" s="207"/>
      <c r="M1051" s="207"/>
      <c r="N1051" s="216"/>
      <c r="O1051" s="216"/>
      <c r="P1051" s="216"/>
      <c r="Q1051" s="216"/>
      <c r="R1051" s="216"/>
      <c r="S1051" s="216"/>
      <c r="T1051" s="216"/>
      <c r="U1051" s="216"/>
      <c r="V1051" s="216"/>
    </row>
    <row r="1052" spans="1:22">
      <c r="A1052" s="216"/>
      <c r="B1052" s="216"/>
      <c r="C1052" s="216"/>
      <c r="D1052" s="216"/>
      <c r="E1052" s="216"/>
      <c r="F1052" s="216"/>
      <c r="G1052" s="216"/>
      <c r="H1052" s="216"/>
      <c r="I1052" s="216"/>
      <c r="J1052" s="216"/>
      <c r="K1052" s="216"/>
      <c r="L1052" s="207"/>
      <c r="M1052" s="207"/>
      <c r="N1052" s="216"/>
      <c r="O1052" s="216"/>
      <c r="P1052" s="216"/>
      <c r="Q1052" s="216"/>
      <c r="R1052" s="216"/>
      <c r="S1052" s="216"/>
      <c r="T1052" s="216"/>
      <c r="U1052" s="216"/>
      <c r="V1052" s="216"/>
    </row>
    <row r="1053" spans="1:22">
      <c r="A1053" s="216"/>
      <c r="B1053" s="216"/>
      <c r="C1053" s="216"/>
      <c r="D1053" s="216"/>
      <c r="E1053" s="216"/>
      <c r="F1053" s="216"/>
      <c r="G1053" s="216"/>
      <c r="H1053" s="216"/>
      <c r="I1053" s="216"/>
      <c r="J1053" s="216"/>
      <c r="K1053" s="216"/>
      <c r="L1053" s="207"/>
      <c r="M1053" s="207"/>
      <c r="N1053" s="216"/>
      <c r="O1053" s="216"/>
      <c r="P1053" s="216"/>
      <c r="Q1053" s="216"/>
      <c r="R1053" s="216"/>
      <c r="S1053" s="216"/>
      <c r="T1053" s="216"/>
      <c r="U1053" s="216"/>
      <c r="V1053" s="216"/>
    </row>
    <row r="1054" spans="1:22">
      <c r="A1054" s="216"/>
      <c r="B1054" s="216"/>
      <c r="C1054" s="216"/>
      <c r="D1054" s="216"/>
      <c r="E1054" s="216"/>
      <c r="F1054" s="216"/>
      <c r="G1054" s="216"/>
      <c r="H1054" s="216"/>
      <c r="I1054" s="216"/>
      <c r="J1054" s="216"/>
      <c r="K1054" s="216"/>
      <c r="L1054" s="207"/>
      <c r="M1054" s="207"/>
      <c r="N1054" s="216"/>
      <c r="O1054" s="216"/>
      <c r="P1054" s="216"/>
      <c r="Q1054" s="216"/>
      <c r="R1054" s="216"/>
      <c r="S1054" s="216"/>
      <c r="T1054" s="216"/>
      <c r="U1054" s="216"/>
      <c r="V1054" s="216"/>
    </row>
    <row r="1055" spans="1:22">
      <c r="A1055" s="216"/>
      <c r="B1055" s="216"/>
      <c r="C1055" s="216"/>
      <c r="D1055" s="216"/>
      <c r="E1055" s="216"/>
      <c r="F1055" s="216"/>
      <c r="G1055" s="216"/>
      <c r="H1055" s="216"/>
      <c r="I1055" s="216"/>
      <c r="J1055" s="216"/>
      <c r="K1055" s="216"/>
      <c r="L1055" s="207"/>
      <c r="M1055" s="207"/>
      <c r="N1055" s="216"/>
      <c r="O1055" s="216"/>
      <c r="P1055" s="216"/>
      <c r="Q1055" s="216"/>
      <c r="R1055" s="216"/>
      <c r="S1055" s="216"/>
      <c r="T1055" s="216"/>
      <c r="U1055" s="216"/>
      <c r="V1055" s="216"/>
    </row>
    <row r="1056" spans="1:22">
      <c r="A1056" s="216"/>
      <c r="B1056" s="216"/>
      <c r="C1056" s="216"/>
      <c r="D1056" s="216"/>
      <c r="E1056" s="216"/>
      <c r="F1056" s="216"/>
      <c r="G1056" s="216"/>
      <c r="H1056" s="216"/>
      <c r="I1056" s="216"/>
      <c r="J1056" s="216"/>
      <c r="K1056" s="216"/>
      <c r="L1056" s="207"/>
      <c r="M1056" s="207"/>
      <c r="N1056" s="216"/>
      <c r="O1056" s="216"/>
      <c r="P1056" s="216"/>
      <c r="Q1056" s="216"/>
      <c r="R1056" s="216"/>
      <c r="S1056" s="216"/>
      <c r="T1056" s="216"/>
      <c r="U1056" s="216"/>
      <c r="V1056" s="216"/>
    </row>
    <row r="1057" spans="1:22">
      <c r="A1057" s="216"/>
      <c r="B1057" s="216"/>
      <c r="C1057" s="216"/>
      <c r="D1057" s="216"/>
      <c r="E1057" s="216"/>
      <c r="F1057" s="216"/>
      <c r="G1057" s="216"/>
      <c r="H1057" s="216"/>
      <c r="I1057" s="216"/>
      <c r="J1057" s="216"/>
      <c r="K1057" s="216"/>
      <c r="L1057" s="207"/>
      <c r="M1057" s="207"/>
      <c r="N1057" s="216"/>
      <c r="O1057" s="216"/>
      <c r="P1057" s="216"/>
      <c r="Q1057" s="216"/>
      <c r="R1057" s="216"/>
      <c r="S1057" s="216"/>
      <c r="T1057" s="216"/>
      <c r="U1057" s="216"/>
      <c r="V1057" s="216"/>
    </row>
    <row r="1058" spans="1:22">
      <c r="A1058" s="216"/>
      <c r="B1058" s="216"/>
      <c r="C1058" s="216"/>
      <c r="D1058" s="216"/>
      <c r="E1058" s="216"/>
      <c r="F1058" s="216"/>
      <c r="G1058" s="216"/>
      <c r="H1058" s="216"/>
      <c r="I1058" s="216"/>
      <c r="J1058" s="216"/>
      <c r="K1058" s="216"/>
      <c r="L1058" s="207"/>
      <c r="M1058" s="207"/>
      <c r="N1058" s="216"/>
      <c r="O1058" s="216"/>
      <c r="P1058" s="216"/>
      <c r="Q1058" s="216"/>
      <c r="R1058" s="216"/>
      <c r="S1058" s="216"/>
      <c r="T1058" s="216"/>
      <c r="U1058" s="216"/>
      <c r="V1058" s="216"/>
    </row>
    <row r="1059" spans="1:22">
      <c r="A1059" s="216"/>
      <c r="B1059" s="216"/>
      <c r="C1059" s="216"/>
      <c r="D1059" s="216"/>
      <c r="E1059" s="216"/>
      <c r="F1059" s="216"/>
      <c r="G1059" s="216"/>
      <c r="H1059" s="216"/>
      <c r="I1059" s="216"/>
      <c r="J1059" s="216"/>
      <c r="K1059" s="216"/>
      <c r="L1059" s="207"/>
      <c r="M1059" s="207"/>
      <c r="N1059" s="216"/>
      <c r="O1059" s="216"/>
      <c r="P1059" s="216"/>
      <c r="Q1059" s="216"/>
      <c r="R1059" s="216"/>
      <c r="S1059" s="216"/>
      <c r="T1059" s="216"/>
      <c r="U1059" s="216"/>
      <c r="V1059" s="216"/>
    </row>
    <row r="1060" spans="1:22">
      <c r="A1060" s="216"/>
      <c r="B1060" s="216"/>
      <c r="C1060" s="216"/>
      <c r="D1060" s="216"/>
      <c r="E1060" s="216"/>
      <c r="F1060" s="216"/>
      <c r="G1060" s="216"/>
      <c r="H1060" s="216"/>
      <c r="I1060" s="216"/>
      <c r="J1060" s="216"/>
      <c r="K1060" s="216"/>
      <c r="L1060" s="207"/>
      <c r="M1060" s="207"/>
      <c r="N1060" s="216"/>
      <c r="O1060" s="216"/>
      <c r="P1060" s="216"/>
      <c r="Q1060" s="216"/>
      <c r="R1060" s="216"/>
      <c r="S1060" s="216"/>
      <c r="T1060" s="216"/>
      <c r="U1060" s="216"/>
      <c r="V1060" s="216"/>
    </row>
    <row r="1061" spans="1:22">
      <c r="A1061" s="216"/>
      <c r="B1061" s="216"/>
      <c r="C1061" s="216"/>
      <c r="D1061" s="216"/>
      <c r="E1061" s="216"/>
      <c r="F1061" s="216"/>
      <c r="G1061" s="216"/>
      <c r="H1061" s="216"/>
      <c r="I1061" s="216"/>
      <c r="J1061" s="216"/>
      <c r="K1061" s="216"/>
      <c r="L1061" s="207"/>
      <c r="M1061" s="207"/>
      <c r="N1061" s="216"/>
      <c r="O1061" s="216"/>
      <c r="P1061" s="216"/>
      <c r="Q1061" s="216"/>
      <c r="R1061" s="216"/>
      <c r="S1061" s="216"/>
      <c r="T1061" s="216"/>
      <c r="U1061" s="216"/>
      <c r="V1061" s="216"/>
    </row>
    <row r="1062" spans="1:22">
      <c r="A1062" s="216"/>
      <c r="B1062" s="216"/>
      <c r="C1062" s="216"/>
      <c r="D1062" s="216"/>
      <c r="E1062" s="216"/>
      <c r="F1062" s="216"/>
      <c r="G1062" s="216"/>
      <c r="H1062" s="216"/>
      <c r="I1062" s="216"/>
      <c r="J1062" s="216"/>
      <c r="K1062" s="216"/>
      <c r="L1062" s="207"/>
      <c r="M1062" s="207"/>
      <c r="N1062" s="216"/>
      <c r="O1062" s="216"/>
      <c r="P1062" s="216"/>
      <c r="Q1062" s="216"/>
      <c r="R1062" s="216"/>
      <c r="S1062" s="216"/>
      <c r="T1062" s="216"/>
      <c r="U1062" s="216"/>
      <c r="V1062" s="216"/>
    </row>
    <row r="1063" spans="1:22">
      <c r="A1063" s="216"/>
      <c r="B1063" s="216"/>
      <c r="C1063" s="216"/>
      <c r="D1063" s="216"/>
      <c r="E1063" s="216"/>
      <c r="F1063" s="216"/>
      <c r="G1063" s="216"/>
      <c r="H1063" s="216"/>
      <c r="I1063" s="216"/>
      <c r="J1063" s="216"/>
      <c r="K1063" s="216"/>
      <c r="L1063" s="207"/>
      <c r="M1063" s="207"/>
      <c r="N1063" s="216"/>
      <c r="O1063" s="216"/>
      <c r="P1063" s="216"/>
      <c r="Q1063" s="216"/>
      <c r="R1063" s="216"/>
      <c r="S1063" s="216"/>
      <c r="T1063" s="216"/>
      <c r="U1063" s="216"/>
      <c r="V1063" s="216"/>
    </row>
    <row r="1064" spans="1:22">
      <c r="A1064" s="216"/>
      <c r="B1064" s="216"/>
      <c r="C1064" s="216"/>
      <c r="D1064" s="216"/>
      <c r="E1064" s="216"/>
      <c r="F1064" s="216"/>
      <c r="G1064" s="216"/>
      <c r="H1064" s="216"/>
      <c r="I1064" s="216"/>
      <c r="J1064" s="216"/>
      <c r="K1064" s="216"/>
      <c r="L1064" s="207"/>
      <c r="M1064" s="207"/>
      <c r="N1064" s="216"/>
      <c r="O1064" s="216"/>
      <c r="P1064" s="216"/>
      <c r="Q1064" s="216"/>
      <c r="R1064" s="216"/>
      <c r="S1064" s="216"/>
      <c r="T1064" s="216"/>
      <c r="U1064" s="216"/>
      <c r="V1064" s="216"/>
    </row>
    <row r="1065" spans="1:22">
      <c r="A1065" s="216"/>
      <c r="B1065" s="216"/>
      <c r="C1065" s="216"/>
      <c r="D1065" s="216"/>
      <c r="E1065" s="216"/>
      <c r="F1065" s="216"/>
      <c r="G1065" s="216"/>
      <c r="H1065" s="216"/>
      <c r="I1065" s="216"/>
      <c r="J1065" s="216"/>
      <c r="K1065" s="216"/>
      <c r="L1065" s="207"/>
      <c r="M1065" s="207"/>
      <c r="N1065" s="216"/>
      <c r="O1065" s="216"/>
      <c r="P1065" s="216"/>
      <c r="Q1065" s="216"/>
      <c r="R1065" s="216"/>
      <c r="S1065" s="216"/>
      <c r="T1065" s="216"/>
      <c r="U1065" s="216"/>
      <c r="V1065" s="216"/>
    </row>
    <row r="1066" spans="1:22">
      <c r="A1066" s="216"/>
      <c r="B1066" s="216"/>
      <c r="C1066" s="216"/>
      <c r="D1066" s="216"/>
      <c r="E1066" s="216"/>
      <c r="F1066" s="216"/>
      <c r="G1066" s="216"/>
      <c r="H1066" s="216"/>
      <c r="I1066" s="216"/>
      <c r="J1066" s="216"/>
      <c r="K1066" s="216"/>
      <c r="L1066" s="207"/>
      <c r="M1066" s="207"/>
      <c r="N1066" s="216"/>
      <c r="O1066" s="216"/>
      <c r="P1066" s="216"/>
      <c r="Q1066" s="216"/>
      <c r="R1066" s="216"/>
      <c r="S1066" s="216"/>
      <c r="T1066" s="216"/>
      <c r="U1066" s="216"/>
      <c r="V1066" s="216"/>
    </row>
    <row r="1067" spans="1:22">
      <c r="A1067" s="216"/>
      <c r="B1067" s="216"/>
      <c r="C1067" s="216"/>
      <c r="D1067" s="216"/>
      <c r="E1067" s="216"/>
      <c r="F1067" s="216"/>
      <c r="G1067" s="216"/>
      <c r="H1067" s="216"/>
      <c r="I1067" s="216"/>
      <c r="J1067" s="216"/>
      <c r="K1067" s="216"/>
      <c r="L1067" s="207"/>
      <c r="M1067" s="207"/>
      <c r="N1067" s="216"/>
      <c r="O1067" s="216"/>
      <c r="P1067" s="216"/>
      <c r="Q1067" s="216"/>
      <c r="R1067" s="216"/>
      <c r="S1067" s="216"/>
      <c r="T1067" s="216"/>
      <c r="U1067" s="216"/>
      <c r="V1067" s="216"/>
    </row>
    <row r="1068" spans="1:22">
      <c r="A1068" s="216"/>
      <c r="B1068" s="216"/>
      <c r="C1068" s="216"/>
      <c r="D1068" s="216"/>
      <c r="E1068" s="216"/>
      <c r="F1068" s="216"/>
      <c r="G1068" s="216"/>
      <c r="H1068" s="216"/>
      <c r="I1068" s="216"/>
      <c r="J1068" s="216"/>
      <c r="K1068" s="216"/>
      <c r="L1068" s="207"/>
      <c r="M1068" s="207"/>
      <c r="N1068" s="216"/>
      <c r="O1068" s="216"/>
      <c r="P1068" s="216"/>
      <c r="Q1068" s="216"/>
      <c r="R1068" s="216"/>
      <c r="S1068" s="216"/>
      <c r="T1068" s="216"/>
      <c r="U1068" s="216"/>
      <c r="V1068" s="216"/>
    </row>
    <row r="1069" spans="1:22">
      <c r="A1069" s="216"/>
      <c r="B1069" s="216"/>
      <c r="C1069" s="216"/>
      <c r="D1069" s="216"/>
      <c r="E1069" s="216"/>
      <c r="F1069" s="216"/>
      <c r="G1069" s="216"/>
      <c r="H1069" s="216"/>
      <c r="I1069" s="216"/>
      <c r="J1069" s="216"/>
      <c r="K1069" s="216"/>
      <c r="L1069" s="207"/>
      <c r="M1069" s="207"/>
      <c r="N1069" s="216"/>
      <c r="O1069" s="216"/>
      <c r="P1069" s="216"/>
      <c r="Q1069" s="216"/>
      <c r="R1069" s="216"/>
      <c r="S1069" s="216"/>
      <c r="T1069" s="216"/>
      <c r="U1069" s="216"/>
      <c r="V1069" s="216"/>
    </row>
    <row r="1070" spans="1:22">
      <c r="A1070" s="216"/>
      <c r="B1070" s="216"/>
      <c r="C1070" s="216"/>
      <c r="D1070" s="216"/>
      <c r="E1070" s="216"/>
      <c r="F1070" s="216"/>
      <c r="G1070" s="216"/>
      <c r="H1070" s="216"/>
      <c r="I1070" s="216"/>
      <c r="J1070" s="216"/>
      <c r="K1070" s="216"/>
      <c r="L1070" s="207"/>
      <c r="M1070" s="207"/>
      <c r="N1070" s="216"/>
      <c r="O1070" s="216"/>
      <c r="P1070" s="216"/>
      <c r="Q1070" s="216"/>
      <c r="R1070" s="216"/>
      <c r="S1070" s="216"/>
      <c r="T1070" s="216"/>
      <c r="U1070" s="216"/>
      <c r="V1070" s="216"/>
    </row>
    <row r="1071" spans="1:22">
      <c r="A1071" s="216"/>
      <c r="B1071" s="216"/>
      <c r="C1071" s="216"/>
      <c r="D1071" s="216"/>
      <c r="E1071" s="216"/>
      <c r="F1071" s="216"/>
      <c r="G1071" s="216"/>
      <c r="H1071" s="216"/>
      <c r="I1071" s="216"/>
      <c r="J1071" s="216"/>
      <c r="K1071" s="216"/>
      <c r="L1071" s="207"/>
      <c r="M1071" s="207"/>
      <c r="N1071" s="216"/>
      <c r="O1071" s="216"/>
      <c r="P1071" s="216"/>
      <c r="Q1071" s="216"/>
      <c r="R1071" s="216"/>
      <c r="S1071" s="216"/>
      <c r="T1071" s="216"/>
      <c r="U1071" s="216"/>
      <c r="V1071" s="216"/>
    </row>
    <row r="1072" spans="1:22">
      <c r="A1072" s="216"/>
      <c r="B1072" s="216"/>
      <c r="C1072" s="216"/>
      <c r="D1072" s="216"/>
      <c r="E1072" s="216"/>
      <c r="F1072" s="216"/>
      <c r="G1072" s="216"/>
      <c r="H1072" s="216"/>
      <c r="I1072" s="216"/>
      <c r="J1072" s="216"/>
      <c r="K1072" s="216"/>
      <c r="L1072" s="207"/>
      <c r="M1072" s="207"/>
      <c r="N1072" s="216"/>
      <c r="O1072" s="216"/>
      <c r="P1072" s="216"/>
      <c r="Q1072" s="216"/>
      <c r="R1072" s="216"/>
      <c r="S1072" s="216"/>
      <c r="T1072" s="216"/>
      <c r="U1072" s="216"/>
      <c r="V1072" s="216"/>
    </row>
    <row r="1073" spans="1:22">
      <c r="A1073" s="216"/>
      <c r="B1073" s="216"/>
      <c r="C1073" s="216"/>
      <c r="D1073" s="216"/>
      <c r="E1073" s="216"/>
      <c r="F1073" s="216"/>
      <c r="G1073" s="216"/>
      <c r="H1073" s="216"/>
      <c r="I1073" s="216"/>
      <c r="J1073" s="216"/>
      <c r="K1073" s="216"/>
      <c r="L1073" s="207"/>
      <c r="M1073" s="207"/>
      <c r="N1073" s="216"/>
      <c r="O1073" s="216"/>
      <c r="P1073" s="216"/>
      <c r="Q1073" s="216"/>
      <c r="R1073" s="216"/>
      <c r="S1073" s="216"/>
      <c r="T1073" s="216"/>
      <c r="U1073" s="216"/>
      <c r="V1073" s="216"/>
    </row>
    <row r="1074" spans="1:22">
      <c r="A1074" s="216"/>
      <c r="B1074" s="216"/>
      <c r="C1074" s="216"/>
      <c r="D1074" s="216"/>
      <c r="E1074" s="216"/>
      <c r="F1074" s="216"/>
      <c r="G1074" s="216"/>
      <c r="H1074" s="216"/>
      <c r="I1074" s="216"/>
      <c r="J1074" s="216"/>
      <c r="K1074" s="216"/>
      <c r="L1074" s="207"/>
      <c r="M1074" s="207"/>
      <c r="N1074" s="216"/>
      <c r="O1074" s="216"/>
      <c r="P1074" s="216"/>
      <c r="Q1074" s="216"/>
      <c r="R1074" s="216"/>
      <c r="S1074" s="216"/>
      <c r="T1074" s="216"/>
      <c r="U1074" s="216"/>
      <c r="V1074" s="216"/>
    </row>
    <row r="1075" spans="1:22">
      <c r="A1075" s="216"/>
      <c r="B1075" s="216"/>
      <c r="C1075" s="216"/>
      <c r="D1075" s="216"/>
      <c r="E1075" s="216"/>
      <c r="F1075" s="216"/>
      <c r="G1075" s="216"/>
      <c r="H1075" s="216"/>
      <c r="I1075" s="216"/>
      <c r="J1075" s="216"/>
      <c r="K1075" s="216"/>
      <c r="L1075" s="207"/>
      <c r="M1075" s="207"/>
      <c r="N1075" s="216"/>
      <c r="O1075" s="216"/>
      <c r="P1075" s="216"/>
      <c r="Q1075" s="216"/>
      <c r="R1075" s="216"/>
      <c r="S1075" s="216"/>
      <c r="T1075" s="216"/>
      <c r="U1075" s="216"/>
      <c r="V1075" s="216"/>
    </row>
    <row r="1076" spans="1:22">
      <c r="A1076" s="216"/>
      <c r="B1076" s="216"/>
      <c r="C1076" s="216"/>
      <c r="D1076" s="216"/>
      <c r="E1076" s="216"/>
      <c r="F1076" s="216"/>
      <c r="G1076" s="216"/>
      <c r="H1076" s="216"/>
      <c r="I1076" s="216"/>
      <c r="J1076" s="216"/>
      <c r="K1076" s="216"/>
      <c r="L1076" s="207"/>
      <c r="M1076" s="207"/>
      <c r="N1076" s="216"/>
      <c r="O1076" s="216"/>
      <c r="P1076" s="216"/>
      <c r="Q1076" s="216"/>
      <c r="R1076" s="216"/>
      <c r="S1076" s="216"/>
      <c r="T1076" s="216"/>
      <c r="U1076" s="216"/>
      <c r="V1076" s="216"/>
    </row>
    <row r="1077" spans="1:22">
      <c r="A1077" s="216"/>
      <c r="B1077" s="216"/>
      <c r="C1077" s="216"/>
      <c r="D1077" s="216"/>
      <c r="E1077" s="216"/>
      <c r="F1077" s="216"/>
      <c r="G1077" s="216"/>
      <c r="H1077" s="216"/>
      <c r="I1077" s="216"/>
      <c r="J1077" s="216"/>
      <c r="K1077" s="216"/>
      <c r="L1077" s="207"/>
      <c r="M1077" s="207"/>
      <c r="N1077" s="216"/>
      <c r="O1077" s="216"/>
      <c r="P1077" s="216"/>
      <c r="Q1077" s="216"/>
      <c r="R1077" s="216"/>
      <c r="S1077" s="216"/>
      <c r="T1077" s="216"/>
      <c r="U1077" s="216"/>
      <c r="V1077" s="216"/>
    </row>
    <row r="1078" spans="1:22">
      <c r="A1078" s="216"/>
      <c r="B1078" s="216"/>
      <c r="C1078" s="216"/>
      <c r="D1078" s="216"/>
      <c r="E1078" s="216"/>
      <c r="F1078" s="216"/>
      <c r="G1078" s="216"/>
      <c r="H1078" s="216"/>
      <c r="I1078" s="216"/>
      <c r="J1078" s="216"/>
      <c r="K1078" s="216"/>
      <c r="L1078" s="207"/>
      <c r="M1078" s="207"/>
      <c r="N1078" s="216"/>
      <c r="O1078" s="216"/>
      <c r="P1078" s="216"/>
      <c r="Q1078" s="216"/>
      <c r="R1078" s="216"/>
      <c r="S1078" s="216"/>
      <c r="T1078" s="216"/>
      <c r="U1078" s="216"/>
      <c r="V1078" s="216"/>
    </row>
    <row r="1079" spans="1:22">
      <c r="A1079" s="216"/>
      <c r="B1079" s="216"/>
      <c r="C1079" s="216"/>
      <c r="D1079" s="216"/>
      <c r="E1079" s="216"/>
      <c r="F1079" s="216"/>
      <c r="G1079" s="216"/>
      <c r="H1079" s="216"/>
      <c r="I1079" s="216"/>
      <c r="J1079" s="216"/>
      <c r="K1079" s="216"/>
      <c r="L1079" s="207"/>
      <c r="M1079" s="207"/>
      <c r="N1079" s="216"/>
      <c r="O1079" s="216"/>
      <c r="P1079" s="216"/>
      <c r="Q1079" s="216"/>
      <c r="R1079" s="216"/>
      <c r="S1079" s="216"/>
      <c r="T1079" s="216"/>
      <c r="U1079" s="216"/>
      <c r="V1079" s="216"/>
    </row>
    <row r="1080" spans="1:22">
      <c r="A1080" s="216"/>
      <c r="B1080" s="216"/>
      <c r="C1080" s="216"/>
      <c r="D1080" s="216"/>
      <c r="E1080" s="216"/>
      <c r="F1080" s="216"/>
      <c r="G1080" s="216"/>
      <c r="H1080" s="216"/>
      <c r="I1080" s="216"/>
      <c r="J1080" s="216"/>
      <c r="K1080" s="216"/>
      <c r="L1080" s="207"/>
      <c r="M1080" s="207"/>
      <c r="N1080" s="216"/>
      <c r="O1080" s="216"/>
      <c r="P1080" s="216"/>
      <c r="Q1080" s="216"/>
      <c r="R1080" s="216"/>
      <c r="S1080" s="216"/>
      <c r="T1080" s="216"/>
      <c r="U1080" s="216"/>
      <c r="V1080" s="216"/>
    </row>
    <row r="1081" spans="1:22">
      <c r="A1081" s="216"/>
      <c r="B1081" s="216"/>
      <c r="C1081" s="216"/>
      <c r="D1081" s="216"/>
      <c r="E1081" s="216"/>
      <c r="F1081" s="216"/>
      <c r="G1081" s="216"/>
      <c r="H1081" s="216"/>
      <c r="I1081" s="216"/>
      <c r="J1081" s="216"/>
      <c r="K1081" s="216"/>
      <c r="L1081" s="207"/>
      <c r="M1081" s="207"/>
      <c r="N1081" s="216"/>
      <c r="O1081" s="216"/>
      <c r="P1081" s="216"/>
      <c r="Q1081" s="216"/>
      <c r="R1081" s="216"/>
      <c r="S1081" s="216"/>
      <c r="T1081" s="216"/>
      <c r="U1081" s="216"/>
      <c r="V1081" s="216"/>
    </row>
    <row r="1082" spans="1:22">
      <c r="A1082" s="216"/>
      <c r="B1082" s="216"/>
      <c r="C1082" s="216"/>
      <c r="D1082" s="216"/>
      <c r="E1082" s="216"/>
      <c r="F1082" s="216"/>
      <c r="G1082" s="216"/>
      <c r="H1082" s="216"/>
      <c r="I1082" s="216"/>
      <c r="J1082" s="216"/>
      <c r="K1082" s="216"/>
      <c r="L1082" s="207"/>
      <c r="M1082" s="207"/>
      <c r="N1082" s="216"/>
      <c r="O1082" s="216"/>
      <c r="P1082" s="216"/>
      <c r="Q1082" s="216"/>
      <c r="R1082" s="216"/>
      <c r="S1082" s="216"/>
      <c r="T1082" s="216"/>
      <c r="U1082" s="216"/>
      <c r="V1082" s="216"/>
    </row>
    <row r="1083" spans="1:22">
      <c r="A1083" s="216"/>
      <c r="B1083" s="216"/>
      <c r="C1083" s="216"/>
      <c r="D1083" s="216"/>
      <c r="E1083" s="216"/>
      <c r="F1083" s="216"/>
      <c r="G1083" s="216"/>
      <c r="H1083" s="216"/>
      <c r="I1083" s="216"/>
      <c r="J1083" s="216"/>
      <c r="K1083" s="216"/>
      <c r="L1083" s="207"/>
      <c r="M1083" s="207"/>
      <c r="N1083" s="216"/>
      <c r="O1083" s="216"/>
      <c r="P1083" s="216"/>
      <c r="Q1083" s="216"/>
      <c r="R1083" s="216"/>
      <c r="S1083" s="216"/>
      <c r="T1083" s="216"/>
      <c r="U1083" s="216"/>
      <c r="V1083" s="216"/>
    </row>
    <row r="1084" spans="1:22">
      <c r="A1084" s="216"/>
      <c r="B1084" s="216"/>
      <c r="C1084" s="216"/>
      <c r="D1084" s="216"/>
      <c r="E1084" s="216"/>
      <c r="F1084" s="216"/>
      <c r="G1084" s="216"/>
      <c r="H1084" s="216"/>
      <c r="I1084" s="216"/>
      <c r="J1084" s="216"/>
      <c r="K1084" s="216"/>
      <c r="L1084" s="207"/>
      <c r="M1084" s="207"/>
      <c r="N1084" s="216"/>
      <c r="O1084" s="216"/>
      <c r="P1084" s="216"/>
      <c r="Q1084" s="216"/>
      <c r="R1084" s="216"/>
      <c r="S1084" s="216"/>
      <c r="T1084" s="216"/>
      <c r="U1084" s="216"/>
      <c r="V1084" s="216"/>
    </row>
    <row r="1085" spans="1:22">
      <c r="A1085" s="216"/>
      <c r="B1085" s="216"/>
      <c r="C1085" s="216"/>
      <c r="D1085" s="216"/>
      <c r="E1085" s="216"/>
      <c r="F1085" s="216"/>
      <c r="G1085" s="216"/>
      <c r="H1085" s="216"/>
      <c r="I1085" s="216"/>
      <c r="J1085" s="216"/>
      <c r="K1085" s="216"/>
      <c r="L1085" s="207"/>
      <c r="M1085" s="207"/>
      <c r="N1085" s="216"/>
      <c r="O1085" s="216"/>
      <c r="P1085" s="216"/>
      <c r="Q1085" s="216"/>
      <c r="R1085" s="216"/>
      <c r="S1085" s="216"/>
      <c r="T1085" s="216"/>
      <c r="U1085" s="216"/>
      <c r="V1085" s="216"/>
    </row>
    <row r="1086" spans="1:22">
      <c r="A1086" s="216"/>
      <c r="B1086" s="216"/>
      <c r="C1086" s="216"/>
      <c r="D1086" s="216"/>
      <c r="E1086" s="216"/>
      <c r="F1086" s="216"/>
      <c r="G1086" s="216"/>
      <c r="H1086" s="216"/>
      <c r="I1086" s="216"/>
      <c r="J1086" s="216"/>
      <c r="K1086" s="216"/>
      <c r="L1086" s="207"/>
      <c r="M1086" s="207"/>
      <c r="N1086" s="216"/>
      <c r="O1086" s="216"/>
      <c r="P1086" s="216"/>
      <c r="Q1086" s="216"/>
      <c r="R1086" s="216"/>
      <c r="S1086" s="216"/>
      <c r="T1086" s="216"/>
      <c r="U1086" s="216"/>
      <c r="V1086" s="216"/>
    </row>
    <row r="1087" spans="1:22">
      <c r="A1087" s="216"/>
      <c r="B1087" s="216"/>
      <c r="C1087" s="216"/>
      <c r="D1087" s="216"/>
      <c r="E1087" s="216"/>
      <c r="F1087" s="216"/>
      <c r="G1087" s="216"/>
      <c r="H1087" s="216"/>
      <c r="I1087" s="216"/>
      <c r="J1087" s="216"/>
      <c r="K1087" s="216"/>
      <c r="L1087" s="207"/>
      <c r="M1087" s="207"/>
      <c r="N1087" s="216"/>
      <c r="O1087" s="216"/>
      <c r="P1087" s="216"/>
      <c r="Q1087" s="216"/>
      <c r="R1087" s="216"/>
      <c r="S1087" s="216"/>
      <c r="T1087" s="216"/>
      <c r="U1087" s="216"/>
      <c r="V1087" s="216"/>
    </row>
    <row r="1088" spans="1:22">
      <c r="A1088" s="216"/>
      <c r="B1088" s="216"/>
      <c r="C1088" s="216"/>
      <c r="D1088" s="216"/>
      <c r="E1088" s="216"/>
      <c r="F1088" s="216"/>
      <c r="G1088" s="216"/>
      <c r="H1088" s="216"/>
      <c r="I1088" s="216"/>
      <c r="J1088" s="216"/>
      <c r="K1088" s="216"/>
      <c r="L1088" s="207"/>
      <c r="M1088" s="207"/>
      <c r="N1088" s="216"/>
      <c r="O1088" s="216"/>
      <c r="P1088" s="216"/>
      <c r="Q1088" s="216"/>
      <c r="R1088" s="216"/>
      <c r="S1088" s="216"/>
      <c r="T1088" s="216"/>
      <c r="U1088" s="216"/>
      <c r="V1088" s="216"/>
    </row>
    <row r="1089" spans="1:22">
      <c r="A1089" s="216"/>
      <c r="B1089" s="216"/>
      <c r="C1089" s="216"/>
      <c r="D1089" s="216"/>
      <c r="E1089" s="216"/>
      <c r="F1089" s="216"/>
      <c r="G1089" s="216"/>
      <c r="H1089" s="216"/>
      <c r="I1089" s="216"/>
      <c r="J1089" s="216"/>
      <c r="K1089" s="216"/>
      <c r="L1089" s="207"/>
      <c r="M1089" s="207"/>
      <c r="N1089" s="216"/>
      <c r="O1089" s="216"/>
      <c r="P1089" s="216"/>
      <c r="Q1089" s="216"/>
      <c r="R1089" s="216"/>
      <c r="S1089" s="216"/>
      <c r="T1089" s="216"/>
      <c r="U1089" s="216"/>
      <c r="V1089" s="216"/>
    </row>
    <row r="1090" spans="1:22">
      <c r="A1090" s="216"/>
      <c r="B1090" s="216"/>
      <c r="C1090" s="216"/>
      <c r="D1090" s="216"/>
      <c r="E1090" s="216"/>
      <c r="F1090" s="216"/>
      <c r="G1090" s="216"/>
      <c r="H1090" s="216"/>
      <c r="I1090" s="216"/>
      <c r="J1090" s="216"/>
      <c r="K1090" s="216"/>
      <c r="L1090" s="207"/>
      <c r="M1090" s="207"/>
      <c r="N1090" s="216"/>
      <c r="O1090" s="216"/>
      <c r="P1090" s="216"/>
      <c r="Q1090" s="216"/>
      <c r="R1090" s="216"/>
      <c r="S1090" s="216"/>
      <c r="T1090" s="216"/>
      <c r="U1090" s="216"/>
      <c r="V1090" s="216"/>
    </row>
    <row r="1091" spans="1:22">
      <c r="A1091" s="216"/>
      <c r="B1091" s="216"/>
      <c r="C1091" s="216"/>
      <c r="D1091" s="216"/>
      <c r="E1091" s="216"/>
      <c r="F1091" s="216"/>
      <c r="G1091" s="216"/>
      <c r="H1091" s="216"/>
      <c r="I1091" s="216"/>
      <c r="J1091" s="216"/>
      <c r="K1091" s="216"/>
      <c r="L1091" s="207"/>
      <c r="M1091" s="207"/>
      <c r="N1091" s="216"/>
      <c r="O1091" s="216"/>
      <c r="P1091" s="216"/>
      <c r="Q1091" s="216"/>
      <c r="R1091" s="216"/>
      <c r="S1091" s="216"/>
      <c r="T1091" s="216"/>
      <c r="U1091" s="216"/>
      <c r="V1091" s="216"/>
    </row>
    <row r="1092" spans="1:22">
      <c r="A1092" s="216"/>
      <c r="B1092" s="216"/>
      <c r="C1092" s="216"/>
      <c r="D1092" s="216"/>
      <c r="E1092" s="216"/>
      <c r="F1092" s="216"/>
      <c r="G1092" s="216"/>
      <c r="H1092" s="216"/>
      <c r="I1092" s="216"/>
      <c r="J1092" s="216"/>
      <c r="K1092" s="216"/>
      <c r="L1092" s="207"/>
      <c r="M1092" s="207"/>
      <c r="N1092" s="216"/>
      <c r="O1092" s="216"/>
      <c r="P1092" s="216"/>
      <c r="Q1092" s="216"/>
      <c r="R1092" s="216"/>
      <c r="S1092" s="216"/>
      <c r="T1092" s="216"/>
      <c r="U1092" s="216"/>
      <c r="V1092" s="216"/>
    </row>
    <row r="1093" spans="1:22">
      <c r="A1093" s="216"/>
      <c r="B1093" s="216"/>
      <c r="C1093" s="216"/>
      <c r="D1093" s="216"/>
      <c r="E1093" s="216"/>
      <c r="F1093" s="216"/>
      <c r="G1093" s="216"/>
      <c r="H1093" s="216"/>
      <c r="I1093" s="216"/>
      <c r="J1093" s="216"/>
      <c r="K1093" s="216"/>
      <c r="L1093" s="207"/>
      <c r="M1093" s="207"/>
      <c r="N1093" s="216"/>
      <c r="O1093" s="216"/>
      <c r="P1093" s="216"/>
      <c r="Q1093" s="216"/>
      <c r="R1093" s="216"/>
      <c r="S1093" s="216"/>
      <c r="T1093" s="216"/>
      <c r="U1093" s="216"/>
      <c r="V1093" s="216"/>
    </row>
    <row r="1094" spans="1:22">
      <c r="A1094" s="216"/>
      <c r="B1094" s="216"/>
      <c r="C1094" s="216"/>
      <c r="D1094" s="216"/>
      <c r="E1094" s="216"/>
      <c r="F1094" s="216"/>
      <c r="G1094" s="216"/>
      <c r="H1094" s="216"/>
      <c r="I1094" s="216"/>
      <c r="J1094" s="216"/>
      <c r="K1094" s="216"/>
      <c r="L1094" s="207"/>
      <c r="M1094" s="207"/>
      <c r="N1094" s="216"/>
      <c r="O1094" s="216"/>
      <c r="P1094" s="216"/>
      <c r="Q1094" s="216"/>
      <c r="R1094" s="216"/>
      <c r="S1094" s="216"/>
      <c r="T1094" s="216"/>
      <c r="U1094" s="216"/>
      <c r="V1094" s="216"/>
    </row>
    <row r="1095" spans="1:22">
      <c r="A1095" s="216"/>
      <c r="B1095" s="216"/>
      <c r="C1095" s="216"/>
      <c r="D1095" s="216"/>
      <c r="E1095" s="216"/>
      <c r="F1095" s="216"/>
      <c r="G1095" s="216"/>
      <c r="H1095" s="216"/>
      <c r="I1095" s="216"/>
      <c r="J1095" s="216"/>
      <c r="K1095" s="216"/>
      <c r="L1095" s="207"/>
      <c r="M1095" s="207"/>
      <c r="N1095" s="216"/>
      <c r="O1095" s="216"/>
      <c r="P1095" s="216"/>
      <c r="Q1095" s="216"/>
      <c r="R1095" s="216"/>
      <c r="S1095" s="216"/>
      <c r="T1095" s="216"/>
      <c r="U1095" s="216"/>
      <c r="V1095" s="216"/>
    </row>
  </sheetData>
  <mergeCells count="26">
    <mergeCell ref="S1:S2"/>
    <mergeCell ref="T1:T2"/>
    <mergeCell ref="U1:U2"/>
    <mergeCell ref="V1:V2"/>
    <mergeCell ref="H1:H2"/>
    <mergeCell ref="I1:K1"/>
    <mergeCell ref="N1:N2"/>
    <mergeCell ref="O1:O2"/>
    <mergeCell ref="P1:P2"/>
    <mergeCell ref="Q1:Q2"/>
    <mergeCell ref="R1:R2"/>
    <mergeCell ref="K175:K176"/>
    <mergeCell ref="L175:L176"/>
    <mergeCell ref="F180:G180"/>
    <mergeCell ref="A1:A2"/>
    <mergeCell ref="B1:B2"/>
    <mergeCell ref="C1:C2"/>
    <mergeCell ref="D1:D2"/>
    <mergeCell ref="E1:E2"/>
    <mergeCell ref="F1:F2"/>
    <mergeCell ref="G1:G2"/>
    <mergeCell ref="F172:G172"/>
    <mergeCell ref="I172:L172"/>
    <mergeCell ref="F173:G173"/>
    <mergeCell ref="K173:K174"/>
    <mergeCell ref="L173:L174"/>
  </mergeCells>
  <pageMargins left="0" right="0" top="0" bottom="0" header="0" footer="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34A853"/>
    <outlinePr summaryBelow="0" summaryRight="0"/>
  </sheetPr>
  <dimension ref="A1:AB1004"/>
  <sheetViews>
    <sheetView workbookViewId="0">
      <pane xSplit="5" ySplit="2" topLeftCell="F3" activePane="bottomRight" state="frozen"/>
      <selection pane="bottomRight" activeCell="F3" sqref="F3"/>
      <selection pane="bottomLeft" activeCell="A3" sqref="A3"/>
      <selection pane="topRight" activeCell="F1" sqref="F1"/>
    </sheetView>
  </sheetViews>
  <sheetFormatPr defaultColWidth="12.5703125" defaultRowHeight="15.75" customHeight="1"/>
  <cols>
    <col min="1" max="1" width="7.42578125" customWidth="1"/>
    <col min="2" max="2" width="6.140625" customWidth="1"/>
    <col min="3" max="3" width="26.85546875" customWidth="1"/>
    <col min="4" max="4" width="31.5703125" customWidth="1"/>
    <col min="5" max="5" width="9.140625" customWidth="1"/>
    <col min="6" max="6" width="29.85546875" customWidth="1"/>
    <col min="7" max="7" width="4.85546875" customWidth="1"/>
    <col min="8" max="8" width="20.42578125" customWidth="1"/>
    <col min="9" max="9" width="6" customWidth="1"/>
    <col min="10" max="10" width="4.5703125" customWidth="1"/>
    <col min="11" max="11" width="5.28515625" customWidth="1"/>
    <col min="12" max="12" width="5.42578125" customWidth="1"/>
    <col min="13" max="13" width="7" customWidth="1"/>
    <col min="14" max="14" width="4.140625" customWidth="1"/>
    <col min="15" max="15" width="8" customWidth="1"/>
    <col min="16" max="16" width="4.7109375" customWidth="1"/>
    <col min="17" max="17" width="4" customWidth="1"/>
    <col min="18" max="18" width="23.5703125" customWidth="1"/>
    <col min="24" max="24" width="13.140625" customWidth="1"/>
  </cols>
  <sheetData>
    <row r="1" spans="1:28">
      <c r="A1" s="699" t="s">
        <v>11908</v>
      </c>
      <c r="B1" s="699" t="s">
        <v>1708</v>
      </c>
      <c r="C1" s="699" t="s">
        <v>1709</v>
      </c>
      <c r="D1" s="699" t="s">
        <v>1710</v>
      </c>
      <c r="E1" s="699" t="s">
        <v>1711</v>
      </c>
      <c r="F1" s="699" t="s">
        <v>1712</v>
      </c>
      <c r="G1" s="699" t="s">
        <v>3697</v>
      </c>
      <c r="H1" s="699" t="s">
        <v>1714</v>
      </c>
      <c r="I1" s="705" t="s">
        <v>1715</v>
      </c>
      <c r="J1" s="775"/>
      <c r="K1" s="775"/>
      <c r="L1" s="775"/>
      <c r="M1" s="775"/>
      <c r="N1" s="775"/>
      <c r="O1" s="775"/>
      <c r="P1" s="775"/>
      <c r="Q1" s="770"/>
      <c r="R1" s="423"/>
      <c r="S1" s="423"/>
      <c r="T1" s="699" t="s">
        <v>1716</v>
      </c>
      <c r="U1" s="699" t="s">
        <v>1717</v>
      </c>
      <c r="V1" s="699" t="s">
        <v>1718</v>
      </c>
      <c r="W1" s="699" t="s">
        <v>1719</v>
      </c>
      <c r="X1" s="699" t="s">
        <v>1720</v>
      </c>
      <c r="Y1" s="702" t="s">
        <v>1721</v>
      </c>
      <c r="Z1" s="702" t="s">
        <v>1722</v>
      </c>
      <c r="AA1" s="701" t="s">
        <v>1723</v>
      </c>
      <c r="AB1" s="702" t="s">
        <v>1724</v>
      </c>
    </row>
    <row r="2" spans="1:28">
      <c r="A2" s="774"/>
      <c r="B2" s="774"/>
      <c r="C2" s="774"/>
      <c r="D2" s="774"/>
      <c r="E2" s="774"/>
      <c r="F2" s="774"/>
      <c r="G2" s="774"/>
      <c r="H2" s="774"/>
      <c r="I2" s="211" t="s">
        <v>11909</v>
      </c>
      <c r="J2" s="211" t="s">
        <v>11910</v>
      </c>
      <c r="K2" s="211" t="s">
        <v>11911</v>
      </c>
      <c r="L2" s="211" t="s">
        <v>11912</v>
      </c>
      <c r="M2" s="211" t="s">
        <v>7379</v>
      </c>
      <c r="N2" s="211" t="s">
        <v>7376</v>
      </c>
      <c r="O2" s="211" t="s">
        <v>11913</v>
      </c>
      <c r="P2" s="211" t="s">
        <v>11914</v>
      </c>
      <c r="Q2" s="211" t="s">
        <v>7378</v>
      </c>
      <c r="R2" s="282" t="s">
        <v>1726</v>
      </c>
      <c r="S2" s="282" t="s">
        <v>1727</v>
      </c>
      <c r="T2" s="774"/>
      <c r="U2" s="774"/>
      <c r="V2" s="774"/>
      <c r="W2" s="774"/>
      <c r="X2" s="774"/>
      <c r="Y2" s="774"/>
      <c r="Z2" s="774"/>
      <c r="AA2" s="773"/>
      <c r="AB2" s="773"/>
    </row>
    <row r="3" spans="1:28">
      <c r="A3" s="252" t="s">
        <v>11915</v>
      </c>
      <c r="B3" s="213" t="s">
        <v>11916</v>
      </c>
      <c r="C3" s="213" t="s">
        <v>11917</v>
      </c>
      <c r="D3" s="213" t="s">
        <v>11918</v>
      </c>
      <c r="E3" s="252" t="s">
        <v>1732</v>
      </c>
      <c r="F3" s="424" t="s">
        <v>11919</v>
      </c>
      <c r="G3" s="425"/>
      <c r="H3" s="426"/>
      <c r="I3" s="427" t="s">
        <v>1736</v>
      </c>
      <c r="J3" s="428" t="s">
        <v>4913</v>
      </c>
      <c r="K3" s="428" t="s">
        <v>4913</v>
      </c>
      <c r="L3" s="428" t="s">
        <v>4913</v>
      </c>
      <c r="M3" s="428" t="s">
        <v>4913</v>
      </c>
      <c r="N3" s="428" t="s">
        <v>4913</v>
      </c>
      <c r="O3" s="428" t="s">
        <v>4913</v>
      </c>
      <c r="P3" s="428" t="s">
        <v>4913</v>
      </c>
      <c r="Q3" s="428" t="s">
        <v>4913</v>
      </c>
      <c r="R3" s="255" t="s">
        <v>1737</v>
      </c>
      <c r="S3" s="255" t="s">
        <v>1737</v>
      </c>
      <c r="T3" s="252"/>
      <c r="U3" s="254" t="s">
        <v>11920</v>
      </c>
      <c r="V3" s="253" t="s">
        <v>11921</v>
      </c>
      <c r="W3" s="254" t="s">
        <v>7558</v>
      </c>
      <c r="X3" s="425" t="s">
        <v>11922</v>
      </c>
      <c r="Y3" s="425"/>
      <c r="Z3" s="425"/>
      <c r="AA3" s="254" t="s">
        <v>7558</v>
      </c>
      <c r="AB3" s="110" t="s">
        <v>4803</v>
      </c>
    </row>
    <row r="4" spans="1:28">
      <c r="A4" s="252" t="s">
        <v>11923</v>
      </c>
      <c r="B4" s="213" t="s">
        <v>11924</v>
      </c>
      <c r="C4" s="213" t="s">
        <v>11925</v>
      </c>
      <c r="D4" s="213" t="s">
        <v>11926</v>
      </c>
      <c r="E4" s="252" t="s">
        <v>1732</v>
      </c>
      <c r="F4" s="426" t="s">
        <v>11927</v>
      </c>
      <c r="G4" s="425"/>
      <c r="H4" s="426" t="s">
        <v>11928</v>
      </c>
      <c r="I4" s="427" t="s">
        <v>1736</v>
      </c>
      <c r="J4" s="428" t="s">
        <v>4913</v>
      </c>
      <c r="K4" s="428" t="s">
        <v>4913</v>
      </c>
      <c r="L4" s="428" t="s">
        <v>4913</v>
      </c>
      <c r="M4" s="428" t="s">
        <v>4913</v>
      </c>
      <c r="N4" s="428" t="s">
        <v>4913</v>
      </c>
      <c r="O4" s="428" t="s">
        <v>4913</v>
      </c>
      <c r="P4" s="428" t="s">
        <v>4913</v>
      </c>
      <c r="Q4" s="428" t="s">
        <v>4913</v>
      </c>
      <c r="R4" s="255" t="s">
        <v>1737</v>
      </c>
      <c r="S4" s="255" t="s">
        <v>1737</v>
      </c>
      <c r="T4" s="252"/>
      <c r="U4" s="254" t="s">
        <v>11929</v>
      </c>
      <c r="V4" s="252" t="s">
        <v>11930</v>
      </c>
      <c r="W4" s="254" t="s">
        <v>7558</v>
      </c>
      <c r="X4" s="425" t="s">
        <v>11931</v>
      </c>
      <c r="Y4" s="425"/>
      <c r="Z4" s="425"/>
      <c r="AA4" s="254" t="s">
        <v>7558</v>
      </c>
      <c r="AB4" s="110" t="s">
        <v>4803</v>
      </c>
    </row>
    <row r="5" spans="1:28">
      <c r="A5" s="252" t="s">
        <v>11932</v>
      </c>
      <c r="B5" s="213" t="s">
        <v>11933</v>
      </c>
      <c r="C5" s="228" t="s">
        <v>11934</v>
      </c>
      <c r="D5" s="213" t="s">
        <v>11935</v>
      </c>
      <c r="E5" s="252" t="s">
        <v>1732</v>
      </c>
      <c r="F5" s="426" t="s">
        <v>11936</v>
      </c>
      <c r="G5" s="425"/>
      <c r="H5" s="426" t="s">
        <v>11937</v>
      </c>
      <c r="I5" s="427" t="s">
        <v>1736</v>
      </c>
      <c r="J5" s="428" t="s">
        <v>4913</v>
      </c>
      <c r="K5" s="428" t="s">
        <v>4913</v>
      </c>
      <c r="L5" s="428" t="s">
        <v>4913</v>
      </c>
      <c r="M5" s="428" t="s">
        <v>4913</v>
      </c>
      <c r="N5" s="428" t="s">
        <v>4913</v>
      </c>
      <c r="O5" s="428" t="s">
        <v>4913</v>
      </c>
      <c r="P5" s="428" t="s">
        <v>4913</v>
      </c>
      <c r="Q5" s="428" t="s">
        <v>4913</v>
      </c>
      <c r="R5" s="255" t="s">
        <v>1737</v>
      </c>
      <c r="S5" s="255" t="s">
        <v>1737</v>
      </c>
      <c r="T5" s="425"/>
      <c r="U5" s="254" t="s">
        <v>11938</v>
      </c>
      <c r="V5" s="429" t="s">
        <v>11939</v>
      </c>
      <c r="W5" s="254" t="s">
        <v>7558</v>
      </c>
      <c r="X5" s="425" t="s">
        <v>11940</v>
      </c>
      <c r="Y5" s="425"/>
      <c r="Z5" s="425"/>
      <c r="AA5" s="254" t="s">
        <v>7558</v>
      </c>
      <c r="AB5" s="110" t="s">
        <v>4803</v>
      </c>
    </row>
    <row r="6" spans="1:28">
      <c r="A6" s="252" t="s">
        <v>11941</v>
      </c>
      <c r="B6" s="213" t="s">
        <v>11942</v>
      </c>
      <c r="C6" s="213" t="s">
        <v>11943</v>
      </c>
      <c r="D6" s="213" t="s">
        <v>11944</v>
      </c>
      <c r="E6" s="252" t="s">
        <v>1732</v>
      </c>
      <c r="F6" s="426" t="s">
        <v>11945</v>
      </c>
      <c r="G6" s="425"/>
      <c r="H6" s="426" t="s">
        <v>11946</v>
      </c>
      <c r="I6" s="427" t="s">
        <v>1736</v>
      </c>
      <c r="J6" s="428" t="s">
        <v>4913</v>
      </c>
      <c r="K6" s="428" t="s">
        <v>4913</v>
      </c>
      <c r="L6" s="428" t="s">
        <v>4913</v>
      </c>
      <c r="M6" s="428" t="s">
        <v>4913</v>
      </c>
      <c r="N6" s="428" t="s">
        <v>4913</v>
      </c>
      <c r="O6" s="428" t="s">
        <v>4913</v>
      </c>
      <c r="P6" s="428" t="s">
        <v>4913</v>
      </c>
      <c r="Q6" s="428" t="s">
        <v>4913</v>
      </c>
      <c r="R6" s="255" t="s">
        <v>1737</v>
      </c>
      <c r="S6" s="255" t="s">
        <v>1737</v>
      </c>
      <c r="T6" s="425"/>
      <c r="U6" s="254" t="s">
        <v>11947</v>
      </c>
      <c r="V6" s="425" t="s">
        <v>11948</v>
      </c>
      <c r="W6" s="254" t="s">
        <v>7558</v>
      </c>
      <c r="X6" s="425" t="s">
        <v>11949</v>
      </c>
      <c r="Y6" s="425"/>
      <c r="Z6" s="425"/>
      <c r="AA6" s="254" t="s">
        <v>7558</v>
      </c>
      <c r="AB6" s="110" t="s">
        <v>4803</v>
      </c>
    </row>
    <row r="7" spans="1:28">
      <c r="A7" s="252" t="s">
        <v>11950</v>
      </c>
      <c r="B7" s="213" t="s">
        <v>11951</v>
      </c>
      <c r="C7" s="213" t="s">
        <v>11952</v>
      </c>
      <c r="D7" s="213" t="s">
        <v>11953</v>
      </c>
      <c r="E7" s="252" t="s">
        <v>1732</v>
      </c>
      <c r="F7" s="426" t="s">
        <v>11954</v>
      </c>
      <c r="G7" s="425"/>
      <c r="H7" s="426" t="s">
        <v>11955</v>
      </c>
      <c r="I7" s="427" t="s">
        <v>1736</v>
      </c>
      <c r="J7" s="428" t="s">
        <v>4913</v>
      </c>
      <c r="K7" s="428" t="s">
        <v>4913</v>
      </c>
      <c r="L7" s="428" t="s">
        <v>4913</v>
      </c>
      <c r="M7" s="428" t="s">
        <v>4913</v>
      </c>
      <c r="N7" s="428" t="s">
        <v>4913</v>
      </c>
      <c r="O7" s="428" t="s">
        <v>4913</v>
      </c>
      <c r="P7" s="428" t="s">
        <v>4913</v>
      </c>
      <c r="Q7" s="428" t="s">
        <v>4913</v>
      </c>
      <c r="R7" s="255" t="s">
        <v>1737</v>
      </c>
      <c r="S7" s="255" t="s">
        <v>1737</v>
      </c>
      <c r="T7" s="425"/>
      <c r="U7" s="254" t="s">
        <v>11956</v>
      </c>
      <c r="V7" s="425" t="s">
        <v>11957</v>
      </c>
      <c r="W7" s="254" t="s">
        <v>7558</v>
      </c>
      <c r="X7" s="425" t="s">
        <v>11958</v>
      </c>
      <c r="Y7" s="425"/>
      <c r="Z7" s="425"/>
      <c r="AA7" s="254" t="s">
        <v>7558</v>
      </c>
      <c r="AB7" s="110" t="s">
        <v>4803</v>
      </c>
    </row>
    <row r="8" spans="1:28">
      <c r="A8" s="252" t="s">
        <v>11959</v>
      </c>
      <c r="B8" s="213" t="s">
        <v>11960</v>
      </c>
      <c r="C8" s="213" t="s">
        <v>11961</v>
      </c>
      <c r="D8" s="213" t="s">
        <v>11962</v>
      </c>
      <c r="E8" s="252" t="s">
        <v>1732</v>
      </c>
      <c r="F8" s="426" t="s">
        <v>11963</v>
      </c>
      <c r="G8" s="425"/>
      <c r="H8" s="426" t="s">
        <v>11964</v>
      </c>
      <c r="I8" s="427" t="s">
        <v>1736</v>
      </c>
      <c r="J8" s="427" t="s">
        <v>1736</v>
      </c>
      <c r="K8" s="428" t="s">
        <v>4913</v>
      </c>
      <c r="L8" s="428" t="s">
        <v>4913</v>
      </c>
      <c r="M8" s="428" t="s">
        <v>4913</v>
      </c>
      <c r="N8" s="428" t="s">
        <v>4913</v>
      </c>
      <c r="O8" s="428" t="s">
        <v>4913</v>
      </c>
      <c r="P8" s="428" t="s">
        <v>4913</v>
      </c>
      <c r="Q8" s="428" t="s">
        <v>4913</v>
      </c>
      <c r="R8" s="255" t="s">
        <v>1737</v>
      </c>
      <c r="S8" s="255" t="s">
        <v>1737</v>
      </c>
      <c r="T8" s="425"/>
      <c r="U8" s="254" t="s">
        <v>11965</v>
      </c>
      <c r="V8" s="425" t="s">
        <v>11966</v>
      </c>
      <c r="W8" s="254" t="s">
        <v>7558</v>
      </c>
      <c r="X8" s="425" t="s">
        <v>11967</v>
      </c>
      <c r="Y8" s="425"/>
      <c r="Z8" s="425"/>
      <c r="AA8" s="254" t="s">
        <v>7558</v>
      </c>
      <c r="AB8" s="110" t="s">
        <v>4803</v>
      </c>
    </row>
    <row r="9" spans="1:28">
      <c r="A9" s="252" t="s">
        <v>11968</v>
      </c>
      <c r="B9" s="213" t="s">
        <v>11969</v>
      </c>
      <c r="C9" s="213" t="s">
        <v>11970</v>
      </c>
      <c r="D9" s="213" t="s">
        <v>11971</v>
      </c>
      <c r="E9" s="252" t="s">
        <v>1732</v>
      </c>
      <c r="F9" s="426" t="s">
        <v>11972</v>
      </c>
      <c r="G9" s="425"/>
      <c r="H9" s="426" t="s">
        <v>11973</v>
      </c>
      <c r="I9" s="427" t="s">
        <v>1736</v>
      </c>
      <c r="J9" s="427" t="s">
        <v>1736</v>
      </c>
      <c r="K9" s="428" t="s">
        <v>4913</v>
      </c>
      <c r="L9" s="428" t="s">
        <v>4913</v>
      </c>
      <c r="M9" s="428" t="s">
        <v>4913</v>
      </c>
      <c r="N9" s="428" t="s">
        <v>4913</v>
      </c>
      <c r="O9" s="428" t="s">
        <v>4913</v>
      </c>
      <c r="P9" s="428" t="s">
        <v>4913</v>
      </c>
      <c r="Q9" s="428" t="s">
        <v>4913</v>
      </c>
      <c r="R9" s="255" t="s">
        <v>1737</v>
      </c>
      <c r="S9" s="255" t="s">
        <v>1737</v>
      </c>
      <c r="T9" s="425"/>
      <c r="U9" s="254" t="s">
        <v>7529</v>
      </c>
      <c r="V9" s="425" t="s">
        <v>11974</v>
      </c>
      <c r="W9" s="254" t="s">
        <v>7558</v>
      </c>
      <c r="X9" s="425" t="s">
        <v>11975</v>
      </c>
      <c r="Y9" s="425"/>
      <c r="Z9" s="425"/>
      <c r="AA9" s="254" t="s">
        <v>7558</v>
      </c>
      <c r="AB9" s="110" t="s">
        <v>4803</v>
      </c>
    </row>
    <row r="10" spans="1:28">
      <c r="A10" s="252" t="s">
        <v>11976</v>
      </c>
      <c r="B10" s="213" t="s">
        <v>11977</v>
      </c>
      <c r="C10" s="213" t="s">
        <v>11978</v>
      </c>
      <c r="D10" s="213" t="s">
        <v>11979</v>
      </c>
      <c r="E10" s="252" t="s">
        <v>1732</v>
      </c>
      <c r="F10" s="426" t="s">
        <v>11980</v>
      </c>
      <c r="G10" s="425"/>
      <c r="H10" s="426" t="s">
        <v>11981</v>
      </c>
      <c r="I10" s="427" t="s">
        <v>1736</v>
      </c>
      <c r="J10" s="428" t="s">
        <v>4913</v>
      </c>
      <c r="K10" s="428" t="s">
        <v>4913</v>
      </c>
      <c r="L10" s="428" t="s">
        <v>4913</v>
      </c>
      <c r="M10" s="428" t="s">
        <v>4913</v>
      </c>
      <c r="N10" s="428" t="s">
        <v>4913</v>
      </c>
      <c r="O10" s="428" t="s">
        <v>4913</v>
      </c>
      <c r="P10" s="428" t="s">
        <v>4913</v>
      </c>
      <c r="Q10" s="428" t="s">
        <v>4913</v>
      </c>
      <c r="R10" s="255" t="s">
        <v>1737</v>
      </c>
      <c r="S10" s="255" t="s">
        <v>1737</v>
      </c>
      <c r="T10" s="425"/>
      <c r="U10" s="254" t="s">
        <v>11982</v>
      </c>
      <c r="V10" s="252" t="s">
        <v>11983</v>
      </c>
      <c r="W10" s="254" t="s">
        <v>7558</v>
      </c>
      <c r="X10" s="425" t="s">
        <v>11984</v>
      </c>
      <c r="Y10" s="425"/>
      <c r="Z10" s="425"/>
      <c r="AA10" s="254" t="s">
        <v>7558</v>
      </c>
      <c r="AB10" s="110" t="s">
        <v>4803</v>
      </c>
    </row>
    <row r="11" spans="1:28">
      <c r="A11" s="252" t="s">
        <v>11985</v>
      </c>
      <c r="B11" s="213" t="s">
        <v>11986</v>
      </c>
      <c r="C11" s="213" t="s">
        <v>11987</v>
      </c>
      <c r="D11" s="213" t="s">
        <v>11988</v>
      </c>
      <c r="E11" s="252" t="s">
        <v>1732</v>
      </c>
      <c r="F11" s="426" t="s">
        <v>11980</v>
      </c>
      <c r="G11" s="425"/>
      <c r="H11" s="426" t="s">
        <v>11989</v>
      </c>
      <c r="I11" s="427" t="s">
        <v>1736</v>
      </c>
      <c r="J11" s="428" t="s">
        <v>4913</v>
      </c>
      <c r="K11" s="428" t="s">
        <v>4913</v>
      </c>
      <c r="L11" s="428" t="s">
        <v>4913</v>
      </c>
      <c r="M11" s="428" t="s">
        <v>4913</v>
      </c>
      <c r="N11" s="428" t="s">
        <v>4913</v>
      </c>
      <c r="O11" s="428" t="s">
        <v>4913</v>
      </c>
      <c r="P11" s="428" t="s">
        <v>4913</v>
      </c>
      <c r="Q11" s="428" t="s">
        <v>4913</v>
      </c>
      <c r="R11" s="255" t="s">
        <v>1737</v>
      </c>
      <c r="S11" s="255" t="s">
        <v>1737</v>
      </c>
      <c r="T11" s="425"/>
      <c r="U11" s="254" t="s">
        <v>7452</v>
      </c>
      <c r="V11" s="425" t="s">
        <v>11990</v>
      </c>
      <c r="W11" s="254" t="s">
        <v>7558</v>
      </c>
      <c r="X11" s="425" t="s">
        <v>11991</v>
      </c>
      <c r="Y11" s="425"/>
      <c r="Z11" s="425"/>
      <c r="AA11" s="254" t="s">
        <v>7558</v>
      </c>
      <c r="AB11" s="110" t="s">
        <v>4803</v>
      </c>
    </row>
    <row r="12" spans="1:28">
      <c r="A12" s="252" t="s">
        <v>11992</v>
      </c>
      <c r="B12" s="213" t="s">
        <v>11993</v>
      </c>
      <c r="C12" s="213" t="s">
        <v>11994</v>
      </c>
      <c r="D12" s="213" t="s">
        <v>11995</v>
      </c>
      <c r="E12" s="252" t="s">
        <v>1732</v>
      </c>
      <c r="F12" s="426" t="s">
        <v>11996</v>
      </c>
      <c r="G12" s="425"/>
      <c r="H12" s="426" t="s">
        <v>11997</v>
      </c>
      <c r="I12" s="427" t="s">
        <v>1736</v>
      </c>
      <c r="J12" s="428" t="s">
        <v>4913</v>
      </c>
      <c r="K12" s="428" t="s">
        <v>4913</v>
      </c>
      <c r="L12" s="428" t="s">
        <v>4913</v>
      </c>
      <c r="M12" s="428" t="s">
        <v>4913</v>
      </c>
      <c r="N12" s="428" t="s">
        <v>4913</v>
      </c>
      <c r="O12" s="428" t="s">
        <v>4913</v>
      </c>
      <c r="P12" s="428" t="s">
        <v>4913</v>
      </c>
      <c r="Q12" s="428" t="s">
        <v>4913</v>
      </c>
      <c r="R12" s="255" t="s">
        <v>1737</v>
      </c>
      <c r="S12" s="255" t="s">
        <v>1737</v>
      </c>
      <c r="T12" s="425"/>
      <c r="U12" s="254" t="s">
        <v>11998</v>
      </c>
      <c r="V12" s="425" t="s">
        <v>11999</v>
      </c>
      <c r="W12" s="254" t="s">
        <v>7558</v>
      </c>
      <c r="X12" s="425" t="s">
        <v>12000</v>
      </c>
      <c r="Y12" s="425"/>
      <c r="Z12" s="425"/>
      <c r="AA12" s="254" t="s">
        <v>7558</v>
      </c>
      <c r="AB12" s="110" t="s">
        <v>4803</v>
      </c>
    </row>
    <row r="13" spans="1:28">
      <c r="A13" s="252" t="s">
        <v>12001</v>
      </c>
      <c r="B13" s="213" t="s">
        <v>12002</v>
      </c>
      <c r="C13" s="213" t="s">
        <v>12003</v>
      </c>
      <c r="D13" s="213" t="s">
        <v>12004</v>
      </c>
      <c r="E13" s="252" t="s">
        <v>1732</v>
      </c>
      <c r="F13" s="426" t="s">
        <v>12005</v>
      </c>
      <c r="G13" s="425"/>
      <c r="H13" s="426" t="s">
        <v>12006</v>
      </c>
      <c r="I13" s="427" t="s">
        <v>1736</v>
      </c>
      <c r="J13" s="427" t="s">
        <v>1736</v>
      </c>
      <c r="K13" s="428" t="s">
        <v>4913</v>
      </c>
      <c r="L13" s="428" t="s">
        <v>4913</v>
      </c>
      <c r="M13" s="428" t="s">
        <v>4913</v>
      </c>
      <c r="N13" s="428" t="s">
        <v>4913</v>
      </c>
      <c r="O13" s="428" t="s">
        <v>4913</v>
      </c>
      <c r="P13" s="428" t="s">
        <v>4913</v>
      </c>
      <c r="Q13" s="428" t="s">
        <v>4913</v>
      </c>
      <c r="R13" s="255" t="s">
        <v>1737</v>
      </c>
      <c r="S13" s="255" t="s">
        <v>1737</v>
      </c>
      <c r="T13" s="425"/>
      <c r="U13" s="254" t="s">
        <v>7452</v>
      </c>
      <c r="V13" s="425" t="s">
        <v>12007</v>
      </c>
      <c r="W13" s="430" t="s">
        <v>7751</v>
      </c>
      <c r="X13" s="425" t="s">
        <v>12008</v>
      </c>
      <c r="Y13" s="425"/>
      <c r="Z13" s="425"/>
      <c r="AA13" s="430" t="s">
        <v>7751</v>
      </c>
      <c r="AB13" s="110" t="s">
        <v>4803</v>
      </c>
    </row>
    <row r="14" spans="1:28">
      <c r="A14" s="252" t="s">
        <v>12009</v>
      </c>
      <c r="B14" s="213" t="s">
        <v>12010</v>
      </c>
      <c r="C14" s="213" t="s">
        <v>12011</v>
      </c>
      <c r="D14" s="213" t="s">
        <v>12012</v>
      </c>
      <c r="E14" s="252" t="s">
        <v>1732</v>
      </c>
      <c r="F14" s="426" t="s">
        <v>12013</v>
      </c>
      <c r="G14" s="425"/>
      <c r="H14" s="426" t="s">
        <v>12014</v>
      </c>
      <c r="I14" s="427" t="s">
        <v>1736</v>
      </c>
      <c r="J14" s="427" t="s">
        <v>1736</v>
      </c>
      <c r="K14" s="428" t="s">
        <v>4913</v>
      </c>
      <c r="L14" s="428" t="s">
        <v>4913</v>
      </c>
      <c r="M14" s="428" t="s">
        <v>4913</v>
      </c>
      <c r="N14" s="428" t="s">
        <v>4913</v>
      </c>
      <c r="O14" s="428" t="s">
        <v>4913</v>
      </c>
      <c r="P14" s="428" t="s">
        <v>4913</v>
      </c>
      <c r="Q14" s="428" t="s">
        <v>4913</v>
      </c>
      <c r="R14" s="255" t="s">
        <v>1737</v>
      </c>
      <c r="S14" s="255" t="s">
        <v>1737</v>
      </c>
      <c r="T14" s="425"/>
      <c r="U14" s="254" t="s">
        <v>7529</v>
      </c>
      <c r="V14" s="425" t="s">
        <v>12015</v>
      </c>
      <c r="W14" s="431" t="s">
        <v>7751</v>
      </c>
      <c r="X14" s="425" t="s">
        <v>12016</v>
      </c>
      <c r="Y14" s="425"/>
      <c r="Z14" s="425"/>
      <c r="AA14" s="431" t="s">
        <v>7751</v>
      </c>
      <c r="AB14" s="110" t="s">
        <v>4803</v>
      </c>
    </row>
    <row r="15" spans="1:28">
      <c r="A15" s="252" t="s">
        <v>12017</v>
      </c>
      <c r="B15" s="213" t="s">
        <v>12018</v>
      </c>
      <c r="C15" s="213" t="s">
        <v>12019</v>
      </c>
      <c r="D15" s="213" t="s">
        <v>12020</v>
      </c>
      <c r="E15" s="252" t="s">
        <v>1732</v>
      </c>
      <c r="F15" s="426" t="s">
        <v>12021</v>
      </c>
      <c r="G15" s="425"/>
      <c r="H15" s="426" t="s">
        <v>12022</v>
      </c>
      <c r="I15" s="427" t="s">
        <v>1736</v>
      </c>
      <c r="J15" s="428" t="s">
        <v>4913</v>
      </c>
      <c r="K15" s="428" t="s">
        <v>4913</v>
      </c>
      <c r="L15" s="428" t="s">
        <v>4913</v>
      </c>
      <c r="M15" s="428" t="s">
        <v>4913</v>
      </c>
      <c r="N15" s="428" t="s">
        <v>4913</v>
      </c>
      <c r="O15" s="428" t="s">
        <v>4913</v>
      </c>
      <c r="P15" s="428" t="s">
        <v>4913</v>
      </c>
      <c r="Q15" s="428" t="s">
        <v>4913</v>
      </c>
      <c r="R15" s="255" t="s">
        <v>1737</v>
      </c>
      <c r="S15" s="255" t="s">
        <v>1737</v>
      </c>
      <c r="T15" s="425"/>
      <c r="U15" s="254" t="s">
        <v>7470</v>
      </c>
      <c r="V15" s="425" t="s">
        <v>12023</v>
      </c>
      <c r="W15" s="431" t="s">
        <v>7751</v>
      </c>
      <c r="X15" s="425" t="s">
        <v>12024</v>
      </c>
      <c r="Y15" s="425"/>
      <c r="Z15" s="425"/>
      <c r="AA15" s="431" t="s">
        <v>7751</v>
      </c>
      <c r="AB15" s="110" t="s">
        <v>4803</v>
      </c>
    </row>
    <row r="16" spans="1:28">
      <c r="A16" s="252" t="s">
        <v>12025</v>
      </c>
      <c r="B16" s="213" t="s">
        <v>12026</v>
      </c>
      <c r="C16" s="213" t="s">
        <v>12027</v>
      </c>
      <c r="D16" s="213" t="s">
        <v>12028</v>
      </c>
      <c r="E16" s="252" t="s">
        <v>1732</v>
      </c>
      <c r="F16" s="426" t="s">
        <v>12021</v>
      </c>
      <c r="G16" s="425"/>
      <c r="H16" s="426" t="s">
        <v>12029</v>
      </c>
      <c r="I16" s="427" t="s">
        <v>1736</v>
      </c>
      <c r="J16" s="428" t="s">
        <v>4913</v>
      </c>
      <c r="K16" s="428" t="s">
        <v>4913</v>
      </c>
      <c r="L16" s="428" t="s">
        <v>4913</v>
      </c>
      <c r="M16" s="428" t="s">
        <v>4913</v>
      </c>
      <c r="N16" s="428" t="s">
        <v>4913</v>
      </c>
      <c r="O16" s="428" t="s">
        <v>4913</v>
      </c>
      <c r="P16" s="428" t="s">
        <v>4913</v>
      </c>
      <c r="Q16" s="428" t="s">
        <v>4913</v>
      </c>
      <c r="R16" s="255" t="s">
        <v>1737</v>
      </c>
      <c r="S16" s="255" t="s">
        <v>1737</v>
      </c>
      <c r="T16" s="425"/>
      <c r="U16" s="254" t="s">
        <v>7470</v>
      </c>
      <c r="V16" s="425" t="s">
        <v>12030</v>
      </c>
      <c r="W16" s="431" t="s">
        <v>7751</v>
      </c>
      <c r="X16" s="425" t="s">
        <v>12031</v>
      </c>
      <c r="Y16" s="425"/>
      <c r="Z16" s="425"/>
      <c r="AA16" s="431" t="s">
        <v>7751</v>
      </c>
      <c r="AB16" s="110" t="s">
        <v>4803</v>
      </c>
    </row>
    <row r="17" spans="1:28">
      <c r="A17" s="252" t="s">
        <v>12032</v>
      </c>
      <c r="B17" s="213" t="s">
        <v>12033</v>
      </c>
      <c r="C17" s="213" t="s">
        <v>12034</v>
      </c>
      <c r="D17" s="213" t="s">
        <v>12035</v>
      </c>
      <c r="E17" s="252" t="s">
        <v>1732</v>
      </c>
      <c r="F17" s="426" t="s">
        <v>12036</v>
      </c>
      <c r="G17" s="425"/>
      <c r="H17" s="426" t="s">
        <v>12037</v>
      </c>
      <c r="I17" s="427" t="s">
        <v>1736</v>
      </c>
      <c r="J17" s="428" t="s">
        <v>4913</v>
      </c>
      <c r="K17" s="428" t="s">
        <v>4913</v>
      </c>
      <c r="L17" s="428" t="s">
        <v>4913</v>
      </c>
      <c r="M17" s="428" t="s">
        <v>4913</v>
      </c>
      <c r="N17" s="428" t="s">
        <v>4913</v>
      </c>
      <c r="O17" s="428" t="s">
        <v>4913</v>
      </c>
      <c r="P17" s="428" t="s">
        <v>4913</v>
      </c>
      <c r="Q17" s="428" t="s">
        <v>4913</v>
      </c>
      <c r="R17" s="255" t="s">
        <v>1737</v>
      </c>
      <c r="S17" s="255" t="s">
        <v>1737</v>
      </c>
      <c r="T17" s="425"/>
      <c r="U17" s="254" t="s">
        <v>7470</v>
      </c>
      <c r="V17" s="425" t="s">
        <v>12038</v>
      </c>
      <c r="W17" s="431" t="s">
        <v>7751</v>
      </c>
      <c r="X17" s="425" t="s">
        <v>12039</v>
      </c>
      <c r="Y17" s="425"/>
      <c r="Z17" s="425"/>
      <c r="AA17" s="431" t="s">
        <v>7751</v>
      </c>
      <c r="AB17" s="110" t="s">
        <v>4803</v>
      </c>
    </row>
    <row r="18" spans="1:28">
      <c r="A18" s="252" t="s">
        <v>12040</v>
      </c>
      <c r="B18" s="213" t="s">
        <v>12041</v>
      </c>
      <c r="C18" s="213" t="s">
        <v>12042</v>
      </c>
      <c r="D18" s="213" t="s">
        <v>12043</v>
      </c>
      <c r="E18" s="252" t="s">
        <v>1732</v>
      </c>
      <c r="F18" s="426" t="s">
        <v>12044</v>
      </c>
      <c r="G18" s="425"/>
      <c r="H18" s="426" t="s">
        <v>12045</v>
      </c>
      <c r="I18" s="427" t="s">
        <v>1736</v>
      </c>
      <c r="J18" s="427" t="s">
        <v>1736</v>
      </c>
      <c r="K18" s="428" t="s">
        <v>4913</v>
      </c>
      <c r="L18" s="428" t="s">
        <v>4913</v>
      </c>
      <c r="M18" s="428" t="s">
        <v>4913</v>
      </c>
      <c r="N18" s="428" t="s">
        <v>4913</v>
      </c>
      <c r="O18" s="428" t="s">
        <v>4913</v>
      </c>
      <c r="P18" s="428" t="s">
        <v>4913</v>
      </c>
      <c r="Q18" s="428" t="s">
        <v>4913</v>
      </c>
      <c r="R18" s="255" t="s">
        <v>1737</v>
      </c>
      <c r="S18" s="255" t="s">
        <v>1737</v>
      </c>
      <c r="T18" s="425"/>
      <c r="U18" s="254" t="s">
        <v>7470</v>
      </c>
      <c r="V18" s="425" t="s">
        <v>12046</v>
      </c>
      <c r="W18" s="431" t="s">
        <v>7751</v>
      </c>
      <c r="X18" s="425" t="s">
        <v>12047</v>
      </c>
      <c r="Y18" s="425"/>
      <c r="Z18" s="425"/>
      <c r="AA18" s="431" t="s">
        <v>7751</v>
      </c>
      <c r="AB18" s="110" t="s">
        <v>4803</v>
      </c>
    </row>
    <row r="19" spans="1:28">
      <c r="A19" s="252" t="s">
        <v>12048</v>
      </c>
      <c r="B19" s="213" t="s">
        <v>12049</v>
      </c>
      <c r="C19" s="213" t="s">
        <v>12050</v>
      </c>
      <c r="D19" s="213" t="s">
        <v>12051</v>
      </c>
      <c r="E19" s="252" t="s">
        <v>1732</v>
      </c>
      <c r="F19" s="426" t="s">
        <v>12052</v>
      </c>
      <c r="G19" s="425"/>
      <c r="H19" s="426" t="s">
        <v>12053</v>
      </c>
      <c r="I19" s="427" t="s">
        <v>1736</v>
      </c>
      <c r="J19" s="427" t="s">
        <v>1736</v>
      </c>
      <c r="K19" s="428" t="s">
        <v>4913</v>
      </c>
      <c r="L19" s="428" t="s">
        <v>4913</v>
      </c>
      <c r="M19" s="428" t="s">
        <v>4913</v>
      </c>
      <c r="N19" s="428" t="s">
        <v>4913</v>
      </c>
      <c r="O19" s="428" t="s">
        <v>4913</v>
      </c>
      <c r="P19" s="428" t="s">
        <v>4913</v>
      </c>
      <c r="Q19" s="428" t="s">
        <v>4913</v>
      </c>
      <c r="R19" s="255" t="s">
        <v>1737</v>
      </c>
      <c r="S19" s="255" t="s">
        <v>1737</v>
      </c>
      <c r="T19" s="425"/>
      <c r="U19" s="254" t="s">
        <v>7529</v>
      </c>
      <c r="V19" s="425" t="s">
        <v>12054</v>
      </c>
      <c r="W19" s="431" t="s">
        <v>7751</v>
      </c>
      <c r="X19" s="425" t="s">
        <v>12055</v>
      </c>
      <c r="Y19" s="425"/>
      <c r="Z19" s="425"/>
      <c r="AA19" s="431" t="s">
        <v>7751</v>
      </c>
      <c r="AB19" s="110" t="s">
        <v>4803</v>
      </c>
    </row>
    <row r="20" spans="1:28">
      <c r="A20" s="252" t="s">
        <v>12056</v>
      </c>
      <c r="B20" s="213" t="s">
        <v>12057</v>
      </c>
      <c r="C20" s="213" t="s">
        <v>12058</v>
      </c>
      <c r="D20" s="213" t="s">
        <v>12059</v>
      </c>
      <c r="E20" s="252" t="s">
        <v>1732</v>
      </c>
      <c r="F20" s="426" t="s">
        <v>12060</v>
      </c>
      <c r="G20" s="425"/>
      <c r="H20" s="426" t="s">
        <v>12061</v>
      </c>
      <c r="I20" s="427" t="s">
        <v>1736</v>
      </c>
      <c r="J20" s="428" t="s">
        <v>4913</v>
      </c>
      <c r="K20" s="428" t="s">
        <v>4913</v>
      </c>
      <c r="L20" s="428" t="s">
        <v>4913</v>
      </c>
      <c r="M20" s="428" t="s">
        <v>4913</v>
      </c>
      <c r="N20" s="428" t="s">
        <v>4913</v>
      </c>
      <c r="O20" s="428" t="s">
        <v>4913</v>
      </c>
      <c r="P20" s="428" t="s">
        <v>4913</v>
      </c>
      <c r="Q20" s="428" t="s">
        <v>4913</v>
      </c>
      <c r="R20" s="255" t="s">
        <v>1737</v>
      </c>
      <c r="S20" s="255" t="s">
        <v>1737</v>
      </c>
      <c r="T20" s="425"/>
      <c r="U20" s="254" t="s">
        <v>7519</v>
      </c>
      <c r="V20" s="425" t="s">
        <v>12062</v>
      </c>
      <c r="W20" s="431" t="s">
        <v>7751</v>
      </c>
      <c r="X20" s="425" t="s">
        <v>12063</v>
      </c>
      <c r="Y20" s="425"/>
      <c r="Z20" s="425"/>
      <c r="AA20" s="431" t="s">
        <v>7751</v>
      </c>
      <c r="AB20" s="110" t="s">
        <v>4803</v>
      </c>
    </row>
    <row r="21" spans="1:28">
      <c r="A21" s="252" t="s">
        <v>12064</v>
      </c>
      <c r="B21" s="213" t="s">
        <v>12065</v>
      </c>
      <c r="C21" s="213" t="s">
        <v>12066</v>
      </c>
      <c r="D21" s="213" t="s">
        <v>12067</v>
      </c>
      <c r="E21" s="366"/>
      <c r="F21" s="426" t="s">
        <v>12068</v>
      </c>
      <c r="G21" s="425"/>
      <c r="H21" s="426" t="s">
        <v>12069</v>
      </c>
      <c r="I21" s="427" t="s">
        <v>1736</v>
      </c>
      <c r="J21" s="428" t="s">
        <v>4913</v>
      </c>
      <c r="K21" s="428" t="s">
        <v>4913</v>
      </c>
      <c r="L21" s="428" t="s">
        <v>4913</v>
      </c>
      <c r="M21" s="428" t="s">
        <v>4913</v>
      </c>
      <c r="N21" s="428" t="s">
        <v>4913</v>
      </c>
      <c r="O21" s="428" t="s">
        <v>4913</v>
      </c>
      <c r="P21" s="428" t="s">
        <v>4913</v>
      </c>
      <c r="Q21" s="428" t="s">
        <v>4913</v>
      </c>
      <c r="R21" s="255" t="s">
        <v>1737</v>
      </c>
      <c r="S21" s="255" t="s">
        <v>1737</v>
      </c>
      <c r="T21" s="425"/>
      <c r="U21" s="254" t="s">
        <v>7519</v>
      </c>
      <c r="V21" s="425" t="s">
        <v>12070</v>
      </c>
      <c r="W21" s="431" t="s">
        <v>7751</v>
      </c>
      <c r="X21" s="425" t="s">
        <v>12071</v>
      </c>
      <c r="Y21" s="425"/>
      <c r="Z21" s="425"/>
      <c r="AA21" s="431" t="s">
        <v>7751</v>
      </c>
      <c r="AB21" s="110" t="s">
        <v>4803</v>
      </c>
    </row>
    <row r="22" spans="1:28">
      <c r="A22" s="252" t="s">
        <v>12072</v>
      </c>
      <c r="B22" s="213" t="s">
        <v>12073</v>
      </c>
      <c r="C22" s="213" t="s">
        <v>12074</v>
      </c>
      <c r="D22" s="213" t="s">
        <v>12075</v>
      </c>
      <c r="E22" s="252" t="s">
        <v>1732</v>
      </c>
      <c r="F22" s="426" t="s">
        <v>12076</v>
      </c>
      <c r="G22" s="425"/>
      <c r="H22" s="426" t="s">
        <v>12077</v>
      </c>
      <c r="I22" s="427" t="s">
        <v>1736</v>
      </c>
      <c r="J22" s="428" t="s">
        <v>4913</v>
      </c>
      <c r="K22" s="428" t="s">
        <v>4913</v>
      </c>
      <c r="L22" s="428" t="s">
        <v>4913</v>
      </c>
      <c r="M22" s="428" t="s">
        <v>4913</v>
      </c>
      <c r="N22" s="428" t="s">
        <v>4913</v>
      </c>
      <c r="O22" s="428" t="s">
        <v>4913</v>
      </c>
      <c r="P22" s="428" t="s">
        <v>4913</v>
      </c>
      <c r="Q22" s="428" t="s">
        <v>4913</v>
      </c>
      <c r="R22" s="255" t="s">
        <v>1737</v>
      </c>
      <c r="S22" s="255" t="s">
        <v>1737</v>
      </c>
      <c r="T22" s="425"/>
      <c r="U22" s="254" t="s">
        <v>7519</v>
      </c>
      <c r="V22" s="425" t="s">
        <v>12078</v>
      </c>
      <c r="W22" s="431" t="s">
        <v>7751</v>
      </c>
      <c r="X22" s="425" t="s">
        <v>12079</v>
      </c>
      <c r="Y22" s="425"/>
      <c r="Z22" s="425"/>
      <c r="AA22" s="431" t="s">
        <v>7751</v>
      </c>
      <c r="AB22" s="110" t="s">
        <v>4803</v>
      </c>
    </row>
    <row r="23" spans="1:28">
      <c r="A23" s="703" t="s">
        <v>12080</v>
      </c>
      <c r="B23" s="213" t="s">
        <v>12081</v>
      </c>
      <c r="C23" s="213" t="s">
        <v>12082</v>
      </c>
      <c r="D23" s="213" t="s">
        <v>12083</v>
      </c>
      <c r="E23" s="252" t="s">
        <v>1732</v>
      </c>
      <c r="F23" s="426" t="s">
        <v>12084</v>
      </c>
      <c r="G23" s="425"/>
      <c r="H23" s="426" t="s">
        <v>12085</v>
      </c>
      <c r="I23" s="427" t="s">
        <v>1736</v>
      </c>
      <c r="J23" s="428" t="s">
        <v>4913</v>
      </c>
      <c r="K23" s="428" t="s">
        <v>4913</v>
      </c>
      <c r="L23" s="428" t="s">
        <v>4913</v>
      </c>
      <c r="M23" s="428" t="s">
        <v>4913</v>
      </c>
      <c r="N23" s="428" t="s">
        <v>4913</v>
      </c>
      <c r="O23" s="428" t="s">
        <v>4913</v>
      </c>
      <c r="P23" s="428" t="s">
        <v>4913</v>
      </c>
      <c r="Q23" s="428" t="s">
        <v>4913</v>
      </c>
      <c r="R23" s="255" t="s">
        <v>1737</v>
      </c>
      <c r="S23" s="255" t="s">
        <v>1737</v>
      </c>
      <c r="T23" s="425"/>
      <c r="U23" s="254" t="s">
        <v>7692</v>
      </c>
      <c r="V23" s="425" t="s">
        <v>12086</v>
      </c>
      <c r="W23" s="254" t="s">
        <v>7536</v>
      </c>
      <c r="X23" s="425" t="s">
        <v>12087</v>
      </c>
      <c r="Y23" s="425"/>
      <c r="Z23" s="425"/>
      <c r="AA23" s="254" t="s">
        <v>7536</v>
      </c>
      <c r="AB23" s="110" t="s">
        <v>4803</v>
      </c>
    </row>
    <row r="24" spans="1:28">
      <c r="A24" s="774"/>
      <c r="B24" s="213" t="s">
        <v>12088</v>
      </c>
      <c r="C24" s="213" t="s">
        <v>12082</v>
      </c>
      <c r="D24" s="213" t="s">
        <v>12089</v>
      </c>
      <c r="E24" s="252" t="s">
        <v>1732</v>
      </c>
      <c r="F24" s="426" t="s">
        <v>12090</v>
      </c>
      <c r="G24" s="425"/>
      <c r="H24" s="426" t="s">
        <v>12091</v>
      </c>
      <c r="I24" s="427" t="s">
        <v>1736</v>
      </c>
      <c r="J24" s="428" t="s">
        <v>4913</v>
      </c>
      <c r="K24" s="428" t="s">
        <v>4913</v>
      </c>
      <c r="L24" s="428" t="s">
        <v>4913</v>
      </c>
      <c r="M24" s="428" t="s">
        <v>4913</v>
      </c>
      <c r="N24" s="428" t="s">
        <v>4913</v>
      </c>
      <c r="O24" s="428" t="s">
        <v>4913</v>
      </c>
      <c r="P24" s="428" t="s">
        <v>4913</v>
      </c>
      <c r="Q24" s="428" t="s">
        <v>4913</v>
      </c>
      <c r="R24" s="255" t="s">
        <v>1737</v>
      </c>
      <c r="S24" s="255" t="s">
        <v>1737</v>
      </c>
      <c r="T24" s="425"/>
      <c r="U24" s="254" t="s">
        <v>7692</v>
      </c>
      <c r="V24" s="425" t="s">
        <v>12092</v>
      </c>
      <c r="W24" s="254" t="s">
        <v>7536</v>
      </c>
      <c r="X24" s="425" t="s">
        <v>12093</v>
      </c>
      <c r="Y24" s="425"/>
      <c r="Z24" s="425"/>
      <c r="AA24" s="254" t="s">
        <v>7536</v>
      </c>
      <c r="AB24" s="110" t="s">
        <v>4803</v>
      </c>
    </row>
    <row r="25" spans="1:28">
      <c r="A25" s="773"/>
      <c r="B25" s="213" t="s">
        <v>12094</v>
      </c>
      <c r="C25" s="213" t="s">
        <v>12082</v>
      </c>
      <c r="D25" s="213" t="s">
        <v>12095</v>
      </c>
      <c r="E25" s="252" t="s">
        <v>1732</v>
      </c>
      <c r="F25" s="426" t="s">
        <v>12096</v>
      </c>
      <c r="G25" s="425"/>
      <c r="H25" s="426" t="s">
        <v>12097</v>
      </c>
      <c r="I25" s="427" t="s">
        <v>1736</v>
      </c>
      <c r="J25" s="428" t="s">
        <v>4913</v>
      </c>
      <c r="K25" s="428" t="s">
        <v>4913</v>
      </c>
      <c r="L25" s="428" t="s">
        <v>4913</v>
      </c>
      <c r="M25" s="428" t="s">
        <v>4913</v>
      </c>
      <c r="N25" s="428" t="s">
        <v>4913</v>
      </c>
      <c r="O25" s="428" t="s">
        <v>4913</v>
      </c>
      <c r="P25" s="428" t="s">
        <v>4913</v>
      </c>
      <c r="Q25" s="428" t="s">
        <v>4913</v>
      </c>
      <c r="R25" s="255" t="s">
        <v>1737</v>
      </c>
      <c r="S25" s="255" t="s">
        <v>1737</v>
      </c>
      <c r="T25" s="425"/>
      <c r="U25" s="254" t="s">
        <v>7692</v>
      </c>
      <c r="V25" s="425" t="s">
        <v>12098</v>
      </c>
      <c r="W25" s="254" t="s">
        <v>7536</v>
      </c>
      <c r="X25" s="425" t="s">
        <v>12099</v>
      </c>
      <c r="Y25" s="425"/>
      <c r="Z25" s="425"/>
      <c r="AA25" s="254" t="s">
        <v>7536</v>
      </c>
      <c r="AB25" s="110" t="s">
        <v>4803</v>
      </c>
    </row>
    <row r="26" spans="1:28">
      <c r="A26" s="252" t="s">
        <v>12100</v>
      </c>
      <c r="B26" s="213" t="s">
        <v>12101</v>
      </c>
      <c r="C26" s="213" t="s">
        <v>12102</v>
      </c>
      <c r="D26" s="213" t="s">
        <v>12103</v>
      </c>
      <c r="E26" s="252" t="s">
        <v>1732</v>
      </c>
      <c r="F26" s="426" t="s">
        <v>12104</v>
      </c>
      <c r="G26" s="425"/>
      <c r="H26" s="426" t="s">
        <v>12105</v>
      </c>
      <c r="I26" s="427" t="s">
        <v>1736</v>
      </c>
      <c r="J26" s="427" t="s">
        <v>1736</v>
      </c>
      <c r="K26" s="428" t="s">
        <v>4913</v>
      </c>
      <c r="L26" s="428" t="s">
        <v>4913</v>
      </c>
      <c r="M26" s="428" t="s">
        <v>4913</v>
      </c>
      <c r="N26" s="428" t="s">
        <v>4913</v>
      </c>
      <c r="O26" s="428" t="s">
        <v>4913</v>
      </c>
      <c r="P26" s="428" t="s">
        <v>4913</v>
      </c>
      <c r="Q26" s="428" t="s">
        <v>4913</v>
      </c>
      <c r="R26" s="255" t="s">
        <v>1737</v>
      </c>
      <c r="S26" s="255" t="s">
        <v>1737</v>
      </c>
      <c r="T26" s="425"/>
      <c r="U26" s="254" t="s">
        <v>7705</v>
      </c>
      <c r="V26" s="425" t="s">
        <v>12106</v>
      </c>
      <c r="W26" s="254" t="s">
        <v>7536</v>
      </c>
      <c r="X26" s="425" t="s">
        <v>12107</v>
      </c>
      <c r="Y26" s="425"/>
      <c r="Z26" s="425"/>
      <c r="AA26" s="254" t="s">
        <v>7536</v>
      </c>
      <c r="AB26" s="110" t="s">
        <v>4803</v>
      </c>
    </row>
    <row r="27" spans="1:28">
      <c r="A27" s="252" t="s">
        <v>12108</v>
      </c>
      <c r="B27" s="213" t="s">
        <v>12109</v>
      </c>
      <c r="C27" s="213" t="s">
        <v>12110</v>
      </c>
      <c r="D27" s="213" t="s">
        <v>12111</v>
      </c>
      <c r="E27" s="252" t="s">
        <v>1732</v>
      </c>
      <c r="F27" s="426" t="s">
        <v>11919</v>
      </c>
      <c r="G27" s="425"/>
      <c r="H27" s="426" t="s">
        <v>12112</v>
      </c>
      <c r="I27" s="427" t="s">
        <v>1736</v>
      </c>
      <c r="J27" s="428" t="s">
        <v>4913</v>
      </c>
      <c r="K27" s="428" t="s">
        <v>4913</v>
      </c>
      <c r="L27" s="428" t="s">
        <v>4913</v>
      </c>
      <c r="M27" s="428" t="s">
        <v>4913</v>
      </c>
      <c r="N27" s="428" t="s">
        <v>4913</v>
      </c>
      <c r="O27" s="428" t="s">
        <v>4913</v>
      </c>
      <c r="P27" s="428" t="s">
        <v>4913</v>
      </c>
      <c r="Q27" s="428" t="s">
        <v>4913</v>
      </c>
      <c r="R27" s="255" t="s">
        <v>1737</v>
      </c>
      <c r="S27" s="255" t="s">
        <v>1737</v>
      </c>
      <c r="T27" s="254"/>
      <c r="U27" s="254" t="s">
        <v>10847</v>
      </c>
      <c r="V27" s="253" t="s">
        <v>12113</v>
      </c>
      <c r="W27" s="254" t="s">
        <v>7536</v>
      </c>
      <c r="X27" s="425" t="s">
        <v>12114</v>
      </c>
      <c r="Y27" s="425"/>
      <c r="Z27" s="425"/>
      <c r="AA27" s="254" t="s">
        <v>7536</v>
      </c>
      <c r="AB27" s="110" t="s">
        <v>4803</v>
      </c>
    </row>
    <row r="28" spans="1:28">
      <c r="A28" s="252" t="s">
        <v>12115</v>
      </c>
      <c r="B28" s="213" t="s">
        <v>12116</v>
      </c>
      <c r="C28" s="213" t="s">
        <v>12117</v>
      </c>
      <c r="D28" s="213" t="s">
        <v>12118</v>
      </c>
      <c r="E28" s="252" t="s">
        <v>1732</v>
      </c>
      <c r="F28" s="426" t="s">
        <v>11927</v>
      </c>
      <c r="G28" s="425"/>
      <c r="H28" s="426" t="s">
        <v>11928</v>
      </c>
      <c r="I28" s="427" t="s">
        <v>1736</v>
      </c>
      <c r="J28" s="428" t="s">
        <v>4913</v>
      </c>
      <c r="K28" s="428" t="s">
        <v>4913</v>
      </c>
      <c r="L28" s="428" t="s">
        <v>4913</v>
      </c>
      <c r="M28" s="428" t="s">
        <v>4913</v>
      </c>
      <c r="N28" s="428" t="s">
        <v>4913</v>
      </c>
      <c r="O28" s="428" t="s">
        <v>4913</v>
      </c>
      <c r="P28" s="428" t="s">
        <v>4913</v>
      </c>
      <c r="Q28" s="428" t="s">
        <v>4913</v>
      </c>
      <c r="R28" s="255" t="s">
        <v>1737</v>
      </c>
      <c r="S28" s="255" t="s">
        <v>1737</v>
      </c>
      <c r="T28" s="425"/>
      <c r="U28" s="254" t="s">
        <v>7674</v>
      </c>
      <c r="V28" s="425" t="s">
        <v>12119</v>
      </c>
      <c r="W28" s="254" t="s">
        <v>7536</v>
      </c>
      <c r="X28" s="425" t="s">
        <v>12120</v>
      </c>
      <c r="Y28" s="425"/>
      <c r="Z28" s="425"/>
      <c r="AA28" s="254" t="s">
        <v>7536</v>
      </c>
      <c r="AB28" s="110" t="s">
        <v>4803</v>
      </c>
    </row>
    <row r="29" spans="1:28">
      <c r="A29" s="252" t="s">
        <v>12121</v>
      </c>
      <c r="B29" s="213" t="s">
        <v>12122</v>
      </c>
      <c r="C29" s="213" t="s">
        <v>12123</v>
      </c>
      <c r="D29" s="213" t="s">
        <v>12124</v>
      </c>
      <c r="E29" s="252" t="s">
        <v>1732</v>
      </c>
      <c r="F29" s="426" t="s">
        <v>12096</v>
      </c>
      <c r="G29" s="425"/>
      <c r="H29" s="426" t="s">
        <v>12125</v>
      </c>
      <c r="I29" s="427" t="s">
        <v>1736</v>
      </c>
      <c r="J29" s="428" t="s">
        <v>4913</v>
      </c>
      <c r="K29" s="428" t="s">
        <v>4913</v>
      </c>
      <c r="L29" s="428" t="s">
        <v>4913</v>
      </c>
      <c r="M29" s="428" t="s">
        <v>4913</v>
      </c>
      <c r="N29" s="428" t="s">
        <v>4913</v>
      </c>
      <c r="O29" s="428" t="s">
        <v>4913</v>
      </c>
      <c r="P29" s="428" t="s">
        <v>4913</v>
      </c>
      <c r="Q29" s="428" t="s">
        <v>4913</v>
      </c>
      <c r="R29" s="255" t="s">
        <v>1737</v>
      </c>
      <c r="S29" s="255" t="s">
        <v>1737</v>
      </c>
      <c r="T29" s="425"/>
      <c r="U29" s="254" t="s">
        <v>7386</v>
      </c>
      <c r="V29" s="425" t="s">
        <v>12126</v>
      </c>
      <c r="W29" s="254" t="s">
        <v>7536</v>
      </c>
      <c r="X29" s="425" t="s">
        <v>12127</v>
      </c>
      <c r="Y29" s="425"/>
      <c r="Z29" s="425"/>
      <c r="AA29" s="254" t="s">
        <v>7536</v>
      </c>
      <c r="AB29" s="110" t="s">
        <v>4803</v>
      </c>
    </row>
    <row r="30" spans="1:28">
      <c r="A30" s="252" t="s">
        <v>12128</v>
      </c>
      <c r="B30" s="213" t="s">
        <v>12129</v>
      </c>
      <c r="C30" s="213" t="s">
        <v>12130</v>
      </c>
      <c r="D30" s="213" t="s">
        <v>12131</v>
      </c>
      <c r="E30" s="252" t="s">
        <v>1732</v>
      </c>
      <c r="F30" s="426" t="s">
        <v>12132</v>
      </c>
      <c r="G30" s="425"/>
      <c r="H30" s="426" t="s">
        <v>12133</v>
      </c>
      <c r="I30" s="427" t="s">
        <v>1736</v>
      </c>
      <c r="J30" s="428" t="s">
        <v>4913</v>
      </c>
      <c r="K30" s="428" t="s">
        <v>4913</v>
      </c>
      <c r="L30" s="428" t="s">
        <v>4913</v>
      </c>
      <c r="M30" s="428" t="s">
        <v>4913</v>
      </c>
      <c r="N30" s="428" t="s">
        <v>4913</v>
      </c>
      <c r="O30" s="428" t="s">
        <v>4913</v>
      </c>
      <c r="P30" s="428" t="s">
        <v>4913</v>
      </c>
      <c r="Q30" s="428" t="s">
        <v>4913</v>
      </c>
      <c r="R30" s="255" t="s">
        <v>1737</v>
      </c>
      <c r="S30" s="255" t="s">
        <v>1737</v>
      </c>
      <c r="T30" s="425"/>
      <c r="U30" s="254" t="s">
        <v>7386</v>
      </c>
      <c r="V30" s="425" t="s">
        <v>12134</v>
      </c>
      <c r="W30" s="254" t="s">
        <v>7536</v>
      </c>
      <c r="X30" s="425" t="s">
        <v>12135</v>
      </c>
      <c r="Y30" s="425"/>
      <c r="Z30" s="425"/>
      <c r="AA30" s="254" t="s">
        <v>7536</v>
      </c>
      <c r="AB30" s="110" t="s">
        <v>4803</v>
      </c>
    </row>
    <row r="31" spans="1:28">
      <c r="A31" s="252" t="s">
        <v>12136</v>
      </c>
      <c r="B31" s="213" t="s">
        <v>12137</v>
      </c>
      <c r="C31" s="213" t="s">
        <v>12138</v>
      </c>
      <c r="D31" s="213" t="s">
        <v>12139</v>
      </c>
      <c r="E31" s="252" t="s">
        <v>1732</v>
      </c>
      <c r="F31" s="426" t="s">
        <v>11919</v>
      </c>
      <c r="G31" s="425"/>
      <c r="H31" s="426" t="s">
        <v>12112</v>
      </c>
      <c r="I31" s="427" t="s">
        <v>1736</v>
      </c>
      <c r="J31" s="428" t="s">
        <v>4913</v>
      </c>
      <c r="K31" s="428" t="s">
        <v>4913</v>
      </c>
      <c r="L31" s="428" t="s">
        <v>4913</v>
      </c>
      <c r="M31" s="428" t="s">
        <v>4913</v>
      </c>
      <c r="N31" s="428" t="s">
        <v>4913</v>
      </c>
      <c r="O31" s="428" t="s">
        <v>4913</v>
      </c>
      <c r="P31" s="428" t="s">
        <v>4913</v>
      </c>
      <c r="Q31" s="428" t="s">
        <v>4913</v>
      </c>
      <c r="R31" s="255" t="s">
        <v>1737</v>
      </c>
      <c r="S31" s="255" t="s">
        <v>1737</v>
      </c>
      <c r="T31" s="425"/>
      <c r="U31" s="254" t="s">
        <v>10847</v>
      </c>
      <c r="V31" s="425" t="s">
        <v>12140</v>
      </c>
      <c r="W31" s="254" t="s">
        <v>7536</v>
      </c>
      <c r="X31" s="425" t="s">
        <v>12141</v>
      </c>
      <c r="Y31" s="425"/>
      <c r="Z31" s="425"/>
      <c r="AA31" s="254" t="s">
        <v>7536</v>
      </c>
      <c r="AB31" s="110" t="s">
        <v>4803</v>
      </c>
    </row>
    <row r="32" spans="1:28">
      <c r="A32" s="252" t="s">
        <v>12142</v>
      </c>
      <c r="B32" s="213" t="s">
        <v>12143</v>
      </c>
      <c r="C32" s="213" t="s">
        <v>12144</v>
      </c>
      <c r="D32" s="213" t="s">
        <v>12145</v>
      </c>
      <c r="E32" s="252" t="s">
        <v>1732</v>
      </c>
      <c r="F32" s="426" t="s">
        <v>11927</v>
      </c>
      <c r="G32" s="425"/>
      <c r="H32" s="426" t="s">
        <v>11928</v>
      </c>
      <c r="I32" s="427" t="s">
        <v>1736</v>
      </c>
      <c r="J32" s="428" t="s">
        <v>4913</v>
      </c>
      <c r="K32" s="428" t="s">
        <v>4913</v>
      </c>
      <c r="L32" s="428" t="s">
        <v>4913</v>
      </c>
      <c r="M32" s="428" t="s">
        <v>4913</v>
      </c>
      <c r="N32" s="428" t="s">
        <v>4913</v>
      </c>
      <c r="O32" s="428" t="s">
        <v>4913</v>
      </c>
      <c r="P32" s="428" t="s">
        <v>4913</v>
      </c>
      <c r="Q32" s="428" t="s">
        <v>4913</v>
      </c>
      <c r="R32" s="255" t="s">
        <v>1737</v>
      </c>
      <c r="S32" s="255" t="s">
        <v>1737</v>
      </c>
      <c r="T32" s="425"/>
      <c r="U32" s="254" t="s">
        <v>7674</v>
      </c>
      <c r="V32" s="425" t="s">
        <v>12146</v>
      </c>
      <c r="W32" s="254" t="s">
        <v>7536</v>
      </c>
      <c r="X32" s="425" t="s">
        <v>12147</v>
      </c>
      <c r="Y32" s="425"/>
      <c r="Z32" s="425"/>
      <c r="AA32" s="254" t="s">
        <v>7536</v>
      </c>
      <c r="AB32" s="110" t="s">
        <v>4803</v>
      </c>
    </row>
    <row r="33" spans="1:28">
      <c r="A33" s="252" t="s">
        <v>12148</v>
      </c>
      <c r="B33" s="213" t="s">
        <v>12149</v>
      </c>
      <c r="C33" s="213" t="s">
        <v>12150</v>
      </c>
      <c r="D33" s="213" t="s">
        <v>12151</v>
      </c>
      <c r="E33" s="252" t="s">
        <v>1732</v>
      </c>
      <c r="F33" s="426" t="s">
        <v>12084</v>
      </c>
      <c r="G33" s="425"/>
      <c r="H33" s="426" t="s">
        <v>12085</v>
      </c>
      <c r="I33" s="427" t="s">
        <v>1736</v>
      </c>
      <c r="J33" s="428" t="s">
        <v>4913</v>
      </c>
      <c r="K33" s="428" t="s">
        <v>4913</v>
      </c>
      <c r="L33" s="428" t="s">
        <v>4913</v>
      </c>
      <c r="M33" s="428" t="s">
        <v>4913</v>
      </c>
      <c r="N33" s="428" t="s">
        <v>4913</v>
      </c>
      <c r="O33" s="428" t="s">
        <v>4913</v>
      </c>
      <c r="P33" s="428" t="s">
        <v>4913</v>
      </c>
      <c r="Q33" s="428" t="s">
        <v>4913</v>
      </c>
      <c r="R33" s="255" t="s">
        <v>1737</v>
      </c>
      <c r="S33" s="255" t="s">
        <v>1737</v>
      </c>
      <c r="T33" s="425"/>
      <c r="U33" s="254" t="s">
        <v>7452</v>
      </c>
      <c r="V33" s="425" t="s">
        <v>12152</v>
      </c>
      <c r="W33" s="254" t="s">
        <v>7536</v>
      </c>
      <c r="X33" s="425" t="s">
        <v>12153</v>
      </c>
      <c r="Y33" s="425"/>
      <c r="Z33" s="425"/>
      <c r="AA33" s="254" t="s">
        <v>7536</v>
      </c>
      <c r="AB33" s="110" t="s">
        <v>4803</v>
      </c>
    </row>
    <row r="34" spans="1:28">
      <c r="A34" s="252" t="s">
        <v>12154</v>
      </c>
      <c r="B34" s="213" t="s">
        <v>12155</v>
      </c>
      <c r="C34" s="213" t="s">
        <v>12156</v>
      </c>
      <c r="D34" s="213" t="s">
        <v>11907</v>
      </c>
      <c r="E34" s="252" t="s">
        <v>1732</v>
      </c>
      <c r="F34" s="426" t="s">
        <v>12090</v>
      </c>
      <c r="G34" s="425"/>
      <c r="H34" s="426" t="s">
        <v>12091</v>
      </c>
      <c r="I34" s="427" t="s">
        <v>1736</v>
      </c>
      <c r="J34" s="428" t="s">
        <v>4913</v>
      </c>
      <c r="K34" s="428" t="s">
        <v>4913</v>
      </c>
      <c r="L34" s="428" t="s">
        <v>4913</v>
      </c>
      <c r="M34" s="428" t="s">
        <v>4913</v>
      </c>
      <c r="N34" s="428" t="s">
        <v>4913</v>
      </c>
      <c r="O34" s="428" t="s">
        <v>4913</v>
      </c>
      <c r="P34" s="428" t="s">
        <v>4913</v>
      </c>
      <c r="Q34" s="428" t="s">
        <v>4913</v>
      </c>
      <c r="R34" s="255" t="s">
        <v>1737</v>
      </c>
      <c r="S34" s="255" t="s">
        <v>1737</v>
      </c>
      <c r="T34" s="425"/>
      <c r="U34" s="254" t="s">
        <v>7452</v>
      </c>
      <c r="V34" s="425" t="s">
        <v>12157</v>
      </c>
      <c r="W34" s="254" t="s">
        <v>7536</v>
      </c>
      <c r="X34" s="425" t="s">
        <v>12158</v>
      </c>
      <c r="Y34" s="425"/>
      <c r="Z34" s="425"/>
      <c r="AA34" s="254" t="s">
        <v>7536</v>
      </c>
      <c r="AB34" s="110" t="s">
        <v>4803</v>
      </c>
    </row>
    <row r="35" spans="1:28">
      <c r="A35" s="432" t="s">
        <v>12159</v>
      </c>
      <c r="B35" s="433" t="s">
        <v>12160</v>
      </c>
      <c r="C35" s="433" t="s">
        <v>12161</v>
      </c>
      <c r="D35" s="433" t="s">
        <v>12161</v>
      </c>
      <c r="E35" s="432" t="s">
        <v>1732</v>
      </c>
      <c r="F35" s="434" t="s">
        <v>12162</v>
      </c>
      <c r="G35" s="435"/>
      <c r="H35" s="434" t="s">
        <v>12163</v>
      </c>
      <c r="I35" s="436" t="s">
        <v>4913</v>
      </c>
      <c r="J35" s="436" t="s">
        <v>4913</v>
      </c>
      <c r="K35" s="436" t="s">
        <v>1736</v>
      </c>
      <c r="L35" s="436" t="s">
        <v>4913</v>
      </c>
      <c r="M35" s="436" t="s">
        <v>4913</v>
      </c>
      <c r="N35" s="436" t="s">
        <v>4913</v>
      </c>
      <c r="O35" s="436" t="s">
        <v>4913</v>
      </c>
      <c r="P35" s="436" t="s">
        <v>4913</v>
      </c>
      <c r="Q35" s="436" t="s">
        <v>4913</v>
      </c>
      <c r="R35" s="437" t="s">
        <v>11615</v>
      </c>
      <c r="S35" s="437" t="s">
        <v>11615</v>
      </c>
      <c r="T35" s="438" t="s">
        <v>12164</v>
      </c>
      <c r="U35" s="437"/>
      <c r="V35" s="435"/>
      <c r="W35" s="435"/>
      <c r="X35" s="435"/>
      <c r="Y35" s="435"/>
      <c r="Z35" s="435"/>
      <c r="AA35" s="278"/>
      <c r="AB35" s="36"/>
    </row>
    <row r="36" spans="1:28">
      <c r="A36" s="432" t="s">
        <v>12165</v>
      </c>
      <c r="B36" s="433" t="s">
        <v>12166</v>
      </c>
      <c r="C36" s="433" t="s">
        <v>12167</v>
      </c>
      <c r="D36" s="433" t="s">
        <v>12167</v>
      </c>
      <c r="E36" s="432" t="s">
        <v>1732</v>
      </c>
      <c r="F36" s="434" t="s">
        <v>12168</v>
      </c>
      <c r="G36" s="435"/>
      <c r="H36" s="434" t="s">
        <v>12169</v>
      </c>
      <c r="I36" s="436" t="s">
        <v>4913</v>
      </c>
      <c r="J36" s="436" t="s">
        <v>4913</v>
      </c>
      <c r="K36" s="436" t="s">
        <v>4913</v>
      </c>
      <c r="L36" s="436" t="s">
        <v>1736</v>
      </c>
      <c r="M36" s="436" t="s">
        <v>4913</v>
      </c>
      <c r="N36" s="436" t="s">
        <v>4913</v>
      </c>
      <c r="O36" s="436" t="s">
        <v>4913</v>
      </c>
      <c r="P36" s="436" t="s">
        <v>4913</v>
      </c>
      <c r="Q36" s="436" t="s">
        <v>4913</v>
      </c>
      <c r="R36" s="437" t="s">
        <v>11615</v>
      </c>
      <c r="S36" s="437" t="s">
        <v>11615</v>
      </c>
      <c r="T36" s="438" t="s">
        <v>12164</v>
      </c>
      <c r="U36" s="437"/>
      <c r="V36" s="435"/>
      <c r="W36" s="435"/>
      <c r="X36" s="435"/>
      <c r="Y36" s="435"/>
      <c r="Z36" s="435"/>
      <c r="AA36" s="278"/>
      <c r="AB36" s="36"/>
    </row>
    <row r="37" spans="1:28">
      <c r="A37" s="432" t="s">
        <v>12170</v>
      </c>
      <c r="B37" s="433" t="s">
        <v>12171</v>
      </c>
      <c r="C37" s="433" t="s">
        <v>12172</v>
      </c>
      <c r="D37" s="433" t="s">
        <v>12172</v>
      </c>
      <c r="E37" s="432" t="s">
        <v>1732</v>
      </c>
      <c r="F37" s="565" t="s">
        <v>12173</v>
      </c>
      <c r="G37" s="435"/>
      <c r="H37" s="434" t="s">
        <v>12174</v>
      </c>
      <c r="I37" s="436" t="s">
        <v>4913</v>
      </c>
      <c r="J37" s="436" t="s">
        <v>4913</v>
      </c>
      <c r="K37" s="436" t="s">
        <v>4913</v>
      </c>
      <c r="L37" s="436" t="s">
        <v>4913</v>
      </c>
      <c r="M37" s="436" t="s">
        <v>1736</v>
      </c>
      <c r="N37" s="436" t="s">
        <v>1736</v>
      </c>
      <c r="O37" s="436" t="s">
        <v>4913</v>
      </c>
      <c r="P37" s="436" t="s">
        <v>4913</v>
      </c>
      <c r="Q37" s="436" t="s">
        <v>4913</v>
      </c>
      <c r="R37" s="437" t="s">
        <v>11615</v>
      </c>
      <c r="S37" s="437" t="s">
        <v>11615</v>
      </c>
      <c r="T37" s="438" t="s">
        <v>12164</v>
      </c>
      <c r="U37" s="437"/>
      <c r="V37" s="435"/>
      <c r="W37" s="435"/>
      <c r="X37" s="435"/>
      <c r="Y37" s="435"/>
      <c r="Z37" s="435"/>
      <c r="AA37" s="278"/>
      <c r="AB37" s="36"/>
    </row>
    <row r="38" spans="1:28">
      <c r="A38" s="432" t="s">
        <v>12175</v>
      </c>
      <c r="B38" s="433" t="s">
        <v>12176</v>
      </c>
      <c r="C38" s="433" t="s">
        <v>12177</v>
      </c>
      <c r="D38" s="433" t="s">
        <v>12177</v>
      </c>
      <c r="E38" s="432" t="s">
        <v>1732</v>
      </c>
      <c r="F38" s="434" t="s">
        <v>12178</v>
      </c>
      <c r="G38" s="435"/>
      <c r="H38" s="434" t="s">
        <v>12179</v>
      </c>
      <c r="I38" s="436" t="s">
        <v>4913</v>
      </c>
      <c r="J38" s="436" t="s">
        <v>4913</v>
      </c>
      <c r="K38" s="436" t="s">
        <v>4913</v>
      </c>
      <c r="L38" s="436" t="s">
        <v>4913</v>
      </c>
      <c r="M38" s="436" t="s">
        <v>4913</v>
      </c>
      <c r="N38" s="436" t="s">
        <v>1736</v>
      </c>
      <c r="O38" s="436" t="s">
        <v>1736</v>
      </c>
      <c r="P38" s="436" t="s">
        <v>4913</v>
      </c>
      <c r="Q38" s="436" t="s">
        <v>4913</v>
      </c>
      <c r="R38" s="437" t="s">
        <v>11615</v>
      </c>
      <c r="S38" s="437" t="s">
        <v>11615</v>
      </c>
      <c r="T38" s="438" t="s">
        <v>12164</v>
      </c>
      <c r="U38" s="437"/>
      <c r="V38" s="435"/>
      <c r="W38" s="435"/>
      <c r="X38" s="435"/>
      <c r="Y38" s="435"/>
      <c r="Z38" s="435"/>
      <c r="AA38" s="278"/>
      <c r="AB38" s="36"/>
    </row>
    <row r="39" spans="1:28">
      <c r="A39" s="432" t="s">
        <v>12180</v>
      </c>
      <c r="B39" s="433" t="s">
        <v>12181</v>
      </c>
      <c r="C39" s="433" t="s">
        <v>12182</v>
      </c>
      <c r="D39" s="433" t="s">
        <v>12182</v>
      </c>
      <c r="E39" s="432" t="s">
        <v>1732</v>
      </c>
      <c r="F39" s="434" t="s">
        <v>12183</v>
      </c>
      <c r="G39" s="435"/>
      <c r="H39" s="434" t="s">
        <v>12184</v>
      </c>
      <c r="I39" s="436" t="s">
        <v>4913</v>
      </c>
      <c r="J39" s="436" t="s">
        <v>4913</v>
      </c>
      <c r="K39" s="436" t="s">
        <v>4913</v>
      </c>
      <c r="L39" s="436" t="s">
        <v>4913</v>
      </c>
      <c r="M39" s="436" t="s">
        <v>4913</v>
      </c>
      <c r="N39" s="436" t="s">
        <v>4913</v>
      </c>
      <c r="O39" s="436" t="s">
        <v>1736</v>
      </c>
      <c r="P39" s="436" t="s">
        <v>1736</v>
      </c>
      <c r="Q39" s="436" t="s">
        <v>4913</v>
      </c>
      <c r="R39" s="437" t="s">
        <v>11615</v>
      </c>
      <c r="S39" s="437" t="s">
        <v>11615</v>
      </c>
      <c r="T39" s="438" t="s">
        <v>12164</v>
      </c>
      <c r="U39" s="437"/>
      <c r="V39" s="435"/>
      <c r="W39" s="435"/>
      <c r="X39" s="435"/>
      <c r="Y39" s="435"/>
      <c r="Z39" s="435"/>
      <c r="AA39" s="278"/>
      <c r="AB39" s="36"/>
    </row>
    <row r="40" spans="1:28">
      <c r="A40" s="252" t="s">
        <v>12185</v>
      </c>
      <c r="B40" s="213" t="s">
        <v>12186</v>
      </c>
      <c r="C40" s="213" t="s">
        <v>12187</v>
      </c>
      <c r="D40" s="213" t="s">
        <v>12188</v>
      </c>
      <c r="E40" s="252" t="s">
        <v>1743</v>
      </c>
      <c r="F40" s="426" t="s">
        <v>12189</v>
      </c>
      <c r="G40" s="425"/>
      <c r="H40" s="426" t="s">
        <v>12190</v>
      </c>
      <c r="I40" s="427" t="s">
        <v>1736</v>
      </c>
      <c r="J40" s="428" t="s">
        <v>4913</v>
      </c>
      <c r="K40" s="428" t="s">
        <v>4913</v>
      </c>
      <c r="L40" s="428" t="s">
        <v>4913</v>
      </c>
      <c r="M40" s="428" t="s">
        <v>4913</v>
      </c>
      <c r="N40" s="428" t="s">
        <v>4913</v>
      </c>
      <c r="O40" s="428" t="s">
        <v>4913</v>
      </c>
      <c r="P40" s="428" t="s">
        <v>4913</v>
      </c>
      <c r="Q40" s="428" t="s">
        <v>4913</v>
      </c>
      <c r="R40" s="255" t="s">
        <v>1737</v>
      </c>
      <c r="S40" s="255" t="s">
        <v>1737</v>
      </c>
      <c r="T40" s="425"/>
      <c r="U40" s="254" t="s">
        <v>10902</v>
      </c>
      <c r="V40" s="425" t="s">
        <v>12191</v>
      </c>
      <c r="W40" s="254" t="s">
        <v>7544</v>
      </c>
      <c r="X40" s="425" t="s">
        <v>12192</v>
      </c>
      <c r="Y40" s="425"/>
      <c r="Z40" s="425"/>
      <c r="AA40" s="254" t="s">
        <v>7544</v>
      </c>
      <c r="AB40" s="110" t="s">
        <v>4803</v>
      </c>
    </row>
    <row r="41" spans="1:28">
      <c r="A41" s="252" t="s">
        <v>12193</v>
      </c>
      <c r="B41" s="213" t="s">
        <v>12194</v>
      </c>
      <c r="C41" s="213" t="s">
        <v>12195</v>
      </c>
      <c r="D41" s="213" t="s">
        <v>12196</v>
      </c>
      <c r="E41" s="252" t="s">
        <v>1743</v>
      </c>
      <c r="F41" s="426" t="s">
        <v>12197</v>
      </c>
      <c r="G41" s="425"/>
      <c r="H41" s="426" t="s">
        <v>12198</v>
      </c>
      <c r="I41" s="255" t="s">
        <v>1736</v>
      </c>
      <c r="J41" s="428" t="s">
        <v>4913</v>
      </c>
      <c r="K41" s="428" t="s">
        <v>4913</v>
      </c>
      <c r="L41" s="428" t="s">
        <v>4913</v>
      </c>
      <c r="M41" s="428" t="s">
        <v>4913</v>
      </c>
      <c r="N41" s="428" t="s">
        <v>4913</v>
      </c>
      <c r="O41" s="428" t="s">
        <v>4913</v>
      </c>
      <c r="P41" s="428" t="s">
        <v>4913</v>
      </c>
      <c r="Q41" s="428" t="s">
        <v>4913</v>
      </c>
      <c r="R41" s="255" t="s">
        <v>1737</v>
      </c>
      <c r="S41" s="255" t="s">
        <v>1737</v>
      </c>
      <c r="T41" s="425"/>
      <c r="U41" s="254" t="s">
        <v>7519</v>
      </c>
      <c r="V41" s="254" t="s">
        <v>12199</v>
      </c>
      <c r="W41" s="254" t="s">
        <v>7544</v>
      </c>
      <c r="X41" s="425" t="s">
        <v>12200</v>
      </c>
      <c r="Y41" s="425"/>
      <c r="Z41" s="425"/>
      <c r="AA41" s="254" t="s">
        <v>7544</v>
      </c>
      <c r="AB41" s="110" t="s">
        <v>4803</v>
      </c>
    </row>
    <row r="42" spans="1:28">
      <c r="A42" s="252" t="s">
        <v>12201</v>
      </c>
      <c r="B42" s="213" t="s">
        <v>12202</v>
      </c>
      <c r="C42" s="213" t="s">
        <v>12203</v>
      </c>
      <c r="D42" s="213" t="s">
        <v>12204</v>
      </c>
      <c r="E42" s="252" t="s">
        <v>1743</v>
      </c>
      <c r="F42" s="426" t="s">
        <v>12005</v>
      </c>
      <c r="G42" s="425"/>
      <c r="H42" s="426" t="s">
        <v>12198</v>
      </c>
      <c r="I42" s="427" t="s">
        <v>1736</v>
      </c>
      <c r="J42" s="427" t="s">
        <v>1736</v>
      </c>
      <c r="K42" s="428" t="s">
        <v>4913</v>
      </c>
      <c r="L42" s="428" t="s">
        <v>4913</v>
      </c>
      <c r="M42" s="428" t="s">
        <v>4913</v>
      </c>
      <c r="N42" s="428" t="s">
        <v>4913</v>
      </c>
      <c r="O42" s="428" t="s">
        <v>4913</v>
      </c>
      <c r="P42" s="428" t="s">
        <v>4913</v>
      </c>
      <c r="Q42" s="428" t="s">
        <v>4913</v>
      </c>
      <c r="R42" s="255" t="s">
        <v>1737</v>
      </c>
      <c r="S42" s="255" t="s">
        <v>1737</v>
      </c>
      <c r="T42" s="425"/>
      <c r="U42" s="254" t="s">
        <v>7718</v>
      </c>
      <c r="V42" s="254" t="s">
        <v>12205</v>
      </c>
      <c r="W42" s="254" t="s">
        <v>7544</v>
      </c>
      <c r="X42" s="425" t="s">
        <v>12206</v>
      </c>
      <c r="Y42" s="425"/>
      <c r="Z42" s="425"/>
      <c r="AA42" s="254" t="s">
        <v>7544</v>
      </c>
      <c r="AB42" s="110" t="s">
        <v>4803</v>
      </c>
    </row>
    <row r="43" spans="1:28">
      <c r="A43" s="252" t="s">
        <v>12207</v>
      </c>
      <c r="B43" s="213" t="s">
        <v>12208</v>
      </c>
      <c r="C43" s="213" t="s">
        <v>12209</v>
      </c>
      <c r="D43" s="213" t="s">
        <v>12210</v>
      </c>
      <c r="E43" s="252" t="s">
        <v>1743</v>
      </c>
      <c r="F43" s="426" t="s">
        <v>12021</v>
      </c>
      <c r="G43" s="425"/>
      <c r="H43" s="426" t="s">
        <v>12198</v>
      </c>
      <c r="I43" s="255" t="s">
        <v>1736</v>
      </c>
      <c r="J43" s="428" t="s">
        <v>4913</v>
      </c>
      <c r="K43" s="428" t="s">
        <v>4913</v>
      </c>
      <c r="L43" s="428" t="s">
        <v>4913</v>
      </c>
      <c r="M43" s="428" t="s">
        <v>4913</v>
      </c>
      <c r="N43" s="428" t="s">
        <v>4913</v>
      </c>
      <c r="O43" s="428" t="s">
        <v>4913</v>
      </c>
      <c r="P43" s="428" t="s">
        <v>4913</v>
      </c>
      <c r="Q43" s="428" t="s">
        <v>4913</v>
      </c>
      <c r="R43" s="255" t="s">
        <v>1737</v>
      </c>
      <c r="S43" s="255" t="s">
        <v>1737</v>
      </c>
      <c r="T43" s="425"/>
      <c r="U43" s="254" t="s">
        <v>7519</v>
      </c>
      <c r="V43" s="254" t="s">
        <v>12211</v>
      </c>
      <c r="W43" s="254" t="s">
        <v>7544</v>
      </c>
      <c r="X43" s="425" t="s">
        <v>12212</v>
      </c>
      <c r="Y43" s="425"/>
      <c r="Z43" s="425"/>
      <c r="AA43" s="254" t="s">
        <v>7544</v>
      </c>
      <c r="AB43" s="110" t="s">
        <v>4803</v>
      </c>
    </row>
    <row r="44" spans="1:28">
      <c r="A44" s="252" t="s">
        <v>12213</v>
      </c>
      <c r="B44" s="213" t="s">
        <v>12214</v>
      </c>
      <c r="C44" s="213" t="s">
        <v>12215</v>
      </c>
      <c r="D44" s="213" t="s">
        <v>12216</v>
      </c>
      <c r="E44" s="252" t="s">
        <v>1743</v>
      </c>
      <c r="F44" s="426" t="s">
        <v>12044</v>
      </c>
      <c r="G44" s="425"/>
      <c r="H44" s="426" t="s">
        <v>12198</v>
      </c>
      <c r="I44" s="427" t="s">
        <v>1736</v>
      </c>
      <c r="J44" s="427" t="s">
        <v>1736</v>
      </c>
      <c r="K44" s="428" t="s">
        <v>4913</v>
      </c>
      <c r="L44" s="428" t="s">
        <v>4913</v>
      </c>
      <c r="M44" s="428" t="s">
        <v>4913</v>
      </c>
      <c r="N44" s="428" t="s">
        <v>4913</v>
      </c>
      <c r="O44" s="428" t="s">
        <v>4913</v>
      </c>
      <c r="P44" s="428" t="s">
        <v>4913</v>
      </c>
      <c r="Q44" s="428" t="s">
        <v>4913</v>
      </c>
      <c r="R44" s="255" t="s">
        <v>1737</v>
      </c>
      <c r="S44" s="255" t="s">
        <v>1737</v>
      </c>
      <c r="T44" s="425"/>
      <c r="U44" s="254" t="s">
        <v>7718</v>
      </c>
      <c r="V44" s="425" t="s">
        <v>12217</v>
      </c>
      <c r="W44" s="254" t="s">
        <v>7544</v>
      </c>
      <c r="X44" s="425" t="s">
        <v>12218</v>
      </c>
      <c r="Y44" s="425"/>
      <c r="Z44" s="425"/>
      <c r="AA44" s="254" t="s">
        <v>7544</v>
      </c>
      <c r="AB44" s="110" t="s">
        <v>4803</v>
      </c>
    </row>
    <row r="45" spans="1:28">
      <c r="A45" s="252" t="s">
        <v>12219</v>
      </c>
      <c r="B45" s="213" t="s">
        <v>12220</v>
      </c>
      <c r="C45" s="213" t="s">
        <v>12221</v>
      </c>
      <c r="D45" s="213" t="s">
        <v>12222</v>
      </c>
      <c r="E45" s="252" t="s">
        <v>1732</v>
      </c>
      <c r="F45" s="426" t="s">
        <v>12223</v>
      </c>
      <c r="G45" s="425"/>
      <c r="H45" s="426" t="s">
        <v>12224</v>
      </c>
      <c r="I45" s="427" t="s">
        <v>1736</v>
      </c>
      <c r="J45" s="427" t="s">
        <v>1736</v>
      </c>
      <c r="K45" s="428" t="s">
        <v>4913</v>
      </c>
      <c r="L45" s="428" t="s">
        <v>4913</v>
      </c>
      <c r="M45" s="428" t="s">
        <v>4913</v>
      </c>
      <c r="N45" s="428" t="s">
        <v>4913</v>
      </c>
      <c r="O45" s="428" t="s">
        <v>4913</v>
      </c>
      <c r="P45" s="428" t="s">
        <v>4913</v>
      </c>
      <c r="Q45" s="428" t="s">
        <v>4913</v>
      </c>
      <c r="R45" s="255" t="s">
        <v>1737</v>
      </c>
      <c r="S45" s="255" t="s">
        <v>1737</v>
      </c>
      <c r="T45" s="425"/>
      <c r="U45" s="254" t="s">
        <v>7718</v>
      </c>
      <c r="V45" s="425" t="s">
        <v>12225</v>
      </c>
      <c r="W45" s="254" t="s">
        <v>7544</v>
      </c>
      <c r="X45" s="425" t="s">
        <v>12226</v>
      </c>
      <c r="Y45" s="425"/>
      <c r="Z45" s="425"/>
      <c r="AA45" s="254" t="s">
        <v>7544</v>
      </c>
      <c r="AB45" s="110" t="s">
        <v>4803</v>
      </c>
    </row>
    <row r="46" spans="1:28">
      <c r="A46" s="252" t="s">
        <v>12227</v>
      </c>
      <c r="B46" s="213" t="s">
        <v>12228</v>
      </c>
      <c r="C46" s="213" t="s">
        <v>12229</v>
      </c>
      <c r="D46" s="213" t="s">
        <v>12230</v>
      </c>
      <c r="E46" s="252" t="s">
        <v>1732</v>
      </c>
      <c r="F46" s="426" t="s">
        <v>12231</v>
      </c>
      <c r="G46" s="425"/>
      <c r="H46" s="426" t="s">
        <v>12224</v>
      </c>
      <c r="I46" s="427" t="s">
        <v>1736</v>
      </c>
      <c r="J46" s="427" t="s">
        <v>1736</v>
      </c>
      <c r="K46" s="428" t="s">
        <v>4913</v>
      </c>
      <c r="L46" s="428" t="s">
        <v>4913</v>
      </c>
      <c r="M46" s="428" t="s">
        <v>4913</v>
      </c>
      <c r="N46" s="428" t="s">
        <v>4913</v>
      </c>
      <c r="O46" s="428" t="s">
        <v>4913</v>
      </c>
      <c r="P46" s="428" t="s">
        <v>4913</v>
      </c>
      <c r="Q46" s="428" t="s">
        <v>4913</v>
      </c>
      <c r="R46" s="255" t="s">
        <v>1737</v>
      </c>
      <c r="S46" s="255" t="s">
        <v>1737</v>
      </c>
      <c r="T46" s="425"/>
      <c r="U46" s="254" t="s">
        <v>7718</v>
      </c>
      <c r="V46" s="425" t="s">
        <v>12232</v>
      </c>
      <c r="W46" s="254" t="s">
        <v>7544</v>
      </c>
      <c r="X46" s="425" t="s">
        <v>12233</v>
      </c>
      <c r="Y46" s="425"/>
      <c r="Z46" s="425"/>
      <c r="AA46" s="254" t="s">
        <v>7544</v>
      </c>
      <c r="AB46" s="110" t="s">
        <v>4803</v>
      </c>
    </row>
    <row r="47" spans="1:28">
      <c r="A47" s="252" t="s">
        <v>12234</v>
      </c>
      <c r="B47" s="213" t="s">
        <v>12235</v>
      </c>
      <c r="C47" s="213" t="s">
        <v>12236</v>
      </c>
      <c r="D47" s="213" t="s">
        <v>12237</v>
      </c>
      <c r="E47" s="252" t="s">
        <v>1732</v>
      </c>
      <c r="F47" s="426" t="s">
        <v>12238</v>
      </c>
      <c r="G47" s="425"/>
      <c r="H47" s="426" t="s">
        <v>12239</v>
      </c>
      <c r="I47" s="427" t="s">
        <v>1736</v>
      </c>
      <c r="J47" s="428" t="s">
        <v>4913</v>
      </c>
      <c r="K47" s="428" t="s">
        <v>4913</v>
      </c>
      <c r="L47" s="428" t="s">
        <v>4913</v>
      </c>
      <c r="M47" s="428" t="s">
        <v>4913</v>
      </c>
      <c r="N47" s="428" t="s">
        <v>4913</v>
      </c>
      <c r="O47" s="428" t="s">
        <v>4913</v>
      </c>
      <c r="P47" s="428" t="s">
        <v>4913</v>
      </c>
      <c r="Q47" s="428" t="s">
        <v>4913</v>
      </c>
      <c r="R47" s="255" t="s">
        <v>1737</v>
      </c>
      <c r="S47" s="255" t="s">
        <v>1737</v>
      </c>
      <c r="T47" s="425"/>
      <c r="U47" s="254" t="s">
        <v>7731</v>
      </c>
      <c r="V47" s="425" t="s">
        <v>12240</v>
      </c>
      <c r="W47" s="254" t="s">
        <v>7544</v>
      </c>
      <c r="X47" s="425" t="s">
        <v>12241</v>
      </c>
      <c r="Y47" s="425"/>
      <c r="Z47" s="425"/>
      <c r="AA47" s="254" t="s">
        <v>7544</v>
      </c>
      <c r="AB47" s="110" t="s">
        <v>4803</v>
      </c>
    </row>
    <row r="48" spans="1:28">
      <c r="A48" s="252" t="s">
        <v>12242</v>
      </c>
      <c r="B48" s="213" t="s">
        <v>12243</v>
      </c>
      <c r="C48" s="213" t="s">
        <v>12244</v>
      </c>
      <c r="D48" s="439" t="s">
        <v>12245</v>
      </c>
      <c r="E48" s="252" t="s">
        <v>1732</v>
      </c>
      <c r="F48" s="439" t="s">
        <v>12246</v>
      </c>
      <c r="G48" s="439"/>
      <c r="H48" s="440" t="s">
        <v>12247</v>
      </c>
      <c r="I48" s="427" t="s">
        <v>1736</v>
      </c>
      <c r="J48" s="428" t="s">
        <v>4913</v>
      </c>
      <c r="K48" s="428" t="s">
        <v>4913</v>
      </c>
      <c r="L48" s="428" t="s">
        <v>4913</v>
      </c>
      <c r="M48" s="428" t="s">
        <v>4913</v>
      </c>
      <c r="N48" s="428" t="s">
        <v>4913</v>
      </c>
      <c r="O48" s="428" t="s">
        <v>4913</v>
      </c>
      <c r="P48" s="428" t="s">
        <v>4913</v>
      </c>
      <c r="Q48" s="428" t="s">
        <v>4913</v>
      </c>
      <c r="R48" s="255" t="s">
        <v>1737</v>
      </c>
      <c r="S48" s="255" t="s">
        <v>1737</v>
      </c>
      <c r="T48" s="425"/>
      <c r="U48" s="254" t="s">
        <v>7718</v>
      </c>
      <c r="V48" s="252" t="s">
        <v>12248</v>
      </c>
      <c r="W48" s="254" t="s">
        <v>7544</v>
      </c>
      <c r="X48" s="425" t="s">
        <v>12249</v>
      </c>
      <c r="Y48" s="425"/>
      <c r="Z48" s="425"/>
      <c r="AA48" s="254" t="s">
        <v>7544</v>
      </c>
      <c r="AB48" s="110" t="s">
        <v>4803</v>
      </c>
    </row>
    <row r="49" spans="1:28">
      <c r="A49" s="252" t="s">
        <v>12250</v>
      </c>
      <c r="B49" s="213" t="s">
        <v>12251</v>
      </c>
      <c r="C49" s="213" t="s">
        <v>12252</v>
      </c>
      <c r="D49" s="439" t="s">
        <v>12253</v>
      </c>
      <c r="E49" s="252" t="s">
        <v>1732</v>
      </c>
      <c r="F49" s="439" t="s">
        <v>12254</v>
      </c>
      <c r="G49" s="439"/>
      <c r="H49" s="440" t="s">
        <v>12255</v>
      </c>
      <c r="I49" s="427" t="s">
        <v>1736</v>
      </c>
      <c r="J49" s="428" t="s">
        <v>4913</v>
      </c>
      <c r="K49" s="428" t="s">
        <v>4913</v>
      </c>
      <c r="L49" s="428" t="s">
        <v>4913</v>
      </c>
      <c r="M49" s="428" t="s">
        <v>4913</v>
      </c>
      <c r="N49" s="428" t="s">
        <v>4913</v>
      </c>
      <c r="O49" s="428" t="s">
        <v>4913</v>
      </c>
      <c r="P49" s="428" t="s">
        <v>4913</v>
      </c>
      <c r="Q49" s="428" t="s">
        <v>4913</v>
      </c>
      <c r="R49" s="255" t="s">
        <v>1737</v>
      </c>
      <c r="S49" s="255" t="s">
        <v>1737</v>
      </c>
      <c r="T49" s="425"/>
      <c r="U49" s="254" t="s">
        <v>7718</v>
      </c>
      <c r="V49" s="252" t="s">
        <v>12256</v>
      </c>
      <c r="W49" s="254" t="s">
        <v>7544</v>
      </c>
      <c r="X49" s="425" t="s">
        <v>12257</v>
      </c>
      <c r="Y49" s="425"/>
      <c r="Z49" s="425"/>
      <c r="AA49" s="254" t="s">
        <v>7544</v>
      </c>
      <c r="AB49" s="110" t="s">
        <v>4803</v>
      </c>
    </row>
    <row r="50" spans="1:28">
      <c r="A50" s="252" t="s">
        <v>12258</v>
      </c>
      <c r="B50" s="213" t="s">
        <v>12259</v>
      </c>
      <c r="C50" s="213" t="s">
        <v>12260</v>
      </c>
      <c r="D50" s="439" t="s">
        <v>12261</v>
      </c>
      <c r="E50" s="252" t="s">
        <v>1732</v>
      </c>
      <c r="F50" s="439" t="s">
        <v>12262</v>
      </c>
      <c r="G50" s="439"/>
      <c r="H50" s="440" t="s">
        <v>11955</v>
      </c>
      <c r="I50" s="427" t="s">
        <v>1736</v>
      </c>
      <c r="J50" s="428" t="s">
        <v>4913</v>
      </c>
      <c r="K50" s="428" t="s">
        <v>4913</v>
      </c>
      <c r="L50" s="428" t="s">
        <v>4913</v>
      </c>
      <c r="M50" s="428" t="s">
        <v>4913</v>
      </c>
      <c r="N50" s="428" t="s">
        <v>4913</v>
      </c>
      <c r="O50" s="428" t="s">
        <v>4913</v>
      </c>
      <c r="P50" s="428" t="s">
        <v>4913</v>
      </c>
      <c r="Q50" s="428" t="s">
        <v>4913</v>
      </c>
      <c r="R50" s="255" t="s">
        <v>1737</v>
      </c>
      <c r="S50" s="255" t="s">
        <v>1737</v>
      </c>
      <c r="T50" s="425"/>
      <c r="U50" s="254" t="s">
        <v>7718</v>
      </c>
      <c r="V50" s="425" t="s">
        <v>12263</v>
      </c>
      <c r="W50" s="254" t="s">
        <v>7551</v>
      </c>
      <c r="X50" s="425" t="s">
        <v>12264</v>
      </c>
      <c r="Y50" s="425"/>
      <c r="Z50" s="425"/>
      <c r="AA50" s="254" t="s">
        <v>7551</v>
      </c>
      <c r="AB50" s="110" t="s">
        <v>4803</v>
      </c>
    </row>
    <row r="51" spans="1:28">
      <c r="A51" s="252" t="s">
        <v>12265</v>
      </c>
      <c r="B51" s="213" t="s">
        <v>12266</v>
      </c>
      <c r="C51" s="213" t="s">
        <v>12267</v>
      </c>
      <c r="D51" s="439" t="s">
        <v>12268</v>
      </c>
      <c r="E51" s="252" t="s">
        <v>1732</v>
      </c>
      <c r="F51" s="439" t="s">
        <v>12269</v>
      </c>
      <c r="G51" s="439"/>
      <c r="H51" s="440" t="s">
        <v>11964</v>
      </c>
      <c r="I51" s="427" t="s">
        <v>1736</v>
      </c>
      <c r="J51" s="427" t="s">
        <v>1736</v>
      </c>
      <c r="K51" s="428" t="s">
        <v>4913</v>
      </c>
      <c r="L51" s="428" t="s">
        <v>4913</v>
      </c>
      <c r="M51" s="428" t="s">
        <v>4913</v>
      </c>
      <c r="N51" s="428" t="s">
        <v>4913</v>
      </c>
      <c r="O51" s="428" t="s">
        <v>4913</v>
      </c>
      <c r="P51" s="428" t="s">
        <v>4913</v>
      </c>
      <c r="Q51" s="428" t="s">
        <v>4913</v>
      </c>
      <c r="R51" s="255" t="s">
        <v>1737</v>
      </c>
      <c r="S51" s="255" t="s">
        <v>1737</v>
      </c>
      <c r="T51" s="425"/>
      <c r="U51" s="254" t="s">
        <v>7731</v>
      </c>
      <c r="V51" s="425" t="s">
        <v>12270</v>
      </c>
      <c r="W51" s="254" t="s">
        <v>7551</v>
      </c>
      <c r="X51" s="425" t="s">
        <v>12271</v>
      </c>
      <c r="Y51" s="425"/>
      <c r="Z51" s="425"/>
      <c r="AA51" s="254" t="s">
        <v>7551</v>
      </c>
      <c r="AB51" s="110" t="s">
        <v>4803</v>
      </c>
    </row>
    <row r="52" spans="1:28">
      <c r="A52" s="252" t="s">
        <v>12272</v>
      </c>
      <c r="B52" s="213" t="s">
        <v>12273</v>
      </c>
      <c r="C52" s="213" t="s">
        <v>12274</v>
      </c>
      <c r="D52" s="439" t="s">
        <v>12275</v>
      </c>
      <c r="E52" s="252" t="s">
        <v>1732</v>
      </c>
      <c r="F52" s="439" t="s">
        <v>12276</v>
      </c>
      <c r="G52" s="439"/>
      <c r="H52" s="440" t="s">
        <v>11973</v>
      </c>
      <c r="I52" s="427" t="s">
        <v>1736</v>
      </c>
      <c r="J52" s="427" t="s">
        <v>1736</v>
      </c>
      <c r="K52" s="428" t="s">
        <v>4913</v>
      </c>
      <c r="L52" s="428" t="s">
        <v>4913</v>
      </c>
      <c r="M52" s="428" t="s">
        <v>4913</v>
      </c>
      <c r="N52" s="428" t="s">
        <v>4913</v>
      </c>
      <c r="O52" s="428" t="s">
        <v>4913</v>
      </c>
      <c r="P52" s="428" t="s">
        <v>4913</v>
      </c>
      <c r="Q52" s="428" t="s">
        <v>4913</v>
      </c>
      <c r="R52" s="255" t="s">
        <v>1737</v>
      </c>
      <c r="S52" s="255" t="s">
        <v>1737</v>
      </c>
      <c r="T52" s="425"/>
      <c r="U52" s="254" t="s">
        <v>7731</v>
      </c>
      <c r="V52" s="425" t="s">
        <v>12277</v>
      </c>
      <c r="W52" s="259" t="s">
        <v>7551</v>
      </c>
      <c r="X52" s="254" t="s">
        <v>12278</v>
      </c>
      <c r="Y52" s="425"/>
      <c r="Z52" s="425"/>
      <c r="AA52" s="259" t="s">
        <v>7551</v>
      </c>
      <c r="AB52" s="110" t="s">
        <v>4803</v>
      </c>
    </row>
    <row r="53" spans="1:28">
      <c r="A53" s="252" t="s">
        <v>12279</v>
      </c>
      <c r="B53" s="213" t="s">
        <v>12280</v>
      </c>
      <c r="C53" s="213" t="s">
        <v>12281</v>
      </c>
      <c r="D53" s="439" t="s">
        <v>12282</v>
      </c>
      <c r="E53" s="252" t="s">
        <v>1732</v>
      </c>
      <c r="F53" s="439" t="s">
        <v>12283</v>
      </c>
      <c r="G53" s="439"/>
      <c r="H53" s="440" t="s">
        <v>12284</v>
      </c>
      <c r="I53" s="427" t="s">
        <v>1736</v>
      </c>
      <c r="J53" s="428" t="s">
        <v>4913</v>
      </c>
      <c r="K53" s="428" t="s">
        <v>4913</v>
      </c>
      <c r="L53" s="428" t="s">
        <v>4913</v>
      </c>
      <c r="M53" s="428" t="s">
        <v>4913</v>
      </c>
      <c r="N53" s="428" t="s">
        <v>4913</v>
      </c>
      <c r="O53" s="428" t="s">
        <v>4913</v>
      </c>
      <c r="P53" s="428" t="s">
        <v>4913</v>
      </c>
      <c r="Q53" s="428" t="s">
        <v>4913</v>
      </c>
      <c r="R53" s="255" t="s">
        <v>1737</v>
      </c>
      <c r="S53" s="255" t="s">
        <v>1737</v>
      </c>
      <c r="T53" s="425"/>
      <c r="U53" s="254" t="s">
        <v>7478</v>
      </c>
      <c r="V53" s="425" t="s">
        <v>12285</v>
      </c>
      <c r="W53" s="254" t="s">
        <v>7551</v>
      </c>
      <c r="X53" s="425" t="s">
        <v>12286</v>
      </c>
      <c r="Y53" s="425"/>
      <c r="Z53" s="425"/>
      <c r="AA53" s="254" t="s">
        <v>7551</v>
      </c>
      <c r="AB53" s="110" t="s">
        <v>4803</v>
      </c>
    </row>
    <row r="54" spans="1:28">
      <c r="A54" s="252" t="s">
        <v>12287</v>
      </c>
      <c r="B54" s="213" t="s">
        <v>12288</v>
      </c>
      <c r="C54" s="213" t="s">
        <v>12289</v>
      </c>
      <c r="D54" s="439" t="s">
        <v>12290</v>
      </c>
      <c r="E54" s="252" t="s">
        <v>1732</v>
      </c>
      <c r="F54" s="439" t="s">
        <v>12291</v>
      </c>
      <c r="G54" s="439"/>
      <c r="H54" s="440" t="s">
        <v>12292</v>
      </c>
      <c r="I54" s="427" t="s">
        <v>1736</v>
      </c>
      <c r="J54" s="428" t="s">
        <v>4913</v>
      </c>
      <c r="K54" s="428" t="s">
        <v>4913</v>
      </c>
      <c r="L54" s="428" t="s">
        <v>4913</v>
      </c>
      <c r="M54" s="428" t="s">
        <v>4913</v>
      </c>
      <c r="N54" s="428" t="s">
        <v>4913</v>
      </c>
      <c r="O54" s="428" t="s">
        <v>4913</v>
      </c>
      <c r="P54" s="428" t="s">
        <v>4913</v>
      </c>
      <c r="Q54" s="428" t="s">
        <v>4913</v>
      </c>
      <c r="R54" s="255" t="s">
        <v>1737</v>
      </c>
      <c r="S54" s="255" t="s">
        <v>1737</v>
      </c>
      <c r="T54" s="425"/>
      <c r="U54" s="254" t="s">
        <v>7478</v>
      </c>
      <c r="V54" s="425" t="s">
        <v>12293</v>
      </c>
      <c r="W54" s="254" t="s">
        <v>7551</v>
      </c>
      <c r="X54" s="425" t="s">
        <v>12294</v>
      </c>
      <c r="Y54" s="425"/>
      <c r="Z54" s="425"/>
      <c r="AA54" s="254" t="s">
        <v>7551</v>
      </c>
      <c r="AB54" s="110" t="s">
        <v>4803</v>
      </c>
    </row>
    <row r="55" spans="1:28">
      <c r="A55" s="252" t="s">
        <v>12295</v>
      </c>
      <c r="B55" s="213" t="s">
        <v>12296</v>
      </c>
      <c r="C55" s="213" t="s">
        <v>12297</v>
      </c>
      <c r="D55" s="439" t="s">
        <v>12298</v>
      </c>
      <c r="E55" s="252" t="s">
        <v>1732</v>
      </c>
      <c r="F55" s="439" t="s">
        <v>12299</v>
      </c>
      <c r="G55" s="439"/>
      <c r="H55" s="440" t="s">
        <v>12300</v>
      </c>
      <c r="I55" s="427" t="s">
        <v>1736</v>
      </c>
      <c r="J55" s="428" t="s">
        <v>4913</v>
      </c>
      <c r="K55" s="428" t="s">
        <v>4913</v>
      </c>
      <c r="L55" s="428" t="s">
        <v>4913</v>
      </c>
      <c r="M55" s="428" t="s">
        <v>4913</v>
      </c>
      <c r="N55" s="428" t="s">
        <v>4913</v>
      </c>
      <c r="O55" s="428" t="s">
        <v>4913</v>
      </c>
      <c r="P55" s="428" t="s">
        <v>4913</v>
      </c>
      <c r="Q55" s="428" t="s">
        <v>4913</v>
      </c>
      <c r="R55" s="255" t="s">
        <v>1737</v>
      </c>
      <c r="S55" s="255" t="s">
        <v>1737</v>
      </c>
      <c r="T55" s="425"/>
      <c r="U55" s="254" t="s">
        <v>7583</v>
      </c>
      <c r="V55" s="425" t="s">
        <v>12301</v>
      </c>
      <c r="W55" s="254" t="s">
        <v>7551</v>
      </c>
      <c r="X55" s="425" t="s">
        <v>12302</v>
      </c>
      <c r="Y55" s="425"/>
      <c r="Z55" s="425"/>
      <c r="AA55" s="254" t="s">
        <v>7551</v>
      </c>
      <c r="AB55" s="110" t="s">
        <v>4803</v>
      </c>
    </row>
    <row r="56" spans="1:28">
      <c r="A56" s="252" t="s">
        <v>12303</v>
      </c>
      <c r="B56" s="213" t="s">
        <v>12304</v>
      </c>
      <c r="C56" s="213" t="s">
        <v>12305</v>
      </c>
      <c r="D56" s="439" t="s">
        <v>12306</v>
      </c>
      <c r="E56" s="252" t="s">
        <v>1732</v>
      </c>
      <c r="F56" s="439" t="s">
        <v>12307</v>
      </c>
      <c r="G56" s="439"/>
      <c r="H56" s="440" t="s">
        <v>12308</v>
      </c>
      <c r="I56" s="427" t="s">
        <v>1736</v>
      </c>
      <c r="J56" s="428" t="s">
        <v>4913</v>
      </c>
      <c r="K56" s="428" t="s">
        <v>4913</v>
      </c>
      <c r="L56" s="428" t="s">
        <v>4913</v>
      </c>
      <c r="M56" s="428" t="s">
        <v>4913</v>
      </c>
      <c r="N56" s="428" t="s">
        <v>4913</v>
      </c>
      <c r="O56" s="428" t="s">
        <v>4913</v>
      </c>
      <c r="P56" s="428" t="s">
        <v>4913</v>
      </c>
      <c r="Q56" s="428" t="s">
        <v>4913</v>
      </c>
      <c r="R56" s="255" t="s">
        <v>1737</v>
      </c>
      <c r="S56" s="255" t="s">
        <v>1737</v>
      </c>
      <c r="T56" s="425"/>
      <c r="U56" s="254" t="s">
        <v>7583</v>
      </c>
      <c r="V56" s="425" t="s">
        <v>12309</v>
      </c>
      <c r="W56" s="254" t="s">
        <v>7551</v>
      </c>
      <c r="X56" s="425" t="s">
        <v>12310</v>
      </c>
      <c r="Y56" s="425"/>
      <c r="Z56" s="425"/>
      <c r="AA56" s="254" t="s">
        <v>7551</v>
      </c>
      <c r="AB56" s="110" t="s">
        <v>4803</v>
      </c>
    </row>
    <row r="57" spans="1:28">
      <c r="A57" s="252" t="s">
        <v>12311</v>
      </c>
      <c r="B57" s="213" t="s">
        <v>12312</v>
      </c>
      <c r="C57" s="213" t="s">
        <v>12313</v>
      </c>
      <c r="D57" s="439" t="s">
        <v>12314</v>
      </c>
      <c r="E57" s="252" t="s">
        <v>1732</v>
      </c>
      <c r="F57" s="439" t="s">
        <v>12315</v>
      </c>
      <c r="G57" s="439"/>
      <c r="H57" s="440" t="s">
        <v>12316</v>
      </c>
      <c r="I57" s="427" t="s">
        <v>1736</v>
      </c>
      <c r="J57" s="428" t="s">
        <v>4913</v>
      </c>
      <c r="K57" s="428" t="s">
        <v>4913</v>
      </c>
      <c r="L57" s="428" t="s">
        <v>4913</v>
      </c>
      <c r="M57" s="428" t="s">
        <v>4913</v>
      </c>
      <c r="N57" s="428" t="s">
        <v>4913</v>
      </c>
      <c r="O57" s="428" t="s">
        <v>4913</v>
      </c>
      <c r="P57" s="428" t="s">
        <v>4913</v>
      </c>
      <c r="Q57" s="428" t="s">
        <v>4913</v>
      </c>
      <c r="R57" s="255" t="s">
        <v>1737</v>
      </c>
      <c r="S57" s="255" t="s">
        <v>1737</v>
      </c>
      <c r="T57" s="425"/>
      <c r="U57" s="254" t="s">
        <v>7583</v>
      </c>
      <c r="V57" s="425" t="s">
        <v>12317</v>
      </c>
      <c r="W57" s="254" t="s">
        <v>7551</v>
      </c>
      <c r="X57" s="425" t="s">
        <v>12318</v>
      </c>
      <c r="Y57" s="425"/>
      <c r="Z57" s="425"/>
      <c r="AA57" s="254" t="s">
        <v>7551</v>
      </c>
      <c r="AB57" s="110" t="s">
        <v>4803</v>
      </c>
    </row>
    <row r="58" spans="1:28">
      <c r="A58" s="252" t="s">
        <v>12319</v>
      </c>
      <c r="B58" s="213" t="s">
        <v>12320</v>
      </c>
      <c r="C58" s="213" t="s">
        <v>12321</v>
      </c>
      <c r="D58" s="439" t="s">
        <v>12322</v>
      </c>
      <c r="E58" s="252" t="s">
        <v>1732</v>
      </c>
      <c r="F58" s="439" t="s">
        <v>12323</v>
      </c>
      <c r="G58" s="439"/>
      <c r="H58" s="440" t="s">
        <v>12324</v>
      </c>
      <c r="I58" s="427" t="s">
        <v>1736</v>
      </c>
      <c r="J58" s="428" t="s">
        <v>4913</v>
      </c>
      <c r="K58" s="428" t="s">
        <v>4913</v>
      </c>
      <c r="L58" s="428" t="s">
        <v>4913</v>
      </c>
      <c r="M58" s="428" t="s">
        <v>4913</v>
      </c>
      <c r="N58" s="428" t="s">
        <v>4913</v>
      </c>
      <c r="O58" s="428" t="s">
        <v>4913</v>
      </c>
      <c r="P58" s="428" t="s">
        <v>4913</v>
      </c>
      <c r="Q58" s="428" t="s">
        <v>4913</v>
      </c>
      <c r="R58" s="255" t="s">
        <v>1737</v>
      </c>
      <c r="S58" s="255" t="s">
        <v>1737</v>
      </c>
      <c r="T58" s="425"/>
      <c r="U58" s="254" t="s">
        <v>7478</v>
      </c>
      <c r="V58" s="425" t="s">
        <v>12325</v>
      </c>
      <c r="W58" s="254" t="s">
        <v>7551</v>
      </c>
      <c r="X58" s="425" t="s">
        <v>12326</v>
      </c>
      <c r="Y58" s="425"/>
      <c r="Z58" s="425"/>
      <c r="AA58" s="254" t="s">
        <v>7551</v>
      </c>
      <c r="AB58" s="110" t="s">
        <v>4803</v>
      </c>
    </row>
    <row r="59" spans="1:28">
      <c r="A59" s="252" t="s">
        <v>12327</v>
      </c>
      <c r="B59" s="213" t="s">
        <v>12328</v>
      </c>
      <c r="C59" s="213" t="s">
        <v>12329</v>
      </c>
      <c r="D59" s="439" t="s">
        <v>12330</v>
      </c>
      <c r="E59" s="252" t="s">
        <v>1732</v>
      </c>
      <c r="F59" s="439" t="s">
        <v>12331</v>
      </c>
      <c r="G59" s="439"/>
      <c r="H59" s="440" t="s">
        <v>12332</v>
      </c>
      <c r="I59" s="427" t="s">
        <v>1736</v>
      </c>
      <c r="J59" s="427" t="s">
        <v>1736</v>
      </c>
      <c r="K59" s="428" t="s">
        <v>4913</v>
      </c>
      <c r="L59" s="428" t="s">
        <v>4913</v>
      </c>
      <c r="M59" s="428" t="s">
        <v>4913</v>
      </c>
      <c r="N59" s="428" t="s">
        <v>4913</v>
      </c>
      <c r="O59" s="428" t="s">
        <v>4913</v>
      </c>
      <c r="P59" s="428" t="s">
        <v>4913</v>
      </c>
      <c r="Q59" s="428" t="s">
        <v>4913</v>
      </c>
      <c r="R59" s="255" t="s">
        <v>1737</v>
      </c>
      <c r="S59" s="255" t="s">
        <v>1737</v>
      </c>
      <c r="T59" s="425"/>
      <c r="U59" s="254" t="s">
        <v>7583</v>
      </c>
      <c r="V59" s="425" t="s">
        <v>12333</v>
      </c>
      <c r="W59" s="254" t="s">
        <v>7551</v>
      </c>
      <c r="X59" s="425" t="s">
        <v>12334</v>
      </c>
      <c r="Y59" s="425"/>
      <c r="Z59" s="425"/>
      <c r="AA59" s="254" t="s">
        <v>7551</v>
      </c>
      <c r="AB59" s="110" t="s">
        <v>4803</v>
      </c>
    </row>
    <row r="60" spans="1:28">
      <c r="A60" s="252" t="s">
        <v>12335</v>
      </c>
      <c r="B60" s="213" t="s">
        <v>12336</v>
      </c>
      <c r="C60" s="213" t="s">
        <v>12321</v>
      </c>
      <c r="D60" s="439" t="s">
        <v>12337</v>
      </c>
      <c r="E60" s="252" t="s">
        <v>1732</v>
      </c>
      <c r="F60" s="439" t="s">
        <v>12338</v>
      </c>
      <c r="G60" s="439"/>
      <c r="H60" s="440" t="s">
        <v>12339</v>
      </c>
      <c r="I60" s="427" t="s">
        <v>1736</v>
      </c>
      <c r="J60" s="428" t="s">
        <v>4913</v>
      </c>
      <c r="K60" s="428" t="s">
        <v>4913</v>
      </c>
      <c r="L60" s="428" t="s">
        <v>4913</v>
      </c>
      <c r="M60" s="428" t="s">
        <v>4913</v>
      </c>
      <c r="N60" s="428" t="s">
        <v>4913</v>
      </c>
      <c r="O60" s="428" t="s">
        <v>4913</v>
      </c>
      <c r="P60" s="428" t="s">
        <v>4913</v>
      </c>
      <c r="Q60" s="428" t="s">
        <v>4913</v>
      </c>
      <c r="R60" s="255" t="s">
        <v>1737</v>
      </c>
      <c r="S60" s="255" t="s">
        <v>1737</v>
      </c>
      <c r="T60" s="425"/>
      <c r="U60" s="254" t="s">
        <v>7705</v>
      </c>
      <c r="V60" s="425" t="s">
        <v>12340</v>
      </c>
      <c r="W60" s="254" t="s">
        <v>7551</v>
      </c>
      <c r="X60" s="425" t="s">
        <v>12341</v>
      </c>
      <c r="Y60" s="425"/>
      <c r="Z60" s="425"/>
      <c r="AA60" s="254" t="s">
        <v>7551</v>
      </c>
      <c r="AB60" s="110" t="s">
        <v>4803</v>
      </c>
    </row>
    <row r="61" spans="1:28">
      <c r="A61" s="252" t="s">
        <v>12342</v>
      </c>
      <c r="B61" s="213" t="s">
        <v>12343</v>
      </c>
      <c r="C61" s="213" t="s">
        <v>12329</v>
      </c>
      <c r="D61" s="439" t="s">
        <v>12344</v>
      </c>
      <c r="E61" s="252" t="s">
        <v>1732</v>
      </c>
      <c r="F61" s="439" t="s">
        <v>12345</v>
      </c>
      <c r="G61" s="439"/>
      <c r="H61" s="440" t="s">
        <v>12346</v>
      </c>
      <c r="I61" s="427" t="s">
        <v>1736</v>
      </c>
      <c r="J61" s="427" t="s">
        <v>1736</v>
      </c>
      <c r="K61" s="428" t="s">
        <v>4913</v>
      </c>
      <c r="L61" s="428" t="s">
        <v>4913</v>
      </c>
      <c r="M61" s="428" t="s">
        <v>4913</v>
      </c>
      <c r="N61" s="428" t="s">
        <v>4913</v>
      </c>
      <c r="O61" s="428" t="s">
        <v>4913</v>
      </c>
      <c r="P61" s="428" t="s">
        <v>4913</v>
      </c>
      <c r="Q61" s="428" t="s">
        <v>4913</v>
      </c>
      <c r="R61" s="255" t="s">
        <v>1737</v>
      </c>
      <c r="S61" s="255" t="s">
        <v>1737</v>
      </c>
      <c r="T61" s="425"/>
      <c r="U61" s="254" t="s">
        <v>7583</v>
      </c>
      <c r="V61" s="425" t="s">
        <v>12347</v>
      </c>
      <c r="W61" s="254" t="s">
        <v>7551</v>
      </c>
      <c r="X61" s="425" t="s">
        <v>12348</v>
      </c>
      <c r="Y61" s="425"/>
      <c r="Z61" s="425"/>
      <c r="AA61" s="254" t="s">
        <v>7551</v>
      </c>
      <c r="AB61" s="110" t="s">
        <v>4803</v>
      </c>
    </row>
    <row r="62" spans="1:28">
      <c r="A62" s="252" t="s">
        <v>12349</v>
      </c>
      <c r="B62" s="213" t="s">
        <v>12350</v>
      </c>
      <c r="C62" s="213" t="s">
        <v>12321</v>
      </c>
      <c r="D62" s="439" t="s">
        <v>12351</v>
      </c>
      <c r="E62" s="252" t="s">
        <v>1732</v>
      </c>
      <c r="F62" s="439" t="s">
        <v>12352</v>
      </c>
      <c r="G62" s="439"/>
      <c r="H62" s="440" t="s">
        <v>12353</v>
      </c>
      <c r="I62" s="427" t="s">
        <v>1736</v>
      </c>
      <c r="J62" s="428" t="s">
        <v>4913</v>
      </c>
      <c r="K62" s="428" t="s">
        <v>4913</v>
      </c>
      <c r="L62" s="428" t="s">
        <v>4913</v>
      </c>
      <c r="M62" s="428" t="s">
        <v>4913</v>
      </c>
      <c r="N62" s="428" t="s">
        <v>4913</v>
      </c>
      <c r="O62" s="428" t="s">
        <v>4913</v>
      </c>
      <c r="P62" s="428" t="s">
        <v>4913</v>
      </c>
      <c r="Q62" s="428" t="s">
        <v>4913</v>
      </c>
      <c r="R62" s="255" t="s">
        <v>1737</v>
      </c>
      <c r="S62" s="255" t="s">
        <v>1737</v>
      </c>
      <c r="T62" s="425"/>
      <c r="U62" s="254" t="s">
        <v>7705</v>
      </c>
      <c r="V62" s="425" t="s">
        <v>12354</v>
      </c>
      <c r="W62" s="254" t="s">
        <v>7551</v>
      </c>
      <c r="X62" s="425" t="s">
        <v>12355</v>
      </c>
      <c r="Y62" s="425"/>
      <c r="Z62" s="425"/>
      <c r="AA62" s="254" t="s">
        <v>7551</v>
      </c>
      <c r="AB62" s="110" t="s">
        <v>4803</v>
      </c>
    </row>
    <row r="63" spans="1:28">
      <c r="A63" s="252" t="s">
        <v>12356</v>
      </c>
      <c r="B63" s="213" t="s">
        <v>12357</v>
      </c>
      <c r="C63" s="213" t="s">
        <v>12329</v>
      </c>
      <c r="D63" s="439" t="s">
        <v>12358</v>
      </c>
      <c r="E63" s="252" t="s">
        <v>1732</v>
      </c>
      <c r="F63" s="439" t="s">
        <v>12359</v>
      </c>
      <c r="G63" s="439"/>
      <c r="H63" s="440" t="s">
        <v>12360</v>
      </c>
      <c r="I63" s="427" t="s">
        <v>1736</v>
      </c>
      <c r="J63" s="427" t="s">
        <v>1736</v>
      </c>
      <c r="K63" s="428" t="s">
        <v>4913</v>
      </c>
      <c r="L63" s="428" t="s">
        <v>4913</v>
      </c>
      <c r="M63" s="428" t="s">
        <v>4913</v>
      </c>
      <c r="N63" s="428" t="s">
        <v>4913</v>
      </c>
      <c r="O63" s="428" t="s">
        <v>4913</v>
      </c>
      <c r="P63" s="428" t="s">
        <v>4913</v>
      </c>
      <c r="Q63" s="428" t="s">
        <v>4913</v>
      </c>
      <c r="R63" s="255" t="s">
        <v>1737</v>
      </c>
      <c r="S63" s="255" t="s">
        <v>1737</v>
      </c>
      <c r="T63" s="425"/>
      <c r="U63" s="254" t="s">
        <v>7583</v>
      </c>
      <c r="V63" s="425" t="s">
        <v>12361</v>
      </c>
      <c r="W63" s="254" t="s">
        <v>7551</v>
      </c>
      <c r="X63" s="425" t="s">
        <v>12362</v>
      </c>
      <c r="Y63" s="425"/>
      <c r="Z63" s="425"/>
      <c r="AA63" s="254" t="s">
        <v>7551</v>
      </c>
      <c r="AB63" s="110" t="s">
        <v>4803</v>
      </c>
    </row>
    <row r="64" spans="1:28">
      <c r="A64" s="252" t="s">
        <v>12363</v>
      </c>
      <c r="B64" s="213" t="s">
        <v>12364</v>
      </c>
      <c r="C64" s="213" t="s">
        <v>12365</v>
      </c>
      <c r="D64" s="439" t="s">
        <v>12366</v>
      </c>
      <c r="E64" s="252" t="s">
        <v>1732</v>
      </c>
      <c r="F64" s="439" t="s">
        <v>12323</v>
      </c>
      <c r="G64" s="439"/>
      <c r="H64" s="440" t="s">
        <v>12324</v>
      </c>
      <c r="I64" s="427" t="s">
        <v>1736</v>
      </c>
      <c r="J64" s="428" t="s">
        <v>4913</v>
      </c>
      <c r="K64" s="428" t="s">
        <v>4913</v>
      </c>
      <c r="L64" s="428" t="s">
        <v>4913</v>
      </c>
      <c r="M64" s="428" t="s">
        <v>4913</v>
      </c>
      <c r="N64" s="428" t="s">
        <v>4913</v>
      </c>
      <c r="O64" s="428" t="s">
        <v>4913</v>
      </c>
      <c r="P64" s="428" t="s">
        <v>4913</v>
      </c>
      <c r="Q64" s="428" t="s">
        <v>4913</v>
      </c>
      <c r="R64" s="255" t="s">
        <v>1737</v>
      </c>
      <c r="S64" s="255" t="s">
        <v>1737</v>
      </c>
      <c r="T64" s="425"/>
      <c r="U64" s="254" t="s">
        <v>7705</v>
      </c>
      <c r="V64" s="425" t="s">
        <v>12367</v>
      </c>
      <c r="W64" s="254" t="s">
        <v>7551</v>
      </c>
      <c r="X64" s="425" t="s">
        <v>12368</v>
      </c>
      <c r="Y64" s="425"/>
      <c r="Z64" s="425"/>
      <c r="AA64" s="254" t="s">
        <v>7551</v>
      </c>
      <c r="AB64" s="110" t="s">
        <v>4803</v>
      </c>
    </row>
    <row r="65" spans="1:28">
      <c r="A65" s="252" t="s">
        <v>12369</v>
      </c>
      <c r="B65" s="213" t="s">
        <v>12370</v>
      </c>
      <c r="C65" s="213" t="s">
        <v>12371</v>
      </c>
      <c r="D65" s="439" t="s">
        <v>12372</v>
      </c>
      <c r="E65" s="252" t="s">
        <v>1732</v>
      </c>
      <c r="F65" s="439" t="s">
        <v>12331</v>
      </c>
      <c r="G65" s="439"/>
      <c r="H65" s="440" t="s">
        <v>12332</v>
      </c>
      <c r="I65" s="427" t="s">
        <v>1736</v>
      </c>
      <c r="J65" s="427" t="s">
        <v>1736</v>
      </c>
      <c r="K65" s="428" t="s">
        <v>4913</v>
      </c>
      <c r="L65" s="428" t="s">
        <v>4913</v>
      </c>
      <c r="M65" s="428" t="s">
        <v>4913</v>
      </c>
      <c r="N65" s="428" t="s">
        <v>4913</v>
      </c>
      <c r="O65" s="428" t="s">
        <v>4913</v>
      </c>
      <c r="P65" s="428" t="s">
        <v>4913</v>
      </c>
      <c r="Q65" s="428" t="s">
        <v>4913</v>
      </c>
      <c r="R65" s="255" t="s">
        <v>1737</v>
      </c>
      <c r="S65" s="255" t="s">
        <v>1737</v>
      </c>
      <c r="T65" s="425"/>
      <c r="U65" s="254" t="s">
        <v>7583</v>
      </c>
      <c r="V65" s="425" t="s">
        <v>12373</v>
      </c>
      <c r="W65" s="254" t="s">
        <v>7551</v>
      </c>
      <c r="X65" s="425" t="s">
        <v>12374</v>
      </c>
      <c r="Y65" s="425"/>
      <c r="Z65" s="425"/>
      <c r="AA65" s="254" t="s">
        <v>7551</v>
      </c>
      <c r="AB65" s="110" t="s">
        <v>4803</v>
      </c>
    </row>
    <row r="66" spans="1:28">
      <c r="A66" s="252" t="s">
        <v>12375</v>
      </c>
      <c r="B66" s="213" t="s">
        <v>12376</v>
      </c>
      <c r="C66" s="213" t="s">
        <v>12365</v>
      </c>
      <c r="D66" s="439" t="s">
        <v>12377</v>
      </c>
      <c r="E66" s="252" t="s">
        <v>1732</v>
      </c>
      <c r="F66" s="439" t="s">
        <v>12338</v>
      </c>
      <c r="G66" s="439"/>
      <c r="H66" s="440" t="s">
        <v>12339</v>
      </c>
      <c r="I66" s="427" t="s">
        <v>1736</v>
      </c>
      <c r="J66" s="428" t="s">
        <v>4913</v>
      </c>
      <c r="K66" s="428" t="s">
        <v>4913</v>
      </c>
      <c r="L66" s="428" t="s">
        <v>4913</v>
      </c>
      <c r="M66" s="428" t="s">
        <v>4913</v>
      </c>
      <c r="N66" s="428" t="s">
        <v>4913</v>
      </c>
      <c r="O66" s="428" t="s">
        <v>4913</v>
      </c>
      <c r="P66" s="428" t="s">
        <v>4913</v>
      </c>
      <c r="Q66" s="428" t="s">
        <v>4913</v>
      </c>
      <c r="R66" s="255" t="s">
        <v>1737</v>
      </c>
      <c r="S66" s="255" t="s">
        <v>1737</v>
      </c>
      <c r="T66" s="425"/>
      <c r="U66" s="254" t="s">
        <v>7705</v>
      </c>
      <c r="V66" s="425" t="s">
        <v>12378</v>
      </c>
      <c r="W66" s="254" t="s">
        <v>7551</v>
      </c>
      <c r="X66" s="425" t="s">
        <v>12379</v>
      </c>
      <c r="Y66" s="425"/>
      <c r="Z66" s="425"/>
      <c r="AA66" s="254" t="s">
        <v>7551</v>
      </c>
      <c r="AB66" s="110" t="s">
        <v>4803</v>
      </c>
    </row>
    <row r="67" spans="1:28">
      <c r="A67" s="252" t="s">
        <v>12380</v>
      </c>
      <c r="B67" s="213" t="s">
        <v>12381</v>
      </c>
      <c r="C67" s="213" t="s">
        <v>12371</v>
      </c>
      <c r="D67" s="439" t="s">
        <v>12382</v>
      </c>
      <c r="E67" s="252" t="s">
        <v>1732</v>
      </c>
      <c r="F67" s="439" t="s">
        <v>12345</v>
      </c>
      <c r="G67" s="439"/>
      <c r="H67" s="440" t="s">
        <v>12346</v>
      </c>
      <c r="I67" s="427" t="s">
        <v>1736</v>
      </c>
      <c r="J67" s="427" t="s">
        <v>1736</v>
      </c>
      <c r="K67" s="428" t="s">
        <v>4913</v>
      </c>
      <c r="L67" s="428" t="s">
        <v>4913</v>
      </c>
      <c r="M67" s="428" t="s">
        <v>4913</v>
      </c>
      <c r="N67" s="428" t="s">
        <v>4913</v>
      </c>
      <c r="O67" s="428" t="s">
        <v>4913</v>
      </c>
      <c r="P67" s="428" t="s">
        <v>4913</v>
      </c>
      <c r="Q67" s="428" t="s">
        <v>4913</v>
      </c>
      <c r="R67" s="255" t="s">
        <v>1737</v>
      </c>
      <c r="S67" s="255" t="s">
        <v>1737</v>
      </c>
      <c r="T67" s="425"/>
      <c r="U67" s="254" t="s">
        <v>7583</v>
      </c>
      <c r="V67" s="425" t="s">
        <v>12383</v>
      </c>
      <c r="W67" s="254" t="s">
        <v>7551</v>
      </c>
      <c r="X67" s="425" t="s">
        <v>12384</v>
      </c>
      <c r="Y67" s="425"/>
      <c r="Z67" s="425"/>
      <c r="AA67" s="254" t="s">
        <v>7551</v>
      </c>
      <c r="AB67" s="110" t="s">
        <v>4803</v>
      </c>
    </row>
    <row r="68" spans="1:28">
      <c r="A68" s="252" t="s">
        <v>12385</v>
      </c>
      <c r="B68" s="213" t="s">
        <v>12386</v>
      </c>
      <c r="C68" s="213" t="s">
        <v>12387</v>
      </c>
      <c r="D68" s="439" t="s">
        <v>12388</v>
      </c>
      <c r="E68" s="252" t="s">
        <v>1732</v>
      </c>
      <c r="F68" s="439" t="s">
        <v>12338</v>
      </c>
      <c r="G68" s="439"/>
      <c r="H68" s="440" t="s">
        <v>12339</v>
      </c>
      <c r="I68" s="427" t="s">
        <v>1736</v>
      </c>
      <c r="J68" s="428" t="s">
        <v>4913</v>
      </c>
      <c r="K68" s="428" t="s">
        <v>4913</v>
      </c>
      <c r="L68" s="428" t="s">
        <v>4913</v>
      </c>
      <c r="M68" s="428" t="s">
        <v>4913</v>
      </c>
      <c r="N68" s="428" t="s">
        <v>4913</v>
      </c>
      <c r="O68" s="428" t="s">
        <v>4913</v>
      </c>
      <c r="P68" s="428" t="s">
        <v>4913</v>
      </c>
      <c r="Q68" s="428" t="s">
        <v>4913</v>
      </c>
      <c r="R68" s="255" t="s">
        <v>1737</v>
      </c>
      <c r="S68" s="255" t="s">
        <v>1737</v>
      </c>
      <c r="T68" s="425"/>
      <c r="U68" s="254" t="s">
        <v>7705</v>
      </c>
      <c r="V68" s="425" t="s">
        <v>12389</v>
      </c>
      <c r="W68" s="254" t="s">
        <v>7551</v>
      </c>
      <c r="X68" s="425" t="s">
        <v>12390</v>
      </c>
      <c r="Y68" s="425"/>
      <c r="Z68" s="425"/>
      <c r="AA68" s="254" t="s">
        <v>7551</v>
      </c>
      <c r="AB68" s="110" t="s">
        <v>4803</v>
      </c>
    </row>
    <row r="69" spans="1:28">
      <c r="A69" s="252" t="s">
        <v>12391</v>
      </c>
      <c r="B69" s="213" t="s">
        <v>12392</v>
      </c>
      <c r="C69" s="213" t="s">
        <v>12393</v>
      </c>
      <c r="D69" s="439" t="s">
        <v>12394</v>
      </c>
      <c r="E69" s="252" t="s">
        <v>1732</v>
      </c>
      <c r="F69" s="439" t="s">
        <v>12345</v>
      </c>
      <c r="G69" s="439"/>
      <c r="H69" s="440" t="s">
        <v>12346</v>
      </c>
      <c r="I69" s="427" t="s">
        <v>1736</v>
      </c>
      <c r="J69" s="427" t="s">
        <v>1736</v>
      </c>
      <c r="K69" s="428" t="s">
        <v>4913</v>
      </c>
      <c r="L69" s="428" t="s">
        <v>4913</v>
      </c>
      <c r="M69" s="428" t="s">
        <v>4913</v>
      </c>
      <c r="N69" s="428" t="s">
        <v>4913</v>
      </c>
      <c r="O69" s="428" t="s">
        <v>4913</v>
      </c>
      <c r="P69" s="428" t="s">
        <v>4913</v>
      </c>
      <c r="Q69" s="428" t="s">
        <v>4913</v>
      </c>
      <c r="R69" s="255" t="s">
        <v>1737</v>
      </c>
      <c r="S69" s="255" t="s">
        <v>1737</v>
      </c>
      <c r="T69" s="425"/>
      <c r="U69" s="254" t="s">
        <v>7583</v>
      </c>
      <c r="V69" s="425" t="s">
        <v>12395</v>
      </c>
      <c r="W69" s="254" t="s">
        <v>7551</v>
      </c>
      <c r="X69" s="425" t="s">
        <v>12396</v>
      </c>
      <c r="Y69" s="425"/>
      <c r="Z69" s="425"/>
      <c r="AA69" s="254" t="s">
        <v>7551</v>
      </c>
      <c r="AB69" s="110" t="s">
        <v>4803</v>
      </c>
    </row>
    <row r="70" spans="1:28">
      <c r="A70" s="432" t="s">
        <v>12397</v>
      </c>
      <c r="B70" s="433" t="s">
        <v>12398</v>
      </c>
      <c r="C70" s="434" t="s">
        <v>12399</v>
      </c>
      <c r="D70" s="434" t="s">
        <v>12399</v>
      </c>
      <c r="E70" s="432" t="s">
        <v>1732</v>
      </c>
      <c r="F70" s="434" t="s">
        <v>12400</v>
      </c>
      <c r="G70" s="434"/>
      <c r="H70" s="441" t="s">
        <v>12163</v>
      </c>
      <c r="I70" s="436" t="s">
        <v>4913</v>
      </c>
      <c r="J70" s="436" t="s">
        <v>4913</v>
      </c>
      <c r="K70" s="436" t="s">
        <v>1736</v>
      </c>
      <c r="L70" s="436" t="s">
        <v>4913</v>
      </c>
      <c r="M70" s="436" t="s">
        <v>4913</v>
      </c>
      <c r="N70" s="436" t="s">
        <v>4913</v>
      </c>
      <c r="O70" s="436" t="s">
        <v>4913</v>
      </c>
      <c r="P70" s="436" t="s">
        <v>4913</v>
      </c>
      <c r="Q70" s="436" t="s">
        <v>4913</v>
      </c>
      <c r="R70" s="437" t="s">
        <v>11615</v>
      </c>
      <c r="S70" s="437" t="s">
        <v>11615</v>
      </c>
      <c r="T70" s="438" t="s">
        <v>12164</v>
      </c>
      <c r="U70" s="437"/>
      <c r="V70" s="435"/>
      <c r="W70" s="435"/>
      <c r="X70" s="435"/>
      <c r="Y70" s="435"/>
      <c r="Z70" s="435"/>
      <c r="AA70" s="278"/>
      <c r="AB70" s="36"/>
    </row>
    <row r="71" spans="1:28">
      <c r="A71" s="432" t="s">
        <v>12401</v>
      </c>
      <c r="B71" s="433" t="s">
        <v>12402</v>
      </c>
      <c r="C71" s="434" t="s">
        <v>12403</v>
      </c>
      <c r="D71" s="434" t="s">
        <v>12403</v>
      </c>
      <c r="E71" s="432" t="s">
        <v>1732</v>
      </c>
      <c r="F71" s="434" t="s">
        <v>12404</v>
      </c>
      <c r="G71" s="434"/>
      <c r="H71" s="441" t="s">
        <v>12169</v>
      </c>
      <c r="I71" s="436" t="s">
        <v>4913</v>
      </c>
      <c r="J71" s="436" t="s">
        <v>4913</v>
      </c>
      <c r="K71" s="436" t="s">
        <v>4913</v>
      </c>
      <c r="L71" s="436" t="s">
        <v>1736</v>
      </c>
      <c r="M71" s="436" t="s">
        <v>4913</v>
      </c>
      <c r="N71" s="436" t="s">
        <v>4913</v>
      </c>
      <c r="O71" s="436" t="s">
        <v>4913</v>
      </c>
      <c r="P71" s="436" t="s">
        <v>4913</v>
      </c>
      <c r="Q71" s="436" t="s">
        <v>4913</v>
      </c>
      <c r="R71" s="437" t="s">
        <v>11615</v>
      </c>
      <c r="S71" s="437" t="s">
        <v>11615</v>
      </c>
      <c r="T71" s="438" t="s">
        <v>12164</v>
      </c>
      <c r="U71" s="437"/>
      <c r="V71" s="435"/>
      <c r="W71" s="435"/>
      <c r="X71" s="435"/>
      <c r="Y71" s="435"/>
      <c r="Z71" s="435"/>
      <c r="AA71" s="278"/>
      <c r="AB71" s="36"/>
    </row>
    <row r="72" spans="1:28">
      <c r="A72" s="432" t="s">
        <v>12405</v>
      </c>
      <c r="B72" s="433" t="s">
        <v>12406</v>
      </c>
      <c r="C72" s="434" t="s">
        <v>12407</v>
      </c>
      <c r="D72" s="434" t="s">
        <v>12407</v>
      </c>
      <c r="E72" s="432" t="s">
        <v>1732</v>
      </c>
      <c r="F72" s="434" t="s">
        <v>12408</v>
      </c>
      <c r="G72" s="434"/>
      <c r="H72" s="441" t="s">
        <v>12184</v>
      </c>
      <c r="I72" s="436" t="s">
        <v>4913</v>
      </c>
      <c r="J72" s="436" t="s">
        <v>4913</v>
      </c>
      <c r="K72" s="436" t="s">
        <v>4913</v>
      </c>
      <c r="L72" s="436" t="s">
        <v>4913</v>
      </c>
      <c r="M72" s="436" t="s">
        <v>4913</v>
      </c>
      <c r="N72" s="436" t="s">
        <v>4913</v>
      </c>
      <c r="O72" s="436" t="s">
        <v>1736</v>
      </c>
      <c r="P72" s="436" t="s">
        <v>1736</v>
      </c>
      <c r="Q72" s="436" t="s">
        <v>4913</v>
      </c>
      <c r="R72" s="437" t="s">
        <v>11615</v>
      </c>
      <c r="S72" s="437" t="s">
        <v>11615</v>
      </c>
      <c r="T72" s="438" t="s">
        <v>12164</v>
      </c>
      <c r="U72" s="437"/>
      <c r="V72" s="435"/>
      <c r="W72" s="435"/>
      <c r="X72" s="435"/>
      <c r="Y72" s="435"/>
      <c r="Z72" s="435"/>
      <c r="AA72" s="278"/>
      <c r="AB72" s="36"/>
    </row>
    <row r="73" spans="1:28">
      <c r="A73" s="252" t="s">
        <v>12409</v>
      </c>
      <c r="B73" s="213" t="s">
        <v>12410</v>
      </c>
      <c r="C73" s="213" t="s">
        <v>12411</v>
      </c>
      <c r="D73" s="439" t="s">
        <v>12412</v>
      </c>
      <c r="E73" s="252" t="s">
        <v>1743</v>
      </c>
      <c r="F73" s="439" t="s">
        <v>12413</v>
      </c>
      <c r="G73" s="439"/>
      <c r="H73" s="440" t="s">
        <v>12198</v>
      </c>
      <c r="I73" s="427" t="s">
        <v>1736</v>
      </c>
      <c r="J73" s="428" t="s">
        <v>4913</v>
      </c>
      <c r="K73" s="428" t="s">
        <v>4913</v>
      </c>
      <c r="L73" s="428" t="s">
        <v>4913</v>
      </c>
      <c r="M73" s="428" t="s">
        <v>4913</v>
      </c>
      <c r="N73" s="428" t="s">
        <v>4913</v>
      </c>
      <c r="O73" s="428" t="s">
        <v>4913</v>
      </c>
      <c r="P73" s="428" t="s">
        <v>4913</v>
      </c>
      <c r="Q73" s="428" t="s">
        <v>4913</v>
      </c>
      <c r="R73" s="255" t="s">
        <v>1737</v>
      </c>
      <c r="S73" s="255" t="s">
        <v>1737</v>
      </c>
      <c r="T73" s="425"/>
      <c r="U73" s="254" t="s">
        <v>7529</v>
      </c>
      <c r="V73" s="254" t="s">
        <v>12414</v>
      </c>
      <c r="W73" s="254" t="s">
        <v>12415</v>
      </c>
      <c r="X73" s="425" t="s">
        <v>12416</v>
      </c>
      <c r="Y73" s="425"/>
      <c r="Z73" s="425"/>
      <c r="AA73" s="254" t="s">
        <v>7501</v>
      </c>
      <c r="AB73" s="110" t="s">
        <v>4803</v>
      </c>
    </row>
    <row r="74" spans="1:28">
      <c r="A74" s="252" t="s">
        <v>12417</v>
      </c>
      <c r="B74" s="213" t="s">
        <v>12418</v>
      </c>
      <c r="C74" s="213" t="s">
        <v>12203</v>
      </c>
      <c r="D74" s="439" t="s">
        <v>12419</v>
      </c>
      <c r="E74" s="252" t="s">
        <v>1743</v>
      </c>
      <c r="F74" s="439" t="s">
        <v>11963</v>
      </c>
      <c r="G74" s="439"/>
      <c r="H74" s="440" t="s">
        <v>12420</v>
      </c>
      <c r="I74" s="427" t="s">
        <v>1736</v>
      </c>
      <c r="J74" s="427" t="s">
        <v>1736</v>
      </c>
      <c r="K74" s="428" t="s">
        <v>4913</v>
      </c>
      <c r="L74" s="428" t="s">
        <v>4913</v>
      </c>
      <c r="M74" s="428" t="s">
        <v>4913</v>
      </c>
      <c r="N74" s="428" t="s">
        <v>4913</v>
      </c>
      <c r="O74" s="428" t="s">
        <v>4913</v>
      </c>
      <c r="P74" s="428" t="s">
        <v>4913</v>
      </c>
      <c r="Q74" s="428" t="s">
        <v>4913</v>
      </c>
      <c r="R74" s="255" t="s">
        <v>1737</v>
      </c>
      <c r="S74" s="255" t="s">
        <v>1737</v>
      </c>
      <c r="T74" s="425"/>
      <c r="U74" s="254" t="s">
        <v>7590</v>
      </c>
      <c r="V74" s="425" t="s">
        <v>12421</v>
      </c>
      <c r="W74" s="254" t="s">
        <v>12415</v>
      </c>
      <c r="X74" s="425" t="s">
        <v>12422</v>
      </c>
      <c r="Y74" s="425"/>
      <c r="Z74" s="425"/>
      <c r="AA74" s="254" t="s">
        <v>7501</v>
      </c>
      <c r="AB74" s="110" t="s">
        <v>4803</v>
      </c>
    </row>
    <row r="75" spans="1:28">
      <c r="A75" s="252" t="s">
        <v>12423</v>
      </c>
      <c r="B75" s="213" t="s">
        <v>12424</v>
      </c>
      <c r="C75" s="213" t="s">
        <v>12425</v>
      </c>
      <c r="D75" s="439" t="s">
        <v>12426</v>
      </c>
      <c r="E75" s="252" t="s">
        <v>1743</v>
      </c>
      <c r="F75" s="439" t="s">
        <v>12254</v>
      </c>
      <c r="G75" s="439"/>
      <c r="H75" s="440" t="s">
        <v>12198</v>
      </c>
      <c r="I75" s="427" t="s">
        <v>1736</v>
      </c>
      <c r="J75" s="428" t="s">
        <v>4913</v>
      </c>
      <c r="K75" s="428" t="s">
        <v>4913</v>
      </c>
      <c r="L75" s="428" t="s">
        <v>4913</v>
      </c>
      <c r="M75" s="428" t="s">
        <v>4913</v>
      </c>
      <c r="N75" s="428" t="s">
        <v>4913</v>
      </c>
      <c r="O75" s="428" t="s">
        <v>4913</v>
      </c>
      <c r="P75" s="428" t="s">
        <v>4913</v>
      </c>
      <c r="Q75" s="428" t="s">
        <v>4913</v>
      </c>
      <c r="R75" s="255" t="s">
        <v>1737</v>
      </c>
      <c r="S75" s="255" t="s">
        <v>1737</v>
      </c>
      <c r="T75" s="425"/>
      <c r="U75" s="254" t="s">
        <v>7529</v>
      </c>
      <c r="V75" s="254" t="s">
        <v>12427</v>
      </c>
      <c r="W75" s="254" t="s">
        <v>7501</v>
      </c>
      <c r="X75" s="425" t="s">
        <v>12428</v>
      </c>
      <c r="Y75" s="425"/>
      <c r="Z75" s="425"/>
      <c r="AA75" s="254" t="s">
        <v>7501</v>
      </c>
      <c r="AB75" s="110" t="s">
        <v>4803</v>
      </c>
    </row>
    <row r="76" spans="1:28">
      <c r="A76" s="252" t="s">
        <v>12429</v>
      </c>
      <c r="B76" s="213" t="s">
        <v>12430</v>
      </c>
      <c r="C76" s="213" t="s">
        <v>12203</v>
      </c>
      <c r="D76" s="439" t="s">
        <v>12431</v>
      </c>
      <c r="E76" s="252" t="s">
        <v>1743</v>
      </c>
      <c r="F76" s="439" t="s">
        <v>12269</v>
      </c>
      <c r="G76" s="439"/>
      <c r="H76" s="440" t="s">
        <v>12198</v>
      </c>
      <c r="I76" s="427" t="s">
        <v>1736</v>
      </c>
      <c r="J76" s="427" t="s">
        <v>1736</v>
      </c>
      <c r="K76" s="428" t="s">
        <v>4913</v>
      </c>
      <c r="L76" s="428" t="s">
        <v>4913</v>
      </c>
      <c r="M76" s="428" t="s">
        <v>4913</v>
      </c>
      <c r="N76" s="428" t="s">
        <v>4913</v>
      </c>
      <c r="O76" s="428" t="s">
        <v>4913</v>
      </c>
      <c r="P76" s="428" t="s">
        <v>4913</v>
      </c>
      <c r="Q76" s="428" t="s">
        <v>4913</v>
      </c>
      <c r="R76" s="255" t="s">
        <v>1737</v>
      </c>
      <c r="S76" s="255" t="s">
        <v>1737</v>
      </c>
      <c r="T76" s="425"/>
      <c r="U76" s="254" t="s">
        <v>7590</v>
      </c>
      <c r="V76" s="425" t="s">
        <v>12432</v>
      </c>
      <c r="W76" s="254" t="s">
        <v>7501</v>
      </c>
      <c r="X76" s="425" t="s">
        <v>12433</v>
      </c>
      <c r="Y76" s="425"/>
      <c r="Z76" s="425"/>
      <c r="AA76" s="254" t="s">
        <v>7501</v>
      </c>
      <c r="AB76" s="110" t="s">
        <v>4803</v>
      </c>
    </row>
    <row r="77" spans="1:28">
      <c r="A77" s="252" t="s">
        <v>12434</v>
      </c>
      <c r="B77" s="213" t="s">
        <v>12435</v>
      </c>
      <c r="C77" s="213" t="s">
        <v>12436</v>
      </c>
      <c r="D77" s="439" t="s">
        <v>12436</v>
      </c>
      <c r="E77" s="252" t="s">
        <v>1732</v>
      </c>
      <c r="F77" s="439" t="s">
        <v>12254</v>
      </c>
      <c r="G77" s="439"/>
      <c r="H77" s="440" t="s">
        <v>12437</v>
      </c>
      <c r="I77" s="427" t="s">
        <v>1736</v>
      </c>
      <c r="J77" s="428" t="s">
        <v>4913</v>
      </c>
      <c r="K77" s="428" t="s">
        <v>4913</v>
      </c>
      <c r="L77" s="428" t="s">
        <v>4913</v>
      </c>
      <c r="M77" s="428" t="s">
        <v>4913</v>
      </c>
      <c r="N77" s="428" t="s">
        <v>4913</v>
      </c>
      <c r="O77" s="428" t="s">
        <v>4913</v>
      </c>
      <c r="P77" s="428" t="s">
        <v>4913</v>
      </c>
      <c r="Q77" s="428" t="s">
        <v>4913</v>
      </c>
      <c r="R77" s="255" t="s">
        <v>1737</v>
      </c>
      <c r="S77" s="255" t="s">
        <v>1737</v>
      </c>
      <c r="T77" s="425"/>
      <c r="U77" s="254" t="s">
        <v>7590</v>
      </c>
      <c r="V77" s="425" t="s">
        <v>12438</v>
      </c>
      <c r="W77" s="254" t="s">
        <v>7501</v>
      </c>
      <c r="X77" s="425" t="s">
        <v>12439</v>
      </c>
      <c r="Y77" s="425"/>
      <c r="Z77" s="425"/>
      <c r="AA77" s="254" t="s">
        <v>7501</v>
      </c>
      <c r="AB77" s="110" t="s">
        <v>4803</v>
      </c>
    </row>
    <row r="78" spans="1:28">
      <c r="A78" s="758" t="s">
        <v>12440</v>
      </c>
      <c r="B78" s="433" t="s">
        <v>12441</v>
      </c>
      <c r="C78" s="433" t="s">
        <v>12442</v>
      </c>
      <c r="D78" s="434" t="s">
        <v>12443</v>
      </c>
      <c r="E78" s="432" t="s">
        <v>1732</v>
      </c>
      <c r="F78" s="434" t="s">
        <v>12444</v>
      </c>
      <c r="G78" s="434"/>
      <c r="H78" s="441" t="s">
        <v>12445</v>
      </c>
      <c r="I78" s="436"/>
      <c r="J78" s="436"/>
      <c r="K78" s="436"/>
      <c r="L78" s="436"/>
      <c r="M78" s="436"/>
      <c r="N78" s="436" t="s">
        <v>1736</v>
      </c>
      <c r="O78" s="436"/>
      <c r="P78" s="436"/>
      <c r="Q78" s="436" t="s">
        <v>4913</v>
      </c>
      <c r="R78" s="437" t="s">
        <v>11615</v>
      </c>
      <c r="S78" s="437" t="s">
        <v>11615</v>
      </c>
      <c r="T78" s="438" t="s">
        <v>12164</v>
      </c>
      <c r="U78" s="437"/>
      <c r="V78" s="435"/>
      <c r="W78" s="435"/>
      <c r="X78" s="435"/>
      <c r="Y78" s="435"/>
      <c r="Z78" s="435"/>
      <c r="AA78" s="278"/>
      <c r="AB78" s="36"/>
    </row>
    <row r="79" spans="1:28">
      <c r="A79" s="774"/>
      <c r="B79" s="433" t="s">
        <v>12446</v>
      </c>
      <c r="C79" s="433" t="s">
        <v>12442</v>
      </c>
      <c r="D79" s="434" t="s">
        <v>12447</v>
      </c>
      <c r="E79" s="432" t="s">
        <v>1732</v>
      </c>
      <c r="F79" s="434" t="s">
        <v>12448</v>
      </c>
      <c r="G79" s="434"/>
      <c r="H79" s="441" t="s">
        <v>12449</v>
      </c>
      <c r="I79" s="436"/>
      <c r="J79" s="436"/>
      <c r="K79" s="436"/>
      <c r="L79" s="436" t="s">
        <v>1736</v>
      </c>
      <c r="M79" s="436"/>
      <c r="N79" s="436"/>
      <c r="O79" s="436"/>
      <c r="P79" s="436"/>
      <c r="Q79" s="436" t="s">
        <v>1736</v>
      </c>
      <c r="R79" s="437" t="s">
        <v>11615</v>
      </c>
      <c r="S79" s="437" t="s">
        <v>11615</v>
      </c>
      <c r="T79" s="438" t="s">
        <v>12164</v>
      </c>
      <c r="U79" s="437"/>
      <c r="V79" s="435"/>
      <c r="W79" s="435"/>
      <c r="X79" s="435"/>
      <c r="Y79" s="435"/>
      <c r="Z79" s="435"/>
      <c r="AA79" s="278"/>
      <c r="AB79" s="36"/>
    </row>
    <row r="80" spans="1:28">
      <c r="A80" s="773"/>
      <c r="B80" s="433" t="s">
        <v>12450</v>
      </c>
      <c r="C80" s="433" t="s">
        <v>12442</v>
      </c>
      <c r="D80" s="434" t="s">
        <v>12451</v>
      </c>
      <c r="E80" s="432" t="s">
        <v>1732</v>
      </c>
      <c r="F80" s="434" t="s">
        <v>12452</v>
      </c>
      <c r="G80" s="434"/>
      <c r="H80" s="441" t="s">
        <v>12453</v>
      </c>
      <c r="I80" s="436"/>
      <c r="J80" s="436"/>
      <c r="K80" s="436"/>
      <c r="L80" s="436" t="s">
        <v>1736</v>
      </c>
      <c r="M80" s="436"/>
      <c r="N80" s="436"/>
      <c r="O80" s="436"/>
      <c r="P80" s="436"/>
      <c r="Q80" s="436" t="s">
        <v>1736</v>
      </c>
      <c r="R80" s="437" t="s">
        <v>11615</v>
      </c>
      <c r="S80" s="437" t="s">
        <v>11615</v>
      </c>
      <c r="T80" s="438" t="s">
        <v>12164</v>
      </c>
      <c r="U80" s="437"/>
      <c r="V80" s="435"/>
      <c r="W80" s="435"/>
      <c r="X80" s="435"/>
      <c r="Y80" s="435"/>
      <c r="Z80" s="435"/>
      <c r="AA80" s="278"/>
      <c r="AB80" s="36"/>
    </row>
    <row r="81" spans="1:28">
      <c r="A81" s="703" t="s">
        <v>12454</v>
      </c>
      <c r="B81" s="213" t="s">
        <v>12455</v>
      </c>
      <c r="C81" s="213" t="s">
        <v>12456</v>
      </c>
      <c r="D81" s="439" t="s">
        <v>12457</v>
      </c>
      <c r="E81" s="252" t="s">
        <v>1732</v>
      </c>
      <c r="F81" s="439" t="s">
        <v>12458</v>
      </c>
      <c r="G81" s="439"/>
      <c r="H81" s="440" t="s">
        <v>12459</v>
      </c>
      <c r="I81" s="427" t="s">
        <v>1736</v>
      </c>
      <c r="J81" s="428"/>
      <c r="K81" s="428"/>
      <c r="L81" s="428"/>
      <c r="M81" s="428"/>
      <c r="N81" s="428"/>
      <c r="O81" s="428"/>
      <c r="P81" s="428"/>
      <c r="Q81" s="428"/>
      <c r="R81" s="255" t="s">
        <v>1737</v>
      </c>
      <c r="S81" s="255" t="s">
        <v>1737</v>
      </c>
      <c r="T81" s="425"/>
      <c r="U81" s="254" t="s">
        <v>7751</v>
      </c>
      <c r="V81" s="425" t="s">
        <v>12460</v>
      </c>
      <c r="W81" s="254" t="s">
        <v>7501</v>
      </c>
      <c r="X81" s="425" t="s">
        <v>12461</v>
      </c>
      <c r="Y81" s="425"/>
      <c r="Z81" s="425"/>
      <c r="AA81" s="254" t="s">
        <v>7501</v>
      </c>
      <c r="AB81" s="110" t="s">
        <v>4803</v>
      </c>
    </row>
    <row r="82" spans="1:28">
      <c r="A82" s="774"/>
      <c r="B82" s="213" t="s">
        <v>12462</v>
      </c>
      <c r="C82" s="213" t="s">
        <v>12456</v>
      </c>
      <c r="D82" s="439" t="s">
        <v>12457</v>
      </c>
      <c r="E82" s="252" t="s">
        <v>1732</v>
      </c>
      <c r="F82" s="442" t="s">
        <v>12463</v>
      </c>
      <c r="G82" s="439"/>
      <c r="H82" s="443" t="s">
        <v>12464</v>
      </c>
      <c r="I82" s="427" t="s">
        <v>1736</v>
      </c>
      <c r="J82" s="428"/>
      <c r="K82" s="428"/>
      <c r="L82" s="428"/>
      <c r="M82" s="428"/>
      <c r="N82" s="428"/>
      <c r="O82" s="428"/>
      <c r="P82" s="428"/>
      <c r="Q82" s="428"/>
      <c r="R82" s="255" t="s">
        <v>1737</v>
      </c>
      <c r="S82" s="255" t="s">
        <v>1737</v>
      </c>
      <c r="T82" s="425"/>
      <c r="U82" s="254" t="s">
        <v>7751</v>
      </c>
      <c r="V82" s="425" t="s">
        <v>12465</v>
      </c>
      <c r="W82" s="254" t="s">
        <v>7501</v>
      </c>
      <c r="X82" s="425" t="s">
        <v>12466</v>
      </c>
      <c r="Y82" s="425"/>
      <c r="Z82" s="425"/>
      <c r="AA82" s="254" t="s">
        <v>7501</v>
      </c>
      <c r="AB82" s="110" t="s">
        <v>4803</v>
      </c>
    </row>
    <row r="83" spans="1:28">
      <c r="A83" s="774"/>
      <c r="B83" s="213" t="s">
        <v>12467</v>
      </c>
      <c r="C83" s="213" t="s">
        <v>12456</v>
      </c>
      <c r="D83" s="439" t="s">
        <v>12457</v>
      </c>
      <c r="E83" s="252" t="s">
        <v>1732</v>
      </c>
      <c r="F83" s="439" t="s">
        <v>12468</v>
      </c>
      <c r="G83" s="439"/>
      <c r="H83" s="443" t="s">
        <v>12469</v>
      </c>
      <c r="I83" s="427" t="s">
        <v>1736</v>
      </c>
      <c r="J83" s="428"/>
      <c r="K83" s="428"/>
      <c r="L83" s="428"/>
      <c r="M83" s="428"/>
      <c r="N83" s="428"/>
      <c r="O83" s="428"/>
      <c r="P83" s="428"/>
      <c r="Q83" s="428"/>
      <c r="R83" s="255" t="s">
        <v>1737</v>
      </c>
      <c r="S83" s="255" t="s">
        <v>1737</v>
      </c>
      <c r="T83" s="425"/>
      <c r="U83" s="254" t="s">
        <v>7751</v>
      </c>
      <c r="V83" s="425" t="s">
        <v>12470</v>
      </c>
      <c r="W83" s="254" t="s">
        <v>7501</v>
      </c>
      <c r="X83" s="425" t="s">
        <v>12471</v>
      </c>
      <c r="Y83" s="425"/>
      <c r="Z83" s="425"/>
      <c r="AA83" s="254" t="s">
        <v>7501</v>
      </c>
      <c r="AB83" s="110" t="s">
        <v>4803</v>
      </c>
    </row>
    <row r="84" spans="1:28">
      <c r="A84" s="773"/>
      <c r="B84" s="213" t="s">
        <v>12472</v>
      </c>
      <c r="C84" s="213" t="s">
        <v>12456</v>
      </c>
      <c r="D84" s="439" t="s">
        <v>12473</v>
      </c>
      <c r="E84" s="252" t="s">
        <v>1732</v>
      </c>
      <c r="F84" s="439" t="s">
        <v>12474</v>
      </c>
      <c r="G84" s="439"/>
      <c r="H84" s="440" t="s">
        <v>12475</v>
      </c>
      <c r="I84" s="427" t="s">
        <v>1736</v>
      </c>
      <c r="J84" s="428"/>
      <c r="K84" s="428"/>
      <c r="L84" s="428"/>
      <c r="M84" s="428"/>
      <c r="N84" s="428"/>
      <c r="O84" s="428"/>
      <c r="P84" s="428"/>
      <c r="Q84" s="428"/>
      <c r="R84" s="255" t="s">
        <v>1737</v>
      </c>
      <c r="S84" s="255" t="s">
        <v>1737</v>
      </c>
      <c r="T84" s="425"/>
      <c r="U84" s="254" t="s">
        <v>7751</v>
      </c>
      <c r="V84" s="425" t="s">
        <v>12476</v>
      </c>
      <c r="W84" s="254" t="s">
        <v>7501</v>
      </c>
      <c r="X84" s="425" t="s">
        <v>12477</v>
      </c>
      <c r="Y84" s="425"/>
      <c r="Z84" s="425"/>
      <c r="AA84" s="254" t="s">
        <v>7501</v>
      </c>
      <c r="AB84" s="110" t="s">
        <v>4803</v>
      </c>
    </row>
    <row r="85" spans="1:28">
      <c r="A85" s="703" t="s">
        <v>12478</v>
      </c>
      <c r="B85" s="213" t="s">
        <v>12479</v>
      </c>
      <c r="C85" s="213" t="s">
        <v>12480</v>
      </c>
      <c r="D85" s="439" t="s">
        <v>12481</v>
      </c>
      <c r="E85" s="252" t="s">
        <v>1732</v>
      </c>
      <c r="F85" s="439" t="s">
        <v>12482</v>
      </c>
      <c r="G85" s="439"/>
      <c r="H85" s="440" t="s">
        <v>12483</v>
      </c>
      <c r="I85" s="427" t="s">
        <v>1736</v>
      </c>
      <c r="J85" s="428"/>
      <c r="K85" s="428"/>
      <c r="L85" s="428"/>
      <c r="M85" s="428"/>
      <c r="N85" s="427" t="s">
        <v>1736</v>
      </c>
      <c r="O85" s="428"/>
      <c r="P85" s="428"/>
      <c r="Q85" s="428"/>
      <c r="R85" s="255" t="s">
        <v>1737</v>
      </c>
      <c r="S85" s="255" t="s">
        <v>1737</v>
      </c>
      <c r="T85" s="425"/>
      <c r="U85" s="254" t="s">
        <v>7501</v>
      </c>
      <c r="V85" s="425" t="s">
        <v>12484</v>
      </c>
      <c r="W85" s="254" t="s">
        <v>7495</v>
      </c>
      <c r="X85" s="425" t="s">
        <v>12485</v>
      </c>
      <c r="Y85" s="425"/>
      <c r="Z85" s="425"/>
      <c r="AA85" s="254" t="s">
        <v>7495</v>
      </c>
      <c r="AB85" s="110" t="s">
        <v>4803</v>
      </c>
    </row>
    <row r="86" spans="1:28">
      <c r="A86" s="774"/>
      <c r="B86" s="213" t="s">
        <v>12486</v>
      </c>
      <c r="C86" s="213" t="s">
        <v>12480</v>
      </c>
      <c r="D86" s="439" t="s">
        <v>12487</v>
      </c>
      <c r="E86" s="252" t="s">
        <v>1732</v>
      </c>
      <c r="F86" s="439" t="s">
        <v>12488</v>
      </c>
      <c r="G86" s="439"/>
      <c r="H86" s="440" t="s">
        <v>12489</v>
      </c>
      <c r="I86" s="427" t="s">
        <v>1736</v>
      </c>
      <c r="J86" s="428"/>
      <c r="K86" s="428"/>
      <c r="L86" s="428"/>
      <c r="M86" s="428"/>
      <c r="N86" s="428"/>
      <c r="O86" s="428"/>
      <c r="P86" s="428"/>
      <c r="Q86" s="428"/>
      <c r="R86" s="255" t="s">
        <v>1737</v>
      </c>
      <c r="S86" s="255" t="s">
        <v>1737</v>
      </c>
      <c r="T86" s="425"/>
      <c r="U86" s="254" t="s">
        <v>7501</v>
      </c>
      <c r="V86" s="425" t="s">
        <v>12490</v>
      </c>
      <c r="W86" s="254" t="s">
        <v>7495</v>
      </c>
      <c r="X86" s="425" t="s">
        <v>12491</v>
      </c>
      <c r="Y86" s="425"/>
      <c r="Z86" s="425"/>
      <c r="AA86" s="254" t="s">
        <v>7495</v>
      </c>
      <c r="AB86" s="110" t="s">
        <v>4803</v>
      </c>
    </row>
    <row r="87" spans="1:28">
      <c r="A87" s="774"/>
      <c r="B87" s="213" t="s">
        <v>12492</v>
      </c>
      <c r="C87" s="213" t="s">
        <v>12480</v>
      </c>
      <c r="D87" s="439" t="s">
        <v>12493</v>
      </c>
      <c r="E87" s="252" t="s">
        <v>1732</v>
      </c>
      <c r="F87" s="439" t="s">
        <v>12494</v>
      </c>
      <c r="G87" s="439"/>
      <c r="H87" s="440" t="s">
        <v>12495</v>
      </c>
      <c r="I87" s="427" t="s">
        <v>1736</v>
      </c>
      <c r="J87" s="428"/>
      <c r="K87" s="428"/>
      <c r="L87" s="428"/>
      <c r="M87" s="428"/>
      <c r="N87" s="428"/>
      <c r="O87" s="428"/>
      <c r="P87" s="428"/>
      <c r="Q87" s="428"/>
      <c r="R87" s="255" t="s">
        <v>1737</v>
      </c>
      <c r="S87" s="255" t="s">
        <v>1737</v>
      </c>
      <c r="T87" s="425"/>
      <c r="U87" s="254" t="s">
        <v>7501</v>
      </c>
      <c r="V87" s="425" t="s">
        <v>12496</v>
      </c>
      <c r="W87" s="254" t="s">
        <v>7495</v>
      </c>
      <c r="X87" s="425" t="s">
        <v>12497</v>
      </c>
      <c r="Y87" s="425"/>
      <c r="Z87" s="425"/>
      <c r="AA87" s="254" t="s">
        <v>7495</v>
      </c>
      <c r="AB87" s="110" t="s">
        <v>4803</v>
      </c>
    </row>
    <row r="88" spans="1:28">
      <c r="A88" s="773"/>
      <c r="B88" s="213" t="s">
        <v>12498</v>
      </c>
      <c r="C88" s="213" t="s">
        <v>12480</v>
      </c>
      <c r="D88" s="439" t="s">
        <v>12499</v>
      </c>
      <c r="E88" s="252" t="s">
        <v>1732</v>
      </c>
      <c r="F88" s="439" t="s">
        <v>12500</v>
      </c>
      <c r="G88" s="439"/>
      <c r="H88" s="440" t="s">
        <v>12501</v>
      </c>
      <c r="I88" s="427" t="s">
        <v>1736</v>
      </c>
      <c r="J88" s="428"/>
      <c r="K88" s="428"/>
      <c r="L88" s="428"/>
      <c r="M88" s="428"/>
      <c r="N88" s="428"/>
      <c r="O88" s="428"/>
      <c r="P88" s="428"/>
      <c r="Q88" s="428"/>
      <c r="R88" s="255" t="s">
        <v>1737</v>
      </c>
      <c r="S88" s="255" t="s">
        <v>1737</v>
      </c>
      <c r="T88" s="425"/>
      <c r="U88" s="254" t="s">
        <v>7501</v>
      </c>
      <c r="V88" s="425" t="s">
        <v>12502</v>
      </c>
      <c r="W88" s="254" t="s">
        <v>7495</v>
      </c>
      <c r="X88" s="425" t="s">
        <v>12503</v>
      </c>
      <c r="Y88" s="425"/>
      <c r="Z88" s="425"/>
      <c r="AA88" s="254" t="s">
        <v>7495</v>
      </c>
      <c r="AB88" s="110" t="s">
        <v>4803</v>
      </c>
    </row>
    <row r="89" spans="1:28">
      <c r="A89" s="758" t="s">
        <v>12504</v>
      </c>
      <c r="B89" s="433" t="s">
        <v>12505</v>
      </c>
      <c r="C89" s="433" t="s">
        <v>12506</v>
      </c>
      <c r="D89" s="434" t="s">
        <v>12507</v>
      </c>
      <c r="E89" s="432" t="s">
        <v>1732</v>
      </c>
      <c r="F89" s="434" t="s">
        <v>12508</v>
      </c>
      <c r="G89" s="434"/>
      <c r="H89" s="441" t="s">
        <v>12509</v>
      </c>
      <c r="I89" s="436" t="s">
        <v>1736</v>
      </c>
      <c r="J89" s="436"/>
      <c r="K89" s="436"/>
      <c r="L89" s="436"/>
      <c r="M89" s="436"/>
      <c r="N89" s="436" t="s">
        <v>1736</v>
      </c>
      <c r="O89" s="436"/>
      <c r="P89" s="436"/>
      <c r="Q89" s="436"/>
      <c r="R89" s="437" t="s">
        <v>11615</v>
      </c>
      <c r="S89" s="437" t="s">
        <v>11615</v>
      </c>
      <c r="T89" s="438" t="s">
        <v>12164</v>
      </c>
      <c r="U89" s="437"/>
      <c r="V89" s="435"/>
      <c r="W89" s="435"/>
      <c r="X89" s="435"/>
      <c r="Y89" s="435"/>
      <c r="Z89" s="435"/>
      <c r="AA89" s="278"/>
      <c r="AB89" s="36"/>
    </row>
    <row r="90" spans="1:28">
      <c r="A90" s="773"/>
      <c r="B90" s="433" t="s">
        <v>12510</v>
      </c>
      <c r="C90" s="433" t="s">
        <v>12506</v>
      </c>
      <c r="D90" s="434" t="s">
        <v>12511</v>
      </c>
      <c r="E90" s="432" t="s">
        <v>1732</v>
      </c>
      <c r="F90" s="434" t="s">
        <v>12512</v>
      </c>
      <c r="G90" s="434"/>
      <c r="H90" s="441" t="s">
        <v>12513</v>
      </c>
      <c r="I90" s="436"/>
      <c r="J90" s="436"/>
      <c r="K90" s="436"/>
      <c r="L90" s="436"/>
      <c r="M90" s="436"/>
      <c r="N90" s="436"/>
      <c r="O90" s="436"/>
      <c r="P90" s="436" t="s">
        <v>1736</v>
      </c>
      <c r="Q90" s="436"/>
      <c r="R90" s="437" t="s">
        <v>11615</v>
      </c>
      <c r="S90" s="437" t="s">
        <v>11615</v>
      </c>
      <c r="T90" s="438" t="s">
        <v>12164</v>
      </c>
      <c r="U90" s="437"/>
      <c r="V90" s="435"/>
      <c r="W90" s="435"/>
      <c r="X90" s="435"/>
      <c r="Y90" s="435"/>
      <c r="Z90" s="435"/>
      <c r="AA90" s="278"/>
      <c r="AB90" s="36"/>
    </row>
    <row r="91" spans="1:28">
      <c r="I91" s="281"/>
      <c r="J91" s="281"/>
      <c r="K91" s="281"/>
      <c r="L91" s="281"/>
      <c r="M91" s="281"/>
      <c r="N91" s="281"/>
      <c r="O91" s="281"/>
      <c r="P91" s="281"/>
      <c r="Q91" s="186"/>
      <c r="R91" s="186"/>
      <c r="S91" s="186"/>
      <c r="U91" s="186"/>
    </row>
    <row r="92" spans="1:28">
      <c r="E92" s="415" t="s">
        <v>9166</v>
      </c>
      <c r="F92" s="721">
        <v>13</v>
      </c>
      <c r="G92" s="769"/>
      <c r="I92" s="759" t="s">
        <v>3689</v>
      </c>
      <c r="J92" s="775"/>
      <c r="K92" s="775"/>
      <c r="L92" s="770"/>
      <c r="M92" s="281"/>
      <c r="N92" s="281"/>
      <c r="O92" s="281"/>
      <c r="P92" s="281"/>
      <c r="Q92" s="186"/>
      <c r="R92" s="186"/>
      <c r="S92" s="186"/>
      <c r="U92" s="186"/>
    </row>
    <row r="93" spans="1:28">
      <c r="B93" s="329"/>
      <c r="C93" s="111" t="s">
        <v>3688</v>
      </c>
      <c r="E93" s="416" t="s">
        <v>9167</v>
      </c>
      <c r="F93" s="722">
        <v>88</v>
      </c>
      <c r="G93" s="769"/>
      <c r="I93" s="444" t="s">
        <v>7751</v>
      </c>
      <c r="J93" s="445">
        <f>COUNTIF(AA:AA,"27 Juni 2022")</f>
        <v>10</v>
      </c>
      <c r="K93" s="757" t="s">
        <v>12514</v>
      </c>
      <c r="L93" s="757">
        <f>SUM(J93:J96)</f>
        <v>42</v>
      </c>
      <c r="M93" s="281"/>
      <c r="N93" s="281"/>
      <c r="O93" s="281"/>
      <c r="P93" s="281"/>
      <c r="Q93" s="186"/>
      <c r="R93" s="186"/>
      <c r="S93" s="186"/>
      <c r="U93" s="186"/>
    </row>
    <row r="94" spans="1:28">
      <c r="B94" s="331"/>
      <c r="C94" s="111" t="s">
        <v>3691</v>
      </c>
      <c r="E94" s="333" t="s">
        <v>9168</v>
      </c>
      <c r="F94" s="333">
        <f>COUNTIF($R$3:$R$90,"DONE")</f>
        <v>75</v>
      </c>
      <c r="G94" s="334">
        <f>F94/F93</f>
        <v>0.85227272727272729</v>
      </c>
      <c r="I94" s="444" t="s">
        <v>7558</v>
      </c>
      <c r="J94" s="445">
        <f>COUNTIF(AA:AA,"29 Juni 2022")</f>
        <v>10</v>
      </c>
      <c r="K94" s="774"/>
      <c r="L94" s="774"/>
      <c r="M94" s="281"/>
      <c r="N94" s="281"/>
      <c r="O94" s="281"/>
      <c r="P94" s="281"/>
      <c r="Q94" s="186"/>
      <c r="R94" s="186"/>
      <c r="S94" s="186"/>
      <c r="U94" s="186"/>
    </row>
    <row r="95" spans="1:28">
      <c r="B95" s="335"/>
      <c r="C95" s="111" t="s">
        <v>3692</v>
      </c>
      <c r="E95" s="419" t="s">
        <v>9169</v>
      </c>
      <c r="F95" s="337">
        <f>COUNTIF($R$3:$R$90,"In Progress")</f>
        <v>0</v>
      </c>
      <c r="G95" s="338">
        <f t="shared" ref="G95:G96" si="0">F95/$F$93</f>
        <v>0</v>
      </c>
      <c r="I95" s="566" t="s">
        <v>7536</v>
      </c>
      <c r="J95" s="446">
        <f>COUNTIF(AA:AA,"30 Juni 2022")</f>
        <v>12</v>
      </c>
      <c r="K95" s="774"/>
      <c r="L95" s="774"/>
      <c r="M95" s="281"/>
      <c r="N95" s="281"/>
      <c r="O95" s="281"/>
      <c r="P95" s="281"/>
      <c r="Q95" s="186"/>
      <c r="R95" s="186"/>
      <c r="S95" s="186"/>
      <c r="U95" s="186"/>
    </row>
    <row r="96" spans="1:28">
      <c r="B96" s="339"/>
      <c r="C96" s="111" t="s">
        <v>3693</v>
      </c>
      <c r="E96" s="420" t="s">
        <v>9170</v>
      </c>
      <c r="F96" s="341">
        <f>COUNTIF($R$3:$R$90,"Pending")</f>
        <v>0</v>
      </c>
      <c r="G96" s="342">
        <f t="shared" si="0"/>
        <v>0</v>
      </c>
      <c r="I96" s="444" t="s">
        <v>7544</v>
      </c>
      <c r="J96" s="445">
        <f>COUNTIF(AA:AA,"1 Juli 2022")</f>
        <v>10</v>
      </c>
      <c r="K96" s="773"/>
      <c r="L96" s="773"/>
      <c r="M96" s="281"/>
      <c r="N96" s="281"/>
      <c r="O96" s="281"/>
      <c r="P96" s="281"/>
      <c r="Q96" s="186"/>
      <c r="R96" s="186"/>
      <c r="S96" s="186"/>
      <c r="U96" s="186"/>
    </row>
    <row r="97" spans="2:21">
      <c r="B97" s="343"/>
      <c r="C97" s="111" t="s">
        <v>3694</v>
      </c>
      <c r="E97" s="345" t="s">
        <v>9171</v>
      </c>
      <c r="F97" s="345">
        <f>COUNTIF($R$3:$R$90,"")</f>
        <v>0</v>
      </c>
      <c r="G97" s="564"/>
      <c r="I97" s="444" t="s">
        <v>7551</v>
      </c>
      <c r="J97" s="445">
        <f>COUNTIF(AA:AA,"4 Juli 2022")</f>
        <v>20</v>
      </c>
      <c r="K97" s="757" t="s">
        <v>527</v>
      </c>
      <c r="L97" s="757">
        <f>SUM(J97:J99)</f>
        <v>33</v>
      </c>
      <c r="M97" s="281"/>
      <c r="N97" s="281"/>
      <c r="O97" s="281"/>
      <c r="P97" s="281"/>
      <c r="Q97" s="186"/>
      <c r="R97" s="186"/>
      <c r="S97" s="186"/>
      <c r="U97" s="186"/>
    </row>
    <row r="98" spans="2:21">
      <c r="E98" s="345" t="s">
        <v>9172</v>
      </c>
      <c r="F98" s="347">
        <f>($F$93-$F$97-F92)</f>
        <v>75</v>
      </c>
      <c r="G98" s="555"/>
      <c r="I98" s="444" t="s">
        <v>7501</v>
      </c>
      <c r="J98" s="445">
        <f>COUNTIF(AA:AA,"5 Juli 2022")</f>
        <v>9</v>
      </c>
      <c r="K98" s="774"/>
      <c r="L98" s="774"/>
      <c r="M98" s="281"/>
      <c r="N98" s="281"/>
      <c r="O98" s="281"/>
      <c r="P98" s="281"/>
      <c r="Q98" s="186"/>
      <c r="R98" s="186"/>
      <c r="S98" s="186"/>
      <c r="U98" s="186"/>
    </row>
    <row r="99" spans="2:21">
      <c r="E99" s="4"/>
      <c r="F99" s="4"/>
      <c r="G99" s="4"/>
      <c r="I99" s="444" t="s">
        <v>7495</v>
      </c>
      <c r="J99" s="445">
        <f>COUNTIF(AA:AA,"6 Juli 2022")</f>
        <v>4</v>
      </c>
      <c r="K99" s="773"/>
      <c r="L99" s="773"/>
      <c r="M99" s="281"/>
      <c r="N99" s="281"/>
      <c r="O99" s="281"/>
      <c r="P99" s="281"/>
      <c r="Q99" s="186"/>
      <c r="R99" s="186"/>
      <c r="S99" s="186"/>
      <c r="U99" s="186"/>
    </row>
    <row r="100" spans="2:21">
      <c r="C100" s="277"/>
      <c r="E100" s="416" t="s">
        <v>9173</v>
      </c>
      <c r="F100" s="722">
        <v>88</v>
      </c>
      <c r="G100" s="769"/>
      <c r="I100" s="447"/>
      <c r="J100" s="448"/>
      <c r="K100" s="281"/>
      <c r="L100" s="281"/>
      <c r="M100" s="281"/>
      <c r="N100" s="281"/>
      <c r="O100" s="281"/>
      <c r="P100" s="281"/>
      <c r="Q100" s="186"/>
      <c r="R100" s="186"/>
      <c r="S100" s="186"/>
      <c r="U100" s="186"/>
    </row>
    <row r="101" spans="2:21">
      <c r="E101" s="333" t="s">
        <v>9174</v>
      </c>
      <c r="F101" s="333">
        <f>COUNTIF($S$3:$S$90,"DONE")</f>
        <v>75</v>
      </c>
      <c r="G101" s="334">
        <f>F101/(F93)</f>
        <v>0.85227272727272729</v>
      </c>
      <c r="I101" s="281"/>
      <c r="J101" s="281"/>
      <c r="K101" s="281"/>
      <c r="L101" s="281"/>
      <c r="M101" s="281"/>
      <c r="N101" s="281"/>
      <c r="O101" s="281"/>
      <c r="P101" s="281"/>
      <c r="Q101" s="186"/>
      <c r="R101" s="186"/>
      <c r="S101" s="186"/>
      <c r="U101" s="186"/>
    </row>
    <row r="102" spans="2:21">
      <c r="E102" s="419" t="s">
        <v>9175</v>
      </c>
      <c r="F102" s="337">
        <f>COUNTIF($S$3:$S$90,"In Progress")</f>
        <v>0</v>
      </c>
      <c r="G102" s="338">
        <f>F102/F93</f>
        <v>0</v>
      </c>
      <c r="I102" s="281"/>
      <c r="J102" s="281"/>
      <c r="K102" s="281"/>
      <c r="L102" s="281"/>
      <c r="M102" s="281"/>
      <c r="N102" s="281"/>
      <c r="O102" s="281"/>
      <c r="P102" s="281"/>
      <c r="Q102" s="186"/>
      <c r="R102" s="186"/>
      <c r="S102" s="186"/>
      <c r="U102" s="186"/>
    </row>
    <row r="103" spans="2:21">
      <c r="E103" s="420" t="s">
        <v>9176</v>
      </c>
      <c r="F103" s="341">
        <f>COUNTIF($S$3:$S$90,"Pending")</f>
        <v>0</v>
      </c>
      <c r="G103" s="342">
        <f>F103/F93</f>
        <v>0</v>
      </c>
      <c r="I103" s="281"/>
      <c r="J103" s="281"/>
      <c r="K103" s="281"/>
      <c r="L103" s="281"/>
      <c r="M103" s="281"/>
      <c r="N103" s="281"/>
      <c r="O103" s="281"/>
      <c r="P103" s="281"/>
      <c r="Q103" s="186"/>
      <c r="R103" s="186"/>
      <c r="S103" s="186"/>
      <c r="U103" s="186"/>
    </row>
    <row r="104" spans="2:21">
      <c r="E104" s="345" t="s">
        <v>9177</v>
      </c>
      <c r="F104" s="347">
        <f>F96+F97</f>
        <v>0</v>
      </c>
      <c r="G104" s="555"/>
      <c r="I104" s="281"/>
      <c r="J104" s="281"/>
      <c r="K104" s="281"/>
      <c r="L104" s="281"/>
      <c r="M104" s="281"/>
      <c r="N104" s="281"/>
      <c r="O104" s="281"/>
      <c r="P104" s="281"/>
      <c r="Q104" s="186"/>
      <c r="R104" s="186"/>
      <c r="S104" s="186"/>
      <c r="U104" s="186"/>
    </row>
    <row r="105" spans="2:21">
      <c r="I105" s="281"/>
      <c r="J105" s="281"/>
      <c r="K105" s="281"/>
      <c r="L105" s="281"/>
      <c r="M105" s="281"/>
      <c r="N105" s="281"/>
      <c r="O105" s="281"/>
      <c r="P105" s="281"/>
      <c r="Q105" s="186"/>
      <c r="R105" s="186"/>
      <c r="S105" s="186"/>
      <c r="U105" s="186"/>
    </row>
    <row r="106" spans="2:21">
      <c r="I106" s="281"/>
      <c r="J106" s="281"/>
      <c r="K106" s="281"/>
      <c r="L106" s="281"/>
      <c r="M106" s="281"/>
      <c r="N106" s="281"/>
      <c r="O106" s="281"/>
      <c r="P106" s="281"/>
      <c r="Q106" s="186"/>
      <c r="R106" s="186"/>
      <c r="S106" s="186"/>
      <c r="U106" s="186"/>
    </row>
    <row r="107" spans="2:21">
      <c r="I107" s="281"/>
      <c r="J107" s="281"/>
      <c r="K107" s="281"/>
      <c r="L107" s="281"/>
      <c r="M107" s="281"/>
      <c r="N107" s="281"/>
      <c r="O107" s="281"/>
      <c r="P107" s="281"/>
      <c r="Q107" s="186"/>
      <c r="R107" s="186"/>
      <c r="S107" s="186"/>
      <c r="U107" s="186"/>
    </row>
    <row r="108" spans="2:21">
      <c r="I108" s="281"/>
      <c r="J108" s="281"/>
      <c r="K108" s="281"/>
      <c r="L108" s="281"/>
      <c r="M108" s="281"/>
      <c r="N108" s="281"/>
      <c r="O108" s="281"/>
      <c r="P108" s="281"/>
      <c r="Q108" s="186"/>
      <c r="R108" s="186"/>
      <c r="S108" s="186"/>
      <c r="U108" s="186"/>
    </row>
    <row r="109" spans="2:21">
      <c r="I109" s="281"/>
      <c r="J109" s="281"/>
      <c r="K109" s="281"/>
      <c r="L109" s="281"/>
      <c r="M109" s="281"/>
      <c r="N109" s="281"/>
      <c r="O109" s="281"/>
      <c r="P109" s="281"/>
      <c r="Q109" s="186"/>
      <c r="R109" s="186"/>
      <c r="S109" s="186"/>
      <c r="U109" s="186"/>
    </row>
    <row r="110" spans="2:21">
      <c r="I110" s="281"/>
      <c r="J110" s="281"/>
      <c r="K110" s="281"/>
      <c r="L110" s="281"/>
      <c r="M110" s="281"/>
      <c r="N110" s="281"/>
      <c r="O110" s="281"/>
      <c r="P110" s="281"/>
      <c r="Q110" s="186"/>
      <c r="R110" s="186"/>
      <c r="S110" s="186"/>
      <c r="U110" s="186"/>
    </row>
    <row r="111" spans="2:21">
      <c r="I111" s="281"/>
      <c r="J111" s="281"/>
      <c r="K111" s="281"/>
      <c r="L111" s="281"/>
      <c r="M111" s="281"/>
      <c r="N111" s="281"/>
      <c r="O111" s="281"/>
      <c r="P111" s="281"/>
      <c r="Q111" s="186"/>
      <c r="R111" s="186"/>
      <c r="S111" s="186"/>
      <c r="U111" s="186"/>
    </row>
    <row r="112" spans="2:21">
      <c r="I112" s="281"/>
      <c r="J112" s="281"/>
      <c r="K112" s="281"/>
      <c r="L112" s="281"/>
      <c r="M112" s="281"/>
      <c r="N112" s="281"/>
      <c r="O112" s="281"/>
      <c r="P112" s="281"/>
      <c r="Q112" s="186"/>
      <c r="R112" s="186"/>
      <c r="S112" s="186"/>
      <c r="U112" s="186"/>
    </row>
    <row r="113" spans="9:21">
      <c r="I113" s="281"/>
      <c r="J113" s="281"/>
      <c r="K113" s="281"/>
      <c r="L113" s="281"/>
      <c r="M113" s="281"/>
      <c r="N113" s="281"/>
      <c r="O113" s="281"/>
      <c r="P113" s="281"/>
      <c r="Q113" s="186"/>
      <c r="R113" s="186"/>
      <c r="S113" s="186"/>
      <c r="U113" s="186"/>
    </row>
    <row r="114" spans="9:21">
      <c r="I114" s="281"/>
      <c r="J114" s="281"/>
      <c r="K114" s="281"/>
      <c r="L114" s="281"/>
      <c r="M114" s="281"/>
      <c r="N114" s="281"/>
      <c r="O114" s="281"/>
      <c r="P114" s="281"/>
      <c r="Q114" s="186"/>
      <c r="R114" s="186"/>
      <c r="S114" s="186"/>
      <c r="U114" s="186"/>
    </row>
    <row r="115" spans="9:21">
      <c r="I115" s="281"/>
      <c r="J115" s="281"/>
      <c r="K115" s="281"/>
      <c r="L115" s="281"/>
      <c r="M115" s="281"/>
      <c r="N115" s="281"/>
      <c r="O115" s="281"/>
      <c r="P115" s="281"/>
      <c r="Q115" s="186"/>
      <c r="R115" s="186"/>
      <c r="S115" s="186"/>
      <c r="U115" s="186"/>
    </row>
    <row r="116" spans="9:21">
      <c r="I116" s="281"/>
      <c r="J116" s="281"/>
      <c r="K116" s="281"/>
      <c r="L116" s="281"/>
      <c r="M116" s="281"/>
      <c r="N116" s="281"/>
      <c r="O116" s="281"/>
      <c r="P116" s="281"/>
      <c r="Q116" s="186"/>
      <c r="R116" s="186"/>
      <c r="S116" s="186"/>
      <c r="U116" s="186"/>
    </row>
    <row r="117" spans="9:21">
      <c r="I117" s="281"/>
      <c r="J117" s="281"/>
      <c r="K117" s="281"/>
      <c r="L117" s="281"/>
      <c r="M117" s="281"/>
      <c r="N117" s="281"/>
      <c r="O117" s="281"/>
      <c r="P117" s="281"/>
      <c r="Q117" s="186"/>
      <c r="R117" s="186"/>
      <c r="S117" s="186"/>
      <c r="U117" s="186"/>
    </row>
    <row r="118" spans="9:21">
      <c r="I118" s="281"/>
      <c r="J118" s="281"/>
      <c r="K118" s="281"/>
      <c r="L118" s="281"/>
      <c r="M118" s="281"/>
      <c r="N118" s="281"/>
      <c r="O118" s="281"/>
      <c r="P118" s="281"/>
      <c r="Q118" s="186"/>
      <c r="R118" s="186"/>
      <c r="S118" s="186"/>
      <c r="U118" s="186"/>
    </row>
    <row r="119" spans="9:21">
      <c r="I119" s="281"/>
      <c r="J119" s="281"/>
      <c r="K119" s="281"/>
      <c r="L119" s="281"/>
      <c r="M119" s="281"/>
      <c r="N119" s="281"/>
      <c r="O119" s="281"/>
      <c r="P119" s="281"/>
      <c r="Q119" s="186"/>
      <c r="R119" s="186"/>
      <c r="S119" s="186"/>
      <c r="U119" s="186"/>
    </row>
    <row r="120" spans="9:21">
      <c r="I120" s="281"/>
      <c r="J120" s="281"/>
      <c r="K120" s="281"/>
      <c r="L120" s="281"/>
      <c r="M120" s="281"/>
      <c r="N120" s="281"/>
      <c r="O120" s="281"/>
      <c r="P120" s="281"/>
      <c r="Q120" s="186"/>
      <c r="R120" s="186"/>
      <c r="S120" s="186"/>
      <c r="U120" s="186"/>
    </row>
    <row r="121" spans="9:21">
      <c r="I121" s="281"/>
      <c r="J121" s="281"/>
      <c r="K121" s="281"/>
      <c r="L121" s="281"/>
      <c r="M121" s="281"/>
      <c r="N121" s="281"/>
      <c r="O121" s="281"/>
      <c r="P121" s="281"/>
      <c r="Q121" s="186"/>
      <c r="R121" s="186"/>
      <c r="S121" s="186"/>
      <c r="U121" s="186"/>
    </row>
    <row r="122" spans="9:21">
      <c r="I122" s="281"/>
      <c r="J122" s="281"/>
      <c r="K122" s="281"/>
      <c r="L122" s="281"/>
      <c r="M122" s="281"/>
      <c r="N122" s="281"/>
      <c r="O122" s="281"/>
      <c r="P122" s="281"/>
      <c r="Q122" s="186"/>
      <c r="R122" s="186"/>
      <c r="S122" s="186"/>
      <c r="U122" s="186"/>
    </row>
    <row r="123" spans="9:21">
      <c r="I123" s="281"/>
      <c r="J123" s="281"/>
      <c r="K123" s="281"/>
      <c r="L123" s="281"/>
      <c r="M123" s="281"/>
      <c r="N123" s="281"/>
      <c r="O123" s="281"/>
      <c r="P123" s="281"/>
      <c r="Q123" s="186"/>
      <c r="R123" s="186"/>
      <c r="S123" s="186"/>
      <c r="U123" s="186"/>
    </row>
    <row r="124" spans="9:21">
      <c r="I124" s="281"/>
      <c r="J124" s="281"/>
      <c r="K124" s="281"/>
      <c r="L124" s="281"/>
      <c r="M124" s="281"/>
      <c r="N124" s="281"/>
      <c r="O124" s="281"/>
      <c r="P124" s="281"/>
      <c r="Q124" s="186"/>
      <c r="R124" s="186"/>
      <c r="S124" s="186"/>
      <c r="U124" s="186"/>
    </row>
    <row r="125" spans="9:21">
      <c r="I125" s="281"/>
      <c r="J125" s="281"/>
      <c r="K125" s="281"/>
      <c r="L125" s="281"/>
      <c r="M125" s="281"/>
      <c r="N125" s="281"/>
      <c r="O125" s="281"/>
      <c r="P125" s="281"/>
      <c r="Q125" s="186"/>
      <c r="R125" s="186"/>
      <c r="S125" s="186"/>
      <c r="U125" s="186"/>
    </row>
    <row r="126" spans="9:21">
      <c r="I126" s="281"/>
      <c r="J126" s="281"/>
      <c r="K126" s="281"/>
      <c r="L126" s="281"/>
      <c r="M126" s="281"/>
      <c r="N126" s="281"/>
      <c r="O126" s="281"/>
      <c r="P126" s="281"/>
      <c r="Q126" s="186"/>
      <c r="R126" s="186"/>
      <c r="S126" s="186"/>
      <c r="U126" s="186"/>
    </row>
    <row r="127" spans="9:21">
      <c r="I127" s="281"/>
      <c r="J127" s="281"/>
      <c r="K127" s="281"/>
      <c r="L127" s="281"/>
      <c r="M127" s="281"/>
      <c r="N127" s="281"/>
      <c r="O127" s="281"/>
      <c r="P127" s="281"/>
      <c r="Q127" s="186"/>
      <c r="R127" s="186"/>
      <c r="S127" s="186"/>
      <c r="U127" s="186"/>
    </row>
    <row r="128" spans="9:21">
      <c r="I128" s="281"/>
      <c r="J128" s="281"/>
      <c r="K128" s="281"/>
      <c r="L128" s="281"/>
      <c r="M128" s="281"/>
      <c r="N128" s="281"/>
      <c r="O128" s="281"/>
      <c r="P128" s="281"/>
      <c r="Q128" s="186"/>
      <c r="R128" s="186"/>
      <c r="S128" s="186"/>
      <c r="U128" s="186"/>
    </row>
    <row r="129" spans="9:21">
      <c r="I129" s="281"/>
      <c r="J129" s="281"/>
      <c r="K129" s="281"/>
      <c r="L129" s="281"/>
      <c r="M129" s="281"/>
      <c r="N129" s="281"/>
      <c r="O129" s="281"/>
      <c r="P129" s="281"/>
      <c r="Q129" s="186"/>
      <c r="R129" s="186"/>
      <c r="S129" s="186"/>
      <c r="U129" s="186"/>
    </row>
    <row r="130" spans="9:21">
      <c r="I130" s="281"/>
      <c r="J130" s="281"/>
      <c r="K130" s="281"/>
      <c r="L130" s="281"/>
      <c r="M130" s="281"/>
      <c r="N130" s="281"/>
      <c r="O130" s="281"/>
      <c r="P130" s="281"/>
      <c r="Q130" s="186"/>
      <c r="R130" s="186"/>
      <c r="S130" s="186"/>
      <c r="U130" s="186"/>
    </row>
    <row r="131" spans="9:21">
      <c r="I131" s="281"/>
      <c r="J131" s="281"/>
      <c r="K131" s="281"/>
      <c r="L131" s="281"/>
      <c r="M131" s="281"/>
      <c r="N131" s="281"/>
      <c r="O131" s="281"/>
      <c r="P131" s="281"/>
      <c r="Q131" s="186"/>
      <c r="R131" s="186"/>
      <c r="S131" s="186"/>
      <c r="U131" s="186"/>
    </row>
    <row r="132" spans="9:21">
      <c r="I132" s="281"/>
      <c r="J132" s="281"/>
      <c r="K132" s="281"/>
      <c r="L132" s="281"/>
      <c r="M132" s="281"/>
      <c r="N132" s="281"/>
      <c r="O132" s="281"/>
      <c r="P132" s="281"/>
      <c r="Q132" s="186"/>
      <c r="R132" s="186"/>
      <c r="S132" s="186"/>
      <c r="U132" s="186"/>
    </row>
    <row r="133" spans="9:21">
      <c r="I133" s="281"/>
      <c r="J133" s="281"/>
      <c r="K133" s="281"/>
      <c r="L133" s="281"/>
      <c r="M133" s="281"/>
      <c r="N133" s="281"/>
      <c r="O133" s="281"/>
      <c r="P133" s="281"/>
      <c r="Q133" s="186"/>
      <c r="R133" s="186"/>
      <c r="S133" s="186"/>
      <c r="U133" s="186"/>
    </row>
    <row r="134" spans="9:21">
      <c r="I134" s="281"/>
      <c r="J134" s="281"/>
      <c r="K134" s="281"/>
      <c r="L134" s="281"/>
      <c r="M134" s="281"/>
      <c r="N134" s="281"/>
      <c r="O134" s="281"/>
      <c r="P134" s="281"/>
      <c r="Q134" s="186"/>
      <c r="R134" s="186"/>
      <c r="S134" s="186"/>
      <c r="U134" s="186"/>
    </row>
    <row r="135" spans="9:21">
      <c r="I135" s="281"/>
      <c r="J135" s="281"/>
      <c r="K135" s="281"/>
      <c r="L135" s="281"/>
      <c r="M135" s="281"/>
      <c r="N135" s="281"/>
      <c r="O135" s="281"/>
      <c r="P135" s="281"/>
      <c r="Q135" s="186"/>
      <c r="R135" s="186"/>
      <c r="S135" s="186"/>
      <c r="U135" s="186"/>
    </row>
    <row r="136" spans="9:21">
      <c r="I136" s="281"/>
      <c r="J136" s="281"/>
      <c r="K136" s="281"/>
      <c r="L136" s="281"/>
      <c r="M136" s="281"/>
      <c r="N136" s="281"/>
      <c r="O136" s="281"/>
      <c r="P136" s="281"/>
      <c r="Q136" s="186"/>
      <c r="R136" s="186"/>
      <c r="S136" s="186"/>
      <c r="U136" s="186"/>
    </row>
    <row r="137" spans="9:21">
      <c r="I137" s="281"/>
      <c r="J137" s="281"/>
      <c r="K137" s="281"/>
      <c r="L137" s="281"/>
      <c r="M137" s="281"/>
      <c r="N137" s="281"/>
      <c r="O137" s="281"/>
      <c r="P137" s="281"/>
      <c r="Q137" s="186"/>
      <c r="R137" s="186"/>
      <c r="S137" s="186"/>
      <c r="U137" s="186"/>
    </row>
    <row r="138" spans="9:21">
      <c r="I138" s="281"/>
      <c r="J138" s="281"/>
      <c r="K138" s="281"/>
      <c r="L138" s="281"/>
      <c r="M138" s="281"/>
      <c r="N138" s="281"/>
      <c r="O138" s="281"/>
      <c r="P138" s="281"/>
      <c r="Q138" s="186"/>
      <c r="R138" s="186"/>
      <c r="S138" s="186"/>
      <c r="U138" s="186"/>
    </row>
    <row r="139" spans="9:21">
      <c r="I139" s="281"/>
      <c r="J139" s="281"/>
      <c r="K139" s="281"/>
      <c r="L139" s="281"/>
      <c r="M139" s="281"/>
      <c r="N139" s="281"/>
      <c r="O139" s="281"/>
      <c r="P139" s="281"/>
      <c r="Q139" s="186"/>
      <c r="R139" s="186"/>
      <c r="S139" s="186"/>
      <c r="U139" s="186"/>
    </row>
    <row r="140" spans="9:21">
      <c r="I140" s="281"/>
      <c r="J140" s="281"/>
      <c r="K140" s="281"/>
      <c r="L140" s="281"/>
      <c r="M140" s="281"/>
      <c r="N140" s="281"/>
      <c r="O140" s="281"/>
      <c r="P140" s="281"/>
      <c r="Q140" s="186"/>
      <c r="R140" s="186"/>
      <c r="S140" s="186"/>
      <c r="U140" s="186"/>
    </row>
    <row r="141" spans="9:21">
      <c r="I141" s="281"/>
      <c r="J141" s="281"/>
      <c r="K141" s="281"/>
      <c r="L141" s="281"/>
      <c r="M141" s="281"/>
      <c r="N141" s="281"/>
      <c r="O141" s="281"/>
      <c r="P141" s="281"/>
      <c r="Q141" s="186"/>
      <c r="R141" s="186"/>
      <c r="S141" s="186"/>
      <c r="U141" s="186"/>
    </row>
    <row r="142" spans="9:21">
      <c r="I142" s="281"/>
      <c r="J142" s="281"/>
      <c r="K142" s="281"/>
      <c r="L142" s="281"/>
      <c r="M142" s="281"/>
      <c r="N142" s="281"/>
      <c r="O142" s="281"/>
      <c r="P142" s="281"/>
      <c r="Q142" s="186"/>
      <c r="R142" s="186"/>
      <c r="S142" s="186"/>
      <c r="U142" s="186"/>
    </row>
    <row r="143" spans="9:21">
      <c r="I143" s="281"/>
      <c r="J143" s="281"/>
      <c r="K143" s="281"/>
      <c r="L143" s="281"/>
      <c r="M143" s="281"/>
      <c r="N143" s="281"/>
      <c r="O143" s="281"/>
      <c r="P143" s="281"/>
      <c r="Q143" s="186"/>
      <c r="R143" s="186"/>
      <c r="S143" s="186"/>
      <c r="U143" s="186"/>
    </row>
    <row r="144" spans="9:21">
      <c r="I144" s="281"/>
      <c r="J144" s="281"/>
      <c r="K144" s="281"/>
      <c r="L144" s="281"/>
      <c r="M144" s="281"/>
      <c r="N144" s="281"/>
      <c r="O144" s="281"/>
      <c r="P144" s="281"/>
      <c r="Q144" s="186"/>
      <c r="R144" s="186"/>
      <c r="S144" s="186"/>
      <c r="U144" s="186"/>
    </row>
    <row r="145" spans="9:21">
      <c r="I145" s="281"/>
      <c r="J145" s="281"/>
      <c r="K145" s="281"/>
      <c r="L145" s="281"/>
      <c r="M145" s="281"/>
      <c r="N145" s="281"/>
      <c r="O145" s="281"/>
      <c r="P145" s="281"/>
      <c r="Q145" s="186"/>
      <c r="R145" s="186"/>
      <c r="S145" s="186"/>
      <c r="U145" s="186"/>
    </row>
    <row r="146" spans="9:21">
      <c r="I146" s="281"/>
      <c r="J146" s="281"/>
      <c r="K146" s="281"/>
      <c r="L146" s="281"/>
      <c r="M146" s="281"/>
      <c r="N146" s="281"/>
      <c r="O146" s="281"/>
      <c r="P146" s="281"/>
      <c r="Q146" s="186"/>
      <c r="R146" s="186"/>
      <c r="S146" s="186"/>
      <c r="U146" s="186"/>
    </row>
    <row r="147" spans="9:21">
      <c r="I147" s="281"/>
      <c r="J147" s="281"/>
      <c r="K147" s="281"/>
      <c r="L147" s="281"/>
      <c r="M147" s="281"/>
      <c r="N147" s="281"/>
      <c r="O147" s="281"/>
      <c r="P147" s="281"/>
      <c r="Q147" s="186"/>
      <c r="R147" s="186"/>
      <c r="S147" s="186"/>
      <c r="U147" s="186"/>
    </row>
    <row r="148" spans="9:21">
      <c r="I148" s="281"/>
      <c r="J148" s="281"/>
      <c r="K148" s="281"/>
      <c r="L148" s="281"/>
      <c r="M148" s="281"/>
      <c r="N148" s="281"/>
      <c r="O148" s="281"/>
      <c r="P148" s="281"/>
      <c r="Q148" s="186"/>
      <c r="R148" s="186"/>
      <c r="S148" s="186"/>
      <c r="U148" s="186"/>
    </row>
    <row r="149" spans="9:21">
      <c r="I149" s="281"/>
      <c r="J149" s="281"/>
      <c r="K149" s="281"/>
      <c r="L149" s="281"/>
      <c r="M149" s="281"/>
      <c r="N149" s="281"/>
      <c r="O149" s="281"/>
      <c r="P149" s="281"/>
      <c r="Q149" s="186"/>
      <c r="R149" s="186"/>
      <c r="S149" s="186"/>
      <c r="U149" s="186"/>
    </row>
    <row r="150" spans="9:21">
      <c r="I150" s="281"/>
      <c r="J150" s="281"/>
      <c r="K150" s="281"/>
      <c r="L150" s="281"/>
      <c r="M150" s="281"/>
      <c r="N150" s="281"/>
      <c r="O150" s="281"/>
      <c r="P150" s="281"/>
      <c r="Q150" s="186"/>
      <c r="R150" s="186"/>
      <c r="S150" s="186"/>
      <c r="U150" s="186"/>
    </row>
    <row r="151" spans="9:21">
      <c r="I151" s="281"/>
      <c r="J151" s="281"/>
      <c r="K151" s="281"/>
      <c r="L151" s="281"/>
      <c r="M151" s="281"/>
      <c r="N151" s="281"/>
      <c r="O151" s="281"/>
      <c r="P151" s="281"/>
      <c r="Q151" s="186"/>
      <c r="R151" s="186"/>
      <c r="S151" s="186"/>
      <c r="U151" s="186"/>
    </row>
    <row r="152" spans="9:21">
      <c r="I152" s="281"/>
      <c r="J152" s="281"/>
      <c r="K152" s="281"/>
      <c r="L152" s="281"/>
      <c r="M152" s="281"/>
      <c r="N152" s="281"/>
      <c r="O152" s="281"/>
      <c r="P152" s="281"/>
      <c r="Q152" s="186"/>
      <c r="R152" s="186"/>
      <c r="S152" s="186"/>
      <c r="U152" s="186"/>
    </row>
    <row r="153" spans="9:21">
      <c r="I153" s="281"/>
      <c r="J153" s="281"/>
      <c r="K153" s="281"/>
      <c r="L153" s="281"/>
      <c r="M153" s="281"/>
      <c r="N153" s="281"/>
      <c r="O153" s="281"/>
      <c r="P153" s="281"/>
      <c r="Q153" s="186"/>
      <c r="R153" s="186"/>
      <c r="S153" s="186"/>
      <c r="U153" s="186"/>
    </row>
    <row r="154" spans="9:21">
      <c r="I154" s="281"/>
      <c r="J154" s="281"/>
      <c r="K154" s="281"/>
      <c r="L154" s="281"/>
      <c r="M154" s="281"/>
      <c r="N154" s="281"/>
      <c r="O154" s="281"/>
      <c r="P154" s="281"/>
      <c r="Q154" s="186"/>
      <c r="R154" s="186"/>
      <c r="S154" s="186"/>
      <c r="U154" s="186"/>
    </row>
    <row r="155" spans="9:21">
      <c r="I155" s="281"/>
      <c r="J155" s="281"/>
      <c r="K155" s="281"/>
      <c r="L155" s="281"/>
      <c r="M155" s="281"/>
      <c r="N155" s="281"/>
      <c r="O155" s="281"/>
      <c r="P155" s="281"/>
      <c r="Q155" s="186"/>
      <c r="R155" s="186"/>
      <c r="S155" s="186"/>
      <c r="U155" s="186"/>
    </row>
    <row r="156" spans="9:21">
      <c r="I156" s="281"/>
      <c r="J156" s="281"/>
      <c r="K156" s="281"/>
      <c r="L156" s="281"/>
      <c r="M156" s="281"/>
      <c r="N156" s="281"/>
      <c r="O156" s="281"/>
      <c r="P156" s="281"/>
      <c r="Q156" s="186"/>
      <c r="R156" s="186"/>
      <c r="S156" s="186"/>
      <c r="U156" s="186"/>
    </row>
    <row r="157" spans="9:21">
      <c r="I157" s="281"/>
      <c r="J157" s="281"/>
      <c r="K157" s="281"/>
      <c r="L157" s="281"/>
      <c r="M157" s="281"/>
      <c r="N157" s="281"/>
      <c r="O157" s="281"/>
      <c r="P157" s="281"/>
      <c r="Q157" s="186"/>
      <c r="R157" s="186"/>
      <c r="S157" s="186"/>
      <c r="U157" s="186"/>
    </row>
    <row r="158" spans="9:21">
      <c r="I158" s="281"/>
      <c r="J158" s="281"/>
      <c r="K158" s="281"/>
      <c r="L158" s="281"/>
      <c r="M158" s="281"/>
      <c r="N158" s="281"/>
      <c r="O158" s="281"/>
      <c r="P158" s="281"/>
      <c r="Q158" s="186"/>
      <c r="R158" s="186"/>
      <c r="S158" s="186"/>
      <c r="U158" s="186"/>
    </row>
    <row r="159" spans="9:21">
      <c r="I159" s="281"/>
      <c r="J159" s="281"/>
      <c r="K159" s="281"/>
      <c r="L159" s="281"/>
      <c r="M159" s="281"/>
      <c r="N159" s="281"/>
      <c r="O159" s="281"/>
      <c r="P159" s="281"/>
      <c r="Q159" s="186"/>
      <c r="R159" s="186"/>
      <c r="S159" s="186"/>
      <c r="U159" s="186"/>
    </row>
    <row r="160" spans="9:21">
      <c r="I160" s="281"/>
      <c r="J160" s="281"/>
      <c r="K160" s="281"/>
      <c r="L160" s="281"/>
      <c r="M160" s="281"/>
      <c r="N160" s="281"/>
      <c r="O160" s="281"/>
      <c r="P160" s="281"/>
      <c r="Q160" s="186"/>
      <c r="R160" s="186"/>
      <c r="S160" s="186"/>
      <c r="U160" s="186"/>
    </row>
    <row r="161" spans="9:21">
      <c r="I161" s="281"/>
      <c r="J161" s="281"/>
      <c r="K161" s="281"/>
      <c r="L161" s="281"/>
      <c r="M161" s="281"/>
      <c r="N161" s="281"/>
      <c r="O161" s="281"/>
      <c r="P161" s="281"/>
      <c r="Q161" s="186"/>
      <c r="R161" s="186"/>
      <c r="S161" s="186"/>
      <c r="U161" s="186"/>
    </row>
    <row r="162" spans="9:21">
      <c r="I162" s="281"/>
      <c r="J162" s="281"/>
      <c r="K162" s="281"/>
      <c r="L162" s="281"/>
      <c r="M162" s="281"/>
      <c r="N162" s="281"/>
      <c r="O162" s="281"/>
      <c r="P162" s="281"/>
      <c r="Q162" s="186"/>
      <c r="R162" s="186"/>
      <c r="S162" s="186"/>
      <c r="U162" s="186"/>
    </row>
    <row r="163" spans="9:21">
      <c r="I163" s="281"/>
      <c r="J163" s="281"/>
      <c r="K163" s="281"/>
      <c r="L163" s="281"/>
      <c r="M163" s="281"/>
      <c r="N163" s="281"/>
      <c r="O163" s="281"/>
      <c r="P163" s="281"/>
      <c r="Q163" s="186"/>
      <c r="R163" s="186"/>
      <c r="S163" s="186"/>
      <c r="U163" s="186"/>
    </row>
    <row r="164" spans="9:21">
      <c r="I164" s="281"/>
      <c r="J164" s="281"/>
      <c r="K164" s="281"/>
      <c r="L164" s="281"/>
      <c r="M164" s="281"/>
      <c r="N164" s="281"/>
      <c r="O164" s="281"/>
      <c r="P164" s="281"/>
      <c r="Q164" s="186"/>
      <c r="R164" s="186"/>
      <c r="S164" s="186"/>
      <c r="U164" s="186"/>
    </row>
    <row r="165" spans="9:21">
      <c r="I165" s="281"/>
      <c r="J165" s="281"/>
      <c r="K165" s="281"/>
      <c r="L165" s="281"/>
      <c r="M165" s="281"/>
      <c r="N165" s="281"/>
      <c r="O165" s="281"/>
      <c r="P165" s="281"/>
      <c r="Q165" s="186"/>
      <c r="R165" s="186"/>
      <c r="S165" s="186"/>
      <c r="U165" s="186"/>
    </row>
    <row r="166" spans="9:21">
      <c r="I166" s="281"/>
      <c r="J166" s="281"/>
      <c r="K166" s="281"/>
      <c r="L166" s="281"/>
      <c r="M166" s="281"/>
      <c r="N166" s="281"/>
      <c r="O166" s="281"/>
      <c r="P166" s="281"/>
      <c r="Q166" s="186"/>
      <c r="R166" s="186"/>
      <c r="S166" s="186"/>
      <c r="U166" s="186"/>
    </row>
    <row r="167" spans="9:21">
      <c r="I167" s="281"/>
      <c r="J167" s="281"/>
      <c r="K167" s="281"/>
      <c r="L167" s="281"/>
      <c r="M167" s="281"/>
      <c r="N167" s="281"/>
      <c r="O167" s="281"/>
      <c r="P167" s="281"/>
      <c r="Q167" s="186"/>
      <c r="R167" s="186"/>
      <c r="S167" s="186"/>
      <c r="U167" s="186"/>
    </row>
    <row r="168" spans="9:21">
      <c r="I168" s="281"/>
      <c r="J168" s="281"/>
      <c r="K168" s="281"/>
      <c r="L168" s="281"/>
      <c r="M168" s="281"/>
      <c r="N168" s="281"/>
      <c r="O168" s="281"/>
      <c r="P168" s="281"/>
      <c r="Q168" s="186"/>
      <c r="R168" s="186"/>
      <c r="S168" s="186"/>
      <c r="U168" s="186"/>
    </row>
    <row r="169" spans="9:21">
      <c r="I169" s="281"/>
      <c r="J169" s="281"/>
      <c r="K169" s="281"/>
      <c r="L169" s="281"/>
      <c r="M169" s="281"/>
      <c r="N169" s="281"/>
      <c r="O169" s="281"/>
      <c r="P169" s="281"/>
      <c r="Q169" s="186"/>
      <c r="R169" s="186"/>
      <c r="S169" s="186"/>
      <c r="U169" s="186"/>
    </row>
    <row r="170" spans="9:21">
      <c r="I170" s="281"/>
      <c r="J170" s="281"/>
      <c r="K170" s="281"/>
      <c r="L170" s="281"/>
      <c r="M170" s="281"/>
      <c r="N170" s="281"/>
      <c r="O170" s="281"/>
      <c r="P170" s="281"/>
      <c r="Q170" s="186"/>
      <c r="R170" s="186"/>
      <c r="S170" s="186"/>
      <c r="U170" s="186"/>
    </row>
    <row r="171" spans="9:21">
      <c r="I171" s="281"/>
      <c r="J171" s="281"/>
      <c r="K171" s="281"/>
      <c r="L171" s="281"/>
      <c r="M171" s="281"/>
      <c r="N171" s="281"/>
      <c r="O171" s="281"/>
      <c r="P171" s="281"/>
      <c r="Q171" s="186"/>
      <c r="R171" s="186"/>
      <c r="S171" s="186"/>
      <c r="U171" s="186"/>
    </row>
    <row r="172" spans="9:21">
      <c r="I172" s="281"/>
      <c r="J172" s="281"/>
      <c r="K172" s="281"/>
      <c r="L172" s="281"/>
      <c r="M172" s="281"/>
      <c r="N172" s="281"/>
      <c r="O172" s="281"/>
      <c r="P172" s="281"/>
      <c r="Q172" s="186"/>
      <c r="R172" s="186"/>
      <c r="S172" s="186"/>
      <c r="U172" s="186"/>
    </row>
    <row r="173" spans="9:21">
      <c r="I173" s="281"/>
      <c r="J173" s="281"/>
      <c r="K173" s="281"/>
      <c r="L173" s="281"/>
      <c r="M173" s="281"/>
      <c r="N173" s="281"/>
      <c r="O173" s="281"/>
      <c r="P173" s="281"/>
      <c r="Q173" s="186"/>
      <c r="R173" s="186"/>
      <c r="S173" s="186"/>
      <c r="U173" s="186"/>
    </row>
    <row r="174" spans="9:21">
      <c r="I174" s="281"/>
      <c r="J174" s="281"/>
      <c r="K174" s="281"/>
      <c r="L174" s="281"/>
      <c r="M174" s="281"/>
      <c r="N174" s="281"/>
      <c r="O174" s="281"/>
      <c r="P174" s="281"/>
      <c r="Q174" s="186"/>
      <c r="R174" s="186"/>
      <c r="S174" s="186"/>
      <c r="U174" s="186"/>
    </row>
    <row r="175" spans="9:21">
      <c r="I175" s="281"/>
      <c r="J175" s="281"/>
      <c r="K175" s="281"/>
      <c r="L175" s="281"/>
      <c r="M175" s="281"/>
      <c r="N175" s="281"/>
      <c r="O175" s="281"/>
      <c r="P175" s="281"/>
      <c r="Q175" s="186"/>
      <c r="R175" s="186"/>
      <c r="S175" s="186"/>
      <c r="U175" s="186"/>
    </row>
    <row r="176" spans="9:21">
      <c r="I176" s="281"/>
      <c r="J176" s="281"/>
      <c r="K176" s="281"/>
      <c r="L176" s="281"/>
      <c r="M176" s="281"/>
      <c r="N176" s="281"/>
      <c r="O176" s="281"/>
      <c r="P176" s="281"/>
      <c r="Q176" s="186"/>
      <c r="R176" s="186"/>
      <c r="S176" s="186"/>
      <c r="U176" s="186"/>
    </row>
    <row r="177" spans="9:21">
      <c r="I177" s="281"/>
      <c r="J177" s="281"/>
      <c r="K177" s="281"/>
      <c r="L177" s="281"/>
      <c r="M177" s="281"/>
      <c r="N177" s="281"/>
      <c r="O177" s="281"/>
      <c r="P177" s="281"/>
      <c r="Q177" s="186"/>
      <c r="R177" s="186"/>
      <c r="S177" s="186"/>
      <c r="U177" s="186"/>
    </row>
    <row r="178" spans="9:21">
      <c r="I178" s="281"/>
      <c r="J178" s="281"/>
      <c r="K178" s="281"/>
      <c r="L178" s="281"/>
      <c r="M178" s="281"/>
      <c r="N178" s="281"/>
      <c r="O178" s="281"/>
      <c r="P178" s="281"/>
      <c r="Q178" s="186"/>
      <c r="R178" s="186"/>
      <c r="S178" s="186"/>
      <c r="U178" s="186"/>
    </row>
    <row r="179" spans="9:21">
      <c r="I179" s="281"/>
      <c r="J179" s="281"/>
      <c r="K179" s="281"/>
      <c r="L179" s="281"/>
      <c r="M179" s="281"/>
      <c r="N179" s="281"/>
      <c r="O179" s="281"/>
      <c r="P179" s="281"/>
      <c r="Q179" s="186"/>
      <c r="R179" s="186"/>
      <c r="S179" s="186"/>
      <c r="U179" s="186"/>
    </row>
    <row r="180" spans="9:21">
      <c r="I180" s="281"/>
      <c r="J180" s="281"/>
      <c r="K180" s="281"/>
      <c r="L180" s="281"/>
      <c r="M180" s="281"/>
      <c r="N180" s="281"/>
      <c r="O180" s="281"/>
      <c r="P180" s="281"/>
      <c r="Q180" s="186"/>
      <c r="R180" s="186"/>
      <c r="S180" s="186"/>
      <c r="U180" s="186"/>
    </row>
    <row r="181" spans="9:21">
      <c r="I181" s="281"/>
      <c r="J181" s="281"/>
      <c r="K181" s="281"/>
      <c r="L181" s="281"/>
      <c r="M181" s="281"/>
      <c r="N181" s="281"/>
      <c r="O181" s="281"/>
      <c r="P181" s="281"/>
      <c r="Q181" s="186"/>
      <c r="R181" s="186"/>
      <c r="S181" s="186"/>
      <c r="U181" s="186"/>
    </row>
    <row r="182" spans="9:21">
      <c r="I182" s="281"/>
      <c r="J182" s="281"/>
      <c r="K182" s="281"/>
      <c r="L182" s="281"/>
      <c r="M182" s="281"/>
      <c r="N182" s="281"/>
      <c r="O182" s="281"/>
      <c r="P182" s="281"/>
      <c r="Q182" s="186"/>
      <c r="R182" s="186"/>
      <c r="S182" s="186"/>
      <c r="U182" s="186"/>
    </row>
    <row r="183" spans="9:21">
      <c r="I183" s="281"/>
      <c r="J183" s="281"/>
      <c r="K183" s="281"/>
      <c r="L183" s="281"/>
      <c r="M183" s="281"/>
      <c r="N183" s="281"/>
      <c r="O183" s="281"/>
      <c r="P183" s="281"/>
      <c r="Q183" s="186"/>
      <c r="R183" s="186"/>
      <c r="S183" s="186"/>
      <c r="U183" s="186"/>
    </row>
    <row r="184" spans="9:21">
      <c r="I184" s="281"/>
      <c r="J184" s="281"/>
      <c r="K184" s="281"/>
      <c r="L184" s="281"/>
      <c r="M184" s="281"/>
      <c r="N184" s="281"/>
      <c r="O184" s="281"/>
      <c r="P184" s="281"/>
      <c r="Q184" s="186"/>
      <c r="R184" s="186"/>
      <c r="S184" s="186"/>
      <c r="U184" s="186"/>
    </row>
    <row r="185" spans="9:21">
      <c r="I185" s="281"/>
      <c r="J185" s="281"/>
      <c r="K185" s="281"/>
      <c r="L185" s="281"/>
      <c r="M185" s="281"/>
      <c r="N185" s="281"/>
      <c r="O185" s="281"/>
      <c r="P185" s="281"/>
      <c r="Q185" s="186"/>
      <c r="R185" s="186"/>
      <c r="S185" s="186"/>
      <c r="U185" s="186"/>
    </row>
    <row r="186" spans="9:21">
      <c r="I186" s="281"/>
      <c r="J186" s="281"/>
      <c r="K186" s="281"/>
      <c r="L186" s="281"/>
      <c r="M186" s="281"/>
      <c r="N186" s="281"/>
      <c r="O186" s="281"/>
      <c r="P186" s="281"/>
      <c r="Q186" s="186"/>
      <c r="R186" s="186"/>
      <c r="S186" s="186"/>
      <c r="U186" s="186"/>
    </row>
    <row r="187" spans="9:21">
      <c r="I187" s="281"/>
      <c r="J187" s="281"/>
      <c r="K187" s="281"/>
      <c r="L187" s="281"/>
      <c r="M187" s="281"/>
      <c r="N187" s="281"/>
      <c r="O187" s="281"/>
      <c r="P187" s="281"/>
      <c r="Q187" s="186"/>
      <c r="R187" s="186"/>
      <c r="S187" s="186"/>
      <c r="U187" s="186"/>
    </row>
    <row r="188" spans="9:21">
      <c r="I188" s="281"/>
      <c r="J188" s="281"/>
      <c r="K188" s="281"/>
      <c r="L188" s="281"/>
      <c r="M188" s="281"/>
      <c r="N188" s="281"/>
      <c r="O188" s="281"/>
      <c r="P188" s="281"/>
      <c r="Q188" s="186"/>
      <c r="R188" s="186"/>
      <c r="S188" s="186"/>
      <c r="U188" s="186"/>
    </row>
    <row r="189" spans="9:21">
      <c r="I189" s="281"/>
      <c r="J189" s="281"/>
      <c r="K189" s="281"/>
      <c r="L189" s="281"/>
      <c r="M189" s="281"/>
      <c r="N189" s="281"/>
      <c r="O189" s="281"/>
      <c r="P189" s="281"/>
      <c r="Q189" s="186"/>
      <c r="R189" s="186"/>
      <c r="S189" s="186"/>
      <c r="U189" s="186"/>
    </row>
    <row r="190" spans="9:21">
      <c r="I190" s="281"/>
      <c r="J190" s="281"/>
      <c r="K190" s="281"/>
      <c r="L190" s="281"/>
      <c r="M190" s="281"/>
      <c r="N190" s="281"/>
      <c r="O190" s="281"/>
      <c r="P190" s="281"/>
      <c r="Q190" s="186"/>
      <c r="R190" s="186"/>
      <c r="S190" s="186"/>
      <c r="U190" s="186"/>
    </row>
    <row r="191" spans="9:21">
      <c r="I191" s="281"/>
      <c r="J191" s="281"/>
      <c r="K191" s="281"/>
      <c r="L191" s="281"/>
      <c r="M191" s="281"/>
      <c r="N191" s="281"/>
      <c r="O191" s="281"/>
      <c r="P191" s="281"/>
      <c r="Q191" s="186"/>
      <c r="R191" s="186"/>
      <c r="S191" s="186"/>
      <c r="U191" s="186"/>
    </row>
    <row r="192" spans="9:21">
      <c r="I192" s="281"/>
      <c r="J192" s="281"/>
      <c r="K192" s="281"/>
      <c r="L192" s="281"/>
      <c r="M192" s="281"/>
      <c r="N192" s="281"/>
      <c r="O192" s="281"/>
      <c r="P192" s="281"/>
      <c r="Q192" s="186"/>
      <c r="R192" s="186"/>
      <c r="S192" s="186"/>
      <c r="U192" s="186"/>
    </row>
    <row r="193" spans="9:21">
      <c r="I193" s="281"/>
      <c r="J193" s="281"/>
      <c r="K193" s="281"/>
      <c r="L193" s="281"/>
      <c r="M193" s="281"/>
      <c r="N193" s="281"/>
      <c r="O193" s="281"/>
      <c r="P193" s="281"/>
      <c r="Q193" s="186"/>
      <c r="R193" s="186"/>
      <c r="S193" s="186"/>
      <c r="U193" s="186"/>
    </row>
    <row r="194" spans="9:21">
      <c r="I194" s="281"/>
      <c r="J194" s="281"/>
      <c r="K194" s="281"/>
      <c r="L194" s="281"/>
      <c r="M194" s="281"/>
      <c r="N194" s="281"/>
      <c r="O194" s="281"/>
      <c r="P194" s="281"/>
      <c r="Q194" s="186"/>
      <c r="R194" s="186"/>
      <c r="S194" s="186"/>
      <c r="U194" s="186"/>
    </row>
    <row r="195" spans="9:21">
      <c r="I195" s="281"/>
      <c r="J195" s="281"/>
      <c r="K195" s="281"/>
      <c r="L195" s="281"/>
      <c r="M195" s="281"/>
      <c r="N195" s="281"/>
      <c r="O195" s="281"/>
      <c r="P195" s="281"/>
      <c r="Q195" s="186"/>
      <c r="R195" s="186"/>
      <c r="S195" s="186"/>
      <c r="U195" s="186"/>
    </row>
    <row r="196" spans="9:21">
      <c r="I196" s="281"/>
      <c r="J196" s="281"/>
      <c r="K196" s="281"/>
      <c r="L196" s="281"/>
      <c r="M196" s="281"/>
      <c r="N196" s="281"/>
      <c r="O196" s="281"/>
      <c r="P196" s="281"/>
      <c r="Q196" s="186"/>
      <c r="R196" s="186"/>
      <c r="S196" s="186"/>
      <c r="U196" s="186"/>
    </row>
    <row r="197" spans="9:21">
      <c r="I197" s="281"/>
      <c r="J197" s="281"/>
      <c r="K197" s="281"/>
      <c r="L197" s="281"/>
      <c r="M197" s="281"/>
      <c r="N197" s="281"/>
      <c r="O197" s="281"/>
      <c r="P197" s="281"/>
      <c r="Q197" s="186"/>
      <c r="R197" s="186"/>
      <c r="S197" s="186"/>
      <c r="U197" s="186"/>
    </row>
    <row r="198" spans="9:21">
      <c r="I198" s="281"/>
      <c r="J198" s="281"/>
      <c r="K198" s="281"/>
      <c r="L198" s="281"/>
      <c r="M198" s="281"/>
      <c r="N198" s="281"/>
      <c r="O198" s="281"/>
      <c r="P198" s="281"/>
      <c r="Q198" s="186"/>
      <c r="R198" s="186"/>
      <c r="S198" s="186"/>
      <c r="U198" s="186"/>
    </row>
    <row r="199" spans="9:21">
      <c r="I199" s="281"/>
      <c r="J199" s="281"/>
      <c r="K199" s="281"/>
      <c r="L199" s="281"/>
      <c r="M199" s="281"/>
      <c r="N199" s="281"/>
      <c r="O199" s="281"/>
      <c r="P199" s="281"/>
      <c r="Q199" s="186"/>
      <c r="R199" s="186"/>
      <c r="S199" s="186"/>
      <c r="U199" s="186"/>
    </row>
    <row r="200" spans="9:21">
      <c r="I200" s="281"/>
      <c r="J200" s="281"/>
      <c r="K200" s="281"/>
      <c r="L200" s="281"/>
      <c r="M200" s="281"/>
      <c r="N200" s="281"/>
      <c r="O200" s="281"/>
      <c r="P200" s="281"/>
      <c r="Q200" s="186"/>
      <c r="R200" s="186"/>
      <c r="S200" s="186"/>
      <c r="U200" s="186"/>
    </row>
    <row r="201" spans="9:21">
      <c r="I201" s="281"/>
      <c r="J201" s="281"/>
      <c r="K201" s="281"/>
      <c r="L201" s="281"/>
      <c r="M201" s="281"/>
      <c r="N201" s="281"/>
      <c r="O201" s="281"/>
      <c r="P201" s="281"/>
      <c r="Q201" s="186"/>
      <c r="R201" s="186"/>
      <c r="S201" s="186"/>
      <c r="U201" s="186"/>
    </row>
    <row r="202" spans="9:21">
      <c r="I202" s="281"/>
      <c r="J202" s="281"/>
      <c r="K202" s="281"/>
      <c r="L202" s="281"/>
      <c r="M202" s="281"/>
      <c r="N202" s="281"/>
      <c r="O202" s="281"/>
      <c r="P202" s="281"/>
      <c r="Q202" s="186"/>
      <c r="R202" s="186"/>
      <c r="S202" s="186"/>
      <c r="U202" s="186"/>
    </row>
    <row r="203" spans="9:21">
      <c r="I203" s="281"/>
      <c r="J203" s="281"/>
      <c r="K203" s="281"/>
      <c r="L203" s="281"/>
      <c r="M203" s="281"/>
      <c r="N203" s="281"/>
      <c r="O203" s="281"/>
      <c r="P203" s="281"/>
      <c r="Q203" s="186"/>
      <c r="R203" s="186"/>
      <c r="S203" s="186"/>
      <c r="U203" s="186"/>
    </row>
    <row r="204" spans="9:21">
      <c r="I204" s="281"/>
      <c r="J204" s="281"/>
      <c r="K204" s="281"/>
      <c r="L204" s="281"/>
      <c r="M204" s="281"/>
      <c r="N204" s="281"/>
      <c r="O204" s="281"/>
      <c r="P204" s="281"/>
      <c r="Q204" s="186"/>
      <c r="R204" s="186"/>
      <c r="S204" s="186"/>
      <c r="U204" s="186"/>
    </row>
    <row r="205" spans="9:21">
      <c r="I205" s="281"/>
      <c r="J205" s="281"/>
      <c r="K205" s="281"/>
      <c r="L205" s="281"/>
      <c r="M205" s="281"/>
      <c r="N205" s="281"/>
      <c r="O205" s="281"/>
      <c r="P205" s="281"/>
      <c r="Q205" s="186"/>
      <c r="R205" s="186"/>
      <c r="S205" s="186"/>
      <c r="U205" s="186"/>
    </row>
    <row r="206" spans="9:21">
      <c r="I206" s="281"/>
      <c r="J206" s="281"/>
      <c r="K206" s="281"/>
      <c r="L206" s="281"/>
      <c r="M206" s="281"/>
      <c r="N206" s="281"/>
      <c r="O206" s="281"/>
      <c r="P206" s="281"/>
      <c r="Q206" s="186"/>
      <c r="R206" s="186"/>
      <c r="S206" s="186"/>
      <c r="U206" s="186"/>
    </row>
    <row r="207" spans="9:21">
      <c r="I207" s="281"/>
      <c r="J207" s="281"/>
      <c r="K207" s="281"/>
      <c r="L207" s="281"/>
      <c r="M207" s="281"/>
      <c r="N207" s="281"/>
      <c r="O207" s="281"/>
      <c r="P207" s="281"/>
      <c r="Q207" s="186"/>
      <c r="R207" s="186"/>
      <c r="S207" s="186"/>
      <c r="U207" s="186"/>
    </row>
    <row r="208" spans="9:21">
      <c r="I208" s="281"/>
      <c r="J208" s="281"/>
      <c r="K208" s="281"/>
      <c r="L208" s="281"/>
      <c r="M208" s="281"/>
      <c r="N208" s="281"/>
      <c r="O208" s="281"/>
      <c r="P208" s="281"/>
      <c r="Q208" s="186"/>
      <c r="R208" s="186"/>
      <c r="S208" s="186"/>
      <c r="U208" s="186"/>
    </row>
    <row r="209" spans="9:21">
      <c r="I209" s="281"/>
      <c r="J209" s="281"/>
      <c r="K209" s="281"/>
      <c r="L209" s="281"/>
      <c r="M209" s="281"/>
      <c r="N209" s="281"/>
      <c r="O209" s="281"/>
      <c r="P209" s="281"/>
      <c r="Q209" s="186"/>
      <c r="R209" s="186"/>
      <c r="S209" s="186"/>
      <c r="U209" s="186"/>
    </row>
    <row r="210" spans="9:21">
      <c r="I210" s="281"/>
      <c r="J210" s="281"/>
      <c r="K210" s="281"/>
      <c r="L210" s="281"/>
      <c r="M210" s="281"/>
      <c r="N210" s="281"/>
      <c r="O210" s="281"/>
      <c r="P210" s="281"/>
      <c r="Q210" s="186"/>
      <c r="R210" s="186"/>
      <c r="S210" s="186"/>
      <c r="U210" s="186"/>
    </row>
    <row r="211" spans="9:21">
      <c r="I211" s="281"/>
      <c r="J211" s="281"/>
      <c r="K211" s="281"/>
      <c r="L211" s="281"/>
      <c r="M211" s="281"/>
      <c r="N211" s="281"/>
      <c r="O211" s="281"/>
      <c r="P211" s="281"/>
      <c r="Q211" s="186"/>
      <c r="R211" s="186"/>
      <c r="S211" s="186"/>
      <c r="U211" s="186"/>
    </row>
    <row r="212" spans="9:21">
      <c r="I212" s="281"/>
      <c r="J212" s="281"/>
      <c r="K212" s="281"/>
      <c r="L212" s="281"/>
      <c r="M212" s="281"/>
      <c r="N212" s="281"/>
      <c r="O212" s="281"/>
      <c r="P212" s="281"/>
      <c r="Q212" s="186"/>
      <c r="R212" s="186"/>
      <c r="S212" s="186"/>
      <c r="U212" s="186"/>
    </row>
    <row r="213" spans="9:21">
      <c r="I213" s="281"/>
      <c r="J213" s="281"/>
      <c r="K213" s="281"/>
      <c r="L213" s="281"/>
      <c r="M213" s="281"/>
      <c r="N213" s="281"/>
      <c r="O213" s="281"/>
      <c r="P213" s="281"/>
      <c r="Q213" s="186"/>
      <c r="R213" s="186"/>
      <c r="S213" s="186"/>
      <c r="U213" s="186"/>
    </row>
    <row r="214" spans="9:21">
      <c r="I214" s="281"/>
      <c r="J214" s="281"/>
      <c r="K214" s="281"/>
      <c r="L214" s="281"/>
      <c r="M214" s="281"/>
      <c r="N214" s="281"/>
      <c r="O214" s="281"/>
      <c r="P214" s="281"/>
      <c r="Q214" s="186"/>
      <c r="R214" s="186"/>
      <c r="S214" s="186"/>
      <c r="U214" s="186"/>
    </row>
    <row r="215" spans="9:21">
      <c r="I215" s="281"/>
      <c r="J215" s="281"/>
      <c r="K215" s="281"/>
      <c r="L215" s="281"/>
      <c r="M215" s="281"/>
      <c r="N215" s="281"/>
      <c r="O215" s="281"/>
      <c r="P215" s="281"/>
      <c r="Q215" s="186"/>
      <c r="R215" s="186"/>
      <c r="S215" s="186"/>
      <c r="U215" s="186"/>
    </row>
    <row r="216" spans="9:21">
      <c r="I216" s="281"/>
      <c r="J216" s="281"/>
      <c r="K216" s="281"/>
      <c r="L216" s="281"/>
      <c r="M216" s="281"/>
      <c r="N216" s="281"/>
      <c r="O216" s="281"/>
      <c r="P216" s="281"/>
      <c r="Q216" s="186"/>
      <c r="R216" s="186"/>
      <c r="S216" s="186"/>
      <c r="U216" s="186"/>
    </row>
    <row r="217" spans="9:21">
      <c r="I217" s="281"/>
      <c r="J217" s="281"/>
      <c r="K217" s="281"/>
      <c r="L217" s="281"/>
      <c r="M217" s="281"/>
      <c r="N217" s="281"/>
      <c r="O217" s="281"/>
      <c r="P217" s="281"/>
      <c r="Q217" s="186"/>
      <c r="R217" s="186"/>
      <c r="S217" s="186"/>
      <c r="U217" s="186"/>
    </row>
    <row r="218" spans="9:21">
      <c r="I218" s="281"/>
      <c r="J218" s="281"/>
      <c r="K218" s="281"/>
      <c r="L218" s="281"/>
      <c r="M218" s="281"/>
      <c r="N218" s="281"/>
      <c r="O218" s="281"/>
      <c r="P218" s="281"/>
      <c r="Q218" s="186"/>
      <c r="R218" s="186"/>
      <c r="S218" s="186"/>
      <c r="U218" s="186"/>
    </row>
    <row r="219" spans="9:21">
      <c r="I219" s="281"/>
      <c r="J219" s="281"/>
      <c r="K219" s="281"/>
      <c r="L219" s="281"/>
      <c r="M219" s="281"/>
      <c r="N219" s="281"/>
      <c r="O219" s="281"/>
      <c r="P219" s="281"/>
      <c r="Q219" s="186"/>
      <c r="R219" s="186"/>
      <c r="S219" s="186"/>
      <c r="U219" s="186"/>
    </row>
    <row r="220" spans="9:21">
      <c r="I220" s="281"/>
      <c r="J220" s="281"/>
      <c r="K220" s="281"/>
      <c r="L220" s="281"/>
      <c r="M220" s="281"/>
      <c r="N220" s="281"/>
      <c r="O220" s="281"/>
      <c r="P220" s="281"/>
      <c r="Q220" s="186"/>
      <c r="R220" s="186"/>
      <c r="S220" s="186"/>
      <c r="U220" s="186"/>
    </row>
    <row r="221" spans="9:21">
      <c r="I221" s="281"/>
      <c r="J221" s="281"/>
      <c r="K221" s="281"/>
      <c r="L221" s="281"/>
      <c r="M221" s="281"/>
      <c r="N221" s="281"/>
      <c r="O221" s="281"/>
      <c r="P221" s="281"/>
      <c r="Q221" s="186"/>
      <c r="R221" s="186"/>
      <c r="S221" s="186"/>
      <c r="U221" s="186"/>
    </row>
    <row r="222" spans="9:21">
      <c r="I222" s="281"/>
      <c r="J222" s="281"/>
      <c r="K222" s="281"/>
      <c r="L222" s="281"/>
      <c r="M222" s="281"/>
      <c r="N222" s="281"/>
      <c r="O222" s="281"/>
      <c r="P222" s="281"/>
      <c r="Q222" s="186"/>
      <c r="R222" s="186"/>
      <c r="S222" s="186"/>
      <c r="U222" s="186"/>
    </row>
    <row r="223" spans="9:21">
      <c r="I223" s="281"/>
      <c r="J223" s="281"/>
      <c r="K223" s="281"/>
      <c r="L223" s="281"/>
      <c r="M223" s="281"/>
      <c r="N223" s="281"/>
      <c r="O223" s="281"/>
      <c r="P223" s="281"/>
      <c r="Q223" s="186"/>
      <c r="R223" s="186"/>
      <c r="S223" s="186"/>
      <c r="U223" s="186"/>
    </row>
    <row r="224" spans="9:21">
      <c r="I224" s="281"/>
      <c r="J224" s="281"/>
      <c r="K224" s="281"/>
      <c r="L224" s="281"/>
      <c r="M224" s="281"/>
      <c r="N224" s="281"/>
      <c r="O224" s="281"/>
      <c r="P224" s="281"/>
      <c r="Q224" s="186"/>
      <c r="R224" s="186"/>
      <c r="S224" s="186"/>
      <c r="U224" s="186"/>
    </row>
    <row r="225" spans="9:21">
      <c r="I225" s="281"/>
      <c r="J225" s="281"/>
      <c r="K225" s="281"/>
      <c r="L225" s="281"/>
      <c r="M225" s="281"/>
      <c r="N225" s="281"/>
      <c r="O225" s="281"/>
      <c r="P225" s="281"/>
      <c r="Q225" s="186"/>
      <c r="R225" s="186"/>
      <c r="S225" s="186"/>
      <c r="U225" s="186"/>
    </row>
    <row r="226" spans="9:21">
      <c r="I226" s="281"/>
      <c r="J226" s="281"/>
      <c r="K226" s="281"/>
      <c r="L226" s="281"/>
      <c r="M226" s="281"/>
      <c r="N226" s="281"/>
      <c r="O226" s="281"/>
      <c r="P226" s="281"/>
      <c r="Q226" s="186"/>
      <c r="R226" s="186"/>
      <c r="S226" s="186"/>
      <c r="U226" s="186"/>
    </row>
    <row r="227" spans="9:21">
      <c r="I227" s="281"/>
      <c r="J227" s="281"/>
      <c r="K227" s="281"/>
      <c r="L227" s="281"/>
      <c r="M227" s="281"/>
      <c r="N227" s="281"/>
      <c r="O227" s="281"/>
      <c r="P227" s="281"/>
      <c r="Q227" s="186"/>
      <c r="R227" s="186"/>
      <c r="S227" s="186"/>
      <c r="U227" s="186"/>
    </row>
    <row r="228" spans="9:21">
      <c r="I228" s="281"/>
      <c r="J228" s="281"/>
      <c r="K228" s="281"/>
      <c r="L228" s="281"/>
      <c r="M228" s="281"/>
      <c r="N228" s="281"/>
      <c r="O228" s="281"/>
      <c r="P228" s="281"/>
      <c r="Q228" s="186"/>
      <c r="R228" s="186"/>
      <c r="S228" s="186"/>
      <c r="U228" s="186"/>
    </row>
    <row r="229" spans="9:21">
      <c r="I229" s="281"/>
      <c r="J229" s="281"/>
      <c r="K229" s="281"/>
      <c r="L229" s="281"/>
      <c r="M229" s="281"/>
      <c r="N229" s="281"/>
      <c r="O229" s="281"/>
      <c r="P229" s="281"/>
      <c r="Q229" s="186"/>
      <c r="R229" s="186"/>
      <c r="S229" s="186"/>
      <c r="U229" s="186"/>
    </row>
    <row r="230" spans="9:21">
      <c r="I230" s="281"/>
      <c r="J230" s="281"/>
      <c r="K230" s="281"/>
      <c r="L230" s="281"/>
      <c r="M230" s="281"/>
      <c r="N230" s="281"/>
      <c r="O230" s="281"/>
      <c r="P230" s="281"/>
      <c r="Q230" s="186"/>
      <c r="R230" s="186"/>
      <c r="S230" s="186"/>
      <c r="U230" s="186"/>
    </row>
    <row r="231" spans="9:21">
      <c r="I231" s="281"/>
      <c r="J231" s="281"/>
      <c r="K231" s="281"/>
      <c r="L231" s="281"/>
      <c r="M231" s="281"/>
      <c r="N231" s="281"/>
      <c r="O231" s="281"/>
      <c r="P231" s="281"/>
      <c r="Q231" s="186"/>
      <c r="R231" s="186"/>
      <c r="S231" s="186"/>
      <c r="U231" s="186"/>
    </row>
    <row r="232" spans="9:21">
      <c r="I232" s="281"/>
      <c r="J232" s="281"/>
      <c r="K232" s="281"/>
      <c r="L232" s="281"/>
      <c r="M232" s="281"/>
      <c r="N232" s="281"/>
      <c r="O232" s="281"/>
      <c r="P232" s="281"/>
      <c r="Q232" s="186"/>
      <c r="R232" s="186"/>
      <c r="S232" s="186"/>
      <c r="U232" s="186"/>
    </row>
    <row r="233" spans="9:21">
      <c r="I233" s="281"/>
      <c r="J233" s="281"/>
      <c r="K233" s="281"/>
      <c r="L233" s="281"/>
      <c r="M233" s="281"/>
      <c r="N233" s="281"/>
      <c r="O233" s="281"/>
      <c r="P233" s="281"/>
      <c r="Q233" s="186"/>
      <c r="R233" s="186"/>
      <c r="S233" s="186"/>
      <c r="U233" s="186"/>
    </row>
    <row r="234" spans="9:21">
      <c r="I234" s="281"/>
      <c r="J234" s="281"/>
      <c r="K234" s="281"/>
      <c r="L234" s="281"/>
      <c r="M234" s="281"/>
      <c r="N234" s="281"/>
      <c r="O234" s="281"/>
      <c r="P234" s="281"/>
      <c r="Q234" s="186"/>
      <c r="R234" s="186"/>
      <c r="S234" s="186"/>
      <c r="U234" s="186"/>
    </row>
    <row r="235" spans="9:21">
      <c r="I235" s="281"/>
      <c r="J235" s="281"/>
      <c r="K235" s="281"/>
      <c r="L235" s="281"/>
      <c r="M235" s="281"/>
      <c r="N235" s="281"/>
      <c r="O235" s="281"/>
      <c r="P235" s="281"/>
      <c r="Q235" s="186"/>
      <c r="R235" s="186"/>
      <c r="S235" s="186"/>
      <c r="U235" s="186"/>
    </row>
    <row r="236" spans="9:21">
      <c r="I236" s="281"/>
      <c r="J236" s="281"/>
      <c r="K236" s="281"/>
      <c r="L236" s="281"/>
      <c r="M236" s="281"/>
      <c r="N236" s="281"/>
      <c r="O236" s="281"/>
      <c r="P236" s="281"/>
      <c r="Q236" s="186"/>
      <c r="R236" s="186"/>
      <c r="S236" s="186"/>
      <c r="U236" s="186"/>
    </row>
    <row r="237" spans="9:21">
      <c r="I237" s="281"/>
      <c r="J237" s="281"/>
      <c r="K237" s="281"/>
      <c r="L237" s="281"/>
      <c r="M237" s="281"/>
      <c r="N237" s="281"/>
      <c r="O237" s="281"/>
      <c r="P237" s="281"/>
      <c r="Q237" s="186"/>
      <c r="R237" s="186"/>
      <c r="S237" s="186"/>
      <c r="U237" s="186"/>
    </row>
    <row r="238" spans="9:21">
      <c r="I238" s="281"/>
      <c r="J238" s="281"/>
      <c r="K238" s="281"/>
      <c r="L238" s="281"/>
      <c r="M238" s="281"/>
      <c r="N238" s="281"/>
      <c r="O238" s="281"/>
      <c r="P238" s="281"/>
      <c r="Q238" s="186"/>
      <c r="R238" s="186"/>
      <c r="S238" s="186"/>
      <c r="U238" s="186"/>
    </row>
    <row r="239" spans="9:21">
      <c r="I239" s="281"/>
      <c r="J239" s="281"/>
      <c r="K239" s="281"/>
      <c r="L239" s="281"/>
      <c r="M239" s="281"/>
      <c r="N239" s="281"/>
      <c r="O239" s="281"/>
      <c r="P239" s="281"/>
      <c r="Q239" s="186"/>
      <c r="R239" s="186"/>
      <c r="S239" s="186"/>
      <c r="U239" s="186"/>
    </row>
    <row r="240" spans="9:21">
      <c r="I240" s="281"/>
      <c r="J240" s="281"/>
      <c r="K240" s="281"/>
      <c r="L240" s="281"/>
      <c r="M240" s="281"/>
      <c r="N240" s="281"/>
      <c r="O240" s="281"/>
      <c r="P240" s="281"/>
      <c r="Q240" s="186"/>
      <c r="R240" s="186"/>
      <c r="S240" s="186"/>
      <c r="U240" s="186"/>
    </row>
    <row r="241" spans="9:21">
      <c r="I241" s="281"/>
      <c r="J241" s="281"/>
      <c r="K241" s="281"/>
      <c r="L241" s="281"/>
      <c r="M241" s="281"/>
      <c r="N241" s="281"/>
      <c r="O241" s="281"/>
      <c r="P241" s="281"/>
      <c r="Q241" s="186"/>
      <c r="R241" s="186"/>
      <c r="S241" s="186"/>
      <c r="U241" s="186"/>
    </row>
    <row r="242" spans="9:21">
      <c r="I242" s="281"/>
      <c r="J242" s="281"/>
      <c r="K242" s="281"/>
      <c r="L242" s="281"/>
      <c r="M242" s="281"/>
      <c r="N242" s="281"/>
      <c r="O242" s="281"/>
      <c r="P242" s="281"/>
      <c r="Q242" s="186"/>
      <c r="R242" s="186"/>
      <c r="S242" s="186"/>
      <c r="U242" s="186"/>
    </row>
    <row r="243" spans="9:21">
      <c r="I243" s="281"/>
      <c r="J243" s="281"/>
      <c r="K243" s="281"/>
      <c r="L243" s="281"/>
      <c r="M243" s="281"/>
      <c r="N243" s="281"/>
      <c r="O243" s="281"/>
      <c r="P243" s="281"/>
      <c r="Q243" s="186"/>
      <c r="R243" s="186"/>
      <c r="S243" s="186"/>
      <c r="U243" s="186"/>
    </row>
    <row r="244" spans="9:21">
      <c r="I244" s="281"/>
      <c r="J244" s="281"/>
      <c r="K244" s="281"/>
      <c r="L244" s="281"/>
      <c r="M244" s="281"/>
      <c r="N244" s="281"/>
      <c r="O244" s="281"/>
      <c r="P244" s="281"/>
      <c r="Q244" s="186"/>
      <c r="R244" s="186"/>
      <c r="S244" s="186"/>
      <c r="U244" s="186"/>
    </row>
    <row r="245" spans="9:21">
      <c r="I245" s="281"/>
      <c r="J245" s="281"/>
      <c r="K245" s="281"/>
      <c r="L245" s="281"/>
      <c r="M245" s="281"/>
      <c r="N245" s="281"/>
      <c r="O245" s="281"/>
      <c r="P245" s="281"/>
      <c r="Q245" s="186"/>
      <c r="R245" s="186"/>
      <c r="S245" s="186"/>
      <c r="U245" s="186"/>
    </row>
    <row r="246" spans="9:21">
      <c r="I246" s="281"/>
      <c r="J246" s="281"/>
      <c r="K246" s="281"/>
      <c r="L246" s="281"/>
      <c r="M246" s="281"/>
      <c r="N246" s="281"/>
      <c r="O246" s="281"/>
      <c r="P246" s="281"/>
      <c r="Q246" s="186"/>
      <c r="R246" s="186"/>
      <c r="S246" s="186"/>
      <c r="U246" s="186"/>
    </row>
    <row r="247" spans="9:21">
      <c r="I247" s="281"/>
      <c r="J247" s="281"/>
      <c r="K247" s="281"/>
      <c r="L247" s="281"/>
      <c r="M247" s="281"/>
      <c r="N247" s="281"/>
      <c r="O247" s="281"/>
      <c r="P247" s="281"/>
      <c r="Q247" s="186"/>
      <c r="R247" s="186"/>
      <c r="S247" s="186"/>
      <c r="U247" s="186"/>
    </row>
    <row r="248" spans="9:21">
      <c r="I248" s="281"/>
      <c r="J248" s="281"/>
      <c r="K248" s="281"/>
      <c r="L248" s="281"/>
      <c r="M248" s="281"/>
      <c r="N248" s="281"/>
      <c r="O248" s="281"/>
      <c r="P248" s="281"/>
      <c r="Q248" s="186"/>
      <c r="R248" s="186"/>
      <c r="S248" s="186"/>
      <c r="U248" s="186"/>
    </row>
    <row r="249" spans="9:21">
      <c r="I249" s="281"/>
      <c r="J249" s="281"/>
      <c r="K249" s="281"/>
      <c r="L249" s="281"/>
      <c r="M249" s="281"/>
      <c r="N249" s="281"/>
      <c r="O249" s="281"/>
      <c r="P249" s="281"/>
      <c r="Q249" s="186"/>
      <c r="R249" s="186"/>
      <c r="S249" s="186"/>
      <c r="U249" s="186"/>
    </row>
    <row r="250" spans="9:21">
      <c r="I250" s="281"/>
      <c r="J250" s="281"/>
      <c r="K250" s="281"/>
      <c r="L250" s="281"/>
      <c r="M250" s="281"/>
      <c r="N250" s="281"/>
      <c r="O250" s="281"/>
      <c r="P250" s="281"/>
      <c r="Q250" s="186"/>
      <c r="R250" s="186"/>
      <c r="S250" s="186"/>
      <c r="U250" s="186"/>
    </row>
    <row r="251" spans="9:21">
      <c r="I251" s="281"/>
      <c r="J251" s="281"/>
      <c r="K251" s="281"/>
      <c r="L251" s="281"/>
      <c r="M251" s="281"/>
      <c r="N251" s="281"/>
      <c r="O251" s="281"/>
      <c r="P251" s="281"/>
      <c r="Q251" s="186"/>
      <c r="R251" s="186"/>
      <c r="S251" s="186"/>
      <c r="U251" s="186"/>
    </row>
    <row r="252" spans="9:21">
      <c r="I252" s="281"/>
      <c r="J252" s="281"/>
      <c r="K252" s="281"/>
      <c r="L252" s="281"/>
      <c r="M252" s="281"/>
      <c r="N252" s="281"/>
      <c r="O252" s="281"/>
      <c r="P252" s="281"/>
      <c r="Q252" s="186"/>
      <c r="R252" s="186"/>
      <c r="S252" s="186"/>
      <c r="U252" s="186"/>
    </row>
    <row r="253" spans="9:21">
      <c r="I253" s="281"/>
      <c r="J253" s="281"/>
      <c r="K253" s="281"/>
      <c r="L253" s="281"/>
      <c r="M253" s="281"/>
      <c r="N253" s="281"/>
      <c r="O253" s="281"/>
      <c r="P253" s="281"/>
      <c r="Q253" s="186"/>
      <c r="R253" s="186"/>
      <c r="S253" s="186"/>
      <c r="U253" s="186"/>
    </row>
    <row r="254" spans="9:21">
      <c r="I254" s="281"/>
      <c r="J254" s="281"/>
      <c r="K254" s="281"/>
      <c r="L254" s="281"/>
      <c r="M254" s="281"/>
      <c r="N254" s="281"/>
      <c r="O254" s="281"/>
      <c r="P254" s="281"/>
      <c r="Q254" s="186"/>
      <c r="R254" s="186"/>
      <c r="S254" s="186"/>
      <c r="U254" s="186"/>
    </row>
    <row r="255" spans="9:21">
      <c r="I255" s="281"/>
      <c r="J255" s="281"/>
      <c r="K255" s="281"/>
      <c r="L255" s="281"/>
      <c r="M255" s="281"/>
      <c r="N255" s="281"/>
      <c r="O255" s="281"/>
      <c r="P255" s="281"/>
      <c r="Q255" s="186"/>
      <c r="R255" s="186"/>
      <c r="S255" s="186"/>
      <c r="U255" s="186"/>
    </row>
    <row r="256" spans="9:21">
      <c r="I256" s="281"/>
      <c r="J256" s="281"/>
      <c r="K256" s="281"/>
      <c r="L256" s="281"/>
      <c r="M256" s="281"/>
      <c r="N256" s="281"/>
      <c r="O256" s="281"/>
      <c r="P256" s="281"/>
      <c r="Q256" s="186"/>
      <c r="R256" s="186"/>
      <c r="S256" s="186"/>
      <c r="U256" s="186"/>
    </row>
    <row r="257" spans="9:21">
      <c r="I257" s="281"/>
      <c r="J257" s="281"/>
      <c r="K257" s="281"/>
      <c r="L257" s="281"/>
      <c r="M257" s="281"/>
      <c r="N257" s="281"/>
      <c r="O257" s="281"/>
      <c r="P257" s="281"/>
      <c r="Q257" s="186"/>
      <c r="R257" s="186"/>
      <c r="S257" s="186"/>
      <c r="U257" s="186"/>
    </row>
    <row r="258" spans="9:21">
      <c r="I258" s="281"/>
      <c r="J258" s="281"/>
      <c r="K258" s="281"/>
      <c r="L258" s="281"/>
      <c r="M258" s="281"/>
      <c r="N258" s="281"/>
      <c r="O258" s="281"/>
      <c r="P258" s="281"/>
      <c r="Q258" s="186"/>
      <c r="R258" s="186"/>
      <c r="S258" s="186"/>
      <c r="U258" s="186"/>
    </row>
    <row r="259" spans="9:21">
      <c r="I259" s="281"/>
      <c r="J259" s="281"/>
      <c r="K259" s="281"/>
      <c r="L259" s="281"/>
      <c r="M259" s="281"/>
      <c r="N259" s="281"/>
      <c r="O259" s="281"/>
      <c r="P259" s="281"/>
      <c r="Q259" s="186"/>
      <c r="R259" s="186"/>
      <c r="S259" s="186"/>
      <c r="U259" s="186"/>
    </row>
    <row r="260" spans="9:21">
      <c r="I260" s="281"/>
      <c r="J260" s="281"/>
      <c r="K260" s="281"/>
      <c r="L260" s="281"/>
      <c r="M260" s="281"/>
      <c r="N260" s="281"/>
      <c r="O260" s="281"/>
      <c r="P260" s="281"/>
      <c r="Q260" s="186"/>
      <c r="R260" s="186"/>
      <c r="S260" s="186"/>
      <c r="U260" s="186"/>
    </row>
    <row r="261" spans="9:21">
      <c r="I261" s="281"/>
      <c r="J261" s="281"/>
      <c r="K261" s="281"/>
      <c r="L261" s="281"/>
      <c r="M261" s="281"/>
      <c r="N261" s="281"/>
      <c r="O261" s="281"/>
      <c r="P261" s="281"/>
      <c r="Q261" s="186"/>
      <c r="R261" s="186"/>
      <c r="S261" s="186"/>
      <c r="U261" s="186"/>
    </row>
    <row r="262" spans="9:21">
      <c r="I262" s="281"/>
      <c r="J262" s="281"/>
      <c r="K262" s="281"/>
      <c r="L262" s="281"/>
      <c r="M262" s="281"/>
      <c r="N262" s="281"/>
      <c r="O262" s="281"/>
      <c r="P262" s="281"/>
      <c r="Q262" s="186"/>
      <c r="R262" s="186"/>
      <c r="S262" s="186"/>
      <c r="U262" s="186"/>
    </row>
    <row r="263" spans="9:21">
      <c r="I263" s="281"/>
      <c r="J263" s="281"/>
      <c r="K263" s="281"/>
      <c r="L263" s="281"/>
      <c r="M263" s="281"/>
      <c r="N263" s="281"/>
      <c r="O263" s="281"/>
      <c r="P263" s="281"/>
      <c r="Q263" s="186"/>
      <c r="R263" s="186"/>
      <c r="S263" s="186"/>
      <c r="U263" s="186"/>
    </row>
    <row r="264" spans="9:21">
      <c r="I264" s="281"/>
      <c r="J264" s="281"/>
      <c r="K264" s="281"/>
      <c r="L264" s="281"/>
      <c r="M264" s="281"/>
      <c r="N264" s="281"/>
      <c r="O264" s="281"/>
      <c r="P264" s="281"/>
      <c r="Q264" s="186"/>
      <c r="R264" s="186"/>
      <c r="S264" s="186"/>
      <c r="U264" s="186"/>
    </row>
    <row r="265" spans="9:21">
      <c r="I265" s="281"/>
      <c r="J265" s="281"/>
      <c r="K265" s="281"/>
      <c r="L265" s="281"/>
      <c r="M265" s="281"/>
      <c r="N265" s="281"/>
      <c r="O265" s="281"/>
      <c r="P265" s="281"/>
      <c r="Q265" s="186"/>
      <c r="R265" s="186"/>
      <c r="S265" s="186"/>
      <c r="U265" s="186"/>
    </row>
    <row r="266" spans="9:21">
      <c r="I266" s="281"/>
      <c r="J266" s="281"/>
      <c r="K266" s="281"/>
      <c r="L266" s="281"/>
      <c r="M266" s="281"/>
      <c r="N266" s="281"/>
      <c r="O266" s="281"/>
      <c r="P266" s="281"/>
      <c r="Q266" s="186"/>
      <c r="R266" s="186"/>
      <c r="S266" s="186"/>
      <c r="U266" s="186"/>
    </row>
    <row r="267" spans="9:21">
      <c r="I267" s="281"/>
      <c r="J267" s="281"/>
      <c r="K267" s="281"/>
      <c r="L267" s="281"/>
      <c r="M267" s="281"/>
      <c r="N267" s="281"/>
      <c r="O267" s="281"/>
      <c r="P267" s="281"/>
      <c r="Q267" s="186"/>
      <c r="R267" s="186"/>
      <c r="S267" s="186"/>
      <c r="U267" s="186"/>
    </row>
    <row r="268" spans="9:21">
      <c r="I268" s="281"/>
      <c r="J268" s="281"/>
      <c r="K268" s="281"/>
      <c r="L268" s="281"/>
      <c r="M268" s="281"/>
      <c r="N268" s="281"/>
      <c r="O268" s="281"/>
      <c r="P268" s="281"/>
      <c r="Q268" s="186"/>
      <c r="R268" s="186"/>
      <c r="S268" s="186"/>
      <c r="U268" s="186"/>
    </row>
    <row r="269" spans="9:21">
      <c r="I269" s="281"/>
      <c r="J269" s="281"/>
      <c r="K269" s="281"/>
      <c r="L269" s="281"/>
      <c r="M269" s="281"/>
      <c r="N269" s="281"/>
      <c r="O269" s="281"/>
      <c r="P269" s="281"/>
      <c r="Q269" s="186"/>
      <c r="R269" s="186"/>
      <c r="S269" s="186"/>
      <c r="U269" s="186"/>
    </row>
    <row r="270" spans="9:21">
      <c r="I270" s="281"/>
      <c r="J270" s="281"/>
      <c r="K270" s="281"/>
      <c r="L270" s="281"/>
      <c r="M270" s="281"/>
      <c r="N270" s="281"/>
      <c r="O270" s="281"/>
      <c r="P270" s="281"/>
      <c r="Q270" s="186"/>
      <c r="R270" s="186"/>
      <c r="S270" s="186"/>
      <c r="U270" s="186"/>
    </row>
    <row r="271" spans="9:21">
      <c r="I271" s="281"/>
      <c r="J271" s="281"/>
      <c r="K271" s="281"/>
      <c r="L271" s="281"/>
      <c r="M271" s="281"/>
      <c r="N271" s="281"/>
      <c r="O271" s="281"/>
      <c r="P271" s="281"/>
      <c r="Q271" s="186"/>
      <c r="R271" s="186"/>
      <c r="S271" s="186"/>
      <c r="U271" s="186"/>
    </row>
    <row r="272" spans="9:21">
      <c r="I272" s="281"/>
      <c r="J272" s="281"/>
      <c r="K272" s="281"/>
      <c r="L272" s="281"/>
      <c r="M272" s="281"/>
      <c r="N272" s="281"/>
      <c r="O272" s="281"/>
      <c r="P272" s="281"/>
      <c r="Q272" s="186"/>
      <c r="R272" s="186"/>
      <c r="S272" s="186"/>
      <c r="U272" s="186"/>
    </row>
    <row r="273" spans="9:21">
      <c r="I273" s="281"/>
      <c r="J273" s="281"/>
      <c r="K273" s="281"/>
      <c r="L273" s="281"/>
      <c r="M273" s="281"/>
      <c r="N273" s="281"/>
      <c r="O273" s="281"/>
      <c r="P273" s="281"/>
      <c r="Q273" s="186"/>
      <c r="R273" s="186"/>
      <c r="S273" s="186"/>
      <c r="U273" s="186"/>
    </row>
    <row r="274" spans="9:21">
      <c r="I274" s="281"/>
      <c r="J274" s="281"/>
      <c r="K274" s="281"/>
      <c r="L274" s="281"/>
      <c r="M274" s="281"/>
      <c r="N274" s="281"/>
      <c r="O274" s="281"/>
      <c r="P274" s="281"/>
      <c r="Q274" s="186"/>
      <c r="R274" s="186"/>
      <c r="S274" s="186"/>
      <c r="U274" s="186"/>
    </row>
    <row r="275" spans="9:21">
      <c r="I275" s="281"/>
      <c r="J275" s="281"/>
      <c r="K275" s="281"/>
      <c r="L275" s="281"/>
      <c r="M275" s="281"/>
      <c r="N275" s="281"/>
      <c r="O275" s="281"/>
      <c r="P275" s="281"/>
      <c r="Q275" s="186"/>
      <c r="R275" s="186"/>
      <c r="S275" s="186"/>
      <c r="U275" s="186"/>
    </row>
    <row r="276" spans="9:21">
      <c r="I276" s="281"/>
      <c r="J276" s="281"/>
      <c r="K276" s="281"/>
      <c r="L276" s="281"/>
      <c r="M276" s="281"/>
      <c r="N276" s="281"/>
      <c r="O276" s="281"/>
      <c r="P276" s="281"/>
      <c r="Q276" s="186"/>
      <c r="R276" s="186"/>
      <c r="S276" s="186"/>
      <c r="U276" s="186"/>
    </row>
    <row r="277" spans="9:21">
      <c r="I277" s="281"/>
      <c r="J277" s="281"/>
      <c r="K277" s="281"/>
      <c r="L277" s="281"/>
      <c r="M277" s="281"/>
      <c r="N277" s="281"/>
      <c r="O277" s="281"/>
      <c r="P277" s="281"/>
      <c r="Q277" s="186"/>
      <c r="R277" s="186"/>
      <c r="S277" s="186"/>
      <c r="U277" s="186"/>
    </row>
    <row r="278" spans="9:21">
      <c r="I278" s="281"/>
      <c r="J278" s="281"/>
      <c r="K278" s="281"/>
      <c r="L278" s="281"/>
      <c r="M278" s="281"/>
      <c r="N278" s="281"/>
      <c r="O278" s="281"/>
      <c r="P278" s="281"/>
      <c r="Q278" s="186"/>
      <c r="R278" s="186"/>
      <c r="S278" s="186"/>
      <c r="U278" s="186"/>
    </row>
    <row r="279" spans="9:21">
      <c r="I279" s="281"/>
      <c r="J279" s="281"/>
      <c r="K279" s="281"/>
      <c r="L279" s="281"/>
      <c r="M279" s="281"/>
      <c r="N279" s="281"/>
      <c r="O279" s="281"/>
      <c r="P279" s="281"/>
      <c r="Q279" s="186"/>
      <c r="R279" s="186"/>
      <c r="S279" s="186"/>
      <c r="U279" s="186"/>
    </row>
    <row r="280" spans="9:21">
      <c r="I280" s="281"/>
      <c r="J280" s="281"/>
      <c r="K280" s="281"/>
      <c r="L280" s="281"/>
      <c r="M280" s="281"/>
      <c r="N280" s="281"/>
      <c r="O280" s="281"/>
      <c r="P280" s="281"/>
      <c r="Q280" s="186"/>
      <c r="R280" s="186"/>
      <c r="S280" s="186"/>
      <c r="U280" s="186"/>
    </row>
    <row r="281" spans="9:21">
      <c r="I281" s="281"/>
      <c r="J281" s="281"/>
      <c r="K281" s="281"/>
      <c r="L281" s="281"/>
      <c r="M281" s="281"/>
      <c r="N281" s="281"/>
      <c r="O281" s="281"/>
      <c r="P281" s="281"/>
      <c r="Q281" s="186"/>
      <c r="R281" s="186"/>
      <c r="S281" s="186"/>
      <c r="U281" s="186"/>
    </row>
    <row r="282" spans="9:21">
      <c r="I282" s="281"/>
      <c r="J282" s="281"/>
      <c r="K282" s="281"/>
      <c r="L282" s="281"/>
      <c r="M282" s="281"/>
      <c r="N282" s="281"/>
      <c r="O282" s="281"/>
      <c r="P282" s="281"/>
      <c r="Q282" s="186"/>
      <c r="R282" s="186"/>
      <c r="S282" s="186"/>
      <c r="U282" s="186"/>
    </row>
    <row r="283" spans="9:21">
      <c r="I283" s="281"/>
      <c r="J283" s="281"/>
      <c r="K283" s="281"/>
      <c r="L283" s="281"/>
      <c r="M283" s="281"/>
      <c r="N283" s="281"/>
      <c r="O283" s="281"/>
      <c r="P283" s="281"/>
      <c r="Q283" s="186"/>
      <c r="R283" s="186"/>
      <c r="S283" s="186"/>
      <c r="U283" s="186"/>
    </row>
    <row r="284" spans="9:21">
      <c r="I284" s="281"/>
      <c r="J284" s="281"/>
      <c r="K284" s="281"/>
      <c r="L284" s="281"/>
      <c r="M284" s="281"/>
      <c r="N284" s="281"/>
      <c r="O284" s="281"/>
      <c r="P284" s="281"/>
      <c r="Q284" s="186"/>
      <c r="R284" s="186"/>
      <c r="S284" s="186"/>
      <c r="U284" s="186"/>
    </row>
    <row r="285" spans="9:21">
      <c r="I285" s="281"/>
      <c r="J285" s="281"/>
      <c r="K285" s="281"/>
      <c r="L285" s="281"/>
      <c r="M285" s="281"/>
      <c r="N285" s="281"/>
      <c r="O285" s="281"/>
      <c r="P285" s="281"/>
      <c r="Q285" s="186"/>
      <c r="R285" s="186"/>
      <c r="S285" s="186"/>
      <c r="U285" s="186"/>
    </row>
    <row r="286" spans="9:21">
      <c r="I286" s="281"/>
      <c r="J286" s="281"/>
      <c r="K286" s="281"/>
      <c r="L286" s="281"/>
      <c r="M286" s="281"/>
      <c r="N286" s="281"/>
      <c r="O286" s="281"/>
      <c r="P286" s="281"/>
      <c r="Q286" s="186"/>
      <c r="R286" s="186"/>
      <c r="S286" s="186"/>
      <c r="U286" s="186"/>
    </row>
    <row r="287" spans="9:21">
      <c r="I287" s="281"/>
      <c r="J287" s="281"/>
      <c r="K287" s="281"/>
      <c r="L287" s="281"/>
      <c r="M287" s="281"/>
      <c r="N287" s="281"/>
      <c r="O287" s="281"/>
      <c r="P287" s="281"/>
      <c r="Q287" s="186"/>
      <c r="R287" s="186"/>
      <c r="S287" s="186"/>
      <c r="U287" s="186"/>
    </row>
    <row r="288" spans="9:21">
      <c r="I288" s="281"/>
      <c r="J288" s="281"/>
      <c r="K288" s="281"/>
      <c r="L288" s="281"/>
      <c r="M288" s="281"/>
      <c r="N288" s="281"/>
      <c r="O288" s="281"/>
      <c r="P288" s="281"/>
      <c r="Q288" s="186"/>
      <c r="R288" s="186"/>
      <c r="S288" s="186"/>
      <c r="U288" s="186"/>
    </row>
    <row r="289" spans="9:21">
      <c r="I289" s="281"/>
      <c r="J289" s="281"/>
      <c r="K289" s="281"/>
      <c r="L289" s="281"/>
      <c r="M289" s="281"/>
      <c r="N289" s="281"/>
      <c r="O289" s="281"/>
      <c r="P289" s="281"/>
      <c r="Q289" s="186"/>
      <c r="R289" s="186"/>
      <c r="S289" s="186"/>
      <c r="U289" s="186"/>
    </row>
    <row r="290" spans="9:21">
      <c r="I290" s="281"/>
      <c r="J290" s="281"/>
      <c r="K290" s="281"/>
      <c r="L290" s="281"/>
      <c r="M290" s="281"/>
      <c r="N290" s="281"/>
      <c r="O290" s="281"/>
      <c r="P290" s="281"/>
      <c r="Q290" s="186"/>
      <c r="R290" s="186"/>
      <c r="S290" s="186"/>
      <c r="U290" s="186"/>
    </row>
    <row r="291" spans="9:21">
      <c r="I291" s="281"/>
      <c r="J291" s="281"/>
      <c r="K291" s="281"/>
      <c r="L291" s="281"/>
      <c r="M291" s="281"/>
      <c r="N291" s="281"/>
      <c r="O291" s="281"/>
      <c r="P291" s="281"/>
      <c r="Q291" s="186"/>
      <c r="R291" s="186"/>
      <c r="S291" s="186"/>
      <c r="U291" s="186"/>
    </row>
    <row r="292" spans="9:21">
      <c r="I292" s="281"/>
      <c r="J292" s="281"/>
      <c r="K292" s="281"/>
      <c r="L292" s="281"/>
      <c r="M292" s="281"/>
      <c r="N292" s="281"/>
      <c r="O292" s="281"/>
      <c r="P292" s="281"/>
      <c r="Q292" s="186"/>
      <c r="R292" s="186"/>
      <c r="S292" s="186"/>
      <c r="U292" s="186"/>
    </row>
    <row r="293" spans="9:21">
      <c r="I293" s="281"/>
      <c r="J293" s="281"/>
      <c r="K293" s="281"/>
      <c r="L293" s="281"/>
      <c r="M293" s="281"/>
      <c r="N293" s="281"/>
      <c r="O293" s="281"/>
      <c r="P293" s="281"/>
      <c r="Q293" s="186"/>
      <c r="R293" s="186"/>
      <c r="S293" s="186"/>
      <c r="U293" s="186"/>
    </row>
    <row r="294" spans="9:21">
      <c r="I294" s="281"/>
      <c r="J294" s="281"/>
      <c r="K294" s="281"/>
      <c r="L294" s="281"/>
      <c r="M294" s="281"/>
      <c r="N294" s="281"/>
      <c r="O294" s="281"/>
      <c r="P294" s="281"/>
      <c r="Q294" s="186"/>
      <c r="R294" s="186"/>
      <c r="S294" s="186"/>
      <c r="U294" s="186"/>
    </row>
    <row r="295" spans="9:21">
      <c r="I295" s="281"/>
      <c r="J295" s="281"/>
      <c r="K295" s="281"/>
      <c r="L295" s="281"/>
      <c r="M295" s="281"/>
      <c r="N295" s="281"/>
      <c r="O295" s="281"/>
      <c r="P295" s="281"/>
      <c r="Q295" s="186"/>
      <c r="R295" s="186"/>
      <c r="S295" s="186"/>
      <c r="U295" s="186"/>
    </row>
    <row r="296" spans="9:21">
      <c r="I296" s="281"/>
      <c r="J296" s="281"/>
      <c r="K296" s="281"/>
      <c r="L296" s="281"/>
      <c r="M296" s="281"/>
      <c r="N296" s="281"/>
      <c r="O296" s="281"/>
      <c r="P296" s="281"/>
      <c r="Q296" s="186"/>
      <c r="R296" s="186"/>
      <c r="S296" s="186"/>
      <c r="U296" s="186"/>
    </row>
    <row r="297" spans="9:21">
      <c r="I297" s="281"/>
      <c r="J297" s="281"/>
      <c r="K297" s="281"/>
      <c r="L297" s="281"/>
      <c r="M297" s="281"/>
      <c r="N297" s="281"/>
      <c r="O297" s="281"/>
      <c r="P297" s="281"/>
      <c r="Q297" s="186"/>
      <c r="R297" s="186"/>
      <c r="S297" s="186"/>
      <c r="U297" s="186"/>
    </row>
    <row r="298" spans="9:21">
      <c r="I298" s="281"/>
      <c r="J298" s="281"/>
      <c r="K298" s="281"/>
      <c r="L298" s="281"/>
      <c r="M298" s="281"/>
      <c r="N298" s="281"/>
      <c r="O298" s="281"/>
      <c r="P298" s="281"/>
      <c r="Q298" s="186"/>
      <c r="R298" s="186"/>
      <c r="S298" s="186"/>
      <c r="U298" s="186"/>
    </row>
    <row r="299" spans="9:21">
      <c r="I299" s="281"/>
      <c r="J299" s="281"/>
      <c r="K299" s="281"/>
      <c r="L299" s="281"/>
      <c r="M299" s="281"/>
      <c r="N299" s="281"/>
      <c r="O299" s="281"/>
      <c r="P299" s="281"/>
      <c r="Q299" s="186"/>
      <c r="R299" s="186"/>
      <c r="S299" s="186"/>
      <c r="U299" s="186"/>
    </row>
    <row r="300" spans="9:21">
      <c r="I300" s="281"/>
      <c r="J300" s="281"/>
      <c r="K300" s="281"/>
      <c r="L300" s="281"/>
      <c r="M300" s="281"/>
      <c r="N300" s="281"/>
      <c r="O300" s="281"/>
      <c r="P300" s="281"/>
      <c r="Q300" s="186"/>
      <c r="R300" s="186"/>
      <c r="S300" s="186"/>
      <c r="U300" s="186"/>
    </row>
    <row r="301" spans="9:21">
      <c r="I301" s="281"/>
      <c r="J301" s="281"/>
      <c r="K301" s="281"/>
      <c r="L301" s="281"/>
      <c r="M301" s="281"/>
      <c r="N301" s="281"/>
      <c r="O301" s="281"/>
      <c r="P301" s="281"/>
      <c r="Q301" s="186"/>
      <c r="R301" s="186"/>
      <c r="S301" s="186"/>
      <c r="U301" s="186"/>
    </row>
    <row r="302" spans="9:21">
      <c r="I302" s="281"/>
      <c r="J302" s="281"/>
      <c r="K302" s="281"/>
      <c r="L302" s="281"/>
      <c r="M302" s="281"/>
      <c r="N302" s="281"/>
      <c r="O302" s="281"/>
      <c r="P302" s="281"/>
      <c r="Q302" s="186"/>
      <c r="R302" s="186"/>
      <c r="S302" s="186"/>
      <c r="U302" s="186"/>
    </row>
    <row r="303" spans="9:21">
      <c r="I303" s="281"/>
      <c r="J303" s="281"/>
      <c r="K303" s="281"/>
      <c r="L303" s="281"/>
      <c r="M303" s="281"/>
      <c r="N303" s="281"/>
      <c r="O303" s="281"/>
      <c r="P303" s="281"/>
      <c r="Q303" s="186"/>
      <c r="R303" s="186"/>
      <c r="S303" s="186"/>
      <c r="U303" s="186"/>
    </row>
    <row r="304" spans="9:21">
      <c r="I304" s="281"/>
      <c r="J304" s="281"/>
      <c r="K304" s="281"/>
      <c r="L304" s="281"/>
      <c r="M304" s="281"/>
      <c r="N304" s="281"/>
      <c r="O304" s="281"/>
      <c r="P304" s="281"/>
      <c r="Q304" s="186"/>
      <c r="R304" s="186"/>
      <c r="S304" s="186"/>
      <c r="U304" s="186"/>
    </row>
    <row r="305" spans="9:21">
      <c r="I305" s="281"/>
      <c r="J305" s="281"/>
      <c r="K305" s="281"/>
      <c r="L305" s="281"/>
      <c r="M305" s="281"/>
      <c r="N305" s="281"/>
      <c r="O305" s="281"/>
      <c r="P305" s="281"/>
      <c r="Q305" s="186"/>
      <c r="R305" s="186"/>
      <c r="S305" s="186"/>
      <c r="U305" s="186"/>
    </row>
    <row r="306" spans="9:21">
      <c r="I306" s="281"/>
      <c r="J306" s="281"/>
      <c r="K306" s="281"/>
      <c r="L306" s="281"/>
      <c r="M306" s="281"/>
      <c r="N306" s="281"/>
      <c r="O306" s="281"/>
      <c r="P306" s="281"/>
      <c r="Q306" s="186"/>
      <c r="R306" s="186"/>
      <c r="S306" s="186"/>
      <c r="U306" s="186"/>
    </row>
    <row r="307" spans="9:21">
      <c r="I307" s="281"/>
      <c r="J307" s="281"/>
      <c r="K307" s="281"/>
      <c r="L307" s="281"/>
      <c r="M307" s="281"/>
      <c r="N307" s="281"/>
      <c r="O307" s="281"/>
      <c r="P307" s="281"/>
      <c r="Q307" s="186"/>
      <c r="R307" s="186"/>
      <c r="S307" s="186"/>
      <c r="U307" s="186"/>
    </row>
    <row r="308" spans="9:21">
      <c r="I308" s="281"/>
      <c r="J308" s="281"/>
      <c r="K308" s="281"/>
      <c r="L308" s="281"/>
      <c r="M308" s="281"/>
      <c r="N308" s="281"/>
      <c r="O308" s="281"/>
      <c r="P308" s="281"/>
      <c r="Q308" s="186"/>
      <c r="R308" s="186"/>
      <c r="S308" s="186"/>
      <c r="U308" s="186"/>
    </row>
    <row r="309" spans="9:21">
      <c r="I309" s="281"/>
      <c r="J309" s="281"/>
      <c r="K309" s="281"/>
      <c r="L309" s="281"/>
      <c r="M309" s="281"/>
      <c r="N309" s="281"/>
      <c r="O309" s="281"/>
      <c r="P309" s="281"/>
      <c r="Q309" s="186"/>
      <c r="R309" s="186"/>
      <c r="S309" s="186"/>
      <c r="U309" s="186"/>
    </row>
    <row r="310" spans="9:21">
      <c r="I310" s="281"/>
      <c r="J310" s="281"/>
      <c r="K310" s="281"/>
      <c r="L310" s="281"/>
      <c r="M310" s="281"/>
      <c r="N310" s="281"/>
      <c r="O310" s="281"/>
      <c r="P310" s="281"/>
      <c r="Q310" s="186"/>
      <c r="R310" s="186"/>
      <c r="S310" s="186"/>
      <c r="U310" s="186"/>
    </row>
    <row r="311" spans="9:21">
      <c r="I311" s="281"/>
      <c r="J311" s="281"/>
      <c r="K311" s="281"/>
      <c r="L311" s="281"/>
      <c r="M311" s="281"/>
      <c r="N311" s="281"/>
      <c r="O311" s="281"/>
      <c r="P311" s="281"/>
      <c r="Q311" s="186"/>
      <c r="R311" s="186"/>
      <c r="S311" s="186"/>
      <c r="U311" s="186"/>
    </row>
    <row r="312" spans="9:21">
      <c r="I312" s="281"/>
      <c r="J312" s="281"/>
      <c r="K312" s="281"/>
      <c r="L312" s="281"/>
      <c r="M312" s="281"/>
      <c r="N312" s="281"/>
      <c r="O312" s="281"/>
      <c r="P312" s="281"/>
      <c r="Q312" s="186"/>
      <c r="R312" s="186"/>
      <c r="S312" s="186"/>
      <c r="U312" s="186"/>
    </row>
    <row r="313" spans="9:21">
      <c r="I313" s="281"/>
      <c r="J313" s="281"/>
      <c r="K313" s="281"/>
      <c r="L313" s="281"/>
      <c r="M313" s="281"/>
      <c r="N313" s="281"/>
      <c r="O313" s="281"/>
      <c r="P313" s="281"/>
      <c r="Q313" s="186"/>
      <c r="R313" s="186"/>
      <c r="S313" s="186"/>
      <c r="U313" s="186"/>
    </row>
    <row r="314" spans="9:21">
      <c r="I314" s="281"/>
      <c r="J314" s="281"/>
      <c r="K314" s="281"/>
      <c r="L314" s="281"/>
      <c r="M314" s="281"/>
      <c r="N314" s="281"/>
      <c r="O314" s="281"/>
      <c r="P314" s="281"/>
      <c r="Q314" s="186"/>
      <c r="R314" s="186"/>
      <c r="S314" s="186"/>
      <c r="U314" s="186"/>
    </row>
    <row r="315" spans="9:21">
      <c r="I315" s="281"/>
      <c r="J315" s="281"/>
      <c r="K315" s="281"/>
      <c r="L315" s="281"/>
      <c r="M315" s="281"/>
      <c r="N315" s="281"/>
      <c r="O315" s="281"/>
      <c r="P315" s="281"/>
      <c r="Q315" s="186"/>
      <c r="R315" s="186"/>
      <c r="S315" s="186"/>
      <c r="U315" s="186"/>
    </row>
    <row r="316" spans="9:21">
      <c r="I316" s="281"/>
      <c r="J316" s="281"/>
      <c r="K316" s="281"/>
      <c r="L316" s="281"/>
      <c r="M316" s="281"/>
      <c r="N316" s="281"/>
      <c r="O316" s="281"/>
      <c r="P316" s="281"/>
      <c r="Q316" s="186"/>
      <c r="R316" s="186"/>
      <c r="S316" s="186"/>
      <c r="U316" s="186"/>
    </row>
    <row r="317" spans="9:21">
      <c r="I317" s="281"/>
      <c r="J317" s="281"/>
      <c r="K317" s="281"/>
      <c r="L317" s="281"/>
      <c r="M317" s="281"/>
      <c r="N317" s="281"/>
      <c r="O317" s="281"/>
      <c r="P317" s="281"/>
      <c r="Q317" s="186"/>
      <c r="R317" s="186"/>
      <c r="S317" s="186"/>
      <c r="U317" s="186"/>
    </row>
    <row r="318" spans="9:21">
      <c r="I318" s="281"/>
      <c r="J318" s="281"/>
      <c r="K318" s="281"/>
      <c r="L318" s="281"/>
      <c r="M318" s="281"/>
      <c r="N318" s="281"/>
      <c r="O318" s="281"/>
      <c r="P318" s="281"/>
      <c r="Q318" s="186"/>
      <c r="R318" s="186"/>
      <c r="S318" s="186"/>
      <c r="U318" s="186"/>
    </row>
    <row r="319" spans="9:21">
      <c r="I319" s="281"/>
      <c r="J319" s="281"/>
      <c r="K319" s="281"/>
      <c r="L319" s="281"/>
      <c r="M319" s="281"/>
      <c r="N319" s="281"/>
      <c r="O319" s="281"/>
      <c r="P319" s="281"/>
      <c r="Q319" s="186"/>
      <c r="R319" s="186"/>
      <c r="S319" s="186"/>
      <c r="U319" s="186"/>
    </row>
    <row r="320" spans="9:21">
      <c r="I320" s="281"/>
      <c r="J320" s="281"/>
      <c r="K320" s="281"/>
      <c r="L320" s="281"/>
      <c r="M320" s="281"/>
      <c r="N320" s="281"/>
      <c r="O320" s="281"/>
      <c r="P320" s="281"/>
      <c r="Q320" s="186"/>
      <c r="R320" s="186"/>
      <c r="S320" s="186"/>
      <c r="U320" s="186"/>
    </row>
    <row r="321" spans="9:21">
      <c r="I321" s="281"/>
      <c r="J321" s="281"/>
      <c r="K321" s="281"/>
      <c r="L321" s="281"/>
      <c r="M321" s="281"/>
      <c r="N321" s="281"/>
      <c r="O321" s="281"/>
      <c r="P321" s="281"/>
      <c r="Q321" s="186"/>
      <c r="R321" s="186"/>
      <c r="S321" s="186"/>
      <c r="U321" s="186"/>
    </row>
    <row r="322" spans="9:21">
      <c r="I322" s="281"/>
      <c r="J322" s="281"/>
      <c r="K322" s="281"/>
      <c r="L322" s="281"/>
      <c r="M322" s="281"/>
      <c r="N322" s="281"/>
      <c r="O322" s="281"/>
      <c r="P322" s="281"/>
      <c r="Q322" s="186"/>
      <c r="R322" s="186"/>
      <c r="S322" s="186"/>
      <c r="U322" s="186"/>
    </row>
    <row r="323" spans="9:21">
      <c r="I323" s="281"/>
      <c r="J323" s="281"/>
      <c r="K323" s="281"/>
      <c r="L323" s="281"/>
      <c r="M323" s="281"/>
      <c r="N323" s="281"/>
      <c r="O323" s="281"/>
      <c r="P323" s="281"/>
      <c r="Q323" s="186"/>
      <c r="R323" s="186"/>
      <c r="S323" s="186"/>
      <c r="U323" s="186"/>
    </row>
    <row r="324" spans="9:21">
      <c r="I324" s="281"/>
      <c r="J324" s="281"/>
      <c r="K324" s="281"/>
      <c r="L324" s="281"/>
      <c r="M324" s="281"/>
      <c r="N324" s="281"/>
      <c r="O324" s="281"/>
      <c r="P324" s="281"/>
      <c r="Q324" s="186"/>
      <c r="R324" s="186"/>
      <c r="S324" s="186"/>
      <c r="U324" s="186"/>
    </row>
    <row r="325" spans="9:21">
      <c r="I325" s="281"/>
      <c r="J325" s="281"/>
      <c r="K325" s="281"/>
      <c r="L325" s="281"/>
      <c r="M325" s="281"/>
      <c r="N325" s="281"/>
      <c r="O325" s="281"/>
      <c r="P325" s="281"/>
      <c r="Q325" s="186"/>
      <c r="R325" s="186"/>
      <c r="S325" s="186"/>
      <c r="U325" s="186"/>
    </row>
    <row r="326" spans="9:21">
      <c r="I326" s="281"/>
      <c r="J326" s="281"/>
      <c r="K326" s="281"/>
      <c r="L326" s="281"/>
      <c r="M326" s="281"/>
      <c r="N326" s="281"/>
      <c r="O326" s="281"/>
      <c r="P326" s="281"/>
      <c r="Q326" s="186"/>
      <c r="R326" s="186"/>
      <c r="S326" s="186"/>
      <c r="U326" s="186"/>
    </row>
    <row r="327" spans="9:21">
      <c r="I327" s="281"/>
      <c r="J327" s="281"/>
      <c r="K327" s="281"/>
      <c r="L327" s="281"/>
      <c r="M327" s="281"/>
      <c r="N327" s="281"/>
      <c r="O327" s="281"/>
      <c r="P327" s="281"/>
      <c r="Q327" s="186"/>
      <c r="R327" s="186"/>
      <c r="S327" s="186"/>
      <c r="U327" s="186"/>
    </row>
    <row r="328" spans="9:21">
      <c r="I328" s="281"/>
      <c r="J328" s="281"/>
      <c r="K328" s="281"/>
      <c r="L328" s="281"/>
      <c r="M328" s="281"/>
      <c r="N328" s="281"/>
      <c r="O328" s="281"/>
      <c r="P328" s="281"/>
      <c r="Q328" s="186"/>
      <c r="R328" s="186"/>
      <c r="S328" s="186"/>
      <c r="U328" s="186"/>
    </row>
    <row r="329" spans="9:21">
      <c r="I329" s="281"/>
      <c r="J329" s="281"/>
      <c r="K329" s="281"/>
      <c r="L329" s="281"/>
      <c r="M329" s="281"/>
      <c r="N329" s="281"/>
      <c r="O329" s="281"/>
      <c r="P329" s="281"/>
      <c r="Q329" s="186"/>
      <c r="R329" s="186"/>
      <c r="S329" s="186"/>
      <c r="U329" s="186"/>
    </row>
    <row r="330" spans="9:21">
      <c r="I330" s="281"/>
      <c r="J330" s="281"/>
      <c r="K330" s="281"/>
      <c r="L330" s="281"/>
      <c r="M330" s="281"/>
      <c r="N330" s="281"/>
      <c r="O330" s="281"/>
      <c r="P330" s="281"/>
      <c r="Q330" s="186"/>
      <c r="R330" s="186"/>
      <c r="S330" s="186"/>
      <c r="U330" s="186"/>
    </row>
    <row r="331" spans="9:21">
      <c r="I331" s="281"/>
      <c r="J331" s="281"/>
      <c r="K331" s="281"/>
      <c r="L331" s="281"/>
      <c r="M331" s="281"/>
      <c r="N331" s="281"/>
      <c r="O331" s="281"/>
      <c r="P331" s="281"/>
      <c r="Q331" s="186"/>
      <c r="R331" s="186"/>
      <c r="S331" s="186"/>
      <c r="U331" s="186"/>
    </row>
    <row r="332" spans="9:21">
      <c r="I332" s="281"/>
      <c r="J332" s="281"/>
      <c r="K332" s="281"/>
      <c r="L332" s="281"/>
      <c r="M332" s="281"/>
      <c r="N332" s="281"/>
      <c r="O332" s="281"/>
      <c r="P332" s="281"/>
      <c r="Q332" s="186"/>
      <c r="R332" s="186"/>
      <c r="S332" s="186"/>
      <c r="U332" s="186"/>
    </row>
    <row r="333" spans="9:21">
      <c r="I333" s="281"/>
      <c r="J333" s="281"/>
      <c r="K333" s="281"/>
      <c r="L333" s="281"/>
      <c r="M333" s="281"/>
      <c r="N333" s="281"/>
      <c r="O333" s="281"/>
      <c r="P333" s="281"/>
      <c r="Q333" s="186"/>
      <c r="R333" s="186"/>
      <c r="S333" s="186"/>
      <c r="U333" s="186"/>
    </row>
    <row r="334" spans="9:21">
      <c r="I334" s="281"/>
      <c r="J334" s="281"/>
      <c r="K334" s="281"/>
      <c r="L334" s="281"/>
      <c r="M334" s="281"/>
      <c r="N334" s="281"/>
      <c r="O334" s="281"/>
      <c r="P334" s="281"/>
      <c r="Q334" s="186"/>
      <c r="R334" s="186"/>
      <c r="S334" s="186"/>
      <c r="U334" s="186"/>
    </row>
    <row r="335" spans="9:21">
      <c r="I335" s="281"/>
      <c r="J335" s="281"/>
      <c r="K335" s="281"/>
      <c r="L335" s="281"/>
      <c r="M335" s="281"/>
      <c r="N335" s="281"/>
      <c r="O335" s="281"/>
      <c r="P335" s="281"/>
      <c r="Q335" s="186"/>
      <c r="R335" s="186"/>
      <c r="S335" s="186"/>
      <c r="U335" s="186"/>
    </row>
    <row r="336" spans="9:21">
      <c r="I336" s="281"/>
      <c r="J336" s="281"/>
      <c r="K336" s="281"/>
      <c r="L336" s="281"/>
      <c r="M336" s="281"/>
      <c r="N336" s="281"/>
      <c r="O336" s="281"/>
      <c r="P336" s="281"/>
      <c r="Q336" s="186"/>
      <c r="R336" s="186"/>
      <c r="S336" s="186"/>
      <c r="U336" s="186"/>
    </row>
    <row r="337" spans="9:21">
      <c r="I337" s="281"/>
      <c r="J337" s="281"/>
      <c r="K337" s="281"/>
      <c r="L337" s="281"/>
      <c r="M337" s="281"/>
      <c r="N337" s="281"/>
      <c r="O337" s="281"/>
      <c r="P337" s="281"/>
      <c r="Q337" s="186"/>
      <c r="R337" s="186"/>
      <c r="S337" s="186"/>
      <c r="U337" s="186"/>
    </row>
    <row r="338" spans="9:21">
      <c r="I338" s="281"/>
      <c r="J338" s="281"/>
      <c r="K338" s="281"/>
      <c r="L338" s="281"/>
      <c r="M338" s="281"/>
      <c r="N338" s="281"/>
      <c r="O338" s="281"/>
      <c r="P338" s="281"/>
      <c r="Q338" s="186"/>
      <c r="R338" s="186"/>
      <c r="S338" s="186"/>
      <c r="U338" s="186"/>
    </row>
    <row r="339" spans="9:21">
      <c r="I339" s="281"/>
      <c r="J339" s="281"/>
      <c r="K339" s="281"/>
      <c r="L339" s="281"/>
      <c r="M339" s="281"/>
      <c r="N339" s="281"/>
      <c r="O339" s="281"/>
      <c r="P339" s="281"/>
      <c r="Q339" s="186"/>
      <c r="R339" s="186"/>
      <c r="S339" s="186"/>
      <c r="U339" s="186"/>
    </row>
    <row r="340" spans="9:21">
      <c r="I340" s="281"/>
      <c r="J340" s="281"/>
      <c r="K340" s="281"/>
      <c r="L340" s="281"/>
      <c r="M340" s="281"/>
      <c r="N340" s="281"/>
      <c r="O340" s="281"/>
      <c r="P340" s="281"/>
      <c r="Q340" s="186"/>
      <c r="R340" s="186"/>
      <c r="S340" s="186"/>
      <c r="U340" s="186"/>
    </row>
    <row r="341" spans="9:21">
      <c r="I341" s="281"/>
      <c r="J341" s="281"/>
      <c r="K341" s="281"/>
      <c r="L341" s="281"/>
      <c r="M341" s="281"/>
      <c r="N341" s="281"/>
      <c r="O341" s="281"/>
      <c r="P341" s="281"/>
      <c r="Q341" s="186"/>
      <c r="R341" s="186"/>
      <c r="S341" s="186"/>
      <c r="U341" s="186"/>
    </row>
    <row r="342" spans="9:21">
      <c r="I342" s="281"/>
      <c r="J342" s="281"/>
      <c r="K342" s="281"/>
      <c r="L342" s="281"/>
      <c r="M342" s="281"/>
      <c r="N342" s="281"/>
      <c r="O342" s="281"/>
      <c r="P342" s="281"/>
      <c r="Q342" s="186"/>
      <c r="R342" s="186"/>
      <c r="S342" s="186"/>
      <c r="U342" s="186"/>
    </row>
    <row r="343" spans="9:21">
      <c r="I343" s="281"/>
      <c r="J343" s="281"/>
      <c r="K343" s="281"/>
      <c r="L343" s="281"/>
      <c r="M343" s="281"/>
      <c r="N343" s="281"/>
      <c r="O343" s="281"/>
      <c r="P343" s="281"/>
      <c r="Q343" s="186"/>
      <c r="R343" s="186"/>
      <c r="S343" s="186"/>
      <c r="U343" s="186"/>
    </row>
    <row r="344" spans="9:21">
      <c r="I344" s="281"/>
      <c r="J344" s="281"/>
      <c r="K344" s="281"/>
      <c r="L344" s="281"/>
      <c r="M344" s="281"/>
      <c r="N344" s="281"/>
      <c r="O344" s="281"/>
      <c r="P344" s="281"/>
      <c r="Q344" s="186"/>
      <c r="R344" s="186"/>
      <c r="S344" s="186"/>
      <c r="U344" s="186"/>
    </row>
    <row r="345" spans="9:21">
      <c r="I345" s="281"/>
      <c r="J345" s="281"/>
      <c r="K345" s="281"/>
      <c r="L345" s="281"/>
      <c r="M345" s="281"/>
      <c r="N345" s="281"/>
      <c r="O345" s="281"/>
      <c r="P345" s="281"/>
      <c r="Q345" s="186"/>
      <c r="R345" s="186"/>
      <c r="S345" s="186"/>
      <c r="U345" s="186"/>
    </row>
    <row r="346" spans="9:21">
      <c r="I346" s="281"/>
      <c r="J346" s="281"/>
      <c r="K346" s="281"/>
      <c r="L346" s="281"/>
      <c r="M346" s="281"/>
      <c r="N346" s="281"/>
      <c r="O346" s="281"/>
      <c r="P346" s="281"/>
      <c r="Q346" s="186"/>
      <c r="R346" s="186"/>
      <c r="S346" s="186"/>
      <c r="U346" s="186"/>
    </row>
    <row r="347" spans="9:21">
      <c r="I347" s="281"/>
      <c r="J347" s="281"/>
      <c r="K347" s="281"/>
      <c r="L347" s="281"/>
      <c r="M347" s="281"/>
      <c r="N347" s="281"/>
      <c r="O347" s="281"/>
      <c r="P347" s="281"/>
      <c r="Q347" s="186"/>
      <c r="R347" s="186"/>
      <c r="S347" s="186"/>
      <c r="U347" s="186"/>
    </row>
    <row r="348" spans="9:21">
      <c r="I348" s="281"/>
      <c r="J348" s="281"/>
      <c r="K348" s="281"/>
      <c r="L348" s="281"/>
      <c r="M348" s="281"/>
      <c r="N348" s="281"/>
      <c r="O348" s="281"/>
      <c r="P348" s="281"/>
      <c r="Q348" s="186"/>
      <c r="R348" s="186"/>
      <c r="S348" s="186"/>
      <c r="U348" s="186"/>
    </row>
    <row r="349" spans="9:21">
      <c r="I349" s="281"/>
      <c r="J349" s="281"/>
      <c r="K349" s="281"/>
      <c r="L349" s="281"/>
      <c r="M349" s="281"/>
      <c r="N349" s="281"/>
      <c r="O349" s="281"/>
      <c r="P349" s="281"/>
      <c r="Q349" s="186"/>
      <c r="R349" s="186"/>
      <c r="S349" s="186"/>
      <c r="U349" s="186"/>
    </row>
    <row r="350" spans="9:21">
      <c r="I350" s="281"/>
      <c r="J350" s="281"/>
      <c r="K350" s="281"/>
      <c r="L350" s="281"/>
      <c r="M350" s="281"/>
      <c r="N350" s="281"/>
      <c r="O350" s="281"/>
      <c r="P350" s="281"/>
      <c r="Q350" s="186"/>
      <c r="R350" s="186"/>
      <c r="S350" s="186"/>
      <c r="U350" s="186"/>
    </row>
    <row r="351" spans="9:21">
      <c r="I351" s="281"/>
      <c r="J351" s="281"/>
      <c r="K351" s="281"/>
      <c r="L351" s="281"/>
      <c r="M351" s="281"/>
      <c r="N351" s="281"/>
      <c r="O351" s="281"/>
      <c r="P351" s="281"/>
      <c r="Q351" s="186"/>
      <c r="R351" s="186"/>
      <c r="S351" s="186"/>
      <c r="U351" s="186"/>
    </row>
    <row r="352" spans="9:21">
      <c r="I352" s="281"/>
      <c r="J352" s="281"/>
      <c r="K352" s="281"/>
      <c r="L352" s="281"/>
      <c r="M352" s="281"/>
      <c r="N352" s="281"/>
      <c r="O352" s="281"/>
      <c r="P352" s="281"/>
      <c r="Q352" s="186"/>
      <c r="R352" s="186"/>
      <c r="S352" s="186"/>
      <c r="U352" s="186"/>
    </row>
    <row r="353" spans="9:21">
      <c r="I353" s="281"/>
      <c r="J353" s="281"/>
      <c r="K353" s="281"/>
      <c r="L353" s="281"/>
      <c r="M353" s="281"/>
      <c r="N353" s="281"/>
      <c r="O353" s="281"/>
      <c r="P353" s="281"/>
      <c r="Q353" s="186"/>
      <c r="R353" s="186"/>
      <c r="S353" s="186"/>
      <c r="U353" s="186"/>
    </row>
    <row r="354" spans="9:21">
      <c r="I354" s="281"/>
      <c r="J354" s="281"/>
      <c r="K354" s="281"/>
      <c r="L354" s="281"/>
      <c r="M354" s="281"/>
      <c r="N354" s="281"/>
      <c r="O354" s="281"/>
      <c r="P354" s="281"/>
      <c r="Q354" s="186"/>
      <c r="R354" s="186"/>
      <c r="S354" s="186"/>
      <c r="U354" s="186"/>
    </row>
    <row r="355" spans="9:21">
      <c r="I355" s="281"/>
      <c r="J355" s="281"/>
      <c r="K355" s="281"/>
      <c r="L355" s="281"/>
      <c r="M355" s="281"/>
      <c r="N355" s="281"/>
      <c r="O355" s="281"/>
      <c r="P355" s="281"/>
      <c r="Q355" s="186"/>
      <c r="R355" s="186"/>
      <c r="S355" s="186"/>
      <c r="U355" s="186"/>
    </row>
    <row r="356" spans="9:21">
      <c r="I356" s="281"/>
      <c r="J356" s="281"/>
      <c r="K356" s="281"/>
      <c r="L356" s="281"/>
      <c r="M356" s="281"/>
      <c r="N356" s="281"/>
      <c r="O356" s="281"/>
      <c r="P356" s="281"/>
      <c r="Q356" s="186"/>
      <c r="R356" s="186"/>
      <c r="S356" s="186"/>
      <c r="U356" s="186"/>
    </row>
    <row r="357" spans="9:21">
      <c r="I357" s="281"/>
      <c r="J357" s="281"/>
      <c r="K357" s="281"/>
      <c r="L357" s="281"/>
      <c r="M357" s="281"/>
      <c r="N357" s="281"/>
      <c r="O357" s="281"/>
      <c r="P357" s="281"/>
      <c r="Q357" s="186"/>
      <c r="R357" s="186"/>
      <c r="S357" s="186"/>
      <c r="U357" s="186"/>
    </row>
    <row r="358" spans="9:21">
      <c r="I358" s="281"/>
      <c r="J358" s="281"/>
      <c r="K358" s="281"/>
      <c r="L358" s="281"/>
      <c r="M358" s="281"/>
      <c r="N358" s="281"/>
      <c r="O358" s="281"/>
      <c r="P358" s="281"/>
      <c r="Q358" s="186"/>
      <c r="R358" s="186"/>
      <c r="S358" s="186"/>
      <c r="U358" s="186"/>
    </row>
    <row r="359" spans="9:21">
      <c r="I359" s="281"/>
      <c r="J359" s="281"/>
      <c r="K359" s="281"/>
      <c r="L359" s="281"/>
      <c r="M359" s="281"/>
      <c r="N359" s="281"/>
      <c r="O359" s="281"/>
      <c r="P359" s="281"/>
      <c r="Q359" s="186"/>
      <c r="R359" s="186"/>
      <c r="S359" s="186"/>
      <c r="U359" s="186"/>
    </row>
    <row r="360" spans="9:21">
      <c r="I360" s="281"/>
      <c r="J360" s="281"/>
      <c r="K360" s="281"/>
      <c r="L360" s="281"/>
      <c r="M360" s="281"/>
      <c r="N360" s="281"/>
      <c r="O360" s="281"/>
      <c r="P360" s="281"/>
      <c r="Q360" s="186"/>
      <c r="R360" s="186"/>
      <c r="S360" s="186"/>
      <c r="U360" s="186"/>
    </row>
    <row r="361" spans="9:21">
      <c r="I361" s="281"/>
      <c r="J361" s="281"/>
      <c r="K361" s="281"/>
      <c r="L361" s="281"/>
      <c r="M361" s="281"/>
      <c r="N361" s="281"/>
      <c r="O361" s="281"/>
      <c r="P361" s="281"/>
      <c r="Q361" s="186"/>
      <c r="R361" s="186"/>
      <c r="S361" s="186"/>
      <c r="U361" s="186"/>
    </row>
    <row r="362" spans="9:21">
      <c r="I362" s="281"/>
      <c r="J362" s="281"/>
      <c r="K362" s="281"/>
      <c r="L362" s="281"/>
      <c r="M362" s="281"/>
      <c r="N362" s="281"/>
      <c r="O362" s="281"/>
      <c r="P362" s="281"/>
      <c r="Q362" s="186"/>
      <c r="R362" s="186"/>
      <c r="S362" s="186"/>
      <c r="U362" s="186"/>
    </row>
    <row r="363" spans="9:21">
      <c r="I363" s="281"/>
      <c r="J363" s="281"/>
      <c r="K363" s="281"/>
      <c r="L363" s="281"/>
      <c r="M363" s="281"/>
      <c r="N363" s="281"/>
      <c r="O363" s="281"/>
      <c r="P363" s="281"/>
      <c r="Q363" s="186"/>
      <c r="R363" s="186"/>
      <c r="S363" s="186"/>
      <c r="U363" s="186"/>
    </row>
    <row r="364" spans="9:21">
      <c r="I364" s="281"/>
      <c r="J364" s="281"/>
      <c r="K364" s="281"/>
      <c r="L364" s="281"/>
      <c r="M364" s="281"/>
      <c r="N364" s="281"/>
      <c r="O364" s="281"/>
      <c r="P364" s="281"/>
      <c r="Q364" s="186"/>
      <c r="R364" s="186"/>
      <c r="S364" s="186"/>
      <c r="U364" s="186"/>
    </row>
    <row r="365" spans="9:21">
      <c r="I365" s="281"/>
      <c r="J365" s="281"/>
      <c r="K365" s="281"/>
      <c r="L365" s="281"/>
      <c r="M365" s="281"/>
      <c r="N365" s="281"/>
      <c r="O365" s="281"/>
      <c r="P365" s="281"/>
      <c r="Q365" s="186"/>
      <c r="R365" s="186"/>
      <c r="S365" s="186"/>
      <c r="U365" s="186"/>
    </row>
    <row r="366" spans="9:21">
      <c r="I366" s="281"/>
      <c r="J366" s="281"/>
      <c r="K366" s="281"/>
      <c r="L366" s="281"/>
      <c r="M366" s="281"/>
      <c r="N366" s="281"/>
      <c r="O366" s="281"/>
      <c r="P366" s="281"/>
      <c r="Q366" s="186"/>
      <c r="R366" s="186"/>
      <c r="S366" s="186"/>
      <c r="U366" s="186"/>
    </row>
    <row r="367" spans="9:21">
      <c r="I367" s="281"/>
      <c r="J367" s="281"/>
      <c r="K367" s="281"/>
      <c r="L367" s="281"/>
      <c r="M367" s="281"/>
      <c r="N367" s="281"/>
      <c r="O367" s="281"/>
      <c r="P367" s="281"/>
      <c r="Q367" s="186"/>
      <c r="R367" s="186"/>
      <c r="S367" s="186"/>
      <c r="U367" s="186"/>
    </row>
    <row r="368" spans="9:21">
      <c r="I368" s="281"/>
      <c r="J368" s="281"/>
      <c r="K368" s="281"/>
      <c r="L368" s="281"/>
      <c r="M368" s="281"/>
      <c r="N368" s="281"/>
      <c r="O368" s="281"/>
      <c r="P368" s="281"/>
      <c r="Q368" s="186"/>
      <c r="R368" s="186"/>
      <c r="S368" s="186"/>
      <c r="U368" s="186"/>
    </row>
    <row r="369" spans="9:21">
      <c r="I369" s="281"/>
      <c r="J369" s="281"/>
      <c r="K369" s="281"/>
      <c r="L369" s="281"/>
      <c r="M369" s="281"/>
      <c r="N369" s="281"/>
      <c r="O369" s="281"/>
      <c r="P369" s="281"/>
      <c r="Q369" s="186"/>
      <c r="R369" s="186"/>
      <c r="S369" s="186"/>
      <c r="U369" s="186"/>
    </row>
    <row r="370" spans="9:21">
      <c r="I370" s="281"/>
      <c r="J370" s="281"/>
      <c r="K370" s="281"/>
      <c r="L370" s="281"/>
      <c r="M370" s="281"/>
      <c r="N370" s="281"/>
      <c r="O370" s="281"/>
      <c r="P370" s="281"/>
      <c r="Q370" s="186"/>
      <c r="R370" s="186"/>
      <c r="S370" s="186"/>
      <c r="U370" s="186"/>
    </row>
    <row r="371" spans="9:21">
      <c r="I371" s="281"/>
      <c r="J371" s="281"/>
      <c r="K371" s="281"/>
      <c r="L371" s="281"/>
      <c r="M371" s="281"/>
      <c r="N371" s="281"/>
      <c r="O371" s="281"/>
      <c r="P371" s="281"/>
      <c r="Q371" s="186"/>
      <c r="R371" s="186"/>
      <c r="S371" s="186"/>
      <c r="U371" s="186"/>
    </row>
    <row r="372" spans="9:21">
      <c r="I372" s="281"/>
      <c r="J372" s="281"/>
      <c r="K372" s="281"/>
      <c r="L372" s="281"/>
      <c r="M372" s="281"/>
      <c r="N372" s="281"/>
      <c r="O372" s="281"/>
      <c r="P372" s="281"/>
      <c r="Q372" s="186"/>
      <c r="R372" s="186"/>
      <c r="S372" s="186"/>
      <c r="U372" s="186"/>
    </row>
    <row r="373" spans="9:21">
      <c r="I373" s="281"/>
      <c r="J373" s="281"/>
      <c r="K373" s="281"/>
      <c r="L373" s="281"/>
      <c r="M373" s="281"/>
      <c r="N373" s="281"/>
      <c r="O373" s="281"/>
      <c r="P373" s="281"/>
      <c r="Q373" s="186"/>
      <c r="R373" s="186"/>
      <c r="S373" s="186"/>
      <c r="U373" s="186"/>
    </row>
    <row r="374" spans="9:21">
      <c r="I374" s="281"/>
      <c r="J374" s="281"/>
      <c r="K374" s="281"/>
      <c r="L374" s="281"/>
      <c r="M374" s="281"/>
      <c r="N374" s="281"/>
      <c r="O374" s="281"/>
      <c r="P374" s="281"/>
      <c r="Q374" s="186"/>
      <c r="R374" s="186"/>
      <c r="S374" s="186"/>
      <c r="U374" s="186"/>
    </row>
    <row r="375" spans="9:21">
      <c r="I375" s="281"/>
      <c r="J375" s="281"/>
      <c r="K375" s="281"/>
      <c r="L375" s="281"/>
      <c r="M375" s="281"/>
      <c r="N375" s="281"/>
      <c r="O375" s="281"/>
      <c r="P375" s="281"/>
      <c r="Q375" s="186"/>
      <c r="R375" s="186"/>
      <c r="S375" s="186"/>
      <c r="U375" s="186"/>
    </row>
    <row r="376" spans="9:21">
      <c r="I376" s="281"/>
      <c r="J376" s="281"/>
      <c r="K376" s="281"/>
      <c r="L376" s="281"/>
      <c r="M376" s="281"/>
      <c r="N376" s="281"/>
      <c r="O376" s="281"/>
      <c r="P376" s="281"/>
      <c r="Q376" s="186"/>
      <c r="R376" s="186"/>
      <c r="S376" s="186"/>
      <c r="U376" s="186"/>
    </row>
    <row r="377" spans="9:21">
      <c r="I377" s="281"/>
      <c r="J377" s="281"/>
      <c r="K377" s="281"/>
      <c r="L377" s="281"/>
      <c r="M377" s="281"/>
      <c r="N377" s="281"/>
      <c r="O377" s="281"/>
      <c r="P377" s="281"/>
      <c r="Q377" s="186"/>
      <c r="R377" s="186"/>
      <c r="S377" s="186"/>
      <c r="U377" s="186"/>
    </row>
    <row r="378" spans="9:21">
      <c r="I378" s="281"/>
      <c r="J378" s="281"/>
      <c r="K378" s="281"/>
      <c r="L378" s="281"/>
      <c r="M378" s="281"/>
      <c r="N378" s="281"/>
      <c r="O378" s="281"/>
      <c r="P378" s="281"/>
      <c r="Q378" s="186"/>
      <c r="R378" s="186"/>
      <c r="S378" s="186"/>
      <c r="U378" s="186"/>
    </row>
    <row r="379" spans="9:21">
      <c r="I379" s="281"/>
      <c r="J379" s="281"/>
      <c r="K379" s="281"/>
      <c r="L379" s="281"/>
      <c r="M379" s="281"/>
      <c r="N379" s="281"/>
      <c r="O379" s="281"/>
      <c r="P379" s="281"/>
      <c r="Q379" s="186"/>
      <c r="R379" s="186"/>
      <c r="S379" s="186"/>
      <c r="U379" s="186"/>
    </row>
    <row r="380" spans="9:21">
      <c r="I380" s="281"/>
      <c r="J380" s="281"/>
      <c r="K380" s="281"/>
      <c r="L380" s="281"/>
      <c r="M380" s="281"/>
      <c r="N380" s="281"/>
      <c r="O380" s="281"/>
      <c r="P380" s="281"/>
      <c r="Q380" s="186"/>
      <c r="R380" s="186"/>
      <c r="S380" s="186"/>
      <c r="U380" s="186"/>
    </row>
    <row r="381" spans="9:21">
      <c r="I381" s="281"/>
      <c r="J381" s="281"/>
      <c r="K381" s="281"/>
      <c r="L381" s="281"/>
      <c r="M381" s="281"/>
      <c r="N381" s="281"/>
      <c r="O381" s="281"/>
      <c r="P381" s="281"/>
      <c r="Q381" s="186"/>
      <c r="R381" s="186"/>
      <c r="S381" s="186"/>
      <c r="U381" s="186"/>
    </row>
    <row r="382" spans="9:21">
      <c r="I382" s="281"/>
      <c r="J382" s="281"/>
      <c r="K382" s="281"/>
      <c r="L382" s="281"/>
      <c r="M382" s="281"/>
      <c r="N382" s="281"/>
      <c r="O382" s="281"/>
      <c r="P382" s="281"/>
      <c r="Q382" s="186"/>
      <c r="R382" s="186"/>
      <c r="S382" s="186"/>
      <c r="U382" s="186"/>
    </row>
    <row r="383" spans="9:21">
      <c r="I383" s="281"/>
      <c r="J383" s="281"/>
      <c r="K383" s="281"/>
      <c r="L383" s="281"/>
      <c r="M383" s="281"/>
      <c r="N383" s="281"/>
      <c r="O383" s="281"/>
      <c r="P383" s="281"/>
      <c r="Q383" s="186"/>
      <c r="R383" s="186"/>
      <c r="S383" s="186"/>
      <c r="U383" s="186"/>
    </row>
    <row r="384" spans="9:21">
      <c r="I384" s="281"/>
      <c r="J384" s="281"/>
      <c r="K384" s="281"/>
      <c r="L384" s="281"/>
      <c r="M384" s="281"/>
      <c r="N384" s="281"/>
      <c r="O384" s="281"/>
      <c r="P384" s="281"/>
      <c r="Q384" s="186"/>
      <c r="R384" s="186"/>
      <c r="S384" s="186"/>
      <c r="U384" s="186"/>
    </row>
    <row r="385" spans="9:21">
      <c r="I385" s="281"/>
      <c r="J385" s="281"/>
      <c r="K385" s="281"/>
      <c r="L385" s="281"/>
      <c r="M385" s="281"/>
      <c r="N385" s="281"/>
      <c r="O385" s="281"/>
      <c r="P385" s="281"/>
      <c r="Q385" s="186"/>
      <c r="R385" s="186"/>
      <c r="S385" s="186"/>
      <c r="U385" s="186"/>
    </row>
    <row r="386" spans="9:21">
      <c r="I386" s="281"/>
      <c r="J386" s="281"/>
      <c r="K386" s="281"/>
      <c r="L386" s="281"/>
      <c r="M386" s="281"/>
      <c r="N386" s="281"/>
      <c r="O386" s="281"/>
      <c r="P386" s="281"/>
      <c r="Q386" s="186"/>
      <c r="R386" s="186"/>
      <c r="S386" s="186"/>
      <c r="U386" s="186"/>
    </row>
    <row r="387" spans="9:21">
      <c r="I387" s="281"/>
      <c r="J387" s="281"/>
      <c r="K387" s="281"/>
      <c r="L387" s="281"/>
      <c r="M387" s="281"/>
      <c r="N387" s="281"/>
      <c r="O387" s="281"/>
      <c r="P387" s="281"/>
      <c r="Q387" s="186"/>
      <c r="R387" s="186"/>
      <c r="S387" s="186"/>
      <c r="U387" s="186"/>
    </row>
    <row r="388" spans="9:21">
      <c r="I388" s="281"/>
      <c r="J388" s="281"/>
      <c r="K388" s="281"/>
      <c r="L388" s="281"/>
      <c r="M388" s="281"/>
      <c r="N388" s="281"/>
      <c r="O388" s="281"/>
      <c r="P388" s="281"/>
      <c r="Q388" s="186"/>
      <c r="R388" s="186"/>
      <c r="S388" s="186"/>
      <c r="U388" s="186"/>
    </row>
    <row r="389" spans="9:21">
      <c r="I389" s="281"/>
      <c r="J389" s="281"/>
      <c r="K389" s="281"/>
      <c r="L389" s="281"/>
      <c r="M389" s="281"/>
      <c r="N389" s="281"/>
      <c r="O389" s="281"/>
      <c r="P389" s="281"/>
      <c r="Q389" s="186"/>
      <c r="R389" s="186"/>
      <c r="S389" s="186"/>
      <c r="U389" s="186"/>
    </row>
    <row r="390" spans="9:21">
      <c r="I390" s="281"/>
      <c r="J390" s="281"/>
      <c r="K390" s="281"/>
      <c r="L390" s="281"/>
      <c r="M390" s="281"/>
      <c r="N390" s="281"/>
      <c r="O390" s="281"/>
      <c r="P390" s="281"/>
      <c r="Q390" s="186"/>
      <c r="R390" s="186"/>
      <c r="S390" s="186"/>
      <c r="U390" s="186"/>
    </row>
    <row r="391" spans="9:21">
      <c r="I391" s="281"/>
      <c r="J391" s="281"/>
      <c r="K391" s="281"/>
      <c r="L391" s="281"/>
      <c r="M391" s="281"/>
      <c r="N391" s="281"/>
      <c r="O391" s="281"/>
      <c r="P391" s="281"/>
      <c r="Q391" s="186"/>
      <c r="R391" s="186"/>
      <c r="S391" s="186"/>
      <c r="U391" s="186"/>
    </row>
    <row r="392" spans="9:21">
      <c r="I392" s="281"/>
      <c r="J392" s="281"/>
      <c r="K392" s="281"/>
      <c r="L392" s="281"/>
      <c r="M392" s="281"/>
      <c r="N392" s="281"/>
      <c r="O392" s="281"/>
      <c r="P392" s="281"/>
      <c r="Q392" s="186"/>
      <c r="R392" s="186"/>
      <c r="S392" s="186"/>
      <c r="U392" s="186"/>
    </row>
    <row r="393" spans="9:21">
      <c r="I393" s="281"/>
      <c r="J393" s="281"/>
      <c r="K393" s="281"/>
      <c r="L393" s="281"/>
      <c r="M393" s="281"/>
      <c r="N393" s="281"/>
      <c r="O393" s="281"/>
      <c r="P393" s="281"/>
      <c r="Q393" s="186"/>
      <c r="R393" s="186"/>
      <c r="S393" s="186"/>
      <c r="U393" s="186"/>
    </row>
    <row r="394" spans="9:21">
      <c r="I394" s="281"/>
      <c r="J394" s="281"/>
      <c r="K394" s="281"/>
      <c r="L394" s="281"/>
      <c r="M394" s="281"/>
      <c r="N394" s="281"/>
      <c r="O394" s="281"/>
      <c r="P394" s="281"/>
      <c r="Q394" s="186"/>
      <c r="R394" s="186"/>
      <c r="S394" s="186"/>
      <c r="U394" s="186"/>
    </row>
    <row r="395" spans="9:21">
      <c r="I395" s="281"/>
      <c r="J395" s="281"/>
      <c r="K395" s="281"/>
      <c r="L395" s="281"/>
      <c r="M395" s="281"/>
      <c r="N395" s="281"/>
      <c r="O395" s="281"/>
      <c r="P395" s="281"/>
      <c r="Q395" s="186"/>
      <c r="R395" s="186"/>
      <c r="S395" s="186"/>
      <c r="U395" s="186"/>
    </row>
    <row r="396" spans="9:21">
      <c r="I396" s="281"/>
      <c r="J396" s="281"/>
      <c r="K396" s="281"/>
      <c r="L396" s="281"/>
      <c r="M396" s="281"/>
      <c r="N396" s="281"/>
      <c r="O396" s="281"/>
      <c r="P396" s="281"/>
      <c r="Q396" s="186"/>
      <c r="R396" s="186"/>
      <c r="S396" s="186"/>
      <c r="U396" s="186"/>
    </row>
    <row r="397" spans="9:21">
      <c r="I397" s="281"/>
      <c r="J397" s="281"/>
      <c r="K397" s="281"/>
      <c r="L397" s="281"/>
      <c r="M397" s="281"/>
      <c r="N397" s="281"/>
      <c r="O397" s="281"/>
      <c r="P397" s="281"/>
      <c r="Q397" s="186"/>
      <c r="R397" s="186"/>
      <c r="S397" s="186"/>
      <c r="U397" s="186"/>
    </row>
    <row r="398" spans="9:21">
      <c r="I398" s="281"/>
      <c r="J398" s="281"/>
      <c r="K398" s="281"/>
      <c r="L398" s="281"/>
      <c r="M398" s="281"/>
      <c r="N398" s="281"/>
      <c r="O398" s="281"/>
      <c r="P398" s="281"/>
      <c r="Q398" s="186"/>
      <c r="R398" s="186"/>
      <c r="S398" s="186"/>
      <c r="U398" s="186"/>
    </row>
    <row r="399" spans="9:21">
      <c r="I399" s="281"/>
      <c r="J399" s="281"/>
      <c r="K399" s="281"/>
      <c r="L399" s="281"/>
      <c r="M399" s="281"/>
      <c r="N399" s="281"/>
      <c r="O399" s="281"/>
      <c r="P399" s="281"/>
      <c r="Q399" s="186"/>
      <c r="R399" s="186"/>
      <c r="S399" s="186"/>
      <c r="U399" s="186"/>
    </row>
    <row r="400" spans="9:21">
      <c r="I400" s="281"/>
      <c r="J400" s="281"/>
      <c r="K400" s="281"/>
      <c r="L400" s="281"/>
      <c r="M400" s="281"/>
      <c r="N400" s="281"/>
      <c r="O400" s="281"/>
      <c r="P400" s="281"/>
      <c r="Q400" s="186"/>
      <c r="R400" s="186"/>
      <c r="S400" s="186"/>
      <c r="U400" s="186"/>
    </row>
    <row r="401" spans="9:21">
      <c r="I401" s="281"/>
      <c r="J401" s="281"/>
      <c r="K401" s="281"/>
      <c r="L401" s="281"/>
      <c r="M401" s="281"/>
      <c r="N401" s="281"/>
      <c r="O401" s="281"/>
      <c r="P401" s="281"/>
      <c r="Q401" s="186"/>
      <c r="R401" s="186"/>
      <c r="S401" s="186"/>
      <c r="U401" s="186"/>
    </row>
    <row r="402" spans="9:21">
      <c r="I402" s="281"/>
      <c r="J402" s="281"/>
      <c r="K402" s="281"/>
      <c r="L402" s="281"/>
      <c r="M402" s="281"/>
      <c r="N402" s="281"/>
      <c r="O402" s="281"/>
      <c r="P402" s="281"/>
      <c r="Q402" s="186"/>
      <c r="R402" s="186"/>
      <c r="S402" s="186"/>
      <c r="U402" s="186"/>
    </row>
    <row r="403" spans="9:21">
      <c r="I403" s="281"/>
      <c r="J403" s="281"/>
      <c r="K403" s="281"/>
      <c r="L403" s="281"/>
      <c r="M403" s="281"/>
      <c r="N403" s="281"/>
      <c r="O403" s="281"/>
      <c r="P403" s="281"/>
      <c r="Q403" s="186"/>
      <c r="R403" s="186"/>
      <c r="S403" s="186"/>
      <c r="U403" s="186"/>
    </row>
    <row r="404" spans="9:21">
      <c r="I404" s="281"/>
      <c r="J404" s="281"/>
      <c r="K404" s="281"/>
      <c r="L404" s="281"/>
      <c r="M404" s="281"/>
      <c r="N404" s="281"/>
      <c r="O404" s="281"/>
      <c r="P404" s="281"/>
      <c r="Q404" s="186"/>
      <c r="R404" s="186"/>
      <c r="S404" s="186"/>
      <c r="U404" s="186"/>
    </row>
    <row r="405" spans="9:21">
      <c r="I405" s="281"/>
      <c r="J405" s="281"/>
      <c r="K405" s="281"/>
      <c r="L405" s="281"/>
      <c r="M405" s="281"/>
      <c r="N405" s="281"/>
      <c r="O405" s="281"/>
      <c r="P405" s="281"/>
      <c r="Q405" s="186"/>
      <c r="R405" s="186"/>
      <c r="S405" s="186"/>
      <c r="U405" s="186"/>
    </row>
    <row r="406" spans="9:21">
      <c r="I406" s="281"/>
      <c r="J406" s="281"/>
      <c r="K406" s="281"/>
      <c r="L406" s="281"/>
      <c r="M406" s="281"/>
      <c r="N406" s="281"/>
      <c r="O406" s="281"/>
      <c r="P406" s="281"/>
      <c r="Q406" s="186"/>
      <c r="R406" s="186"/>
      <c r="S406" s="186"/>
      <c r="U406" s="186"/>
    </row>
    <row r="407" spans="9:21">
      <c r="I407" s="281"/>
      <c r="J407" s="281"/>
      <c r="K407" s="281"/>
      <c r="L407" s="281"/>
      <c r="M407" s="281"/>
      <c r="N407" s="281"/>
      <c r="O407" s="281"/>
      <c r="P407" s="281"/>
      <c r="Q407" s="186"/>
      <c r="R407" s="186"/>
      <c r="S407" s="186"/>
      <c r="U407" s="186"/>
    </row>
    <row r="408" spans="9:21">
      <c r="I408" s="281"/>
      <c r="J408" s="281"/>
      <c r="K408" s="281"/>
      <c r="L408" s="281"/>
      <c r="M408" s="281"/>
      <c r="N408" s="281"/>
      <c r="O408" s="281"/>
      <c r="P408" s="281"/>
      <c r="Q408" s="186"/>
      <c r="R408" s="186"/>
      <c r="S408" s="186"/>
      <c r="U408" s="186"/>
    </row>
    <row r="409" spans="9:21">
      <c r="I409" s="281"/>
      <c r="J409" s="281"/>
      <c r="K409" s="281"/>
      <c r="L409" s="281"/>
      <c r="M409" s="281"/>
      <c r="N409" s="281"/>
      <c r="O409" s="281"/>
      <c r="P409" s="281"/>
      <c r="Q409" s="186"/>
      <c r="R409" s="186"/>
      <c r="S409" s="186"/>
      <c r="U409" s="186"/>
    </row>
    <row r="410" spans="9:21">
      <c r="I410" s="281"/>
      <c r="J410" s="281"/>
      <c r="K410" s="281"/>
      <c r="L410" s="281"/>
      <c r="M410" s="281"/>
      <c r="N410" s="281"/>
      <c r="O410" s="281"/>
      <c r="P410" s="281"/>
      <c r="Q410" s="186"/>
      <c r="R410" s="186"/>
      <c r="S410" s="186"/>
      <c r="U410" s="186"/>
    </row>
    <row r="411" spans="9:21">
      <c r="I411" s="281"/>
      <c r="J411" s="281"/>
      <c r="K411" s="281"/>
      <c r="L411" s="281"/>
      <c r="M411" s="281"/>
      <c r="N411" s="281"/>
      <c r="O411" s="281"/>
      <c r="P411" s="281"/>
      <c r="Q411" s="186"/>
      <c r="R411" s="186"/>
      <c r="S411" s="186"/>
      <c r="U411" s="186"/>
    </row>
    <row r="412" spans="9:21">
      <c r="I412" s="281"/>
      <c r="J412" s="281"/>
      <c r="K412" s="281"/>
      <c r="L412" s="281"/>
      <c r="M412" s="281"/>
      <c r="N412" s="281"/>
      <c r="O412" s="281"/>
      <c r="P412" s="281"/>
      <c r="Q412" s="186"/>
      <c r="R412" s="186"/>
      <c r="S412" s="186"/>
      <c r="U412" s="186"/>
    </row>
    <row r="413" spans="9:21">
      <c r="I413" s="281"/>
      <c r="J413" s="281"/>
      <c r="K413" s="281"/>
      <c r="L413" s="281"/>
      <c r="M413" s="281"/>
      <c r="N413" s="281"/>
      <c r="O413" s="281"/>
      <c r="P413" s="281"/>
      <c r="Q413" s="186"/>
      <c r="R413" s="186"/>
      <c r="S413" s="186"/>
      <c r="U413" s="186"/>
    </row>
    <row r="414" spans="9:21">
      <c r="I414" s="281"/>
      <c r="J414" s="281"/>
      <c r="K414" s="281"/>
      <c r="L414" s="281"/>
      <c r="M414" s="281"/>
      <c r="N414" s="281"/>
      <c r="O414" s="281"/>
      <c r="P414" s="281"/>
      <c r="Q414" s="186"/>
      <c r="R414" s="186"/>
      <c r="S414" s="186"/>
      <c r="U414" s="186"/>
    </row>
    <row r="415" spans="9:21">
      <c r="I415" s="281"/>
      <c r="J415" s="281"/>
      <c r="K415" s="281"/>
      <c r="L415" s="281"/>
      <c r="M415" s="281"/>
      <c r="N415" s="281"/>
      <c r="O415" s="281"/>
      <c r="P415" s="281"/>
      <c r="Q415" s="186"/>
      <c r="R415" s="186"/>
      <c r="S415" s="186"/>
      <c r="U415" s="186"/>
    </row>
    <row r="416" spans="9:21">
      <c r="I416" s="281"/>
      <c r="J416" s="281"/>
      <c r="K416" s="281"/>
      <c r="L416" s="281"/>
      <c r="M416" s="281"/>
      <c r="N416" s="281"/>
      <c r="O416" s="281"/>
      <c r="P416" s="281"/>
      <c r="Q416" s="186"/>
      <c r="R416" s="186"/>
      <c r="S416" s="186"/>
      <c r="U416" s="186"/>
    </row>
    <row r="417" spans="9:21">
      <c r="I417" s="281"/>
      <c r="J417" s="281"/>
      <c r="K417" s="281"/>
      <c r="L417" s="281"/>
      <c r="M417" s="281"/>
      <c r="N417" s="281"/>
      <c r="O417" s="281"/>
      <c r="P417" s="281"/>
      <c r="Q417" s="186"/>
      <c r="R417" s="186"/>
      <c r="S417" s="186"/>
      <c r="U417" s="186"/>
    </row>
    <row r="418" spans="9:21">
      <c r="I418" s="281"/>
      <c r="J418" s="281"/>
      <c r="K418" s="281"/>
      <c r="L418" s="281"/>
      <c r="M418" s="281"/>
      <c r="N418" s="281"/>
      <c r="O418" s="281"/>
      <c r="P418" s="281"/>
      <c r="Q418" s="186"/>
      <c r="R418" s="186"/>
      <c r="S418" s="186"/>
      <c r="U418" s="186"/>
    </row>
    <row r="419" spans="9:21">
      <c r="I419" s="281"/>
      <c r="J419" s="281"/>
      <c r="K419" s="281"/>
      <c r="L419" s="281"/>
      <c r="M419" s="281"/>
      <c r="N419" s="281"/>
      <c r="O419" s="281"/>
      <c r="P419" s="281"/>
      <c r="Q419" s="186"/>
      <c r="R419" s="186"/>
      <c r="S419" s="186"/>
      <c r="U419" s="186"/>
    </row>
    <row r="420" spans="9:21">
      <c r="I420" s="281"/>
      <c r="J420" s="281"/>
      <c r="K420" s="281"/>
      <c r="L420" s="281"/>
      <c r="M420" s="281"/>
      <c r="N420" s="281"/>
      <c r="O420" s="281"/>
      <c r="P420" s="281"/>
      <c r="Q420" s="186"/>
      <c r="R420" s="186"/>
      <c r="S420" s="186"/>
      <c r="U420" s="186"/>
    </row>
    <row r="421" spans="9:21">
      <c r="I421" s="281"/>
      <c r="J421" s="281"/>
      <c r="K421" s="281"/>
      <c r="L421" s="281"/>
      <c r="M421" s="281"/>
      <c r="N421" s="281"/>
      <c r="O421" s="281"/>
      <c r="P421" s="281"/>
      <c r="Q421" s="186"/>
      <c r="R421" s="186"/>
      <c r="S421" s="186"/>
      <c r="U421" s="186"/>
    </row>
    <row r="422" spans="9:21">
      <c r="I422" s="281"/>
      <c r="J422" s="281"/>
      <c r="K422" s="281"/>
      <c r="L422" s="281"/>
      <c r="M422" s="281"/>
      <c r="N422" s="281"/>
      <c r="O422" s="281"/>
      <c r="P422" s="281"/>
      <c r="Q422" s="186"/>
      <c r="R422" s="186"/>
      <c r="S422" s="186"/>
      <c r="U422" s="186"/>
    </row>
    <row r="423" spans="9:21">
      <c r="I423" s="281"/>
      <c r="J423" s="281"/>
      <c r="K423" s="281"/>
      <c r="L423" s="281"/>
      <c r="M423" s="281"/>
      <c r="N423" s="281"/>
      <c r="O423" s="281"/>
      <c r="P423" s="281"/>
      <c r="Q423" s="186"/>
      <c r="R423" s="186"/>
      <c r="S423" s="186"/>
      <c r="U423" s="186"/>
    </row>
    <row r="424" spans="9:21">
      <c r="I424" s="281"/>
      <c r="J424" s="281"/>
      <c r="K424" s="281"/>
      <c r="L424" s="281"/>
      <c r="M424" s="281"/>
      <c r="N424" s="281"/>
      <c r="O424" s="281"/>
      <c r="P424" s="281"/>
      <c r="Q424" s="186"/>
      <c r="R424" s="186"/>
      <c r="S424" s="186"/>
      <c r="U424" s="186"/>
    </row>
    <row r="425" spans="9:21">
      <c r="I425" s="281"/>
      <c r="J425" s="281"/>
      <c r="K425" s="281"/>
      <c r="L425" s="281"/>
      <c r="M425" s="281"/>
      <c r="N425" s="281"/>
      <c r="O425" s="281"/>
      <c r="P425" s="281"/>
      <c r="Q425" s="186"/>
      <c r="R425" s="186"/>
      <c r="S425" s="186"/>
      <c r="U425" s="186"/>
    </row>
    <row r="426" spans="9:21">
      <c r="I426" s="281"/>
      <c r="J426" s="281"/>
      <c r="K426" s="281"/>
      <c r="L426" s="281"/>
      <c r="M426" s="281"/>
      <c r="N426" s="281"/>
      <c r="O426" s="281"/>
      <c r="P426" s="281"/>
      <c r="Q426" s="186"/>
      <c r="R426" s="186"/>
      <c r="S426" s="186"/>
      <c r="U426" s="186"/>
    </row>
    <row r="427" spans="9:21">
      <c r="I427" s="281"/>
      <c r="J427" s="281"/>
      <c r="K427" s="281"/>
      <c r="L427" s="281"/>
      <c r="M427" s="281"/>
      <c r="N427" s="281"/>
      <c r="O427" s="281"/>
      <c r="P427" s="281"/>
      <c r="Q427" s="186"/>
      <c r="R427" s="186"/>
      <c r="S427" s="186"/>
      <c r="U427" s="186"/>
    </row>
    <row r="428" spans="9:21">
      <c r="I428" s="281"/>
      <c r="J428" s="281"/>
      <c r="K428" s="281"/>
      <c r="L428" s="281"/>
      <c r="M428" s="281"/>
      <c r="N428" s="281"/>
      <c r="O428" s="281"/>
      <c r="P428" s="281"/>
      <c r="Q428" s="186"/>
      <c r="R428" s="186"/>
      <c r="S428" s="186"/>
      <c r="U428" s="186"/>
    </row>
    <row r="429" spans="9:21">
      <c r="I429" s="281"/>
      <c r="J429" s="281"/>
      <c r="K429" s="281"/>
      <c r="L429" s="281"/>
      <c r="M429" s="281"/>
      <c r="N429" s="281"/>
      <c r="O429" s="281"/>
      <c r="P429" s="281"/>
      <c r="Q429" s="186"/>
      <c r="R429" s="186"/>
      <c r="S429" s="186"/>
      <c r="U429" s="186"/>
    </row>
    <row r="430" spans="9:21">
      <c r="I430" s="281"/>
      <c r="J430" s="281"/>
      <c r="K430" s="281"/>
      <c r="L430" s="281"/>
      <c r="M430" s="281"/>
      <c r="N430" s="281"/>
      <c r="O430" s="281"/>
      <c r="P430" s="281"/>
      <c r="Q430" s="186"/>
      <c r="R430" s="186"/>
      <c r="S430" s="186"/>
      <c r="U430" s="186"/>
    </row>
    <row r="431" spans="9:21">
      <c r="I431" s="281"/>
      <c r="J431" s="281"/>
      <c r="K431" s="281"/>
      <c r="L431" s="281"/>
      <c r="M431" s="281"/>
      <c r="N431" s="281"/>
      <c r="O431" s="281"/>
      <c r="P431" s="281"/>
      <c r="Q431" s="186"/>
      <c r="R431" s="186"/>
      <c r="S431" s="186"/>
      <c r="U431" s="186"/>
    </row>
    <row r="432" spans="9:21">
      <c r="I432" s="281"/>
      <c r="J432" s="281"/>
      <c r="K432" s="281"/>
      <c r="L432" s="281"/>
      <c r="M432" s="281"/>
      <c r="N432" s="281"/>
      <c r="O432" s="281"/>
      <c r="P432" s="281"/>
      <c r="Q432" s="186"/>
      <c r="R432" s="186"/>
      <c r="S432" s="186"/>
      <c r="U432" s="186"/>
    </row>
    <row r="433" spans="9:21">
      <c r="I433" s="281"/>
      <c r="J433" s="281"/>
      <c r="K433" s="281"/>
      <c r="L433" s="281"/>
      <c r="M433" s="281"/>
      <c r="N433" s="281"/>
      <c r="O433" s="281"/>
      <c r="P433" s="281"/>
      <c r="Q433" s="186"/>
      <c r="R433" s="186"/>
      <c r="S433" s="186"/>
      <c r="U433" s="186"/>
    </row>
    <row r="434" spans="9:21">
      <c r="I434" s="281"/>
      <c r="J434" s="281"/>
      <c r="K434" s="281"/>
      <c r="L434" s="281"/>
      <c r="M434" s="281"/>
      <c r="N434" s="281"/>
      <c r="O434" s="281"/>
      <c r="P434" s="281"/>
      <c r="Q434" s="186"/>
      <c r="R434" s="186"/>
      <c r="S434" s="186"/>
      <c r="U434" s="186"/>
    </row>
    <row r="435" spans="9:21">
      <c r="I435" s="281"/>
      <c r="J435" s="281"/>
      <c r="K435" s="281"/>
      <c r="L435" s="281"/>
      <c r="M435" s="281"/>
      <c r="N435" s="281"/>
      <c r="O435" s="281"/>
      <c r="P435" s="281"/>
      <c r="Q435" s="186"/>
      <c r="R435" s="186"/>
      <c r="S435" s="186"/>
      <c r="U435" s="186"/>
    </row>
    <row r="436" spans="9:21">
      <c r="I436" s="281"/>
      <c r="J436" s="281"/>
      <c r="K436" s="281"/>
      <c r="L436" s="281"/>
      <c r="M436" s="281"/>
      <c r="N436" s="281"/>
      <c r="O436" s="281"/>
      <c r="P436" s="281"/>
      <c r="Q436" s="186"/>
      <c r="R436" s="186"/>
      <c r="S436" s="186"/>
      <c r="U436" s="186"/>
    </row>
    <row r="437" spans="9:21">
      <c r="I437" s="281"/>
      <c r="J437" s="281"/>
      <c r="K437" s="281"/>
      <c r="L437" s="281"/>
      <c r="M437" s="281"/>
      <c r="N437" s="281"/>
      <c r="O437" s="281"/>
      <c r="P437" s="281"/>
      <c r="Q437" s="186"/>
      <c r="R437" s="186"/>
      <c r="S437" s="186"/>
      <c r="U437" s="186"/>
    </row>
    <row r="438" spans="9:21">
      <c r="I438" s="281"/>
      <c r="J438" s="281"/>
      <c r="K438" s="281"/>
      <c r="L438" s="281"/>
      <c r="M438" s="281"/>
      <c r="N438" s="281"/>
      <c r="O438" s="281"/>
      <c r="P438" s="281"/>
      <c r="Q438" s="186"/>
      <c r="R438" s="186"/>
      <c r="S438" s="186"/>
      <c r="U438" s="186"/>
    </row>
    <row r="439" spans="9:21">
      <c r="I439" s="281"/>
      <c r="J439" s="281"/>
      <c r="K439" s="281"/>
      <c r="L439" s="281"/>
      <c r="M439" s="281"/>
      <c r="N439" s="281"/>
      <c r="O439" s="281"/>
      <c r="P439" s="281"/>
      <c r="Q439" s="186"/>
      <c r="R439" s="186"/>
      <c r="S439" s="186"/>
      <c r="U439" s="186"/>
    </row>
    <row r="440" spans="9:21">
      <c r="I440" s="281"/>
      <c r="J440" s="281"/>
      <c r="K440" s="281"/>
      <c r="L440" s="281"/>
      <c r="M440" s="281"/>
      <c r="N440" s="281"/>
      <c r="O440" s="281"/>
      <c r="P440" s="281"/>
      <c r="Q440" s="186"/>
      <c r="R440" s="186"/>
      <c r="S440" s="186"/>
      <c r="U440" s="186"/>
    </row>
    <row r="441" spans="9:21">
      <c r="I441" s="281"/>
      <c r="J441" s="281"/>
      <c r="K441" s="281"/>
      <c r="L441" s="281"/>
      <c r="M441" s="281"/>
      <c r="N441" s="281"/>
      <c r="O441" s="281"/>
      <c r="P441" s="281"/>
      <c r="Q441" s="186"/>
      <c r="R441" s="186"/>
      <c r="S441" s="186"/>
      <c r="U441" s="186"/>
    </row>
    <row r="442" spans="9:21">
      <c r="I442" s="281"/>
      <c r="J442" s="281"/>
      <c r="K442" s="281"/>
      <c r="L442" s="281"/>
      <c r="M442" s="281"/>
      <c r="N442" s="281"/>
      <c r="O442" s="281"/>
      <c r="P442" s="281"/>
      <c r="Q442" s="186"/>
      <c r="R442" s="186"/>
      <c r="S442" s="186"/>
      <c r="U442" s="186"/>
    </row>
    <row r="443" spans="9:21">
      <c r="I443" s="281"/>
      <c r="J443" s="281"/>
      <c r="K443" s="281"/>
      <c r="L443" s="281"/>
      <c r="M443" s="281"/>
      <c r="N443" s="281"/>
      <c r="O443" s="281"/>
      <c r="P443" s="281"/>
      <c r="Q443" s="186"/>
      <c r="R443" s="186"/>
      <c r="S443" s="186"/>
      <c r="U443" s="186"/>
    </row>
    <row r="444" spans="9:21">
      <c r="I444" s="281"/>
      <c r="J444" s="281"/>
      <c r="K444" s="281"/>
      <c r="L444" s="281"/>
      <c r="M444" s="281"/>
      <c r="N444" s="281"/>
      <c r="O444" s="281"/>
      <c r="P444" s="281"/>
      <c r="Q444" s="186"/>
      <c r="R444" s="186"/>
      <c r="S444" s="186"/>
      <c r="U444" s="186"/>
    </row>
    <row r="445" spans="9:21">
      <c r="I445" s="281"/>
      <c r="J445" s="281"/>
      <c r="K445" s="281"/>
      <c r="L445" s="281"/>
      <c r="M445" s="281"/>
      <c r="N445" s="281"/>
      <c r="O445" s="281"/>
      <c r="P445" s="281"/>
      <c r="Q445" s="186"/>
      <c r="R445" s="186"/>
      <c r="S445" s="186"/>
      <c r="U445" s="186"/>
    </row>
    <row r="446" spans="9:21">
      <c r="I446" s="281"/>
      <c r="J446" s="281"/>
      <c r="K446" s="281"/>
      <c r="L446" s="281"/>
      <c r="M446" s="281"/>
      <c r="N446" s="281"/>
      <c r="O446" s="281"/>
      <c r="P446" s="281"/>
      <c r="Q446" s="186"/>
      <c r="R446" s="186"/>
      <c r="S446" s="186"/>
      <c r="U446" s="186"/>
    </row>
    <row r="447" spans="9:21">
      <c r="I447" s="281"/>
      <c r="J447" s="281"/>
      <c r="K447" s="281"/>
      <c r="L447" s="281"/>
      <c r="M447" s="281"/>
      <c r="N447" s="281"/>
      <c r="O447" s="281"/>
      <c r="P447" s="281"/>
      <c r="Q447" s="186"/>
      <c r="R447" s="186"/>
      <c r="S447" s="186"/>
      <c r="U447" s="186"/>
    </row>
    <row r="448" spans="9:21">
      <c r="I448" s="281"/>
      <c r="J448" s="281"/>
      <c r="K448" s="281"/>
      <c r="L448" s="281"/>
      <c r="M448" s="281"/>
      <c r="N448" s="281"/>
      <c r="O448" s="281"/>
      <c r="P448" s="281"/>
      <c r="Q448" s="186"/>
      <c r="R448" s="186"/>
      <c r="S448" s="186"/>
      <c r="U448" s="186"/>
    </row>
    <row r="449" spans="9:21">
      <c r="I449" s="281"/>
      <c r="J449" s="281"/>
      <c r="K449" s="281"/>
      <c r="L449" s="281"/>
      <c r="M449" s="281"/>
      <c r="N449" s="281"/>
      <c r="O449" s="281"/>
      <c r="P449" s="281"/>
      <c r="Q449" s="186"/>
      <c r="R449" s="186"/>
      <c r="S449" s="186"/>
      <c r="U449" s="186"/>
    </row>
    <row r="450" spans="9:21">
      <c r="I450" s="281"/>
      <c r="J450" s="281"/>
      <c r="K450" s="281"/>
      <c r="L450" s="281"/>
      <c r="M450" s="281"/>
      <c r="N450" s="281"/>
      <c r="O450" s="281"/>
      <c r="P450" s="281"/>
      <c r="Q450" s="186"/>
      <c r="R450" s="186"/>
      <c r="S450" s="186"/>
      <c r="U450" s="186"/>
    </row>
    <row r="451" spans="9:21">
      <c r="I451" s="281"/>
      <c r="J451" s="281"/>
      <c r="K451" s="281"/>
      <c r="L451" s="281"/>
      <c r="M451" s="281"/>
      <c r="N451" s="281"/>
      <c r="O451" s="281"/>
      <c r="P451" s="281"/>
      <c r="Q451" s="186"/>
      <c r="R451" s="186"/>
      <c r="S451" s="186"/>
      <c r="U451" s="186"/>
    </row>
    <row r="452" spans="9:21">
      <c r="I452" s="281"/>
      <c r="J452" s="281"/>
      <c r="K452" s="281"/>
      <c r="L452" s="281"/>
      <c r="M452" s="281"/>
      <c r="N452" s="281"/>
      <c r="O452" s="281"/>
      <c r="P452" s="281"/>
      <c r="Q452" s="186"/>
      <c r="R452" s="186"/>
      <c r="S452" s="186"/>
      <c r="U452" s="186"/>
    </row>
    <row r="453" spans="9:21">
      <c r="I453" s="281"/>
      <c r="J453" s="281"/>
      <c r="K453" s="281"/>
      <c r="L453" s="281"/>
      <c r="M453" s="281"/>
      <c r="N453" s="281"/>
      <c r="O453" s="281"/>
      <c r="P453" s="281"/>
      <c r="Q453" s="186"/>
      <c r="R453" s="186"/>
      <c r="S453" s="186"/>
      <c r="U453" s="186"/>
    </row>
    <row r="454" spans="9:21">
      <c r="I454" s="281"/>
      <c r="J454" s="281"/>
      <c r="K454" s="281"/>
      <c r="L454" s="281"/>
      <c r="M454" s="281"/>
      <c r="N454" s="281"/>
      <c r="O454" s="281"/>
      <c r="P454" s="281"/>
      <c r="Q454" s="186"/>
      <c r="R454" s="186"/>
      <c r="S454" s="186"/>
      <c r="U454" s="186"/>
    </row>
    <row r="455" spans="9:21">
      <c r="I455" s="281"/>
      <c r="J455" s="281"/>
      <c r="K455" s="281"/>
      <c r="L455" s="281"/>
      <c r="M455" s="281"/>
      <c r="N455" s="281"/>
      <c r="O455" s="281"/>
      <c r="P455" s="281"/>
      <c r="Q455" s="186"/>
      <c r="R455" s="186"/>
      <c r="S455" s="186"/>
      <c r="U455" s="186"/>
    </row>
    <row r="456" spans="9:21">
      <c r="I456" s="281"/>
      <c r="J456" s="281"/>
      <c r="K456" s="281"/>
      <c r="L456" s="281"/>
      <c r="M456" s="281"/>
      <c r="N456" s="281"/>
      <c r="O456" s="281"/>
      <c r="P456" s="281"/>
      <c r="Q456" s="186"/>
      <c r="R456" s="186"/>
      <c r="S456" s="186"/>
      <c r="U456" s="186"/>
    </row>
    <row r="457" spans="9:21">
      <c r="I457" s="281"/>
      <c r="J457" s="281"/>
      <c r="K457" s="281"/>
      <c r="L457" s="281"/>
      <c r="M457" s="281"/>
      <c r="N457" s="281"/>
      <c r="O457" s="281"/>
      <c r="P457" s="281"/>
      <c r="Q457" s="186"/>
      <c r="R457" s="186"/>
      <c r="S457" s="186"/>
      <c r="U457" s="186"/>
    </row>
    <row r="458" spans="9:21">
      <c r="I458" s="281"/>
      <c r="J458" s="281"/>
      <c r="K458" s="281"/>
      <c r="L458" s="281"/>
      <c r="M458" s="281"/>
      <c r="N458" s="281"/>
      <c r="O458" s="281"/>
      <c r="P458" s="281"/>
      <c r="Q458" s="186"/>
      <c r="R458" s="186"/>
      <c r="S458" s="186"/>
      <c r="U458" s="186"/>
    </row>
    <row r="459" spans="9:21">
      <c r="I459" s="281"/>
      <c r="J459" s="281"/>
      <c r="K459" s="281"/>
      <c r="L459" s="281"/>
      <c r="M459" s="281"/>
      <c r="N459" s="281"/>
      <c r="O459" s="281"/>
      <c r="P459" s="281"/>
      <c r="Q459" s="186"/>
      <c r="R459" s="186"/>
      <c r="S459" s="186"/>
      <c r="U459" s="186"/>
    </row>
    <row r="460" spans="9:21">
      <c r="I460" s="281"/>
      <c r="J460" s="281"/>
      <c r="K460" s="281"/>
      <c r="L460" s="281"/>
      <c r="M460" s="281"/>
      <c r="N460" s="281"/>
      <c r="O460" s="281"/>
      <c r="P460" s="281"/>
      <c r="Q460" s="186"/>
      <c r="R460" s="186"/>
      <c r="S460" s="186"/>
      <c r="U460" s="186"/>
    </row>
    <row r="461" spans="9:21">
      <c r="I461" s="281"/>
      <c r="J461" s="281"/>
      <c r="K461" s="281"/>
      <c r="L461" s="281"/>
      <c r="M461" s="281"/>
      <c r="N461" s="281"/>
      <c r="O461" s="281"/>
      <c r="P461" s="281"/>
      <c r="Q461" s="186"/>
      <c r="R461" s="186"/>
      <c r="S461" s="186"/>
      <c r="U461" s="186"/>
    </row>
    <row r="462" spans="9:21">
      <c r="I462" s="281"/>
      <c r="J462" s="281"/>
      <c r="K462" s="281"/>
      <c r="L462" s="281"/>
      <c r="M462" s="281"/>
      <c r="N462" s="281"/>
      <c r="O462" s="281"/>
      <c r="P462" s="281"/>
      <c r="Q462" s="186"/>
      <c r="R462" s="186"/>
      <c r="S462" s="186"/>
      <c r="U462" s="186"/>
    </row>
    <row r="463" spans="9:21">
      <c r="I463" s="281"/>
      <c r="J463" s="281"/>
      <c r="K463" s="281"/>
      <c r="L463" s="281"/>
      <c r="M463" s="281"/>
      <c r="N463" s="281"/>
      <c r="O463" s="281"/>
      <c r="P463" s="281"/>
      <c r="Q463" s="186"/>
      <c r="R463" s="186"/>
      <c r="S463" s="186"/>
      <c r="U463" s="186"/>
    </row>
    <row r="464" spans="9:21">
      <c r="I464" s="281"/>
      <c r="J464" s="281"/>
      <c r="K464" s="281"/>
      <c r="L464" s="281"/>
      <c r="M464" s="281"/>
      <c r="N464" s="281"/>
      <c r="O464" s="281"/>
      <c r="P464" s="281"/>
      <c r="Q464" s="186"/>
      <c r="R464" s="186"/>
      <c r="S464" s="186"/>
      <c r="U464" s="186"/>
    </row>
    <row r="465" spans="9:21">
      <c r="I465" s="281"/>
      <c r="J465" s="281"/>
      <c r="K465" s="281"/>
      <c r="L465" s="281"/>
      <c r="M465" s="281"/>
      <c r="N465" s="281"/>
      <c r="O465" s="281"/>
      <c r="P465" s="281"/>
      <c r="Q465" s="186"/>
      <c r="R465" s="186"/>
      <c r="S465" s="186"/>
      <c r="U465" s="186"/>
    </row>
    <row r="466" spans="9:21">
      <c r="I466" s="281"/>
      <c r="J466" s="281"/>
      <c r="K466" s="281"/>
      <c r="L466" s="281"/>
      <c r="M466" s="281"/>
      <c r="N466" s="281"/>
      <c r="O466" s="281"/>
      <c r="P466" s="281"/>
      <c r="Q466" s="186"/>
      <c r="R466" s="186"/>
      <c r="S466" s="186"/>
      <c r="U466" s="186"/>
    </row>
    <row r="467" spans="9:21">
      <c r="I467" s="281"/>
      <c r="J467" s="281"/>
      <c r="K467" s="281"/>
      <c r="L467" s="281"/>
      <c r="M467" s="281"/>
      <c r="N467" s="281"/>
      <c r="O467" s="281"/>
      <c r="P467" s="281"/>
      <c r="Q467" s="186"/>
      <c r="R467" s="186"/>
      <c r="S467" s="186"/>
      <c r="U467" s="186"/>
    </row>
    <row r="468" spans="9:21">
      <c r="I468" s="281"/>
      <c r="J468" s="281"/>
      <c r="K468" s="281"/>
      <c r="L468" s="281"/>
      <c r="M468" s="281"/>
      <c r="N468" s="281"/>
      <c r="O468" s="281"/>
      <c r="P468" s="281"/>
      <c r="Q468" s="186"/>
      <c r="R468" s="186"/>
      <c r="S468" s="186"/>
      <c r="U468" s="186"/>
    </row>
    <row r="469" spans="9:21">
      <c r="I469" s="281"/>
      <c r="J469" s="281"/>
      <c r="K469" s="281"/>
      <c r="L469" s="281"/>
      <c r="M469" s="281"/>
      <c r="N469" s="281"/>
      <c r="O469" s="281"/>
      <c r="P469" s="281"/>
      <c r="Q469" s="186"/>
      <c r="R469" s="186"/>
      <c r="S469" s="186"/>
      <c r="U469" s="186"/>
    </row>
    <row r="470" spans="9:21">
      <c r="I470" s="281"/>
      <c r="J470" s="281"/>
      <c r="K470" s="281"/>
      <c r="L470" s="281"/>
      <c r="M470" s="281"/>
      <c r="N470" s="281"/>
      <c r="O470" s="281"/>
      <c r="P470" s="281"/>
      <c r="Q470" s="186"/>
      <c r="R470" s="186"/>
      <c r="S470" s="186"/>
      <c r="U470" s="186"/>
    </row>
    <row r="471" spans="9:21">
      <c r="I471" s="281"/>
      <c r="J471" s="281"/>
      <c r="K471" s="281"/>
      <c r="L471" s="281"/>
      <c r="M471" s="281"/>
      <c r="N471" s="281"/>
      <c r="O471" s="281"/>
      <c r="P471" s="281"/>
      <c r="Q471" s="186"/>
      <c r="R471" s="186"/>
      <c r="S471" s="186"/>
      <c r="U471" s="186"/>
    </row>
    <row r="472" spans="9:21">
      <c r="I472" s="281"/>
      <c r="J472" s="281"/>
      <c r="K472" s="281"/>
      <c r="L472" s="281"/>
      <c r="M472" s="281"/>
      <c r="N472" s="281"/>
      <c r="O472" s="281"/>
      <c r="P472" s="281"/>
      <c r="Q472" s="186"/>
      <c r="R472" s="186"/>
      <c r="S472" s="186"/>
      <c r="U472" s="186"/>
    </row>
    <row r="473" spans="9:21">
      <c r="I473" s="281"/>
      <c r="J473" s="281"/>
      <c r="K473" s="281"/>
      <c r="L473" s="281"/>
      <c r="M473" s="281"/>
      <c r="N473" s="281"/>
      <c r="O473" s="281"/>
      <c r="P473" s="281"/>
      <c r="Q473" s="186"/>
      <c r="R473" s="186"/>
      <c r="S473" s="186"/>
      <c r="U473" s="186"/>
    </row>
    <row r="474" spans="9:21">
      <c r="I474" s="281"/>
      <c r="J474" s="281"/>
      <c r="K474" s="281"/>
      <c r="L474" s="281"/>
      <c r="M474" s="281"/>
      <c r="N474" s="281"/>
      <c r="O474" s="281"/>
      <c r="P474" s="281"/>
      <c r="Q474" s="186"/>
      <c r="R474" s="186"/>
      <c r="S474" s="186"/>
      <c r="U474" s="186"/>
    </row>
    <row r="475" spans="9:21">
      <c r="I475" s="281"/>
      <c r="J475" s="281"/>
      <c r="K475" s="281"/>
      <c r="L475" s="281"/>
      <c r="M475" s="281"/>
      <c r="N475" s="281"/>
      <c r="O475" s="281"/>
      <c r="P475" s="281"/>
      <c r="Q475" s="186"/>
      <c r="R475" s="186"/>
      <c r="S475" s="186"/>
      <c r="U475" s="186"/>
    </row>
    <row r="476" spans="9:21">
      <c r="I476" s="281"/>
      <c r="J476" s="281"/>
      <c r="K476" s="281"/>
      <c r="L476" s="281"/>
      <c r="M476" s="281"/>
      <c r="N476" s="281"/>
      <c r="O476" s="281"/>
      <c r="P476" s="281"/>
      <c r="Q476" s="186"/>
      <c r="R476" s="186"/>
      <c r="S476" s="186"/>
      <c r="U476" s="186"/>
    </row>
    <row r="477" spans="9:21">
      <c r="I477" s="281"/>
      <c r="J477" s="281"/>
      <c r="K477" s="281"/>
      <c r="L477" s="281"/>
      <c r="M477" s="281"/>
      <c r="N477" s="281"/>
      <c r="O477" s="281"/>
      <c r="P477" s="281"/>
      <c r="Q477" s="186"/>
      <c r="R477" s="186"/>
      <c r="S477" s="186"/>
      <c r="U477" s="186"/>
    </row>
    <row r="478" spans="9:21">
      <c r="I478" s="281"/>
      <c r="J478" s="281"/>
      <c r="K478" s="281"/>
      <c r="L478" s="281"/>
      <c r="M478" s="281"/>
      <c r="N478" s="281"/>
      <c r="O478" s="281"/>
      <c r="P478" s="281"/>
      <c r="Q478" s="186"/>
      <c r="R478" s="186"/>
      <c r="S478" s="186"/>
      <c r="U478" s="186"/>
    </row>
    <row r="479" spans="9:21">
      <c r="I479" s="281"/>
      <c r="J479" s="281"/>
      <c r="K479" s="281"/>
      <c r="L479" s="281"/>
      <c r="M479" s="281"/>
      <c r="N479" s="281"/>
      <c r="O479" s="281"/>
      <c r="P479" s="281"/>
      <c r="Q479" s="186"/>
      <c r="R479" s="186"/>
      <c r="S479" s="186"/>
      <c r="U479" s="186"/>
    </row>
    <row r="480" spans="9:21">
      <c r="I480" s="281"/>
      <c r="J480" s="281"/>
      <c r="K480" s="281"/>
      <c r="L480" s="281"/>
      <c r="M480" s="281"/>
      <c r="N480" s="281"/>
      <c r="O480" s="281"/>
      <c r="P480" s="281"/>
      <c r="Q480" s="186"/>
      <c r="R480" s="186"/>
      <c r="S480" s="186"/>
      <c r="U480" s="186"/>
    </row>
    <row r="481" spans="9:21">
      <c r="I481" s="281"/>
      <c r="J481" s="281"/>
      <c r="K481" s="281"/>
      <c r="L481" s="281"/>
      <c r="M481" s="281"/>
      <c r="N481" s="281"/>
      <c r="O481" s="281"/>
      <c r="P481" s="281"/>
      <c r="Q481" s="186"/>
      <c r="R481" s="186"/>
      <c r="S481" s="186"/>
      <c r="U481" s="186"/>
    </row>
    <row r="482" spans="9:21">
      <c r="I482" s="281"/>
      <c r="J482" s="281"/>
      <c r="K482" s="281"/>
      <c r="L482" s="281"/>
      <c r="M482" s="281"/>
      <c r="N482" s="281"/>
      <c r="O482" s="281"/>
      <c r="P482" s="281"/>
      <c r="Q482" s="186"/>
      <c r="R482" s="186"/>
      <c r="S482" s="186"/>
      <c r="U482" s="186"/>
    </row>
    <row r="483" spans="9:21">
      <c r="I483" s="281"/>
      <c r="J483" s="281"/>
      <c r="K483" s="281"/>
      <c r="L483" s="281"/>
      <c r="M483" s="281"/>
      <c r="N483" s="281"/>
      <c r="O483" s="281"/>
      <c r="P483" s="281"/>
      <c r="Q483" s="186"/>
      <c r="R483" s="186"/>
      <c r="S483" s="186"/>
      <c r="U483" s="186"/>
    </row>
    <row r="484" spans="9:21">
      <c r="I484" s="281"/>
      <c r="J484" s="281"/>
      <c r="K484" s="281"/>
      <c r="L484" s="281"/>
      <c r="M484" s="281"/>
      <c r="N484" s="281"/>
      <c r="O484" s="281"/>
      <c r="P484" s="281"/>
      <c r="Q484" s="186"/>
      <c r="R484" s="186"/>
      <c r="S484" s="186"/>
      <c r="U484" s="186"/>
    </row>
    <row r="485" spans="9:21">
      <c r="I485" s="281"/>
      <c r="J485" s="281"/>
      <c r="K485" s="281"/>
      <c r="L485" s="281"/>
      <c r="M485" s="281"/>
      <c r="N485" s="281"/>
      <c r="O485" s="281"/>
      <c r="P485" s="281"/>
      <c r="Q485" s="186"/>
      <c r="R485" s="186"/>
      <c r="S485" s="186"/>
      <c r="U485" s="186"/>
    </row>
    <row r="486" spans="9:21">
      <c r="I486" s="281"/>
      <c r="J486" s="281"/>
      <c r="K486" s="281"/>
      <c r="L486" s="281"/>
      <c r="M486" s="281"/>
      <c r="N486" s="281"/>
      <c r="O486" s="281"/>
      <c r="P486" s="281"/>
      <c r="Q486" s="186"/>
      <c r="R486" s="186"/>
      <c r="S486" s="186"/>
      <c r="U486" s="186"/>
    </row>
    <row r="487" spans="9:21">
      <c r="I487" s="281"/>
      <c r="J487" s="281"/>
      <c r="K487" s="281"/>
      <c r="L487" s="281"/>
      <c r="M487" s="281"/>
      <c r="N487" s="281"/>
      <c r="O487" s="281"/>
      <c r="P487" s="281"/>
      <c r="Q487" s="186"/>
      <c r="R487" s="186"/>
      <c r="S487" s="186"/>
      <c r="U487" s="186"/>
    </row>
    <row r="488" spans="9:21">
      <c r="I488" s="281"/>
      <c r="J488" s="281"/>
      <c r="K488" s="281"/>
      <c r="L488" s="281"/>
      <c r="M488" s="281"/>
      <c r="N488" s="281"/>
      <c r="O488" s="281"/>
      <c r="P488" s="281"/>
      <c r="Q488" s="186"/>
      <c r="R488" s="186"/>
      <c r="S488" s="186"/>
      <c r="U488" s="186"/>
    </row>
    <row r="489" spans="9:21">
      <c r="I489" s="281"/>
      <c r="J489" s="281"/>
      <c r="K489" s="281"/>
      <c r="L489" s="281"/>
      <c r="M489" s="281"/>
      <c r="N489" s="281"/>
      <c r="O489" s="281"/>
      <c r="P489" s="281"/>
      <c r="Q489" s="186"/>
      <c r="R489" s="186"/>
      <c r="S489" s="186"/>
      <c r="U489" s="186"/>
    </row>
    <row r="490" spans="9:21">
      <c r="I490" s="281"/>
      <c r="J490" s="281"/>
      <c r="K490" s="281"/>
      <c r="L490" s="281"/>
      <c r="M490" s="281"/>
      <c r="N490" s="281"/>
      <c r="O490" s="281"/>
      <c r="P490" s="281"/>
      <c r="Q490" s="186"/>
      <c r="R490" s="186"/>
      <c r="S490" s="186"/>
      <c r="U490" s="186"/>
    </row>
    <row r="491" spans="9:21">
      <c r="I491" s="281"/>
      <c r="J491" s="281"/>
      <c r="K491" s="281"/>
      <c r="L491" s="281"/>
      <c r="M491" s="281"/>
      <c r="N491" s="281"/>
      <c r="O491" s="281"/>
      <c r="P491" s="281"/>
      <c r="Q491" s="186"/>
      <c r="R491" s="186"/>
      <c r="S491" s="186"/>
      <c r="U491" s="186"/>
    </row>
    <row r="492" spans="9:21">
      <c r="I492" s="281"/>
      <c r="J492" s="281"/>
      <c r="K492" s="281"/>
      <c r="L492" s="281"/>
      <c r="M492" s="281"/>
      <c r="N492" s="281"/>
      <c r="O492" s="281"/>
      <c r="P492" s="281"/>
      <c r="Q492" s="186"/>
      <c r="R492" s="186"/>
      <c r="S492" s="186"/>
      <c r="U492" s="186"/>
    </row>
    <row r="493" spans="9:21">
      <c r="I493" s="281"/>
      <c r="J493" s="281"/>
      <c r="K493" s="281"/>
      <c r="L493" s="281"/>
      <c r="M493" s="281"/>
      <c r="N493" s="281"/>
      <c r="O493" s="281"/>
      <c r="P493" s="281"/>
      <c r="Q493" s="186"/>
      <c r="R493" s="186"/>
      <c r="S493" s="186"/>
      <c r="U493" s="186"/>
    </row>
    <row r="494" spans="9:21">
      <c r="I494" s="281"/>
      <c r="J494" s="281"/>
      <c r="K494" s="281"/>
      <c r="L494" s="281"/>
      <c r="M494" s="281"/>
      <c r="N494" s="281"/>
      <c r="O494" s="281"/>
      <c r="P494" s="281"/>
      <c r="Q494" s="186"/>
      <c r="R494" s="186"/>
      <c r="S494" s="186"/>
      <c r="U494" s="186"/>
    </row>
    <row r="495" spans="9:21">
      <c r="I495" s="281"/>
      <c r="J495" s="281"/>
      <c r="K495" s="281"/>
      <c r="L495" s="281"/>
      <c r="M495" s="281"/>
      <c r="N495" s="281"/>
      <c r="O495" s="281"/>
      <c r="P495" s="281"/>
      <c r="Q495" s="186"/>
      <c r="R495" s="186"/>
      <c r="S495" s="186"/>
      <c r="U495" s="186"/>
    </row>
    <row r="496" spans="9:21">
      <c r="I496" s="281"/>
      <c r="J496" s="281"/>
      <c r="K496" s="281"/>
      <c r="L496" s="281"/>
      <c r="M496" s="281"/>
      <c r="N496" s="281"/>
      <c r="O496" s="281"/>
      <c r="P496" s="281"/>
      <c r="Q496" s="186"/>
      <c r="R496" s="186"/>
      <c r="S496" s="186"/>
      <c r="U496" s="186"/>
    </row>
    <row r="497" spans="9:21">
      <c r="I497" s="281"/>
      <c r="J497" s="281"/>
      <c r="K497" s="281"/>
      <c r="L497" s="281"/>
      <c r="M497" s="281"/>
      <c r="N497" s="281"/>
      <c r="O497" s="281"/>
      <c r="P497" s="281"/>
      <c r="Q497" s="186"/>
      <c r="R497" s="186"/>
      <c r="S497" s="186"/>
      <c r="U497" s="186"/>
    </row>
    <row r="498" spans="9:21">
      <c r="I498" s="281"/>
      <c r="J498" s="281"/>
      <c r="K498" s="281"/>
      <c r="L498" s="281"/>
      <c r="M498" s="281"/>
      <c r="N498" s="281"/>
      <c r="O498" s="281"/>
      <c r="P498" s="281"/>
      <c r="Q498" s="186"/>
      <c r="R498" s="186"/>
      <c r="S498" s="186"/>
      <c r="U498" s="186"/>
    </row>
    <row r="499" spans="9:21">
      <c r="I499" s="281"/>
      <c r="J499" s="281"/>
      <c r="K499" s="281"/>
      <c r="L499" s="281"/>
      <c r="M499" s="281"/>
      <c r="N499" s="281"/>
      <c r="O499" s="281"/>
      <c r="P499" s="281"/>
      <c r="Q499" s="186"/>
      <c r="R499" s="186"/>
      <c r="S499" s="186"/>
      <c r="U499" s="186"/>
    </row>
    <row r="500" spans="9:21">
      <c r="I500" s="281"/>
      <c r="J500" s="281"/>
      <c r="K500" s="281"/>
      <c r="L500" s="281"/>
      <c r="M500" s="281"/>
      <c r="N500" s="281"/>
      <c r="O500" s="281"/>
      <c r="P500" s="281"/>
      <c r="Q500" s="186"/>
      <c r="R500" s="186"/>
      <c r="S500" s="186"/>
      <c r="U500" s="186"/>
    </row>
    <row r="501" spans="9:21">
      <c r="I501" s="281"/>
      <c r="J501" s="281"/>
      <c r="K501" s="281"/>
      <c r="L501" s="281"/>
      <c r="M501" s="281"/>
      <c r="N501" s="281"/>
      <c r="O501" s="281"/>
      <c r="P501" s="281"/>
      <c r="Q501" s="186"/>
      <c r="R501" s="186"/>
      <c r="S501" s="186"/>
      <c r="U501" s="186"/>
    </row>
    <row r="502" spans="9:21">
      <c r="I502" s="281"/>
      <c r="J502" s="281"/>
      <c r="K502" s="281"/>
      <c r="L502" s="281"/>
      <c r="M502" s="281"/>
      <c r="N502" s="281"/>
      <c r="O502" s="281"/>
      <c r="P502" s="281"/>
      <c r="Q502" s="186"/>
      <c r="R502" s="186"/>
      <c r="S502" s="186"/>
      <c r="U502" s="186"/>
    </row>
    <row r="503" spans="9:21">
      <c r="I503" s="281"/>
      <c r="J503" s="281"/>
      <c r="K503" s="281"/>
      <c r="L503" s="281"/>
      <c r="M503" s="281"/>
      <c r="N503" s="281"/>
      <c r="O503" s="281"/>
      <c r="P503" s="281"/>
      <c r="Q503" s="186"/>
      <c r="R503" s="186"/>
      <c r="S503" s="186"/>
      <c r="U503" s="186"/>
    </row>
    <row r="504" spans="9:21">
      <c r="I504" s="281"/>
      <c r="J504" s="281"/>
      <c r="K504" s="281"/>
      <c r="L504" s="281"/>
      <c r="M504" s="281"/>
      <c r="N504" s="281"/>
      <c r="O504" s="281"/>
      <c r="P504" s="281"/>
      <c r="Q504" s="186"/>
      <c r="R504" s="186"/>
      <c r="S504" s="186"/>
      <c r="U504" s="186"/>
    </row>
    <row r="505" spans="9:21">
      <c r="I505" s="281"/>
      <c r="J505" s="281"/>
      <c r="K505" s="281"/>
      <c r="L505" s="281"/>
      <c r="M505" s="281"/>
      <c r="N505" s="281"/>
      <c r="O505" s="281"/>
      <c r="P505" s="281"/>
      <c r="Q505" s="186"/>
      <c r="R505" s="186"/>
      <c r="S505" s="186"/>
      <c r="U505" s="186"/>
    </row>
    <row r="506" spans="9:21">
      <c r="I506" s="281"/>
      <c r="J506" s="281"/>
      <c r="K506" s="281"/>
      <c r="L506" s="281"/>
      <c r="M506" s="281"/>
      <c r="N506" s="281"/>
      <c r="O506" s="281"/>
      <c r="P506" s="281"/>
      <c r="Q506" s="186"/>
      <c r="R506" s="186"/>
      <c r="S506" s="186"/>
      <c r="U506" s="186"/>
    </row>
    <row r="507" spans="9:21">
      <c r="I507" s="281"/>
      <c r="J507" s="281"/>
      <c r="K507" s="281"/>
      <c r="L507" s="281"/>
      <c r="M507" s="281"/>
      <c r="N507" s="281"/>
      <c r="O507" s="281"/>
      <c r="P507" s="281"/>
      <c r="Q507" s="186"/>
      <c r="R507" s="186"/>
      <c r="S507" s="186"/>
      <c r="U507" s="186"/>
    </row>
    <row r="508" spans="9:21">
      <c r="I508" s="281"/>
      <c r="J508" s="281"/>
      <c r="K508" s="281"/>
      <c r="L508" s="281"/>
      <c r="M508" s="281"/>
      <c r="N508" s="281"/>
      <c r="O508" s="281"/>
      <c r="P508" s="281"/>
      <c r="Q508" s="186"/>
      <c r="R508" s="186"/>
      <c r="S508" s="186"/>
      <c r="U508" s="186"/>
    </row>
    <row r="509" spans="9:21">
      <c r="I509" s="281"/>
      <c r="J509" s="281"/>
      <c r="K509" s="281"/>
      <c r="L509" s="281"/>
      <c r="M509" s="281"/>
      <c r="N509" s="281"/>
      <c r="O509" s="281"/>
      <c r="P509" s="281"/>
      <c r="Q509" s="186"/>
      <c r="R509" s="186"/>
      <c r="S509" s="186"/>
      <c r="U509" s="186"/>
    </row>
    <row r="510" spans="9:21">
      <c r="I510" s="281"/>
      <c r="J510" s="281"/>
      <c r="K510" s="281"/>
      <c r="L510" s="281"/>
      <c r="M510" s="281"/>
      <c r="N510" s="281"/>
      <c r="O510" s="281"/>
      <c r="P510" s="281"/>
      <c r="Q510" s="186"/>
      <c r="R510" s="186"/>
      <c r="S510" s="186"/>
      <c r="U510" s="186"/>
    </row>
    <row r="511" spans="9:21">
      <c r="I511" s="281"/>
      <c r="J511" s="281"/>
      <c r="K511" s="281"/>
      <c r="L511" s="281"/>
      <c r="M511" s="281"/>
      <c r="N511" s="281"/>
      <c r="O511" s="281"/>
      <c r="P511" s="281"/>
      <c r="Q511" s="186"/>
      <c r="R511" s="186"/>
      <c r="S511" s="186"/>
      <c r="U511" s="186"/>
    </row>
    <row r="512" spans="9:21">
      <c r="I512" s="281"/>
      <c r="J512" s="281"/>
      <c r="K512" s="281"/>
      <c r="L512" s="281"/>
      <c r="M512" s="281"/>
      <c r="N512" s="281"/>
      <c r="O512" s="281"/>
      <c r="P512" s="281"/>
      <c r="Q512" s="186"/>
      <c r="R512" s="186"/>
      <c r="S512" s="186"/>
      <c r="U512" s="186"/>
    </row>
    <row r="513" spans="9:21">
      <c r="I513" s="281"/>
      <c r="J513" s="281"/>
      <c r="K513" s="281"/>
      <c r="L513" s="281"/>
      <c r="M513" s="281"/>
      <c r="N513" s="281"/>
      <c r="O513" s="281"/>
      <c r="P513" s="281"/>
      <c r="Q513" s="186"/>
      <c r="R513" s="186"/>
      <c r="S513" s="186"/>
      <c r="U513" s="186"/>
    </row>
    <row r="514" spans="9:21">
      <c r="I514" s="281"/>
      <c r="J514" s="281"/>
      <c r="K514" s="281"/>
      <c r="L514" s="281"/>
      <c r="M514" s="281"/>
      <c r="N514" s="281"/>
      <c r="O514" s="281"/>
      <c r="P514" s="281"/>
      <c r="Q514" s="186"/>
      <c r="R514" s="186"/>
      <c r="S514" s="186"/>
      <c r="U514" s="186"/>
    </row>
    <row r="515" spans="9:21">
      <c r="I515" s="281"/>
      <c r="J515" s="281"/>
      <c r="K515" s="281"/>
      <c r="L515" s="281"/>
      <c r="M515" s="281"/>
      <c r="N515" s="281"/>
      <c r="O515" s="281"/>
      <c r="P515" s="281"/>
      <c r="Q515" s="186"/>
      <c r="R515" s="186"/>
      <c r="S515" s="186"/>
      <c r="U515" s="186"/>
    </row>
    <row r="516" spans="9:21">
      <c r="I516" s="281"/>
      <c r="J516" s="281"/>
      <c r="K516" s="281"/>
      <c r="L516" s="281"/>
      <c r="M516" s="281"/>
      <c r="N516" s="281"/>
      <c r="O516" s="281"/>
      <c r="P516" s="281"/>
      <c r="Q516" s="186"/>
      <c r="R516" s="186"/>
      <c r="S516" s="186"/>
      <c r="U516" s="186"/>
    </row>
    <row r="517" spans="9:21">
      <c r="I517" s="281"/>
      <c r="J517" s="281"/>
      <c r="K517" s="281"/>
      <c r="L517" s="281"/>
      <c r="M517" s="281"/>
      <c r="N517" s="281"/>
      <c r="O517" s="281"/>
      <c r="P517" s="281"/>
      <c r="Q517" s="186"/>
      <c r="R517" s="186"/>
      <c r="S517" s="186"/>
      <c r="U517" s="186"/>
    </row>
    <row r="518" spans="9:21">
      <c r="I518" s="281"/>
      <c r="J518" s="281"/>
      <c r="K518" s="281"/>
      <c r="L518" s="281"/>
      <c r="M518" s="281"/>
      <c r="N518" s="281"/>
      <c r="O518" s="281"/>
      <c r="P518" s="281"/>
      <c r="Q518" s="186"/>
      <c r="R518" s="186"/>
      <c r="S518" s="186"/>
      <c r="U518" s="186"/>
    </row>
    <row r="519" spans="9:21">
      <c r="I519" s="281"/>
      <c r="J519" s="281"/>
      <c r="K519" s="281"/>
      <c r="L519" s="281"/>
      <c r="M519" s="281"/>
      <c r="N519" s="281"/>
      <c r="O519" s="281"/>
      <c r="P519" s="281"/>
      <c r="Q519" s="186"/>
      <c r="R519" s="186"/>
      <c r="S519" s="186"/>
      <c r="U519" s="186"/>
    </row>
    <row r="520" spans="9:21">
      <c r="I520" s="281"/>
      <c r="J520" s="281"/>
      <c r="K520" s="281"/>
      <c r="L520" s="281"/>
      <c r="M520" s="281"/>
      <c r="N520" s="281"/>
      <c r="O520" s="281"/>
      <c r="P520" s="281"/>
      <c r="Q520" s="186"/>
      <c r="R520" s="186"/>
      <c r="S520" s="186"/>
      <c r="U520" s="186"/>
    </row>
    <row r="521" spans="9:21">
      <c r="I521" s="281"/>
      <c r="J521" s="281"/>
      <c r="K521" s="281"/>
      <c r="L521" s="281"/>
      <c r="M521" s="281"/>
      <c r="N521" s="281"/>
      <c r="O521" s="281"/>
      <c r="P521" s="281"/>
      <c r="Q521" s="186"/>
      <c r="R521" s="186"/>
      <c r="S521" s="186"/>
      <c r="U521" s="186"/>
    </row>
    <row r="522" spans="9:21">
      <c r="I522" s="281"/>
      <c r="J522" s="281"/>
      <c r="K522" s="281"/>
      <c r="L522" s="281"/>
      <c r="M522" s="281"/>
      <c r="N522" s="281"/>
      <c r="O522" s="281"/>
      <c r="P522" s="281"/>
      <c r="Q522" s="186"/>
      <c r="R522" s="186"/>
      <c r="S522" s="186"/>
      <c r="U522" s="186"/>
    </row>
    <row r="523" spans="9:21">
      <c r="I523" s="281"/>
      <c r="J523" s="281"/>
      <c r="K523" s="281"/>
      <c r="L523" s="281"/>
      <c r="M523" s="281"/>
      <c r="N523" s="281"/>
      <c r="O523" s="281"/>
      <c r="P523" s="281"/>
      <c r="Q523" s="186"/>
      <c r="R523" s="186"/>
      <c r="S523" s="186"/>
      <c r="U523" s="186"/>
    </row>
    <row r="524" spans="9:21">
      <c r="I524" s="281"/>
      <c r="J524" s="281"/>
      <c r="K524" s="281"/>
      <c r="L524" s="281"/>
      <c r="M524" s="281"/>
      <c r="N524" s="281"/>
      <c r="O524" s="281"/>
      <c r="P524" s="281"/>
      <c r="Q524" s="186"/>
      <c r="R524" s="186"/>
      <c r="S524" s="186"/>
      <c r="U524" s="186"/>
    </row>
    <row r="525" spans="9:21">
      <c r="I525" s="281"/>
      <c r="J525" s="281"/>
      <c r="K525" s="281"/>
      <c r="L525" s="281"/>
      <c r="M525" s="281"/>
      <c r="N525" s="281"/>
      <c r="O525" s="281"/>
      <c r="P525" s="281"/>
      <c r="Q525" s="186"/>
      <c r="R525" s="186"/>
      <c r="S525" s="186"/>
      <c r="U525" s="186"/>
    </row>
    <row r="526" spans="9:21">
      <c r="I526" s="281"/>
      <c r="J526" s="281"/>
      <c r="K526" s="281"/>
      <c r="L526" s="281"/>
      <c r="M526" s="281"/>
      <c r="N526" s="281"/>
      <c r="O526" s="281"/>
      <c r="P526" s="281"/>
      <c r="Q526" s="186"/>
      <c r="R526" s="186"/>
      <c r="S526" s="186"/>
      <c r="U526" s="186"/>
    </row>
    <row r="527" spans="9:21">
      <c r="I527" s="281"/>
      <c r="J527" s="281"/>
      <c r="K527" s="281"/>
      <c r="L527" s="281"/>
      <c r="M527" s="281"/>
      <c r="N527" s="281"/>
      <c r="O527" s="281"/>
      <c r="P527" s="281"/>
      <c r="Q527" s="186"/>
      <c r="R527" s="186"/>
      <c r="S527" s="186"/>
      <c r="U527" s="186"/>
    </row>
    <row r="528" spans="9:21">
      <c r="I528" s="281"/>
      <c r="J528" s="281"/>
      <c r="K528" s="281"/>
      <c r="L528" s="281"/>
      <c r="M528" s="281"/>
      <c r="N528" s="281"/>
      <c r="O528" s="281"/>
      <c r="P528" s="281"/>
      <c r="Q528" s="186"/>
      <c r="R528" s="186"/>
      <c r="S528" s="186"/>
      <c r="U528" s="186"/>
    </row>
    <row r="529" spans="9:21">
      <c r="I529" s="281"/>
      <c r="J529" s="281"/>
      <c r="K529" s="281"/>
      <c r="L529" s="281"/>
      <c r="M529" s="281"/>
      <c r="N529" s="281"/>
      <c r="O529" s="281"/>
      <c r="P529" s="281"/>
      <c r="Q529" s="186"/>
      <c r="R529" s="186"/>
      <c r="S529" s="186"/>
      <c r="U529" s="186"/>
    </row>
    <row r="530" spans="9:21">
      <c r="I530" s="281"/>
      <c r="J530" s="281"/>
      <c r="K530" s="281"/>
      <c r="L530" s="281"/>
      <c r="M530" s="281"/>
      <c r="N530" s="281"/>
      <c r="O530" s="281"/>
      <c r="P530" s="281"/>
      <c r="Q530" s="186"/>
      <c r="R530" s="186"/>
      <c r="S530" s="186"/>
      <c r="U530" s="186"/>
    </row>
    <row r="531" spans="9:21">
      <c r="I531" s="281"/>
      <c r="J531" s="281"/>
      <c r="K531" s="281"/>
      <c r="L531" s="281"/>
      <c r="M531" s="281"/>
      <c r="N531" s="281"/>
      <c r="O531" s="281"/>
      <c r="P531" s="281"/>
      <c r="Q531" s="186"/>
      <c r="R531" s="186"/>
      <c r="S531" s="186"/>
      <c r="U531" s="186"/>
    </row>
    <row r="532" spans="9:21">
      <c r="I532" s="281"/>
      <c r="J532" s="281"/>
      <c r="K532" s="281"/>
      <c r="L532" s="281"/>
      <c r="M532" s="281"/>
      <c r="N532" s="281"/>
      <c r="O532" s="281"/>
      <c r="P532" s="281"/>
      <c r="Q532" s="186"/>
      <c r="R532" s="186"/>
      <c r="S532" s="186"/>
      <c r="U532" s="186"/>
    </row>
    <row r="533" spans="9:21">
      <c r="I533" s="281"/>
      <c r="J533" s="281"/>
      <c r="K533" s="281"/>
      <c r="L533" s="281"/>
      <c r="M533" s="281"/>
      <c r="N533" s="281"/>
      <c r="O533" s="281"/>
      <c r="P533" s="281"/>
      <c r="Q533" s="186"/>
      <c r="R533" s="186"/>
      <c r="S533" s="186"/>
      <c r="U533" s="186"/>
    </row>
    <row r="534" spans="9:21">
      <c r="I534" s="281"/>
      <c r="J534" s="281"/>
      <c r="K534" s="281"/>
      <c r="L534" s="281"/>
      <c r="M534" s="281"/>
      <c r="N534" s="281"/>
      <c r="O534" s="281"/>
      <c r="P534" s="281"/>
      <c r="Q534" s="186"/>
      <c r="R534" s="186"/>
      <c r="S534" s="186"/>
      <c r="U534" s="186"/>
    </row>
    <row r="535" spans="9:21">
      <c r="I535" s="281"/>
      <c r="J535" s="281"/>
      <c r="K535" s="281"/>
      <c r="L535" s="281"/>
      <c r="M535" s="281"/>
      <c r="N535" s="281"/>
      <c r="O535" s="281"/>
      <c r="P535" s="281"/>
      <c r="Q535" s="186"/>
      <c r="R535" s="186"/>
      <c r="S535" s="186"/>
      <c r="U535" s="186"/>
    </row>
    <row r="536" spans="9:21">
      <c r="I536" s="281"/>
      <c r="J536" s="281"/>
      <c r="K536" s="281"/>
      <c r="L536" s="281"/>
      <c r="M536" s="281"/>
      <c r="N536" s="281"/>
      <c r="O536" s="281"/>
      <c r="P536" s="281"/>
      <c r="Q536" s="186"/>
      <c r="R536" s="186"/>
      <c r="S536" s="186"/>
      <c r="U536" s="186"/>
    </row>
    <row r="537" spans="9:21">
      <c r="I537" s="281"/>
      <c r="J537" s="281"/>
      <c r="K537" s="281"/>
      <c r="L537" s="281"/>
      <c r="M537" s="281"/>
      <c r="N537" s="281"/>
      <c r="O537" s="281"/>
      <c r="P537" s="281"/>
      <c r="Q537" s="186"/>
      <c r="R537" s="186"/>
      <c r="S537" s="186"/>
      <c r="U537" s="186"/>
    </row>
    <row r="538" spans="9:21">
      <c r="I538" s="281"/>
      <c r="J538" s="281"/>
      <c r="K538" s="281"/>
      <c r="L538" s="281"/>
      <c r="M538" s="281"/>
      <c r="N538" s="281"/>
      <c r="O538" s="281"/>
      <c r="P538" s="281"/>
      <c r="Q538" s="186"/>
      <c r="R538" s="186"/>
      <c r="S538" s="186"/>
      <c r="U538" s="186"/>
    </row>
    <row r="539" spans="9:21">
      <c r="I539" s="281"/>
      <c r="J539" s="281"/>
      <c r="K539" s="281"/>
      <c r="L539" s="281"/>
      <c r="M539" s="281"/>
      <c r="N539" s="281"/>
      <c r="O539" s="281"/>
      <c r="P539" s="281"/>
      <c r="Q539" s="186"/>
      <c r="R539" s="186"/>
      <c r="S539" s="186"/>
      <c r="U539" s="186"/>
    </row>
    <row r="540" spans="9:21">
      <c r="I540" s="281"/>
      <c r="J540" s="281"/>
      <c r="K540" s="281"/>
      <c r="L540" s="281"/>
      <c r="M540" s="281"/>
      <c r="N540" s="281"/>
      <c r="O540" s="281"/>
      <c r="P540" s="281"/>
      <c r="Q540" s="186"/>
      <c r="R540" s="186"/>
      <c r="S540" s="186"/>
      <c r="U540" s="186"/>
    </row>
    <row r="541" spans="9:21">
      <c r="I541" s="281"/>
      <c r="J541" s="281"/>
      <c r="K541" s="281"/>
      <c r="L541" s="281"/>
      <c r="M541" s="281"/>
      <c r="N541" s="281"/>
      <c r="O541" s="281"/>
      <c r="P541" s="281"/>
      <c r="Q541" s="186"/>
      <c r="R541" s="186"/>
      <c r="S541" s="186"/>
      <c r="U541" s="186"/>
    </row>
    <row r="542" spans="9:21">
      <c r="I542" s="281"/>
      <c r="J542" s="281"/>
      <c r="K542" s="281"/>
      <c r="L542" s="281"/>
      <c r="M542" s="281"/>
      <c r="N542" s="281"/>
      <c r="O542" s="281"/>
      <c r="P542" s="281"/>
      <c r="Q542" s="186"/>
      <c r="R542" s="186"/>
      <c r="S542" s="186"/>
      <c r="U542" s="186"/>
    </row>
    <row r="543" spans="9:21">
      <c r="I543" s="281"/>
      <c r="J543" s="281"/>
      <c r="K543" s="281"/>
      <c r="L543" s="281"/>
      <c r="M543" s="281"/>
      <c r="N543" s="281"/>
      <c r="O543" s="281"/>
      <c r="P543" s="281"/>
      <c r="Q543" s="186"/>
      <c r="R543" s="186"/>
      <c r="S543" s="186"/>
      <c r="U543" s="186"/>
    </row>
    <row r="544" spans="9:21">
      <c r="I544" s="281"/>
      <c r="J544" s="281"/>
      <c r="K544" s="281"/>
      <c r="L544" s="281"/>
      <c r="M544" s="281"/>
      <c r="N544" s="281"/>
      <c r="O544" s="281"/>
      <c r="P544" s="281"/>
      <c r="Q544" s="186"/>
      <c r="R544" s="186"/>
      <c r="S544" s="186"/>
      <c r="U544" s="186"/>
    </row>
    <row r="545" spans="9:21">
      <c r="I545" s="281"/>
      <c r="J545" s="281"/>
      <c r="K545" s="281"/>
      <c r="L545" s="281"/>
      <c r="M545" s="281"/>
      <c r="N545" s="281"/>
      <c r="O545" s="281"/>
      <c r="P545" s="281"/>
      <c r="Q545" s="186"/>
      <c r="R545" s="186"/>
      <c r="S545" s="186"/>
      <c r="U545" s="186"/>
    </row>
    <row r="546" spans="9:21">
      <c r="I546" s="281"/>
      <c r="J546" s="281"/>
      <c r="K546" s="281"/>
      <c r="L546" s="281"/>
      <c r="M546" s="281"/>
      <c r="N546" s="281"/>
      <c r="O546" s="281"/>
      <c r="P546" s="281"/>
      <c r="Q546" s="186"/>
      <c r="R546" s="186"/>
      <c r="S546" s="186"/>
      <c r="U546" s="186"/>
    </row>
    <row r="547" spans="9:21">
      <c r="I547" s="281"/>
      <c r="J547" s="281"/>
      <c r="K547" s="281"/>
      <c r="L547" s="281"/>
      <c r="M547" s="281"/>
      <c r="N547" s="281"/>
      <c r="O547" s="281"/>
      <c r="P547" s="281"/>
      <c r="Q547" s="186"/>
      <c r="R547" s="186"/>
      <c r="S547" s="186"/>
      <c r="U547" s="186"/>
    </row>
    <row r="548" spans="9:21">
      <c r="I548" s="281"/>
      <c r="J548" s="281"/>
      <c r="K548" s="281"/>
      <c r="L548" s="281"/>
      <c r="M548" s="281"/>
      <c r="N548" s="281"/>
      <c r="O548" s="281"/>
      <c r="P548" s="281"/>
      <c r="Q548" s="186"/>
      <c r="R548" s="186"/>
      <c r="S548" s="186"/>
      <c r="U548" s="186"/>
    </row>
    <row r="549" spans="9:21">
      <c r="I549" s="281"/>
      <c r="J549" s="281"/>
      <c r="K549" s="281"/>
      <c r="L549" s="281"/>
      <c r="M549" s="281"/>
      <c r="N549" s="281"/>
      <c r="O549" s="281"/>
      <c r="P549" s="281"/>
      <c r="Q549" s="186"/>
      <c r="R549" s="186"/>
      <c r="S549" s="186"/>
      <c r="U549" s="186"/>
    </row>
    <row r="550" spans="9:21">
      <c r="I550" s="281"/>
      <c r="J550" s="281"/>
      <c r="K550" s="281"/>
      <c r="L550" s="281"/>
      <c r="M550" s="281"/>
      <c r="N550" s="281"/>
      <c r="O550" s="281"/>
      <c r="P550" s="281"/>
      <c r="Q550" s="186"/>
      <c r="R550" s="186"/>
      <c r="S550" s="186"/>
      <c r="U550" s="186"/>
    </row>
    <row r="551" spans="9:21">
      <c r="I551" s="281"/>
      <c r="J551" s="281"/>
      <c r="K551" s="281"/>
      <c r="L551" s="281"/>
      <c r="M551" s="281"/>
      <c r="N551" s="281"/>
      <c r="O551" s="281"/>
      <c r="P551" s="281"/>
      <c r="Q551" s="186"/>
      <c r="R551" s="186"/>
      <c r="S551" s="186"/>
      <c r="U551" s="186"/>
    </row>
    <row r="552" spans="9:21">
      <c r="I552" s="281"/>
      <c r="J552" s="281"/>
      <c r="K552" s="281"/>
      <c r="L552" s="281"/>
      <c r="M552" s="281"/>
      <c r="N552" s="281"/>
      <c r="O552" s="281"/>
      <c r="P552" s="281"/>
      <c r="Q552" s="186"/>
      <c r="R552" s="186"/>
      <c r="S552" s="186"/>
      <c r="U552" s="186"/>
    </row>
    <row r="553" spans="9:21">
      <c r="I553" s="281"/>
      <c r="J553" s="281"/>
      <c r="K553" s="281"/>
      <c r="L553" s="281"/>
      <c r="M553" s="281"/>
      <c r="N553" s="281"/>
      <c r="O553" s="281"/>
      <c r="P553" s="281"/>
      <c r="Q553" s="186"/>
      <c r="R553" s="186"/>
      <c r="S553" s="186"/>
      <c r="U553" s="186"/>
    </row>
    <row r="554" spans="9:21">
      <c r="I554" s="281"/>
      <c r="J554" s="281"/>
      <c r="K554" s="281"/>
      <c r="L554" s="281"/>
      <c r="M554" s="281"/>
      <c r="N554" s="281"/>
      <c r="O554" s="281"/>
      <c r="P554" s="281"/>
      <c r="Q554" s="186"/>
      <c r="R554" s="186"/>
      <c r="S554" s="186"/>
      <c r="U554" s="186"/>
    </row>
    <row r="555" spans="9:21">
      <c r="I555" s="281"/>
      <c r="J555" s="281"/>
      <c r="K555" s="281"/>
      <c r="L555" s="281"/>
      <c r="M555" s="281"/>
      <c r="N555" s="281"/>
      <c r="O555" s="281"/>
      <c r="P555" s="281"/>
      <c r="Q555" s="186"/>
      <c r="R555" s="186"/>
      <c r="S555" s="186"/>
      <c r="U555" s="186"/>
    </row>
    <row r="556" spans="9:21">
      <c r="I556" s="281"/>
      <c r="J556" s="281"/>
      <c r="K556" s="281"/>
      <c r="L556" s="281"/>
      <c r="M556" s="281"/>
      <c r="N556" s="281"/>
      <c r="O556" s="281"/>
      <c r="P556" s="281"/>
      <c r="Q556" s="186"/>
      <c r="R556" s="186"/>
      <c r="S556" s="186"/>
      <c r="U556" s="186"/>
    </row>
    <row r="557" spans="9:21">
      <c r="I557" s="281"/>
      <c r="J557" s="281"/>
      <c r="K557" s="281"/>
      <c r="L557" s="281"/>
      <c r="M557" s="281"/>
      <c r="N557" s="281"/>
      <c r="O557" s="281"/>
      <c r="P557" s="281"/>
      <c r="Q557" s="186"/>
      <c r="R557" s="186"/>
      <c r="S557" s="186"/>
      <c r="U557" s="186"/>
    </row>
    <row r="558" spans="9:21">
      <c r="I558" s="281"/>
      <c r="J558" s="281"/>
      <c r="K558" s="281"/>
      <c r="L558" s="281"/>
      <c r="M558" s="281"/>
      <c r="N558" s="281"/>
      <c r="O558" s="281"/>
      <c r="P558" s="281"/>
      <c r="Q558" s="186"/>
      <c r="R558" s="186"/>
      <c r="S558" s="186"/>
      <c r="U558" s="186"/>
    </row>
    <row r="559" spans="9:21">
      <c r="I559" s="281"/>
      <c r="J559" s="281"/>
      <c r="K559" s="281"/>
      <c r="L559" s="281"/>
      <c r="M559" s="281"/>
      <c r="N559" s="281"/>
      <c r="O559" s="281"/>
      <c r="P559" s="281"/>
      <c r="Q559" s="186"/>
      <c r="R559" s="186"/>
      <c r="S559" s="186"/>
      <c r="U559" s="186"/>
    </row>
    <row r="560" spans="9:21">
      <c r="I560" s="281"/>
      <c r="J560" s="281"/>
      <c r="K560" s="281"/>
      <c r="L560" s="281"/>
      <c r="M560" s="281"/>
      <c r="N560" s="281"/>
      <c r="O560" s="281"/>
      <c r="P560" s="281"/>
      <c r="Q560" s="186"/>
      <c r="R560" s="186"/>
      <c r="S560" s="186"/>
      <c r="U560" s="186"/>
    </row>
    <row r="561" spans="9:21">
      <c r="I561" s="281"/>
      <c r="J561" s="281"/>
      <c r="K561" s="281"/>
      <c r="L561" s="281"/>
      <c r="M561" s="281"/>
      <c r="N561" s="281"/>
      <c r="O561" s="281"/>
      <c r="P561" s="281"/>
      <c r="Q561" s="186"/>
      <c r="R561" s="186"/>
      <c r="S561" s="186"/>
      <c r="U561" s="186"/>
    </row>
    <row r="562" spans="9:21">
      <c r="I562" s="281"/>
      <c r="J562" s="281"/>
      <c r="K562" s="281"/>
      <c r="L562" s="281"/>
      <c r="M562" s="281"/>
      <c r="N562" s="281"/>
      <c r="O562" s="281"/>
      <c r="P562" s="281"/>
      <c r="Q562" s="186"/>
      <c r="R562" s="186"/>
      <c r="S562" s="186"/>
      <c r="U562" s="186"/>
    </row>
    <row r="563" spans="9:21">
      <c r="I563" s="281"/>
      <c r="J563" s="281"/>
      <c r="K563" s="281"/>
      <c r="L563" s="281"/>
      <c r="M563" s="281"/>
      <c r="N563" s="281"/>
      <c r="O563" s="281"/>
      <c r="P563" s="281"/>
      <c r="Q563" s="186"/>
      <c r="R563" s="186"/>
      <c r="S563" s="186"/>
      <c r="U563" s="186"/>
    </row>
    <row r="564" spans="9:21">
      <c r="I564" s="281"/>
      <c r="J564" s="281"/>
      <c r="K564" s="281"/>
      <c r="L564" s="281"/>
      <c r="M564" s="281"/>
      <c r="N564" s="281"/>
      <c r="O564" s="281"/>
      <c r="P564" s="281"/>
      <c r="Q564" s="186"/>
      <c r="R564" s="186"/>
      <c r="S564" s="186"/>
      <c r="U564" s="186"/>
    </row>
    <row r="565" spans="9:21">
      <c r="I565" s="281"/>
      <c r="J565" s="281"/>
      <c r="K565" s="281"/>
      <c r="L565" s="281"/>
      <c r="M565" s="281"/>
      <c r="N565" s="281"/>
      <c r="O565" s="281"/>
      <c r="P565" s="281"/>
      <c r="Q565" s="186"/>
      <c r="R565" s="186"/>
      <c r="S565" s="186"/>
      <c r="U565" s="186"/>
    </row>
    <row r="566" spans="9:21">
      <c r="I566" s="281"/>
      <c r="J566" s="281"/>
      <c r="K566" s="281"/>
      <c r="L566" s="281"/>
      <c r="M566" s="281"/>
      <c r="N566" s="281"/>
      <c r="O566" s="281"/>
      <c r="P566" s="281"/>
      <c r="Q566" s="186"/>
      <c r="R566" s="186"/>
      <c r="S566" s="186"/>
      <c r="U566" s="186"/>
    </row>
    <row r="567" spans="9:21">
      <c r="I567" s="281"/>
      <c r="J567" s="281"/>
      <c r="K567" s="281"/>
      <c r="L567" s="281"/>
      <c r="M567" s="281"/>
      <c r="N567" s="281"/>
      <c r="O567" s="281"/>
      <c r="P567" s="281"/>
      <c r="Q567" s="186"/>
      <c r="R567" s="186"/>
      <c r="S567" s="186"/>
      <c r="U567" s="186"/>
    </row>
    <row r="568" spans="9:21">
      <c r="I568" s="281"/>
      <c r="J568" s="281"/>
      <c r="K568" s="281"/>
      <c r="L568" s="281"/>
      <c r="M568" s="281"/>
      <c r="N568" s="281"/>
      <c r="O568" s="281"/>
      <c r="P568" s="281"/>
      <c r="Q568" s="186"/>
      <c r="R568" s="186"/>
      <c r="S568" s="186"/>
      <c r="U568" s="186"/>
    </row>
    <row r="569" spans="9:21">
      <c r="I569" s="281"/>
      <c r="J569" s="281"/>
      <c r="K569" s="281"/>
      <c r="L569" s="281"/>
      <c r="M569" s="281"/>
      <c r="N569" s="281"/>
      <c r="O569" s="281"/>
      <c r="P569" s="281"/>
      <c r="Q569" s="186"/>
      <c r="R569" s="186"/>
      <c r="S569" s="186"/>
      <c r="U569" s="186"/>
    </row>
    <row r="570" spans="9:21">
      <c r="I570" s="281"/>
      <c r="J570" s="281"/>
      <c r="K570" s="281"/>
      <c r="L570" s="281"/>
      <c r="M570" s="281"/>
      <c r="N570" s="281"/>
      <c r="O570" s="281"/>
      <c r="P570" s="281"/>
      <c r="Q570" s="186"/>
      <c r="R570" s="186"/>
      <c r="S570" s="186"/>
      <c r="U570" s="186"/>
    </row>
    <row r="571" spans="9:21">
      <c r="I571" s="281"/>
      <c r="J571" s="281"/>
      <c r="K571" s="281"/>
      <c r="L571" s="281"/>
      <c r="M571" s="281"/>
      <c r="N571" s="281"/>
      <c r="O571" s="281"/>
      <c r="P571" s="281"/>
      <c r="Q571" s="186"/>
      <c r="R571" s="186"/>
      <c r="S571" s="186"/>
      <c r="U571" s="186"/>
    </row>
    <row r="572" spans="9:21">
      <c r="I572" s="281"/>
      <c r="J572" s="281"/>
      <c r="K572" s="281"/>
      <c r="L572" s="281"/>
      <c r="M572" s="281"/>
      <c r="N572" s="281"/>
      <c r="O572" s="281"/>
      <c r="P572" s="281"/>
      <c r="Q572" s="186"/>
      <c r="R572" s="186"/>
      <c r="S572" s="186"/>
      <c r="U572" s="186"/>
    </row>
    <row r="573" spans="9:21">
      <c r="I573" s="281"/>
      <c r="J573" s="281"/>
      <c r="K573" s="281"/>
      <c r="L573" s="281"/>
      <c r="M573" s="281"/>
      <c r="N573" s="281"/>
      <c r="O573" s="281"/>
      <c r="P573" s="281"/>
      <c r="Q573" s="186"/>
      <c r="R573" s="186"/>
      <c r="S573" s="186"/>
      <c r="U573" s="186"/>
    </row>
    <row r="574" spans="9:21">
      <c r="I574" s="281"/>
      <c r="J574" s="281"/>
      <c r="K574" s="281"/>
      <c r="L574" s="281"/>
      <c r="M574" s="281"/>
      <c r="N574" s="281"/>
      <c r="O574" s="281"/>
      <c r="P574" s="281"/>
      <c r="Q574" s="186"/>
      <c r="R574" s="186"/>
      <c r="S574" s="186"/>
      <c r="U574" s="186"/>
    </row>
    <row r="575" spans="9:21">
      <c r="I575" s="281"/>
      <c r="J575" s="281"/>
      <c r="K575" s="281"/>
      <c r="L575" s="281"/>
      <c r="M575" s="281"/>
      <c r="N575" s="281"/>
      <c r="O575" s="281"/>
      <c r="P575" s="281"/>
      <c r="Q575" s="186"/>
      <c r="R575" s="186"/>
      <c r="S575" s="186"/>
      <c r="U575" s="186"/>
    </row>
    <row r="576" spans="9:21">
      <c r="I576" s="281"/>
      <c r="J576" s="281"/>
      <c r="K576" s="281"/>
      <c r="L576" s="281"/>
      <c r="M576" s="281"/>
      <c r="N576" s="281"/>
      <c r="O576" s="281"/>
      <c r="P576" s="281"/>
      <c r="Q576" s="186"/>
      <c r="R576" s="186"/>
      <c r="S576" s="186"/>
      <c r="U576" s="186"/>
    </row>
    <row r="577" spans="9:21">
      <c r="I577" s="281"/>
      <c r="J577" s="281"/>
      <c r="K577" s="281"/>
      <c r="L577" s="281"/>
      <c r="M577" s="281"/>
      <c r="N577" s="281"/>
      <c r="O577" s="281"/>
      <c r="P577" s="281"/>
      <c r="Q577" s="186"/>
      <c r="R577" s="186"/>
      <c r="S577" s="186"/>
      <c r="U577" s="186"/>
    </row>
    <row r="578" spans="9:21">
      <c r="I578" s="281"/>
      <c r="J578" s="281"/>
      <c r="K578" s="281"/>
      <c r="L578" s="281"/>
      <c r="M578" s="281"/>
      <c r="N578" s="281"/>
      <c r="O578" s="281"/>
      <c r="P578" s="281"/>
      <c r="Q578" s="186"/>
      <c r="R578" s="186"/>
      <c r="S578" s="186"/>
      <c r="U578" s="186"/>
    </row>
    <row r="579" spans="9:21">
      <c r="I579" s="281"/>
      <c r="J579" s="281"/>
      <c r="K579" s="281"/>
      <c r="L579" s="281"/>
      <c r="M579" s="281"/>
      <c r="N579" s="281"/>
      <c r="O579" s="281"/>
      <c r="P579" s="281"/>
      <c r="Q579" s="186"/>
      <c r="R579" s="186"/>
      <c r="S579" s="186"/>
      <c r="U579" s="186"/>
    </row>
    <row r="580" spans="9:21">
      <c r="I580" s="281"/>
      <c r="J580" s="281"/>
      <c r="K580" s="281"/>
      <c r="L580" s="281"/>
      <c r="M580" s="281"/>
      <c r="N580" s="281"/>
      <c r="O580" s="281"/>
      <c r="P580" s="281"/>
      <c r="Q580" s="186"/>
      <c r="R580" s="186"/>
      <c r="S580" s="186"/>
      <c r="U580" s="186"/>
    </row>
    <row r="581" spans="9:21">
      <c r="I581" s="281"/>
      <c r="J581" s="281"/>
      <c r="K581" s="281"/>
      <c r="L581" s="281"/>
      <c r="M581" s="281"/>
      <c r="N581" s="281"/>
      <c r="O581" s="281"/>
      <c r="P581" s="281"/>
      <c r="Q581" s="186"/>
      <c r="R581" s="186"/>
      <c r="S581" s="186"/>
      <c r="U581" s="186"/>
    </row>
    <row r="582" spans="9:21">
      <c r="I582" s="281"/>
      <c r="J582" s="281"/>
      <c r="K582" s="281"/>
      <c r="L582" s="281"/>
      <c r="M582" s="281"/>
      <c r="N582" s="281"/>
      <c r="O582" s="281"/>
      <c r="P582" s="281"/>
      <c r="Q582" s="186"/>
      <c r="R582" s="186"/>
      <c r="S582" s="186"/>
      <c r="U582" s="186"/>
    </row>
    <row r="583" spans="9:21">
      <c r="I583" s="281"/>
      <c r="J583" s="281"/>
      <c r="K583" s="281"/>
      <c r="L583" s="281"/>
      <c r="M583" s="281"/>
      <c r="N583" s="281"/>
      <c r="O583" s="281"/>
      <c r="P583" s="281"/>
      <c r="Q583" s="186"/>
      <c r="R583" s="186"/>
      <c r="S583" s="186"/>
      <c r="U583" s="186"/>
    </row>
    <row r="584" spans="9:21">
      <c r="I584" s="281"/>
      <c r="J584" s="281"/>
      <c r="K584" s="281"/>
      <c r="L584" s="281"/>
      <c r="M584" s="281"/>
      <c r="N584" s="281"/>
      <c r="O584" s="281"/>
      <c r="P584" s="281"/>
      <c r="Q584" s="186"/>
      <c r="R584" s="186"/>
      <c r="S584" s="186"/>
      <c r="U584" s="186"/>
    </row>
    <row r="585" spans="9:21">
      <c r="I585" s="281"/>
      <c r="J585" s="281"/>
      <c r="K585" s="281"/>
      <c r="L585" s="281"/>
      <c r="M585" s="281"/>
      <c r="N585" s="281"/>
      <c r="O585" s="281"/>
      <c r="P585" s="281"/>
      <c r="Q585" s="186"/>
      <c r="R585" s="186"/>
      <c r="S585" s="186"/>
      <c r="U585" s="186"/>
    </row>
    <row r="586" spans="9:21">
      <c r="I586" s="281"/>
      <c r="J586" s="281"/>
      <c r="K586" s="281"/>
      <c r="L586" s="281"/>
      <c r="M586" s="281"/>
      <c r="N586" s="281"/>
      <c r="O586" s="281"/>
      <c r="P586" s="281"/>
      <c r="Q586" s="186"/>
      <c r="R586" s="186"/>
      <c r="S586" s="186"/>
      <c r="U586" s="186"/>
    </row>
    <row r="587" spans="9:21">
      <c r="I587" s="281"/>
      <c r="J587" s="281"/>
      <c r="K587" s="281"/>
      <c r="L587" s="281"/>
      <c r="M587" s="281"/>
      <c r="N587" s="281"/>
      <c r="O587" s="281"/>
      <c r="P587" s="281"/>
      <c r="Q587" s="186"/>
      <c r="R587" s="186"/>
      <c r="S587" s="186"/>
      <c r="U587" s="186"/>
    </row>
    <row r="588" spans="9:21">
      <c r="I588" s="281"/>
      <c r="J588" s="281"/>
      <c r="K588" s="281"/>
      <c r="L588" s="281"/>
      <c r="M588" s="281"/>
      <c r="N588" s="281"/>
      <c r="O588" s="281"/>
      <c r="P588" s="281"/>
      <c r="Q588" s="186"/>
      <c r="R588" s="186"/>
      <c r="S588" s="186"/>
      <c r="U588" s="186"/>
    </row>
    <row r="589" spans="9:21">
      <c r="I589" s="281"/>
      <c r="J589" s="281"/>
      <c r="K589" s="281"/>
      <c r="L589" s="281"/>
      <c r="M589" s="281"/>
      <c r="N589" s="281"/>
      <c r="O589" s="281"/>
      <c r="P589" s="281"/>
      <c r="Q589" s="186"/>
      <c r="R589" s="186"/>
      <c r="S589" s="186"/>
      <c r="U589" s="186"/>
    </row>
    <row r="590" spans="9:21">
      <c r="I590" s="281"/>
      <c r="J590" s="281"/>
      <c r="K590" s="281"/>
      <c r="L590" s="281"/>
      <c r="M590" s="281"/>
      <c r="N590" s="281"/>
      <c r="O590" s="281"/>
      <c r="P590" s="281"/>
      <c r="Q590" s="186"/>
      <c r="R590" s="186"/>
      <c r="S590" s="186"/>
      <c r="U590" s="186"/>
    </row>
    <row r="591" spans="9:21">
      <c r="I591" s="281"/>
      <c r="J591" s="281"/>
      <c r="K591" s="281"/>
      <c r="L591" s="281"/>
      <c r="M591" s="281"/>
      <c r="N591" s="281"/>
      <c r="O591" s="281"/>
      <c r="P591" s="281"/>
      <c r="Q591" s="186"/>
      <c r="R591" s="186"/>
      <c r="S591" s="186"/>
      <c r="U591" s="186"/>
    </row>
    <row r="592" spans="9:21">
      <c r="I592" s="281"/>
      <c r="J592" s="281"/>
      <c r="K592" s="281"/>
      <c r="L592" s="281"/>
      <c r="M592" s="281"/>
      <c r="N592" s="281"/>
      <c r="O592" s="281"/>
      <c r="P592" s="281"/>
      <c r="Q592" s="186"/>
      <c r="R592" s="186"/>
      <c r="S592" s="186"/>
      <c r="U592" s="186"/>
    </row>
    <row r="593" spans="9:21">
      <c r="I593" s="281"/>
      <c r="J593" s="281"/>
      <c r="K593" s="281"/>
      <c r="L593" s="281"/>
      <c r="M593" s="281"/>
      <c r="N593" s="281"/>
      <c r="O593" s="281"/>
      <c r="P593" s="281"/>
      <c r="Q593" s="186"/>
      <c r="R593" s="186"/>
      <c r="S593" s="186"/>
      <c r="U593" s="186"/>
    </row>
    <row r="594" spans="9:21">
      <c r="I594" s="281"/>
      <c r="J594" s="281"/>
      <c r="K594" s="281"/>
      <c r="L594" s="281"/>
      <c r="M594" s="281"/>
      <c r="N594" s="281"/>
      <c r="O594" s="281"/>
      <c r="P594" s="281"/>
      <c r="Q594" s="186"/>
      <c r="R594" s="186"/>
      <c r="S594" s="186"/>
      <c r="U594" s="186"/>
    </row>
    <row r="595" spans="9:21">
      <c r="I595" s="281"/>
      <c r="J595" s="281"/>
      <c r="K595" s="281"/>
      <c r="L595" s="281"/>
      <c r="M595" s="281"/>
      <c r="N595" s="281"/>
      <c r="O595" s="281"/>
      <c r="P595" s="281"/>
      <c r="Q595" s="186"/>
      <c r="R595" s="186"/>
      <c r="S595" s="186"/>
      <c r="U595" s="186"/>
    </row>
    <row r="596" spans="9:21">
      <c r="I596" s="281"/>
      <c r="J596" s="281"/>
      <c r="K596" s="281"/>
      <c r="L596" s="281"/>
      <c r="M596" s="281"/>
      <c r="N596" s="281"/>
      <c r="O596" s="281"/>
      <c r="P596" s="281"/>
      <c r="Q596" s="186"/>
      <c r="R596" s="186"/>
      <c r="S596" s="186"/>
      <c r="U596" s="186"/>
    </row>
    <row r="597" spans="9:21">
      <c r="I597" s="281"/>
      <c r="J597" s="281"/>
      <c r="K597" s="281"/>
      <c r="L597" s="281"/>
      <c r="M597" s="281"/>
      <c r="N597" s="281"/>
      <c r="O597" s="281"/>
      <c r="P597" s="281"/>
      <c r="Q597" s="186"/>
      <c r="R597" s="186"/>
      <c r="S597" s="186"/>
      <c r="U597" s="186"/>
    </row>
    <row r="598" spans="9:21">
      <c r="I598" s="281"/>
      <c r="J598" s="281"/>
      <c r="K598" s="281"/>
      <c r="L598" s="281"/>
      <c r="M598" s="281"/>
      <c r="N598" s="281"/>
      <c r="O598" s="281"/>
      <c r="P598" s="281"/>
      <c r="Q598" s="186"/>
      <c r="R598" s="186"/>
      <c r="S598" s="186"/>
      <c r="U598" s="186"/>
    </row>
    <row r="599" spans="9:21">
      <c r="I599" s="281"/>
      <c r="J599" s="281"/>
      <c r="K599" s="281"/>
      <c r="L599" s="281"/>
      <c r="M599" s="281"/>
      <c r="N599" s="281"/>
      <c r="O599" s="281"/>
      <c r="P599" s="281"/>
      <c r="Q599" s="186"/>
      <c r="R599" s="186"/>
      <c r="S599" s="186"/>
      <c r="U599" s="186"/>
    </row>
    <row r="600" spans="9:21">
      <c r="I600" s="281"/>
      <c r="J600" s="281"/>
      <c r="K600" s="281"/>
      <c r="L600" s="281"/>
      <c r="M600" s="281"/>
      <c r="N600" s="281"/>
      <c r="O600" s="281"/>
      <c r="P600" s="281"/>
      <c r="Q600" s="186"/>
      <c r="R600" s="186"/>
      <c r="S600" s="186"/>
      <c r="U600" s="186"/>
    </row>
    <row r="601" spans="9:21">
      <c r="I601" s="281"/>
      <c r="J601" s="281"/>
      <c r="K601" s="281"/>
      <c r="L601" s="281"/>
      <c r="M601" s="281"/>
      <c r="N601" s="281"/>
      <c r="O601" s="281"/>
      <c r="P601" s="281"/>
      <c r="Q601" s="186"/>
      <c r="R601" s="186"/>
      <c r="S601" s="186"/>
      <c r="U601" s="186"/>
    </row>
    <row r="602" spans="9:21">
      <c r="I602" s="281"/>
      <c r="J602" s="281"/>
      <c r="K602" s="281"/>
      <c r="L602" s="281"/>
      <c r="M602" s="281"/>
      <c r="N602" s="281"/>
      <c r="O602" s="281"/>
      <c r="P602" s="281"/>
      <c r="Q602" s="186"/>
      <c r="R602" s="186"/>
      <c r="S602" s="186"/>
      <c r="U602" s="186"/>
    </row>
    <row r="603" spans="9:21">
      <c r="I603" s="281"/>
      <c r="J603" s="281"/>
      <c r="K603" s="281"/>
      <c r="L603" s="281"/>
      <c r="M603" s="281"/>
      <c r="N603" s="281"/>
      <c r="O603" s="281"/>
      <c r="P603" s="281"/>
      <c r="Q603" s="186"/>
      <c r="R603" s="186"/>
      <c r="S603" s="186"/>
      <c r="U603" s="186"/>
    </row>
    <row r="604" spans="9:21">
      <c r="I604" s="281"/>
      <c r="J604" s="281"/>
      <c r="K604" s="281"/>
      <c r="L604" s="281"/>
      <c r="M604" s="281"/>
      <c r="N604" s="281"/>
      <c r="O604" s="281"/>
      <c r="P604" s="281"/>
      <c r="Q604" s="186"/>
      <c r="R604" s="186"/>
      <c r="S604" s="186"/>
      <c r="U604" s="186"/>
    </row>
    <row r="605" spans="9:21">
      <c r="I605" s="281"/>
      <c r="J605" s="281"/>
      <c r="K605" s="281"/>
      <c r="L605" s="281"/>
      <c r="M605" s="281"/>
      <c r="N605" s="281"/>
      <c r="O605" s="281"/>
      <c r="P605" s="281"/>
      <c r="Q605" s="186"/>
      <c r="R605" s="186"/>
      <c r="S605" s="186"/>
      <c r="U605" s="186"/>
    </row>
    <row r="606" spans="9:21">
      <c r="I606" s="281"/>
      <c r="J606" s="281"/>
      <c r="K606" s="281"/>
      <c r="L606" s="281"/>
      <c r="M606" s="281"/>
      <c r="N606" s="281"/>
      <c r="O606" s="281"/>
      <c r="P606" s="281"/>
      <c r="Q606" s="186"/>
      <c r="R606" s="186"/>
      <c r="S606" s="186"/>
      <c r="U606" s="186"/>
    </row>
    <row r="607" spans="9:21">
      <c r="I607" s="281"/>
      <c r="J607" s="281"/>
      <c r="K607" s="281"/>
      <c r="L607" s="281"/>
      <c r="M607" s="281"/>
      <c r="N607" s="281"/>
      <c r="O607" s="281"/>
      <c r="P607" s="281"/>
      <c r="Q607" s="186"/>
      <c r="R607" s="186"/>
      <c r="S607" s="186"/>
      <c r="U607" s="186"/>
    </row>
    <row r="608" spans="9:21">
      <c r="I608" s="281"/>
      <c r="J608" s="281"/>
      <c r="K608" s="281"/>
      <c r="L608" s="281"/>
      <c r="M608" s="281"/>
      <c r="N608" s="281"/>
      <c r="O608" s="281"/>
      <c r="P608" s="281"/>
      <c r="Q608" s="186"/>
      <c r="R608" s="186"/>
      <c r="S608" s="186"/>
      <c r="U608" s="186"/>
    </row>
    <row r="609" spans="9:21">
      <c r="I609" s="281"/>
      <c r="J609" s="281"/>
      <c r="K609" s="281"/>
      <c r="L609" s="281"/>
      <c r="M609" s="281"/>
      <c r="N609" s="281"/>
      <c r="O609" s="281"/>
      <c r="P609" s="281"/>
      <c r="Q609" s="186"/>
      <c r="R609" s="186"/>
      <c r="S609" s="186"/>
      <c r="U609" s="186"/>
    </row>
    <row r="610" spans="9:21">
      <c r="I610" s="281"/>
      <c r="J610" s="281"/>
      <c r="K610" s="281"/>
      <c r="L610" s="281"/>
      <c r="M610" s="281"/>
      <c r="N610" s="281"/>
      <c r="O610" s="281"/>
      <c r="P610" s="281"/>
      <c r="Q610" s="186"/>
      <c r="R610" s="186"/>
      <c r="S610" s="186"/>
      <c r="U610" s="186"/>
    </row>
    <row r="611" spans="9:21">
      <c r="I611" s="281"/>
      <c r="J611" s="281"/>
      <c r="K611" s="281"/>
      <c r="L611" s="281"/>
      <c r="M611" s="281"/>
      <c r="N611" s="281"/>
      <c r="O611" s="281"/>
      <c r="P611" s="281"/>
      <c r="Q611" s="186"/>
      <c r="R611" s="186"/>
      <c r="S611" s="186"/>
      <c r="U611" s="186"/>
    </row>
    <row r="612" spans="9:21">
      <c r="I612" s="281"/>
      <c r="J612" s="281"/>
      <c r="K612" s="281"/>
      <c r="L612" s="281"/>
      <c r="M612" s="281"/>
      <c r="N612" s="281"/>
      <c r="O612" s="281"/>
      <c r="P612" s="281"/>
      <c r="Q612" s="186"/>
      <c r="R612" s="186"/>
      <c r="S612" s="186"/>
      <c r="U612" s="186"/>
    </row>
    <row r="613" spans="9:21">
      <c r="I613" s="281"/>
      <c r="J613" s="281"/>
      <c r="K613" s="281"/>
      <c r="L613" s="281"/>
      <c r="M613" s="281"/>
      <c r="N613" s="281"/>
      <c r="O613" s="281"/>
      <c r="P613" s="281"/>
      <c r="Q613" s="186"/>
      <c r="R613" s="186"/>
      <c r="S613" s="186"/>
      <c r="U613" s="186"/>
    </row>
    <row r="614" spans="9:21">
      <c r="I614" s="281"/>
      <c r="J614" s="281"/>
      <c r="K614" s="281"/>
      <c r="L614" s="281"/>
      <c r="M614" s="281"/>
      <c r="N614" s="281"/>
      <c r="O614" s="281"/>
      <c r="P614" s="281"/>
      <c r="Q614" s="186"/>
      <c r="R614" s="186"/>
      <c r="S614" s="186"/>
      <c r="U614" s="186"/>
    </row>
    <row r="615" spans="9:21">
      <c r="I615" s="281"/>
      <c r="J615" s="281"/>
      <c r="K615" s="281"/>
      <c r="L615" s="281"/>
      <c r="M615" s="281"/>
      <c r="N615" s="281"/>
      <c r="O615" s="281"/>
      <c r="P615" s="281"/>
      <c r="Q615" s="186"/>
      <c r="R615" s="186"/>
      <c r="S615" s="186"/>
      <c r="U615" s="186"/>
    </row>
    <row r="616" spans="9:21">
      <c r="I616" s="281"/>
      <c r="J616" s="281"/>
      <c r="K616" s="281"/>
      <c r="L616" s="281"/>
      <c r="M616" s="281"/>
      <c r="N616" s="281"/>
      <c r="O616" s="281"/>
      <c r="P616" s="281"/>
      <c r="Q616" s="186"/>
      <c r="R616" s="186"/>
      <c r="S616" s="186"/>
      <c r="U616" s="186"/>
    </row>
    <row r="617" spans="9:21">
      <c r="I617" s="281"/>
      <c r="J617" s="281"/>
      <c r="K617" s="281"/>
      <c r="L617" s="281"/>
      <c r="M617" s="281"/>
      <c r="N617" s="281"/>
      <c r="O617" s="281"/>
      <c r="P617" s="281"/>
      <c r="Q617" s="186"/>
      <c r="R617" s="186"/>
      <c r="S617" s="186"/>
      <c r="U617" s="186"/>
    </row>
    <row r="618" spans="9:21">
      <c r="I618" s="281"/>
      <c r="J618" s="281"/>
      <c r="K618" s="281"/>
      <c r="L618" s="281"/>
      <c r="M618" s="281"/>
      <c r="N618" s="281"/>
      <c r="O618" s="281"/>
      <c r="P618" s="281"/>
      <c r="Q618" s="186"/>
      <c r="R618" s="186"/>
      <c r="S618" s="186"/>
      <c r="U618" s="186"/>
    </row>
    <row r="619" spans="9:21">
      <c r="I619" s="281"/>
      <c r="J619" s="281"/>
      <c r="K619" s="281"/>
      <c r="L619" s="281"/>
      <c r="M619" s="281"/>
      <c r="N619" s="281"/>
      <c r="O619" s="281"/>
      <c r="P619" s="281"/>
      <c r="Q619" s="186"/>
      <c r="R619" s="186"/>
      <c r="S619" s="186"/>
      <c r="U619" s="186"/>
    </row>
    <row r="620" spans="9:21">
      <c r="I620" s="281"/>
      <c r="J620" s="281"/>
      <c r="K620" s="281"/>
      <c r="L620" s="281"/>
      <c r="M620" s="281"/>
      <c r="N620" s="281"/>
      <c r="O620" s="281"/>
      <c r="P620" s="281"/>
      <c r="Q620" s="186"/>
      <c r="R620" s="186"/>
      <c r="S620" s="186"/>
      <c r="U620" s="186"/>
    </row>
    <row r="621" spans="9:21">
      <c r="I621" s="281"/>
      <c r="J621" s="281"/>
      <c r="K621" s="281"/>
      <c r="L621" s="281"/>
      <c r="M621" s="281"/>
      <c r="N621" s="281"/>
      <c r="O621" s="281"/>
      <c r="P621" s="281"/>
      <c r="Q621" s="186"/>
      <c r="R621" s="186"/>
      <c r="S621" s="186"/>
      <c r="U621" s="186"/>
    </row>
    <row r="622" spans="9:21">
      <c r="I622" s="281"/>
      <c r="J622" s="281"/>
      <c r="K622" s="281"/>
      <c r="L622" s="281"/>
      <c r="M622" s="281"/>
      <c r="N622" s="281"/>
      <c r="O622" s="281"/>
      <c r="P622" s="281"/>
      <c r="Q622" s="186"/>
      <c r="R622" s="186"/>
      <c r="S622" s="186"/>
      <c r="U622" s="186"/>
    </row>
    <row r="623" spans="9:21">
      <c r="I623" s="281"/>
      <c r="J623" s="281"/>
      <c r="K623" s="281"/>
      <c r="L623" s="281"/>
      <c r="M623" s="281"/>
      <c r="N623" s="281"/>
      <c r="O623" s="281"/>
      <c r="P623" s="281"/>
      <c r="Q623" s="186"/>
      <c r="R623" s="186"/>
      <c r="S623" s="186"/>
      <c r="U623" s="186"/>
    </row>
    <row r="624" spans="9:21">
      <c r="I624" s="281"/>
      <c r="J624" s="281"/>
      <c r="K624" s="281"/>
      <c r="L624" s="281"/>
      <c r="M624" s="281"/>
      <c r="N624" s="281"/>
      <c r="O624" s="281"/>
      <c r="P624" s="281"/>
      <c r="Q624" s="186"/>
      <c r="R624" s="186"/>
      <c r="S624" s="186"/>
      <c r="U624" s="186"/>
    </row>
    <row r="625" spans="9:21">
      <c r="I625" s="281"/>
      <c r="J625" s="281"/>
      <c r="K625" s="281"/>
      <c r="L625" s="281"/>
      <c r="M625" s="281"/>
      <c r="N625" s="281"/>
      <c r="O625" s="281"/>
      <c r="P625" s="281"/>
      <c r="Q625" s="186"/>
      <c r="R625" s="186"/>
      <c r="S625" s="186"/>
      <c r="U625" s="186"/>
    </row>
    <row r="626" spans="9:21">
      <c r="I626" s="281"/>
      <c r="J626" s="281"/>
      <c r="K626" s="281"/>
      <c r="L626" s="281"/>
      <c r="M626" s="281"/>
      <c r="N626" s="281"/>
      <c r="O626" s="281"/>
      <c r="P626" s="281"/>
      <c r="Q626" s="186"/>
      <c r="R626" s="186"/>
      <c r="S626" s="186"/>
      <c r="U626" s="186"/>
    </row>
    <row r="627" spans="9:21">
      <c r="I627" s="281"/>
      <c r="J627" s="281"/>
      <c r="K627" s="281"/>
      <c r="L627" s="281"/>
      <c r="M627" s="281"/>
      <c r="N627" s="281"/>
      <c r="O627" s="281"/>
      <c r="P627" s="281"/>
      <c r="Q627" s="186"/>
      <c r="R627" s="186"/>
      <c r="S627" s="186"/>
      <c r="U627" s="186"/>
    </row>
    <row r="628" spans="9:21">
      <c r="I628" s="281"/>
      <c r="J628" s="281"/>
      <c r="K628" s="281"/>
      <c r="L628" s="281"/>
      <c r="M628" s="281"/>
      <c r="N628" s="281"/>
      <c r="O628" s="281"/>
      <c r="P628" s="281"/>
      <c r="Q628" s="186"/>
      <c r="R628" s="186"/>
      <c r="S628" s="186"/>
      <c r="U628" s="186"/>
    </row>
    <row r="629" spans="9:21">
      <c r="I629" s="281"/>
      <c r="J629" s="281"/>
      <c r="K629" s="281"/>
      <c r="L629" s="281"/>
      <c r="M629" s="281"/>
      <c r="N629" s="281"/>
      <c r="O629" s="281"/>
      <c r="P629" s="281"/>
      <c r="Q629" s="186"/>
      <c r="R629" s="186"/>
      <c r="S629" s="186"/>
      <c r="U629" s="186"/>
    </row>
    <row r="630" spans="9:21">
      <c r="I630" s="281"/>
      <c r="J630" s="281"/>
      <c r="K630" s="281"/>
      <c r="L630" s="281"/>
      <c r="M630" s="281"/>
      <c r="N630" s="281"/>
      <c r="O630" s="281"/>
      <c r="P630" s="281"/>
      <c r="Q630" s="186"/>
      <c r="R630" s="186"/>
      <c r="S630" s="186"/>
      <c r="U630" s="186"/>
    </row>
    <row r="631" spans="9:21">
      <c r="I631" s="281"/>
      <c r="J631" s="281"/>
      <c r="K631" s="281"/>
      <c r="L631" s="281"/>
      <c r="M631" s="281"/>
      <c r="N631" s="281"/>
      <c r="O631" s="281"/>
      <c r="P631" s="281"/>
      <c r="Q631" s="186"/>
      <c r="R631" s="186"/>
      <c r="S631" s="186"/>
      <c r="U631" s="186"/>
    </row>
    <row r="632" spans="9:21">
      <c r="I632" s="281"/>
      <c r="J632" s="281"/>
      <c r="K632" s="281"/>
      <c r="L632" s="281"/>
      <c r="M632" s="281"/>
      <c r="N632" s="281"/>
      <c r="O632" s="281"/>
      <c r="P632" s="281"/>
      <c r="Q632" s="186"/>
      <c r="R632" s="186"/>
      <c r="S632" s="186"/>
      <c r="U632" s="186"/>
    </row>
    <row r="633" spans="9:21">
      <c r="I633" s="281"/>
      <c r="J633" s="281"/>
      <c r="K633" s="281"/>
      <c r="L633" s="281"/>
      <c r="M633" s="281"/>
      <c r="N633" s="281"/>
      <c r="O633" s="281"/>
      <c r="P633" s="281"/>
      <c r="Q633" s="186"/>
      <c r="R633" s="186"/>
      <c r="S633" s="186"/>
      <c r="U633" s="186"/>
    </row>
    <row r="634" spans="9:21">
      <c r="I634" s="281"/>
      <c r="J634" s="281"/>
      <c r="K634" s="281"/>
      <c r="L634" s="281"/>
      <c r="M634" s="281"/>
      <c r="N634" s="281"/>
      <c r="O634" s="281"/>
      <c r="P634" s="281"/>
      <c r="Q634" s="186"/>
      <c r="R634" s="186"/>
      <c r="S634" s="186"/>
      <c r="U634" s="186"/>
    </row>
    <row r="635" spans="9:21">
      <c r="I635" s="281"/>
      <c r="J635" s="281"/>
      <c r="K635" s="281"/>
      <c r="L635" s="281"/>
      <c r="M635" s="281"/>
      <c r="N635" s="281"/>
      <c r="O635" s="281"/>
      <c r="P635" s="281"/>
      <c r="Q635" s="186"/>
      <c r="R635" s="186"/>
      <c r="S635" s="186"/>
      <c r="U635" s="186"/>
    </row>
    <row r="636" spans="9:21">
      <c r="I636" s="281"/>
      <c r="J636" s="281"/>
      <c r="K636" s="281"/>
      <c r="L636" s="281"/>
      <c r="M636" s="281"/>
      <c r="N636" s="281"/>
      <c r="O636" s="281"/>
      <c r="P636" s="281"/>
      <c r="Q636" s="186"/>
      <c r="R636" s="186"/>
      <c r="S636" s="186"/>
      <c r="U636" s="186"/>
    </row>
    <row r="637" spans="9:21">
      <c r="I637" s="281"/>
      <c r="J637" s="281"/>
      <c r="K637" s="281"/>
      <c r="L637" s="281"/>
      <c r="M637" s="281"/>
      <c r="N637" s="281"/>
      <c r="O637" s="281"/>
      <c r="P637" s="281"/>
      <c r="Q637" s="186"/>
      <c r="R637" s="186"/>
      <c r="S637" s="186"/>
      <c r="U637" s="186"/>
    </row>
    <row r="638" spans="9:21">
      <c r="I638" s="281"/>
      <c r="J638" s="281"/>
      <c r="K638" s="281"/>
      <c r="L638" s="281"/>
      <c r="M638" s="281"/>
      <c r="N638" s="281"/>
      <c r="O638" s="281"/>
      <c r="P638" s="281"/>
      <c r="Q638" s="186"/>
      <c r="R638" s="186"/>
      <c r="S638" s="186"/>
      <c r="U638" s="186"/>
    </row>
    <row r="639" spans="9:21">
      <c r="I639" s="281"/>
      <c r="J639" s="281"/>
      <c r="K639" s="281"/>
      <c r="L639" s="281"/>
      <c r="M639" s="281"/>
      <c r="N639" s="281"/>
      <c r="O639" s="281"/>
      <c r="P639" s="281"/>
      <c r="Q639" s="186"/>
      <c r="R639" s="186"/>
      <c r="S639" s="186"/>
      <c r="U639" s="186"/>
    </row>
    <row r="640" spans="9:21">
      <c r="I640" s="281"/>
      <c r="J640" s="281"/>
      <c r="K640" s="281"/>
      <c r="L640" s="281"/>
      <c r="M640" s="281"/>
      <c r="N640" s="281"/>
      <c r="O640" s="281"/>
      <c r="P640" s="281"/>
      <c r="Q640" s="186"/>
      <c r="R640" s="186"/>
      <c r="S640" s="186"/>
      <c r="U640" s="186"/>
    </row>
    <row r="641" spans="9:21">
      <c r="I641" s="281"/>
      <c r="J641" s="281"/>
      <c r="K641" s="281"/>
      <c r="L641" s="281"/>
      <c r="M641" s="281"/>
      <c r="N641" s="281"/>
      <c r="O641" s="281"/>
      <c r="P641" s="281"/>
      <c r="Q641" s="186"/>
      <c r="R641" s="186"/>
      <c r="S641" s="186"/>
      <c r="U641" s="186"/>
    </row>
    <row r="642" spans="9:21">
      <c r="I642" s="281"/>
      <c r="J642" s="281"/>
      <c r="K642" s="281"/>
      <c r="L642" s="281"/>
      <c r="M642" s="281"/>
      <c r="N642" s="281"/>
      <c r="O642" s="281"/>
      <c r="P642" s="281"/>
      <c r="Q642" s="186"/>
      <c r="R642" s="186"/>
      <c r="S642" s="186"/>
      <c r="U642" s="186"/>
    </row>
    <row r="643" spans="9:21">
      <c r="I643" s="281"/>
      <c r="J643" s="281"/>
      <c r="K643" s="281"/>
      <c r="L643" s="281"/>
      <c r="M643" s="281"/>
      <c r="N643" s="281"/>
      <c r="O643" s="281"/>
      <c r="P643" s="281"/>
      <c r="Q643" s="186"/>
      <c r="R643" s="186"/>
      <c r="S643" s="186"/>
      <c r="U643" s="186"/>
    </row>
    <row r="644" spans="9:21">
      <c r="I644" s="281"/>
      <c r="J644" s="281"/>
      <c r="K644" s="281"/>
      <c r="L644" s="281"/>
      <c r="M644" s="281"/>
      <c r="N644" s="281"/>
      <c r="O644" s="281"/>
      <c r="P644" s="281"/>
      <c r="Q644" s="186"/>
      <c r="R644" s="186"/>
      <c r="S644" s="186"/>
      <c r="U644" s="186"/>
    </row>
    <row r="645" spans="9:21">
      <c r="I645" s="281"/>
      <c r="J645" s="281"/>
      <c r="K645" s="281"/>
      <c r="L645" s="281"/>
      <c r="M645" s="281"/>
      <c r="N645" s="281"/>
      <c r="O645" s="281"/>
      <c r="P645" s="281"/>
      <c r="Q645" s="186"/>
      <c r="R645" s="186"/>
      <c r="S645" s="186"/>
      <c r="U645" s="186"/>
    </row>
    <row r="646" spans="9:21">
      <c r="I646" s="281"/>
      <c r="J646" s="281"/>
      <c r="K646" s="281"/>
      <c r="L646" s="281"/>
      <c r="M646" s="281"/>
      <c r="N646" s="281"/>
      <c r="O646" s="281"/>
      <c r="P646" s="281"/>
      <c r="Q646" s="186"/>
      <c r="R646" s="186"/>
      <c r="S646" s="186"/>
      <c r="U646" s="186"/>
    </row>
    <row r="647" spans="9:21">
      <c r="I647" s="281"/>
      <c r="J647" s="281"/>
      <c r="K647" s="281"/>
      <c r="L647" s="281"/>
      <c r="M647" s="281"/>
      <c r="N647" s="281"/>
      <c r="O647" s="281"/>
      <c r="P647" s="281"/>
      <c r="Q647" s="186"/>
      <c r="R647" s="186"/>
      <c r="S647" s="186"/>
      <c r="U647" s="186"/>
    </row>
    <row r="648" spans="9:21">
      <c r="I648" s="281"/>
      <c r="J648" s="281"/>
      <c r="K648" s="281"/>
      <c r="L648" s="281"/>
      <c r="M648" s="281"/>
      <c r="N648" s="281"/>
      <c r="O648" s="281"/>
      <c r="P648" s="281"/>
      <c r="Q648" s="186"/>
      <c r="R648" s="186"/>
      <c r="S648" s="186"/>
      <c r="U648" s="186"/>
    </row>
    <row r="649" spans="9:21">
      <c r="I649" s="281"/>
      <c r="J649" s="281"/>
      <c r="K649" s="281"/>
      <c r="L649" s="281"/>
      <c r="M649" s="281"/>
      <c r="N649" s="281"/>
      <c r="O649" s="281"/>
      <c r="P649" s="281"/>
      <c r="Q649" s="186"/>
      <c r="R649" s="186"/>
      <c r="S649" s="186"/>
      <c r="U649" s="186"/>
    </row>
    <row r="650" spans="9:21">
      <c r="I650" s="281"/>
      <c r="J650" s="281"/>
      <c r="K650" s="281"/>
      <c r="L650" s="281"/>
      <c r="M650" s="281"/>
      <c r="N650" s="281"/>
      <c r="O650" s="281"/>
      <c r="P650" s="281"/>
      <c r="Q650" s="186"/>
      <c r="R650" s="186"/>
      <c r="S650" s="186"/>
      <c r="U650" s="186"/>
    </row>
    <row r="651" spans="9:21">
      <c r="I651" s="281"/>
      <c r="J651" s="281"/>
      <c r="K651" s="281"/>
      <c r="L651" s="281"/>
      <c r="M651" s="281"/>
      <c r="N651" s="281"/>
      <c r="O651" s="281"/>
      <c r="P651" s="281"/>
      <c r="Q651" s="186"/>
      <c r="R651" s="186"/>
      <c r="S651" s="186"/>
      <c r="U651" s="186"/>
    </row>
    <row r="652" spans="9:21">
      <c r="I652" s="281"/>
      <c r="J652" s="281"/>
      <c r="K652" s="281"/>
      <c r="L652" s="281"/>
      <c r="M652" s="281"/>
      <c r="N652" s="281"/>
      <c r="O652" s="281"/>
      <c r="P652" s="281"/>
      <c r="Q652" s="186"/>
      <c r="R652" s="186"/>
      <c r="S652" s="186"/>
      <c r="U652" s="186"/>
    </row>
    <row r="653" spans="9:21">
      <c r="I653" s="281"/>
      <c r="J653" s="281"/>
      <c r="K653" s="281"/>
      <c r="L653" s="281"/>
      <c r="M653" s="281"/>
      <c r="N653" s="281"/>
      <c r="O653" s="281"/>
      <c r="P653" s="281"/>
      <c r="Q653" s="186"/>
      <c r="R653" s="186"/>
      <c r="S653" s="186"/>
      <c r="U653" s="186"/>
    </row>
    <row r="654" spans="9:21">
      <c r="I654" s="281"/>
      <c r="J654" s="281"/>
      <c r="K654" s="281"/>
      <c r="L654" s="281"/>
      <c r="M654" s="281"/>
      <c r="N654" s="281"/>
      <c r="O654" s="281"/>
      <c r="P654" s="281"/>
      <c r="Q654" s="186"/>
      <c r="R654" s="186"/>
      <c r="S654" s="186"/>
      <c r="U654" s="186"/>
    </row>
    <row r="655" spans="9:21">
      <c r="I655" s="281"/>
      <c r="J655" s="281"/>
      <c r="K655" s="281"/>
      <c r="L655" s="281"/>
      <c r="M655" s="281"/>
      <c r="N655" s="281"/>
      <c r="O655" s="281"/>
      <c r="P655" s="281"/>
      <c r="Q655" s="186"/>
      <c r="R655" s="186"/>
      <c r="S655" s="186"/>
      <c r="U655" s="186"/>
    </row>
    <row r="656" spans="9:21">
      <c r="I656" s="281"/>
      <c r="J656" s="281"/>
      <c r="K656" s="281"/>
      <c r="L656" s="281"/>
      <c r="M656" s="281"/>
      <c r="N656" s="281"/>
      <c r="O656" s="281"/>
      <c r="P656" s="281"/>
      <c r="Q656" s="186"/>
      <c r="R656" s="186"/>
      <c r="S656" s="186"/>
      <c r="U656" s="186"/>
    </row>
    <row r="657" spans="9:21">
      <c r="I657" s="281"/>
      <c r="J657" s="281"/>
      <c r="K657" s="281"/>
      <c r="L657" s="281"/>
      <c r="M657" s="281"/>
      <c r="N657" s="281"/>
      <c r="O657" s="281"/>
      <c r="P657" s="281"/>
      <c r="Q657" s="186"/>
      <c r="R657" s="186"/>
      <c r="S657" s="186"/>
      <c r="U657" s="186"/>
    </row>
    <row r="658" spans="9:21">
      <c r="I658" s="281"/>
      <c r="J658" s="281"/>
      <c r="K658" s="281"/>
      <c r="L658" s="281"/>
      <c r="M658" s="281"/>
      <c r="N658" s="281"/>
      <c r="O658" s="281"/>
      <c r="P658" s="281"/>
      <c r="Q658" s="186"/>
      <c r="R658" s="186"/>
      <c r="S658" s="186"/>
      <c r="U658" s="186"/>
    </row>
    <row r="659" spans="9:21">
      <c r="I659" s="281"/>
      <c r="J659" s="281"/>
      <c r="K659" s="281"/>
      <c r="L659" s="281"/>
      <c r="M659" s="281"/>
      <c r="N659" s="281"/>
      <c r="O659" s="281"/>
      <c r="P659" s="281"/>
      <c r="Q659" s="186"/>
      <c r="R659" s="186"/>
      <c r="S659" s="186"/>
      <c r="U659" s="186"/>
    </row>
    <row r="660" spans="9:21">
      <c r="I660" s="281"/>
      <c r="J660" s="281"/>
      <c r="K660" s="281"/>
      <c r="L660" s="281"/>
      <c r="M660" s="281"/>
      <c r="N660" s="281"/>
      <c r="O660" s="281"/>
      <c r="P660" s="281"/>
      <c r="Q660" s="186"/>
      <c r="R660" s="186"/>
      <c r="S660" s="186"/>
      <c r="U660" s="186"/>
    </row>
    <row r="661" spans="9:21">
      <c r="I661" s="281"/>
      <c r="J661" s="281"/>
      <c r="K661" s="281"/>
      <c r="L661" s="281"/>
      <c r="M661" s="281"/>
      <c r="N661" s="281"/>
      <c r="O661" s="281"/>
      <c r="P661" s="281"/>
      <c r="Q661" s="186"/>
      <c r="R661" s="186"/>
      <c r="S661" s="186"/>
      <c r="U661" s="186"/>
    </row>
    <row r="662" spans="9:21">
      <c r="I662" s="281"/>
      <c r="J662" s="281"/>
      <c r="K662" s="281"/>
      <c r="L662" s="281"/>
      <c r="M662" s="281"/>
      <c r="N662" s="281"/>
      <c r="O662" s="281"/>
      <c r="P662" s="281"/>
      <c r="Q662" s="186"/>
      <c r="R662" s="186"/>
      <c r="S662" s="186"/>
      <c r="U662" s="186"/>
    </row>
    <row r="663" spans="9:21">
      <c r="I663" s="281"/>
      <c r="J663" s="281"/>
      <c r="K663" s="281"/>
      <c r="L663" s="281"/>
      <c r="M663" s="281"/>
      <c r="N663" s="281"/>
      <c r="O663" s="281"/>
      <c r="P663" s="281"/>
      <c r="Q663" s="186"/>
      <c r="R663" s="186"/>
      <c r="S663" s="186"/>
      <c r="U663" s="186"/>
    </row>
    <row r="664" spans="9:21">
      <c r="I664" s="281"/>
      <c r="J664" s="281"/>
      <c r="K664" s="281"/>
      <c r="L664" s="281"/>
      <c r="M664" s="281"/>
      <c r="N664" s="281"/>
      <c r="O664" s="281"/>
      <c r="P664" s="281"/>
      <c r="Q664" s="186"/>
      <c r="R664" s="186"/>
      <c r="S664" s="186"/>
      <c r="U664" s="186"/>
    </row>
    <row r="665" spans="9:21">
      <c r="I665" s="281"/>
      <c r="J665" s="281"/>
      <c r="K665" s="281"/>
      <c r="L665" s="281"/>
      <c r="M665" s="281"/>
      <c r="N665" s="281"/>
      <c r="O665" s="281"/>
      <c r="P665" s="281"/>
      <c r="Q665" s="186"/>
      <c r="R665" s="186"/>
      <c r="S665" s="186"/>
      <c r="U665" s="186"/>
    </row>
    <row r="666" spans="9:21">
      <c r="I666" s="281"/>
      <c r="J666" s="281"/>
      <c r="K666" s="281"/>
      <c r="L666" s="281"/>
      <c r="M666" s="281"/>
      <c r="N666" s="281"/>
      <c r="O666" s="281"/>
      <c r="P666" s="281"/>
      <c r="Q666" s="186"/>
      <c r="R666" s="186"/>
      <c r="S666" s="186"/>
      <c r="U666" s="186"/>
    </row>
    <row r="667" spans="9:21">
      <c r="I667" s="281"/>
      <c r="J667" s="281"/>
      <c r="K667" s="281"/>
      <c r="L667" s="281"/>
      <c r="M667" s="281"/>
      <c r="N667" s="281"/>
      <c r="O667" s="281"/>
      <c r="P667" s="281"/>
      <c r="Q667" s="186"/>
      <c r="R667" s="186"/>
      <c r="S667" s="186"/>
      <c r="U667" s="186"/>
    </row>
    <row r="668" spans="9:21">
      <c r="I668" s="281"/>
      <c r="J668" s="281"/>
      <c r="K668" s="281"/>
      <c r="L668" s="281"/>
      <c r="M668" s="281"/>
      <c r="N668" s="281"/>
      <c r="O668" s="281"/>
      <c r="P668" s="281"/>
      <c r="Q668" s="186"/>
      <c r="R668" s="186"/>
      <c r="S668" s="186"/>
      <c r="U668" s="186"/>
    </row>
    <row r="669" spans="9:21">
      <c r="I669" s="281"/>
      <c r="J669" s="281"/>
      <c r="K669" s="281"/>
      <c r="L669" s="281"/>
      <c r="M669" s="281"/>
      <c r="N669" s="281"/>
      <c r="O669" s="281"/>
      <c r="P669" s="281"/>
      <c r="Q669" s="186"/>
      <c r="R669" s="186"/>
      <c r="S669" s="186"/>
      <c r="U669" s="186"/>
    </row>
    <row r="670" spans="9:21">
      <c r="I670" s="281"/>
      <c r="J670" s="281"/>
      <c r="K670" s="281"/>
      <c r="L670" s="281"/>
      <c r="M670" s="281"/>
      <c r="N670" s="281"/>
      <c r="O670" s="281"/>
      <c r="P670" s="281"/>
      <c r="Q670" s="186"/>
      <c r="R670" s="186"/>
      <c r="S670" s="186"/>
      <c r="U670" s="186"/>
    </row>
    <row r="671" spans="9:21">
      <c r="I671" s="281"/>
      <c r="J671" s="281"/>
      <c r="K671" s="281"/>
      <c r="L671" s="281"/>
      <c r="M671" s="281"/>
      <c r="N671" s="281"/>
      <c r="O671" s="281"/>
      <c r="P671" s="281"/>
      <c r="Q671" s="186"/>
      <c r="R671" s="186"/>
      <c r="S671" s="186"/>
      <c r="U671" s="186"/>
    </row>
    <row r="672" spans="9:21">
      <c r="I672" s="281"/>
      <c r="J672" s="281"/>
      <c r="K672" s="281"/>
      <c r="L672" s="281"/>
      <c r="M672" s="281"/>
      <c r="N672" s="281"/>
      <c r="O672" s="281"/>
      <c r="P672" s="281"/>
      <c r="Q672" s="186"/>
      <c r="R672" s="186"/>
      <c r="S672" s="186"/>
      <c r="U672" s="186"/>
    </row>
    <row r="673" spans="9:21">
      <c r="I673" s="281"/>
      <c r="J673" s="281"/>
      <c r="K673" s="281"/>
      <c r="L673" s="281"/>
      <c r="M673" s="281"/>
      <c r="N673" s="281"/>
      <c r="O673" s="281"/>
      <c r="P673" s="281"/>
      <c r="Q673" s="186"/>
      <c r="R673" s="186"/>
      <c r="S673" s="186"/>
      <c r="U673" s="186"/>
    </row>
    <row r="674" spans="9:21">
      <c r="I674" s="281"/>
      <c r="J674" s="281"/>
      <c r="K674" s="281"/>
      <c r="L674" s="281"/>
      <c r="M674" s="281"/>
      <c r="N674" s="281"/>
      <c r="O674" s="281"/>
      <c r="P674" s="281"/>
      <c r="Q674" s="186"/>
      <c r="R674" s="186"/>
      <c r="S674" s="186"/>
      <c r="U674" s="186"/>
    </row>
    <row r="675" spans="9:21">
      <c r="I675" s="281"/>
      <c r="J675" s="281"/>
      <c r="K675" s="281"/>
      <c r="L675" s="281"/>
      <c r="M675" s="281"/>
      <c r="N675" s="281"/>
      <c r="O675" s="281"/>
      <c r="P675" s="281"/>
      <c r="Q675" s="186"/>
      <c r="R675" s="186"/>
      <c r="S675" s="186"/>
      <c r="U675" s="186"/>
    </row>
    <row r="676" spans="9:21">
      <c r="I676" s="281"/>
      <c r="J676" s="281"/>
      <c r="K676" s="281"/>
      <c r="L676" s="281"/>
      <c r="M676" s="281"/>
      <c r="N676" s="281"/>
      <c r="O676" s="281"/>
      <c r="P676" s="281"/>
      <c r="Q676" s="186"/>
      <c r="R676" s="186"/>
      <c r="S676" s="186"/>
      <c r="U676" s="186"/>
    </row>
    <row r="677" spans="9:21">
      <c r="I677" s="281"/>
      <c r="J677" s="281"/>
      <c r="K677" s="281"/>
      <c r="L677" s="281"/>
      <c r="M677" s="281"/>
      <c r="N677" s="281"/>
      <c r="O677" s="281"/>
      <c r="P677" s="281"/>
      <c r="Q677" s="186"/>
      <c r="R677" s="186"/>
      <c r="S677" s="186"/>
      <c r="U677" s="186"/>
    </row>
    <row r="678" spans="9:21">
      <c r="I678" s="281"/>
      <c r="J678" s="281"/>
      <c r="K678" s="281"/>
      <c r="L678" s="281"/>
      <c r="M678" s="281"/>
      <c r="N678" s="281"/>
      <c r="O678" s="281"/>
      <c r="P678" s="281"/>
      <c r="Q678" s="186"/>
      <c r="R678" s="186"/>
      <c r="S678" s="186"/>
      <c r="U678" s="186"/>
    </row>
    <row r="679" spans="9:21">
      <c r="I679" s="281"/>
      <c r="J679" s="281"/>
      <c r="K679" s="281"/>
      <c r="L679" s="281"/>
      <c r="M679" s="281"/>
      <c r="N679" s="281"/>
      <c r="O679" s="281"/>
      <c r="P679" s="281"/>
      <c r="Q679" s="186"/>
      <c r="R679" s="186"/>
      <c r="S679" s="186"/>
      <c r="U679" s="186"/>
    </row>
    <row r="680" spans="9:21">
      <c r="I680" s="281"/>
      <c r="J680" s="281"/>
      <c r="K680" s="281"/>
      <c r="L680" s="281"/>
      <c r="M680" s="281"/>
      <c r="N680" s="281"/>
      <c r="O680" s="281"/>
      <c r="P680" s="281"/>
      <c r="Q680" s="186"/>
      <c r="R680" s="186"/>
      <c r="S680" s="186"/>
      <c r="U680" s="186"/>
    </row>
    <row r="681" spans="9:21">
      <c r="I681" s="281"/>
      <c r="J681" s="281"/>
      <c r="K681" s="281"/>
      <c r="L681" s="281"/>
      <c r="M681" s="281"/>
      <c r="N681" s="281"/>
      <c r="O681" s="281"/>
      <c r="P681" s="281"/>
      <c r="Q681" s="186"/>
      <c r="R681" s="186"/>
      <c r="S681" s="186"/>
      <c r="U681" s="186"/>
    </row>
    <row r="682" spans="9:21">
      <c r="I682" s="281"/>
      <c r="J682" s="281"/>
      <c r="K682" s="281"/>
      <c r="L682" s="281"/>
      <c r="M682" s="281"/>
      <c r="N682" s="281"/>
      <c r="O682" s="281"/>
      <c r="P682" s="281"/>
      <c r="Q682" s="186"/>
      <c r="R682" s="186"/>
      <c r="S682" s="186"/>
      <c r="U682" s="186"/>
    </row>
    <row r="683" spans="9:21">
      <c r="I683" s="281"/>
      <c r="J683" s="281"/>
      <c r="K683" s="281"/>
      <c r="L683" s="281"/>
      <c r="M683" s="281"/>
      <c r="N683" s="281"/>
      <c r="O683" s="281"/>
      <c r="P683" s="281"/>
      <c r="Q683" s="186"/>
      <c r="R683" s="186"/>
      <c r="S683" s="186"/>
      <c r="U683" s="186"/>
    </row>
    <row r="684" spans="9:21">
      <c r="I684" s="281"/>
      <c r="J684" s="281"/>
      <c r="K684" s="281"/>
      <c r="L684" s="281"/>
      <c r="M684" s="281"/>
      <c r="N684" s="281"/>
      <c r="O684" s="281"/>
      <c r="P684" s="281"/>
      <c r="Q684" s="186"/>
      <c r="R684" s="186"/>
      <c r="S684" s="186"/>
      <c r="U684" s="186"/>
    </row>
    <row r="685" spans="9:21">
      <c r="I685" s="281"/>
      <c r="J685" s="281"/>
      <c r="K685" s="281"/>
      <c r="L685" s="281"/>
      <c r="M685" s="281"/>
      <c r="N685" s="281"/>
      <c r="O685" s="281"/>
      <c r="P685" s="281"/>
      <c r="Q685" s="186"/>
      <c r="R685" s="186"/>
      <c r="S685" s="186"/>
      <c r="U685" s="186"/>
    </row>
    <row r="686" spans="9:21">
      <c r="I686" s="281"/>
      <c r="J686" s="281"/>
      <c r="K686" s="281"/>
      <c r="L686" s="281"/>
      <c r="M686" s="281"/>
      <c r="N686" s="281"/>
      <c r="O686" s="281"/>
      <c r="P686" s="281"/>
      <c r="Q686" s="186"/>
      <c r="R686" s="186"/>
      <c r="S686" s="186"/>
      <c r="U686" s="186"/>
    </row>
    <row r="687" spans="9:21">
      <c r="I687" s="281"/>
      <c r="J687" s="281"/>
      <c r="K687" s="281"/>
      <c r="L687" s="281"/>
      <c r="M687" s="281"/>
      <c r="N687" s="281"/>
      <c r="O687" s="281"/>
      <c r="P687" s="281"/>
      <c r="Q687" s="186"/>
      <c r="R687" s="186"/>
      <c r="S687" s="186"/>
      <c r="U687" s="186"/>
    </row>
    <row r="688" spans="9:21">
      <c r="I688" s="281"/>
      <c r="J688" s="281"/>
      <c r="K688" s="281"/>
      <c r="L688" s="281"/>
      <c r="M688" s="281"/>
      <c r="N688" s="281"/>
      <c r="O688" s="281"/>
      <c r="P688" s="281"/>
      <c r="Q688" s="186"/>
      <c r="R688" s="186"/>
      <c r="S688" s="186"/>
      <c r="U688" s="186"/>
    </row>
    <row r="689" spans="9:21">
      <c r="I689" s="281"/>
      <c r="J689" s="281"/>
      <c r="K689" s="281"/>
      <c r="L689" s="281"/>
      <c r="M689" s="281"/>
      <c r="N689" s="281"/>
      <c r="O689" s="281"/>
      <c r="P689" s="281"/>
      <c r="Q689" s="186"/>
      <c r="R689" s="186"/>
      <c r="S689" s="186"/>
      <c r="U689" s="186"/>
    </row>
    <row r="690" spans="9:21">
      <c r="I690" s="281"/>
      <c r="J690" s="281"/>
      <c r="K690" s="281"/>
      <c r="L690" s="281"/>
      <c r="M690" s="281"/>
      <c r="N690" s="281"/>
      <c r="O690" s="281"/>
      <c r="P690" s="281"/>
      <c r="Q690" s="186"/>
      <c r="R690" s="186"/>
      <c r="S690" s="186"/>
      <c r="U690" s="186"/>
    </row>
    <row r="691" spans="9:21">
      <c r="I691" s="281"/>
      <c r="J691" s="281"/>
      <c r="K691" s="281"/>
      <c r="L691" s="281"/>
      <c r="M691" s="281"/>
      <c r="N691" s="281"/>
      <c r="O691" s="281"/>
      <c r="P691" s="281"/>
      <c r="Q691" s="186"/>
      <c r="R691" s="186"/>
      <c r="S691" s="186"/>
      <c r="U691" s="186"/>
    </row>
    <row r="692" spans="9:21">
      <c r="I692" s="281"/>
      <c r="J692" s="281"/>
      <c r="K692" s="281"/>
      <c r="L692" s="281"/>
      <c r="M692" s="281"/>
      <c r="N692" s="281"/>
      <c r="O692" s="281"/>
      <c r="P692" s="281"/>
      <c r="Q692" s="186"/>
      <c r="R692" s="186"/>
      <c r="S692" s="186"/>
      <c r="U692" s="186"/>
    </row>
    <row r="693" spans="9:21">
      <c r="I693" s="281"/>
      <c r="J693" s="281"/>
      <c r="K693" s="281"/>
      <c r="L693" s="281"/>
      <c r="M693" s="281"/>
      <c r="N693" s="281"/>
      <c r="O693" s="281"/>
      <c r="P693" s="281"/>
      <c r="Q693" s="186"/>
      <c r="R693" s="186"/>
      <c r="S693" s="186"/>
      <c r="U693" s="186"/>
    </row>
    <row r="694" spans="9:21">
      <c r="I694" s="281"/>
      <c r="J694" s="281"/>
      <c r="K694" s="281"/>
      <c r="L694" s="281"/>
      <c r="M694" s="281"/>
      <c r="N694" s="281"/>
      <c r="O694" s="281"/>
      <c r="P694" s="281"/>
      <c r="Q694" s="186"/>
      <c r="R694" s="186"/>
      <c r="S694" s="186"/>
      <c r="U694" s="186"/>
    </row>
    <row r="695" spans="9:21">
      <c r="I695" s="281"/>
      <c r="J695" s="281"/>
      <c r="K695" s="281"/>
      <c r="L695" s="281"/>
      <c r="M695" s="281"/>
      <c r="N695" s="281"/>
      <c r="O695" s="281"/>
      <c r="P695" s="281"/>
      <c r="Q695" s="186"/>
      <c r="R695" s="186"/>
      <c r="S695" s="186"/>
      <c r="U695" s="186"/>
    </row>
    <row r="696" spans="9:21">
      <c r="I696" s="281"/>
      <c r="J696" s="281"/>
      <c r="K696" s="281"/>
      <c r="L696" s="281"/>
      <c r="M696" s="281"/>
      <c r="N696" s="281"/>
      <c r="O696" s="281"/>
      <c r="P696" s="281"/>
      <c r="Q696" s="186"/>
      <c r="R696" s="186"/>
      <c r="S696" s="186"/>
      <c r="U696" s="186"/>
    </row>
    <row r="697" spans="9:21">
      <c r="I697" s="281"/>
      <c r="J697" s="281"/>
      <c r="K697" s="281"/>
      <c r="L697" s="281"/>
      <c r="M697" s="281"/>
      <c r="N697" s="281"/>
      <c r="O697" s="281"/>
      <c r="P697" s="281"/>
      <c r="Q697" s="186"/>
      <c r="R697" s="186"/>
      <c r="S697" s="186"/>
      <c r="U697" s="186"/>
    </row>
    <row r="698" spans="9:21">
      <c r="I698" s="281"/>
      <c r="J698" s="281"/>
      <c r="K698" s="281"/>
      <c r="L698" s="281"/>
      <c r="M698" s="281"/>
      <c r="N698" s="281"/>
      <c r="O698" s="281"/>
      <c r="P698" s="281"/>
      <c r="Q698" s="186"/>
      <c r="R698" s="186"/>
      <c r="S698" s="186"/>
      <c r="U698" s="186"/>
    </row>
    <row r="699" spans="9:21">
      <c r="I699" s="281"/>
      <c r="J699" s="281"/>
      <c r="K699" s="281"/>
      <c r="L699" s="281"/>
      <c r="M699" s="281"/>
      <c r="N699" s="281"/>
      <c r="O699" s="281"/>
      <c r="P699" s="281"/>
      <c r="Q699" s="186"/>
      <c r="R699" s="186"/>
      <c r="S699" s="186"/>
      <c r="U699" s="186"/>
    </row>
    <row r="700" spans="9:21">
      <c r="I700" s="281"/>
      <c r="J700" s="281"/>
      <c r="K700" s="281"/>
      <c r="L700" s="281"/>
      <c r="M700" s="281"/>
      <c r="N700" s="281"/>
      <c r="O700" s="281"/>
      <c r="P700" s="281"/>
      <c r="Q700" s="186"/>
      <c r="R700" s="186"/>
      <c r="S700" s="186"/>
      <c r="U700" s="186"/>
    </row>
    <row r="701" spans="9:21">
      <c r="I701" s="281"/>
      <c r="J701" s="281"/>
      <c r="K701" s="281"/>
      <c r="L701" s="281"/>
      <c r="M701" s="281"/>
      <c r="N701" s="281"/>
      <c r="O701" s="281"/>
      <c r="P701" s="281"/>
      <c r="Q701" s="186"/>
      <c r="R701" s="186"/>
      <c r="S701" s="186"/>
      <c r="U701" s="186"/>
    </row>
    <row r="702" spans="9:21">
      <c r="I702" s="281"/>
      <c r="J702" s="281"/>
      <c r="K702" s="281"/>
      <c r="L702" s="281"/>
      <c r="M702" s="281"/>
      <c r="N702" s="281"/>
      <c r="O702" s="281"/>
      <c r="P702" s="281"/>
      <c r="Q702" s="186"/>
      <c r="R702" s="186"/>
      <c r="S702" s="186"/>
      <c r="U702" s="186"/>
    </row>
    <row r="703" spans="9:21">
      <c r="I703" s="281"/>
      <c r="J703" s="281"/>
      <c r="K703" s="281"/>
      <c r="L703" s="281"/>
      <c r="M703" s="281"/>
      <c r="N703" s="281"/>
      <c r="O703" s="281"/>
      <c r="P703" s="281"/>
      <c r="Q703" s="186"/>
      <c r="R703" s="186"/>
      <c r="S703" s="186"/>
      <c r="U703" s="186"/>
    </row>
    <row r="704" spans="9:21">
      <c r="I704" s="281"/>
      <c r="J704" s="281"/>
      <c r="K704" s="281"/>
      <c r="L704" s="281"/>
      <c r="M704" s="281"/>
      <c r="N704" s="281"/>
      <c r="O704" s="281"/>
      <c r="P704" s="281"/>
      <c r="Q704" s="186"/>
      <c r="R704" s="186"/>
      <c r="S704" s="186"/>
      <c r="U704" s="186"/>
    </row>
    <row r="705" spans="9:21">
      <c r="I705" s="281"/>
      <c r="J705" s="281"/>
      <c r="K705" s="281"/>
      <c r="L705" s="281"/>
      <c r="M705" s="281"/>
      <c r="N705" s="281"/>
      <c r="O705" s="281"/>
      <c r="P705" s="281"/>
      <c r="Q705" s="186"/>
      <c r="R705" s="186"/>
      <c r="S705" s="186"/>
      <c r="U705" s="186"/>
    </row>
    <row r="706" spans="9:21">
      <c r="I706" s="281"/>
      <c r="J706" s="281"/>
      <c r="K706" s="281"/>
      <c r="L706" s="281"/>
      <c r="M706" s="281"/>
      <c r="N706" s="281"/>
      <c r="O706" s="281"/>
      <c r="P706" s="281"/>
      <c r="Q706" s="186"/>
      <c r="R706" s="186"/>
      <c r="S706" s="186"/>
      <c r="U706" s="186"/>
    </row>
    <row r="707" spans="9:21">
      <c r="I707" s="281"/>
      <c r="J707" s="281"/>
      <c r="K707" s="281"/>
      <c r="L707" s="281"/>
      <c r="M707" s="281"/>
      <c r="N707" s="281"/>
      <c r="O707" s="281"/>
      <c r="P707" s="281"/>
      <c r="Q707" s="186"/>
      <c r="R707" s="186"/>
      <c r="S707" s="186"/>
      <c r="U707" s="186"/>
    </row>
    <row r="708" spans="9:21">
      <c r="I708" s="281"/>
      <c r="J708" s="281"/>
      <c r="K708" s="281"/>
      <c r="L708" s="281"/>
      <c r="M708" s="281"/>
      <c r="N708" s="281"/>
      <c r="O708" s="281"/>
      <c r="P708" s="281"/>
      <c r="Q708" s="186"/>
      <c r="R708" s="186"/>
      <c r="S708" s="186"/>
      <c r="U708" s="186"/>
    </row>
    <row r="709" spans="9:21">
      <c r="I709" s="281"/>
      <c r="J709" s="281"/>
      <c r="K709" s="281"/>
      <c r="L709" s="281"/>
      <c r="M709" s="281"/>
      <c r="N709" s="281"/>
      <c r="O709" s="281"/>
      <c r="P709" s="281"/>
      <c r="Q709" s="186"/>
      <c r="R709" s="186"/>
      <c r="S709" s="186"/>
      <c r="U709" s="186"/>
    </row>
    <row r="710" spans="9:21">
      <c r="I710" s="281"/>
      <c r="J710" s="281"/>
      <c r="K710" s="281"/>
      <c r="L710" s="281"/>
      <c r="M710" s="281"/>
      <c r="N710" s="281"/>
      <c r="O710" s="281"/>
      <c r="P710" s="281"/>
      <c r="Q710" s="186"/>
      <c r="R710" s="186"/>
      <c r="S710" s="186"/>
      <c r="U710" s="186"/>
    </row>
    <row r="711" spans="9:21">
      <c r="I711" s="281"/>
      <c r="J711" s="281"/>
      <c r="K711" s="281"/>
      <c r="L711" s="281"/>
      <c r="M711" s="281"/>
      <c r="N711" s="281"/>
      <c r="O711" s="281"/>
      <c r="P711" s="281"/>
      <c r="Q711" s="186"/>
      <c r="R711" s="186"/>
      <c r="S711" s="186"/>
      <c r="U711" s="186"/>
    </row>
    <row r="712" spans="9:21">
      <c r="I712" s="281"/>
      <c r="J712" s="281"/>
      <c r="K712" s="281"/>
      <c r="L712" s="281"/>
      <c r="M712" s="281"/>
      <c r="N712" s="281"/>
      <c r="O712" s="281"/>
      <c r="P712" s="281"/>
      <c r="Q712" s="186"/>
      <c r="R712" s="186"/>
      <c r="S712" s="186"/>
      <c r="U712" s="186"/>
    </row>
    <row r="713" spans="9:21">
      <c r="I713" s="281"/>
      <c r="J713" s="281"/>
      <c r="K713" s="281"/>
      <c r="L713" s="281"/>
      <c r="M713" s="281"/>
      <c r="N713" s="281"/>
      <c r="O713" s="281"/>
      <c r="P713" s="281"/>
      <c r="Q713" s="186"/>
      <c r="R713" s="186"/>
      <c r="S713" s="186"/>
      <c r="U713" s="186"/>
    </row>
    <row r="714" spans="9:21">
      <c r="I714" s="281"/>
      <c r="J714" s="281"/>
      <c r="K714" s="281"/>
      <c r="L714" s="281"/>
      <c r="M714" s="281"/>
      <c r="N714" s="281"/>
      <c r="O714" s="281"/>
      <c r="P714" s="281"/>
      <c r="Q714" s="186"/>
      <c r="R714" s="186"/>
      <c r="S714" s="186"/>
      <c r="U714" s="186"/>
    </row>
    <row r="715" spans="9:21">
      <c r="I715" s="281"/>
      <c r="J715" s="281"/>
      <c r="K715" s="281"/>
      <c r="L715" s="281"/>
      <c r="M715" s="281"/>
      <c r="N715" s="281"/>
      <c r="O715" s="281"/>
      <c r="P715" s="281"/>
      <c r="Q715" s="186"/>
      <c r="R715" s="186"/>
      <c r="S715" s="186"/>
      <c r="U715" s="186"/>
    </row>
    <row r="716" spans="9:21">
      <c r="I716" s="281"/>
      <c r="J716" s="281"/>
      <c r="K716" s="281"/>
      <c r="L716" s="281"/>
      <c r="M716" s="281"/>
      <c r="N716" s="281"/>
      <c r="O716" s="281"/>
      <c r="P716" s="281"/>
      <c r="Q716" s="186"/>
      <c r="R716" s="186"/>
      <c r="S716" s="186"/>
      <c r="U716" s="186"/>
    </row>
    <row r="717" spans="9:21">
      <c r="I717" s="281"/>
      <c r="J717" s="281"/>
      <c r="K717" s="281"/>
      <c r="L717" s="281"/>
      <c r="M717" s="281"/>
      <c r="N717" s="281"/>
      <c r="O717" s="281"/>
      <c r="P717" s="281"/>
      <c r="Q717" s="186"/>
      <c r="R717" s="186"/>
      <c r="S717" s="186"/>
      <c r="U717" s="186"/>
    </row>
    <row r="718" spans="9:21">
      <c r="I718" s="281"/>
      <c r="J718" s="281"/>
      <c r="K718" s="281"/>
      <c r="L718" s="281"/>
      <c r="M718" s="281"/>
      <c r="N718" s="281"/>
      <c r="O718" s="281"/>
      <c r="P718" s="281"/>
      <c r="Q718" s="186"/>
      <c r="R718" s="186"/>
      <c r="S718" s="186"/>
      <c r="U718" s="186"/>
    </row>
    <row r="719" spans="9:21">
      <c r="I719" s="281"/>
      <c r="J719" s="281"/>
      <c r="K719" s="281"/>
      <c r="L719" s="281"/>
      <c r="M719" s="281"/>
      <c r="N719" s="281"/>
      <c r="O719" s="281"/>
      <c r="P719" s="281"/>
      <c r="Q719" s="186"/>
      <c r="R719" s="186"/>
      <c r="S719" s="186"/>
      <c r="U719" s="186"/>
    </row>
    <row r="720" spans="9:21">
      <c r="I720" s="281"/>
      <c r="J720" s="281"/>
      <c r="K720" s="281"/>
      <c r="L720" s="281"/>
      <c r="M720" s="281"/>
      <c r="N720" s="281"/>
      <c r="O720" s="281"/>
      <c r="P720" s="281"/>
      <c r="Q720" s="186"/>
      <c r="R720" s="186"/>
      <c r="S720" s="186"/>
      <c r="U720" s="186"/>
    </row>
    <row r="721" spans="9:21">
      <c r="I721" s="281"/>
      <c r="J721" s="281"/>
      <c r="K721" s="281"/>
      <c r="L721" s="281"/>
      <c r="M721" s="281"/>
      <c r="N721" s="281"/>
      <c r="O721" s="281"/>
      <c r="P721" s="281"/>
      <c r="Q721" s="186"/>
      <c r="R721" s="186"/>
      <c r="S721" s="186"/>
      <c r="U721" s="186"/>
    </row>
    <row r="722" spans="9:21">
      <c r="I722" s="281"/>
      <c r="J722" s="281"/>
      <c r="K722" s="281"/>
      <c r="L722" s="281"/>
      <c r="M722" s="281"/>
      <c r="N722" s="281"/>
      <c r="O722" s="281"/>
      <c r="P722" s="281"/>
      <c r="Q722" s="186"/>
      <c r="R722" s="186"/>
      <c r="S722" s="186"/>
      <c r="U722" s="186"/>
    </row>
    <row r="723" spans="9:21">
      <c r="I723" s="281"/>
      <c r="J723" s="281"/>
      <c r="K723" s="281"/>
      <c r="L723" s="281"/>
      <c r="M723" s="281"/>
      <c r="N723" s="281"/>
      <c r="O723" s="281"/>
      <c r="P723" s="281"/>
      <c r="Q723" s="186"/>
      <c r="R723" s="186"/>
      <c r="S723" s="186"/>
      <c r="U723" s="186"/>
    </row>
    <row r="724" spans="9:21">
      <c r="I724" s="281"/>
      <c r="J724" s="281"/>
      <c r="K724" s="281"/>
      <c r="L724" s="281"/>
      <c r="M724" s="281"/>
      <c r="N724" s="281"/>
      <c r="O724" s="281"/>
      <c r="P724" s="281"/>
      <c r="Q724" s="186"/>
      <c r="R724" s="186"/>
      <c r="S724" s="186"/>
      <c r="U724" s="186"/>
    </row>
    <row r="725" spans="9:21">
      <c r="I725" s="281"/>
      <c r="J725" s="281"/>
      <c r="K725" s="281"/>
      <c r="L725" s="281"/>
      <c r="M725" s="281"/>
      <c r="N725" s="281"/>
      <c r="O725" s="281"/>
      <c r="P725" s="281"/>
      <c r="Q725" s="186"/>
      <c r="R725" s="186"/>
      <c r="S725" s="186"/>
      <c r="U725" s="186"/>
    </row>
    <row r="726" spans="9:21">
      <c r="I726" s="281"/>
      <c r="J726" s="281"/>
      <c r="K726" s="281"/>
      <c r="L726" s="281"/>
      <c r="M726" s="281"/>
      <c r="N726" s="281"/>
      <c r="O726" s="281"/>
      <c r="P726" s="281"/>
      <c r="Q726" s="186"/>
      <c r="R726" s="186"/>
      <c r="S726" s="186"/>
      <c r="U726" s="186"/>
    </row>
    <row r="727" spans="9:21">
      <c r="I727" s="281"/>
      <c r="J727" s="281"/>
      <c r="K727" s="281"/>
      <c r="L727" s="281"/>
      <c r="M727" s="281"/>
      <c r="N727" s="281"/>
      <c r="O727" s="281"/>
      <c r="P727" s="281"/>
      <c r="Q727" s="186"/>
      <c r="R727" s="186"/>
      <c r="S727" s="186"/>
      <c r="U727" s="186"/>
    </row>
    <row r="728" spans="9:21">
      <c r="I728" s="281"/>
      <c r="J728" s="281"/>
      <c r="K728" s="281"/>
      <c r="L728" s="281"/>
      <c r="M728" s="281"/>
      <c r="N728" s="281"/>
      <c r="O728" s="281"/>
      <c r="P728" s="281"/>
      <c r="Q728" s="186"/>
      <c r="R728" s="186"/>
      <c r="S728" s="186"/>
      <c r="U728" s="186"/>
    </row>
    <row r="729" spans="9:21">
      <c r="I729" s="281"/>
      <c r="J729" s="281"/>
      <c r="K729" s="281"/>
      <c r="L729" s="281"/>
      <c r="M729" s="281"/>
      <c r="N729" s="281"/>
      <c r="O729" s="281"/>
      <c r="P729" s="281"/>
      <c r="Q729" s="186"/>
      <c r="R729" s="186"/>
      <c r="S729" s="186"/>
      <c r="U729" s="186"/>
    </row>
    <row r="730" spans="9:21">
      <c r="I730" s="281"/>
      <c r="J730" s="281"/>
      <c r="K730" s="281"/>
      <c r="L730" s="281"/>
      <c r="M730" s="281"/>
      <c r="N730" s="281"/>
      <c r="O730" s="281"/>
      <c r="P730" s="281"/>
      <c r="Q730" s="186"/>
      <c r="R730" s="186"/>
      <c r="S730" s="186"/>
      <c r="U730" s="186"/>
    </row>
    <row r="731" spans="9:21">
      <c r="I731" s="281"/>
      <c r="J731" s="281"/>
      <c r="K731" s="281"/>
      <c r="L731" s="281"/>
      <c r="M731" s="281"/>
      <c r="N731" s="281"/>
      <c r="O731" s="281"/>
      <c r="P731" s="281"/>
      <c r="Q731" s="186"/>
      <c r="R731" s="186"/>
      <c r="S731" s="186"/>
      <c r="U731" s="186"/>
    </row>
    <row r="732" spans="9:21">
      <c r="I732" s="281"/>
      <c r="J732" s="281"/>
      <c r="K732" s="281"/>
      <c r="L732" s="281"/>
      <c r="M732" s="281"/>
      <c r="N732" s="281"/>
      <c r="O732" s="281"/>
      <c r="P732" s="281"/>
      <c r="Q732" s="186"/>
      <c r="R732" s="186"/>
      <c r="S732" s="186"/>
      <c r="U732" s="186"/>
    </row>
    <row r="733" spans="9:21">
      <c r="I733" s="281"/>
      <c r="J733" s="281"/>
      <c r="K733" s="281"/>
      <c r="L733" s="281"/>
      <c r="M733" s="281"/>
      <c r="N733" s="281"/>
      <c r="O733" s="281"/>
      <c r="P733" s="281"/>
      <c r="Q733" s="186"/>
      <c r="R733" s="186"/>
      <c r="S733" s="186"/>
      <c r="U733" s="186"/>
    </row>
    <row r="734" spans="9:21">
      <c r="I734" s="281"/>
      <c r="J734" s="281"/>
      <c r="K734" s="281"/>
      <c r="L734" s="281"/>
      <c r="M734" s="281"/>
      <c r="N734" s="281"/>
      <c r="O734" s="281"/>
      <c r="P734" s="281"/>
      <c r="Q734" s="186"/>
      <c r="R734" s="186"/>
      <c r="S734" s="186"/>
      <c r="U734" s="186"/>
    </row>
    <row r="735" spans="9:21">
      <c r="I735" s="281"/>
      <c r="J735" s="281"/>
      <c r="K735" s="281"/>
      <c r="L735" s="281"/>
      <c r="M735" s="281"/>
      <c r="N735" s="281"/>
      <c r="O735" s="281"/>
      <c r="P735" s="281"/>
      <c r="Q735" s="186"/>
      <c r="R735" s="186"/>
      <c r="S735" s="186"/>
      <c r="U735" s="186"/>
    </row>
    <row r="736" spans="9:21">
      <c r="I736" s="281"/>
      <c r="J736" s="281"/>
      <c r="K736" s="281"/>
      <c r="L736" s="281"/>
      <c r="M736" s="281"/>
      <c r="N736" s="281"/>
      <c r="O736" s="281"/>
      <c r="P736" s="281"/>
      <c r="Q736" s="186"/>
      <c r="R736" s="186"/>
      <c r="S736" s="186"/>
      <c r="U736" s="186"/>
    </row>
    <row r="737" spans="9:21">
      <c r="I737" s="281"/>
      <c r="J737" s="281"/>
      <c r="K737" s="281"/>
      <c r="L737" s="281"/>
      <c r="M737" s="281"/>
      <c r="N737" s="281"/>
      <c r="O737" s="281"/>
      <c r="P737" s="281"/>
      <c r="Q737" s="186"/>
      <c r="R737" s="186"/>
      <c r="S737" s="186"/>
      <c r="U737" s="186"/>
    </row>
    <row r="738" spans="9:21">
      <c r="I738" s="281"/>
      <c r="J738" s="281"/>
      <c r="K738" s="281"/>
      <c r="L738" s="281"/>
      <c r="M738" s="281"/>
      <c r="N738" s="281"/>
      <c r="O738" s="281"/>
      <c r="P738" s="281"/>
      <c r="Q738" s="186"/>
      <c r="R738" s="186"/>
      <c r="S738" s="186"/>
      <c r="U738" s="186"/>
    </row>
    <row r="739" spans="9:21">
      <c r="I739" s="281"/>
      <c r="J739" s="281"/>
      <c r="K739" s="281"/>
      <c r="L739" s="281"/>
      <c r="M739" s="281"/>
      <c r="N739" s="281"/>
      <c r="O739" s="281"/>
      <c r="P739" s="281"/>
      <c r="Q739" s="186"/>
      <c r="R739" s="186"/>
      <c r="S739" s="186"/>
      <c r="U739" s="186"/>
    </row>
    <row r="740" spans="9:21">
      <c r="I740" s="281"/>
      <c r="J740" s="281"/>
      <c r="K740" s="281"/>
      <c r="L740" s="281"/>
      <c r="M740" s="281"/>
      <c r="N740" s="281"/>
      <c r="O740" s="281"/>
      <c r="P740" s="281"/>
      <c r="Q740" s="186"/>
      <c r="R740" s="186"/>
      <c r="S740" s="186"/>
      <c r="U740" s="186"/>
    </row>
    <row r="741" spans="9:21">
      <c r="I741" s="281"/>
      <c r="J741" s="281"/>
      <c r="K741" s="281"/>
      <c r="L741" s="281"/>
      <c r="M741" s="281"/>
      <c r="N741" s="281"/>
      <c r="O741" s="281"/>
      <c r="P741" s="281"/>
      <c r="Q741" s="186"/>
      <c r="R741" s="186"/>
      <c r="S741" s="186"/>
      <c r="U741" s="186"/>
    </row>
    <row r="742" spans="9:21">
      <c r="I742" s="281"/>
      <c r="J742" s="281"/>
      <c r="K742" s="281"/>
      <c r="L742" s="281"/>
      <c r="M742" s="281"/>
      <c r="N742" s="281"/>
      <c r="O742" s="281"/>
      <c r="P742" s="281"/>
      <c r="Q742" s="186"/>
      <c r="R742" s="186"/>
      <c r="S742" s="186"/>
      <c r="U742" s="186"/>
    </row>
    <row r="743" spans="9:21">
      <c r="I743" s="281"/>
      <c r="J743" s="281"/>
      <c r="K743" s="281"/>
      <c r="L743" s="281"/>
      <c r="M743" s="281"/>
      <c r="N743" s="281"/>
      <c r="O743" s="281"/>
      <c r="P743" s="281"/>
      <c r="Q743" s="186"/>
      <c r="R743" s="186"/>
      <c r="S743" s="186"/>
      <c r="U743" s="186"/>
    </row>
    <row r="744" spans="9:21">
      <c r="I744" s="281"/>
      <c r="J744" s="281"/>
      <c r="K744" s="281"/>
      <c r="L744" s="281"/>
      <c r="M744" s="281"/>
      <c r="N744" s="281"/>
      <c r="O744" s="281"/>
      <c r="P744" s="281"/>
      <c r="Q744" s="186"/>
      <c r="R744" s="186"/>
      <c r="S744" s="186"/>
      <c r="U744" s="186"/>
    </row>
    <row r="745" spans="9:21">
      <c r="I745" s="281"/>
      <c r="J745" s="281"/>
      <c r="K745" s="281"/>
      <c r="L745" s="281"/>
      <c r="M745" s="281"/>
      <c r="N745" s="281"/>
      <c r="O745" s="281"/>
      <c r="P745" s="281"/>
      <c r="Q745" s="186"/>
      <c r="R745" s="186"/>
      <c r="S745" s="186"/>
      <c r="U745" s="186"/>
    </row>
    <row r="746" spans="9:21">
      <c r="I746" s="281"/>
      <c r="J746" s="281"/>
      <c r="K746" s="281"/>
      <c r="L746" s="281"/>
      <c r="M746" s="281"/>
      <c r="N746" s="281"/>
      <c r="O746" s="281"/>
      <c r="P746" s="281"/>
      <c r="Q746" s="186"/>
      <c r="R746" s="186"/>
      <c r="S746" s="186"/>
      <c r="U746" s="186"/>
    </row>
    <row r="747" spans="9:21">
      <c r="I747" s="281"/>
      <c r="J747" s="281"/>
      <c r="K747" s="281"/>
      <c r="L747" s="281"/>
      <c r="M747" s="281"/>
      <c r="N747" s="281"/>
      <c r="O747" s="281"/>
      <c r="P747" s="281"/>
      <c r="Q747" s="186"/>
      <c r="R747" s="186"/>
      <c r="S747" s="186"/>
      <c r="U747" s="186"/>
    </row>
    <row r="748" spans="9:21">
      <c r="I748" s="281"/>
      <c r="J748" s="281"/>
      <c r="K748" s="281"/>
      <c r="L748" s="281"/>
      <c r="M748" s="281"/>
      <c r="N748" s="281"/>
      <c r="O748" s="281"/>
      <c r="P748" s="281"/>
      <c r="Q748" s="186"/>
      <c r="R748" s="186"/>
      <c r="S748" s="186"/>
      <c r="U748" s="186"/>
    </row>
    <row r="749" spans="9:21">
      <c r="I749" s="281"/>
      <c r="J749" s="281"/>
      <c r="K749" s="281"/>
      <c r="L749" s="281"/>
      <c r="M749" s="281"/>
      <c r="N749" s="281"/>
      <c r="O749" s="281"/>
      <c r="P749" s="281"/>
      <c r="Q749" s="186"/>
      <c r="R749" s="186"/>
      <c r="S749" s="186"/>
      <c r="U749" s="186"/>
    </row>
    <row r="750" spans="9:21">
      <c r="I750" s="281"/>
      <c r="J750" s="281"/>
      <c r="K750" s="281"/>
      <c r="L750" s="281"/>
      <c r="M750" s="281"/>
      <c r="N750" s="281"/>
      <c r="O750" s="281"/>
      <c r="P750" s="281"/>
      <c r="Q750" s="186"/>
      <c r="R750" s="186"/>
      <c r="S750" s="186"/>
      <c r="U750" s="186"/>
    </row>
    <row r="751" spans="9:21">
      <c r="I751" s="281"/>
      <c r="J751" s="281"/>
      <c r="K751" s="281"/>
      <c r="L751" s="281"/>
      <c r="M751" s="281"/>
      <c r="N751" s="281"/>
      <c r="O751" s="281"/>
      <c r="P751" s="281"/>
      <c r="Q751" s="186"/>
      <c r="R751" s="186"/>
      <c r="S751" s="186"/>
      <c r="U751" s="186"/>
    </row>
    <row r="752" spans="9:21">
      <c r="I752" s="281"/>
      <c r="J752" s="281"/>
      <c r="K752" s="281"/>
      <c r="L752" s="281"/>
      <c r="M752" s="281"/>
      <c r="N752" s="281"/>
      <c r="O752" s="281"/>
      <c r="P752" s="281"/>
      <c r="Q752" s="186"/>
      <c r="R752" s="186"/>
      <c r="S752" s="186"/>
      <c r="U752" s="186"/>
    </row>
    <row r="753" spans="9:21">
      <c r="I753" s="281"/>
      <c r="J753" s="281"/>
      <c r="K753" s="281"/>
      <c r="L753" s="281"/>
      <c r="M753" s="281"/>
      <c r="N753" s="281"/>
      <c r="O753" s="281"/>
      <c r="P753" s="281"/>
      <c r="Q753" s="186"/>
      <c r="R753" s="186"/>
      <c r="S753" s="186"/>
      <c r="U753" s="186"/>
    </row>
    <row r="754" spans="9:21">
      <c r="I754" s="281"/>
      <c r="J754" s="281"/>
      <c r="K754" s="281"/>
      <c r="L754" s="281"/>
      <c r="M754" s="281"/>
      <c r="N754" s="281"/>
      <c r="O754" s="281"/>
      <c r="P754" s="281"/>
      <c r="Q754" s="186"/>
      <c r="R754" s="186"/>
      <c r="S754" s="186"/>
      <c r="U754" s="186"/>
    </row>
    <row r="755" spans="9:21">
      <c r="I755" s="281"/>
      <c r="J755" s="281"/>
      <c r="K755" s="281"/>
      <c r="L755" s="281"/>
      <c r="M755" s="281"/>
      <c r="N755" s="281"/>
      <c r="O755" s="281"/>
      <c r="P755" s="281"/>
      <c r="Q755" s="186"/>
      <c r="R755" s="186"/>
      <c r="S755" s="186"/>
      <c r="U755" s="186"/>
    </row>
    <row r="756" spans="9:21">
      <c r="I756" s="281"/>
      <c r="J756" s="281"/>
      <c r="K756" s="281"/>
      <c r="L756" s="281"/>
      <c r="M756" s="281"/>
      <c r="N756" s="281"/>
      <c r="O756" s="281"/>
      <c r="P756" s="281"/>
      <c r="Q756" s="186"/>
      <c r="R756" s="186"/>
      <c r="S756" s="186"/>
      <c r="U756" s="186"/>
    </row>
    <row r="757" spans="9:21">
      <c r="I757" s="281"/>
      <c r="J757" s="281"/>
      <c r="K757" s="281"/>
      <c r="L757" s="281"/>
      <c r="M757" s="281"/>
      <c r="N757" s="281"/>
      <c r="O757" s="281"/>
      <c r="P757" s="281"/>
      <c r="Q757" s="186"/>
      <c r="R757" s="186"/>
      <c r="S757" s="186"/>
      <c r="U757" s="186"/>
    </row>
    <row r="758" spans="9:21">
      <c r="I758" s="281"/>
      <c r="J758" s="281"/>
      <c r="K758" s="281"/>
      <c r="L758" s="281"/>
      <c r="M758" s="281"/>
      <c r="N758" s="281"/>
      <c r="O758" s="281"/>
      <c r="P758" s="281"/>
      <c r="Q758" s="186"/>
      <c r="R758" s="186"/>
      <c r="S758" s="186"/>
      <c r="U758" s="186"/>
    </row>
    <row r="759" spans="9:21">
      <c r="I759" s="281"/>
      <c r="J759" s="281"/>
      <c r="K759" s="281"/>
      <c r="L759" s="281"/>
      <c r="M759" s="281"/>
      <c r="N759" s="281"/>
      <c r="O759" s="281"/>
      <c r="P759" s="281"/>
      <c r="Q759" s="186"/>
      <c r="R759" s="186"/>
      <c r="S759" s="186"/>
      <c r="U759" s="186"/>
    </row>
    <row r="760" spans="9:21">
      <c r="I760" s="281"/>
      <c r="J760" s="281"/>
      <c r="K760" s="281"/>
      <c r="L760" s="281"/>
      <c r="M760" s="281"/>
      <c r="N760" s="281"/>
      <c r="O760" s="281"/>
      <c r="P760" s="281"/>
      <c r="Q760" s="186"/>
      <c r="R760" s="186"/>
      <c r="S760" s="186"/>
      <c r="U760" s="186"/>
    </row>
    <row r="761" spans="9:21">
      <c r="I761" s="281"/>
      <c r="J761" s="281"/>
      <c r="K761" s="281"/>
      <c r="L761" s="281"/>
      <c r="M761" s="281"/>
      <c r="N761" s="281"/>
      <c r="O761" s="281"/>
      <c r="P761" s="281"/>
      <c r="Q761" s="186"/>
      <c r="R761" s="186"/>
      <c r="S761" s="186"/>
      <c r="U761" s="186"/>
    </row>
    <row r="762" spans="9:21">
      <c r="I762" s="281"/>
      <c r="J762" s="281"/>
      <c r="K762" s="281"/>
      <c r="L762" s="281"/>
      <c r="M762" s="281"/>
      <c r="N762" s="281"/>
      <c r="O762" s="281"/>
      <c r="P762" s="281"/>
      <c r="Q762" s="186"/>
      <c r="R762" s="186"/>
      <c r="S762" s="186"/>
      <c r="U762" s="186"/>
    </row>
    <row r="763" spans="9:21">
      <c r="I763" s="281"/>
      <c r="J763" s="281"/>
      <c r="K763" s="281"/>
      <c r="L763" s="281"/>
      <c r="M763" s="281"/>
      <c r="N763" s="281"/>
      <c r="O763" s="281"/>
      <c r="P763" s="281"/>
      <c r="Q763" s="186"/>
      <c r="R763" s="186"/>
      <c r="S763" s="186"/>
      <c r="U763" s="186"/>
    </row>
    <row r="764" spans="9:21">
      <c r="I764" s="281"/>
      <c r="J764" s="281"/>
      <c r="K764" s="281"/>
      <c r="L764" s="281"/>
      <c r="M764" s="281"/>
      <c r="N764" s="281"/>
      <c r="O764" s="281"/>
      <c r="P764" s="281"/>
      <c r="Q764" s="186"/>
      <c r="R764" s="186"/>
      <c r="S764" s="186"/>
      <c r="U764" s="186"/>
    </row>
    <row r="765" spans="9:21">
      <c r="I765" s="281"/>
      <c r="J765" s="281"/>
      <c r="K765" s="281"/>
      <c r="L765" s="281"/>
      <c r="M765" s="281"/>
      <c r="N765" s="281"/>
      <c r="O765" s="281"/>
      <c r="P765" s="281"/>
      <c r="Q765" s="186"/>
      <c r="R765" s="186"/>
      <c r="S765" s="186"/>
      <c r="U765" s="186"/>
    </row>
    <row r="766" spans="9:21">
      <c r="I766" s="281"/>
      <c r="J766" s="281"/>
      <c r="K766" s="281"/>
      <c r="L766" s="281"/>
      <c r="M766" s="281"/>
      <c r="N766" s="281"/>
      <c r="O766" s="281"/>
      <c r="P766" s="281"/>
      <c r="Q766" s="186"/>
      <c r="R766" s="186"/>
      <c r="S766" s="186"/>
      <c r="U766" s="186"/>
    </row>
    <row r="767" spans="9:21">
      <c r="I767" s="281"/>
      <c r="J767" s="281"/>
      <c r="K767" s="281"/>
      <c r="L767" s="281"/>
      <c r="M767" s="281"/>
      <c r="N767" s="281"/>
      <c r="O767" s="281"/>
      <c r="P767" s="281"/>
      <c r="Q767" s="186"/>
      <c r="R767" s="186"/>
      <c r="S767" s="186"/>
      <c r="U767" s="186"/>
    </row>
    <row r="768" spans="9:21">
      <c r="I768" s="281"/>
      <c r="J768" s="281"/>
      <c r="K768" s="281"/>
      <c r="L768" s="281"/>
      <c r="M768" s="281"/>
      <c r="N768" s="281"/>
      <c r="O768" s="281"/>
      <c r="P768" s="281"/>
      <c r="Q768" s="186"/>
      <c r="R768" s="186"/>
      <c r="S768" s="186"/>
      <c r="U768" s="186"/>
    </row>
    <row r="769" spans="9:21">
      <c r="I769" s="281"/>
      <c r="J769" s="281"/>
      <c r="K769" s="281"/>
      <c r="L769" s="281"/>
      <c r="M769" s="281"/>
      <c r="N769" s="281"/>
      <c r="O769" s="281"/>
      <c r="P769" s="281"/>
      <c r="Q769" s="186"/>
      <c r="R769" s="186"/>
      <c r="S769" s="186"/>
      <c r="U769" s="186"/>
    </row>
    <row r="770" spans="9:21">
      <c r="I770" s="281"/>
      <c r="J770" s="281"/>
      <c r="K770" s="281"/>
      <c r="L770" s="281"/>
      <c r="M770" s="281"/>
      <c r="N770" s="281"/>
      <c r="O770" s="281"/>
      <c r="P770" s="281"/>
      <c r="Q770" s="186"/>
      <c r="R770" s="186"/>
      <c r="S770" s="186"/>
      <c r="U770" s="186"/>
    </row>
    <row r="771" spans="9:21">
      <c r="I771" s="281"/>
      <c r="J771" s="281"/>
      <c r="K771" s="281"/>
      <c r="L771" s="281"/>
      <c r="M771" s="281"/>
      <c r="N771" s="281"/>
      <c r="O771" s="281"/>
      <c r="P771" s="281"/>
      <c r="Q771" s="186"/>
      <c r="R771" s="186"/>
      <c r="S771" s="186"/>
      <c r="U771" s="186"/>
    </row>
    <row r="772" spans="9:21">
      <c r="I772" s="281"/>
      <c r="J772" s="281"/>
      <c r="K772" s="281"/>
      <c r="L772" s="281"/>
      <c r="M772" s="281"/>
      <c r="N772" s="281"/>
      <c r="O772" s="281"/>
      <c r="P772" s="281"/>
      <c r="Q772" s="186"/>
      <c r="R772" s="186"/>
      <c r="S772" s="186"/>
      <c r="U772" s="186"/>
    </row>
    <row r="773" spans="9:21">
      <c r="I773" s="281"/>
      <c r="J773" s="281"/>
      <c r="K773" s="281"/>
      <c r="L773" s="281"/>
      <c r="M773" s="281"/>
      <c r="N773" s="281"/>
      <c r="O773" s="281"/>
      <c r="P773" s="281"/>
      <c r="Q773" s="186"/>
      <c r="R773" s="186"/>
      <c r="S773" s="186"/>
      <c r="U773" s="186"/>
    </row>
    <row r="774" spans="9:21">
      <c r="I774" s="281"/>
      <c r="J774" s="281"/>
      <c r="K774" s="281"/>
      <c r="L774" s="281"/>
      <c r="M774" s="281"/>
      <c r="N774" s="281"/>
      <c r="O774" s="281"/>
      <c r="P774" s="281"/>
      <c r="Q774" s="186"/>
      <c r="R774" s="186"/>
      <c r="S774" s="186"/>
      <c r="U774" s="186"/>
    </row>
    <row r="775" spans="9:21">
      <c r="I775" s="281"/>
      <c r="J775" s="281"/>
      <c r="K775" s="281"/>
      <c r="L775" s="281"/>
      <c r="M775" s="281"/>
      <c r="N775" s="281"/>
      <c r="O775" s="281"/>
      <c r="P775" s="281"/>
      <c r="Q775" s="186"/>
      <c r="R775" s="186"/>
      <c r="S775" s="186"/>
      <c r="U775" s="186"/>
    </row>
    <row r="776" spans="9:21">
      <c r="I776" s="281"/>
      <c r="J776" s="281"/>
      <c r="K776" s="281"/>
      <c r="L776" s="281"/>
      <c r="M776" s="281"/>
      <c r="N776" s="281"/>
      <c r="O776" s="281"/>
      <c r="P776" s="281"/>
      <c r="Q776" s="186"/>
      <c r="R776" s="186"/>
      <c r="S776" s="186"/>
      <c r="U776" s="186"/>
    </row>
    <row r="777" spans="9:21">
      <c r="I777" s="281"/>
      <c r="J777" s="281"/>
      <c r="K777" s="281"/>
      <c r="L777" s="281"/>
      <c r="M777" s="281"/>
      <c r="N777" s="281"/>
      <c r="O777" s="281"/>
      <c r="P777" s="281"/>
      <c r="Q777" s="186"/>
      <c r="R777" s="186"/>
      <c r="S777" s="186"/>
      <c r="U777" s="186"/>
    </row>
    <row r="778" spans="9:21">
      <c r="I778" s="281"/>
      <c r="J778" s="281"/>
      <c r="K778" s="281"/>
      <c r="L778" s="281"/>
      <c r="M778" s="281"/>
      <c r="N778" s="281"/>
      <c r="O778" s="281"/>
      <c r="P778" s="281"/>
      <c r="Q778" s="186"/>
      <c r="R778" s="186"/>
      <c r="S778" s="186"/>
      <c r="U778" s="186"/>
    </row>
    <row r="779" spans="9:21">
      <c r="I779" s="281"/>
      <c r="J779" s="281"/>
      <c r="K779" s="281"/>
      <c r="L779" s="281"/>
      <c r="M779" s="281"/>
      <c r="N779" s="281"/>
      <c r="O779" s="281"/>
      <c r="P779" s="281"/>
      <c r="Q779" s="186"/>
      <c r="R779" s="186"/>
      <c r="S779" s="186"/>
      <c r="U779" s="186"/>
    </row>
    <row r="780" spans="9:21">
      <c r="I780" s="281"/>
      <c r="J780" s="281"/>
      <c r="K780" s="281"/>
      <c r="L780" s="281"/>
      <c r="M780" s="281"/>
      <c r="N780" s="281"/>
      <c r="O780" s="281"/>
      <c r="P780" s="281"/>
      <c r="Q780" s="186"/>
      <c r="R780" s="186"/>
      <c r="S780" s="186"/>
      <c r="U780" s="186"/>
    </row>
    <row r="781" spans="9:21">
      <c r="I781" s="281"/>
      <c r="J781" s="281"/>
      <c r="K781" s="281"/>
      <c r="L781" s="281"/>
      <c r="M781" s="281"/>
      <c r="N781" s="281"/>
      <c r="O781" s="281"/>
      <c r="P781" s="281"/>
      <c r="Q781" s="186"/>
      <c r="R781" s="186"/>
      <c r="S781" s="186"/>
      <c r="U781" s="186"/>
    </row>
    <row r="782" spans="9:21">
      <c r="I782" s="281"/>
      <c r="J782" s="281"/>
      <c r="K782" s="281"/>
      <c r="L782" s="281"/>
      <c r="M782" s="281"/>
      <c r="N782" s="281"/>
      <c r="O782" s="281"/>
      <c r="P782" s="281"/>
      <c r="Q782" s="186"/>
      <c r="R782" s="186"/>
      <c r="S782" s="186"/>
      <c r="U782" s="186"/>
    </row>
    <row r="783" spans="9:21">
      <c r="I783" s="281"/>
      <c r="J783" s="281"/>
      <c r="K783" s="281"/>
      <c r="L783" s="281"/>
      <c r="M783" s="281"/>
      <c r="N783" s="281"/>
      <c r="O783" s="281"/>
      <c r="P783" s="281"/>
      <c r="Q783" s="186"/>
      <c r="R783" s="186"/>
      <c r="S783" s="186"/>
      <c r="U783" s="186"/>
    </row>
    <row r="784" spans="9:21">
      <c r="I784" s="281"/>
      <c r="J784" s="281"/>
      <c r="K784" s="281"/>
      <c r="L784" s="281"/>
      <c r="M784" s="281"/>
      <c r="N784" s="281"/>
      <c r="O784" s="281"/>
      <c r="P784" s="281"/>
      <c r="Q784" s="186"/>
      <c r="R784" s="186"/>
      <c r="S784" s="186"/>
      <c r="U784" s="186"/>
    </row>
    <row r="785" spans="9:21">
      <c r="I785" s="281"/>
      <c r="J785" s="281"/>
      <c r="K785" s="281"/>
      <c r="L785" s="281"/>
      <c r="M785" s="281"/>
      <c r="N785" s="281"/>
      <c r="O785" s="281"/>
      <c r="P785" s="281"/>
      <c r="Q785" s="186"/>
      <c r="R785" s="186"/>
      <c r="S785" s="186"/>
      <c r="U785" s="186"/>
    </row>
    <row r="786" spans="9:21">
      <c r="I786" s="281"/>
      <c r="J786" s="281"/>
      <c r="K786" s="281"/>
      <c r="L786" s="281"/>
      <c r="M786" s="281"/>
      <c r="N786" s="281"/>
      <c r="O786" s="281"/>
      <c r="P786" s="281"/>
      <c r="Q786" s="186"/>
      <c r="R786" s="186"/>
      <c r="S786" s="186"/>
      <c r="U786" s="186"/>
    </row>
    <row r="787" spans="9:21">
      <c r="I787" s="281"/>
      <c r="J787" s="281"/>
      <c r="K787" s="281"/>
      <c r="L787" s="281"/>
      <c r="M787" s="281"/>
      <c r="N787" s="281"/>
      <c r="O787" s="281"/>
      <c r="P787" s="281"/>
      <c r="Q787" s="186"/>
      <c r="R787" s="186"/>
      <c r="S787" s="186"/>
      <c r="U787" s="186"/>
    </row>
    <row r="788" spans="9:21">
      <c r="I788" s="281"/>
      <c r="J788" s="281"/>
      <c r="K788" s="281"/>
      <c r="L788" s="281"/>
      <c r="M788" s="281"/>
      <c r="N788" s="281"/>
      <c r="O788" s="281"/>
      <c r="P788" s="281"/>
      <c r="Q788" s="186"/>
      <c r="R788" s="186"/>
      <c r="S788" s="186"/>
      <c r="U788" s="186"/>
    </row>
    <row r="789" spans="9:21">
      <c r="I789" s="281"/>
      <c r="J789" s="281"/>
      <c r="K789" s="281"/>
      <c r="L789" s="281"/>
      <c r="M789" s="281"/>
      <c r="N789" s="281"/>
      <c r="O789" s="281"/>
      <c r="P789" s="281"/>
      <c r="Q789" s="186"/>
      <c r="R789" s="186"/>
      <c r="S789" s="186"/>
      <c r="U789" s="186"/>
    </row>
    <row r="790" spans="9:21">
      <c r="I790" s="281"/>
      <c r="J790" s="281"/>
      <c r="K790" s="281"/>
      <c r="L790" s="281"/>
      <c r="M790" s="281"/>
      <c r="N790" s="281"/>
      <c r="O790" s="281"/>
      <c r="P790" s="281"/>
      <c r="Q790" s="186"/>
      <c r="R790" s="186"/>
      <c r="S790" s="186"/>
      <c r="U790" s="186"/>
    </row>
    <row r="791" spans="9:21">
      <c r="I791" s="281"/>
      <c r="J791" s="281"/>
      <c r="K791" s="281"/>
      <c r="L791" s="281"/>
      <c r="M791" s="281"/>
      <c r="N791" s="281"/>
      <c r="O791" s="281"/>
      <c r="P791" s="281"/>
      <c r="Q791" s="186"/>
      <c r="R791" s="186"/>
      <c r="S791" s="186"/>
      <c r="U791" s="186"/>
    </row>
    <row r="792" spans="9:21">
      <c r="I792" s="281"/>
      <c r="J792" s="281"/>
      <c r="K792" s="281"/>
      <c r="L792" s="281"/>
      <c r="M792" s="281"/>
      <c r="N792" s="281"/>
      <c r="O792" s="281"/>
      <c r="P792" s="281"/>
      <c r="Q792" s="186"/>
      <c r="R792" s="186"/>
      <c r="S792" s="186"/>
      <c r="U792" s="186"/>
    </row>
    <row r="793" spans="9:21">
      <c r="I793" s="281"/>
      <c r="J793" s="281"/>
      <c r="K793" s="281"/>
      <c r="L793" s="281"/>
      <c r="M793" s="281"/>
      <c r="N793" s="281"/>
      <c r="O793" s="281"/>
      <c r="P793" s="281"/>
      <c r="Q793" s="186"/>
      <c r="R793" s="186"/>
      <c r="S793" s="186"/>
      <c r="U793" s="186"/>
    </row>
    <row r="794" spans="9:21">
      <c r="I794" s="281"/>
      <c r="J794" s="281"/>
      <c r="K794" s="281"/>
      <c r="L794" s="281"/>
      <c r="M794" s="281"/>
      <c r="N794" s="281"/>
      <c r="O794" s="281"/>
      <c r="P794" s="281"/>
      <c r="Q794" s="186"/>
      <c r="R794" s="186"/>
      <c r="S794" s="186"/>
      <c r="U794" s="186"/>
    </row>
    <row r="795" spans="9:21">
      <c r="I795" s="281"/>
      <c r="J795" s="281"/>
      <c r="K795" s="281"/>
      <c r="L795" s="281"/>
      <c r="M795" s="281"/>
      <c r="N795" s="281"/>
      <c r="O795" s="281"/>
      <c r="P795" s="281"/>
      <c r="Q795" s="186"/>
      <c r="R795" s="186"/>
      <c r="S795" s="186"/>
      <c r="U795" s="186"/>
    </row>
    <row r="796" spans="9:21">
      <c r="I796" s="281"/>
      <c r="J796" s="281"/>
      <c r="K796" s="281"/>
      <c r="L796" s="281"/>
      <c r="M796" s="281"/>
      <c r="N796" s="281"/>
      <c r="O796" s="281"/>
      <c r="P796" s="281"/>
      <c r="Q796" s="186"/>
      <c r="R796" s="186"/>
      <c r="S796" s="186"/>
      <c r="U796" s="186"/>
    </row>
    <row r="797" spans="9:21">
      <c r="I797" s="281"/>
      <c r="J797" s="281"/>
      <c r="K797" s="281"/>
      <c r="L797" s="281"/>
      <c r="M797" s="281"/>
      <c r="N797" s="281"/>
      <c r="O797" s="281"/>
      <c r="P797" s="281"/>
      <c r="Q797" s="186"/>
      <c r="R797" s="186"/>
      <c r="S797" s="186"/>
      <c r="U797" s="186"/>
    </row>
    <row r="798" spans="9:21">
      <c r="I798" s="281"/>
      <c r="J798" s="281"/>
      <c r="K798" s="281"/>
      <c r="L798" s="281"/>
      <c r="M798" s="281"/>
      <c r="N798" s="281"/>
      <c r="O798" s="281"/>
      <c r="P798" s="281"/>
      <c r="Q798" s="186"/>
      <c r="R798" s="186"/>
      <c r="S798" s="186"/>
      <c r="U798" s="186"/>
    </row>
    <row r="799" spans="9:21">
      <c r="I799" s="281"/>
      <c r="J799" s="281"/>
      <c r="K799" s="281"/>
      <c r="L799" s="281"/>
      <c r="M799" s="281"/>
      <c r="N799" s="281"/>
      <c r="O799" s="281"/>
      <c r="P799" s="281"/>
      <c r="Q799" s="186"/>
      <c r="R799" s="186"/>
      <c r="S799" s="186"/>
      <c r="U799" s="186"/>
    </row>
    <row r="800" spans="9:21">
      <c r="I800" s="281"/>
      <c r="J800" s="281"/>
      <c r="K800" s="281"/>
      <c r="L800" s="281"/>
      <c r="M800" s="281"/>
      <c r="N800" s="281"/>
      <c r="O800" s="281"/>
      <c r="P800" s="281"/>
      <c r="Q800" s="186"/>
      <c r="R800" s="186"/>
      <c r="S800" s="186"/>
      <c r="U800" s="186"/>
    </row>
    <row r="801" spans="9:21">
      <c r="I801" s="281"/>
      <c r="J801" s="281"/>
      <c r="K801" s="281"/>
      <c r="L801" s="281"/>
      <c r="M801" s="281"/>
      <c r="N801" s="281"/>
      <c r="O801" s="281"/>
      <c r="P801" s="281"/>
      <c r="Q801" s="186"/>
      <c r="R801" s="186"/>
      <c r="S801" s="186"/>
      <c r="U801" s="186"/>
    </row>
    <row r="802" spans="9:21">
      <c r="I802" s="281"/>
      <c r="J802" s="281"/>
      <c r="K802" s="281"/>
      <c r="L802" s="281"/>
      <c r="M802" s="281"/>
      <c r="N802" s="281"/>
      <c r="O802" s="281"/>
      <c r="P802" s="281"/>
      <c r="Q802" s="186"/>
      <c r="R802" s="186"/>
      <c r="S802" s="186"/>
      <c r="U802" s="186"/>
    </row>
    <row r="803" spans="9:21">
      <c r="I803" s="281"/>
      <c r="J803" s="281"/>
      <c r="K803" s="281"/>
      <c r="L803" s="281"/>
      <c r="M803" s="281"/>
      <c r="N803" s="281"/>
      <c r="O803" s="281"/>
      <c r="P803" s="281"/>
      <c r="Q803" s="186"/>
      <c r="R803" s="186"/>
      <c r="S803" s="186"/>
      <c r="U803" s="186"/>
    </row>
    <row r="804" spans="9:21">
      <c r="I804" s="281"/>
      <c r="J804" s="281"/>
      <c r="K804" s="281"/>
      <c r="L804" s="281"/>
      <c r="M804" s="281"/>
      <c r="N804" s="281"/>
      <c r="O804" s="281"/>
      <c r="P804" s="281"/>
      <c r="Q804" s="186"/>
      <c r="R804" s="186"/>
      <c r="S804" s="186"/>
      <c r="U804" s="186"/>
    </row>
    <row r="805" spans="9:21">
      <c r="I805" s="281"/>
      <c r="J805" s="281"/>
      <c r="K805" s="281"/>
      <c r="L805" s="281"/>
      <c r="M805" s="281"/>
      <c r="N805" s="281"/>
      <c r="O805" s="281"/>
      <c r="P805" s="281"/>
      <c r="Q805" s="186"/>
      <c r="R805" s="186"/>
      <c r="S805" s="186"/>
      <c r="U805" s="186"/>
    </row>
    <row r="806" spans="9:21">
      <c r="I806" s="281"/>
      <c r="J806" s="281"/>
      <c r="K806" s="281"/>
      <c r="L806" s="281"/>
      <c r="M806" s="281"/>
      <c r="N806" s="281"/>
      <c r="O806" s="281"/>
      <c r="P806" s="281"/>
      <c r="Q806" s="186"/>
      <c r="R806" s="186"/>
      <c r="S806" s="186"/>
      <c r="U806" s="186"/>
    </row>
    <row r="807" spans="9:21">
      <c r="I807" s="281"/>
      <c r="J807" s="281"/>
      <c r="K807" s="281"/>
      <c r="L807" s="281"/>
      <c r="M807" s="281"/>
      <c r="N807" s="281"/>
      <c r="O807" s="281"/>
      <c r="P807" s="281"/>
      <c r="Q807" s="186"/>
      <c r="R807" s="186"/>
      <c r="S807" s="186"/>
      <c r="U807" s="186"/>
    </row>
    <row r="808" spans="9:21">
      <c r="I808" s="281"/>
      <c r="J808" s="281"/>
      <c r="K808" s="281"/>
      <c r="L808" s="281"/>
      <c r="M808" s="281"/>
      <c r="N808" s="281"/>
      <c r="O808" s="281"/>
      <c r="P808" s="281"/>
      <c r="Q808" s="186"/>
      <c r="R808" s="186"/>
      <c r="S808" s="186"/>
      <c r="U808" s="186"/>
    </row>
    <row r="809" spans="9:21">
      <c r="I809" s="281"/>
      <c r="J809" s="281"/>
      <c r="K809" s="281"/>
      <c r="L809" s="281"/>
      <c r="M809" s="281"/>
      <c r="N809" s="281"/>
      <c r="O809" s="281"/>
      <c r="P809" s="281"/>
      <c r="Q809" s="186"/>
      <c r="R809" s="186"/>
      <c r="S809" s="186"/>
      <c r="U809" s="186"/>
    </row>
    <row r="810" spans="9:21">
      <c r="I810" s="281"/>
      <c r="J810" s="281"/>
      <c r="K810" s="281"/>
      <c r="L810" s="281"/>
      <c r="M810" s="281"/>
      <c r="N810" s="281"/>
      <c r="O810" s="281"/>
      <c r="P810" s="281"/>
      <c r="Q810" s="186"/>
      <c r="R810" s="186"/>
      <c r="S810" s="186"/>
      <c r="U810" s="186"/>
    </row>
    <row r="811" spans="9:21">
      <c r="I811" s="281"/>
      <c r="J811" s="281"/>
      <c r="K811" s="281"/>
      <c r="L811" s="281"/>
      <c r="M811" s="281"/>
      <c r="N811" s="281"/>
      <c r="O811" s="281"/>
      <c r="P811" s="281"/>
      <c r="Q811" s="186"/>
      <c r="R811" s="186"/>
      <c r="S811" s="186"/>
      <c r="U811" s="186"/>
    </row>
    <row r="812" spans="9:21">
      <c r="I812" s="281"/>
      <c r="J812" s="281"/>
      <c r="K812" s="281"/>
      <c r="L812" s="281"/>
      <c r="M812" s="281"/>
      <c r="N812" s="281"/>
      <c r="O812" s="281"/>
      <c r="P812" s="281"/>
      <c r="Q812" s="186"/>
      <c r="R812" s="186"/>
      <c r="S812" s="186"/>
      <c r="U812" s="186"/>
    </row>
    <row r="813" spans="9:21">
      <c r="I813" s="281"/>
      <c r="J813" s="281"/>
      <c r="K813" s="281"/>
      <c r="L813" s="281"/>
      <c r="M813" s="281"/>
      <c r="N813" s="281"/>
      <c r="O813" s="281"/>
      <c r="P813" s="281"/>
      <c r="Q813" s="186"/>
      <c r="R813" s="186"/>
      <c r="S813" s="186"/>
      <c r="U813" s="186"/>
    </row>
    <row r="814" spans="9:21">
      <c r="I814" s="281"/>
      <c r="J814" s="281"/>
      <c r="K814" s="281"/>
      <c r="L814" s="281"/>
      <c r="M814" s="281"/>
      <c r="N814" s="281"/>
      <c r="O814" s="281"/>
      <c r="P814" s="281"/>
      <c r="Q814" s="186"/>
      <c r="R814" s="186"/>
      <c r="S814" s="186"/>
      <c r="U814" s="186"/>
    </row>
    <row r="815" spans="9:21">
      <c r="I815" s="281"/>
      <c r="J815" s="281"/>
      <c r="K815" s="281"/>
      <c r="L815" s="281"/>
      <c r="M815" s="281"/>
      <c r="N815" s="281"/>
      <c r="O815" s="281"/>
      <c r="P815" s="281"/>
      <c r="Q815" s="186"/>
      <c r="R815" s="186"/>
      <c r="S815" s="186"/>
      <c r="U815" s="186"/>
    </row>
    <row r="816" spans="9:21">
      <c r="I816" s="281"/>
      <c r="J816" s="281"/>
      <c r="K816" s="281"/>
      <c r="L816" s="281"/>
      <c r="M816" s="281"/>
      <c r="N816" s="281"/>
      <c r="O816" s="281"/>
      <c r="P816" s="281"/>
      <c r="Q816" s="186"/>
      <c r="R816" s="186"/>
      <c r="S816" s="186"/>
      <c r="U816" s="186"/>
    </row>
    <row r="817" spans="9:21">
      <c r="I817" s="281"/>
      <c r="J817" s="281"/>
      <c r="K817" s="281"/>
      <c r="L817" s="281"/>
      <c r="M817" s="281"/>
      <c r="N817" s="281"/>
      <c r="O817" s="281"/>
      <c r="P817" s="281"/>
      <c r="Q817" s="186"/>
      <c r="R817" s="186"/>
      <c r="S817" s="186"/>
      <c r="U817" s="186"/>
    </row>
    <row r="818" spans="9:21">
      <c r="I818" s="281"/>
      <c r="J818" s="281"/>
      <c r="K818" s="281"/>
      <c r="L818" s="281"/>
      <c r="M818" s="281"/>
      <c r="N818" s="281"/>
      <c r="O818" s="281"/>
      <c r="P818" s="281"/>
      <c r="Q818" s="186"/>
      <c r="R818" s="186"/>
      <c r="S818" s="186"/>
      <c r="U818" s="186"/>
    </row>
    <row r="819" spans="9:21">
      <c r="I819" s="281"/>
      <c r="J819" s="281"/>
      <c r="K819" s="281"/>
      <c r="L819" s="281"/>
      <c r="M819" s="281"/>
      <c r="N819" s="281"/>
      <c r="O819" s="281"/>
      <c r="P819" s="281"/>
      <c r="Q819" s="186"/>
      <c r="R819" s="186"/>
      <c r="S819" s="186"/>
      <c r="U819" s="186"/>
    </row>
    <row r="820" spans="9:21">
      <c r="I820" s="281"/>
      <c r="J820" s="281"/>
      <c r="K820" s="281"/>
      <c r="L820" s="281"/>
      <c r="M820" s="281"/>
      <c r="N820" s="281"/>
      <c r="O820" s="281"/>
      <c r="P820" s="281"/>
      <c r="Q820" s="186"/>
      <c r="R820" s="186"/>
      <c r="S820" s="186"/>
      <c r="U820" s="186"/>
    </row>
    <row r="821" spans="9:21">
      <c r="I821" s="281"/>
      <c r="J821" s="281"/>
      <c r="K821" s="281"/>
      <c r="L821" s="281"/>
      <c r="M821" s="281"/>
      <c r="N821" s="281"/>
      <c r="O821" s="281"/>
      <c r="P821" s="281"/>
      <c r="Q821" s="186"/>
      <c r="R821" s="186"/>
      <c r="S821" s="186"/>
      <c r="U821" s="186"/>
    </row>
    <row r="822" spans="9:21">
      <c r="I822" s="281"/>
      <c r="J822" s="281"/>
      <c r="K822" s="281"/>
      <c r="L822" s="281"/>
      <c r="M822" s="281"/>
      <c r="N822" s="281"/>
      <c r="O822" s="281"/>
      <c r="P822" s="281"/>
      <c r="Q822" s="186"/>
      <c r="R822" s="186"/>
      <c r="S822" s="186"/>
      <c r="U822" s="186"/>
    </row>
    <row r="823" spans="9:21">
      <c r="I823" s="281"/>
      <c r="J823" s="281"/>
      <c r="K823" s="281"/>
      <c r="L823" s="281"/>
      <c r="M823" s="281"/>
      <c r="N823" s="281"/>
      <c r="O823" s="281"/>
      <c r="P823" s="281"/>
      <c r="Q823" s="186"/>
      <c r="R823" s="186"/>
      <c r="S823" s="186"/>
      <c r="U823" s="186"/>
    </row>
    <row r="824" spans="9:21">
      <c r="I824" s="281"/>
      <c r="J824" s="281"/>
      <c r="K824" s="281"/>
      <c r="L824" s="281"/>
      <c r="M824" s="281"/>
      <c r="N824" s="281"/>
      <c r="O824" s="281"/>
      <c r="P824" s="281"/>
      <c r="Q824" s="186"/>
      <c r="R824" s="186"/>
      <c r="S824" s="186"/>
      <c r="U824" s="186"/>
    </row>
    <row r="825" spans="9:21">
      <c r="I825" s="281"/>
      <c r="J825" s="281"/>
      <c r="K825" s="281"/>
      <c r="L825" s="281"/>
      <c r="M825" s="281"/>
      <c r="N825" s="281"/>
      <c r="O825" s="281"/>
      <c r="P825" s="281"/>
      <c r="Q825" s="186"/>
      <c r="R825" s="186"/>
      <c r="S825" s="186"/>
      <c r="U825" s="186"/>
    </row>
    <row r="826" spans="9:21">
      <c r="I826" s="281"/>
      <c r="J826" s="281"/>
      <c r="K826" s="281"/>
      <c r="L826" s="281"/>
      <c r="M826" s="281"/>
      <c r="N826" s="281"/>
      <c r="O826" s="281"/>
      <c r="P826" s="281"/>
      <c r="Q826" s="186"/>
      <c r="R826" s="186"/>
      <c r="S826" s="186"/>
      <c r="U826" s="186"/>
    </row>
    <row r="827" spans="9:21">
      <c r="I827" s="281"/>
      <c r="J827" s="281"/>
      <c r="K827" s="281"/>
      <c r="L827" s="281"/>
      <c r="M827" s="281"/>
      <c r="N827" s="281"/>
      <c r="O827" s="281"/>
      <c r="P827" s="281"/>
      <c r="Q827" s="186"/>
      <c r="R827" s="186"/>
      <c r="S827" s="186"/>
      <c r="U827" s="186"/>
    </row>
    <row r="828" spans="9:21">
      <c r="I828" s="281"/>
      <c r="J828" s="281"/>
      <c r="K828" s="281"/>
      <c r="L828" s="281"/>
      <c r="M828" s="281"/>
      <c r="N828" s="281"/>
      <c r="O828" s="281"/>
      <c r="P828" s="281"/>
      <c r="Q828" s="186"/>
      <c r="R828" s="186"/>
      <c r="S828" s="186"/>
      <c r="U828" s="186"/>
    </row>
    <row r="829" spans="9:21">
      <c r="I829" s="281"/>
      <c r="J829" s="281"/>
      <c r="K829" s="281"/>
      <c r="L829" s="281"/>
      <c r="M829" s="281"/>
      <c r="N829" s="281"/>
      <c r="O829" s="281"/>
      <c r="P829" s="281"/>
      <c r="Q829" s="186"/>
      <c r="R829" s="186"/>
      <c r="S829" s="186"/>
      <c r="U829" s="186"/>
    </row>
    <row r="830" spans="9:21">
      <c r="I830" s="281"/>
      <c r="J830" s="281"/>
      <c r="K830" s="281"/>
      <c r="L830" s="281"/>
      <c r="M830" s="281"/>
      <c r="N830" s="281"/>
      <c r="O830" s="281"/>
      <c r="P830" s="281"/>
      <c r="Q830" s="186"/>
      <c r="R830" s="186"/>
      <c r="S830" s="186"/>
      <c r="U830" s="186"/>
    </row>
    <row r="831" spans="9:21">
      <c r="I831" s="281"/>
      <c r="J831" s="281"/>
      <c r="K831" s="281"/>
      <c r="L831" s="281"/>
      <c r="M831" s="281"/>
      <c r="N831" s="281"/>
      <c r="O831" s="281"/>
      <c r="P831" s="281"/>
      <c r="Q831" s="186"/>
      <c r="R831" s="186"/>
      <c r="S831" s="186"/>
      <c r="U831" s="186"/>
    </row>
    <row r="832" spans="9:21">
      <c r="I832" s="281"/>
      <c r="J832" s="281"/>
      <c r="K832" s="281"/>
      <c r="L832" s="281"/>
      <c r="M832" s="281"/>
      <c r="N832" s="281"/>
      <c r="O832" s="281"/>
      <c r="P832" s="281"/>
      <c r="Q832" s="186"/>
      <c r="R832" s="186"/>
      <c r="S832" s="186"/>
      <c r="U832" s="186"/>
    </row>
    <row r="833" spans="9:21">
      <c r="I833" s="281"/>
      <c r="J833" s="281"/>
      <c r="K833" s="281"/>
      <c r="L833" s="281"/>
      <c r="M833" s="281"/>
      <c r="N833" s="281"/>
      <c r="O833" s="281"/>
      <c r="P833" s="281"/>
      <c r="Q833" s="186"/>
      <c r="R833" s="186"/>
      <c r="S833" s="186"/>
      <c r="U833" s="186"/>
    </row>
    <row r="834" spans="9:21">
      <c r="I834" s="281"/>
      <c r="J834" s="281"/>
      <c r="K834" s="281"/>
      <c r="L834" s="281"/>
      <c r="M834" s="281"/>
      <c r="N834" s="281"/>
      <c r="O834" s="281"/>
      <c r="P834" s="281"/>
      <c r="Q834" s="186"/>
      <c r="R834" s="186"/>
      <c r="S834" s="186"/>
      <c r="U834" s="186"/>
    </row>
    <row r="835" spans="9:21">
      <c r="I835" s="281"/>
      <c r="J835" s="281"/>
      <c r="K835" s="281"/>
      <c r="L835" s="281"/>
      <c r="M835" s="281"/>
      <c r="N835" s="281"/>
      <c r="O835" s="281"/>
      <c r="P835" s="281"/>
      <c r="Q835" s="186"/>
      <c r="R835" s="186"/>
      <c r="S835" s="186"/>
      <c r="U835" s="186"/>
    </row>
    <row r="836" spans="9:21">
      <c r="I836" s="281"/>
      <c r="J836" s="281"/>
      <c r="K836" s="281"/>
      <c r="L836" s="281"/>
      <c r="M836" s="281"/>
      <c r="N836" s="281"/>
      <c r="O836" s="281"/>
      <c r="P836" s="281"/>
      <c r="Q836" s="186"/>
      <c r="R836" s="186"/>
      <c r="S836" s="186"/>
      <c r="U836" s="186"/>
    </row>
    <row r="837" spans="9:21">
      <c r="I837" s="281"/>
      <c r="J837" s="281"/>
      <c r="K837" s="281"/>
      <c r="L837" s="281"/>
      <c r="M837" s="281"/>
      <c r="N837" s="281"/>
      <c r="O837" s="281"/>
      <c r="P837" s="281"/>
      <c r="Q837" s="186"/>
      <c r="R837" s="186"/>
      <c r="S837" s="186"/>
      <c r="U837" s="186"/>
    </row>
    <row r="838" spans="9:21">
      <c r="I838" s="281"/>
      <c r="J838" s="281"/>
      <c r="K838" s="281"/>
      <c r="L838" s="281"/>
      <c r="M838" s="281"/>
      <c r="N838" s="281"/>
      <c r="O838" s="281"/>
      <c r="P838" s="281"/>
      <c r="Q838" s="186"/>
      <c r="R838" s="186"/>
      <c r="S838" s="186"/>
      <c r="U838" s="186"/>
    </row>
    <row r="839" spans="9:21">
      <c r="I839" s="281"/>
      <c r="J839" s="281"/>
      <c r="K839" s="281"/>
      <c r="L839" s="281"/>
      <c r="M839" s="281"/>
      <c r="N839" s="281"/>
      <c r="O839" s="281"/>
      <c r="P839" s="281"/>
      <c r="Q839" s="186"/>
      <c r="R839" s="186"/>
      <c r="S839" s="186"/>
      <c r="U839" s="186"/>
    </row>
    <row r="840" spans="9:21">
      <c r="I840" s="281"/>
      <c r="J840" s="281"/>
      <c r="K840" s="281"/>
      <c r="L840" s="281"/>
      <c r="M840" s="281"/>
      <c r="N840" s="281"/>
      <c r="O840" s="281"/>
      <c r="P840" s="281"/>
      <c r="Q840" s="186"/>
      <c r="R840" s="186"/>
      <c r="S840" s="186"/>
      <c r="U840" s="186"/>
    </row>
    <row r="841" spans="9:21">
      <c r="I841" s="281"/>
      <c r="J841" s="281"/>
      <c r="K841" s="281"/>
      <c r="L841" s="281"/>
      <c r="M841" s="281"/>
      <c r="N841" s="281"/>
      <c r="O841" s="281"/>
      <c r="P841" s="281"/>
      <c r="Q841" s="186"/>
      <c r="R841" s="186"/>
      <c r="S841" s="186"/>
      <c r="U841" s="186"/>
    </row>
    <row r="842" spans="9:21">
      <c r="I842" s="281"/>
      <c r="J842" s="281"/>
      <c r="K842" s="281"/>
      <c r="L842" s="281"/>
      <c r="M842" s="281"/>
      <c r="N842" s="281"/>
      <c r="O842" s="281"/>
      <c r="P842" s="281"/>
      <c r="Q842" s="186"/>
      <c r="R842" s="186"/>
      <c r="S842" s="186"/>
      <c r="U842" s="186"/>
    </row>
    <row r="843" spans="9:21">
      <c r="I843" s="281"/>
      <c r="J843" s="281"/>
      <c r="K843" s="281"/>
      <c r="L843" s="281"/>
      <c r="M843" s="281"/>
      <c r="N843" s="281"/>
      <c r="O843" s="281"/>
      <c r="P843" s="281"/>
      <c r="Q843" s="186"/>
      <c r="R843" s="186"/>
      <c r="S843" s="186"/>
      <c r="U843" s="186"/>
    </row>
    <row r="844" spans="9:21">
      <c r="I844" s="281"/>
      <c r="J844" s="281"/>
      <c r="K844" s="281"/>
      <c r="L844" s="281"/>
      <c r="M844" s="281"/>
      <c r="N844" s="281"/>
      <c r="O844" s="281"/>
      <c r="P844" s="281"/>
      <c r="Q844" s="186"/>
      <c r="R844" s="186"/>
      <c r="S844" s="186"/>
      <c r="U844" s="186"/>
    </row>
    <row r="845" spans="9:21">
      <c r="I845" s="281"/>
      <c r="J845" s="281"/>
      <c r="K845" s="281"/>
      <c r="L845" s="281"/>
      <c r="M845" s="281"/>
      <c r="N845" s="281"/>
      <c r="O845" s="281"/>
      <c r="P845" s="281"/>
      <c r="Q845" s="186"/>
      <c r="R845" s="186"/>
      <c r="S845" s="186"/>
      <c r="U845" s="186"/>
    </row>
    <row r="846" spans="9:21">
      <c r="I846" s="281"/>
      <c r="J846" s="281"/>
      <c r="K846" s="281"/>
      <c r="L846" s="281"/>
      <c r="M846" s="281"/>
      <c r="N846" s="281"/>
      <c r="O846" s="281"/>
      <c r="P846" s="281"/>
      <c r="Q846" s="186"/>
      <c r="R846" s="186"/>
      <c r="S846" s="186"/>
      <c r="U846" s="186"/>
    </row>
    <row r="847" spans="9:21">
      <c r="I847" s="281"/>
      <c r="J847" s="281"/>
      <c r="K847" s="281"/>
      <c r="L847" s="281"/>
      <c r="M847" s="281"/>
      <c r="N847" s="281"/>
      <c r="O847" s="281"/>
      <c r="P847" s="281"/>
      <c r="Q847" s="186"/>
      <c r="R847" s="186"/>
      <c r="S847" s="186"/>
      <c r="U847" s="186"/>
    </row>
    <row r="848" spans="9:21">
      <c r="I848" s="281"/>
      <c r="J848" s="281"/>
      <c r="K848" s="281"/>
      <c r="L848" s="281"/>
      <c r="M848" s="281"/>
      <c r="N848" s="281"/>
      <c r="O848" s="281"/>
      <c r="P848" s="281"/>
      <c r="Q848" s="186"/>
      <c r="R848" s="186"/>
      <c r="S848" s="186"/>
      <c r="U848" s="186"/>
    </row>
    <row r="849" spans="9:21">
      <c r="I849" s="281"/>
      <c r="J849" s="281"/>
      <c r="K849" s="281"/>
      <c r="L849" s="281"/>
      <c r="M849" s="281"/>
      <c r="N849" s="281"/>
      <c r="O849" s="281"/>
      <c r="P849" s="281"/>
      <c r="Q849" s="186"/>
      <c r="R849" s="186"/>
      <c r="S849" s="186"/>
      <c r="U849" s="186"/>
    </row>
    <row r="850" spans="9:21">
      <c r="I850" s="281"/>
      <c r="J850" s="281"/>
      <c r="K850" s="281"/>
      <c r="L850" s="281"/>
      <c r="M850" s="281"/>
      <c r="N850" s="281"/>
      <c r="O850" s="281"/>
      <c r="P850" s="281"/>
      <c r="Q850" s="186"/>
      <c r="R850" s="186"/>
      <c r="S850" s="186"/>
      <c r="U850" s="186"/>
    </row>
    <row r="851" spans="9:21">
      <c r="I851" s="281"/>
      <c r="J851" s="281"/>
      <c r="K851" s="281"/>
      <c r="L851" s="281"/>
      <c r="M851" s="281"/>
      <c r="N851" s="281"/>
      <c r="O851" s="281"/>
      <c r="P851" s="281"/>
      <c r="Q851" s="186"/>
      <c r="R851" s="186"/>
      <c r="S851" s="186"/>
      <c r="U851" s="186"/>
    </row>
    <row r="852" spans="9:21">
      <c r="I852" s="281"/>
      <c r="J852" s="281"/>
      <c r="K852" s="281"/>
      <c r="L852" s="281"/>
      <c r="M852" s="281"/>
      <c r="N852" s="281"/>
      <c r="O852" s="281"/>
      <c r="P852" s="281"/>
      <c r="Q852" s="186"/>
      <c r="R852" s="186"/>
      <c r="S852" s="186"/>
      <c r="U852" s="186"/>
    </row>
    <row r="853" spans="9:21">
      <c r="I853" s="281"/>
      <c r="J853" s="281"/>
      <c r="K853" s="281"/>
      <c r="L853" s="281"/>
      <c r="M853" s="281"/>
      <c r="N853" s="281"/>
      <c r="O853" s="281"/>
      <c r="P853" s="281"/>
      <c r="Q853" s="186"/>
      <c r="R853" s="186"/>
      <c r="S853" s="186"/>
      <c r="U853" s="186"/>
    </row>
    <row r="854" spans="9:21">
      <c r="I854" s="281"/>
      <c r="J854" s="281"/>
      <c r="K854" s="281"/>
      <c r="L854" s="281"/>
      <c r="M854" s="281"/>
      <c r="N854" s="281"/>
      <c r="O854" s="281"/>
      <c r="P854" s="281"/>
      <c r="Q854" s="186"/>
      <c r="R854" s="186"/>
      <c r="S854" s="186"/>
      <c r="U854" s="186"/>
    </row>
    <row r="855" spans="9:21">
      <c r="I855" s="281"/>
      <c r="J855" s="281"/>
      <c r="K855" s="281"/>
      <c r="L855" s="281"/>
      <c r="M855" s="281"/>
      <c r="N855" s="281"/>
      <c r="O855" s="281"/>
      <c r="P855" s="281"/>
      <c r="Q855" s="186"/>
      <c r="R855" s="186"/>
      <c r="S855" s="186"/>
      <c r="U855" s="186"/>
    </row>
    <row r="856" spans="9:21">
      <c r="I856" s="281"/>
      <c r="J856" s="281"/>
      <c r="K856" s="281"/>
      <c r="L856" s="281"/>
      <c r="M856" s="281"/>
      <c r="N856" s="281"/>
      <c r="O856" s="281"/>
      <c r="P856" s="281"/>
      <c r="Q856" s="186"/>
      <c r="R856" s="186"/>
      <c r="S856" s="186"/>
      <c r="U856" s="186"/>
    </row>
    <row r="857" spans="9:21">
      <c r="I857" s="281"/>
      <c r="J857" s="281"/>
      <c r="K857" s="281"/>
      <c r="L857" s="281"/>
      <c r="M857" s="281"/>
      <c r="N857" s="281"/>
      <c r="O857" s="281"/>
      <c r="P857" s="281"/>
      <c r="Q857" s="186"/>
      <c r="R857" s="186"/>
      <c r="S857" s="186"/>
      <c r="U857" s="186"/>
    </row>
    <row r="858" spans="9:21">
      <c r="I858" s="281"/>
      <c r="J858" s="281"/>
      <c r="K858" s="281"/>
      <c r="L858" s="281"/>
      <c r="M858" s="281"/>
      <c r="N858" s="281"/>
      <c r="O858" s="281"/>
      <c r="P858" s="281"/>
      <c r="Q858" s="186"/>
      <c r="R858" s="186"/>
      <c r="S858" s="186"/>
      <c r="U858" s="186"/>
    </row>
    <row r="859" spans="9:21">
      <c r="I859" s="281"/>
      <c r="J859" s="281"/>
      <c r="K859" s="281"/>
      <c r="L859" s="281"/>
      <c r="M859" s="281"/>
      <c r="N859" s="281"/>
      <c r="O859" s="281"/>
      <c r="P859" s="281"/>
      <c r="Q859" s="186"/>
      <c r="R859" s="186"/>
      <c r="S859" s="186"/>
      <c r="U859" s="186"/>
    </row>
    <row r="860" spans="9:21">
      <c r="I860" s="281"/>
      <c r="J860" s="281"/>
      <c r="K860" s="281"/>
      <c r="L860" s="281"/>
      <c r="M860" s="281"/>
      <c r="N860" s="281"/>
      <c r="O860" s="281"/>
      <c r="P860" s="281"/>
      <c r="Q860" s="186"/>
      <c r="R860" s="186"/>
      <c r="S860" s="186"/>
      <c r="U860" s="186"/>
    </row>
    <row r="861" spans="9:21">
      <c r="I861" s="281"/>
      <c r="J861" s="281"/>
      <c r="K861" s="281"/>
      <c r="L861" s="281"/>
      <c r="M861" s="281"/>
      <c r="N861" s="281"/>
      <c r="O861" s="281"/>
      <c r="P861" s="281"/>
      <c r="Q861" s="186"/>
      <c r="R861" s="186"/>
      <c r="S861" s="186"/>
      <c r="U861" s="186"/>
    </row>
    <row r="862" spans="9:21">
      <c r="I862" s="281"/>
      <c r="J862" s="281"/>
      <c r="K862" s="281"/>
      <c r="L862" s="281"/>
      <c r="M862" s="281"/>
      <c r="N862" s="281"/>
      <c r="O862" s="281"/>
      <c r="P862" s="281"/>
      <c r="Q862" s="186"/>
      <c r="R862" s="186"/>
      <c r="S862" s="186"/>
      <c r="U862" s="186"/>
    </row>
    <row r="863" spans="9:21">
      <c r="I863" s="281"/>
      <c r="J863" s="281"/>
      <c r="K863" s="281"/>
      <c r="L863" s="281"/>
      <c r="M863" s="281"/>
      <c r="N863" s="281"/>
      <c r="O863" s="281"/>
      <c r="P863" s="281"/>
      <c r="Q863" s="186"/>
      <c r="R863" s="186"/>
      <c r="S863" s="186"/>
      <c r="U863" s="186"/>
    </row>
    <row r="864" spans="9:21">
      <c r="I864" s="281"/>
      <c r="J864" s="281"/>
      <c r="K864" s="281"/>
      <c r="L864" s="281"/>
      <c r="M864" s="281"/>
      <c r="N864" s="281"/>
      <c r="O864" s="281"/>
      <c r="P864" s="281"/>
      <c r="Q864" s="186"/>
      <c r="R864" s="186"/>
      <c r="S864" s="186"/>
      <c r="U864" s="186"/>
    </row>
    <row r="865" spans="9:21">
      <c r="I865" s="281"/>
      <c r="J865" s="281"/>
      <c r="K865" s="281"/>
      <c r="L865" s="281"/>
      <c r="M865" s="281"/>
      <c r="N865" s="281"/>
      <c r="O865" s="281"/>
      <c r="P865" s="281"/>
      <c r="Q865" s="186"/>
      <c r="R865" s="186"/>
      <c r="S865" s="186"/>
      <c r="U865" s="186"/>
    </row>
    <row r="866" spans="9:21">
      <c r="I866" s="281"/>
      <c r="J866" s="281"/>
      <c r="K866" s="281"/>
      <c r="L866" s="281"/>
      <c r="M866" s="281"/>
      <c r="N866" s="281"/>
      <c r="O866" s="281"/>
      <c r="P866" s="281"/>
      <c r="Q866" s="186"/>
      <c r="R866" s="186"/>
      <c r="S866" s="186"/>
      <c r="U866" s="186"/>
    </row>
    <row r="867" spans="9:21">
      <c r="I867" s="281"/>
      <c r="J867" s="281"/>
      <c r="K867" s="281"/>
      <c r="L867" s="281"/>
      <c r="M867" s="281"/>
      <c r="N867" s="281"/>
      <c r="O867" s="281"/>
      <c r="P867" s="281"/>
      <c r="Q867" s="186"/>
      <c r="R867" s="186"/>
      <c r="S867" s="186"/>
      <c r="U867" s="186"/>
    </row>
    <row r="868" spans="9:21">
      <c r="I868" s="281"/>
      <c r="J868" s="281"/>
      <c r="K868" s="281"/>
      <c r="L868" s="281"/>
      <c r="M868" s="281"/>
      <c r="N868" s="281"/>
      <c r="O868" s="281"/>
      <c r="P868" s="281"/>
      <c r="Q868" s="186"/>
      <c r="R868" s="186"/>
      <c r="S868" s="186"/>
      <c r="U868" s="186"/>
    </row>
    <row r="869" spans="9:21">
      <c r="I869" s="281"/>
      <c r="J869" s="281"/>
      <c r="K869" s="281"/>
      <c r="L869" s="281"/>
      <c r="M869" s="281"/>
      <c r="N869" s="281"/>
      <c r="O869" s="281"/>
      <c r="P869" s="281"/>
      <c r="Q869" s="186"/>
      <c r="R869" s="186"/>
      <c r="S869" s="186"/>
      <c r="U869" s="186"/>
    </row>
    <row r="870" spans="9:21">
      <c r="I870" s="281"/>
      <c r="J870" s="281"/>
      <c r="K870" s="281"/>
      <c r="L870" s="281"/>
      <c r="M870" s="281"/>
      <c r="N870" s="281"/>
      <c r="O870" s="281"/>
      <c r="P870" s="281"/>
      <c r="Q870" s="186"/>
      <c r="R870" s="186"/>
      <c r="S870" s="186"/>
      <c r="U870" s="186"/>
    </row>
    <row r="871" spans="9:21">
      <c r="I871" s="281"/>
      <c r="J871" s="281"/>
      <c r="K871" s="281"/>
      <c r="L871" s="281"/>
      <c r="M871" s="281"/>
      <c r="N871" s="281"/>
      <c r="O871" s="281"/>
      <c r="P871" s="281"/>
      <c r="Q871" s="186"/>
      <c r="R871" s="186"/>
      <c r="S871" s="186"/>
      <c r="U871" s="186"/>
    </row>
    <row r="872" spans="9:21">
      <c r="I872" s="281"/>
      <c r="J872" s="281"/>
      <c r="K872" s="281"/>
      <c r="L872" s="281"/>
      <c r="M872" s="281"/>
      <c r="N872" s="281"/>
      <c r="O872" s="281"/>
      <c r="P872" s="281"/>
      <c r="Q872" s="186"/>
      <c r="R872" s="186"/>
      <c r="S872" s="186"/>
      <c r="U872" s="186"/>
    </row>
    <row r="873" spans="9:21">
      <c r="I873" s="281"/>
      <c r="J873" s="281"/>
      <c r="K873" s="281"/>
      <c r="L873" s="281"/>
      <c r="M873" s="281"/>
      <c r="N873" s="281"/>
      <c r="O873" s="281"/>
      <c r="P873" s="281"/>
      <c r="Q873" s="186"/>
      <c r="R873" s="186"/>
      <c r="S873" s="186"/>
      <c r="U873" s="186"/>
    </row>
    <row r="874" spans="9:21">
      <c r="I874" s="281"/>
      <c r="J874" s="281"/>
      <c r="K874" s="281"/>
      <c r="L874" s="281"/>
      <c r="M874" s="281"/>
      <c r="N874" s="281"/>
      <c r="O874" s="281"/>
      <c r="P874" s="281"/>
      <c r="Q874" s="186"/>
      <c r="R874" s="186"/>
      <c r="S874" s="186"/>
      <c r="U874" s="186"/>
    </row>
    <row r="875" spans="9:21">
      <c r="I875" s="281"/>
      <c r="J875" s="281"/>
      <c r="K875" s="281"/>
      <c r="L875" s="281"/>
      <c r="M875" s="281"/>
      <c r="N875" s="281"/>
      <c r="O875" s="281"/>
      <c r="P875" s="281"/>
      <c r="Q875" s="186"/>
      <c r="R875" s="186"/>
      <c r="S875" s="186"/>
      <c r="U875" s="186"/>
    </row>
    <row r="876" spans="9:21">
      <c r="I876" s="281"/>
      <c r="J876" s="281"/>
      <c r="K876" s="281"/>
      <c r="L876" s="281"/>
      <c r="M876" s="281"/>
      <c r="N876" s="281"/>
      <c r="O876" s="281"/>
      <c r="P876" s="281"/>
      <c r="Q876" s="186"/>
      <c r="R876" s="186"/>
      <c r="S876" s="186"/>
      <c r="U876" s="186"/>
    </row>
    <row r="877" spans="9:21">
      <c r="I877" s="281"/>
      <c r="J877" s="281"/>
      <c r="K877" s="281"/>
      <c r="L877" s="281"/>
      <c r="M877" s="281"/>
      <c r="N877" s="281"/>
      <c r="O877" s="281"/>
      <c r="P877" s="281"/>
      <c r="Q877" s="186"/>
      <c r="R877" s="186"/>
      <c r="S877" s="186"/>
      <c r="U877" s="186"/>
    </row>
    <row r="878" spans="9:21">
      <c r="I878" s="281"/>
      <c r="J878" s="281"/>
      <c r="K878" s="281"/>
      <c r="L878" s="281"/>
      <c r="M878" s="281"/>
      <c r="N878" s="281"/>
      <c r="O878" s="281"/>
      <c r="P878" s="281"/>
      <c r="Q878" s="186"/>
      <c r="R878" s="186"/>
      <c r="S878" s="186"/>
      <c r="U878" s="186"/>
    </row>
    <row r="879" spans="9:21">
      <c r="I879" s="281"/>
      <c r="J879" s="281"/>
      <c r="K879" s="281"/>
      <c r="L879" s="281"/>
      <c r="M879" s="281"/>
      <c r="N879" s="281"/>
      <c r="O879" s="281"/>
      <c r="P879" s="281"/>
      <c r="Q879" s="186"/>
      <c r="R879" s="186"/>
      <c r="S879" s="186"/>
      <c r="U879" s="186"/>
    </row>
    <row r="880" spans="9:21">
      <c r="I880" s="281"/>
      <c r="J880" s="281"/>
      <c r="K880" s="281"/>
      <c r="L880" s="281"/>
      <c r="M880" s="281"/>
      <c r="N880" s="281"/>
      <c r="O880" s="281"/>
      <c r="P880" s="281"/>
      <c r="Q880" s="186"/>
      <c r="R880" s="186"/>
      <c r="S880" s="186"/>
      <c r="U880" s="186"/>
    </row>
    <row r="881" spans="9:21">
      <c r="I881" s="281"/>
      <c r="J881" s="281"/>
      <c r="K881" s="281"/>
      <c r="L881" s="281"/>
      <c r="M881" s="281"/>
      <c r="N881" s="281"/>
      <c r="O881" s="281"/>
      <c r="P881" s="281"/>
      <c r="Q881" s="186"/>
      <c r="R881" s="186"/>
      <c r="S881" s="186"/>
      <c r="U881" s="186"/>
    </row>
    <row r="882" spans="9:21">
      <c r="I882" s="281"/>
      <c r="J882" s="281"/>
      <c r="K882" s="281"/>
      <c r="L882" s="281"/>
      <c r="M882" s="281"/>
      <c r="N882" s="281"/>
      <c r="O882" s="281"/>
      <c r="P882" s="281"/>
      <c r="Q882" s="186"/>
      <c r="R882" s="186"/>
      <c r="S882" s="186"/>
      <c r="U882" s="186"/>
    </row>
    <row r="883" spans="9:21">
      <c r="I883" s="281"/>
      <c r="J883" s="281"/>
      <c r="K883" s="281"/>
      <c r="L883" s="281"/>
      <c r="M883" s="281"/>
      <c r="N883" s="281"/>
      <c r="O883" s="281"/>
      <c r="P883" s="281"/>
      <c r="Q883" s="186"/>
      <c r="R883" s="186"/>
      <c r="S883" s="186"/>
      <c r="U883" s="186"/>
    </row>
    <row r="884" spans="9:21">
      <c r="I884" s="281"/>
      <c r="J884" s="281"/>
      <c r="K884" s="281"/>
      <c r="L884" s="281"/>
      <c r="M884" s="281"/>
      <c r="N884" s="281"/>
      <c r="O884" s="281"/>
      <c r="P884" s="281"/>
      <c r="Q884" s="186"/>
      <c r="R884" s="186"/>
      <c r="S884" s="186"/>
      <c r="U884" s="186"/>
    </row>
    <row r="885" spans="9:21">
      <c r="I885" s="281"/>
      <c r="J885" s="281"/>
      <c r="K885" s="281"/>
      <c r="L885" s="281"/>
      <c r="M885" s="281"/>
      <c r="N885" s="281"/>
      <c r="O885" s="281"/>
      <c r="P885" s="281"/>
      <c r="Q885" s="186"/>
      <c r="R885" s="186"/>
      <c r="S885" s="186"/>
      <c r="U885" s="186"/>
    </row>
    <row r="886" spans="9:21">
      <c r="I886" s="281"/>
      <c r="J886" s="281"/>
      <c r="K886" s="281"/>
      <c r="L886" s="281"/>
      <c r="M886" s="281"/>
      <c r="N886" s="281"/>
      <c r="O886" s="281"/>
      <c r="P886" s="281"/>
      <c r="Q886" s="186"/>
      <c r="R886" s="186"/>
      <c r="S886" s="186"/>
      <c r="U886" s="186"/>
    </row>
    <row r="887" spans="9:21">
      <c r="I887" s="281"/>
      <c r="J887" s="281"/>
      <c r="K887" s="281"/>
      <c r="L887" s="281"/>
      <c r="M887" s="281"/>
      <c r="N887" s="281"/>
      <c r="O887" s="281"/>
      <c r="P887" s="281"/>
      <c r="Q887" s="186"/>
      <c r="R887" s="186"/>
      <c r="S887" s="186"/>
      <c r="U887" s="186"/>
    </row>
    <row r="888" spans="9:21">
      <c r="I888" s="281"/>
      <c r="J888" s="281"/>
      <c r="K888" s="281"/>
      <c r="L888" s="281"/>
      <c r="M888" s="281"/>
      <c r="N888" s="281"/>
      <c r="O888" s="281"/>
      <c r="P888" s="281"/>
      <c r="Q888" s="186"/>
      <c r="R888" s="186"/>
      <c r="S888" s="186"/>
      <c r="U888" s="186"/>
    </row>
    <row r="889" spans="9:21">
      <c r="I889" s="281"/>
      <c r="J889" s="281"/>
      <c r="K889" s="281"/>
      <c r="L889" s="281"/>
      <c r="M889" s="281"/>
      <c r="N889" s="281"/>
      <c r="O889" s="281"/>
      <c r="P889" s="281"/>
      <c r="Q889" s="186"/>
      <c r="R889" s="186"/>
      <c r="S889" s="186"/>
      <c r="U889" s="186"/>
    </row>
    <row r="890" spans="9:21">
      <c r="I890" s="281"/>
      <c r="J890" s="281"/>
      <c r="K890" s="281"/>
      <c r="L890" s="281"/>
      <c r="M890" s="281"/>
      <c r="N890" s="281"/>
      <c r="O890" s="281"/>
      <c r="P890" s="281"/>
      <c r="Q890" s="186"/>
      <c r="R890" s="186"/>
      <c r="S890" s="186"/>
      <c r="U890" s="186"/>
    </row>
    <row r="891" spans="9:21">
      <c r="I891" s="281"/>
      <c r="J891" s="281"/>
      <c r="K891" s="281"/>
      <c r="L891" s="281"/>
      <c r="M891" s="281"/>
      <c r="N891" s="281"/>
      <c r="O891" s="281"/>
      <c r="P891" s="281"/>
      <c r="Q891" s="186"/>
      <c r="R891" s="186"/>
      <c r="S891" s="186"/>
      <c r="U891" s="186"/>
    </row>
    <row r="892" spans="9:21">
      <c r="I892" s="281"/>
      <c r="J892" s="281"/>
      <c r="K892" s="281"/>
      <c r="L892" s="281"/>
      <c r="M892" s="281"/>
      <c r="N892" s="281"/>
      <c r="O892" s="281"/>
      <c r="P892" s="281"/>
      <c r="Q892" s="186"/>
      <c r="R892" s="186"/>
      <c r="S892" s="186"/>
      <c r="U892" s="186"/>
    </row>
    <row r="893" spans="9:21">
      <c r="I893" s="281"/>
      <c r="J893" s="281"/>
      <c r="K893" s="281"/>
      <c r="L893" s="281"/>
      <c r="M893" s="281"/>
      <c r="N893" s="281"/>
      <c r="O893" s="281"/>
      <c r="P893" s="281"/>
      <c r="Q893" s="186"/>
      <c r="R893" s="186"/>
      <c r="S893" s="186"/>
      <c r="U893" s="186"/>
    </row>
    <row r="894" spans="9:21">
      <c r="I894" s="281"/>
      <c r="J894" s="281"/>
      <c r="K894" s="281"/>
      <c r="L894" s="281"/>
      <c r="M894" s="281"/>
      <c r="N894" s="281"/>
      <c r="O894" s="281"/>
      <c r="P894" s="281"/>
      <c r="Q894" s="186"/>
      <c r="R894" s="186"/>
      <c r="S894" s="186"/>
      <c r="U894" s="186"/>
    </row>
    <row r="895" spans="9:21">
      <c r="I895" s="281"/>
      <c r="J895" s="281"/>
      <c r="K895" s="281"/>
      <c r="L895" s="281"/>
      <c r="M895" s="281"/>
      <c r="N895" s="281"/>
      <c r="O895" s="281"/>
      <c r="P895" s="281"/>
      <c r="Q895" s="186"/>
      <c r="R895" s="186"/>
      <c r="S895" s="186"/>
      <c r="U895" s="186"/>
    </row>
    <row r="896" spans="9:21">
      <c r="I896" s="281"/>
      <c r="J896" s="281"/>
      <c r="K896" s="281"/>
      <c r="L896" s="281"/>
      <c r="M896" s="281"/>
      <c r="N896" s="281"/>
      <c r="O896" s="281"/>
      <c r="P896" s="281"/>
      <c r="Q896" s="186"/>
      <c r="R896" s="186"/>
      <c r="S896" s="186"/>
      <c r="U896" s="186"/>
    </row>
    <row r="897" spans="9:21">
      <c r="I897" s="281"/>
      <c r="J897" s="281"/>
      <c r="K897" s="281"/>
      <c r="L897" s="281"/>
      <c r="M897" s="281"/>
      <c r="N897" s="281"/>
      <c r="O897" s="281"/>
      <c r="P897" s="281"/>
      <c r="Q897" s="186"/>
      <c r="R897" s="186"/>
      <c r="S897" s="186"/>
      <c r="U897" s="186"/>
    </row>
    <row r="898" spans="9:21">
      <c r="I898" s="281"/>
      <c r="J898" s="281"/>
      <c r="K898" s="281"/>
      <c r="L898" s="281"/>
      <c r="M898" s="281"/>
      <c r="N898" s="281"/>
      <c r="O898" s="281"/>
      <c r="P898" s="281"/>
      <c r="Q898" s="186"/>
      <c r="R898" s="186"/>
      <c r="S898" s="186"/>
      <c r="U898" s="186"/>
    </row>
    <row r="899" spans="9:21">
      <c r="I899" s="281"/>
      <c r="J899" s="281"/>
      <c r="K899" s="281"/>
      <c r="L899" s="281"/>
      <c r="M899" s="281"/>
      <c r="N899" s="281"/>
      <c r="O899" s="281"/>
      <c r="P899" s="281"/>
      <c r="Q899" s="186"/>
      <c r="R899" s="186"/>
      <c r="S899" s="186"/>
      <c r="U899" s="186"/>
    </row>
    <row r="900" spans="9:21">
      <c r="I900" s="281"/>
      <c r="J900" s="281"/>
      <c r="K900" s="281"/>
      <c r="L900" s="281"/>
      <c r="M900" s="281"/>
      <c r="N900" s="281"/>
      <c r="O900" s="281"/>
      <c r="P900" s="281"/>
      <c r="Q900" s="186"/>
      <c r="R900" s="186"/>
      <c r="S900" s="186"/>
      <c r="U900" s="186"/>
    </row>
    <row r="901" spans="9:21">
      <c r="I901" s="281"/>
      <c r="J901" s="281"/>
      <c r="K901" s="281"/>
      <c r="L901" s="281"/>
      <c r="M901" s="281"/>
      <c r="N901" s="281"/>
      <c r="O901" s="281"/>
      <c r="P901" s="281"/>
      <c r="Q901" s="186"/>
      <c r="R901" s="186"/>
      <c r="S901" s="186"/>
      <c r="U901" s="186"/>
    </row>
    <row r="902" spans="9:21">
      <c r="I902" s="281"/>
      <c r="J902" s="281"/>
      <c r="K902" s="281"/>
      <c r="L902" s="281"/>
      <c r="M902" s="281"/>
      <c r="N902" s="281"/>
      <c r="O902" s="281"/>
      <c r="P902" s="281"/>
      <c r="Q902" s="186"/>
      <c r="R902" s="186"/>
      <c r="S902" s="186"/>
      <c r="U902" s="186"/>
    </row>
    <row r="903" spans="9:21">
      <c r="I903" s="281"/>
      <c r="J903" s="281"/>
      <c r="K903" s="281"/>
      <c r="L903" s="281"/>
      <c r="M903" s="281"/>
      <c r="N903" s="281"/>
      <c r="O903" s="281"/>
      <c r="P903" s="281"/>
      <c r="Q903" s="186"/>
      <c r="R903" s="186"/>
      <c r="S903" s="186"/>
      <c r="U903" s="186"/>
    </row>
    <row r="904" spans="9:21">
      <c r="I904" s="281"/>
      <c r="J904" s="281"/>
      <c r="K904" s="281"/>
      <c r="L904" s="281"/>
      <c r="M904" s="281"/>
      <c r="N904" s="281"/>
      <c r="O904" s="281"/>
      <c r="P904" s="281"/>
      <c r="Q904" s="186"/>
      <c r="R904" s="186"/>
      <c r="S904" s="186"/>
      <c r="U904" s="186"/>
    </row>
    <row r="905" spans="9:21">
      <c r="I905" s="281"/>
      <c r="J905" s="281"/>
      <c r="K905" s="281"/>
      <c r="L905" s="281"/>
      <c r="M905" s="281"/>
      <c r="N905" s="281"/>
      <c r="O905" s="281"/>
      <c r="P905" s="281"/>
      <c r="Q905" s="186"/>
      <c r="R905" s="186"/>
      <c r="S905" s="186"/>
      <c r="U905" s="186"/>
    </row>
    <row r="906" spans="9:21">
      <c r="I906" s="281"/>
      <c r="J906" s="281"/>
      <c r="K906" s="281"/>
      <c r="L906" s="281"/>
      <c r="M906" s="281"/>
      <c r="N906" s="281"/>
      <c r="O906" s="281"/>
      <c r="P906" s="281"/>
      <c r="Q906" s="186"/>
      <c r="R906" s="186"/>
      <c r="S906" s="186"/>
      <c r="U906" s="186"/>
    </row>
    <row r="907" spans="9:21">
      <c r="I907" s="281"/>
      <c r="J907" s="281"/>
      <c r="K907" s="281"/>
      <c r="L907" s="281"/>
      <c r="M907" s="281"/>
      <c r="N907" s="281"/>
      <c r="O907" s="281"/>
      <c r="P907" s="281"/>
      <c r="Q907" s="186"/>
      <c r="R907" s="186"/>
      <c r="S907" s="186"/>
      <c r="U907" s="186"/>
    </row>
    <row r="908" spans="9:21">
      <c r="I908" s="281"/>
      <c r="J908" s="281"/>
      <c r="K908" s="281"/>
      <c r="L908" s="281"/>
      <c r="M908" s="281"/>
      <c r="N908" s="281"/>
      <c r="O908" s="281"/>
      <c r="P908" s="281"/>
      <c r="Q908" s="186"/>
      <c r="R908" s="186"/>
      <c r="S908" s="186"/>
      <c r="U908" s="186"/>
    </row>
    <row r="909" spans="9:21">
      <c r="I909" s="281"/>
      <c r="J909" s="281"/>
      <c r="K909" s="281"/>
      <c r="L909" s="281"/>
      <c r="M909" s="281"/>
      <c r="N909" s="281"/>
      <c r="O909" s="281"/>
      <c r="P909" s="281"/>
      <c r="Q909" s="186"/>
      <c r="R909" s="186"/>
      <c r="S909" s="186"/>
      <c r="U909" s="186"/>
    </row>
    <row r="910" spans="9:21">
      <c r="I910" s="281"/>
      <c r="J910" s="281"/>
      <c r="K910" s="281"/>
      <c r="L910" s="281"/>
      <c r="M910" s="281"/>
      <c r="N910" s="281"/>
      <c r="O910" s="281"/>
      <c r="P910" s="281"/>
      <c r="Q910" s="186"/>
      <c r="R910" s="186"/>
      <c r="S910" s="186"/>
      <c r="U910" s="186"/>
    </row>
    <row r="911" spans="9:21">
      <c r="I911" s="281"/>
      <c r="J911" s="281"/>
      <c r="K911" s="281"/>
      <c r="L911" s="281"/>
      <c r="M911" s="281"/>
      <c r="N911" s="281"/>
      <c r="O911" s="281"/>
      <c r="P911" s="281"/>
      <c r="Q911" s="186"/>
      <c r="R911" s="186"/>
      <c r="S911" s="186"/>
      <c r="U911" s="186"/>
    </row>
    <row r="912" spans="9:21">
      <c r="I912" s="281"/>
      <c r="J912" s="281"/>
      <c r="K912" s="281"/>
      <c r="L912" s="281"/>
      <c r="M912" s="281"/>
      <c r="N912" s="281"/>
      <c r="O912" s="281"/>
      <c r="P912" s="281"/>
      <c r="Q912" s="186"/>
      <c r="R912" s="186"/>
      <c r="S912" s="186"/>
      <c r="U912" s="186"/>
    </row>
    <row r="913" spans="9:21">
      <c r="I913" s="281"/>
      <c r="J913" s="281"/>
      <c r="K913" s="281"/>
      <c r="L913" s="281"/>
      <c r="M913" s="281"/>
      <c r="N913" s="281"/>
      <c r="O913" s="281"/>
      <c r="P913" s="281"/>
      <c r="Q913" s="186"/>
      <c r="R913" s="186"/>
      <c r="S913" s="186"/>
      <c r="U913" s="186"/>
    </row>
    <row r="914" spans="9:21">
      <c r="I914" s="281"/>
      <c r="J914" s="281"/>
      <c r="K914" s="281"/>
      <c r="L914" s="281"/>
      <c r="M914" s="281"/>
      <c r="N914" s="281"/>
      <c r="O914" s="281"/>
      <c r="P914" s="281"/>
      <c r="Q914" s="186"/>
      <c r="R914" s="186"/>
      <c r="S914" s="186"/>
      <c r="U914" s="186"/>
    </row>
    <row r="915" spans="9:21">
      <c r="I915" s="281"/>
      <c r="J915" s="281"/>
      <c r="K915" s="281"/>
      <c r="L915" s="281"/>
      <c r="M915" s="281"/>
      <c r="N915" s="281"/>
      <c r="O915" s="281"/>
      <c r="P915" s="281"/>
      <c r="Q915" s="186"/>
      <c r="R915" s="186"/>
      <c r="S915" s="186"/>
      <c r="U915" s="186"/>
    </row>
    <row r="916" spans="9:21">
      <c r="I916" s="281"/>
      <c r="J916" s="281"/>
      <c r="K916" s="281"/>
      <c r="L916" s="281"/>
      <c r="M916" s="281"/>
      <c r="N916" s="281"/>
      <c r="O916" s="281"/>
      <c r="P916" s="281"/>
      <c r="Q916" s="186"/>
      <c r="R916" s="186"/>
      <c r="S916" s="186"/>
      <c r="U916" s="186"/>
    </row>
    <row r="917" spans="9:21">
      <c r="I917" s="281"/>
      <c r="J917" s="281"/>
      <c r="K917" s="281"/>
      <c r="L917" s="281"/>
      <c r="M917" s="281"/>
      <c r="N917" s="281"/>
      <c r="O917" s="281"/>
      <c r="P917" s="281"/>
      <c r="Q917" s="186"/>
      <c r="R917" s="186"/>
      <c r="S917" s="186"/>
      <c r="U917" s="186"/>
    </row>
    <row r="918" spans="9:21">
      <c r="I918" s="281"/>
      <c r="J918" s="281"/>
      <c r="K918" s="281"/>
      <c r="L918" s="281"/>
      <c r="M918" s="281"/>
      <c r="N918" s="281"/>
      <c r="O918" s="281"/>
      <c r="P918" s="281"/>
      <c r="Q918" s="186"/>
      <c r="R918" s="186"/>
      <c r="S918" s="186"/>
      <c r="U918" s="186"/>
    </row>
    <row r="919" spans="9:21">
      <c r="I919" s="281"/>
      <c r="J919" s="281"/>
      <c r="K919" s="281"/>
      <c r="L919" s="281"/>
      <c r="M919" s="281"/>
      <c r="N919" s="281"/>
      <c r="O919" s="281"/>
      <c r="P919" s="281"/>
      <c r="Q919" s="186"/>
      <c r="R919" s="186"/>
      <c r="S919" s="186"/>
      <c r="U919" s="186"/>
    </row>
    <row r="920" spans="9:21">
      <c r="I920" s="281"/>
      <c r="J920" s="281"/>
      <c r="K920" s="281"/>
      <c r="L920" s="281"/>
      <c r="M920" s="281"/>
      <c r="N920" s="281"/>
      <c r="O920" s="281"/>
      <c r="P920" s="281"/>
      <c r="Q920" s="186"/>
      <c r="R920" s="186"/>
      <c r="S920" s="186"/>
      <c r="U920" s="186"/>
    </row>
    <row r="921" spans="9:21">
      <c r="I921" s="281"/>
      <c r="J921" s="281"/>
      <c r="K921" s="281"/>
      <c r="L921" s="281"/>
      <c r="M921" s="281"/>
      <c r="N921" s="281"/>
      <c r="O921" s="281"/>
      <c r="P921" s="281"/>
      <c r="Q921" s="186"/>
      <c r="R921" s="186"/>
      <c r="S921" s="186"/>
      <c r="U921" s="186"/>
    </row>
    <row r="922" spans="9:21">
      <c r="I922" s="281"/>
      <c r="J922" s="281"/>
      <c r="K922" s="281"/>
      <c r="L922" s="281"/>
      <c r="M922" s="281"/>
      <c r="N922" s="281"/>
      <c r="O922" s="281"/>
      <c r="P922" s="281"/>
      <c r="Q922" s="186"/>
      <c r="R922" s="186"/>
      <c r="S922" s="186"/>
      <c r="U922" s="186"/>
    </row>
    <row r="923" spans="9:21">
      <c r="I923" s="281"/>
      <c r="J923" s="281"/>
      <c r="K923" s="281"/>
      <c r="L923" s="281"/>
      <c r="M923" s="281"/>
      <c r="N923" s="281"/>
      <c r="O923" s="281"/>
      <c r="P923" s="281"/>
      <c r="Q923" s="186"/>
      <c r="R923" s="186"/>
      <c r="S923" s="186"/>
      <c r="U923" s="186"/>
    </row>
    <row r="924" spans="9:21">
      <c r="I924" s="281"/>
      <c r="J924" s="281"/>
      <c r="K924" s="281"/>
      <c r="L924" s="281"/>
      <c r="M924" s="281"/>
      <c r="N924" s="281"/>
      <c r="O924" s="281"/>
      <c r="P924" s="281"/>
      <c r="Q924" s="186"/>
      <c r="R924" s="186"/>
      <c r="S924" s="186"/>
      <c r="U924" s="186"/>
    </row>
    <row r="925" spans="9:21">
      <c r="I925" s="281"/>
      <c r="J925" s="281"/>
      <c r="K925" s="281"/>
      <c r="L925" s="281"/>
      <c r="M925" s="281"/>
      <c r="N925" s="281"/>
      <c r="O925" s="281"/>
      <c r="P925" s="281"/>
      <c r="Q925" s="186"/>
      <c r="R925" s="186"/>
      <c r="S925" s="186"/>
      <c r="U925" s="186"/>
    </row>
    <row r="926" spans="9:21">
      <c r="I926" s="281"/>
      <c r="J926" s="281"/>
      <c r="K926" s="281"/>
      <c r="L926" s="281"/>
      <c r="M926" s="281"/>
      <c r="N926" s="281"/>
      <c r="O926" s="281"/>
      <c r="P926" s="281"/>
      <c r="Q926" s="186"/>
      <c r="R926" s="186"/>
      <c r="S926" s="186"/>
      <c r="U926" s="186"/>
    </row>
    <row r="927" spans="9:21">
      <c r="I927" s="281"/>
      <c r="J927" s="281"/>
      <c r="K927" s="281"/>
      <c r="L927" s="281"/>
      <c r="M927" s="281"/>
      <c r="N927" s="281"/>
      <c r="O927" s="281"/>
      <c r="P927" s="281"/>
      <c r="Q927" s="186"/>
      <c r="R927" s="186"/>
      <c r="S927" s="186"/>
      <c r="U927" s="186"/>
    </row>
    <row r="928" spans="9:21">
      <c r="I928" s="281"/>
      <c r="J928" s="281"/>
      <c r="K928" s="281"/>
      <c r="L928" s="281"/>
      <c r="M928" s="281"/>
      <c r="N928" s="281"/>
      <c r="O928" s="281"/>
      <c r="P928" s="281"/>
      <c r="Q928" s="186"/>
      <c r="R928" s="186"/>
      <c r="S928" s="186"/>
      <c r="U928" s="186"/>
    </row>
    <row r="929" spans="9:21">
      <c r="I929" s="281"/>
      <c r="J929" s="281"/>
      <c r="K929" s="281"/>
      <c r="L929" s="281"/>
      <c r="M929" s="281"/>
      <c r="N929" s="281"/>
      <c r="O929" s="281"/>
      <c r="P929" s="281"/>
      <c r="Q929" s="186"/>
      <c r="R929" s="186"/>
      <c r="S929" s="186"/>
      <c r="U929" s="186"/>
    </row>
    <row r="930" spans="9:21">
      <c r="I930" s="281"/>
      <c r="J930" s="281"/>
      <c r="K930" s="281"/>
      <c r="L930" s="281"/>
      <c r="M930" s="281"/>
      <c r="N930" s="281"/>
      <c r="O930" s="281"/>
      <c r="P930" s="281"/>
      <c r="Q930" s="186"/>
      <c r="R930" s="186"/>
      <c r="S930" s="186"/>
      <c r="U930" s="186"/>
    </row>
    <row r="931" spans="9:21">
      <c r="I931" s="281"/>
      <c r="J931" s="281"/>
      <c r="K931" s="281"/>
      <c r="L931" s="281"/>
      <c r="M931" s="281"/>
      <c r="N931" s="281"/>
      <c r="O931" s="281"/>
      <c r="P931" s="281"/>
      <c r="Q931" s="186"/>
      <c r="R931" s="186"/>
      <c r="S931" s="186"/>
      <c r="U931" s="186"/>
    </row>
    <row r="932" spans="9:21">
      <c r="I932" s="281"/>
      <c r="J932" s="281"/>
      <c r="K932" s="281"/>
      <c r="L932" s="281"/>
      <c r="M932" s="281"/>
      <c r="N932" s="281"/>
      <c r="O932" s="281"/>
      <c r="P932" s="281"/>
      <c r="Q932" s="186"/>
      <c r="R932" s="186"/>
      <c r="S932" s="186"/>
      <c r="U932" s="186"/>
    </row>
    <row r="933" spans="9:21">
      <c r="I933" s="281"/>
      <c r="J933" s="281"/>
      <c r="K933" s="281"/>
      <c r="L933" s="281"/>
      <c r="M933" s="281"/>
      <c r="N933" s="281"/>
      <c r="O933" s="281"/>
      <c r="P933" s="281"/>
      <c r="Q933" s="186"/>
      <c r="R933" s="186"/>
      <c r="S933" s="186"/>
      <c r="U933" s="186"/>
    </row>
    <row r="934" spans="9:21">
      <c r="I934" s="281"/>
      <c r="J934" s="281"/>
      <c r="K934" s="281"/>
      <c r="L934" s="281"/>
      <c r="M934" s="281"/>
      <c r="N934" s="281"/>
      <c r="O934" s="281"/>
      <c r="P934" s="281"/>
      <c r="Q934" s="186"/>
      <c r="R934" s="186"/>
      <c r="S934" s="186"/>
      <c r="U934" s="186"/>
    </row>
    <row r="935" spans="9:21">
      <c r="I935" s="281"/>
      <c r="J935" s="281"/>
      <c r="K935" s="281"/>
      <c r="L935" s="281"/>
      <c r="M935" s="281"/>
      <c r="N935" s="281"/>
      <c r="O935" s="281"/>
      <c r="P935" s="281"/>
      <c r="Q935" s="186"/>
      <c r="R935" s="186"/>
      <c r="S935" s="186"/>
      <c r="U935" s="186"/>
    </row>
    <row r="936" spans="9:21">
      <c r="I936" s="281"/>
      <c r="J936" s="281"/>
      <c r="K936" s="281"/>
      <c r="L936" s="281"/>
      <c r="M936" s="281"/>
      <c r="N936" s="281"/>
      <c r="O936" s="281"/>
      <c r="P936" s="281"/>
      <c r="Q936" s="186"/>
      <c r="R936" s="186"/>
      <c r="S936" s="186"/>
      <c r="U936" s="186"/>
    </row>
    <row r="937" spans="9:21">
      <c r="I937" s="281"/>
      <c r="J937" s="281"/>
      <c r="K937" s="281"/>
      <c r="L937" s="281"/>
      <c r="M937" s="281"/>
      <c r="N937" s="281"/>
      <c r="O937" s="281"/>
      <c r="P937" s="281"/>
      <c r="Q937" s="186"/>
      <c r="R937" s="186"/>
      <c r="S937" s="186"/>
      <c r="U937" s="186"/>
    </row>
    <row r="938" spans="9:21">
      <c r="I938" s="281"/>
      <c r="J938" s="281"/>
      <c r="K938" s="281"/>
      <c r="L938" s="281"/>
      <c r="M938" s="281"/>
      <c r="N938" s="281"/>
      <c r="O938" s="281"/>
      <c r="P938" s="281"/>
      <c r="Q938" s="186"/>
      <c r="R938" s="186"/>
      <c r="S938" s="186"/>
      <c r="U938" s="186"/>
    </row>
    <row r="939" spans="9:21">
      <c r="I939" s="281"/>
      <c r="J939" s="281"/>
      <c r="K939" s="281"/>
      <c r="L939" s="281"/>
      <c r="M939" s="281"/>
      <c r="N939" s="281"/>
      <c r="O939" s="281"/>
      <c r="P939" s="281"/>
      <c r="Q939" s="186"/>
      <c r="R939" s="186"/>
      <c r="S939" s="186"/>
      <c r="U939" s="186"/>
    </row>
    <row r="940" spans="9:21">
      <c r="I940" s="281"/>
      <c r="J940" s="281"/>
      <c r="K940" s="281"/>
      <c r="L940" s="281"/>
      <c r="M940" s="281"/>
      <c r="N940" s="281"/>
      <c r="O940" s="281"/>
      <c r="P940" s="281"/>
      <c r="Q940" s="186"/>
      <c r="R940" s="186"/>
      <c r="S940" s="186"/>
      <c r="U940" s="186"/>
    </row>
    <row r="941" spans="9:21">
      <c r="I941" s="281"/>
      <c r="J941" s="281"/>
      <c r="K941" s="281"/>
      <c r="L941" s="281"/>
      <c r="M941" s="281"/>
      <c r="N941" s="281"/>
      <c r="O941" s="281"/>
      <c r="P941" s="281"/>
      <c r="Q941" s="186"/>
      <c r="R941" s="186"/>
      <c r="S941" s="186"/>
      <c r="U941" s="186"/>
    </row>
    <row r="942" spans="9:21">
      <c r="I942" s="281"/>
      <c r="J942" s="281"/>
      <c r="K942" s="281"/>
      <c r="L942" s="281"/>
      <c r="M942" s="281"/>
      <c r="N942" s="281"/>
      <c r="O942" s="281"/>
      <c r="P942" s="281"/>
      <c r="Q942" s="186"/>
      <c r="R942" s="186"/>
      <c r="S942" s="186"/>
      <c r="U942" s="186"/>
    </row>
    <row r="943" spans="9:21">
      <c r="I943" s="281"/>
      <c r="J943" s="281"/>
      <c r="K943" s="281"/>
      <c r="L943" s="281"/>
      <c r="M943" s="281"/>
      <c r="N943" s="281"/>
      <c r="O943" s="281"/>
      <c r="P943" s="281"/>
      <c r="Q943" s="186"/>
      <c r="R943" s="186"/>
      <c r="S943" s="186"/>
      <c r="U943" s="186"/>
    </row>
    <row r="944" spans="9:21">
      <c r="I944" s="281"/>
      <c r="J944" s="281"/>
      <c r="K944" s="281"/>
      <c r="L944" s="281"/>
      <c r="M944" s="281"/>
      <c r="N944" s="281"/>
      <c r="O944" s="281"/>
      <c r="P944" s="281"/>
      <c r="Q944" s="186"/>
      <c r="R944" s="186"/>
      <c r="S944" s="186"/>
      <c r="U944" s="186"/>
    </row>
    <row r="945" spans="9:21">
      <c r="I945" s="281"/>
      <c r="J945" s="281"/>
      <c r="K945" s="281"/>
      <c r="L945" s="281"/>
      <c r="M945" s="281"/>
      <c r="N945" s="281"/>
      <c r="O945" s="281"/>
      <c r="P945" s="281"/>
      <c r="Q945" s="186"/>
      <c r="R945" s="186"/>
      <c r="S945" s="186"/>
      <c r="U945" s="186"/>
    </row>
    <row r="946" spans="9:21">
      <c r="I946" s="281"/>
      <c r="J946" s="281"/>
      <c r="K946" s="281"/>
      <c r="L946" s="281"/>
      <c r="M946" s="281"/>
      <c r="N946" s="281"/>
      <c r="O946" s="281"/>
      <c r="P946" s="281"/>
      <c r="Q946" s="186"/>
      <c r="R946" s="186"/>
      <c r="S946" s="186"/>
      <c r="U946" s="186"/>
    </row>
    <row r="947" spans="9:21">
      <c r="I947" s="281"/>
      <c r="J947" s="281"/>
      <c r="K947" s="281"/>
      <c r="L947" s="281"/>
      <c r="M947" s="281"/>
      <c r="N947" s="281"/>
      <c r="O947" s="281"/>
      <c r="P947" s="281"/>
      <c r="Q947" s="186"/>
      <c r="R947" s="186"/>
      <c r="S947" s="186"/>
      <c r="U947" s="186"/>
    </row>
    <row r="948" spans="9:21">
      <c r="I948" s="281"/>
      <c r="J948" s="281"/>
      <c r="K948" s="281"/>
      <c r="L948" s="281"/>
      <c r="M948" s="281"/>
      <c r="N948" s="281"/>
      <c r="O948" s="281"/>
      <c r="P948" s="281"/>
      <c r="Q948" s="186"/>
      <c r="R948" s="186"/>
      <c r="S948" s="186"/>
      <c r="U948" s="186"/>
    </row>
    <row r="949" spans="9:21">
      <c r="I949" s="281"/>
      <c r="J949" s="281"/>
      <c r="K949" s="281"/>
      <c r="L949" s="281"/>
      <c r="M949" s="281"/>
      <c r="N949" s="281"/>
      <c r="O949" s="281"/>
      <c r="P949" s="281"/>
      <c r="Q949" s="186"/>
      <c r="R949" s="186"/>
      <c r="S949" s="186"/>
      <c r="U949" s="186"/>
    </row>
    <row r="950" spans="9:21">
      <c r="I950" s="281"/>
      <c r="J950" s="281"/>
      <c r="K950" s="281"/>
      <c r="L950" s="281"/>
      <c r="M950" s="281"/>
      <c r="N950" s="281"/>
      <c r="O950" s="281"/>
      <c r="P950" s="281"/>
      <c r="Q950" s="186"/>
      <c r="R950" s="186"/>
      <c r="S950" s="186"/>
      <c r="U950" s="186"/>
    </row>
    <row r="951" spans="9:21">
      <c r="I951" s="281"/>
      <c r="J951" s="281"/>
      <c r="K951" s="281"/>
      <c r="L951" s="281"/>
      <c r="M951" s="281"/>
      <c r="N951" s="281"/>
      <c r="O951" s="281"/>
      <c r="P951" s="281"/>
      <c r="Q951" s="186"/>
      <c r="R951" s="186"/>
      <c r="S951" s="186"/>
      <c r="U951" s="186"/>
    </row>
    <row r="952" spans="9:21">
      <c r="I952" s="281"/>
      <c r="J952" s="281"/>
      <c r="K952" s="281"/>
      <c r="L952" s="281"/>
      <c r="M952" s="281"/>
      <c r="N952" s="281"/>
      <c r="O952" s="281"/>
      <c r="P952" s="281"/>
      <c r="Q952" s="186"/>
      <c r="R952" s="186"/>
      <c r="S952" s="186"/>
      <c r="U952" s="186"/>
    </row>
    <row r="953" spans="9:21">
      <c r="I953" s="281"/>
      <c r="J953" s="281"/>
      <c r="K953" s="281"/>
      <c r="L953" s="281"/>
      <c r="M953" s="281"/>
      <c r="N953" s="281"/>
      <c r="O953" s="281"/>
      <c r="P953" s="281"/>
      <c r="Q953" s="186"/>
      <c r="R953" s="186"/>
      <c r="S953" s="186"/>
      <c r="U953" s="186"/>
    </row>
    <row r="954" spans="9:21">
      <c r="I954" s="281"/>
      <c r="J954" s="281"/>
      <c r="K954" s="281"/>
      <c r="L954" s="281"/>
      <c r="M954" s="281"/>
      <c r="N954" s="281"/>
      <c r="O954" s="281"/>
      <c r="P954" s="281"/>
      <c r="Q954" s="186"/>
      <c r="R954" s="186"/>
      <c r="S954" s="186"/>
      <c r="U954" s="186"/>
    </row>
    <row r="955" spans="9:21">
      <c r="I955" s="281"/>
      <c r="J955" s="281"/>
      <c r="K955" s="281"/>
      <c r="L955" s="281"/>
      <c r="M955" s="281"/>
      <c r="N955" s="281"/>
      <c r="O955" s="281"/>
      <c r="P955" s="281"/>
      <c r="Q955" s="186"/>
      <c r="R955" s="186"/>
      <c r="S955" s="186"/>
      <c r="U955" s="186"/>
    </row>
    <row r="956" spans="9:21">
      <c r="I956" s="281"/>
      <c r="J956" s="281"/>
      <c r="K956" s="281"/>
      <c r="L956" s="281"/>
      <c r="M956" s="281"/>
      <c r="N956" s="281"/>
      <c r="O956" s="281"/>
      <c r="P956" s="281"/>
      <c r="Q956" s="186"/>
      <c r="R956" s="186"/>
      <c r="S956" s="186"/>
      <c r="U956" s="186"/>
    </row>
    <row r="957" spans="9:21">
      <c r="I957" s="281"/>
      <c r="J957" s="281"/>
      <c r="K957" s="281"/>
      <c r="L957" s="281"/>
      <c r="M957" s="281"/>
      <c r="N957" s="281"/>
      <c r="O957" s="281"/>
      <c r="P957" s="281"/>
      <c r="Q957" s="186"/>
      <c r="R957" s="186"/>
      <c r="S957" s="186"/>
      <c r="U957" s="186"/>
    </row>
    <row r="958" spans="9:21">
      <c r="I958" s="281"/>
      <c r="J958" s="281"/>
      <c r="K958" s="281"/>
      <c r="L958" s="281"/>
      <c r="M958" s="281"/>
      <c r="N958" s="281"/>
      <c r="O958" s="281"/>
      <c r="P958" s="281"/>
      <c r="Q958" s="186"/>
      <c r="R958" s="186"/>
      <c r="S958" s="186"/>
      <c r="U958" s="186"/>
    </row>
    <row r="959" spans="9:21">
      <c r="I959" s="281"/>
      <c r="J959" s="281"/>
      <c r="K959" s="281"/>
      <c r="L959" s="281"/>
      <c r="M959" s="281"/>
      <c r="N959" s="281"/>
      <c r="O959" s="281"/>
      <c r="P959" s="281"/>
      <c r="Q959" s="186"/>
      <c r="R959" s="186"/>
      <c r="S959" s="186"/>
      <c r="U959" s="186"/>
    </row>
    <row r="960" spans="9:21">
      <c r="I960" s="281"/>
      <c r="J960" s="281"/>
      <c r="K960" s="281"/>
      <c r="L960" s="281"/>
      <c r="M960" s="281"/>
      <c r="N960" s="281"/>
      <c r="O960" s="281"/>
      <c r="P960" s="281"/>
      <c r="Q960" s="186"/>
      <c r="R960" s="186"/>
      <c r="S960" s="186"/>
      <c r="U960" s="186"/>
    </row>
    <row r="961" spans="9:21">
      <c r="I961" s="281"/>
      <c r="J961" s="281"/>
      <c r="K961" s="281"/>
      <c r="L961" s="281"/>
      <c r="M961" s="281"/>
      <c r="N961" s="281"/>
      <c r="O961" s="281"/>
      <c r="P961" s="281"/>
      <c r="Q961" s="186"/>
      <c r="R961" s="186"/>
      <c r="S961" s="186"/>
      <c r="U961" s="186"/>
    </row>
    <row r="962" spans="9:21">
      <c r="I962" s="281"/>
      <c r="J962" s="281"/>
      <c r="K962" s="281"/>
      <c r="L962" s="281"/>
      <c r="M962" s="281"/>
      <c r="N962" s="281"/>
      <c r="O962" s="281"/>
      <c r="P962" s="281"/>
      <c r="Q962" s="186"/>
      <c r="R962" s="186"/>
      <c r="S962" s="186"/>
      <c r="U962" s="186"/>
    </row>
    <row r="963" spans="9:21">
      <c r="I963" s="281"/>
      <c r="J963" s="281"/>
      <c r="K963" s="281"/>
      <c r="L963" s="281"/>
      <c r="M963" s="281"/>
      <c r="N963" s="281"/>
      <c r="O963" s="281"/>
      <c r="P963" s="281"/>
      <c r="Q963" s="186"/>
      <c r="R963" s="186"/>
      <c r="S963" s="186"/>
      <c r="U963" s="186"/>
    </row>
    <row r="964" spans="9:21">
      <c r="I964" s="281"/>
      <c r="J964" s="281"/>
      <c r="K964" s="281"/>
      <c r="L964" s="281"/>
      <c r="M964" s="281"/>
      <c r="N964" s="281"/>
      <c r="O964" s="281"/>
      <c r="P964" s="281"/>
      <c r="Q964" s="186"/>
      <c r="R964" s="186"/>
      <c r="S964" s="186"/>
      <c r="U964" s="186"/>
    </row>
    <row r="965" spans="9:21">
      <c r="I965" s="281"/>
      <c r="J965" s="281"/>
      <c r="K965" s="281"/>
      <c r="L965" s="281"/>
      <c r="M965" s="281"/>
      <c r="N965" s="281"/>
      <c r="O965" s="281"/>
      <c r="P965" s="281"/>
      <c r="Q965" s="186"/>
      <c r="R965" s="186"/>
      <c r="S965" s="186"/>
      <c r="U965" s="186"/>
    </row>
    <row r="966" spans="9:21">
      <c r="I966" s="281"/>
      <c r="J966" s="281"/>
      <c r="K966" s="281"/>
      <c r="L966" s="281"/>
      <c r="M966" s="281"/>
      <c r="N966" s="281"/>
      <c r="O966" s="281"/>
      <c r="P966" s="281"/>
      <c r="Q966" s="186"/>
      <c r="R966" s="186"/>
      <c r="S966" s="186"/>
      <c r="U966" s="186"/>
    </row>
    <row r="967" spans="9:21">
      <c r="I967" s="281"/>
      <c r="J967" s="281"/>
      <c r="K967" s="281"/>
      <c r="L967" s="281"/>
      <c r="M967" s="281"/>
      <c r="N967" s="281"/>
      <c r="O967" s="281"/>
      <c r="P967" s="281"/>
      <c r="Q967" s="186"/>
      <c r="R967" s="186"/>
      <c r="S967" s="186"/>
      <c r="U967" s="186"/>
    </row>
    <row r="968" spans="9:21">
      <c r="I968" s="281"/>
      <c r="J968" s="281"/>
      <c r="K968" s="281"/>
      <c r="L968" s="281"/>
      <c r="M968" s="281"/>
      <c r="N968" s="281"/>
      <c r="O968" s="281"/>
      <c r="P968" s="281"/>
      <c r="Q968" s="186"/>
      <c r="R968" s="186"/>
      <c r="S968" s="186"/>
      <c r="U968" s="186"/>
    </row>
    <row r="969" spans="9:21">
      <c r="I969" s="281"/>
      <c r="J969" s="281"/>
      <c r="K969" s="281"/>
      <c r="L969" s="281"/>
      <c r="M969" s="281"/>
      <c r="N969" s="281"/>
      <c r="O969" s="281"/>
      <c r="P969" s="281"/>
      <c r="Q969" s="186"/>
      <c r="R969" s="186"/>
      <c r="S969" s="186"/>
      <c r="U969" s="186"/>
    </row>
    <row r="970" spans="9:21">
      <c r="I970" s="281"/>
      <c r="J970" s="281"/>
      <c r="K970" s="281"/>
      <c r="L970" s="281"/>
      <c r="M970" s="281"/>
      <c r="N970" s="281"/>
      <c r="O970" s="281"/>
      <c r="P970" s="281"/>
      <c r="Q970" s="186"/>
      <c r="R970" s="186"/>
      <c r="S970" s="186"/>
      <c r="U970" s="186"/>
    </row>
    <row r="971" spans="9:21">
      <c r="I971" s="281"/>
      <c r="J971" s="281"/>
      <c r="K971" s="281"/>
      <c r="L971" s="281"/>
      <c r="M971" s="281"/>
      <c r="N971" s="281"/>
      <c r="O971" s="281"/>
      <c r="P971" s="281"/>
      <c r="Q971" s="186"/>
      <c r="R971" s="186"/>
      <c r="S971" s="186"/>
      <c r="U971" s="186"/>
    </row>
    <row r="972" spans="9:21">
      <c r="I972" s="281"/>
      <c r="J972" s="281"/>
      <c r="K972" s="281"/>
      <c r="L972" s="281"/>
      <c r="M972" s="281"/>
      <c r="N972" s="281"/>
      <c r="O972" s="281"/>
      <c r="P972" s="281"/>
      <c r="Q972" s="186"/>
      <c r="R972" s="186"/>
      <c r="S972" s="186"/>
      <c r="U972" s="186"/>
    </row>
    <row r="973" spans="9:21">
      <c r="I973" s="281"/>
      <c r="J973" s="281"/>
      <c r="K973" s="281"/>
      <c r="L973" s="281"/>
      <c r="M973" s="281"/>
      <c r="N973" s="281"/>
      <c r="O973" s="281"/>
      <c r="P973" s="281"/>
      <c r="Q973" s="186"/>
      <c r="R973" s="186"/>
      <c r="S973" s="186"/>
      <c r="U973" s="186"/>
    </row>
    <row r="974" spans="9:21">
      <c r="I974" s="281"/>
      <c r="J974" s="281"/>
      <c r="K974" s="281"/>
      <c r="L974" s="281"/>
      <c r="M974" s="281"/>
      <c r="N974" s="281"/>
      <c r="O974" s="281"/>
      <c r="P974" s="281"/>
      <c r="Q974" s="186"/>
      <c r="R974" s="186"/>
      <c r="S974" s="186"/>
      <c r="U974" s="186"/>
    </row>
    <row r="975" spans="9:21">
      <c r="I975" s="281"/>
      <c r="J975" s="281"/>
      <c r="K975" s="281"/>
      <c r="L975" s="281"/>
      <c r="M975" s="281"/>
      <c r="N975" s="281"/>
      <c r="O975" s="281"/>
      <c r="P975" s="281"/>
      <c r="Q975" s="186"/>
      <c r="R975" s="186"/>
      <c r="S975" s="186"/>
      <c r="U975" s="186"/>
    </row>
    <row r="976" spans="9:21">
      <c r="I976" s="281"/>
      <c r="J976" s="281"/>
      <c r="K976" s="281"/>
      <c r="L976" s="281"/>
      <c r="M976" s="281"/>
      <c r="N976" s="281"/>
      <c r="O976" s="281"/>
      <c r="P976" s="281"/>
      <c r="Q976" s="186"/>
      <c r="R976" s="186"/>
      <c r="S976" s="186"/>
      <c r="U976" s="186"/>
    </row>
    <row r="977" spans="9:21">
      <c r="I977" s="281"/>
      <c r="J977" s="281"/>
      <c r="K977" s="281"/>
      <c r="L977" s="281"/>
      <c r="M977" s="281"/>
      <c r="N977" s="281"/>
      <c r="O977" s="281"/>
      <c r="P977" s="281"/>
      <c r="Q977" s="186"/>
      <c r="R977" s="186"/>
      <c r="S977" s="186"/>
      <c r="U977" s="186"/>
    </row>
    <row r="978" spans="9:21">
      <c r="I978" s="281"/>
      <c r="J978" s="281"/>
      <c r="K978" s="281"/>
      <c r="L978" s="281"/>
      <c r="M978" s="281"/>
      <c r="N978" s="281"/>
      <c r="O978" s="281"/>
      <c r="P978" s="281"/>
      <c r="Q978" s="186"/>
      <c r="R978" s="186"/>
      <c r="S978" s="186"/>
      <c r="U978" s="186"/>
    </row>
    <row r="979" spans="9:21">
      <c r="I979" s="281"/>
      <c r="J979" s="281"/>
      <c r="K979" s="281"/>
      <c r="L979" s="281"/>
      <c r="M979" s="281"/>
      <c r="N979" s="281"/>
      <c r="O979" s="281"/>
      <c r="P979" s="281"/>
      <c r="Q979" s="186"/>
      <c r="R979" s="186"/>
      <c r="S979" s="186"/>
      <c r="U979" s="186"/>
    </row>
    <row r="980" spans="9:21">
      <c r="I980" s="281"/>
      <c r="J980" s="281"/>
      <c r="K980" s="281"/>
      <c r="L980" s="281"/>
      <c r="M980" s="281"/>
      <c r="N980" s="281"/>
      <c r="O980" s="281"/>
      <c r="P980" s="281"/>
      <c r="Q980" s="186"/>
      <c r="R980" s="186"/>
      <c r="S980" s="186"/>
      <c r="U980" s="186"/>
    </row>
    <row r="981" spans="9:21">
      <c r="I981" s="281"/>
      <c r="J981" s="281"/>
      <c r="K981" s="281"/>
      <c r="L981" s="281"/>
      <c r="M981" s="281"/>
      <c r="N981" s="281"/>
      <c r="O981" s="281"/>
      <c r="P981" s="281"/>
      <c r="Q981" s="186"/>
      <c r="R981" s="186"/>
      <c r="S981" s="186"/>
      <c r="U981" s="186"/>
    </row>
    <row r="982" spans="9:21">
      <c r="I982" s="281"/>
      <c r="J982" s="281"/>
      <c r="K982" s="281"/>
      <c r="L982" s="281"/>
      <c r="M982" s="281"/>
      <c r="N982" s="281"/>
      <c r="O982" s="281"/>
      <c r="P982" s="281"/>
      <c r="Q982" s="186"/>
      <c r="R982" s="186"/>
      <c r="S982" s="186"/>
      <c r="U982" s="186"/>
    </row>
    <row r="983" spans="9:21">
      <c r="I983" s="281"/>
      <c r="J983" s="281"/>
      <c r="K983" s="281"/>
      <c r="L983" s="281"/>
      <c r="M983" s="281"/>
      <c r="N983" s="281"/>
      <c r="O983" s="281"/>
      <c r="P983" s="281"/>
      <c r="Q983" s="186"/>
      <c r="R983" s="186"/>
      <c r="S983" s="186"/>
      <c r="U983" s="186"/>
    </row>
    <row r="984" spans="9:21">
      <c r="I984" s="281"/>
      <c r="J984" s="281"/>
      <c r="K984" s="281"/>
      <c r="L984" s="281"/>
      <c r="M984" s="281"/>
      <c r="N984" s="281"/>
      <c r="O984" s="281"/>
      <c r="P984" s="281"/>
      <c r="Q984" s="186"/>
      <c r="R984" s="186"/>
      <c r="S984" s="186"/>
      <c r="U984" s="186"/>
    </row>
    <row r="985" spans="9:21">
      <c r="I985" s="281"/>
      <c r="J985" s="281"/>
      <c r="K985" s="281"/>
      <c r="L985" s="281"/>
      <c r="M985" s="281"/>
      <c r="N985" s="281"/>
      <c r="O985" s="281"/>
      <c r="P985" s="281"/>
      <c r="Q985" s="186"/>
      <c r="R985" s="186"/>
      <c r="S985" s="186"/>
      <c r="U985" s="186"/>
    </row>
    <row r="986" spans="9:21">
      <c r="I986" s="281"/>
      <c r="J986" s="281"/>
      <c r="K986" s="281"/>
      <c r="L986" s="281"/>
      <c r="M986" s="281"/>
      <c r="N986" s="281"/>
      <c r="O986" s="281"/>
      <c r="P986" s="281"/>
      <c r="Q986" s="186"/>
      <c r="R986" s="186"/>
      <c r="S986" s="186"/>
      <c r="U986" s="186"/>
    </row>
    <row r="987" spans="9:21">
      <c r="I987" s="281"/>
      <c r="J987" s="281"/>
      <c r="K987" s="281"/>
      <c r="L987" s="281"/>
      <c r="M987" s="281"/>
      <c r="N987" s="281"/>
      <c r="O987" s="281"/>
      <c r="P987" s="281"/>
      <c r="Q987" s="186"/>
      <c r="R987" s="186"/>
      <c r="S987" s="186"/>
      <c r="U987" s="186"/>
    </row>
    <row r="988" spans="9:21">
      <c r="I988" s="281"/>
      <c r="J988" s="281"/>
      <c r="K988" s="281"/>
      <c r="L988" s="281"/>
      <c r="M988" s="281"/>
      <c r="N988" s="281"/>
      <c r="O988" s="281"/>
      <c r="P988" s="281"/>
      <c r="Q988" s="186"/>
      <c r="R988" s="186"/>
      <c r="S988" s="186"/>
      <c r="U988" s="186"/>
    </row>
    <row r="989" spans="9:21">
      <c r="I989" s="281"/>
      <c r="J989" s="281"/>
      <c r="K989" s="281"/>
      <c r="L989" s="281"/>
      <c r="M989" s="281"/>
      <c r="N989" s="281"/>
      <c r="O989" s="281"/>
      <c r="P989" s="281"/>
      <c r="Q989" s="186"/>
      <c r="R989" s="186"/>
      <c r="S989" s="186"/>
      <c r="U989" s="186"/>
    </row>
    <row r="990" spans="9:21">
      <c r="I990" s="281"/>
      <c r="J990" s="281"/>
      <c r="K990" s="281"/>
      <c r="L990" s="281"/>
      <c r="M990" s="281"/>
      <c r="N990" s="281"/>
      <c r="O990" s="281"/>
      <c r="P990" s="281"/>
      <c r="Q990" s="186"/>
      <c r="R990" s="186"/>
      <c r="S990" s="186"/>
      <c r="U990" s="186"/>
    </row>
    <row r="991" spans="9:21">
      <c r="I991" s="281"/>
      <c r="J991" s="281"/>
      <c r="K991" s="281"/>
      <c r="L991" s="281"/>
      <c r="M991" s="281"/>
      <c r="N991" s="281"/>
      <c r="O991" s="281"/>
      <c r="P991" s="281"/>
      <c r="Q991" s="186"/>
      <c r="R991" s="186"/>
      <c r="S991" s="186"/>
      <c r="U991" s="186"/>
    </row>
    <row r="992" spans="9:21">
      <c r="I992" s="281"/>
      <c r="J992" s="281"/>
      <c r="K992" s="281"/>
      <c r="L992" s="281"/>
      <c r="M992" s="281"/>
      <c r="N992" s="281"/>
      <c r="O992" s="281"/>
      <c r="P992" s="281"/>
      <c r="Q992" s="186"/>
      <c r="R992" s="186"/>
      <c r="S992" s="186"/>
      <c r="U992" s="186"/>
    </row>
    <row r="993" spans="9:21">
      <c r="I993" s="281"/>
      <c r="J993" s="281"/>
      <c r="K993" s="281"/>
      <c r="L993" s="281"/>
      <c r="M993" s="281"/>
      <c r="N993" s="281"/>
      <c r="O993" s="281"/>
      <c r="P993" s="281"/>
      <c r="Q993" s="186"/>
      <c r="R993" s="186"/>
      <c r="S993" s="186"/>
      <c r="U993" s="186"/>
    </row>
    <row r="994" spans="9:21">
      <c r="I994" s="281"/>
      <c r="J994" s="281"/>
      <c r="K994" s="281"/>
      <c r="L994" s="281"/>
      <c r="M994" s="281"/>
      <c r="N994" s="281"/>
      <c r="O994" s="281"/>
      <c r="P994" s="281"/>
      <c r="Q994" s="186"/>
      <c r="R994" s="186"/>
      <c r="S994" s="186"/>
      <c r="U994" s="186"/>
    </row>
    <row r="995" spans="9:21">
      <c r="I995" s="281"/>
      <c r="J995" s="281"/>
      <c r="K995" s="281"/>
      <c r="L995" s="281"/>
      <c r="M995" s="281"/>
      <c r="N995" s="281"/>
      <c r="O995" s="281"/>
      <c r="P995" s="281"/>
      <c r="Q995" s="186"/>
      <c r="R995" s="186"/>
      <c r="S995" s="186"/>
      <c r="U995" s="186"/>
    </row>
    <row r="996" spans="9:21">
      <c r="I996" s="281"/>
      <c r="J996" s="281"/>
      <c r="K996" s="281"/>
      <c r="L996" s="281"/>
      <c r="M996" s="281"/>
      <c r="N996" s="281"/>
      <c r="O996" s="281"/>
      <c r="P996" s="281"/>
      <c r="Q996" s="186"/>
      <c r="R996" s="186"/>
      <c r="S996" s="186"/>
      <c r="U996" s="186"/>
    </row>
    <row r="997" spans="9:21">
      <c r="I997" s="281"/>
      <c r="J997" s="281"/>
      <c r="K997" s="281"/>
      <c r="L997" s="281"/>
      <c r="M997" s="281"/>
      <c r="N997" s="281"/>
      <c r="O997" s="281"/>
      <c r="P997" s="281"/>
      <c r="Q997" s="186"/>
      <c r="R997" s="186"/>
      <c r="S997" s="186"/>
      <c r="U997" s="186"/>
    </row>
    <row r="998" spans="9:21">
      <c r="I998" s="281"/>
      <c r="J998" s="281"/>
      <c r="K998" s="281"/>
      <c r="L998" s="281"/>
      <c r="M998" s="281"/>
      <c r="N998" s="281"/>
      <c r="O998" s="281"/>
      <c r="P998" s="281"/>
      <c r="Q998" s="186"/>
      <c r="R998" s="186"/>
      <c r="S998" s="186"/>
      <c r="U998" s="186"/>
    </row>
    <row r="999" spans="9:21">
      <c r="I999" s="281"/>
      <c r="J999" s="281"/>
      <c r="K999" s="281"/>
      <c r="L999" s="281"/>
      <c r="M999" s="281"/>
      <c r="N999" s="281"/>
      <c r="O999" s="281"/>
      <c r="P999" s="281"/>
      <c r="Q999" s="186"/>
      <c r="R999" s="186"/>
      <c r="S999" s="186"/>
      <c r="U999" s="186"/>
    </row>
    <row r="1000" spans="9:21">
      <c r="I1000" s="281"/>
      <c r="J1000" s="281"/>
      <c r="K1000" s="281"/>
      <c r="L1000" s="281"/>
      <c r="M1000" s="281"/>
      <c r="N1000" s="281"/>
      <c r="O1000" s="281"/>
      <c r="P1000" s="281"/>
      <c r="Q1000" s="186"/>
      <c r="R1000" s="186"/>
      <c r="S1000" s="186"/>
      <c r="U1000" s="186"/>
    </row>
    <row r="1001" spans="9:21">
      <c r="I1001" s="281"/>
      <c r="J1001" s="281"/>
      <c r="K1001" s="281"/>
      <c r="L1001" s="281"/>
      <c r="M1001" s="281"/>
      <c r="N1001" s="281"/>
      <c r="O1001" s="281"/>
      <c r="P1001" s="281"/>
      <c r="Q1001" s="186"/>
      <c r="R1001" s="186"/>
      <c r="S1001" s="186"/>
      <c r="U1001" s="186"/>
    </row>
    <row r="1002" spans="9:21">
      <c r="I1002" s="281"/>
      <c r="J1002" s="281"/>
      <c r="K1002" s="281"/>
      <c r="L1002" s="281"/>
      <c r="M1002" s="281"/>
      <c r="N1002" s="281"/>
      <c r="O1002" s="281"/>
      <c r="P1002" s="281"/>
      <c r="Q1002" s="186"/>
      <c r="R1002" s="186"/>
      <c r="S1002" s="186"/>
      <c r="U1002" s="186"/>
    </row>
    <row r="1003" spans="9:21">
      <c r="I1003" s="281"/>
      <c r="J1003" s="281"/>
      <c r="K1003" s="281"/>
      <c r="L1003" s="281"/>
      <c r="M1003" s="281"/>
      <c r="N1003" s="281"/>
      <c r="O1003" s="281"/>
      <c r="P1003" s="281"/>
      <c r="Q1003" s="186"/>
      <c r="R1003" s="186"/>
      <c r="S1003" s="186"/>
      <c r="U1003" s="186"/>
    </row>
    <row r="1004" spans="9:21">
      <c r="I1004" s="281"/>
      <c r="J1004" s="281"/>
      <c r="K1004" s="281"/>
      <c r="L1004" s="281"/>
      <c r="M1004" s="281"/>
      <c r="N1004" s="281"/>
      <c r="O1004" s="281"/>
      <c r="P1004" s="281"/>
      <c r="Q1004" s="186"/>
      <c r="R1004" s="186"/>
      <c r="S1004" s="186"/>
      <c r="U1004" s="186"/>
    </row>
  </sheetData>
  <customSheetViews>
    <customSheetView guid="{C4D1F31B-990F-4A3F-96C3-627354A7675C}" filter="1" showAutoFilter="1">
      <autoFilter ref="S1:S90" xr:uid="{310C310B-049E-438D-8299-D21F7B80BE83}"/>
    </customSheetView>
  </customSheetViews>
  <mergeCells count="31">
    <mergeCell ref="Y1:Y2"/>
    <mergeCell ref="Z1:Z2"/>
    <mergeCell ref="AA1:AA2"/>
    <mergeCell ref="AB1:AB2"/>
    <mergeCell ref="H1:H2"/>
    <mergeCell ref="I1:Q1"/>
    <mergeCell ref="T1:T2"/>
    <mergeCell ref="U1:U2"/>
    <mergeCell ref="V1:V2"/>
    <mergeCell ref="W1:W2"/>
    <mergeCell ref="X1:X2"/>
    <mergeCell ref="A1:A2"/>
    <mergeCell ref="B1:B2"/>
    <mergeCell ref="C1:C2"/>
    <mergeCell ref="D1:D2"/>
    <mergeCell ref="E1:E2"/>
    <mergeCell ref="F1:F2"/>
    <mergeCell ref="G1:G2"/>
    <mergeCell ref="I92:L92"/>
    <mergeCell ref="K93:K96"/>
    <mergeCell ref="L93:L96"/>
    <mergeCell ref="K97:K99"/>
    <mergeCell ref="L97:L99"/>
    <mergeCell ref="F100:G100"/>
    <mergeCell ref="A23:A25"/>
    <mergeCell ref="A78:A80"/>
    <mergeCell ref="A81:A84"/>
    <mergeCell ref="A85:A88"/>
    <mergeCell ref="A89:A90"/>
    <mergeCell ref="F92:G92"/>
    <mergeCell ref="F93:G93"/>
  </mergeCells>
  <hyperlinks>
    <hyperlink ref="F37" r:id="rId1" xr:uid="{00000000-0004-0000-1100-000000000000}"/>
  </hyperlinks>
  <pageMargins left="0" right="0" top="0" bottom="0" header="0" footer="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34A853"/>
    <outlinePr summaryBelow="0" summaryRight="0"/>
  </sheetPr>
  <dimension ref="A1:AH344"/>
  <sheetViews>
    <sheetView workbookViewId="0">
      <pane xSplit="5" topLeftCell="F1" activePane="topRight" state="frozen"/>
      <selection pane="topRight" activeCell="G2" sqref="G2"/>
    </sheetView>
  </sheetViews>
  <sheetFormatPr defaultColWidth="12.5703125" defaultRowHeight="15.75" customHeight="1"/>
  <cols>
    <col min="1" max="1" width="7.42578125" customWidth="1"/>
    <col min="2" max="2" width="9.5703125" customWidth="1"/>
    <col min="3" max="3" width="12.85546875" customWidth="1"/>
    <col min="4" max="4" width="39.42578125" customWidth="1"/>
    <col min="5" max="5" width="8.42578125" customWidth="1"/>
    <col min="6" max="6" width="9.140625" customWidth="1"/>
    <col min="7" max="7" width="4.42578125" customWidth="1"/>
    <col min="8" max="8" width="9" customWidth="1"/>
    <col min="9" max="9" width="10" customWidth="1"/>
    <col min="10" max="10" width="9.42578125" customWidth="1"/>
    <col min="11" max="12" width="9" customWidth="1"/>
    <col min="13" max="13" width="10" customWidth="1"/>
    <col min="14" max="14" width="9" customWidth="1"/>
    <col min="15" max="15" width="9.28515625" customWidth="1"/>
    <col min="16" max="16" width="10" customWidth="1"/>
    <col min="17" max="17" width="12.42578125" customWidth="1"/>
    <col min="18" max="19" width="9.7109375" customWidth="1"/>
    <col min="20" max="21" width="9" customWidth="1"/>
    <col min="22" max="23" width="4.85546875" customWidth="1"/>
    <col min="24" max="24" width="3.5703125" customWidth="1"/>
    <col min="25" max="25" width="3.42578125" customWidth="1"/>
    <col min="26" max="26" width="4.42578125" customWidth="1"/>
    <col min="27" max="27" width="5" customWidth="1"/>
    <col min="28" max="28" width="5.42578125" customWidth="1"/>
    <col min="29" max="29" width="9.28515625" customWidth="1"/>
    <col min="30" max="30" width="10.5703125" customWidth="1"/>
    <col min="31" max="31" width="25.140625" customWidth="1"/>
    <col min="32" max="32" width="96.7109375" customWidth="1"/>
    <col min="33" max="33" width="13.85546875" customWidth="1"/>
    <col min="34" max="34" width="23.140625" customWidth="1"/>
  </cols>
  <sheetData>
    <row r="1" spans="1:34">
      <c r="A1" s="567"/>
      <c r="B1" s="568"/>
      <c r="C1" s="568" t="s">
        <v>12515</v>
      </c>
      <c r="D1" s="568"/>
      <c r="E1" s="568"/>
      <c r="F1" s="760" t="s">
        <v>1715</v>
      </c>
      <c r="G1" s="775"/>
      <c r="H1" s="775"/>
      <c r="I1" s="775"/>
      <c r="J1" s="775"/>
      <c r="K1" s="775"/>
      <c r="L1" s="775"/>
      <c r="M1" s="775"/>
      <c r="N1" s="775"/>
      <c r="O1" s="775"/>
      <c r="P1" s="775"/>
      <c r="Q1" s="775"/>
      <c r="R1" s="775"/>
      <c r="S1" s="775"/>
      <c r="T1" s="775"/>
      <c r="U1" s="775"/>
      <c r="V1" s="775"/>
      <c r="W1" s="775"/>
      <c r="X1" s="775"/>
      <c r="Y1" s="775"/>
      <c r="Z1" s="775"/>
      <c r="AA1" s="775"/>
      <c r="AB1" s="770"/>
      <c r="AC1" s="569"/>
      <c r="AD1" s="569"/>
      <c r="AE1" s="568"/>
      <c r="AF1" s="568"/>
      <c r="AG1" s="568"/>
      <c r="AH1" s="568"/>
    </row>
    <row r="2" spans="1:34">
      <c r="A2" s="570" t="s">
        <v>570</v>
      </c>
      <c r="B2" s="571" t="s">
        <v>1708</v>
      </c>
      <c r="C2" s="571" t="s">
        <v>1709</v>
      </c>
      <c r="D2" s="449" t="s">
        <v>12516</v>
      </c>
      <c r="E2" s="571" t="s">
        <v>1711</v>
      </c>
      <c r="F2" s="450" t="s">
        <v>12517</v>
      </c>
      <c r="G2" s="450" t="s">
        <v>12518</v>
      </c>
      <c r="H2" s="451" t="s">
        <v>12519</v>
      </c>
      <c r="I2" s="451" t="s">
        <v>12520</v>
      </c>
      <c r="J2" s="451" t="s">
        <v>12521</v>
      </c>
      <c r="K2" s="451" t="s">
        <v>12522</v>
      </c>
      <c r="L2" s="451" t="s">
        <v>12523</v>
      </c>
      <c r="M2" s="451" t="s">
        <v>12524</v>
      </c>
      <c r="N2" s="451" t="s">
        <v>12525</v>
      </c>
      <c r="O2" s="451" t="s">
        <v>12526</v>
      </c>
      <c r="P2" s="451" t="s">
        <v>12527</v>
      </c>
      <c r="Q2" s="451" t="s">
        <v>12528</v>
      </c>
      <c r="R2" s="451" t="s">
        <v>12529</v>
      </c>
      <c r="S2" s="451" t="s">
        <v>12530</v>
      </c>
      <c r="T2" s="451" t="s">
        <v>12531</v>
      </c>
      <c r="U2" s="451" t="s">
        <v>12532</v>
      </c>
      <c r="V2" s="450" t="s">
        <v>12533</v>
      </c>
      <c r="W2" s="450" t="s">
        <v>12534</v>
      </c>
      <c r="X2" s="450" t="s">
        <v>12535</v>
      </c>
      <c r="Y2" s="450" t="s">
        <v>12536</v>
      </c>
      <c r="Z2" s="450" t="s">
        <v>12537</v>
      </c>
      <c r="AA2" s="451" t="s">
        <v>12538</v>
      </c>
      <c r="AB2" s="450" t="s">
        <v>12539</v>
      </c>
      <c r="AC2" s="452" t="s">
        <v>1726</v>
      </c>
      <c r="AD2" s="452" t="s">
        <v>1727</v>
      </c>
      <c r="AE2" s="571" t="s">
        <v>1716</v>
      </c>
      <c r="AF2" s="571" t="s">
        <v>3697</v>
      </c>
      <c r="AG2" s="571" t="s">
        <v>1717</v>
      </c>
      <c r="AH2" s="571" t="s">
        <v>1718</v>
      </c>
    </row>
    <row r="3" spans="1:34">
      <c r="A3" s="453" t="s">
        <v>12540</v>
      </c>
      <c r="B3" s="454" t="s">
        <v>12541</v>
      </c>
      <c r="C3" s="454" t="s">
        <v>12542</v>
      </c>
      <c r="D3" s="454" t="s">
        <v>12543</v>
      </c>
      <c r="E3" s="454" t="s">
        <v>1732</v>
      </c>
      <c r="F3" s="455" t="s">
        <v>4913</v>
      </c>
      <c r="G3" s="455" t="s">
        <v>4913</v>
      </c>
      <c r="H3" s="455" t="s">
        <v>4913</v>
      </c>
      <c r="I3" s="455" t="s">
        <v>4913</v>
      </c>
      <c r="J3" s="455" t="s">
        <v>4913</v>
      </c>
      <c r="K3" s="455" t="s">
        <v>4913</v>
      </c>
      <c r="L3" s="455" t="s">
        <v>4913</v>
      </c>
      <c r="M3" s="455" t="s">
        <v>4913</v>
      </c>
      <c r="N3" s="455" t="s">
        <v>4913</v>
      </c>
      <c r="O3" s="455" t="s">
        <v>4913</v>
      </c>
      <c r="P3" s="455" t="s">
        <v>4913</v>
      </c>
      <c r="Q3" s="455" t="s">
        <v>4913</v>
      </c>
      <c r="R3" s="455" t="s">
        <v>4913</v>
      </c>
      <c r="S3" s="455" t="s">
        <v>4913</v>
      </c>
      <c r="T3" s="455" t="s">
        <v>4913</v>
      </c>
      <c r="U3" s="455" t="s">
        <v>4913</v>
      </c>
      <c r="V3" s="455" t="s">
        <v>4913</v>
      </c>
      <c r="W3" s="455" t="s">
        <v>4913</v>
      </c>
      <c r="X3" s="455" t="s">
        <v>4913</v>
      </c>
      <c r="Y3" s="455" t="s">
        <v>4913</v>
      </c>
      <c r="Z3" s="455" t="s">
        <v>4913</v>
      </c>
      <c r="AA3" s="455" t="s">
        <v>4913</v>
      </c>
      <c r="AB3" s="455" t="s">
        <v>4913</v>
      </c>
      <c r="AC3" s="456" t="s">
        <v>1737</v>
      </c>
      <c r="AD3" s="456" t="s">
        <v>12544</v>
      </c>
      <c r="AE3" s="457" t="s">
        <v>12545</v>
      </c>
      <c r="AF3" s="457" t="s">
        <v>12546</v>
      </c>
      <c r="AG3" s="458">
        <v>44536</v>
      </c>
      <c r="AH3" s="457" t="s">
        <v>12547</v>
      </c>
    </row>
    <row r="4" spans="1:34">
      <c r="A4" s="453" t="s">
        <v>12548</v>
      </c>
      <c r="B4" s="454" t="s">
        <v>12549</v>
      </c>
      <c r="C4" s="454" t="s">
        <v>12550</v>
      </c>
      <c r="D4" s="454" t="s">
        <v>12551</v>
      </c>
      <c r="E4" s="454" t="s">
        <v>1732</v>
      </c>
      <c r="F4" s="459" t="s">
        <v>1736</v>
      </c>
      <c r="G4" s="459" t="s">
        <v>1736</v>
      </c>
      <c r="H4" s="459" t="s">
        <v>1736</v>
      </c>
      <c r="I4" s="459" t="s">
        <v>1736</v>
      </c>
      <c r="J4" s="455" t="s">
        <v>4913</v>
      </c>
      <c r="K4" s="455" t="s">
        <v>4913</v>
      </c>
      <c r="L4" s="455" t="s">
        <v>4913</v>
      </c>
      <c r="M4" s="455" t="s">
        <v>4913</v>
      </c>
      <c r="N4" s="455" t="s">
        <v>4913</v>
      </c>
      <c r="O4" s="455" t="s">
        <v>4913</v>
      </c>
      <c r="P4" s="455" t="s">
        <v>4913</v>
      </c>
      <c r="Q4" s="455" t="s">
        <v>4913</v>
      </c>
      <c r="R4" s="455" t="s">
        <v>4913</v>
      </c>
      <c r="S4" s="455" t="s">
        <v>4913</v>
      </c>
      <c r="T4" s="455" t="s">
        <v>4913</v>
      </c>
      <c r="U4" s="455" t="s">
        <v>4913</v>
      </c>
      <c r="V4" s="455" t="s">
        <v>4913</v>
      </c>
      <c r="W4" s="455" t="s">
        <v>4913</v>
      </c>
      <c r="X4" s="455" t="s">
        <v>4913</v>
      </c>
      <c r="Y4" s="455" t="s">
        <v>4913</v>
      </c>
      <c r="Z4" s="455" t="s">
        <v>4913</v>
      </c>
      <c r="AA4" s="455" t="s">
        <v>4913</v>
      </c>
      <c r="AB4" s="455" t="s">
        <v>4913</v>
      </c>
      <c r="AC4" s="456" t="s">
        <v>1737</v>
      </c>
      <c r="AD4" s="456" t="s">
        <v>12544</v>
      </c>
      <c r="AE4" s="457" t="s">
        <v>12552</v>
      </c>
      <c r="AF4" s="454" t="s">
        <v>12553</v>
      </c>
      <c r="AG4" s="460" t="s">
        <v>12554</v>
      </c>
      <c r="AH4" s="454" t="s">
        <v>12555</v>
      </c>
    </row>
    <row r="5" spans="1:34">
      <c r="A5" s="453" t="s">
        <v>12548</v>
      </c>
      <c r="B5" s="454" t="s">
        <v>12556</v>
      </c>
      <c r="C5" s="454" t="s">
        <v>12550</v>
      </c>
      <c r="D5" s="454" t="s">
        <v>12557</v>
      </c>
      <c r="E5" s="454" t="s">
        <v>1743</v>
      </c>
      <c r="F5" s="455" t="s">
        <v>4913</v>
      </c>
      <c r="G5" s="455" t="s">
        <v>4913</v>
      </c>
      <c r="H5" s="455" t="s">
        <v>4913</v>
      </c>
      <c r="I5" s="455" t="s">
        <v>4913</v>
      </c>
      <c r="J5" s="455" t="s">
        <v>4913</v>
      </c>
      <c r="K5" s="455" t="s">
        <v>4913</v>
      </c>
      <c r="L5" s="455" t="s">
        <v>4913</v>
      </c>
      <c r="M5" s="455" t="s">
        <v>4913</v>
      </c>
      <c r="N5" s="455" t="s">
        <v>4913</v>
      </c>
      <c r="O5" s="455" t="s">
        <v>4913</v>
      </c>
      <c r="P5" s="455" t="s">
        <v>4913</v>
      </c>
      <c r="Q5" s="455" t="s">
        <v>4913</v>
      </c>
      <c r="R5" s="455" t="s">
        <v>4913</v>
      </c>
      <c r="S5" s="455" t="s">
        <v>4913</v>
      </c>
      <c r="T5" s="455" t="s">
        <v>4913</v>
      </c>
      <c r="U5" s="455" t="s">
        <v>4913</v>
      </c>
      <c r="V5" s="455" t="s">
        <v>4913</v>
      </c>
      <c r="W5" s="455" t="s">
        <v>4913</v>
      </c>
      <c r="X5" s="455" t="s">
        <v>4913</v>
      </c>
      <c r="Y5" s="455" t="s">
        <v>4913</v>
      </c>
      <c r="Z5" s="455" t="s">
        <v>4913</v>
      </c>
      <c r="AA5" s="455" t="s">
        <v>4913</v>
      </c>
      <c r="AB5" s="455" t="s">
        <v>4913</v>
      </c>
      <c r="AC5" s="456" t="s">
        <v>1737</v>
      </c>
      <c r="AD5" s="456" t="s">
        <v>12544</v>
      </c>
      <c r="AE5" s="454" t="s">
        <v>12558</v>
      </c>
      <c r="AF5" s="460"/>
      <c r="AG5" s="460" t="s">
        <v>12554</v>
      </c>
      <c r="AH5" s="454" t="s">
        <v>12555</v>
      </c>
    </row>
    <row r="6" spans="1:34">
      <c r="A6" s="453" t="s">
        <v>12548</v>
      </c>
      <c r="B6" s="454" t="s">
        <v>12559</v>
      </c>
      <c r="C6" s="454" t="s">
        <v>12560</v>
      </c>
      <c r="D6" s="454" t="s">
        <v>12561</v>
      </c>
      <c r="E6" s="454" t="s">
        <v>1732</v>
      </c>
      <c r="F6" s="459" t="s">
        <v>1736</v>
      </c>
      <c r="G6" s="459" t="s">
        <v>1736</v>
      </c>
      <c r="H6" s="455" t="s">
        <v>4913</v>
      </c>
      <c r="I6" s="459" t="s">
        <v>1736</v>
      </c>
      <c r="J6" s="459" t="s">
        <v>1736</v>
      </c>
      <c r="K6" s="459" t="s">
        <v>1736</v>
      </c>
      <c r="L6" s="455" t="s">
        <v>4913</v>
      </c>
      <c r="M6" s="459" t="s">
        <v>1736</v>
      </c>
      <c r="N6" s="455" t="s">
        <v>4913</v>
      </c>
      <c r="O6" s="455" t="s">
        <v>4913</v>
      </c>
      <c r="P6" s="455" t="s">
        <v>4913</v>
      </c>
      <c r="Q6" s="455" t="s">
        <v>4913</v>
      </c>
      <c r="R6" s="455" t="s">
        <v>4913</v>
      </c>
      <c r="S6" s="455" t="s">
        <v>4913</v>
      </c>
      <c r="T6" s="455" t="s">
        <v>4913</v>
      </c>
      <c r="U6" s="455" t="s">
        <v>4913</v>
      </c>
      <c r="V6" s="456" t="s">
        <v>1736</v>
      </c>
      <c r="W6" s="455" t="s">
        <v>4913</v>
      </c>
      <c r="X6" s="455" t="s">
        <v>4913</v>
      </c>
      <c r="Y6" s="455" t="s">
        <v>4913</v>
      </c>
      <c r="Z6" s="455" t="s">
        <v>4913</v>
      </c>
      <c r="AA6" s="459" t="s">
        <v>1736</v>
      </c>
      <c r="AB6" s="455" t="s">
        <v>4913</v>
      </c>
      <c r="AC6" s="456" t="s">
        <v>1737</v>
      </c>
      <c r="AD6" s="456" t="s">
        <v>12544</v>
      </c>
      <c r="AE6" s="457" t="s">
        <v>12562</v>
      </c>
      <c r="AF6" s="454" t="s">
        <v>12563</v>
      </c>
      <c r="AG6" s="460" t="s">
        <v>12554</v>
      </c>
      <c r="AH6" s="454" t="s">
        <v>12555</v>
      </c>
    </row>
    <row r="7" spans="1:34">
      <c r="A7" s="453" t="s">
        <v>12564</v>
      </c>
      <c r="B7" s="454" t="s">
        <v>12565</v>
      </c>
      <c r="C7" s="454" t="s">
        <v>12566</v>
      </c>
      <c r="D7" s="454" t="s">
        <v>12567</v>
      </c>
      <c r="E7" s="454" t="s">
        <v>1743</v>
      </c>
      <c r="F7" s="459" t="s">
        <v>1736</v>
      </c>
      <c r="G7" s="459" t="s">
        <v>1736</v>
      </c>
      <c r="H7" s="455" t="s">
        <v>4913</v>
      </c>
      <c r="I7" s="455" t="s">
        <v>4913</v>
      </c>
      <c r="J7" s="455" t="s">
        <v>4913</v>
      </c>
      <c r="K7" s="455" t="s">
        <v>4913</v>
      </c>
      <c r="L7" s="455" t="s">
        <v>4913</v>
      </c>
      <c r="M7" s="455" t="s">
        <v>4913</v>
      </c>
      <c r="N7" s="455" t="s">
        <v>4913</v>
      </c>
      <c r="O7" s="455" t="s">
        <v>4913</v>
      </c>
      <c r="P7" s="455" t="s">
        <v>4913</v>
      </c>
      <c r="Q7" s="455" t="s">
        <v>4913</v>
      </c>
      <c r="R7" s="455" t="s">
        <v>4913</v>
      </c>
      <c r="S7" s="455" t="s">
        <v>4913</v>
      </c>
      <c r="T7" s="455" t="s">
        <v>4913</v>
      </c>
      <c r="U7" s="455" t="s">
        <v>4913</v>
      </c>
      <c r="V7" s="455" t="s">
        <v>4913</v>
      </c>
      <c r="W7" s="455" t="s">
        <v>4913</v>
      </c>
      <c r="X7" s="455" t="s">
        <v>4913</v>
      </c>
      <c r="Y7" s="455" t="s">
        <v>4913</v>
      </c>
      <c r="Z7" s="455" t="s">
        <v>4913</v>
      </c>
      <c r="AA7" s="455" t="s">
        <v>4913</v>
      </c>
      <c r="AB7" s="455" t="s">
        <v>4913</v>
      </c>
      <c r="AC7" s="456" t="s">
        <v>1737</v>
      </c>
      <c r="AD7" s="456" t="s">
        <v>12544</v>
      </c>
      <c r="AE7" s="454" t="s">
        <v>12545</v>
      </c>
      <c r="AF7" s="461" t="s">
        <v>12568</v>
      </c>
      <c r="AG7" s="460" t="s">
        <v>12569</v>
      </c>
      <c r="AH7" s="454" t="s">
        <v>12570</v>
      </c>
    </row>
    <row r="8" spans="1:34">
      <c r="A8" s="453" t="s">
        <v>12564</v>
      </c>
      <c r="B8" s="454" t="s">
        <v>12571</v>
      </c>
      <c r="C8" s="454" t="s">
        <v>12566</v>
      </c>
      <c r="D8" s="454" t="s">
        <v>12572</v>
      </c>
      <c r="E8" s="454" t="s">
        <v>1743</v>
      </c>
      <c r="F8" s="459" t="s">
        <v>1736</v>
      </c>
      <c r="G8" s="455" t="s">
        <v>4913</v>
      </c>
      <c r="H8" s="455" t="s">
        <v>4913</v>
      </c>
      <c r="I8" s="455" t="s">
        <v>4913</v>
      </c>
      <c r="J8" s="455" t="s">
        <v>4913</v>
      </c>
      <c r="K8" s="455" t="s">
        <v>4913</v>
      </c>
      <c r="L8" s="455" t="s">
        <v>4913</v>
      </c>
      <c r="M8" s="455" t="s">
        <v>4913</v>
      </c>
      <c r="N8" s="455" t="s">
        <v>4913</v>
      </c>
      <c r="O8" s="455" t="s">
        <v>4913</v>
      </c>
      <c r="P8" s="455" t="s">
        <v>4913</v>
      </c>
      <c r="Q8" s="455" t="s">
        <v>4913</v>
      </c>
      <c r="R8" s="455" t="s">
        <v>4913</v>
      </c>
      <c r="S8" s="455" t="s">
        <v>4913</v>
      </c>
      <c r="T8" s="455" t="s">
        <v>4913</v>
      </c>
      <c r="U8" s="455" t="s">
        <v>4913</v>
      </c>
      <c r="V8" s="455" t="s">
        <v>4913</v>
      </c>
      <c r="W8" s="455" t="s">
        <v>4913</v>
      </c>
      <c r="X8" s="455" t="s">
        <v>4913</v>
      </c>
      <c r="Y8" s="455" t="s">
        <v>4913</v>
      </c>
      <c r="Z8" s="455" t="s">
        <v>4913</v>
      </c>
      <c r="AA8" s="455" t="s">
        <v>4913</v>
      </c>
      <c r="AB8" s="455" t="s">
        <v>4913</v>
      </c>
      <c r="AC8" s="456" t="s">
        <v>1737</v>
      </c>
      <c r="AD8" s="456" t="s">
        <v>12544</v>
      </c>
      <c r="AE8" s="454" t="s">
        <v>12545</v>
      </c>
      <c r="AF8" s="461" t="s">
        <v>12573</v>
      </c>
      <c r="AG8" s="460" t="s">
        <v>12569</v>
      </c>
      <c r="AH8" s="454" t="s">
        <v>12570</v>
      </c>
    </row>
    <row r="9" spans="1:34">
      <c r="A9" s="453" t="s">
        <v>12574</v>
      </c>
      <c r="B9" s="454" t="s">
        <v>12575</v>
      </c>
      <c r="C9" s="454" t="s">
        <v>12576</v>
      </c>
      <c r="D9" s="454" t="s">
        <v>12577</v>
      </c>
      <c r="E9" s="454" t="s">
        <v>1732</v>
      </c>
      <c r="F9" s="459" t="s">
        <v>1736</v>
      </c>
      <c r="G9" s="459" t="s">
        <v>1736</v>
      </c>
      <c r="H9" s="455" t="s">
        <v>4913</v>
      </c>
      <c r="I9" s="455" t="s">
        <v>4913</v>
      </c>
      <c r="J9" s="455" t="s">
        <v>4913</v>
      </c>
      <c r="K9" s="455" t="s">
        <v>4913</v>
      </c>
      <c r="L9" s="455" t="s">
        <v>4913</v>
      </c>
      <c r="M9" s="455" t="s">
        <v>4913</v>
      </c>
      <c r="N9" s="455" t="s">
        <v>4913</v>
      </c>
      <c r="O9" s="455" t="s">
        <v>4913</v>
      </c>
      <c r="P9" s="455" t="s">
        <v>4913</v>
      </c>
      <c r="Q9" s="455" t="s">
        <v>4913</v>
      </c>
      <c r="R9" s="455" t="s">
        <v>4913</v>
      </c>
      <c r="S9" s="455" t="s">
        <v>4913</v>
      </c>
      <c r="T9" s="455" t="s">
        <v>4913</v>
      </c>
      <c r="U9" s="455" t="s">
        <v>4913</v>
      </c>
      <c r="V9" s="455" t="s">
        <v>4913</v>
      </c>
      <c r="W9" s="455" t="s">
        <v>4913</v>
      </c>
      <c r="X9" s="455" t="s">
        <v>4913</v>
      </c>
      <c r="Y9" s="455" t="s">
        <v>4913</v>
      </c>
      <c r="Z9" s="455" t="s">
        <v>4913</v>
      </c>
      <c r="AA9" s="455" t="s">
        <v>4913</v>
      </c>
      <c r="AB9" s="455" t="s">
        <v>4913</v>
      </c>
      <c r="AC9" s="456" t="s">
        <v>1737</v>
      </c>
      <c r="AD9" s="456" t="s">
        <v>12544</v>
      </c>
      <c r="AE9" s="454" t="s">
        <v>12545</v>
      </c>
      <c r="AF9" s="461" t="s">
        <v>12578</v>
      </c>
      <c r="AG9" s="460" t="s">
        <v>12579</v>
      </c>
      <c r="AH9" s="454" t="s">
        <v>12580</v>
      </c>
    </row>
    <row r="10" spans="1:34">
      <c r="A10" s="453" t="s">
        <v>12574</v>
      </c>
      <c r="B10" s="454" t="s">
        <v>12581</v>
      </c>
      <c r="C10" s="454" t="s">
        <v>12576</v>
      </c>
      <c r="D10" s="454" t="s">
        <v>12582</v>
      </c>
      <c r="E10" s="454" t="s">
        <v>1743</v>
      </c>
      <c r="F10" s="459" t="s">
        <v>1736</v>
      </c>
      <c r="G10" s="459" t="s">
        <v>1736</v>
      </c>
      <c r="H10" s="455" t="s">
        <v>4913</v>
      </c>
      <c r="I10" s="455" t="s">
        <v>4913</v>
      </c>
      <c r="J10" s="455" t="s">
        <v>4913</v>
      </c>
      <c r="K10" s="455" t="s">
        <v>4913</v>
      </c>
      <c r="L10" s="455" t="s">
        <v>4913</v>
      </c>
      <c r="M10" s="455" t="s">
        <v>4913</v>
      </c>
      <c r="N10" s="455" t="s">
        <v>4913</v>
      </c>
      <c r="O10" s="455" t="s">
        <v>4913</v>
      </c>
      <c r="P10" s="455" t="s">
        <v>4913</v>
      </c>
      <c r="Q10" s="455" t="s">
        <v>4913</v>
      </c>
      <c r="R10" s="455" t="s">
        <v>4913</v>
      </c>
      <c r="S10" s="455" t="s">
        <v>4913</v>
      </c>
      <c r="T10" s="455" t="s">
        <v>4913</v>
      </c>
      <c r="U10" s="455" t="s">
        <v>4913</v>
      </c>
      <c r="V10" s="455" t="s">
        <v>4913</v>
      </c>
      <c r="W10" s="455" t="s">
        <v>4913</v>
      </c>
      <c r="X10" s="455" t="s">
        <v>4913</v>
      </c>
      <c r="Y10" s="455" t="s">
        <v>4913</v>
      </c>
      <c r="Z10" s="455" t="s">
        <v>4913</v>
      </c>
      <c r="AA10" s="455" t="s">
        <v>4913</v>
      </c>
      <c r="AB10" s="455" t="s">
        <v>4913</v>
      </c>
      <c r="AC10" s="456" t="s">
        <v>1737</v>
      </c>
      <c r="AD10" s="456" t="s">
        <v>12544</v>
      </c>
      <c r="AE10" s="454" t="s">
        <v>12545</v>
      </c>
      <c r="AF10" s="461" t="s">
        <v>12583</v>
      </c>
      <c r="AG10" s="460" t="s">
        <v>12579</v>
      </c>
      <c r="AH10" s="454" t="s">
        <v>12580</v>
      </c>
    </row>
    <row r="11" spans="1:34">
      <c r="A11" s="453" t="s">
        <v>12574</v>
      </c>
      <c r="B11" s="454" t="s">
        <v>12584</v>
      </c>
      <c r="C11" s="454" t="s">
        <v>12576</v>
      </c>
      <c r="D11" s="454" t="s">
        <v>12585</v>
      </c>
      <c r="E11" s="454" t="s">
        <v>1743</v>
      </c>
      <c r="F11" s="459" t="s">
        <v>1736</v>
      </c>
      <c r="G11" s="459" t="s">
        <v>1736</v>
      </c>
      <c r="H11" s="455" t="s">
        <v>4913</v>
      </c>
      <c r="I11" s="455" t="s">
        <v>4913</v>
      </c>
      <c r="J11" s="455" t="s">
        <v>4913</v>
      </c>
      <c r="K11" s="455" t="s">
        <v>4913</v>
      </c>
      <c r="L11" s="455" t="s">
        <v>4913</v>
      </c>
      <c r="M11" s="455" t="s">
        <v>4913</v>
      </c>
      <c r="N11" s="455" t="s">
        <v>4913</v>
      </c>
      <c r="O11" s="455" t="s">
        <v>4913</v>
      </c>
      <c r="P11" s="455" t="s">
        <v>4913</v>
      </c>
      <c r="Q11" s="455" t="s">
        <v>4913</v>
      </c>
      <c r="R11" s="455" t="s">
        <v>4913</v>
      </c>
      <c r="S11" s="455" t="s">
        <v>4913</v>
      </c>
      <c r="T11" s="455" t="s">
        <v>4913</v>
      </c>
      <c r="U11" s="455" t="s">
        <v>4913</v>
      </c>
      <c r="V11" s="455" t="s">
        <v>4913</v>
      </c>
      <c r="W11" s="455" t="s">
        <v>4913</v>
      </c>
      <c r="X11" s="455" t="s">
        <v>4913</v>
      </c>
      <c r="Y11" s="455" t="s">
        <v>4913</v>
      </c>
      <c r="Z11" s="455" t="s">
        <v>4913</v>
      </c>
      <c r="AA11" s="455" t="s">
        <v>4913</v>
      </c>
      <c r="AB11" s="455" t="s">
        <v>4913</v>
      </c>
      <c r="AC11" s="456" t="s">
        <v>1737</v>
      </c>
      <c r="AD11" s="456" t="s">
        <v>12544</v>
      </c>
      <c r="AE11" s="454" t="s">
        <v>12545</v>
      </c>
      <c r="AF11" s="454" t="s">
        <v>12586</v>
      </c>
      <c r="AG11" s="460" t="s">
        <v>12579</v>
      </c>
      <c r="AH11" s="454" t="s">
        <v>12580</v>
      </c>
    </row>
    <row r="12" spans="1:34">
      <c r="A12" s="453" t="s">
        <v>12587</v>
      </c>
      <c r="B12" s="454" t="s">
        <v>12588</v>
      </c>
      <c r="C12" s="454" t="s">
        <v>12589</v>
      </c>
      <c r="D12" s="454" t="s">
        <v>12590</v>
      </c>
      <c r="E12" s="454" t="s">
        <v>1732</v>
      </c>
      <c r="F12" s="459" t="s">
        <v>1736</v>
      </c>
      <c r="G12" s="459" t="s">
        <v>1736</v>
      </c>
      <c r="H12" s="455" t="s">
        <v>4913</v>
      </c>
      <c r="I12" s="455" t="s">
        <v>4913</v>
      </c>
      <c r="J12" s="455" t="s">
        <v>4913</v>
      </c>
      <c r="K12" s="455" t="s">
        <v>4913</v>
      </c>
      <c r="L12" s="455" t="s">
        <v>4913</v>
      </c>
      <c r="M12" s="455" t="s">
        <v>4913</v>
      </c>
      <c r="N12" s="455" t="s">
        <v>4913</v>
      </c>
      <c r="O12" s="455" t="s">
        <v>4913</v>
      </c>
      <c r="P12" s="455" t="s">
        <v>4913</v>
      </c>
      <c r="Q12" s="455" t="s">
        <v>4913</v>
      </c>
      <c r="R12" s="455" t="s">
        <v>4913</v>
      </c>
      <c r="S12" s="455" t="s">
        <v>4913</v>
      </c>
      <c r="T12" s="455" t="s">
        <v>4913</v>
      </c>
      <c r="U12" s="455" t="s">
        <v>4913</v>
      </c>
      <c r="V12" s="455" t="s">
        <v>4913</v>
      </c>
      <c r="W12" s="455" t="s">
        <v>4913</v>
      </c>
      <c r="X12" s="455" t="s">
        <v>4913</v>
      </c>
      <c r="Y12" s="455" t="s">
        <v>4913</v>
      </c>
      <c r="Z12" s="455" t="s">
        <v>4913</v>
      </c>
      <c r="AA12" s="455" t="s">
        <v>4913</v>
      </c>
      <c r="AB12" s="455" t="s">
        <v>4913</v>
      </c>
      <c r="AC12" s="456" t="s">
        <v>1737</v>
      </c>
      <c r="AD12" s="456" t="s">
        <v>12544</v>
      </c>
      <c r="AE12" s="454" t="s">
        <v>12545</v>
      </c>
      <c r="AF12" s="461" t="s">
        <v>12573</v>
      </c>
      <c r="AG12" s="460" t="s">
        <v>12591</v>
      </c>
      <c r="AH12" s="454" t="s">
        <v>12592</v>
      </c>
    </row>
    <row r="13" spans="1:34">
      <c r="A13" s="453" t="s">
        <v>12587</v>
      </c>
      <c r="B13" s="454" t="s">
        <v>12593</v>
      </c>
      <c r="C13" s="454" t="s">
        <v>12589</v>
      </c>
      <c r="D13" s="454" t="s">
        <v>12594</v>
      </c>
      <c r="E13" s="454" t="s">
        <v>1743</v>
      </c>
      <c r="F13" s="459" t="s">
        <v>1736</v>
      </c>
      <c r="G13" s="459" t="s">
        <v>1736</v>
      </c>
      <c r="H13" s="455" t="s">
        <v>4913</v>
      </c>
      <c r="I13" s="455" t="s">
        <v>4913</v>
      </c>
      <c r="J13" s="455" t="s">
        <v>4913</v>
      </c>
      <c r="K13" s="455" t="s">
        <v>4913</v>
      </c>
      <c r="L13" s="455" t="s">
        <v>4913</v>
      </c>
      <c r="M13" s="455" t="s">
        <v>4913</v>
      </c>
      <c r="N13" s="455" t="s">
        <v>4913</v>
      </c>
      <c r="O13" s="455" t="s">
        <v>4913</v>
      </c>
      <c r="P13" s="455" t="s">
        <v>4913</v>
      </c>
      <c r="Q13" s="455" t="s">
        <v>4913</v>
      </c>
      <c r="R13" s="455" t="s">
        <v>4913</v>
      </c>
      <c r="S13" s="455" t="s">
        <v>4913</v>
      </c>
      <c r="T13" s="455" t="s">
        <v>4913</v>
      </c>
      <c r="U13" s="455" t="s">
        <v>4913</v>
      </c>
      <c r="V13" s="455" t="s">
        <v>4913</v>
      </c>
      <c r="W13" s="455" t="s">
        <v>4913</v>
      </c>
      <c r="X13" s="455" t="s">
        <v>4913</v>
      </c>
      <c r="Y13" s="455" t="s">
        <v>4913</v>
      </c>
      <c r="Z13" s="455" t="s">
        <v>4913</v>
      </c>
      <c r="AA13" s="455" t="s">
        <v>4913</v>
      </c>
      <c r="AB13" s="455" t="s">
        <v>4913</v>
      </c>
      <c r="AC13" s="456" t="s">
        <v>1737</v>
      </c>
      <c r="AD13" s="456" t="s">
        <v>12544</v>
      </c>
      <c r="AE13" s="454" t="s">
        <v>12545</v>
      </c>
      <c r="AF13" s="461" t="s">
        <v>12573</v>
      </c>
      <c r="AG13" s="460" t="s">
        <v>12591</v>
      </c>
      <c r="AH13" s="454" t="s">
        <v>12592</v>
      </c>
    </row>
    <row r="14" spans="1:34">
      <c r="A14" s="453" t="s">
        <v>12587</v>
      </c>
      <c r="B14" s="454" t="s">
        <v>12595</v>
      </c>
      <c r="C14" s="454" t="s">
        <v>12589</v>
      </c>
      <c r="D14" s="454" t="s">
        <v>12596</v>
      </c>
      <c r="E14" s="454" t="s">
        <v>1743</v>
      </c>
      <c r="F14" s="459" t="s">
        <v>1736</v>
      </c>
      <c r="G14" s="459" t="s">
        <v>1736</v>
      </c>
      <c r="H14" s="455" t="s">
        <v>4913</v>
      </c>
      <c r="I14" s="455" t="s">
        <v>4913</v>
      </c>
      <c r="J14" s="455" t="s">
        <v>4913</v>
      </c>
      <c r="K14" s="455" t="s">
        <v>4913</v>
      </c>
      <c r="L14" s="455" t="s">
        <v>4913</v>
      </c>
      <c r="M14" s="455" t="s">
        <v>4913</v>
      </c>
      <c r="N14" s="455" t="s">
        <v>4913</v>
      </c>
      <c r="O14" s="455" t="s">
        <v>4913</v>
      </c>
      <c r="P14" s="455" t="s">
        <v>4913</v>
      </c>
      <c r="Q14" s="455" t="s">
        <v>4913</v>
      </c>
      <c r="R14" s="455" t="s">
        <v>4913</v>
      </c>
      <c r="S14" s="455" t="s">
        <v>4913</v>
      </c>
      <c r="T14" s="455" t="s">
        <v>4913</v>
      </c>
      <c r="U14" s="455" t="s">
        <v>4913</v>
      </c>
      <c r="V14" s="455" t="s">
        <v>4913</v>
      </c>
      <c r="W14" s="455" t="s">
        <v>4913</v>
      </c>
      <c r="X14" s="455" t="s">
        <v>4913</v>
      </c>
      <c r="Y14" s="455" t="s">
        <v>4913</v>
      </c>
      <c r="Z14" s="455" t="s">
        <v>4913</v>
      </c>
      <c r="AA14" s="455" t="s">
        <v>4913</v>
      </c>
      <c r="AB14" s="455" t="s">
        <v>4913</v>
      </c>
      <c r="AC14" s="456" t="s">
        <v>1737</v>
      </c>
      <c r="AD14" s="456" t="s">
        <v>12544</v>
      </c>
      <c r="AE14" s="454" t="s">
        <v>12545</v>
      </c>
      <c r="AF14" s="454" t="s">
        <v>12597</v>
      </c>
      <c r="AG14" s="460" t="s">
        <v>12591</v>
      </c>
      <c r="AH14" s="454" t="s">
        <v>12592</v>
      </c>
    </row>
    <row r="15" spans="1:34">
      <c r="A15" s="453" t="s">
        <v>12598</v>
      </c>
      <c r="B15" s="454" t="s">
        <v>12599</v>
      </c>
      <c r="C15" s="454" t="s">
        <v>12600</v>
      </c>
      <c r="D15" s="454" t="s">
        <v>12601</v>
      </c>
      <c r="E15" s="454" t="s">
        <v>1732</v>
      </c>
      <c r="F15" s="459" t="s">
        <v>1736</v>
      </c>
      <c r="G15" s="459" t="s">
        <v>1736</v>
      </c>
      <c r="H15" s="455" t="s">
        <v>4913</v>
      </c>
      <c r="I15" s="455" t="s">
        <v>4913</v>
      </c>
      <c r="J15" s="455" t="s">
        <v>4913</v>
      </c>
      <c r="K15" s="455" t="s">
        <v>4913</v>
      </c>
      <c r="L15" s="455" t="s">
        <v>4913</v>
      </c>
      <c r="M15" s="455" t="s">
        <v>4913</v>
      </c>
      <c r="N15" s="455" t="s">
        <v>4913</v>
      </c>
      <c r="O15" s="455" t="s">
        <v>4913</v>
      </c>
      <c r="P15" s="455" t="s">
        <v>4913</v>
      </c>
      <c r="Q15" s="455" t="s">
        <v>4913</v>
      </c>
      <c r="R15" s="455" t="s">
        <v>4913</v>
      </c>
      <c r="S15" s="455" t="s">
        <v>4913</v>
      </c>
      <c r="T15" s="455" t="s">
        <v>4913</v>
      </c>
      <c r="U15" s="455" t="s">
        <v>4913</v>
      </c>
      <c r="V15" s="455" t="s">
        <v>4913</v>
      </c>
      <c r="W15" s="455" t="s">
        <v>4913</v>
      </c>
      <c r="X15" s="455" t="s">
        <v>4913</v>
      </c>
      <c r="Y15" s="455" t="s">
        <v>4913</v>
      </c>
      <c r="Z15" s="455" t="s">
        <v>4913</v>
      </c>
      <c r="AA15" s="455" t="s">
        <v>4913</v>
      </c>
      <c r="AB15" s="455" t="s">
        <v>4913</v>
      </c>
      <c r="AC15" s="456" t="s">
        <v>1737</v>
      </c>
      <c r="AD15" s="456" t="s">
        <v>12544</v>
      </c>
      <c r="AE15" s="454" t="s">
        <v>12545</v>
      </c>
      <c r="AF15" s="461" t="s">
        <v>12602</v>
      </c>
      <c r="AG15" s="460" t="s">
        <v>12603</v>
      </c>
      <c r="AH15" s="460" t="s">
        <v>12604</v>
      </c>
    </row>
    <row r="16" spans="1:34">
      <c r="A16" s="453" t="s">
        <v>12598</v>
      </c>
      <c r="B16" s="454" t="s">
        <v>12605</v>
      </c>
      <c r="C16" s="454" t="s">
        <v>12600</v>
      </c>
      <c r="D16" s="454" t="s">
        <v>12606</v>
      </c>
      <c r="E16" s="454" t="s">
        <v>1743</v>
      </c>
      <c r="F16" s="459" t="s">
        <v>1736</v>
      </c>
      <c r="G16" s="459" t="s">
        <v>1736</v>
      </c>
      <c r="H16" s="455" t="s">
        <v>4913</v>
      </c>
      <c r="I16" s="455" t="s">
        <v>4913</v>
      </c>
      <c r="J16" s="455" t="s">
        <v>4913</v>
      </c>
      <c r="K16" s="455" t="s">
        <v>4913</v>
      </c>
      <c r="L16" s="455" t="s">
        <v>4913</v>
      </c>
      <c r="M16" s="455" t="s">
        <v>4913</v>
      </c>
      <c r="N16" s="455" t="s">
        <v>4913</v>
      </c>
      <c r="O16" s="455" t="s">
        <v>4913</v>
      </c>
      <c r="P16" s="455" t="s">
        <v>4913</v>
      </c>
      <c r="Q16" s="455" t="s">
        <v>4913</v>
      </c>
      <c r="R16" s="455" t="s">
        <v>4913</v>
      </c>
      <c r="S16" s="455" t="s">
        <v>4913</v>
      </c>
      <c r="T16" s="455" t="s">
        <v>4913</v>
      </c>
      <c r="U16" s="455" t="s">
        <v>4913</v>
      </c>
      <c r="V16" s="455" t="s">
        <v>4913</v>
      </c>
      <c r="W16" s="455" t="s">
        <v>4913</v>
      </c>
      <c r="X16" s="455" t="s">
        <v>4913</v>
      </c>
      <c r="Y16" s="455" t="s">
        <v>4913</v>
      </c>
      <c r="Z16" s="455" t="s">
        <v>4913</v>
      </c>
      <c r="AA16" s="455" t="s">
        <v>4913</v>
      </c>
      <c r="AB16" s="455" t="s">
        <v>4913</v>
      </c>
      <c r="AC16" s="456" t="s">
        <v>1737</v>
      </c>
      <c r="AD16" s="456" t="s">
        <v>12544</v>
      </c>
      <c r="AE16" s="454" t="s">
        <v>12545</v>
      </c>
      <c r="AF16" s="461" t="s">
        <v>12607</v>
      </c>
      <c r="AG16" s="460" t="s">
        <v>12603</v>
      </c>
      <c r="AH16" s="460" t="s">
        <v>12604</v>
      </c>
    </row>
    <row r="17" spans="1:34">
      <c r="A17" s="453" t="s">
        <v>12598</v>
      </c>
      <c r="B17" s="454" t="s">
        <v>12608</v>
      </c>
      <c r="C17" s="454" t="s">
        <v>12600</v>
      </c>
      <c r="D17" s="454" t="s">
        <v>12609</v>
      </c>
      <c r="E17" s="454" t="s">
        <v>1743</v>
      </c>
      <c r="F17" s="459" t="s">
        <v>1736</v>
      </c>
      <c r="G17" s="455" t="s">
        <v>4913</v>
      </c>
      <c r="H17" s="455" t="s">
        <v>4913</v>
      </c>
      <c r="I17" s="455" t="s">
        <v>4913</v>
      </c>
      <c r="J17" s="455" t="s">
        <v>4913</v>
      </c>
      <c r="K17" s="455" t="s">
        <v>4913</v>
      </c>
      <c r="L17" s="455" t="s">
        <v>4913</v>
      </c>
      <c r="M17" s="455" t="s">
        <v>4913</v>
      </c>
      <c r="N17" s="455" t="s">
        <v>4913</v>
      </c>
      <c r="O17" s="455" t="s">
        <v>4913</v>
      </c>
      <c r="P17" s="455" t="s">
        <v>4913</v>
      </c>
      <c r="Q17" s="455" t="s">
        <v>4913</v>
      </c>
      <c r="R17" s="455" t="s">
        <v>4913</v>
      </c>
      <c r="S17" s="455" t="s">
        <v>4913</v>
      </c>
      <c r="T17" s="455" t="s">
        <v>4913</v>
      </c>
      <c r="U17" s="455" t="s">
        <v>4913</v>
      </c>
      <c r="V17" s="455" t="s">
        <v>4913</v>
      </c>
      <c r="W17" s="455" t="s">
        <v>4913</v>
      </c>
      <c r="X17" s="455" t="s">
        <v>4913</v>
      </c>
      <c r="Y17" s="455" t="s">
        <v>4913</v>
      </c>
      <c r="Z17" s="455" t="s">
        <v>4913</v>
      </c>
      <c r="AA17" s="455" t="s">
        <v>4913</v>
      </c>
      <c r="AB17" s="455" t="s">
        <v>4913</v>
      </c>
      <c r="AC17" s="456" t="s">
        <v>1737</v>
      </c>
      <c r="AD17" s="456" t="s">
        <v>12544</v>
      </c>
      <c r="AE17" s="454" t="s">
        <v>12545</v>
      </c>
      <c r="AF17" s="461" t="s">
        <v>12573</v>
      </c>
      <c r="AG17" s="460" t="s">
        <v>12603</v>
      </c>
      <c r="AH17" s="460" t="s">
        <v>12604</v>
      </c>
    </row>
    <row r="18" spans="1:34">
      <c r="A18" s="453" t="s">
        <v>12610</v>
      </c>
      <c r="B18" s="454" t="s">
        <v>12611</v>
      </c>
      <c r="C18" s="454" t="s">
        <v>12612</v>
      </c>
      <c r="D18" s="454" t="s">
        <v>12613</v>
      </c>
      <c r="E18" s="454" t="s">
        <v>1732</v>
      </c>
      <c r="F18" s="459" t="s">
        <v>1736</v>
      </c>
      <c r="G18" s="459" t="s">
        <v>1736</v>
      </c>
      <c r="H18" s="455" t="s">
        <v>4913</v>
      </c>
      <c r="I18" s="459" t="s">
        <v>1736</v>
      </c>
      <c r="J18" s="455" t="s">
        <v>4913</v>
      </c>
      <c r="K18" s="455" t="s">
        <v>4913</v>
      </c>
      <c r="L18" s="455" t="s">
        <v>4913</v>
      </c>
      <c r="M18" s="455" t="s">
        <v>4913</v>
      </c>
      <c r="N18" s="455" t="s">
        <v>4913</v>
      </c>
      <c r="O18" s="455" t="s">
        <v>4913</v>
      </c>
      <c r="P18" s="455" t="s">
        <v>4913</v>
      </c>
      <c r="Q18" s="455" t="s">
        <v>4913</v>
      </c>
      <c r="R18" s="455" t="s">
        <v>4913</v>
      </c>
      <c r="S18" s="455" t="s">
        <v>4913</v>
      </c>
      <c r="T18" s="455" t="s">
        <v>4913</v>
      </c>
      <c r="U18" s="455" t="s">
        <v>4913</v>
      </c>
      <c r="V18" s="455" t="s">
        <v>4913</v>
      </c>
      <c r="W18" s="459" t="s">
        <v>1736</v>
      </c>
      <c r="X18" s="459" t="s">
        <v>1736</v>
      </c>
      <c r="Y18" s="455" t="s">
        <v>4913</v>
      </c>
      <c r="Z18" s="455" t="s">
        <v>4913</v>
      </c>
      <c r="AA18" s="455" t="s">
        <v>4913</v>
      </c>
      <c r="AB18" s="455" t="s">
        <v>4913</v>
      </c>
      <c r="AC18" s="456" t="s">
        <v>1737</v>
      </c>
      <c r="AD18" s="456" t="s">
        <v>12544</v>
      </c>
      <c r="AE18" s="457" t="s">
        <v>12614</v>
      </c>
      <c r="AF18" s="454" t="s">
        <v>12615</v>
      </c>
      <c r="AG18" s="460" t="s">
        <v>12616</v>
      </c>
      <c r="AH18" s="460" t="s">
        <v>12617</v>
      </c>
    </row>
    <row r="19" spans="1:34">
      <c r="A19" s="453" t="s">
        <v>12610</v>
      </c>
      <c r="B19" s="454" t="s">
        <v>12618</v>
      </c>
      <c r="C19" s="454" t="s">
        <v>12612</v>
      </c>
      <c r="D19" s="454" t="s">
        <v>12619</v>
      </c>
      <c r="E19" s="454" t="s">
        <v>1743</v>
      </c>
      <c r="F19" s="459" t="s">
        <v>1736</v>
      </c>
      <c r="G19" s="455" t="s">
        <v>4913</v>
      </c>
      <c r="H19" s="455" t="s">
        <v>4913</v>
      </c>
      <c r="I19" s="455" t="s">
        <v>4913</v>
      </c>
      <c r="J19" s="455" t="s">
        <v>4913</v>
      </c>
      <c r="K19" s="455" t="s">
        <v>4913</v>
      </c>
      <c r="L19" s="455" t="s">
        <v>4913</v>
      </c>
      <c r="M19" s="455" t="s">
        <v>4913</v>
      </c>
      <c r="N19" s="455" t="s">
        <v>4913</v>
      </c>
      <c r="O19" s="455" t="s">
        <v>4913</v>
      </c>
      <c r="P19" s="455" t="s">
        <v>4913</v>
      </c>
      <c r="Q19" s="455" t="s">
        <v>4913</v>
      </c>
      <c r="R19" s="455" t="s">
        <v>4913</v>
      </c>
      <c r="S19" s="455" t="s">
        <v>4913</v>
      </c>
      <c r="T19" s="455" t="s">
        <v>4913</v>
      </c>
      <c r="U19" s="455" t="s">
        <v>4913</v>
      </c>
      <c r="V19" s="455" t="s">
        <v>4913</v>
      </c>
      <c r="W19" s="455" t="s">
        <v>4913</v>
      </c>
      <c r="X19" s="455" t="s">
        <v>4913</v>
      </c>
      <c r="Y19" s="455" t="s">
        <v>4913</v>
      </c>
      <c r="Z19" s="455" t="s">
        <v>4913</v>
      </c>
      <c r="AA19" s="455" t="s">
        <v>4913</v>
      </c>
      <c r="AB19" s="455" t="s">
        <v>4913</v>
      </c>
      <c r="AC19" s="456" t="s">
        <v>1737</v>
      </c>
      <c r="AD19" s="456" t="s">
        <v>12544</v>
      </c>
      <c r="AE19" s="454" t="s">
        <v>12545</v>
      </c>
      <c r="AF19" s="461" t="s">
        <v>12573</v>
      </c>
      <c r="AG19" s="460" t="s">
        <v>12616</v>
      </c>
      <c r="AH19" s="460" t="s">
        <v>12617</v>
      </c>
    </row>
    <row r="20" spans="1:34">
      <c r="A20" s="453" t="s">
        <v>12610</v>
      </c>
      <c r="B20" s="454" t="s">
        <v>12620</v>
      </c>
      <c r="C20" s="454" t="s">
        <v>12612</v>
      </c>
      <c r="D20" s="454" t="s">
        <v>12621</v>
      </c>
      <c r="E20" s="454" t="s">
        <v>1743</v>
      </c>
      <c r="F20" s="459" t="s">
        <v>1736</v>
      </c>
      <c r="G20" s="459" t="s">
        <v>1736</v>
      </c>
      <c r="H20" s="455" t="s">
        <v>4913</v>
      </c>
      <c r="I20" s="455" t="s">
        <v>4913</v>
      </c>
      <c r="J20" s="455" t="s">
        <v>4913</v>
      </c>
      <c r="K20" s="455" t="s">
        <v>4913</v>
      </c>
      <c r="L20" s="455" t="s">
        <v>4913</v>
      </c>
      <c r="M20" s="455" t="s">
        <v>4913</v>
      </c>
      <c r="N20" s="455" t="s">
        <v>4913</v>
      </c>
      <c r="O20" s="455" t="s">
        <v>4913</v>
      </c>
      <c r="P20" s="455" t="s">
        <v>4913</v>
      </c>
      <c r="Q20" s="455" t="s">
        <v>4913</v>
      </c>
      <c r="R20" s="455" t="s">
        <v>4913</v>
      </c>
      <c r="S20" s="455" t="s">
        <v>4913</v>
      </c>
      <c r="T20" s="455" t="s">
        <v>4913</v>
      </c>
      <c r="U20" s="455" t="s">
        <v>4913</v>
      </c>
      <c r="V20" s="455" t="s">
        <v>4913</v>
      </c>
      <c r="W20" s="455" t="s">
        <v>4913</v>
      </c>
      <c r="X20" s="455" t="s">
        <v>4913</v>
      </c>
      <c r="Y20" s="455" t="s">
        <v>4913</v>
      </c>
      <c r="Z20" s="455" t="s">
        <v>4913</v>
      </c>
      <c r="AA20" s="455" t="s">
        <v>4913</v>
      </c>
      <c r="AB20" s="455" t="s">
        <v>4913</v>
      </c>
      <c r="AC20" s="456" t="s">
        <v>1737</v>
      </c>
      <c r="AD20" s="456" t="s">
        <v>12544</v>
      </c>
      <c r="AE20" s="454" t="s">
        <v>12545</v>
      </c>
      <c r="AF20" s="461" t="s">
        <v>12573</v>
      </c>
      <c r="AG20" s="460" t="s">
        <v>12616</v>
      </c>
      <c r="AH20" s="460" t="s">
        <v>12617</v>
      </c>
    </row>
    <row r="21" spans="1:34">
      <c r="A21" s="453" t="s">
        <v>12610</v>
      </c>
      <c r="B21" s="454" t="s">
        <v>12622</v>
      </c>
      <c r="C21" s="454" t="s">
        <v>12612</v>
      </c>
      <c r="D21" s="454" t="s">
        <v>12623</v>
      </c>
      <c r="E21" s="454" t="s">
        <v>1743</v>
      </c>
      <c r="F21" s="459" t="s">
        <v>1736</v>
      </c>
      <c r="G21" s="459" t="s">
        <v>1736</v>
      </c>
      <c r="H21" s="455" t="s">
        <v>4913</v>
      </c>
      <c r="I21" s="455" t="s">
        <v>4913</v>
      </c>
      <c r="J21" s="455" t="s">
        <v>4913</v>
      </c>
      <c r="K21" s="455" t="s">
        <v>4913</v>
      </c>
      <c r="L21" s="455" t="s">
        <v>4913</v>
      </c>
      <c r="M21" s="455" t="s">
        <v>4913</v>
      </c>
      <c r="N21" s="455" t="s">
        <v>4913</v>
      </c>
      <c r="O21" s="455" t="s">
        <v>4913</v>
      </c>
      <c r="P21" s="455" t="s">
        <v>4913</v>
      </c>
      <c r="Q21" s="455" t="s">
        <v>4913</v>
      </c>
      <c r="R21" s="455" t="s">
        <v>4913</v>
      </c>
      <c r="S21" s="455" t="s">
        <v>4913</v>
      </c>
      <c r="T21" s="455" t="s">
        <v>4913</v>
      </c>
      <c r="U21" s="455" t="s">
        <v>4913</v>
      </c>
      <c r="V21" s="455" t="s">
        <v>4913</v>
      </c>
      <c r="W21" s="455" t="s">
        <v>4913</v>
      </c>
      <c r="X21" s="455" t="s">
        <v>4913</v>
      </c>
      <c r="Y21" s="455" t="s">
        <v>4913</v>
      </c>
      <c r="Z21" s="455" t="s">
        <v>4913</v>
      </c>
      <c r="AA21" s="455" t="s">
        <v>4913</v>
      </c>
      <c r="AB21" s="455" t="s">
        <v>4913</v>
      </c>
      <c r="AC21" s="456" t="s">
        <v>1737</v>
      </c>
      <c r="AD21" s="456" t="s">
        <v>12544</v>
      </c>
      <c r="AE21" s="454" t="s">
        <v>12545</v>
      </c>
      <c r="AF21" s="461" t="s">
        <v>12573</v>
      </c>
      <c r="AG21" s="460" t="s">
        <v>12616</v>
      </c>
      <c r="AH21" s="460" t="s">
        <v>12617</v>
      </c>
    </row>
    <row r="22" spans="1:34">
      <c r="A22" s="453" t="s">
        <v>12610</v>
      </c>
      <c r="B22" s="454" t="s">
        <v>12624</v>
      </c>
      <c r="C22" s="454" t="s">
        <v>12612</v>
      </c>
      <c r="D22" s="454" t="s">
        <v>12625</v>
      </c>
      <c r="E22" s="454" t="s">
        <v>1743</v>
      </c>
      <c r="F22" s="459" t="s">
        <v>1736</v>
      </c>
      <c r="G22" s="459" t="s">
        <v>1736</v>
      </c>
      <c r="H22" s="455" t="s">
        <v>4913</v>
      </c>
      <c r="I22" s="455" t="s">
        <v>4913</v>
      </c>
      <c r="J22" s="455" t="s">
        <v>4913</v>
      </c>
      <c r="K22" s="455" t="s">
        <v>4913</v>
      </c>
      <c r="L22" s="455" t="s">
        <v>4913</v>
      </c>
      <c r="M22" s="455" t="s">
        <v>4913</v>
      </c>
      <c r="N22" s="455" t="s">
        <v>4913</v>
      </c>
      <c r="O22" s="455" t="s">
        <v>4913</v>
      </c>
      <c r="P22" s="455" t="s">
        <v>4913</v>
      </c>
      <c r="Q22" s="455" t="s">
        <v>4913</v>
      </c>
      <c r="R22" s="455" t="s">
        <v>4913</v>
      </c>
      <c r="S22" s="455" t="s">
        <v>4913</v>
      </c>
      <c r="T22" s="455" t="s">
        <v>4913</v>
      </c>
      <c r="U22" s="455" t="s">
        <v>4913</v>
      </c>
      <c r="V22" s="455" t="s">
        <v>4913</v>
      </c>
      <c r="W22" s="455" t="s">
        <v>4913</v>
      </c>
      <c r="X22" s="455" t="s">
        <v>4913</v>
      </c>
      <c r="Y22" s="455" t="s">
        <v>4913</v>
      </c>
      <c r="Z22" s="455" t="s">
        <v>4913</v>
      </c>
      <c r="AA22" s="455" t="s">
        <v>4913</v>
      </c>
      <c r="AB22" s="455" t="s">
        <v>4913</v>
      </c>
      <c r="AC22" s="456" t="s">
        <v>1737</v>
      </c>
      <c r="AD22" s="456" t="s">
        <v>12544</v>
      </c>
      <c r="AE22" s="454" t="s">
        <v>12545</v>
      </c>
      <c r="AF22" s="457" t="s">
        <v>12626</v>
      </c>
      <c r="AG22" s="460" t="s">
        <v>12616</v>
      </c>
      <c r="AH22" s="460" t="s">
        <v>12617</v>
      </c>
    </row>
    <row r="23" spans="1:34">
      <c r="A23" s="453" t="s">
        <v>12610</v>
      </c>
      <c r="B23" s="454" t="s">
        <v>12627</v>
      </c>
      <c r="C23" s="454" t="s">
        <v>12612</v>
      </c>
      <c r="D23" s="454" t="s">
        <v>12628</v>
      </c>
      <c r="E23" s="454" t="s">
        <v>1743</v>
      </c>
      <c r="F23" s="459" t="s">
        <v>1736</v>
      </c>
      <c r="G23" s="455" t="s">
        <v>4913</v>
      </c>
      <c r="H23" s="455" t="s">
        <v>4913</v>
      </c>
      <c r="I23" s="455" t="s">
        <v>4913</v>
      </c>
      <c r="J23" s="455" t="s">
        <v>4913</v>
      </c>
      <c r="K23" s="455" t="s">
        <v>4913</v>
      </c>
      <c r="L23" s="455" t="s">
        <v>4913</v>
      </c>
      <c r="M23" s="455" t="s">
        <v>4913</v>
      </c>
      <c r="N23" s="455" t="s">
        <v>4913</v>
      </c>
      <c r="O23" s="455" t="s">
        <v>4913</v>
      </c>
      <c r="P23" s="455" t="s">
        <v>4913</v>
      </c>
      <c r="Q23" s="455" t="s">
        <v>4913</v>
      </c>
      <c r="R23" s="455" t="s">
        <v>4913</v>
      </c>
      <c r="S23" s="455" t="s">
        <v>4913</v>
      </c>
      <c r="T23" s="455" t="s">
        <v>4913</v>
      </c>
      <c r="U23" s="455" t="s">
        <v>4913</v>
      </c>
      <c r="V23" s="455" t="s">
        <v>4913</v>
      </c>
      <c r="W23" s="455" t="s">
        <v>4913</v>
      </c>
      <c r="X23" s="455" t="s">
        <v>4913</v>
      </c>
      <c r="Y23" s="455" t="s">
        <v>4913</v>
      </c>
      <c r="Z23" s="455" t="s">
        <v>4913</v>
      </c>
      <c r="AA23" s="455" t="s">
        <v>4913</v>
      </c>
      <c r="AB23" s="455" t="s">
        <v>4913</v>
      </c>
      <c r="AC23" s="456" t="s">
        <v>1737</v>
      </c>
      <c r="AD23" s="456" t="s">
        <v>12544</v>
      </c>
      <c r="AE23" s="454" t="s">
        <v>12545</v>
      </c>
      <c r="AF23" s="460" t="s">
        <v>12573</v>
      </c>
      <c r="AG23" s="460" t="s">
        <v>12616</v>
      </c>
      <c r="AH23" s="460" t="s">
        <v>12617</v>
      </c>
    </row>
    <row r="24" spans="1:34">
      <c r="A24" s="453" t="s">
        <v>12610</v>
      </c>
      <c r="B24" s="454" t="s">
        <v>12629</v>
      </c>
      <c r="C24" s="454" t="s">
        <v>12612</v>
      </c>
      <c r="D24" s="454" t="s">
        <v>12630</v>
      </c>
      <c r="E24" s="454" t="s">
        <v>1743</v>
      </c>
      <c r="F24" s="459" t="s">
        <v>1736</v>
      </c>
      <c r="G24" s="455" t="s">
        <v>4913</v>
      </c>
      <c r="H24" s="455" t="s">
        <v>4913</v>
      </c>
      <c r="I24" s="455" t="s">
        <v>4913</v>
      </c>
      <c r="J24" s="455" t="s">
        <v>4913</v>
      </c>
      <c r="K24" s="455" t="s">
        <v>4913</v>
      </c>
      <c r="L24" s="455" t="s">
        <v>4913</v>
      </c>
      <c r="M24" s="455" t="s">
        <v>4913</v>
      </c>
      <c r="N24" s="455" t="s">
        <v>4913</v>
      </c>
      <c r="O24" s="455" t="s">
        <v>4913</v>
      </c>
      <c r="P24" s="455" t="s">
        <v>4913</v>
      </c>
      <c r="Q24" s="455" t="s">
        <v>4913</v>
      </c>
      <c r="R24" s="455" t="s">
        <v>4913</v>
      </c>
      <c r="S24" s="455" t="s">
        <v>4913</v>
      </c>
      <c r="T24" s="455" t="s">
        <v>4913</v>
      </c>
      <c r="U24" s="455" t="s">
        <v>4913</v>
      </c>
      <c r="V24" s="455" t="s">
        <v>4913</v>
      </c>
      <c r="W24" s="455" t="s">
        <v>4913</v>
      </c>
      <c r="X24" s="455" t="s">
        <v>4913</v>
      </c>
      <c r="Y24" s="455" t="s">
        <v>4913</v>
      </c>
      <c r="Z24" s="455" t="s">
        <v>4913</v>
      </c>
      <c r="AA24" s="455" t="s">
        <v>4913</v>
      </c>
      <c r="AB24" s="455" t="s">
        <v>4913</v>
      </c>
      <c r="AC24" s="456" t="s">
        <v>1737</v>
      </c>
      <c r="AD24" s="456" t="s">
        <v>12544</v>
      </c>
      <c r="AE24" s="454" t="s">
        <v>12545</v>
      </c>
      <c r="AF24" s="454" t="s">
        <v>12631</v>
      </c>
      <c r="AG24" s="460" t="s">
        <v>12616</v>
      </c>
      <c r="AH24" s="460" t="s">
        <v>12617</v>
      </c>
    </row>
    <row r="25" spans="1:34">
      <c r="A25" s="453" t="s">
        <v>12610</v>
      </c>
      <c r="B25" s="454" t="s">
        <v>12632</v>
      </c>
      <c r="C25" s="454" t="s">
        <v>12612</v>
      </c>
      <c r="D25" s="454" t="s">
        <v>12633</v>
      </c>
      <c r="E25" s="454" t="s">
        <v>1732</v>
      </c>
      <c r="F25" s="459" t="s">
        <v>1736</v>
      </c>
      <c r="G25" s="455" t="s">
        <v>4913</v>
      </c>
      <c r="H25" s="455" t="s">
        <v>4913</v>
      </c>
      <c r="I25" s="455" t="s">
        <v>4913</v>
      </c>
      <c r="J25" s="455" t="s">
        <v>4913</v>
      </c>
      <c r="K25" s="455" t="s">
        <v>4913</v>
      </c>
      <c r="L25" s="455" t="s">
        <v>4913</v>
      </c>
      <c r="M25" s="455" t="s">
        <v>4913</v>
      </c>
      <c r="N25" s="455" t="s">
        <v>4913</v>
      </c>
      <c r="O25" s="455" t="s">
        <v>4913</v>
      </c>
      <c r="P25" s="455" t="s">
        <v>4913</v>
      </c>
      <c r="Q25" s="455" t="s">
        <v>4913</v>
      </c>
      <c r="R25" s="455" t="s">
        <v>4913</v>
      </c>
      <c r="S25" s="455" t="s">
        <v>4913</v>
      </c>
      <c r="T25" s="455" t="s">
        <v>4913</v>
      </c>
      <c r="U25" s="455" t="s">
        <v>4913</v>
      </c>
      <c r="V25" s="455" t="s">
        <v>4913</v>
      </c>
      <c r="W25" s="455" t="s">
        <v>4913</v>
      </c>
      <c r="X25" s="455" t="s">
        <v>4913</v>
      </c>
      <c r="Y25" s="455" t="s">
        <v>4913</v>
      </c>
      <c r="Z25" s="455" t="s">
        <v>4913</v>
      </c>
      <c r="AA25" s="455" t="s">
        <v>4913</v>
      </c>
      <c r="AB25" s="455" t="s">
        <v>4913</v>
      </c>
      <c r="AC25" s="456" t="s">
        <v>1737</v>
      </c>
      <c r="AD25" s="456" t="s">
        <v>12544</v>
      </c>
      <c r="AE25" s="454" t="s">
        <v>12545</v>
      </c>
      <c r="AF25" s="454" t="s">
        <v>12631</v>
      </c>
      <c r="AG25" s="460" t="s">
        <v>12616</v>
      </c>
      <c r="AH25" s="460" t="s">
        <v>12617</v>
      </c>
    </row>
    <row r="26" spans="1:34">
      <c r="A26" s="453" t="s">
        <v>12634</v>
      </c>
      <c r="B26" s="454" t="s">
        <v>12635</v>
      </c>
      <c r="C26" s="454" t="s">
        <v>12636</v>
      </c>
      <c r="D26" s="454" t="s">
        <v>12637</v>
      </c>
      <c r="E26" s="454" t="s">
        <v>1743</v>
      </c>
      <c r="F26" s="459" t="s">
        <v>1736</v>
      </c>
      <c r="G26" s="455" t="s">
        <v>4913</v>
      </c>
      <c r="H26" s="455" t="s">
        <v>4913</v>
      </c>
      <c r="I26" s="455" t="s">
        <v>4913</v>
      </c>
      <c r="J26" s="455" t="s">
        <v>4913</v>
      </c>
      <c r="K26" s="455" t="s">
        <v>4913</v>
      </c>
      <c r="L26" s="455" t="s">
        <v>4913</v>
      </c>
      <c r="M26" s="455" t="s">
        <v>4913</v>
      </c>
      <c r="N26" s="455" t="s">
        <v>4913</v>
      </c>
      <c r="O26" s="455" t="s">
        <v>4913</v>
      </c>
      <c r="P26" s="455" t="s">
        <v>4913</v>
      </c>
      <c r="Q26" s="455" t="s">
        <v>4913</v>
      </c>
      <c r="R26" s="455" t="s">
        <v>4913</v>
      </c>
      <c r="S26" s="455" t="s">
        <v>4913</v>
      </c>
      <c r="T26" s="455" t="s">
        <v>4913</v>
      </c>
      <c r="U26" s="455" t="s">
        <v>4913</v>
      </c>
      <c r="V26" s="455" t="s">
        <v>4913</v>
      </c>
      <c r="W26" s="455" t="s">
        <v>4913</v>
      </c>
      <c r="X26" s="455" t="s">
        <v>4913</v>
      </c>
      <c r="Y26" s="455" t="s">
        <v>4913</v>
      </c>
      <c r="Z26" s="455" t="s">
        <v>4913</v>
      </c>
      <c r="AA26" s="455" t="s">
        <v>4913</v>
      </c>
      <c r="AB26" s="455" t="s">
        <v>4913</v>
      </c>
      <c r="AC26" s="456" t="s">
        <v>1737</v>
      </c>
      <c r="AD26" s="456" t="s">
        <v>12544</v>
      </c>
      <c r="AE26" s="454" t="s">
        <v>12545</v>
      </c>
      <c r="AF26" s="460" t="s">
        <v>12573</v>
      </c>
      <c r="AG26" s="460" t="s">
        <v>12638</v>
      </c>
      <c r="AH26" s="460" t="s">
        <v>12639</v>
      </c>
    </row>
    <row r="27" spans="1:34">
      <c r="A27" s="453" t="s">
        <v>12634</v>
      </c>
      <c r="B27" s="454" t="s">
        <v>12640</v>
      </c>
      <c r="C27" s="454" t="s">
        <v>12636</v>
      </c>
      <c r="D27" s="454" t="s">
        <v>12641</v>
      </c>
      <c r="E27" s="454" t="s">
        <v>1732</v>
      </c>
      <c r="F27" s="459" t="s">
        <v>1736</v>
      </c>
      <c r="G27" s="459" t="s">
        <v>1736</v>
      </c>
      <c r="H27" s="455" t="s">
        <v>4913</v>
      </c>
      <c r="I27" s="459" t="s">
        <v>1736</v>
      </c>
      <c r="J27" s="455" t="s">
        <v>4913</v>
      </c>
      <c r="K27" s="455" t="s">
        <v>4913</v>
      </c>
      <c r="L27" s="455" t="s">
        <v>4913</v>
      </c>
      <c r="M27" s="455" t="s">
        <v>4913</v>
      </c>
      <c r="N27" s="455" t="s">
        <v>4913</v>
      </c>
      <c r="O27" s="455" t="s">
        <v>4913</v>
      </c>
      <c r="P27" s="455" t="s">
        <v>4913</v>
      </c>
      <c r="Q27" s="455" t="s">
        <v>4913</v>
      </c>
      <c r="R27" s="455" t="s">
        <v>4913</v>
      </c>
      <c r="S27" s="455" t="s">
        <v>4913</v>
      </c>
      <c r="T27" s="455" t="s">
        <v>4913</v>
      </c>
      <c r="U27" s="455" t="s">
        <v>4913</v>
      </c>
      <c r="V27" s="455" t="s">
        <v>4913</v>
      </c>
      <c r="W27" s="459" t="s">
        <v>1736</v>
      </c>
      <c r="X27" s="459" t="s">
        <v>1736</v>
      </c>
      <c r="Y27" s="455" t="s">
        <v>4913</v>
      </c>
      <c r="Z27" s="455" t="s">
        <v>4913</v>
      </c>
      <c r="AA27" s="455" t="s">
        <v>4913</v>
      </c>
      <c r="AB27" s="455" t="s">
        <v>4913</v>
      </c>
      <c r="AC27" s="456" t="s">
        <v>1737</v>
      </c>
      <c r="AD27" s="456" t="s">
        <v>12544</v>
      </c>
      <c r="AE27" s="454" t="s">
        <v>12545</v>
      </c>
      <c r="AF27" s="460" t="s">
        <v>12642</v>
      </c>
      <c r="AG27" s="460" t="s">
        <v>12638</v>
      </c>
      <c r="AH27" s="460" t="s">
        <v>12639</v>
      </c>
    </row>
    <row r="28" spans="1:34">
      <c r="A28" s="453" t="s">
        <v>12634</v>
      </c>
      <c r="B28" s="454" t="s">
        <v>12643</v>
      </c>
      <c r="C28" s="454" t="s">
        <v>12636</v>
      </c>
      <c r="D28" s="454" t="s">
        <v>12644</v>
      </c>
      <c r="E28" s="454" t="s">
        <v>1732</v>
      </c>
      <c r="F28" s="459" t="s">
        <v>1736</v>
      </c>
      <c r="G28" s="455" t="s">
        <v>4913</v>
      </c>
      <c r="H28" s="455" t="s">
        <v>4913</v>
      </c>
      <c r="I28" s="455" t="s">
        <v>4913</v>
      </c>
      <c r="J28" s="455" t="s">
        <v>4913</v>
      </c>
      <c r="K28" s="455" t="s">
        <v>4913</v>
      </c>
      <c r="L28" s="455" t="s">
        <v>4913</v>
      </c>
      <c r="M28" s="455" t="s">
        <v>4913</v>
      </c>
      <c r="N28" s="455" t="s">
        <v>4913</v>
      </c>
      <c r="O28" s="455" t="s">
        <v>4913</v>
      </c>
      <c r="P28" s="455" t="s">
        <v>4913</v>
      </c>
      <c r="Q28" s="455" t="s">
        <v>4913</v>
      </c>
      <c r="R28" s="455" t="s">
        <v>4913</v>
      </c>
      <c r="S28" s="455" t="s">
        <v>4913</v>
      </c>
      <c r="T28" s="455" t="s">
        <v>4913</v>
      </c>
      <c r="U28" s="455" t="s">
        <v>4913</v>
      </c>
      <c r="V28" s="455" t="s">
        <v>4913</v>
      </c>
      <c r="W28" s="455" t="s">
        <v>4913</v>
      </c>
      <c r="X28" s="455" t="s">
        <v>4913</v>
      </c>
      <c r="Y28" s="455" t="s">
        <v>4913</v>
      </c>
      <c r="Z28" s="455" t="s">
        <v>4913</v>
      </c>
      <c r="AA28" s="455" t="s">
        <v>4913</v>
      </c>
      <c r="AB28" s="455" t="s">
        <v>4913</v>
      </c>
      <c r="AC28" s="456" t="s">
        <v>1737</v>
      </c>
      <c r="AD28" s="456" t="s">
        <v>12544</v>
      </c>
      <c r="AE28" s="454" t="s">
        <v>12545</v>
      </c>
      <c r="AF28" s="460" t="s">
        <v>12573</v>
      </c>
      <c r="AG28" s="460" t="s">
        <v>12638</v>
      </c>
      <c r="AH28" s="460" t="s">
        <v>12639</v>
      </c>
    </row>
    <row r="29" spans="1:34">
      <c r="A29" s="453" t="s">
        <v>12634</v>
      </c>
      <c r="B29" s="454" t="s">
        <v>12645</v>
      </c>
      <c r="C29" s="454" t="s">
        <v>12636</v>
      </c>
      <c r="D29" s="454" t="s">
        <v>12646</v>
      </c>
      <c r="E29" s="454" t="s">
        <v>1732</v>
      </c>
      <c r="F29" s="459" t="s">
        <v>1736</v>
      </c>
      <c r="G29" s="455" t="s">
        <v>4913</v>
      </c>
      <c r="H29" s="455" t="s">
        <v>4913</v>
      </c>
      <c r="I29" s="455" t="s">
        <v>4913</v>
      </c>
      <c r="J29" s="455" t="s">
        <v>4913</v>
      </c>
      <c r="K29" s="455" t="s">
        <v>4913</v>
      </c>
      <c r="L29" s="455" t="s">
        <v>4913</v>
      </c>
      <c r="M29" s="455" t="s">
        <v>4913</v>
      </c>
      <c r="N29" s="455" t="s">
        <v>4913</v>
      </c>
      <c r="O29" s="455" t="s">
        <v>4913</v>
      </c>
      <c r="P29" s="455" t="s">
        <v>4913</v>
      </c>
      <c r="Q29" s="455" t="s">
        <v>4913</v>
      </c>
      <c r="R29" s="455" t="s">
        <v>4913</v>
      </c>
      <c r="S29" s="455" t="s">
        <v>4913</v>
      </c>
      <c r="T29" s="455" t="s">
        <v>4913</v>
      </c>
      <c r="U29" s="455" t="s">
        <v>4913</v>
      </c>
      <c r="V29" s="455" t="s">
        <v>4913</v>
      </c>
      <c r="W29" s="455" t="s">
        <v>4913</v>
      </c>
      <c r="X29" s="455" t="s">
        <v>4913</v>
      </c>
      <c r="Y29" s="455" t="s">
        <v>4913</v>
      </c>
      <c r="Z29" s="455" t="s">
        <v>4913</v>
      </c>
      <c r="AA29" s="455" t="s">
        <v>4913</v>
      </c>
      <c r="AB29" s="455" t="s">
        <v>4913</v>
      </c>
      <c r="AC29" s="456" t="s">
        <v>1737</v>
      </c>
      <c r="AD29" s="456" t="s">
        <v>12544</v>
      </c>
      <c r="AE29" s="454" t="s">
        <v>12545</v>
      </c>
      <c r="AF29" s="460" t="s">
        <v>12573</v>
      </c>
      <c r="AG29" s="460" t="s">
        <v>12638</v>
      </c>
      <c r="AH29" s="460" t="s">
        <v>12639</v>
      </c>
    </row>
    <row r="30" spans="1:34">
      <c r="A30" s="453" t="s">
        <v>12647</v>
      </c>
      <c r="B30" s="454" t="s">
        <v>12648</v>
      </c>
      <c r="C30" s="454" t="s">
        <v>12649</v>
      </c>
      <c r="D30" s="454" t="s">
        <v>12650</v>
      </c>
      <c r="E30" s="454" t="s">
        <v>1743</v>
      </c>
      <c r="F30" s="459" t="s">
        <v>1736</v>
      </c>
      <c r="G30" s="455" t="s">
        <v>1736</v>
      </c>
      <c r="H30" s="455" t="s">
        <v>4913</v>
      </c>
      <c r="I30" s="455" t="s">
        <v>4913</v>
      </c>
      <c r="J30" s="455" t="s">
        <v>4913</v>
      </c>
      <c r="K30" s="455" t="s">
        <v>4913</v>
      </c>
      <c r="L30" s="455" t="s">
        <v>4913</v>
      </c>
      <c r="M30" s="455" t="s">
        <v>4913</v>
      </c>
      <c r="N30" s="455" t="s">
        <v>4913</v>
      </c>
      <c r="O30" s="455" t="s">
        <v>4913</v>
      </c>
      <c r="P30" s="455" t="s">
        <v>4913</v>
      </c>
      <c r="Q30" s="455" t="s">
        <v>4913</v>
      </c>
      <c r="R30" s="455" t="s">
        <v>4913</v>
      </c>
      <c r="S30" s="455" t="s">
        <v>4913</v>
      </c>
      <c r="T30" s="455" t="s">
        <v>4913</v>
      </c>
      <c r="U30" s="455" t="s">
        <v>4913</v>
      </c>
      <c r="V30" s="455" t="s">
        <v>4913</v>
      </c>
      <c r="W30" s="455" t="s">
        <v>4913</v>
      </c>
      <c r="X30" s="455" t="s">
        <v>4913</v>
      </c>
      <c r="Y30" s="455" t="s">
        <v>4913</v>
      </c>
      <c r="Z30" s="455" t="s">
        <v>4913</v>
      </c>
      <c r="AA30" s="455" t="s">
        <v>4913</v>
      </c>
      <c r="AB30" s="455" t="s">
        <v>4913</v>
      </c>
      <c r="AC30" s="456" t="s">
        <v>1737</v>
      </c>
      <c r="AD30" s="459" t="s">
        <v>12544</v>
      </c>
      <c r="AE30" s="454" t="s">
        <v>12545</v>
      </c>
      <c r="AF30" s="460" t="s">
        <v>12573</v>
      </c>
      <c r="AG30" s="460" t="s">
        <v>12569</v>
      </c>
      <c r="AH30" s="460" t="s">
        <v>12651</v>
      </c>
    </row>
    <row r="31" spans="1:34">
      <c r="A31" s="453" t="s">
        <v>12652</v>
      </c>
      <c r="B31" s="454" t="s">
        <v>12653</v>
      </c>
      <c r="C31" s="454" t="s">
        <v>12654</v>
      </c>
      <c r="D31" s="454" t="s">
        <v>12655</v>
      </c>
      <c r="E31" s="454" t="s">
        <v>1732</v>
      </c>
      <c r="F31" s="459" t="s">
        <v>1736</v>
      </c>
      <c r="G31" s="459" t="s">
        <v>1736</v>
      </c>
      <c r="H31" s="455" t="s">
        <v>4913</v>
      </c>
      <c r="I31" s="459" t="s">
        <v>1736</v>
      </c>
      <c r="J31" s="455" t="s">
        <v>4913</v>
      </c>
      <c r="K31" s="455" t="s">
        <v>4913</v>
      </c>
      <c r="L31" s="455" t="s">
        <v>4913</v>
      </c>
      <c r="M31" s="455" t="s">
        <v>4913</v>
      </c>
      <c r="N31" s="455" t="s">
        <v>4913</v>
      </c>
      <c r="O31" s="455" t="s">
        <v>4913</v>
      </c>
      <c r="P31" s="455" t="s">
        <v>4913</v>
      </c>
      <c r="Q31" s="455" t="s">
        <v>4913</v>
      </c>
      <c r="R31" s="455" t="s">
        <v>4913</v>
      </c>
      <c r="S31" s="455" t="s">
        <v>4913</v>
      </c>
      <c r="T31" s="455" t="s">
        <v>4913</v>
      </c>
      <c r="U31" s="455" t="s">
        <v>4913</v>
      </c>
      <c r="V31" s="455" t="s">
        <v>4913</v>
      </c>
      <c r="W31" s="459" t="s">
        <v>1736</v>
      </c>
      <c r="X31" s="459" t="s">
        <v>1736</v>
      </c>
      <c r="Y31" s="455" t="s">
        <v>4913</v>
      </c>
      <c r="Z31" s="455" t="s">
        <v>4913</v>
      </c>
      <c r="AA31" s="455" t="s">
        <v>4913</v>
      </c>
      <c r="AB31" s="455" t="s">
        <v>4913</v>
      </c>
      <c r="AC31" s="456" t="s">
        <v>1737</v>
      </c>
      <c r="AD31" s="459" t="s">
        <v>12544</v>
      </c>
      <c r="AE31" s="454" t="s">
        <v>12656</v>
      </c>
      <c r="AF31" s="460" t="s">
        <v>12642</v>
      </c>
      <c r="AG31" s="460" t="s">
        <v>12657</v>
      </c>
      <c r="AH31" s="460" t="s">
        <v>12658</v>
      </c>
    </row>
    <row r="32" spans="1:34">
      <c r="A32" s="453" t="s">
        <v>12652</v>
      </c>
      <c r="B32" s="454" t="s">
        <v>12659</v>
      </c>
      <c r="C32" s="454" t="s">
        <v>12654</v>
      </c>
      <c r="D32" s="454" t="s">
        <v>12660</v>
      </c>
      <c r="E32" s="454" t="s">
        <v>1743</v>
      </c>
      <c r="F32" s="459" t="s">
        <v>1736</v>
      </c>
      <c r="G32" s="459" t="s">
        <v>1736</v>
      </c>
      <c r="H32" s="455" t="s">
        <v>4913</v>
      </c>
      <c r="I32" s="455" t="s">
        <v>4913</v>
      </c>
      <c r="J32" s="455" t="s">
        <v>4913</v>
      </c>
      <c r="K32" s="455" t="s">
        <v>4913</v>
      </c>
      <c r="L32" s="455" t="s">
        <v>4913</v>
      </c>
      <c r="M32" s="455" t="s">
        <v>4913</v>
      </c>
      <c r="N32" s="455" t="s">
        <v>4913</v>
      </c>
      <c r="O32" s="455" t="s">
        <v>4913</v>
      </c>
      <c r="P32" s="455" t="s">
        <v>4913</v>
      </c>
      <c r="Q32" s="455" t="s">
        <v>4913</v>
      </c>
      <c r="R32" s="455" t="s">
        <v>4913</v>
      </c>
      <c r="S32" s="455" t="s">
        <v>4913</v>
      </c>
      <c r="T32" s="455" t="s">
        <v>4913</v>
      </c>
      <c r="U32" s="455" t="s">
        <v>4913</v>
      </c>
      <c r="V32" s="455" t="s">
        <v>4913</v>
      </c>
      <c r="W32" s="455" t="s">
        <v>4913</v>
      </c>
      <c r="X32" s="455" t="s">
        <v>4913</v>
      </c>
      <c r="Y32" s="455" t="s">
        <v>4913</v>
      </c>
      <c r="Z32" s="455" t="s">
        <v>4913</v>
      </c>
      <c r="AA32" s="455" t="s">
        <v>4913</v>
      </c>
      <c r="AB32" s="455" t="s">
        <v>4913</v>
      </c>
      <c r="AC32" s="456" t="s">
        <v>1737</v>
      </c>
      <c r="AD32" s="459" t="s">
        <v>12544</v>
      </c>
      <c r="AE32" s="454" t="s">
        <v>12545</v>
      </c>
      <c r="AF32" s="460" t="s">
        <v>12661</v>
      </c>
      <c r="AG32" s="460" t="s">
        <v>12657</v>
      </c>
      <c r="AH32" s="460" t="s">
        <v>12658</v>
      </c>
    </row>
    <row r="33" spans="1:34">
      <c r="A33" s="453" t="s">
        <v>12662</v>
      </c>
      <c r="B33" s="454" t="s">
        <v>12663</v>
      </c>
      <c r="C33" s="454" t="s">
        <v>12664</v>
      </c>
      <c r="D33" s="454" t="s">
        <v>12665</v>
      </c>
      <c r="E33" s="454" t="s">
        <v>1732</v>
      </c>
      <c r="F33" s="459" t="s">
        <v>1736</v>
      </c>
      <c r="G33" s="455" t="s">
        <v>4913</v>
      </c>
      <c r="H33" s="455" t="s">
        <v>4913</v>
      </c>
      <c r="I33" s="455" t="s">
        <v>4913</v>
      </c>
      <c r="J33" s="455" t="s">
        <v>4913</v>
      </c>
      <c r="K33" s="455" t="s">
        <v>4913</v>
      </c>
      <c r="L33" s="455" t="s">
        <v>4913</v>
      </c>
      <c r="M33" s="455" t="s">
        <v>4913</v>
      </c>
      <c r="N33" s="455" t="s">
        <v>4913</v>
      </c>
      <c r="O33" s="455" t="s">
        <v>4913</v>
      </c>
      <c r="P33" s="455" t="s">
        <v>4913</v>
      </c>
      <c r="Q33" s="455" t="s">
        <v>4913</v>
      </c>
      <c r="R33" s="455" t="s">
        <v>4913</v>
      </c>
      <c r="S33" s="455" t="s">
        <v>4913</v>
      </c>
      <c r="T33" s="455" t="s">
        <v>4913</v>
      </c>
      <c r="U33" s="455" t="s">
        <v>4913</v>
      </c>
      <c r="V33" s="455" t="s">
        <v>4913</v>
      </c>
      <c r="W33" s="455" t="s">
        <v>4913</v>
      </c>
      <c r="X33" s="455" t="s">
        <v>4913</v>
      </c>
      <c r="Y33" s="455" t="s">
        <v>4913</v>
      </c>
      <c r="Z33" s="455" t="s">
        <v>4913</v>
      </c>
      <c r="AA33" s="455" t="s">
        <v>4913</v>
      </c>
      <c r="AB33" s="455" t="s">
        <v>4913</v>
      </c>
      <c r="AC33" s="456" t="s">
        <v>1737</v>
      </c>
      <c r="AD33" s="459" t="s">
        <v>12544</v>
      </c>
      <c r="AE33" s="454" t="s">
        <v>12545</v>
      </c>
      <c r="AF33" s="454" t="s">
        <v>12666</v>
      </c>
      <c r="AG33" s="462">
        <v>44545</v>
      </c>
      <c r="AH33" s="460" t="s">
        <v>12667</v>
      </c>
    </row>
    <row r="34" spans="1:34">
      <c r="A34" s="453" t="s">
        <v>12668</v>
      </c>
      <c r="B34" s="454" t="s">
        <v>12669</v>
      </c>
      <c r="C34" s="454" t="s">
        <v>12670</v>
      </c>
      <c r="D34" s="454" t="s">
        <v>12671</v>
      </c>
      <c r="E34" s="454" t="s">
        <v>1732</v>
      </c>
      <c r="F34" s="459" t="s">
        <v>1736</v>
      </c>
      <c r="G34" s="459" t="s">
        <v>1736</v>
      </c>
      <c r="H34" s="455" t="s">
        <v>4913</v>
      </c>
      <c r="I34" s="455" t="s">
        <v>4913</v>
      </c>
      <c r="J34" s="455" t="s">
        <v>4913</v>
      </c>
      <c r="K34" s="455" t="s">
        <v>4913</v>
      </c>
      <c r="L34" s="455" t="s">
        <v>4913</v>
      </c>
      <c r="M34" s="455" t="s">
        <v>4913</v>
      </c>
      <c r="N34" s="455" t="s">
        <v>4913</v>
      </c>
      <c r="O34" s="455" t="s">
        <v>4913</v>
      </c>
      <c r="P34" s="455" t="s">
        <v>4913</v>
      </c>
      <c r="Q34" s="455" t="s">
        <v>4913</v>
      </c>
      <c r="R34" s="455" t="s">
        <v>4913</v>
      </c>
      <c r="S34" s="455" t="s">
        <v>4913</v>
      </c>
      <c r="T34" s="455" t="s">
        <v>4913</v>
      </c>
      <c r="U34" s="455" t="s">
        <v>4913</v>
      </c>
      <c r="V34" s="455" t="s">
        <v>4913</v>
      </c>
      <c r="W34" s="455" t="s">
        <v>4913</v>
      </c>
      <c r="X34" s="455" t="s">
        <v>4913</v>
      </c>
      <c r="Y34" s="455" t="s">
        <v>4913</v>
      </c>
      <c r="Z34" s="455" t="s">
        <v>4913</v>
      </c>
      <c r="AA34" s="455" t="s">
        <v>4913</v>
      </c>
      <c r="AB34" s="455" t="s">
        <v>4913</v>
      </c>
      <c r="AC34" s="456" t="s">
        <v>1737</v>
      </c>
      <c r="AD34" s="459" t="s">
        <v>12544</v>
      </c>
      <c r="AE34" s="454" t="s">
        <v>12656</v>
      </c>
      <c r="AF34" s="460" t="s">
        <v>12672</v>
      </c>
      <c r="AG34" s="460" t="s">
        <v>12673</v>
      </c>
      <c r="AH34" s="460" t="s">
        <v>12674</v>
      </c>
    </row>
    <row r="35" spans="1:34">
      <c r="A35" s="453" t="s">
        <v>12668</v>
      </c>
      <c r="B35" s="454" t="s">
        <v>12675</v>
      </c>
      <c r="C35" s="454" t="s">
        <v>12676</v>
      </c>
      <c r="D35" s="454" t="s">
        <v>12677</v>
      </c>
      <c r="E35" s="454" t="s">
        <v>1732</v>
      </c>
      <c r="F35" s="459" t="s">
        <v>1736</v>
      </c>
      <c r="G35" s="459" t="s">
        <v>1736</v>
      </c>
      <c r="H35" s="455" t="s">
        <v>4913</v>
      </c>
      <c r="I35" s="459" t="s">
        <v>1736</v>
      </c>
      <c r="J35" s="455" t="s">
        <v>4913</v>
      </c>
      <c r="K35" s="455" t="s">
        <v>4913</v>
      </c>
      <c r="L35" s="455" t="s">
        <v>4913</v>
      </c>
      <c r="M35" s="455" t="s">
        <v>4913</v>
      </c>
      <c r="N35" s="455" t="s">
        <v>4913</v>
      </c>
      <c r="O35" s="455" t="s">
        <v>4913</v>
      </c>
      <c r="P35" s="455" t="s">
        <v>4913</v>
      </c>
      <c r="Q35" s="455" t="s">
        <v>4913</v>
      </c>
      <c r="R35" s="455" t="s">
        <v>4913</v>
      </c>
      <c r="S35" s="455" t="s">
        <v>4913</v>
      </c>
      <c r="T35" s="455" t="s">
        <v>4913</v>
      </c>
      <c r="U35" s="455" t="s">
        <v>4913</v>
      </c>
      <c r="V35" s="455" t="s">
        <v>4913</v>
      </c>
      <c r="W35" s="459" t="s">
        <v>1736</v>
      </c>
      <c r="X35" s="455" t="s">
        <v>4913</v>
      </c>
      <c r="Y35" s="455" t="s">
        <v>4913</v>
      </c>
      <c r="Z35" s="455" t="s">
        <v>4913</v>
      </c>
      <c r="AA35" s="455" t="s">
        <v>4913</v>
      </c>
      <c r="AB35" s="455" t="s">
        <v>4913</v>
      </c>
      <c r="AC35" s="456" t="s">
        <v>1737</v>
      </c>
      <c r="AD35" s="459" t="s">
        <v>12544</v>
      </c>
      <c r="AE35" s="454" t="s">
        <v>12656</v>
      </c>
      <c r="AF35" s="460" t="s">
        <v>12672</v>
      </c>
      <c r="AG35" s="460" t="s">
        <v>12673</v>
      </c>
      <c r="AH35" s="460" t="s">
        <v>12674</v>
      </c>
    </row>
    <row r="36" spans="1:34">
      <c r="A36" s="453" t="s">
        <v>12678</v>
      </c>
      <c r="B36" s="454" t="s">
        <v>12679</v>
      </c>
      <c r="C36" s="454" t="s">
        <v>12680</v>
      </c>
      <c r="D36" s="454" t="s">
        <v>12681</v>
      </c>
      <c r="E36" s="454" t="s">
        <v>1732</v>
      </c>
      <c r="F36" s="455" t="s">
        <v>4913</v>
      </c>
      <c r="G36" s="455" t="s">
        <v>4913</v>
      </c>
      <c r="H36" s="455" t="s">
        <v>4913</v>
      </c>
      <c r="I36" s="455" t="s">
        <v>4913</v>
      </c>
      <c r="J36" s="455" t="s">
        <v>4913</v>
      </c>
      <c r="K36" s="455" t="s">
        <v>4913</v>
      </c>
      <c r="L36" s="455" t="s">
        <v>4913</v>
      </c>
      <c r="M36" s="455" t="s">
        <v>4913</v>
      </c>
      <c r="N36" s="455" t="s">
        <v>4913</v>
      </c>
      <c r="O36" s="455" t="s">
        <v>4913</v>
      </c>
      <c r="P36" s="455" t="s">
        <v>4913</v>
      </c>
      <c r="Q36" s="455" t="s">
        <v>4913</v>
      </c>
      <c r="R36" s="455" t="s">
        <v>4913</v>
      </c>
      <c r="S36" s="455" t="s">
        <v>4913</v>
      </c>
      <c r="T36" s="455" t="s">
        <v>4913</v>
      </c>
      <c r="U36" s="455" t="s">
        <v>4913</v>
      </c>
      <c r="V36" s="455" t="s">
        <v>4913</v>
      </c>
      <c r="W36" s="455" t="s">
        <v>4913</v>
      </c>
      <c r="X36" s="455" t="s">
        <v>4913</v>
      </c>
      <c r="Y36" s="455" t="s">
        <v>4913</v>
      </c>
      <c r="Z36" s="455" t="s">
        <v>4913</v>
      </c>
      <c r="AA36" s="455" t="s">
        <v>4913</v>
      </c>
      <c r="AB36" s="455" t="s">
        <v>4913</v>
      </c>
      <c r="AC36" s="456" t="s">
        <v>1737</v>
      </c>
      <c r="AD36" s="459" t="s">
        <v>12544</v>
      </c>
      <c r="AE36" s="454" t="s">
        <v>12545</v>
      </c>
      <c r="AF36" s="454" t="s">
        <v>12682</v>
      </c>
      <c r="AG36" s="462">
        <v>44536</v>
      </c>
      <c r="AH36" s="460" t="s">
        <v>12683</v>
      </c>
    </row>
    <row r="37" spans="1:34">
      <c r="A37" s="453" t="s">
        <v>12684</v>
      </c>
      <c r="B37" s="454" t="s">
        <v>12685</v>
      </c>
      <c r="C37" s="454" t="s">
        <v>12686</v>
      </c>
      <c r="D37" s="454" t="s">
        <v>12687</v>
      </c>
      <c r="E37" s="454" t="s">
        <v>1732</v>
      </c>
      <c r="F37" s="459" t="s">
        <v>1736</v>
      </c>
      <c r="G37" s="459" t="s">
        <v>1736</v>
      </c>
      <c r="H37" s="455" t="s">
        <v>4913</v>
      </c>
      <c r="I37" s="455" t="s">
        <v>4913</v>
      </c>
      <c r="J37" s="455" t="s">
        <v>4913</v>
      </c>
      <c r="K37" s="455" t="s">
        <v>4913</v>
      </c>
      <c r="L37" s="455" t="s">
        <v>4913</v>
      </c>
      <c r="M37" s="455" t="s">
        <v>4913</v>
      </c>
      <c r="N37" s="459" t="s">
        <v>1736</v>
      </c>
      <c r="O37" s="455" t="s">
        <v>4913</v>
      </c>
      <c r="P37" s="455" t="s">
        <v>4913</v>
      </c>
      <c r="Q37" s="455" t="s">
        <v>4913</v>
      </c>
      <c r="R37" s="455" t="s">
        <v>4913</v>
      </c>
      <c r="S37" s="455" t="s">
        <v>4913</v>
      </c>
      <c r="T37" s="455" t="s">
        <v>4913</v>
      </c>
      <c r="U37" s="455" t="s">
        <v>4913</v>
      </c>
      <c r="V37" s="455" t="s">
        <v>4913</v>
      </c>
      <c r="W37" s="459" t="s">
        <v>1736</v>
      </c>
      <c r="X37" s="459" t="s">
        <v>1736</v>
      </c>
      <c r="Y37" s="455" t="s">
        <v>4913</v>
      </c>
      <c r="Z37" s="455" t="s">
        <v>4913</v>
      </c>
      <c r="AA37" s="455" t="s">
        <v>4913</v>
      </c>
      <c r="AB37" s="455" t="s">
        <v>4913</v>
      </c>
      <c r="AC37" s="456" t="s">
        <v>1737</v>
      </c>
      <c r="AD37" s="459" t="s">
        <v>12544</v>
      </c>
      <c r="AE37" s="454" t="s">
        <v>12688</v>
      </c>
      <c r="AF37" s="454" t="s">
        <v>12689</v>
      </c>
      <c r="AG37" s="460" t="s">
        <v>12638</v>
      </c>
      <c r="AH37" s="460" t="s">
        <v>12690</v>
      </c>
    </row>
    <row r="38" spans="1:34">
      <c r="A38" s="453" t="s">
        <v>12684</v>
      </c>
      <c r="B38" s="454" t="s">
        <v>12691</v>
      </c>
      <c r="C38" s="454" t="s">
        <v>12686</v>
      </c>
      <c r="D38" s="454" t="s">
        <v>12692</v>
      </c>
      <c r="E38" s="454" t="s">
        <v>1743</v>
      </c>
      <c r="F38" s="459" t="s">
        <v>1736</v>
      </c>
      <c r="G38" s="455" t="s">
        <v>4913</v>
      </c>
      <c r="H38" s="455" t="s">
        <v>4913</v>
      </c>
      <c r="I38" s="455" t="s">
        <v>4913</v>
      </c>
      <c r="J38" s="455" t="s">
        <v>4913</v>
      </c>
      <c r="K38" s="455" t="s">
        <v>4913</v>
      </c>
      <c r="L38" s="455" t="s">
        <v>4913</v>
      </c>
      <c r="M38" s="455" t="s">
        <v>4913</v>
      </c>
      <c r="N38" s="455" t="s">
        <v>4913</v>
      </c>
      <c r="O38" s="455" t="s">
        <v>4913</v>
      </c>
      <c r="P38" s="455" t="s">
        <v>4913</v>
      </c>
      <c r="Q38" s="455" t="s">
        <v>4913</v>
      </c>
      <c r="R38" s="455" t="s">
        <v>4913</v>
      </c>
      <c r="S38" s="455" t="s">
        <v>4913</v>
      </c>
      <c r="T38" s="455" t="s">
        <v>4913</v>
      </c>
      <c r="U38" s="455" t="s">
        <v>4913</v>
      </c>
      <c r="V38" s="455" t="s">
        <v>4913</v>
      </c>
      <c r="W38" s="455" t="s">
        <v>4913</v>
      </c>
      <c r="X38" s="455" t="s">
        <v>4913</v>
      </c>
      <c r="Y38" s="455" t="s">
        <v>4913</v>
      </c>
      <c r="Z38" s="455" t="s">
        <v>4913</v>
      </c>
      <c r="AA38" s="455" t="s">
        <v>4913</v>
      </c>
      <c r="AB38" s="455" t="s">
        <v>4913</v>
      </c>
      <c r="AC38" s="456" t="s">
        <v>1737</v>
      </c>
      <c r="AD38" s="459" t="s">
        <v>12544</v>
      </c>
      <c r="AE38" s="454" t="s">
        <v>12545</v>
      </c>
      <c r="AF38" s="454" t="s">
        <v>12693</v>
      </c>
      <c r="AG38" s="460" t="s">
        <v>12638</v>
      </c>
      <c r="AH38" s="460" t="s">
        <v>12690</v>
      </c>
    </row>
    <row r="39" spans="1:34">
      <c r="A39" s="453" t="s">
        <v>12684</v>
      </c>
      <c r="B39" s="454" t="s">
        <v>12694</v>
      </c>
      <c r="C39" s="454" t="s">
        <v>12686</v>
      </c>
      <c r="D39" s="454" t="s">
        <v>12695</v>
      </c>
      <c r="E39" s="454" t="s">
        <v>1743</v>
      </c>
      <c r="F39" s="459" t="s">
        <v>1736</v>
      </c>
      <c r="G39" s="459" t="s">
        <v>1736</v>
      </c>
      <c r="H39" s="455" t="s">
        <v>4913</v>
      </c>
      <c r="I39" s="455" t="s">
        <v>4913</v>
      </c>
      <c r="J39" s="455" t="s">
        <v>4913</v>
      </c>
      <c r="K39" s="455" t="s">
        <v>4913</v>
      </c>
      <c r="L39" s="455" t="s">
        <v>4913</v>
      </c>
      <c r="M39" s="455" t="s">
        <v>4913</v>
      </c>
      <c r="N39" s="455" t="s">
        <v>4913</v>
      </c>
      <c r="O39" s="455" t="s">
        <v>4913</v>
      </c>
      <c r="P39" s="455" t="s">
        <v>4913</v>
      </c>
      <c r="Q39" s="455" t="s">
        <v>4913</v>
      </c>
      <c r="R39" s="455" t="s">
        <v>4913</v>
      </c>
      <c r="S39" s="455" t="s">
        <v>4913</v>
      </c>
      <c r="T39" s="455" t="s">
        <v>4913</v>
      </c>
      <c r="U39" s="455" t="s">
        <v>4913</v>
      </c>
      <c r="V39" s="455" t="s">
        <v>4913</v>
      </c>
      <c r="W39" s="455" t="s">
        <v>4913</v>
      </c>
      <c r="X39" s="455" t="s">
        <v>4913</v>
      </c>
      <c r="Y39" s="455" t="s">
        <v>4913</v>
      </c>
      <c r="Z39" s="455" t="s">
        <v>4913</v>
      </c>
      <c r="AA39" s="455" t="s">
        <v>4913</v>
      </c>
      <c r="AB39" s="455" t="s">
        <v>4913</v>
      </c>
      <c r="AC39" s="456" t="s">
        <v>1737</v>
      </c>
      <c r="AD39" s="459" t="s">
        <v>12544</v>
      </c>
      <c r="AE39" s="454" t="s">
        <v>12545</v>
      </c>
      <c r="AF39" s="463" t="s">
        <v>12696</v>
      </c>
      <c r="AG39" s="460" t="s">
        <v>12638</v>
      </c>
      <c r="AH39" s="460" t="s">
        <v>12690</v>
      </c>
    </row>
    <row r="40" spans="1:34">
      <c r="A40" s="453" t="s">
        <v>12684</v>
      </c>
      <c r="B40" s="454" t="s">
        <v>12697</v>
      </c>
      <c r="C40" s="454" t="s">
        <v>12686</v>
      </c>
      <c r="D40" s="454" t="s">
        <v>12698</v>
      </c>
      <c r="E40" s="454" t="s">
        <v>1743</v>
      </c>
      <c r="F40" s="459" t="s">
        <v>1736</v>
      </c>
      <c r="G40" s="455" t="s">
        <v>4913</v>
      </c>
      <c r="H40" s="455" t="s">
        <v>4913</v>
      </c>
      <c r="I40" s="455" t="s">
        <v>4913</v>
      </c>
      <c r="J40" s="455" t="s">
        <v>4913</v>
      </c>
      <c r="K40" s="455" t="s">
        <v>4913</v>
      </c>
      <c r="L40" s="455" t="s">
        <v>4913</v>
      </c>
      <c r="M40" s="455" t="s">
        <v>4913</v>
      </c>
      <c r="N40" s="455" t="s">
        <v>4913</v>
      </c>
      <c r="O40" s="455" t="s">
        <v>4913</v>
      </c>
      <c r="P40" s="455" t="s">
        <v>4913</v>
      </c>
      <c r="Q40" s="455" t="s">
        <v>4913</v>
      </c>
      <c r="R40" s="455" t="s">
        <v>4913</v>
      </c>
      <c r="S40" s="455" t="s">
        <v>4913</v>
      </c>
      <c r="T40" s="455" t="s">
        <v>4913</v>
      </c>
      <c r="U40" s="455" t="s">
        <v>4913</v>
      </c>
      <c r="V40" s="455" t="s">
        <v>4913</v>
      </c>
      <c r="W40" s="455" t="s">
        <v>4913</v>
      </c>
      <c r="X40" s="455" t="s">
        <v>4913</v>
      </c>
      <c r="Y40" s="455" t="s">
        <v>4913</v>
      </c>
      <c r="Z40" s="455" t="s">
        <v>4913</v>
      </c>
      <c r="AA40" s="455" t="s">
        <v>4913</v>
      </c>
      <c r="AB40" s="455" t="s">
        <v>4913</v>
      </c>
      <c r="AC40" s="456" t="s">
        <v>1737</v>
      </c>
      <c r="AD40" s="459" t="s">
        <v>12544</v>
      </c>
      <c r="AE40" s="454" t="s">
        <v>12545</v>
      </c>
      <c r="AF40" s="461" t="s">
        <v>12699</v>
      </c>
      <c r="AG40" s="460" t="s">
        <v>12638</v>
      </c>
      <c r="AH40" s="460" t="s">
        <v>12690</v>
      </c>
    </row>
    <row r="41" spans="1:34">
      <c r="A41" s="453" t="s">
        <v>12684</v>
      </c>
      <c r="B41" s="454" t="s">
        <v>12700</v>
      </c>
      <c r="C41" s="454" t="s">
        <v>12686</v>
      </c>
      <c r="D41" s="454" t="s">
        <v>12701</v>
      </c>
      <c r="E41" s="454" t="s">
        <v>1732</v>
      </c>
      <c r="F41" s="459" t="s">
        <v>1736</v>
      </c>
      <c r="G41" s="459" t="s">
        <v>1736</v>
      </c>
      <c r="H41" s="455" t="s">
        <v>4913</v>
      </c>
      <c r="I41" s="455" t="s">
        <v>4913</v>
      </c>
      <c r="J41" s="455" t="s">
        <v>4913</v>
      </c>
      <c r="K41" s="455" t="s">
        <v>4913</v>
      </c>
      <c r="L41" s="455" t="s">
        <v>4913</v>
      </c>
      <c r="M41" s="455" t="s">
        <v>4913</v>
      </c>
      <c r="N41" s="459" t="s">
        <v>1736</v>
      </c>
      <c r="O41" s="455" t="s">
        <v>4913</v>
      </c>
      <c r="P41" s="455" t="s">
        <v>4913</v>
      </c>
      <c r="Q41" s="455" t="s">
        <v>4913</v>
      </c>
      <c r="R41" s="455" t="s">
        <v>4913</v>
      </c>
      <c r="S41" s="455" t="s">
        <v>4913</v>
      </c>
      <c r="T41" s="455" t="s">
        <v>4913</v>
      </c>
      <c r="U41" s="455" t="s">
        <v>4913</v>
      </c>
      <c r="V41" s="455" t="s">
        <v>4913</v>
      </c>
      <c r="W41" s="459" t="s">
        <v>1736</v>
      </c>
      <c r="X41" s="459" t="s">
        <v>1736</v>
      </c>
      <c r="Y41" s="455" t="s">
        <v>4913</v>
      </c>
      <c r="Z41" s="455" t="s">
        <v>4913</v>
      </c>
      <c r="AA41" s="455" t="s">
        <v>4913</v>
      </c>
      <c r="AB41" s="455" t="s">
        <v>4913</v>
      </c>
      <c r="AC41" s="456" t="s">
        <v>1737</v>
      </c>
      <c r="AD41" s="459" t="s">
        <v>12544</v>
      </c>
      <c r="AE41" s="454" t="s">
        <v>12688</v>
      </c>
      <c r="AF41" s="454" t="s">
        <v>12702</v>
      </c>
      <c r="AG41" s="460" t="s">
        <v>12638</v>
      </c>
      <c r="AH41" s="460" t="s">
        <v>12690</v>
      </c>
    </row>
    <row r="42" spans="1:34">
      <c r="A42" s="453" t="s">
        <v>12684</v>
      </c>
      <c r="B42" s="454" t="s">
        <v>12703</v>
      </c>
      <c r="C42" s="454" t="s">
        <v>12686</v>
      </c>
      <c r="D42" s="454" t="s">
        <v>12704</v>
      </c>
      <c r="E42" s="454" t="s">
        <v>1743</v>
      </c>
      <c r="F42" s="459" t="s">
        <v>1736</v>
      </c>
      <c r="G42" s="459" t="s">
        <v>1736</v>
      </c>
      <c r="H42" s="455" t="s">
        <v>4913</v>
      </c>
      <c r="I42" s="455" t="s">
        <v>4913</v>
      </c>
      <c r="J42" s="455" t="s">
        <v>4913</v>
      </c>
      <c r="K42" s="455" t="s">
        <v>4913</v>
      </c>
      <c r="L42" s="455" t="s">
        <v>4913</v>
      </c>
      <c r="M42" s="455" t="s">
        <v>4913</v>
      </c>
      <c r="N42" s="455" t="s">
        <v>4913</v>
      </c>
      <c r="O42" s="455" t="s">
        <v>4913</v>
      </c>
      <c r="P42" s="455" t="s">
        <v>4913</v>
      </c>
      <c r="Q42" s="455" t="s">
        <v>4913</v>
      </c>
      <c r="R42" s="455" t="s">
        <v>4913</v>
      </c>
      <c r="S42" s="455" t="s">
        <v>4913</v>
      </c>
      <c r="T42" s="455" t="s">
        <v>4913</v>
      </c>
      <c r="U42" s="455" t="s">
        <v>4913</v>
      </c>
      <c r="V42" s="455" t="s">
        <v>4913</v>
      </c>
      <c r="W42" s="455" t="s">
        <v>4913</v>
      </c>
      <c r="X42" s="455" t="s">
        <v>4913</v>
      </c>
      <c r="Y42" s="455" t="s">
        <v>4913</v>
      </c>
      <c r="Z42" s="455" t="s">
        <v>4913</v>
      </c>
      <c r="AA42" s="455" t="s">
        <v>4913</v>
      </c>
      <c r="AB42" s="455" t="s">
        <v>4913</v>
      </c>
      <c r="AC42" s="456" t="s">
        <v>1737</v>
      </c>
      <c r="AD42" s="459" t="s">
        <v>12544</v>
      </c>
      <c r="AE42" s="454" t="s">
        <v>12545</v>
      </c>
      <c r="AF42" s="463" t="s">
        <v>12705</v>
      </c>
      <c r="AG42" s="460" t="s">
        <v>12638</v>
      </c>
      <c r="AH42" s="460" t="s">
        <v>12690</v>
      </c>
    </row>
    <row r="43" spans="1:34">
      <c r="A43" s="453" t="s">
        <v>12684</v>
      </c>
      <c r="B43" s="454" t="s">
        <v>12706</v>
      </c>
      <c r="C43" s="454" t="s">
        <v>12686</v>
      </c>
      <c r="D43" s="454" t="s">
        <v>12707</v>
      </c>
      <c r="E43" s="454" t="s">
        <v>1743</v>
      </c>
      <c r="F43" s="459" t="s">
        <v>1736</v>
      </c>
      <c r="G43" s="455" t="s">
        <v>4913</v>
      </c>
      <c r="H43" s="455" t="s">
        <v>4913</v>
      </c>
      <c r="I43" s="455" t="s">
        <v>4913</v>
      </c>
      <c r="J43" s="455" t="s">
        <v>4913</v>
      </c>
      <c r="K43" s="455" t="s">
        <v>4913</v>
      </c>
      <c r="L43" s="455" t="s">
        <v>4913</v>
      </c>
      <c r="M43" s="455" t="s">
        <v>4913</v>
      </c>
      <c r="N43" s="455" t="s">
        <v>4913</v>
      </c>
      <c r="O43" s="455" t="s">
        <v>4913</v>
      </c>
      <c r="P43" s="455" t="s">
        <v>4913</v>
      </c>
      <c r="Q43" s="455" t="s">
        <v>4913</v>
      </c>
      <c r="R43" s="455" t="s">
        <v>4913</v>
      </c>
      <c r="S43" s="455" t="s">
        <v>4913</v>
      </c>
      <c r="T43" s="455" t="s">
        <v>4913</v>
      </c>
      <c r="U43" s="455" t="s">
        <v>4913</v>
      </c>
      <c r="V43" s="455" t="s">
        <v>4913</v>
      </c>
      <c r="W43" s="455" t="s">
        <v>4913</v>
      </c>
      <c r="X43" s="455" t="s">
        <v>4913</v>
      </c>
      <c r="Y43" s="455" t="s">
        <v>4913</v>
      </c>
      <c r="Z43" s="455" t="s">
        <v>4913</v>
      </c>
      <c r="AA43" s="455" t="s">
        <v>4913</v>
      </c>
      <c r="AB43" s="455" t="s">
        <v>4913</v>
      </c>
      <c r="AC43" s="456" t="s">
        <v>1737</v>
      </c>
      <c r="AD43" s="459" t="s">
        <v>12544</v>
      </c>
      <c r="AE43" s="454" t="s">
        <v>12545</v>
      </c>
      <c r="AF43" s="461" t="s">
        <v>12696</v>
      </c>
      <c r="AG43" s="460" t="s">
        <v>12638</v>
      </c>
      <c r="AH43" s="460" t="s">
        <v>12690</v>
      </c>
    </row>
    <row r="44" spans="1:34">
      <c r="A44" s="453" t="s">
        <v>12684</v>
      </c>
      <c r="B44" s="454" t="s">
        <v>12708</v>
      </c>
      <c r="C44" s="454" t="s">
        <v>12686</v>
      </c>
      <c r="D44" s="454" t="s">
        <v>12709</v>
      </c>
      <c r="E44" s="454" t="s">
        <v>1732</v>
      </c>
      <c r="F44" s="459" t="s">
        <v>1736</v>
      </c>
      <c r="G44" s="459" t="s">
        <v>1736</v>
      </c>
      <c r="H44" s="455" t="s">
        <v>4913</v>
      </c>
      <c r="I44" s="455" t="s">
        <v>4913</v>
      </c>
      <c r="J44" s="455" t="s">
        <v>4913</v>
      </c>
      <c r="K44" s="455" t="s">
        <v>4913</v>
      </c>
      <c r="L44" s="455" t="s">
        <v>4913</v>
      </c>
      <c r="M44" s="455" t="s">
        <v>4913</v>
      </c>
      <c r="N44" s="459" t="s">
        <v>1736</v>
      </c>
      <c r="O44" s="455" t="s">
        <v>4913</v>
      </c>
      <c r="P44" s="455" t="s">
        <v>4913</v>
      </c>
      <c r="Q44" s="455" t="s">
        <v>4913</v>
      </c>
      <c r="R44" s="455" t="s">
        <v>4913</v>
      </c>
      <c r="S44" s="455" t="s">
        <v>4913</v>
      </c>
      <c r="T44" s="455" t="s">
        <v>4913</v>
      </c>
      <c r="U44" s="455" t="s">
        <v>4913</v>
      </c>
      <c r="V44" s="455" t="s">
        <v>4913</v>
      </c>
      <c r="W44" s="459" t="s">
        <v>1736</v>
      </c>
      <c r="X44" s="459" t="s">
        <v>1736</v>
      </c>
      <c r="Y44" s="455" t="s">
        <v>4913</v>
      </c>
      <c r="Z44" s="455" t="s">
        <v>4913</v>
      </c>
      <c r="AA44" s="455" t="s">
        <v>4913</v>
      </c>
      <c r="AB44" s="455" t="s">
        <v>4913</v>
      </c>
      <c r="AC44" s="456" t="s">
        <v>1737</v>
      </c>
      <c r="AD44" s="459" t="s">
        <v>12544</v>
      </c>
      <c r="AE44" s="454" t="s">
        <v>12688</v>
      </c>
      <c r="AF44" s="454" t="s">
        <v>12689</v>
      </c>
      <c r="AG44" s="460" t="s">
        <v>12638</v>
      </c>
      <c r="AH44" s="460" t="s">
        <v>12690</v>
      </c>
    </row>
    <row r="45" spans="1:34">
      <c r="A45" s="453" t="s">
        <v>12684</v>
      </c>
      <c r="B45" s="454" t="s">
        <v>12710</v>
      </c>
      <c r="C45" s="454" t="s">
        <v>12686</v>
      </c>
      <c r="D45" s="454" t="s">
        <v>12711</v>
      </c>
      <c r="E45" s="454" t="s">
        <v>1743</v>
      </c>
      <c r="F45" s="459" t="s">
        <v>1736</v>
      </c>
      <c r="G45" s="459" t="s">
        <v>1736</v>
      </c>
      <c r="H45" s="455" t="s">
        <v>4913</v>
      </c>
      <c r="I45" s="455" t="s">
        <v>4913</v>
      </c>
      <c r="J45" s="455" t="s">
        <v>4913</v>
      </c>
      <c r="K45" s="455" t="s">
        <v>4913</v>
      </c>
      <c r="L45" s="455" t="s">
        <v>4913</v>
      </c>
      <c r="M45" s="455" t="s">
        <v>4913</v>
      </c>
      <c r="N45" s="455" t="s">
        <v>4913</v>
      </c>
      <c r="O45" s="455" t="s">
        <v>4913</v>
      </c>
      <c r="P45" s="455" t="s">
        <v>4913</v>
      </c>
      <c r="Q45" s="455" t="s">
        <v>4913</v>
      </c>
      <c r="R45" s="455" t="s">
        <v>4913</v>
      </c>
      <c r="S45" s="455" t="s">
        <v>4913</v>
      </c>
      <c r="T45" s="455" t="s">
        <v>4913</v>
      </c>
      <c r="U45" s="455" t="s">
        <v>4913</v>
      </c>
      <c r="V45" s="455" t="s">
        <v>4913</v>
      </c>
      <c r="W45" s="455" t="s">
        <v>4913</v>
      </c>
      <c r="X45" s="455" t="s">
        <v>4913</v>
      </c>
      <c r="Y45" s="455" t="s">
        <v>4913</v>
      </c>
      <c r="Z45" s="455" t="s">
        <v>4913</v>
      </c>
      <c r="AA45" s="455" t="s">
        <v>4913</v>
      </c>
      <c r="AB45" s="455" t="s">
        <v>4913</v>
      </c>
      <c r="AC45" s="456" t="s">
        <v>1737</v>
      </c>
      <c r="AD45" s="459" t="s">
        <v>12544</v>
      </c>
      <c r="AE45" s="454" t="s">
        <v>12545</v>
      </c>
      <c r="AF45" s="461" t="s">
        <v>12699</v>
      </c>
      <c r="AG45" s="460" t="s">
        <v>12638</v>
      </c>
      <c r="AH45" s="460" t="s">
        <v>12690</v>
      </c>
    </row>
    <row r="46" spans="1:34">
      <c r="A46" s="453" t="s">
        <v>12684</v>
      </c>
      <c r="B46" s="454" t="s">
        <v>12712</v>
      </c>
      <c r="C46" s="454" t="s">
        <v>12686</v>
      </c>
      <c r="D46" s="454" t="s">
        <v>12713</v>
      </c>
      <c r="E46" s="454" t="s">
        <v>1743</v>
      </c>
      <c r="F46" s="459" t="s">
        <v>1736</v>
      </c>
      <c r="G46" s="455" t="s">
        <v>4913</v>
      </c>
      <c r="H46" s="455" t="s">
        <v>4913</v>
      </c>
      <c r="I46" s="455" t="s">
        <v>4913</v>
      </c>
      <c r="J46" s="455" t="s">
        <v>4913</v>
      </c>
      <c r="K46" s="455" t="s">
        <v>4913</v>
      </c>
      <c r="L46" s="455" t="s">
        <v>4913</v>
      </c>
      <c r="M46" s="455" t="s">
        <v>4913</v>
      </c>
      <c r="N46" s="455" t="s">
        <v>4913</v>
      </c>
      <c r="O46" s="455" t="s">
        <v>4913</v>
      </c>
      <c r="P46" s="455" t="s">
        <v>4913</v>
      </c>
      <c r="Q46" s="455" t="s">
        <v>4913</v>
      </c>
      <c r="R46" s="455" t="s">
        <v>4913</v>
      </c>
      <c r="S46" s="455" t="s">
        <v>4913</v>
      </c>
      <c r="T46" s="455" t="s">
        <v>4913</v>
      </c>
      <c r="U46" s="455" t="s">
        <v>4913</v>
      </c>
      <c r="V46" s="455" t="s">
        <v>4913</v>
      </c>
      <c r="W46" s="455" t="s">
        <v>4913</v>
      </c>
      <c r="X46" s="455" t="s">
        <v>4913</v>
      </c>
      <c r="Y46" s="455" t="s">
        <v>4913</v>
      </c>
      <c r="Z46" s="455" t="s">
        <v>4913</v>
      </c>
      <c r="AA46" s="455" t="s">
        <v>4913</v>
      </c>
      <c r="AB46" s="455" t="s">
        <v>4913</v>
      </c>
      <c r="AC46" s="456" t="s">
        <v>1737</v>
      </c>
      <c r="AD46" s="459" t="s">
        <v>12544</v>
      </c>
      <c r="AE46" s="454" t="s">
        <v>12545</v>
      </c>
      <c r="AF46" s="454" t="s">
        <v>12693</v>
      </c>
      <c r="AG46" s="460" t="s">
        <v>12638</v>
      </c>
      <c r="AH46" s="460" t="s">
        <v>12690</v>
      </c>
    </row>
    <row r="47" spans="1:34">
      <c r="A47" s="453" t="s">
        <v>12714</v>
      </c>
      <c r="B47" s="454" t="s">
        <v>12715</v>
      </c>
      <c r="C47" s="454" t="s">
        <v>12716</v>
      </c>
      <c r="D47" s="454" t="s">
        <v>12717</v>
      </c>
      <c r="E47" s="454" t="s">
        <v>1732</v>
      </c>
      <c r="F47" s="459" t="s">
        <v>1736</v>
      </c>
      <c r="G47" s="459" t="s">
        <v>1736</v>
      </c>
      <c r="H47" s="455" t="s">
        <v>4913</v>
      </c>
      <c r="I47" s="455" t="s">
        <v>4913</v>
      </c>
      <c r="J47" s="455" t="s">
        <v>4913</v>
      </c>
      <c r="K47" s="455" t="s">
        <v>4913</v>
      </c>
      <c r="L47" s="455" t="s">
        <v>4913</v>
      </c>
      <c r="M47" s="455" t="s">
        <v>4913</v>
      </c>
      <c r="N47" s="455" t="s">
        <v>4913</v>
      </c>
      <c r="O47" s="455" t="s">
        <v>4913</v>
      </c>
      <c r="P47" s="455" t="s">
        <v>4913</v>
      </c>
      <c r="Q47" s="455" t="s">
        <v>4913</v>
      </c>
      <c r="R47" s="455" t="s">
        <v>4913</v>
      </c>
      <c r="S47" s="455" t="s">
        <v>4913</v>
      </c>
      <c r="T47" s="455" t="s">
        <v>4913</v>
      </c>
      <c r="U47" s="455" t="s">
        <v>4913</v>
      </c>
      <c r="V47" s="455" t="s">
        <v>4913</v>
      </c>
      <c r="W47" s="455" t="s">
        <v>4913</v>
      </c>
      <c r="X47" s="455" t="s">
        <v>4913</v>
      </c>
      <c r="Y47" s="455" t="s">
        <v>4913</v>
      </c>
      <c r="Z47" s="455" t="s">
        <v>4913</v>
      </c>
      <c r="AA47" s="455" t="s">
        <v>4913</v>
      </c>
      <c r="AB47" s="455" t="s">
        <v>4913</v>
      </c>
      <c r="AC47" s="456" t="s">
        <v>1737</v>
      </c>
      <c r="AD47" s="459" t="s">
        <v>12544</v>
      </c>
      <c r="AE47" s="454" t="s">
        <v>12545</v>
      </c>
      <c r="AF47" s="460" t="s">
        <v>12718</v>
      </c>
      <c r="AG47" s="460" t="s">
        <v>12719</v>
      </c>
      <c r="AH47" s="460" t="s">
        <v>12720</v>
      </c>
    </row>
    <row r="48" spans="1:34">
      <c r="A48" s="453" t="s">
        <v>12714</v>
      </c>
      <c r="B48" s="454" t="s">
        <v>12721</v>
      </c>
      <c r="C48" s="454" t="s">
        <v>12716</v>
      </c>
      <c r="D48" s="454" t="s">
        <v>12722</v>
      </c>
      <c r="E48" s="454" t="s">
        <v>1743</v>
      </c>
      <c r="F48" s="459" t="s">
        <v>1736</v>
      </c>
      <c r="G48" s="455" t="s">
        <v>4913</v>
      </c>
      <c r="H48" s="455" t="s">
        <v>4913</v>
      </c>
      <c r="I48" s="455" t="s">
        <v>4913</v>
      </c>
      <c r="J48" s="455" t="s">
        <v>4913</v>
      </c>
      <c r="K48" s="455" t="s">
        <v>4913</v>
      </c>
      <c r="L48" s="455" t="s">
        <v>4913</v>
      </c>
      <c r="M48" s="455" t="s">
        <v>4913</v>
      </c>
      <c r="N48" s="455" t="s">
        <v>4913</v>
      </c>
      <c r="O48" s="455" t="s">
        <v>4913</v>
      </c>
      <c r="P48" s="455" t="s">
        <v>4913</v>
      </c>
      <c r="Q48" s="455" t="s">
        <v>4913</v>
      </c>
      <c r="R48" s="455" t="s">
        <v>4913</v>
      </c>
      <c r="S48" s="455" t="s">
        <v>4913</v>
      </c>
      <c r="T48" s="455" t="s">
        <v>4913</v>
      </c>
      <c r="U48" s="455" t="s">
        <v>4913</v>
      </c>
      <c r="V48" s="455" t="s">
        <v>4913</v>
      </c>
      <c r="W48" s="455" t="s">
        <v>4913</v>
      </c>
      <c r="X48" s="455" t="s">
        <v>4913</v>
      </c>
      <c r="Y48" s="455" t="s">
        <v>4913</v>
      </c>
      <c r="Z48" s="455" t="s">
        <v>4913</v>
      </c>
      <c r="AA48" s="455" t="s">
        <v>4913</v>
      </c>
      <c r="AB48" s="455" t="s">
        <v>4913</v>
      </c>
      <c r="AC48" s="456" t="s">
        <v>1737</v>
      </c>
      <c r="AD48" s="459" t="s">
        <v>12544</v>
      </c>
      <c r="AE48" s="454" t="s">
        <v>12545</v>
      </c>
      <c r="AF48" s="460" t="s">
        <v>12723</v>
      </c>
      <c r="AG48" s="460" t="s">
        <v>12719</v>
      </c>
      <c r="AH48" s="460" t="s">
        <v>12720</v>
      </c>
    </row>
    <row r="49" spans="1:34">
      <c r="A49" s="453" t="s">
        <v>12724</v>
      </c>
      <c r="B49" s="454" t="s">
        <v>12725</v>
      </c>
      <c r="C49" s="454" t="s">
        <v>12726</v>
      </c>
      <c r="D49" s="454" t="s">
        <v>12727</v>
      </c>
      <c r="E49" s="454" t="s">
        <v>1732</v>
      </c>
      <c r="F49" s="459" t="s">
        <v>1736</v>
      </c>
      <c r="G49" s="459" t="s">
        <v>1736</v>
      </c>
      <c r="H49" s="455" t="s">
        <v>4913</v>
      </c>
      <c r="I49" s="455" t="s">
        <v>4913</v>
      </c>
      <c r="J49" s="455" t="s">
        <v>4913</v>
      </c>
      <c r="K49" s="455" t="s">
        <v>4913</v>
      </c>
      <c r="L49" s="455" t="s">
        <v>4913</v>
      </c>
      <c r="M49" s="455" t="s">
        <v>4913</v>
      </c>
      <c r="N49" s="455" t="s">
        <v>4913</v>
      </c>
      <c r="O49" s="455" t="s">
        <v>4913</v>
      </c>
      <c r="P49" s="455" t="s">
        <v>4913</v>
      </c>
      <c r="Q49" s="455" t="s">
        <v>4913</v>
      </c>
      <c r="R49" s="455" t="s">
        <v>4913</v>
      </c>
      <c r="S49" s="455" t="s">
        <v>4913</v>
      </c>
      <c r="T49" s="455" t="s">
        <v>4913</v>
      </c>
      <c r="U49" s="455" t="s">
        <v>4913</v>
      </c>
      <c r="V49" s="455" t="s">
        <v>4913</v>
      </c>
      <c r="W49" s="455" t="s">
        <v>4913</v>
      </c>
      <c r="X49" s="455" t="s">
        <v>4913</v>
      </c>
      <c r="Y49" s="455" t="s">
        <v>4913</v>
      </c>
      <c r="Z49" s="455" t="s">
        <v>4913</v>
      </c>
      <c r="AA49" s="455" t="s">
        <v>4913</v>
      </c>
      <c r="AB49" s="455" t="s">
        <v>4913</v>
      </c>
      <c r="AC49" s="456" t="s">
        <v>1737</v>
      </c>
      <c r="AD49" s="459" t="s">
        <v>12544</v>
      </c>
      <c r="AE49" s="454" t="s">
        <v>12545</v>
      </c>
      <c r="AF49" s="460" t="s">
        <v>12728</v>
      </c>
      <c r="AG49" s="460" t="s">
        <v>12729</v>
      </c>
      <c r="AH49" s="460" t="s">
        <v>12730</v>
      </c>
    </row>
    <row r="50" spans="1:34">
      <c r="A50" s="453" t="s">
        <v>12724</v>
      </c>
      <c r="B50" s="454" t="s">
        <v>12731</v>
      </c>
      <c r="C50" s="454" t="s">
        <v>12726</v>
      </c>
      <c r="D50" s="454" t="s">
        <v>12732</v>
      </c>
      <c r="E50" s="454" t="s">
        <v>1743</v>
      </c>
      <c r="F50" s="459" t="s">
        <v>1736</v>
      </c>
      <c r="G50" s="459" t="s">
        <v>1736</v>
      </c>
      <c r="H50" s="455" t="s">
        <v>4913</v>
      </c>
      <c r="I50" s="455" t="s">
        <v>4913</v>
      </c>
      <c r="J50" s="455" t="s">
        <v>4913</v>
      </c>
      <c r="K50" s="455" t="s">
        <v>4913</v>
      </c>
      <c r="L50" s="455" t="s">
        <v>4913</v>
      </c>
      <c r="M50" s="455" t="s">
        <v>4913</v>
      </c>
      <c r="N50" s="455" t="s">
        <v>4913</v>
      </c>
      <c r="O50" s="455" t="s">
        <v>4913</v>
      </c>
      <c r="P50" s="455" t="s">
        <v>4913</v>
      </c>
      <c r="Q50" s="455" t="s">
        <v>4913</v>
      </c>
      <c r="R50" s="455" t="s">
        <v>4913</v>
      </c>
      <c r="S50" s="455" t="s">
        <v>4913</v>
      </c>
      <c r="T50" s="455" t="s">
        <v>4913</v>
      </c>
      <c r="U50" s="455" t="s">
        <v>4913</v>
      </c>
      <c r="V50" s="455" t="s">
        <v>4913</v>
      </c>
      <c r="W50" s="455" t="s">
        <v>4913</v>
      </c>
      <c r="X50" s="455" t="s">
        <v>4913</v>
      </c>
      <c r="Y50" s="455" t="s">
        <v>4913</v>
      </c>
      <c r="Z50" s="455" t="s">
        <v>4913</v>
      </c>
      <c r="AA50" s="455" t="s">
        <v>4913</v>
      </c>
      <c r="AB50" s="455" t="s">
        <v>4913</v>
      </c>
      <c r="AC50" s="456" t="s">
        <v>1737</v>
      </c>
      <c r="AD50" s="459" t="s">
        <v>12544</v>
      </c>
      <c r="AE50" s="454" t="s">
        <v>12545</v>
      </c>
      <c r="AF50" s="460" t="s">
        <v>12733</v>
      </c>
      <c r="AG50" s="460" t="s">
        <v>12729</v>
      </c>
      <c r="AH50" s="460" t="s">
        <v>12730</v>
      </c>
    </row>
    <row r="51" spans="1:34">
      <c r="A51" s="453" t="s">
        <v>12734</v>
      </c>
      <c r="B51" s="454" t="s">
        <v>12735</v>
      </c>
      <c r="C51" s="454" t="s">
        <v>12736</v>
      </c>
      <c r="D51" s="454" t="s">
        <v>12737</v>
      </c>
      <c r="E51" s="454" t="s">
        <v>1732</v>
      </c>
      <c r="F51" s="459" t="s">
        <v>1736</v>
      </c>
      <c r="G51" s="459" t="s">
        <v>1736</v>
      </c>
      <c r="H51" s="455" t="s">
        <v>4913</v>
      </c>
      <c r="I51" s="455" t="s">
        <v>4913</v>
      </c>
      <c r="J51" s="455" t="s">
        <v>4913</v>
      </c>
      <c r="K51" s="455" t="s">
        <v>4913</v>
      </c>
      <c r="L51" s="455" t="s">
        <v>4913</v>
      </c>
      <c r="M51" s="455" t="s">
        <v>4913</v>
      </c>
      <c r="N51" s="459" t="s">
        <v>1736</v>
      </c>
      <c r="O51" s="455" t="s">
        <v>4913</v>
      </c>
      <c r="P51" s="455" t="s">
        <v>4913</v>
      </c>
      <c r="Q51" s="455" t="s">
        <v>4913</v>
      </c>
      <c r="R51" s="455" t="s">
        <v>4913</v>
      </c>
      <c r="S51" s="455" t="s">
        <v>4913</v>
      </c>
      <c r="T51" s="455" t="s">
        <v>4913</v>
      </c>
      <c r="U51" s="455" t="s">
        <v>4913</v>
      </c>
      <c r="V51" s="455" t="s">
        <v>4913</v>
      </c>
      <c r="W51" s="459" t="s">
        <v>1736</v>
      </c>
      <c r="X51" s="455" t="s">
        <v>4913</v>
      </c>
      <c r="Y51" s="455" t="s">
        <v>4913</v>
      </c>
      <c r="Z51" s="455" t="s">
        <v>4913</v>
      </c>
      <c r="AA51" s="455" t="s">
        <v>4913</v>
      </c>
      <c r="AB51" s="455" t="s">
        <v>4913</v>
      </c>
      <c r="AC51" s="456" t="s">
        <v>1737</v>
      </c>
      <c r="AD51" s="459" t="s">
        <v>12544</v>
      </c>
      <c r="AE51" s="454" t="s">
        <v>12688</v>
      </c>
      <c r="AF51" s="454" t="s">
        <v>12738</v>
      </c>
      <c r="AG51" s="460" t="s">
        <v>12739</v>
      </c>
      <c r="AH51" s="460" t="s">
        <v>12740</v>
      </c>
    </row>
    <row r="52" spans="1:34">
      <c r="A52" s="453" t="s">
        <v>12734</v>
      </c>
      <c r="B52" s="454" t="s">
        <v>12741</v>
      </c>
      <c r="C52" s="454" t="s">
        <v>12742</v>
      </c>
      <c r="D52" s="454" t="s">
        <v>12743</v>
      </c>
      <c r="E52" s="454" t="s">
        <v>1743</v>
      </c>
      <c r="F52" s="459" t="s">
        <v>1736</v>
      </c>
      <c r="G52" s="459" t="s">
        <v>1736</v>
      </c>
      <c r="H52" s="455" t="s">
        <v>4913</v>
      </c>
      <c r="I52" s="455" t="s">
        <v>4913</v>
      </c>
      <c r="J52" s="455" t="s">
        <v>4913</v>
      </c>
      <c r="K52" s="455" t="s">
        <v>4913</v>
      </c>
      <c r="L52" s="455" t="s">
        <v>4913</v>
      </c>
      <c r="M52" s="455" t="s">
        <v>4913</v>
      </c>
      <c r="N52" s="455" t="s">
        <v>4913</v>
      </c>
      <c r="O52" s="455" t="s">
        <v>4913</v>
      </c>
      <c r="P52" s="455" t="s">
        <v>4913</v>
      </c>
      <c r="Q52" s="455" t="s">
        <v>4913</v>
      </c>
      <c r="R52" s="455" t="s">
        <v>4913</v>
      </c>
      <c r="S52" s="455" t="s">
        <v>4913</v>
      </c>
      <c r="T52" s="455" t="s">
        <v>4913</v>
      </c>
      <c r="U52" s="455" t="s">
        <v>4913</v>
      </c>
      <c r="V52" s="455" t="s">
        <v>4913</v>
      </c>
      <c r="W52" s="455" t="s">
        <v>4913</v>
      </c>
      <c r="X52" s="455" t="s">
        <v>4913</v>
      </c>
      <c r="Y52" s="455" t="s">
        <v>4913</v>
      </c>
      <c r="Z52" s="455" t="s">
        <v>4913</v>
      </c>
      <c r="AA52" s="455" t="s">
        <v>4913</v>
      </c>
      <c r="AB52" s="455" t="s">
        <v>4913</v>
      </c>
      <c r="AC52" s="456" t="s">
        <v>1737</v>
      </c>
      <c r="AD52" s="459" t="s">
        <v>12544</v>
      </c>
      <c r="AE52" s="454" t="s">
        <v>12545</v>
      </c>
      <c r="AF52" s="454" t="s">
        <v>12744</v>
      </c>
      <c r="AG52" s="460" t="s">
        <v>12739</v>
      </c>
      <c r="AH52" s="460" t="s">
        <v>12740</v>
      </c>
    </row>
    <row r="53" spans="1:34">
      <c r="A53" s="453" t="s">
        <v>12734</v>
      </c>
      <c r="B53" s="454" t="s">
        <v>12745</v>
      </c>
      <c r="C53" s="454" t="s">
        <v>12742</v>
      </c>
      <c r="D53" s="454" t="s">
        <v>12746</v>
      </c>
      <c r="E53" s="454" t="s">
        <v>1743</v>
      </c>
      <c r="F53" s="459" t="s">
        <v>1736</v>
      </c>
      <c r="G53" s="459" t="s">
        <v>1736</v>
      </c>
      <c r="H53" s="455" t="s">
        <v>4913</v>
      </c>
      <c r="I53" s="455" t="s">
        <v>4913</v>
      </c>
      <c r="J53" s="455" t="s">
        <v>4913</v>
      </c>
      <c r="K53" s="455" t="s">
        <v>4913</v>
      </c>
      <c r="L53" s="455" t="s">
        <v>4913</v>
      </c>
      <c r="M53" s="455" t="s">
        <v>4913</v>
      </c>
      <c r="N53" s="455" t="s">
        <v>4913</v>
      </c>
      <c r="O53" s="455" t="s">
        <v>4913</v>
      </c>
      <c r="P53" s="455" t="s">
        <v>4913</v>
      </c>
      <c r="Q53" s="455" t="s">
        <v>4913</v>
      </c>
      <c r="R53" s="455" t="s">
        <v>4913</v>
      </c>
      <c r="S53" s="455" t="s">
        <v>4913</v>
      </c>
      <c r="T53" s="455" t="s">
        <v>4913</v>
      </c>
      <c r="U53" s="455" t="s">
        <v>4913</v>
      </c>
      <c r="V53" s="455" t="s">
        <v>4913</v>
      </c>
      <c r="W53" s="455" t="s">
        <v>4913</v>
      </c>
      <c r="X53" s="455" t="s">
        <v>4913</v>
      </c>
      <c r="Y53" s="455" t="s">
        <v>4913</v>
      </c>
      <c r="Z53" s="455" t="s">
        <v>4913</v>
      </c>
      <c r="AA53" s="455" t="s">
        <v>4913</v>
      </c>
      <c r="AB53" s="455" t="s">
        <v>4913</v>
      </c>
      <c r="AC53" s="456" t="s">
        <v>1737</v>
      </c>
      <c r="AD53" s="459" t="s">
        <v>12544</v>
      </c>
      <c r="AE53" s="454" t="s">
        <v>12545</v>
      </c>
      <c r="AF53" s="454" t="s">
        <v>12744</v>
      </c>
      <c r="AG53" s="460" t="s">
        <v>12739</v>
      </c>
      <c r="AH53" s="460" t="s">
        <v>12740</v>
      </c>
    </row>
    <row r="54" spans="1:34">
      <c r="A54" s="453" t="s">
        <v>12747</v>
      </c>
      <c r="B54" s="454" t="s">
        <v>12748</v>
      </c>
      <c r="C54" s="454" t="s">
        <v>12749</v>
      </c>
      <c r="D54" s="454" t="s">
        <v>12750</v>
      </c>
      <c r="E54" s="454" t="s">
        <v>1732</v>
      </c>
      <c r="F54" s="459" t="s">
        <v>1736</v>
      </c>
      <c r="G54" s="455" t="s">
        <v>4913</v>
      </c>
      <c r="H54" s="455" t="s">
        <v>4913</v>
      </c>
      <c r="I54" s="455" t="s">
        <v>4913</v>
      </c>
      <c r="J54" s="455" t="s">
        <v>4913</v>
      </c>
      <c r="K54" s="455" t="s">
        <v>4913</v>
      </c>
      <c r="L54" s="455" t="s">
        <v>4913</v>
      </c>
      <c r="M54" s="455" t="s">
        <v>4913</v>
      </c>
      <c r="N54" s="459" t="s">
        <v>1736</v>
      </c>
      <c r="O54" s="455" t="s">
        <v>4913</v>
      </c>
      <c r="P54" s="455" t="s">
        <v>4913</v>
      </c>
      <c r="Q54" s="455" t="s">
        <v>4913</v>
      </c>
      <c r="R54" s="455" t="s">
        <v>4913</v>
      </c>
      <c r="S54" s="455" t="s">
        <v>4913</v>
      </c>
      <c r="T54" s="455" t="s">
        <v>4913</v>
      </c>
      <c r="U54" s="455" t="s">
        <v>4913</v>
      </c>
      <c r="V54" s="455" t="s">
        <v>4913</v>
      </c>
      <c r="W54" s="459" t="s">
        <v>1736</v>
      </c>
      <c r="X54" s="455" t="s">
        <v>4913</v>
      </c>
      <c r="Y54" s="455" t="s">
        <v>4913</v>
      </c>
      <c r="Z54" s="455" t="s">
        <v>4913</v>
      </c>
      <c r="AA54" s="455" t="s">
        <v>4913</v>
      </c>
      <c r="AB54" s="455" t="s">
        <v>4913</v>
      </c>
      <c r="AC54" s="456" t="s">
        <v>1737</v>
      </c>
      <c r="AD54" s="459" t="s">
        <v>12544</v>
      </c>
      <c r="AE54" s="454" t="s">
        <v>12688</v>
      </c>
      <c r="AF54" s="454" t="s">
        <v>12751</v>
      </c>
      <c r="AG54" s="460" t="s">
        <v>12752</v>
      </c>
      <c r="AH54" s="460" t="s">
        <v>12753</v>
      </c>
    </row>
    <row r="55" spans="1:34">
      <c r="A55" s="453" t="s">
        <v>12754</v>
      </c>
      <c r="B55" s="454" t="s">
        <v>12755</v>
      </c>
      <c r="C55" s="454" t="s">
        <v>12756</v>
      </c>
      <c r="D55" s="454" t="s">
        <v>12757</v>
      </c>
      <c r="E55" s="454" t="s">
        <v>1732</v>
      </c>
      <c r="F55" s="459" t="s">
        <v>1736</v>
      </c>
      <c r="G55" s="459" t="s">
        <v>1736</v>
      </c>
      <c r="H55" s="455" t="s">
        <v>4913</v>
      </c>
      <c r="I55" s="455" t="s">
        <v>4913</v>
      </c>
      <c r="J55" s="455" t="s">
        <v>4913</v>
      </c>
      <c r="K55" s="455" t="s">
        <v>4913</v>
      </c>
      <c r="L55" s="455" t="s">
        <v>4913</v>
      </c>
      <c r="M55" s="455" t="s">
        <v>4913</v>
      </c>
      <c r="N55" s="459" t="s">
        <v>1736</v>
      </c>
      <c r="O55" s="455" t="s">
        <v>4913</v>
      </c>
      <c r="P55" s="455" t="s">
        <v>4913</v>
      </c>
      <c r="Q55" s="455" t="s">
        <v>4913</v>
      </c>
      <c r="R55" s="455" t="s">
        <v>4913</v>
      </c>
      <c r="S55" s="455" t="s">
        <v>4913</v>
      </c>
      <c r="T55" s="455" t="s">
        <v>4913</v>
      </c>
      <c r="U55" s="455" t="s">
        <v>4913</v>
      </c>
      <c r="V55" s="455" t="s">
        <v>4913</v>
      </c>
      <c r="W55" s="459" t="s">
        <v>1736</v>
      </c>
      <c r="X55" s="455" t="s">
        <v>4913</v>
      </c>
      <c r="Y55" s="455" t="s">
        <v>4913</v>
      </c>
      <c r="Z55" s="455" t="s">
        <v>4913</v>
      </c>
      <c r="AA55" s="455" t="s">
        <v>4913</v>
      </c>
      <c r="AB55" s="455" t="s">
        <v>4913</v>
      </c>
      <c r="AC55" s="456" t="s">
        <v>1737</v>
      </c>
      <c r="AD55" s="459" t="s">
        <v>12544</v>
      </c>
      <c r="AE55" s="454" t="s">
        <v>12688</v>
      </c>
      <c r="AF55" s="460" t="s">
        <v>12758</v>
      </c>
      <c r="AG55" s="460" t="s">
        <v>12616</v>
      </c>
      <c r="AH55" s="460" t="s">
        <v>12759</v>
      </c>
    </row>
    <row r="56" spans="1:34">
      <c r="A56" s="453" t="s">
        <v>12754</v>
      </c>
      <c r="B56" s="454" t="s">
        <v>12760</v>
      </c>
      <c r="C56" s="454" t="s">
        <v>12756</v>
      </c>
      <c r="D56" s="454" t="s">
        <v>12761</v>
      </c>
      <c r="E56" s="454" t="s">
        <v>1743</v>
      </c>
      <c r="F56" s="459" t="s">
        <v>1736</v>
      </c>
      <c r="G56" s="455" t="s">
        <v>4913</v>
      </c>
      <c r="H56" s="455" t="s">
        <v>4913</v>
      </c>
      <c r="I56" s="455" t="s">
        <v>4913</v>
      </c>
      <c r="J56" s="455" t="s">
        <v>4913</v>
      </c>
      <c r="K56" s="455" t="s">
        <v>4913</v>
      </c>
      <c r="L56" s="455" t="s">
        <v>4913</v>
      </c>
      <c r="M56" s="455" t="s">
        <v>4913</v>
      </c>
      <c r="N56" s="455" t="s">
        <v>4913</v>
      </c>
      <c r="O56" s="455" t="s">
        <v>4913</v>
      </c>
      <c r="P56" s="455" t="s">
        <v>4913</v>
      </c>
      <c r="Q56" s="455" t="s">
        <v>4913</v>
      </c>
      <c r="R56" s="455" t="s">
        <v>4913</v>
      </c>
      <c r="S56" s="455" t="s">
        <v>4913</v>
      </c>
      <c r="T56" s="455" t="s">
        <v>4913</v>
      </c>
      <c r="U56" s="455" t="s">
        <v>4913</v>
      </c>
      <c r="V56" s="455" t="s">
        <v>4913</v>
      </c>
      <c r="W56" s="455" t="s">
        <v>4913</v>
      </c>
      <c r="X56" s="455" t="s">
        <v>4913</v>
      </c>
      <c r="Y56" s="455" t="s">
        <v>4913</v>
      </c>
      <c r="Z56" s="455" t="s">
        <v>4913</v>
      </c>
      <c r="AA56" s="455" t="s">
        <v>4913</v>
      </c>
      <c r="AB56" s="455" t="s">
        <v>4913</v>
      </c>
      <c r="AC56" s="456" t="s">
        <v>1737</v>
      </c>
      <c r="AD56" s="459" t="s">
        <v>12544</v>
      </c>
      <c r="AE56" s="454" t="s">
        <v>12545</v>
      </c>
      <c r="AF56" s="454" t="s">
        <v>12762</v>
      </c>
      <c r="AG56" s="460" t="s">
        <v>12616</v>
      </c>
      <c r="AH56" s="460" t="s">
        <v>12759</v>
      </c>
    </row>
    <row r="57" spans="1:34">
      <c r="A57" s="453" t="s">
        <v>12754</v>
      </c>
      <c r="B57" s="454" t="s">
        <v>12763</v>
      </c>
      <c r="C57" s="454" t="s">
        <v>12756</v>
      </c>
      <c r="D57" s="454" t="s">
        <v>12764</v>
      </c>
      <c r="E57" s="454" t="s">
        <v>1743</v>
      </c>
      <c r="F57" s="459" t="s">
        <v>1736</v>
      </c>
      <c r="G57" s="459" t="s">
        <v>1736</v>
      </c>
      <c r="H57" s="455" t="s">
        <v>4913</v>
      </c>
      <c r="I57" s="455" t="s">
        <v>4913</v>
      </c>
      <c r="J57" s="455" t="s">
        <v>4913</v>
      </c>
      <c r="K57" s="455" t="s">
        <v>4913</v>
      </c>
      <c r="L57" s="455" t="s">
        <v>4913</v>
      </c>
      <c r="M57" s="455" t="s">
        <v>4913</v>
      </c>
      <c r="N57" s="455" t="s">
        <v>4913</v>
      </c>
      <c r="O57" s="455" t="s">
        <v>4913</v>
      </c>
      <c r="P57" s="455" t="s">
        <v>4913</v>
      </c>
      <c r="Q57" s="455" t="s">
        <v>4913</v>
      </c>
      <c r="R57" s="455" t="s">
        <v>4913</v>
      </c>
      <c r="S57" s="455" t="s">
        <v>4913</v>
      </c>
      <c r="T57" s="455" t="s">
        <v>4913</v>
      </c>
      <c r="U57" s="455" t="s">
        <v>4913</v>
      </c>
      <c r="V57" s="455" t="s">
        <v>4913</v>
      </c>
      <c r="W57" s="455" t="s">
        <v>4913</v>
      </c>
      <c r="X57" s="455" t="s">
        <v>4913</v>
      </c>
      <c r="Y57" s="455" t="s">
        <v>4913</v>
      </c>
      <c r="Z57" s="455" t="s">
        <v>4913</v>
      </c>
      <c r="AA57" s="455" t="s">
        <v>4913</v>
      </c>
      <c r="AB57" s="455" t="s">
        <v>4913</v>
      </c>
      <c r="AC57" s="456" t="s">
        <v>1737</v>
      </c>
      <c r="AD57" s="459" t="s">
        <v>12544</v>
      </c>
      <c r="AE57" s="454" t="s">
        <v>12545</v>
      </c>
      <c r="AF57" s="460" t="s">
        <v>12765</v>
      </c>
      <c r="AG57" s="460" t="s">
        <v>12616</v>
      </c>
      <c r="AH57" s="460" t="s">
        <v>12759</v>
      </c>
    </row>
    <row r="58" spans="1:34">
      <c r="A58" s="453" t="s">
        <v>12766</v>
      </c>
      <c r="B58" s="454" t="s">
        <v>12767</v>
      </c>
      <c r="C58" s="454" t="s">
        <v>12768</v>
      </c>
      <c r="D58" s="454" t="s">
        <v>12769</v>
      </c>
      <c r="E58" s="454" t="s">
        <v>1732</v>
      </c>
      <c r="F58" s="459" t="s">
        <v>1736</v>
      </c>
      <c r="G58" s="459" t="s">
        <v>1736</v>
      </c>
      <c r="H58" s="455" t="s">
        <v>4913</v>
      </c>
      <c r="I58" s="455" t="s">
        <v>4913</v>
      </c>
      <c r="J58" s="455" t="s">
        <v>4913</v>
      </c>
      <c r="K58" s="455" t="s">
        <v>4913</v>
      </c>
      <c r="L58" s="455" t="s">
        <v>4913</v>
      </c>
      <c r="M58" s="455" t="s">
        <v>4913</v>
      </c>
      <c r="N58" s="459" t="s">
        <v>1736</v>
      </c>
      <c r="O58" s="455" t="s">
        <v>4913</v>
      </c>
      <c r="P58" s="455" t="s">
        <v>4913</v>
      </c>
      <c r="Q58" s="455" t="s">
        <v>4913</v>
      </c>
      <c r="R58" s="455" t="s">
        <v>4913</v>
      </c>
      <c r="S58" s="455" t="s">
        <v>4913</v>
      </c>
      <c r="T58" s="455" t="s">
        <v>4913</v>
      </c>
      <c r="U58" s="455" t="s">
        <v>4913</v>
      </c>
      <c r="V58" s="455" t="s">
        <v>4913</v>
      </c>
      <c r="W58" s="459" t="s">
        <v>1736</v>
      </c>
      <c r="X58" s="455" t="s">
        <v>4913</v>
      </c>
      <c r="Y58" s="455" t="s">
        <v>4913</v>
      </c>
      <c r="Z58" s="455" t="s">
        <v>4913</v>
      </c>
      <c r="AA58" s="455" t="s">
        <v>4913</v>
      </c>
      <c r="AB58" s="455" t="s">
        <v>4913</v>
      </c>
      <c r="AC58" s="456" t="s">
        <v>1737</v>
      </c>
      <c r="AD58" s="459" t="s">
        <v>12544</v>
      </c>
      <c r="AE58" s="454" t="s">
        <v>12688</v>
      </c>
      <c r="AF58" s="454" t="s">
        <v>12770</v>
      </c>
      <c r="AG58" s="460" t="s">
        <v>12771</v>
      </c>
      <c r="AH58" s="460" t="s">
        <v>12772</v>
      </c>
    </row>
    <row r="59" spans="1:34">
      <c r="A59" s="453" t="s">
        <v>12766</v>
      </c>
      <c r="B59" s="454" t="s">
        <v>12773</v>
      </c>
      <c r="C59" s="454" t="s">
        <v>12768</v>
      </c>
      <c r="D59" s="454" t="s">
        <v>12774</v>
      </c>
      <c r="E59" s="454" t="s">
        <v>1743</v>
      </c>
      <c r="F59" s="459" t="s">
        <v>1736</v>
      </c>
      <c r="G59" s="459" t="s">
        <v>1736</v>
      </c>
      <c r="H59" s="455" t="s">
        <v>4913</v>
      </c>
      <c r="I59" s="455" t="s">
        <v>4913</v>
      </c>
      <c r="J59" s="455" t="s">
        <v>4913</v>
      </c>
      <c r="K59" s="455" t="s">
        <v>4913</v>
      </c>
      <c r="L59" s="455" t="s">
        <v>4913</v>
      </c>
      <c r="M59" s="455" t="s">
        <v>4913</v>
      </c>
      <c r="N59" s="455" t="s">
        <v>4913</v>
      </c>
      <c r="O59" s="455" t="s">
        <v>4913</v>
      </c>
      <c r="P59" s="455" t="s">
        <v>4913</v>
      </c>
      <c r="Q59" s="455" t="s">
        <v>4913</v>
      </c>
      <c r="R59" s="455" t="s">
        <v>4913</v>
      </c>
      <c r="S59" s="455" t="s">
        <v>4913</v>
      </c>
      <c r="T59" s="455" t="s">
        <v>4913</v>
      </c>
      <c r="U59" s="455" t="s">
        <v>4913</v>
      </c>
      <c r="V59" s="455" t="s">
        <v>4913</v>
      </c>
      <c r="W59" s="455" t="s">
        <v>4913</v>
      </c>
      <c r="X59" s="455" t="s">
        <v>4913</v>
      </c>
      <c r="Y59" s="455" t="s">
        <v>4913</v>
      </c>
      <c r="Z59" s="455" t="s">
        <v>4913</v>
      </c>
      <c r="AA59" s="455" t="s">
        <v>4913</v>
      </c>
      <c r="AB59" s="455" t="s">
        <v>4913</v>
      </c>
      <c r="AC59" s="456" t="s">
        <v>1737</v>
      </c>
      <c r="AD59" s="459" t="s">
        <v>12544</v>
      </c>
      <c r="AE59" s="454" t="s">
        <v>12545</v>
      </c>
      <c r="AF59" s="454" t="s">
        <v>12775</v>
      </c>
      <c r="AG59" s="460" t="s">
        <v>12771</v>
      </c>
      <c r="AH59" s="460" t="s">
        <v>12772</v>
      </c>
    </row>
    <row r="60" spans="1:34">
      <c r="A60" s="453" t="s">
        <v>12776</v>
      </c>
      <c r="B60" s="454" t="s">
        <v>12777</v>
      </c>
      <c r="C60" s="454" t="s">
        <v>12778</v>
      </c>
      <c r="D60" s="454" t="s">
        <v>12779</v>
      </c>
      <c r="E60" s="454" t="s">
        <v>1732</v>
      </c>
      <c r="F60" s="455" t="s">
        <v>4913</v>
      </c>
      <c r="G60" s="455" t="s">
        <v>4913</v>
      </c>
      <c r="H60" s="455" t="s">
        <v>4913</v>
      </c>
      <c r="I60" s="455" t="s">
        <v>4913</v>
      </c>
      <c r="J60" s="455" t="s">
        <v>4913</v>
      </c>
      <c r="K60" s="455" t="s">
        <v>4913</v>
      </c>
      <c r="L60" s="455" t="s">
        <v>4913</v>
      </c>
      <c r="M60" s="455" t="s">
        <v>4913</v>
      </c>
      <c r="N60" s="455" t="s">
        <v>4913</v>
      </c>
      <c r="O60" s="455" t="s">
        <v>4913</v>
      </c>
      <c r="P60" s="455" t="s">
        <v>4913</v>
      </c>
      <c r="Q60" s="455" t="s">
        <v>4913</v>
      </c>
      <c r="R60" s="455" t="s">
        <v>4913</v>
      </c>
      <c r="S60" s="455" t="s">
        <v>4913</v>
      </c>
      <c r="T60" s="455" t="s">
        <v>4913</v>
      </c>
      <c r="U60" s="455" t="s">
        <v>4913</v>
      </c>
      <c r="V60" s="455" t="s">
        <v>4913</v>
      </c>
      <c r="W60" s="455" t="s">
        <v>4913</v>
      </c>
      <c r="X60" s="455" t="s">
        <v>4913</v>
      </c>
      <c r="Y60" s="455" t="s">
        <v>4913</v>
      </c>
      <c r="Z60" s="455" t="s">
        <v>4913</v>
      </c>
      <c r="AA60" s="455" t="s">
        <v>4913</v>
      </c>
      <c r="AB60" s="455" t="s">
        <v>4913</v>
      </c>
      <c r="AC60" s="456" t="s">
        <v>1737</v>
      </c>
      <c r="AD60" s="459" t="s">
        <v>12544</v>
      </c>
      <c r="AE60" s="454" t="s">
        <v>12545</v>
      </c>
      <c r="AF60" s="460"/>
      <c r="AG60" s="462">
        <v>44537</v>
      </c>
      <c r="AH60" s="460" t="s">
        <v>12780</v>
      </c>
    </row>
    <row r="61" spans="1:34">
      <c r="A61" s="453" t="s">
        <v>12781</v>
      </c>
      <c r="B61" s="454" t="s">
        <v>12782</v>
      </c>
      <c r="C61" s="454" t="s">
        <v>12783</v>
      </c>
      <c r="D61" s="454" t="s">
        <v>12784</v>
      </c>
      <c r="E61" s="454" t="s">
        <v>1732</v>
      </c>
      <c r="F61" s="455" t="s">
        <v>4913</v>
      </c>
      <c r="G61" s="455" t="s">
        <v>4913</v>
      </c>
      <c r="H61" s="455" t="s">
        <v>4913</v>
      </c>
      <c r="I61" s="455" t="s">
        <v>4913</v>
      </c>
      <c r="J61" s="455" t="s">
        <v>4913</v>
      </c>
      <c r="K61" s="455" t="s">
        <v>4913</v>
      </c>
      <c r="L61" s="455" t="s">
        <v>4913</v>
      </c>
      <c r="M61" s="455" t="s">
        <v>4913</v>
      </c>
      <c r="N61" s="455" t="s">
        <v>4913</v>
      </c>
      <c r="O61" s="455" t="s">
        <v>4913</v>
      </c>
      <c r="P61" s="455" t="s">
        <v>4913</v>
      </c>
      <c r="Q61" s="455" t="s">
        <v>4913</v>
      </c>
      <c r="R61" s="455" t="s">
        <v>4913</v>
      </c>
      <c r="S61" s="455" t="s">
        <v>4913</v>
      </c>
      <c r="T61" s="455" t="s">
        <v>4913</v>
      </c>
      <c r="U61" s="455" t="s">
        <v>4913</v>
      </c>
      <c r="V61" s="455" t="s">
        <v>4913</v>
      </c>
      <c r="W61" s="455" t="s">
        <v>4913</v>
      </c>
      <c r="X61" s="455" t="s">
        <v>4913</v>
      </c>
      <c r="Y61" s="455" t="s">
        <v>4913</v>
      </c>
      <c r="Z61" s="455" t="s">
        <v>4913</v>
      </c>
      <c r="AA61" s="455" t="s">
        <v>4913</v>
      </c>
      <c r="AB61" s="455" t="s">
        <v>4913</v>
      </c>
      <c r="AC61" s="456" t="s">
        <v>1737</v>
      </c>
      <c r="AD61" s="459" t="s">
        <v>12544</v>
      </c>
      <c r="AE61" s="454" t="s">
        <v>12785</v>
      </c>
      <c r="AF61" s="460"/>
      <c r="AG61" s="460" t="s">
        <v>12786</v>
      </c>
      <c r="AH61" s="460" t="s">
        <v>12787</v>
      </c>
    </row>
    <row r="62" spans="1:34">
      <c r="A62" s="453" t="s">
        <v>12781</v>
      </c>
      <c r="B62" s="454" t="s">
        <v>12788</v>
      </c>
      <c r="C62" s="454" t="s">
        <v>12783</v>
      </c>
      <c r="D62" s="454" t="s">
        <v>12789</v>
      </c>
      <c r="E62" s="454" t="s">
        <v>1743</v>
      </c>
      <c r="F62" s="455" t="s">
        <v>4913</v>
      </c>
      <c r="G62" s="455" t="s">
        <v>4913</v>
      </c>
      <c r="H62" s="455" t="s">
        <v>4913</v>
      </c>
      <c r="I62" s="455" t="s">
        <v>4913</v>
      </c>
      <c r="J62" s="455" t="s">
        <v>4913</v>
      </c>
      <c r="K62" s="455" t="s">
        <v>4913</v>
      </c>
      <c r="L62" s="455" t="s">
        <v>4913</v>
      </c>
      <c r="M62" s="455" t="s">
        <v>4913</v>
      </c>
      <c r="N62" s="455" t="s">
        <v>4913</v>
      </c>
      <c r="O62" s="455" t="s">
        <v>4913</v>
      </c>
      <c r="P62" s="455" t="s">
        <v>4913</v>
      </c>
      <c r="Q62" s="455" t="s">
        <v>4913</v>
      </c>
      <c r="R62" s="455" t="s">
        <v>4913</v>
      </c>
      <c r="S62" s="455" t="s">
        <v>4913</v>
      </c>
      <c r="T62" s="455" t="s">
        <v>4913</v>
      </c>
      <c r="U62" s="455" t="s">
        <v>4913</v>
      </c>
      <c r="V62" s="455" t="s">
        <v>4913</v>
      </c>
      <c r="W62" s="455" t="s">
        <v>4913</v>
      </c>
      <c r="X62" s="455" t="s">
        <v>4913</v>
      </c>
      <c r="Y62" s="455" t="s">
        <v>4913</v>
      </c>
      <c r="Z62" s="455" t="s">
        <v>4913</v>
      </c>
      <c r="AA62" s="455" t="s">
        <v>4913</v>
      </c>
      <c r="AB62" s="455" t="s">
        <v>4913</v>
      </c>
      <c r="AC62" s="456" t="s">
        <v>1737</v>
      </c>
      <c r="AD62" s="459" t="s">
        <v>12544</v>
      </c>
      <c r="AE62" s="454" t="s">
        <v>12785</v>
      </c>
      <c r="AF62" s="460"/>
      <c r="AG62" s="460" t="s">
        <v>12786</v>
      </c>
      <c r="AH62" s="460" t="s">
        <v>12787</v>
      </c>
    </row>
    <row r="63" spans="1:34">
      <c r="A63" s="453" t="s">
        <v>12790</v>
      </c>
      <c r="B63" s="454" t="s">
        <v>12791</v>
      </c>
      <c r="C63" s="454" t="s">
        <v>12792</v>
      </c>
      <c r="D63" s="454" t="s">
        <v>12793</v>
      </c>
      <c r="E63" s="454" t="s">
        <v>1732</v>
      </c>
      <c r="F63" s="455" t="s">
        <v>4913</v>
      </c>
      <c r="G63" s="455" t="s">
        <v>4913</v>
      </c>
      <c r="H63" s="455" t="s">
        <v>4913</v>
      </c>
      <c r="I63" s="455" t="s">
        <v>4913</v>
      </c>
      <c r="J63" s="455" t="s">
        <v>4913</v>
      </c>
      <c r="K63" s="455" t="s">
        <v>4913</v>
      </c>
      <c r="L63" s="455" t="s">
        <v>4913</v>
      </c>
      <c r="M63" s="455" t="s">
        <v>4913</v>
      </c>
      <c r="N63" s="455" t="s">
        <v>4913</v>
      </c>
      <c r="O63" s="455" t="s">
        <v>4913</v>
      </c>
      <c r="P63" s="455" t="s">
        <v>4913</v>
      </c>
      <c r="Q63" s="455" t="s">
        <v>4913</v>
      </c>
      <c r="R63" s="455" t="s">
        <v>4913</v>
      </c>
      <c r="S63" s="455" t="s">
        <v>4913</v>
      </c>
      <c r="T63" s="455" t="s">
        <v>4913</v>
      </c>
      <c r="U63" s="455" t="s">
        <v>4913</v>
      </c>
      <c r="V63" s="455" t="s">
        <v>4913</v>
      </c>
      <c r="W63" s="455" t="s">
        <v>4913</v>
      </c>
      <c r="X63" s="455" t="s">
        <v>4913</v>
      </c>
      <c r="Y63" s="455" t="s">
        <v>4913</v>
      </c>
      <c r="Z63" s="455" t="s">
        <v>4913</v>
      </c>
      <c r="AA63" s="455" t="s">
        <v>4913</v>
      </c>
      <c r="AB63" s="455" t="s">
        <v>4913</v>
      </c>
      <c r="AC63" s="456" t="s">
        <v>1737</v>
      </c>
      <c r="AD63" s="459" t="s">
        <v>12544</v>
      </c>
      <c r="AE63" s="454" t="s">
        <v>12785</v>
      </c>
      <c r="AF63" s="460"/>
      <c r="AG63" s="460" t="s">
        <v>12786</v>
      </c>
      <c r="AH63" s="460" t="s">
        <v>12794</v>
      </c>
    </row>
    <row r="64" spans="1:34">
      <c r="A64" s="453" t="s">
        <v>12790</v>
      </c>
      <c r="B64" s="454" t="s">
        <v>12795</v>
      </c>
      <c r="C64" s="454" t="s">
        <v>12792</v>
      </c>
      <c r="D64" s="454" t="s">
        <v>12796</v>
      </c>
      <c r="E64" s="454" t="s">
        <v>1732</v>
      </c>
      <c r="F64" s="455" t="s">
        <v>4913</v>
      </c>
      <c r="G64" s="455" t="s">
        <v>4913</v>
      </c>
      <c r="H64" s="455" t="s">
        <v>4913</v>
      </c>
      <c r="I64" s="455" t="s">
        <v>4913</v>
      </c>
      <c r="J64" s="455" t="s">
        <v>4913</v>
      </c>
      <c r="K64" s="455" t="s">
        <v>4913</v>
      </c>
      <c r="L64" s="455" t="s">
        <v>4913</v>
      </c>
      <c r="M64" s="455" t="s">
        <v>4913</v>
      </c>
      <c r="N64" s="455" t="s">
        <v>4913</v>
      </c>
      <c r="O64" s="455" t="s">
        <v>4913</v>
      </c>
      <c r="P64" s="455" t="s">
        <v>4913</v>
      </c>
      <c r="Q64" s="455" t="s">
        <v>4913</v>
      </c>
      <c r="R64" s="455" t="s">
        <v>4913</v>
      </c>
      <c r="S64" s="455" t="s">
        <v>4913</v>
      </c>
      <c r="T64" s="455" t="s">
        <v>4913</v>
      </c>
      <c r="U64" s="455" t="s">
        <v>4913</v>
      </c>
      <c r="V64" s="455" t="s">
        <v>4913</v>
      </c>
      <c r="W64" s="455" t="s">
        <v>4913</v>
      </c>
      <c r="X64" s="455" t="s">
        <v>4913</v>
      </c>
      <c r="Y64" s="455" t="s">
        <v>4913</v>
      </c>
      <c r="Z64" s="455" t="s">
        <v>4913</v>
      </c>
      <c r="AA64" s="455" t="s">
        <v>4913</v>
      </c>
      <c r="AB64" s="455" t="s">
        <v>4913</v>
      </c>
      <c r="AC64" s="456" t="s">
        <v>1737</v>
      </c>
      <c r="AD64" s="459" t="s">
        <v>12544</v>
      </c>
      <c r="AE64" s="454" t="s">
        <v>12785</v>
      </c>
      <c r="AF64" s="460"/>
      <c r="AG64" s="460" t="s">
        <v>12786</v>
      </c>
      <c r="AH64" s="460" t="s">
        <v>12794</v>
      </c>
    </row>
    <row r="65" spans="1:34">
      <c r="A65" s="453" t="s">
        <v>12797</v>
      </c>
      <c r="B65" s="454" t="s">
        <v>12798</v>
      </c>
      <c r="C65" s="454" t="s">
        <v>12799</v>
      </c>
      <c r="D65" s="454" t="s">
        <v>12800</v>
      </c>
      <c r="E65" s="454" t="s">
        <v>1732</v>
      </c>
      <c r="F65" s="455" t="s">
        <v>4913</v>
      </c>
      <c r="G65" s="455" t="s">
        <v>4913</v>
      </c>
      <c r="H65" s="455" t="s">
        <v>4913</v>
      </c>
      <c r="I65" s="455" t="s">
        <v>4913</v>
      </c>
      <c r="J65" s="455" t="s">
        <v>4913</v>
      </c>
      <c r="K65" s="455" t="s">
        <v>4913</v>
      </c>
      <c r="L65" s="455" t="s">
        <v>4913</v>
      </c>
      <c r="M65" s="455" t="s">
        <v>4913</v>
      </c>
      <c r="N65" s="455" t="s">
        <v>4913</v>
      </c>
      <c r="O65" s="455" t="s">
        <v>4913</v>
      </c>
      <c r="P65" s="455" t="s">
        <v>4913</v>
      </c>
      <c r="Q65" s="455" t="s">
        <v>4913</v>
      </c>
      <c r="R65" s="455" t="s">
        <v>4913</v>
      </c>
      <c r="S65" s="455" t="s">
        <v>4913</v>
      </c>
      <c r="T65" s="455" t="s">
        <v>4913</v>
      </c>
      <c r="U65" s="455" t="s">
        <v>4913</v>
      </c>
      <c r="V65" s="455" t="s">
        <v>4913</v>
      </c>
      <c r="W65" s="455" t="s">
        <v>4913</v>
      </c>
      <c r="X65" s="455" t="s">
        <v>4913</v>
      </c>
      <c r="Y65" s="455" t="s">
        <v>4913</v>
      </c>
      <c r="Z65" s="455" t="s">
        <v>4913</v>
      </c>
      <c r="AA65" s="455" t="s">
        <v>4913</v>
      </c>
      <c r="AB65" s="455" t="s">
        <v>4913</v>
      </c>
      <c r="AC65" s="456" t="s">
        <v>1737</v>
      </c>
      <c r="AD65" s="459" t="s">
        <v>12544</v>
      </c>
      <c r="AE65" s="454" t="s">
        <v>12785</v>
      </c>
      <c r="AF65" s="460"/>
      <c r="AG65" s="460" t="s">
        <v>12786</v>
      </c>
      <c r="AH65" s="460" t="s">
        <v>12801</v>
      </c>
    </row>
    <row r="66" spans="1:34">
      <c r="A66" s="453" t="s">
        <v>12802</v>
      </c>
      <c r="B66" s="454" t="s">
        <v>12803</v>
      </c>
      <c r="C66" s="454" t="s">
        <v>12804</v>
      </c>
      <c r="D66" s="454" t="s">
        <v>12805</v>
      </c>
      <c r="E66" s="454" t="s">
        <v>1732</v>
      </c>
      <c r="F66" s="459" t="s">
        <v>1736</v>
      </c>
      <c r="G66" s="455" t="s">
        <v>4913</v>
      </c>
      <c r="H66" s="455" t="s">
        <v>4913</v>
      </c>
      <c r="I66" s="455" t="s">
        <v>4913</v>
      </c>
      <c r="J66" s="455" t="s">
        <v>4913</v>
      </c>
      <c r="K66" s="455" t="s">
        <v>4913</v>
      </c>
      <c r="L66" s="455" t="s">
        <v>4913</v>
      </c>
      <c r="M66" s="455" t="s">
        <v>4913</v>
      </c>
      <c r="N66" s="455" t="s">
        <v>4913</v>
      </c>
      <c r="O66" s="455" t="s">
        <v>4913</v>
      </c>
      <c r="P66" s="455" t="s">
        <v>4913</v>
      </c>
      <c r="Q66" s="455" t="s">
        <v>4913</v>
      </c>
      <c r="R66" s="455" t="s">
        <v>4913</v>
      </c>
      <c r="S66" s="455" t="s">
        <v>4913</v>
      </c>
      <c r="T66" s="455" t="s">
        <v>4913</v>
      </c>
      <c r="U66" s="455" t="s">
        <v>4913</v>
      </c>
      <c r="V66" s="455" t="s">
        <v>4913</v>
      </c>
      <c r="W66" s="455" t="s">
        <v>4913</v>
      </c>
      <c r="X66" s="455" t="s">
        <v>4913</v>
      </c>
      <c r="Y66" s="455" t="s">
        <v>4913</v>
      </c>
      <c r="Z66" s="455" t="s">
        <v>4913</v>
      </c>
      <c r="AA66" s="455" t="s">
        <v>4913</v>
      </c>
      <c r="AB66" s="455" t="s">
        <v>4913</v>
      </c>
      <c r="AC66" s="456" t="s">
        <v>1737</v>
      </c>
      <c r="AD66" s="459" t="s">
        <v>12544</v>
      </c>
      <c r="AE66" s="454" t="s">
        <v>12545</v>
      </c>
      <c r="AF66" s="460" t="s">
        <v>12806</v>
      </c>
      <c r="AG66" s="460" t="s">
        <v>12807</v>
      </c>
      <c r="AH66" s="460" t="s">
        <v>12808</v>
      </c>
    </row>
    <row r="67" spans="1:34">
      <c r="A67" s="453" t="s">
        <v>12802</v>
      </c>
      <c r="B67" s="454" t="s">
        <v>12809</v>
      </c>
      <c r="C67" s="454" t="s">
        <v>12804</v>
      </c>
      <c r="D67" s="454" t="s">
        <v>12810</v>
      </c>
      <c r="E67" s="454" t="s">
        <v>1732</v>
      </c>
      <c r="F67" s="459" t="s">
        <v>1736</v>
      </c>
      <c r="G67" s="455" t="s">
        <v>4913</v>
      </c>
      <c r="H67" s="455" t="s">
        <v>4913</v>
      </c>
      <c r="I67" s="455" t="s">
        <v>4913</v>
      </c>
      <c r="J67" s="455" t="s">
        <v>4913</v>
      </c>
      <c r="K67" s="455" t="s">
        <v>4913</v>
      </c>
      <c r="L67" s="455" t="s">
        <v>4913</v>
      </c>
      <c r="M67" s="455" t="s">
        <v>4913</v>
      </c>
      <c r="N67" s="455" t="s">
        <v>4913</v>
      </c>
      <c r="O67" s="455" t="s">
        <v>4913</v>
      </c>
      <c r="P67" s="455" t="s">
        <v>4913</v>
      </c>
      <c r="Q67" s="455" t="s">
        <v>4913</v>
      </c>
      <c r="R67" s="455" t="s">
        <v>4913</v>
      </c>
      <c r="S67" s="455" t="s">
        <v>4913</v>
      </c>
      <c r="T67" s="455" t="s">
        <v>4913</v>
      </c>
      <c r="U67" s="455" t="s">
        <v>4913</v>
      </c>
      <c r="V67" s="455" t="s">
        <v>4913</v>
      </c>
      <c r="W67" s="455" t="s">
        <v>4913</v>
      </c>
      <c r="X67" s="455" t="s">
        <v>4913</v>
      </c>
      <c r="Y67" s="455" t="s">
        <v>4913</v>
      </c>
      <c r="Z67" s="455" t="s">
        <v>4913</v>
      </c>
      <c r="AA67" s="455" t="s">
        <v>4913</v>
      </c>
      <c r="AB67" s="455" t="s">
        <v>4913</v>
      </c>
      <c r="AC67" s="456" t="s">
        <v>1737</v>
      </c>
      <c r="AD67" s="459" t="s">
        <v>12544</v>
      </c>
      <c r="AE67" s="454" t="s">
        <v>12545</v>
      </c>
      <c r="AF67" s="460" t="s">
        <v>12806</v>
      </c>
      <c r="AG67" s="460" t="s">
        <v>12807</v>
      </c>
      <c r="AH67" s="460" t="s">
        <v>12808</v>
      </c>
    </row>
    <row r="68" spans="1:34">
      <c r="A68" s="453" t="s">
        <v>12802</v>
      </c>
      <c r="B68" s="454" t="s">
        <v>12811</v>
      </c>
      <c r="C68" s="454" t="s">
        <v>12804</v>
      </c>
      <c r="D68" s="454" t="s">
        <v>12812</v>
      </c>
      <c r="E68" s="454" t="s">
        <v>1732</v>
      </c>
      <c r="F68" s="459" t="s">
        <v>1736</v>
      </c>
      <c r="G68" s="455" t="s">
        <v>4913</v>
      </c>
      <c r="H68" s="455" t="s">
        <v>4913</v>
      </c>
      <c r="I68" s="455" t="s">
        <v>4913</v>
      </c>
      <c r="J68" s="455" t="s">
        <v>4913</v>
      </c>
      <c r="K68" s="455" t="s">
        <v>4913</v>
      </c>
      <c r="L68" s="455" t="s">
        <v>4913</v>
      </c>
      <c r="M68" s="455" t="s">
        <v>4913</v>
      </c>
      <c r="N68" s="455" t="s">
        <v>4913</v>
      </c>
      <c r="O68" s="455" t="s">
        <v>4913</v>
      </c>
      <c r="P68" s="455" t="s">
        <v>4913</v>
      </c>
      <c r="Q68" s="455" t="s">
        <v>4913</v>
      </c>
      <c r="R68" s="455" t="s">
        <v>4913</v>
      </c>
      <c r="S68" s="455" t="s">
        <v>4913</v>
      </c>
      <c r="T68" s="455" t="s">
        <v>4913</v>
      </c>
      <c r="U68" s="455" t="s">
        <v>4913</v>
      </c>
      <c r="V68" s="455" t="s">
        <v>4913</v>
      </c>
      <c r="W68" s="455" t="s">
        <v>4913</v>
      </c>
      <c r="X68" s="455" t="s">
        <v>4913</v>
      </c>
      <c r="Y68" s="455" t="s">
        <v>4913</v>
      </c>
      <c r="Z68" s="455" t="s">
        <v>4913</v>
      </c>
      <c r="AA68" s="455" t="s">
        <v>4913</v>
      </c>
      <c r="AB68" s="455" t="s">
        <v>4913</v>
      </c>
      <c r="AC68" s="456" t="s">
        <v>1737</v>
      </c>
      <c r="AD68" s="459" t="s">
        <v>12544</v>
      </c>
      <c r="AE68" s="454" t="s">
        <v>12545</v>
      </c>
      <c r="AF68" s="460" t="s">
        <v>12806</v>
      </c>
      <c r="AG68" s="460" t="s">
        <v>12807</v>
      </c>
      <c r="AH68" s="460" t="s">
        <v>12808</v>
      </c>
    </row>
    <row r="69" spans="1:34">
      <c r="A69" s="453" t="s">
        <v>12813</v>
      </c>
      <c r="B69" s="454" t="s">
        <v>12814</v>
      </c>
      <c r="C69" s="454" t="s">
        <v>12815</v>
      </c>
      <c r="D69" s="454" t="s">
        <v>12816</v>
      </c>
      <c r="E69" s="454" t="s">
        <v>1732</v>
      </c>
      <c r="F69" s="459" t="s">
        <v>1736</v>
      </c>
      <c r="G69" s="455" t="s">
        <v>4913</v>
      </c>
      <c r="H69" s="455" t="s">
        <v>4913</v>
      </c>
      <c r="I69" s="455" t="s">
        <v>4913</v>
      </c>
      <c r="J69" s="455" t="s">
        <v>4913</v>
      </c>
      <c r="K69" s="455" t="s">
        <v>4913</v>
      </c>
      <c r="L69" s="455" t="s">
        <v>4913</v>
      </c>
      <c r="M69" s="455" t="s">
        <v>4913</v>
      </c>
      <c r="N69" s="455" t="s">
        <v>4913</v>
      </c>
      <c r="O69" s="459" t="s">
        <v>1736</v>
      </c>
      <c r="P69" s="455" t="s">
        <v>4913</v>
      </c>
      <c r="Q69" s="455" t="s">
        <v>4913</v>
      </c>
      <c r="R69" s="455" t="s">
        <v>4913</v>
      </c>
      <c r="S69" s="455" t="s">
        <v>4913</v>
      </c>
      <c r="T69" s="455" t="s">
        <v>4913</v>
      </c>
      <c r="U69" s="455" t="s">
        <v>4913</v>
      </c>
      <c r="V69" s="455" t="s">
        <v>4913</v>
      </c>
      <c r="W69" s="455" t="s">
        <v>4913</v>
      </c>
      <c r="X69" s="455" t="s">
        <v>4913</v>
      </c>
      <c r="Y69" s="455" t="s">
        <v>4913</v>
      </c>
      <c r="Z69" s="455" t="s">
        <v>4913</v>
      </c>
      <c r="AA69" s="455" t="s">
        <v>4913</v>
      </c>
      <c r="AB69" s="455" t="s">
        <v>4913</v>
      </c>
      <c r="AC69" s="456" t="s">
        <v>1737</v>
      </c>
      <c r="AD69" s="459" t="s">
        <v>12544</v>
      </c>
      <c r="AE69" s="457" t="s">
        <v>12785</v>
      </c>
      <c r="AF69" s="460" t="s">
        <v>12806</v>
      </c>
      <c r="AG69" s="461" t="s">
        <v>12739</v>
      </c>
      <c r="AH69" s="461" t="s">
        <v>12817</v>
      </c>
    </row>
    <row r="70" spans="1:34">
      <c r="A70" s="453" t="s">
        <v>12813</v>
      </c>
      <c r="B70" s="454" t="s">
        <v>12818</v>
      </c>
      <c r="C70" s="454" t="s">
        <v>12815</v>
      </c>
      <c r="D70" s="454" t="s">
        <v>12819</v>
      </c>
      <c r="E70" s="454" t="s">
        <v>1732</v>
      </c>
      <c r="F70" s="459" t="s">
        <v>1736</v>
      </c>
      <c r="G70" s="455" t="s">
        <v>4913</v>
      </c>
      <c r="H70" s="455" t="s">
        <v>4913</v>
      </c>
      <c r="I70" s="455" t="s">
        <v>4913</v>
      </c>
      <c r="J70" s="455" t="s">
        <v>4913</v>
      </c>
      <c r="K70" s="455" t="s">
        <v>4913</v>
      </c>
      <c r="L70" s="455" t="s">
        <v>4913</v>
      </c>
      <c r="M70" s="455" t="s">
        <v>4913</v>
      </c>
      <c r="N70" s="455" t="s">
        <v>4913</v>
      </c>
      <c r="O70" s="459" t="s">
        <v>1736</v>
      </c>
      <c r="P70" s="455" t="s">
        <v>4913</v>
      </c>
      <c r="Q70" s="455" t="s">
        <v>4913</v>
      </c>
      <c r="R70" s="455" t="s">
        <v>4913</v>
      </c>
      <c r="S70" s="455" t="s">
        <v>4913</v>
      </c>
      <c r="T70" s="455" t="s">
        <v>4913</v>
      </c>
      <c r="U70" s="455" t="s">
        <v>4913</v>
      </c>
      <c r="V70" s="455" t="s">
        <v>4913</v>
      </c>
      <c r="W70" s="455" t="s">
        <v>4913</v>
      </c>
      <c r="X70" s="455" t="s">
        <v>4913</v>
      </c>
      <c r="Y70" s="455" t="s">
        <v>4913</v>
      </c>
      <c r="Z70" s="455" t="s">
        <v>4913</v>
      </c>
      <c r="AA70" s="455" t="s">
        <v>4913</v>
      </c>
      <c r="AB70" s="455" t="s">
        <v>4913</v>
      </c>
      <c r="AC70" s="456" t="s">
        <v>1737</v>
      </c>
      <c r="AD70" s="459" t="s">
        <v>12544</v>
      </c>
      <c r="AE70" s="457" t="s">
        <v>12785</v>
      </c>
      <c r="AF70" s="460" t="s">
        <v>12806</v>
      </c>
      <c r="AG70" s="461" t="s">
        <v>12739</v>
      </c>
      <c r="AH70" s="461" t="s">
        <v>12817</v>
      </c>
    </row>
    <row r="71" spans="1:34">
      <c r="A71" s="453" t="s">
        <v>12813</v>
      </c>
      <c r="B71" s="454" t="s">
        <v>12820</v>
      </c>
      <c r="C71" s="454" t="s">
        <v>12815</v>
      </c>
      <c r="D71" s="454" t="s">
        <v>12821</v>
      </c>
      <c r="E71" s="454" t="s">
        <v>1732</v>
      </c>
      <c r="F71" s="459" t="s">
        <v>1736</v>
      </c>
      <c r="G71" s="455" t="s">
        <v>4913</v>
      </c>
      <c r="H71" s="455" t="s">
        <v>4913</v>
      </c>
      <c r="I71" s="455" t="s">
        <v>4913</v>
      </c>
      <c r="J71" s="455" t="s">
        <v>4913</v>
      </c>
      <c r="K71" s="455" t="s">
        <v>4913</v>
      </c>
      <c r="L71" s="455" t="s">
        <v>4913</v>
      </c>
      <c r="M71" s="455" t="s">
        <v>4913</v>
      </c>
      <c r="N71" s="455" t="s">
        <v>4913</v>
      </c>
      <c r="O71" s="459" t="s">
        <v>1736</v>
      </c>
      <c r="P71" s="455" t="s">
        <v>4913</v>
      </c>
      <c r="Q71" s="455" t="s">
        <v>4913</v>
      </c>
      <c r="R71" s="455" t="s">
        <v>4913</v>
      </c>
      <c r="S71" s="455" t="s">
        <v>4913</v>
      </c>
      <c r="T71" s="455" t="s">
        <v>4913</v>
      </c>
      <c r="U71" s="455" t="s">
        <v>4913</v>
      </c>
      <c r="V71" s="455" t="s">
        <v>4913</v>
      </c>
      <c r="W71" s="455" t="s">
        <v>4913</v>
      </c>
      <c r="X71" s="455" t="s">
        <v>4913</v>
      </c>
      <c r="Y71" s="455" t="s">
        <v>4913</v>
      </c>
      <c r="Z71" s="455" t="s">
        <v>4913</v>
      </c>
      <c r="AA71" s="455" t="s">
        <v>4913</v>
      </c>
      <c r="AB71" s="455" t="s">
        <v>4913</v>
      </c>
      <c r="AC71" s="456" t="s">
        <v>1737</v>
      </c>
      <c r="AD71" s="459" t="s">
        <v>12544</v>
      </c>
      <c r="AE71" s="457" t="s">
        <v>12785</v>
      </c>
      <c r="AF71" s="460" t="s">
        <v>12806</v>
      </c>
      <c r="AG71" s="461" t="s">
        <v>12739</v>
      </c>
      <c r="AH71" s="461" t="s">
        <v>12817</v>
      </c>
    </row>
    <row r="72" spans="1:34">
      <c r="A72" s="453" t="s">
        <v>12813</v>
      </c>
      <c r="B72" s="454" t="s">
        <v>12822</v>
      </c>
      <c r="C72" s="454" t="s">
        <v>12815</v>
      </c>
      <c r="D72" s="454" t="s">
        <v>12823</v>
      </c>
      <c r="E72" s="454" t="s">
        <v>1743</v>
      </c>
      <c r="F72" s="459" t="s">
        <v>1736</v>
      </c>
      <c r="G72" s="455" t="s">
        <v>4913</v>
      </c>
      <c r="H72" s="455" t="s">
        <v>4913</v>
      </c>
      <c r="I72" s="455" t="s">
        <v>4913</v>
      </c>
      <c r="J72" s="455" t="s">
        <v>4913</v>
      </c>
      <c r="K72" s="455" t="s">
        <v>4913</v>
      </c>
      <c r="L72" s="455" t="s">
        <v>4913</v>
      </c>
      <c r="M72" s="455" t="s">
        <v>4913</v>
      </c>
      <c r="N72" s="455" t="s">
        <v>4913</v>
      </c>
      <c r="O72" s="455" t="s">
        <v>4913</v>
      </c>
      <c r="P72" s="455" t="s">
        <v>4913</v>
      </c>
      <c r="Q72" s="455" t="s">
        <v>4913</v>
      </c>
      <c r="R72" s="455" t="s">
        <v>4913</v>
      </c>
      <c r="S72" s="455" t="s">
        <v>4913</v>
      </c>
      <c r="T72" s="455" t="s">
        <v>4913</v>
      </c>
      <c r="U72" s="455" t="s">
        <v>4913</v>
      </c>
      <c r="V72" s="455" t="s">
        <v>4913</v>
      </c>
      <c r="W72" s="455" t="s">
        <v>4913</v>
      </c>
      <c r="X72" s="455" t="s">
        <v>4913</v>
      </c>
      <c r="Y72" s="455" t="s">
        <v>4913</v>
      </c>
      <c r="Z72" s="455" t="s">
        <v>4913</v>
      </c>
      <c r="AA72" s="455" t="s">
        <v>4913</v>
      </c>
      <c r="AB72" s="455" t="s">
        <v>4913</v>
      </c>
      <c r="AC72" s="456" t="s">
        <v>1737</v>
      </c>
      <c r="AD72" s="459" t="s">
        <v>12544</v>
      </c>
      <c r="AE72" s="457" t="s">
        <v>12545</v>
      </c>
      <c r="AF72" s="460" t="s">
        <v>12824</v>
      </c>
      <c r="AG72" s="461" t="s">
        <v>12739</v>
      </c>
      <c r="AH72" s="461" t="s">
        <v>12817</v>
      </c>
    </row>
    <row r="73" spans="1:34">
      <c r="A73" s="453" t="s">
        <v>12813</v>
      </c>
      <c r="B73" s="454" t="s">
        <v>12825</v>
      </c>
      <c r="C73" s="454" t="s">
        <v>12815</v>
      </c>
      <c r="D73" s="454" t="s">
        <v>12826</v>
      </c>
      <c r="E73" s="454" t="s">
        <v>1743</v>
      </c>
      <c r="F73" s="455" t="s">
        <v>4913</v>
      </c>
      <c r="G73" s="455" t="s">
        <v>4913</v>
      </c>
      <c r="H73" s="455" t="s">
        <v>4913</v>
      </c>
      <c r="I73" s="455" t="s">
        <v>4913</v>
      </c>
      <c r="J73" s="455" t="s">
        <v>4913</v>
      </c>
      <c r="K73" s="455" t="s">
        <v>4913</v>
      </c>
      <c r="L73" s="455" t="s">
        <v>4913</v>
      </c>
      <c r="M73" s="455" t="s">
        <v>4913</v>
      </c>
      <c r="N73" s="455" t="s">
        <v>4913</v>
      </c>
      <c r="O73" s="455" t="s">
        <v>4913</v>
      </c>
      <c r="P73" s="455" t="s">
        <v>4913</v>
      </c>
      <c r="Q73" s="455" t="s">
        <v>4913</v>
      </c>
      <c r="R73" s="455" t="s">
        <v>4913</v>
      </c>
      <c r="S73" s="455" t="s">
        <v>4913</v>
      </c>
      <c r="T73" s="455" t="s">
        <v>4913</v>
      </c>
      <c r="U73" s="455" t="s">
        <v>4913</v>
      </c>
      <c r="V73" s="455" t="s">
        <v>4913</v>
      </c>
      <c r="W73" s="455" t="s">
        <v>4913</v>
      </c>
      <c r="X73" s="455" t="s">
        <v>4913</v>
      </c>
      <c r="Y73" s="455" t="s">
        <v>4913</v>
      </c>
      <c r="Z73" s="455" t="s">
        <v>4913</v>
      </c>
      <c r="AA73" s="455" t="s">
        <v>4913</v>
      </c>
      <c r="AB73" s="455" t="s">
        <v>4913</v>
      </c>
      <c r="AC73" s="456" t="s">
        <v>1737</v>
      </c>
      <c r="AD73" s="459" t="s">
        <v>12544</v>
      </c>
      <c r="AE73" s="457" t="s">
        <v>12545</v>
      </c>
      <c r="AF73" s="460"/>
      <c r="AG73" s="461" t="s">
        <v>12739</v>
      </c>
      <c r="AH73" s="461" t="s">
        <v>12817</v>
      </c>
    </row>
    <row r="74" spans="1:34">
      <c r="A74" s="453" t="s">
        <v>12813</v>
      </c>
      <c r="B74" s="454" t="s">
        <v>12827</v>
      </c>
      <c r="C74" s="454" t="s">
        <v>12815</v>
      </c>
      <c r="D74" s="454" t="s">
        <v>12828</v>
      </c>
      <c r="E74" s="454" t="s">
        <v>1743</v>
      </c>
      <c r="F74" s="459" t="s">
        <v>1736</v>
      </c>
      <c r="G74" s="455" t="s">
        <v>4913</v>
      </c>
      <c r="H74" s="455" t="s">
        <v>4913</v>
      </c>
      <c r="I74" s="455" t="s">
        <v>4913</v>
      </c>
      <c r="J74" s="455" t="s">
        <v>4913</v>
      </c>
      <c r="K74" s="455" t="s">
        <v>4913</v>
      </c>
      <c r="L74" s="455" t="s">
        <v>4913</v>
      </c>
      <c r="M74" s="455" t="s">
        <v>4913</v>
      </c>
      <c r="N74" s="455" t="s">
        <v>4913</v>
      </c>
      <c r="O74" s="455" t="s">
        <v>4913</v>
      </c>
      <c r="P74" s="455" t="s">
        <v>4913</v>
      </c>
      <c r="Q74" s="455" t="s">
        <v>4913</v>
      </c>
      <c r="R74" s="455" t="s">
        <v>4913</v>
      </c>
      <c r="S74" s="455" t="s">
        <v>4913</v>
      </c>
      <c r="T74" s="455" t="s">
        <v>4913</v>
      </c>
      <c r="U74" s="455" t="s">
        <v>4913</v>
      </c>
      <c r="V74" s="455" t="s">
        <v>4913</v>
      </c>
      <c r="W74" s="455" t="s">
        <v>4913</v>
      </c>
      <c r="X74" s="455" t="s">
        <v>4913</v>
      </c>
      <c r="Y74" s="455" t="s">
        <v>4913</v>
      </c>
      <c r="Z74" s="455" t="s">
        <v>4913</v>
      </c>
      <c r="AA74" s="455" t="s">
        <v>4913</v>
      </c>
      <c r="AB74" s="455" t="s">
        <v>4913</v>
      </c>
      <c r="AC74" s="456" t="s">
        <v>1737</v>
      </c>
      <c r="AD74" s="459" t="s">
        <v>12544</v>
      </c>
      <c r="AE74" s="457" t="s">
        <v>12545</v>
      </c>
      <c r="AF74" s="460" t="s">
        <v>12824</v>
      </c>
      <c r="AG74" s="461" t="s">
        <v>12739</v>
      </c>
      <c r="AH74" s="461" t="s">
        <v>12817</v>
      </c>
    </row>
    <row r="75" spans="1:34">
      <c r="A75" s="453" t="s">
        <v>12813</v>
      </c>
      <c r="B75" s="454" t="s">
        <v>12829</v>
      </c>
      <c r="C75" s="454" t="s">
        <v>12815</v>
      </c>
      <c r="D75" s="454" t="s">
        <v>12830</v>
      </c>
      <c r="E75" s="454" t="s">
        <v>1743</v>
      </c>
      <c r="F75" s="459" t="s">
        <v>1736</v>
      </c>
      <c r="G75" s="455" t="s">
        <v>4913</v>
      </c>
      <c r="H75" s="455" t="s">
        <v>4913</v>
      </c>
      <c r="I75" s="455" t="s">
        <v>4913</v>
      </c>
      <c r="J75" s="455" t="s">
        <v>4913</v>
      </c>
      <c r="K75" s="455" t="s">
        <v>4913</v>
      </c>
      <c r="L75" s="455" t="s">
        <v>4913</v>
      </c>
      <c r="M75" s="455" t="s">
        <v>4913</v>
      </c>
      <c r="N75" s="455" t="s">
        <v>4913</v>
      </c>
      <c r="O75" s="455" t="s">
        <v>4913</v>
      </c>
      <c r="P75" s="455" t="s">
        <v>4913</v>
      </c>
      <c r="Q75" s="455" t="s">
        <v>4913</v>
      </c>
      <c r="R75" s="455" t="s">
        <v>4913</v>
      </c>
      <c r="S75" s="455" t="s">
        <v>4913</v>
      </c>
      <c r="T75" s="455" t="s">
        <v>4913</v>
      </c>
      <c r="U75" s="455" t="s">
        <v>4913</v>
      </c>
      <c r="V75" s="455" t="s">
        <v>4913</v>
      </c>
      <c r="W75" s="455" t="s">
        <v>4913</v>
      </c>
      <c r="X75" s="455" t="s">
        <v>4913</v>
      </c>
      <c r="Y75" s="455" t="s">
        <v>4913</v>
      </c>
      <c r="Z75" s="455" t="s">
        <v>4913</v>
      </c>
      <c r="AA75" s="455" t="s">
        <v>4913</v>
      </c>
      <c r="AB75" s="455" t="s">
        <v>4913</v>
      </c>
      <c r="AC75" s="456" t="s">
        <v>1737</v>
      </c>
      <c r="AD75" s="459" t="s">
        <v>12544</v>
      </c>
      <c r="AE75" s="572" t="s">
        <v>12545</v>
      </c>
      <c r="AF75" s="460" t="s">
        <v>12824</v>
      </c>
      <c r="AG75" s="461" t="s">
        <v>12739</v>
      </c>
      <c r="AH75" s="461" t="s">
        <v>12817</v>
      </c>
    </row>
    <row r="76" spans="1:34">
      <c r="A76" s="453" t="s">
        <v>12813</v>
      </c>
      <c r="B76" s="454" t="s">
        <v>12831</v>
      </c>
      <c r="C76" s="454" t="s">
        <v>12815</v>
      </c>
      <c r="D76" s="454" t="s">
        <v>12832</v>
      </c>
      <c r="E76" s="454" t="s">
        <v>1743</v>
      </c>
      <c r="F76" s="455" t="s">
        <v>4913</v>
      </c>
      <c r="G76" s="455" t="s">
        <v>4913</v>
      </c>
      <c r="H76" s="455" t="s">
        <v>4913</v>
      </c>
      <c r="I76" s="455" t="s">
        <v>4913</v>
      </c>
      <c r="J76" s="455" t="s">
        <v>4913</v>
      </c>
      <c r="K76" s="455" t="s">
        <v>4913</v>
      </c>
      <c r="L76" s="455" t="s">
        <v>4913</v>
      </c>
      <c r="M76" s="455" t="s">
        <v>4913</v>
      </c>
      <c r="N76" s="455" t="s">
        <v>4913</v>
      </c>
      <c r="O76" s="455" t="s">
        <v>4913</v>
      </c>
      <c r="P76" s="455" t="s">
        <v>4913</v>
      </c>
      <c r="Q76" s="455" t="s">
        <v>4913</v>
      </c>
      <c r="R76" s="455" t="s">
        <v>4913</v>
      </c>
      <c r="S76" s="455" t="s">
        <v>4913</v>
      </c>
      <c r="T76" s="455" t="s">
        <v>4913</v>
      </c>
      <c r="U76" s="455" t="s">
        <v>4913</v>
      </c>
      <c r="V76" s="455" t="s">
        <v>4913</v>
      </c>
      <c r="W76" s="455" t="s">
        <v>4913</v>
      </c>
      <c r="X76" s="455" t="s">
        <v>4913</v>
      </c>
      <c r="Y76" s="455" t="s">
        <v>4913</v>
      </c>
      <c r="Z76" s="455" t="s">
        <v>4913</v>
      </c>
      <c r="AA76" s="455" t="s">
        <v>4913</v>
      </c>
      <c r="AB76" s="455" t="s">
        <v>4913</v>
      </c>
      <c r="AC76" s="456" t="s">
        <v>1737</v>
      </c>
      <c r="AD76" s="459" t="s">
        <v>12544</v>
      </c>
      <c r="AE76" s="457" t="s">
        <v>12545</v>
      </c>
      <c r="AF76" s="460"/>
      <c r="AG76" s="461" t="s">
        <v>12739</v>
      </c>
      <c r="AH76" s="461" t="s">
        <v>12817</v>
      </c>
    </row>
    <row r="77" spans="1:34">
      <c r="A77" s="453" t="s">
        <v>12813</v>
      </c>
      <c r="B77" s="454" t="s">
        <v>12833</v>
      </c>
      <c r="C77" s="454" t="s">
        <v>12815</v>
      </c>
      <c r="D77" s="454" t="s">
        <v>12834</v>
      </c>
      <c r="E77" s="454" t="s">
        <v>1743</v>
      </c>
      <c r="F77" s="459" t="s">
        <v>1736</v>
      </c>
      <c r="G77" s="455" t="s">
        <v>4913</v>
      </c>
      <c r="H77" s="455" t="s">
        <v>4913</v>
      </c>
      <c r="I77" s="455" t="s">
        <v>4913</v>
      </c>
      <c r="J77" s="455" t="s">
        <v>4913</v>
      </c>
      <c r="K77" s="455" t="s">
        <v>4913</v>
      </c>
      <c r="L77" s="455" t="s">
        <v>4913</v>
      </c>
      <c r="M77" s="455" t="s">
        <v>4913</v>
      </c>
      <c r="N77" s="455" t="s">
        <v>4913</v>
      </c>
      <c r="O77" s="455" t="s">
        <v>4913</v>
      </c>
      <c r="P77" s="455" t="s">
        <v>4913</v>
      </c>
      <c r="Q77" s="455" t="s">
        <v>4913</v>
      </c>
      <c r="R77" s="455" t="s">
        <v>4913</v>
      </c>
      <c r="S77" s="455" t="s">
        <v>4913</v>
      </c>
      <c r="T77" s="455" t="s">
        <v>4913</v>
      </c>
      <c r="U77" s="455" t="s">
        <v>4913</v>
      </c>
      <c r="V77" s="455" t="s">
        <v>4913</v>
      </c>
      <c r="W77" s="455" t="s">
        <v>4913</v>
      </c>
      <c r="X77" s="455" t="s">
        <v>4913</v>
      </c>
      <c r="Y77" s="455" t="s">
        <v>4913</v>
      </c>
      <c r="Z77" s="455" t="s">
        <v>4913</v>
      </c>
      <c r="AA77" s="455" t="s">
        <v>4913</v>
      </c>
      <c r="AB77" s="455" t="s">
        <v>4913</v>
      </c>
      <c r="AC77" s="456" t="s">
        <v>1737</v>
      </c>
      <c r="AD77" s="459" t="s">
        <v>12544</v>
      </c>
      <c r="AE77" s="457" t="s">
        <v>12545</v>
      </c>
      <c r="AF77" s="460" t="s">
        <v>12824</v>
      </c>
      <c r="AG77" s="461" t="s">
        <v>12739</v>
      </c>
      <c r="AH77" s="461" t="s">
        <v>12817</v>
      </c>
    </row>
    <row r="78" spans="1:34">
      <c r="A78" s="453" t="s">
        <v>12813</v>
      </c>
      <c r="B78" s="454" t="s">
        <v>12835</v>
      </c>
      <c r="C78" s="454" t="s">
        <v>12815</v>
      </c>
      <c r="D78" s="454" t="s">
        <v>12836</v>
      </c>
      <c r="E78" s="454" t="s">
        <v>1743</v>
      </c>
      <c r="F78" s="459" t="s">
        <v>1736</v>
      </c>
      <c r="G78" s="455" t="s">
        <v>4913</v>
      </c>
      <c r="H78" s="455" t="s">
        <v>4913</v>
      </c>
      <c r="I78" s="455" t="s">
        <v>4913</v>
      </c>
      <c r="J78" s="455" t="s">
        <v>4913</v>
      </c>
      <c r="K78" s="455" t="s">
        <v>4913</v>
      </c>
      <c r="L78" s="455" t="s">
        <v>4913</v>
      </c>
      <c r="M78" s="455" t="s">
        <v>4913</v>
      </c>
      <c r="N78" s="455" t="s">
        <v>4913</v>
      </c>
      <c r="O78" s="455" t="s">
        <v>4913</v>
      </c>
      <c r="P78" s="455" t="s">
        <v>4913</v>
      </c>
      <c r="Q78" s="455" t="s">
        <v>4913</v>
      </c>
      <c r="R78" s="455" t="s">
        <v>4913</v>
      </c>
      <c r="S78" s="455" t="s">
        <v>4913</v>
      </c>
      <c r="T78" s="455" t="s">
        <v>4913</v>
      </c>
      <c r="U78" s="455" t="s">
        <v>4913</v>
      </c>
      <c r="V78" s="455" t="s">
        <v>4913</v>
      </c>
      <c r="W78" s="455" t="s">
        <v>4913</v>
      </c>
      <c r="X78" s="455" t="s">
        <v>4913</v>
      </c>
      <c r="Y78" s="455" t="s">
        <v>4913</v>
      </c>
      <c r="Z78" s="455" t="s">
        <v>4913</v>
      </c>
      <c r="AA78" s="455" t="s">
        <v>4913</v>
      </c>
      <c r="AB78" s="455" t="s">
        <v>4913</v>
      </c>
      <c r="AC78" s="456" t="s">
        <v>1737</v>
      </c>
      <c r="AD78" s="459" t="s">
        <v>12544</v>
      </c>
      <c r="AE78" s="457" t="s">
        <v>12545</v>
      </c>
      <c r="AF78" s="460" t="s">
        <v>12824</v>
      </c>
      <c r="AG78" s="461" t="s">
        <v>12739</v>
      </c>
      <c r="AH78" s="461" t="s">
        <v>12817</v>
      </c>
    </row>
    <row r="79" spans="1:34">
      <c r="A79" s="453" t="s">
        <v>12813</v>
      </c>
      <c r="B79" s="454" t="s">
        <v>12837</v>
      </c>
      <c r="C79" s="454" t="s">
        <v>12815</v>
      </c>
      <c r="D79" s="454" t="s">
        <v>12838</v>
      </c>
      <c r="E79" s="454" t="s">
        <v>1743</v>
      </c>
      <c r="F79" s="455" t="s">
        <v>4913</v>
      </c>
      <c r="G79" s="455" t="s">
        <v>4913</v>
      </c>
      <c r="H79" s="455" t="s">
        <v>4913</v>
      </c>
      <c r="I79" s="455" t="s">
        <v>4913</v>
      </c>
      <c r="J79" s="455" t="s">
        <v>4913</v>
      </c>
      <c r="K79" s="455" t="s">
        <v>4913</v>
      </c>
      <c r="L79" s="455" t="s">
        <v>4913</v>
      </c>
      <c r="M79" s="455" t="s">
        <v>4913</v>
      </c>
      <c r="N79" s="455" t="s">
        <v>4913</v>
      </c>
      <c r="O79" s="455" t="s">
        <v>4913</v>
      </c>
      <c r="P79" s="455" t="s">
        <v>4913</v>
      </c>
      <c r="Q79" s="455" t="s">
        <v>4913</v>
      </c>
      <c r="R79" s="455" t="s">
        <v>4913</v>
      </c>
      <c r="S79" s="455" t="s">
        <v>4913</v>
      </c>
      <c r="T79" s="455" t="s">
        <v>4913</v>
      </c>
      <c r="U79" s="455" t="s">
        <v>4913</v>
      </c>
      <c r="V79" s="455" t="s">
        <v>4913</v>
      </c>
      <c r="W79" s="455" t="s">
        <v>4913</v>
      </c>
      <c r="X79" s="455" t="s">
        <v>4913</v>
      </c>
      <c r="Y79" s="455" t="s">
        <v>4913</v>
      </c>
      <c r="Z79" s="455" t="s">
        <v>4913</v>
      </c>
      <c r="AA79" s="455" t="s">
        <v>4913</v>
      </c>
      <c r="AB79" s="455" t="s">
        <v>4913</v>
      </c>
      <c r="AC79" s="456" t="s">
        <v>1737</v>
      </c>
      <c r="AD79" s="459" t="s">
        <v>12544</v>
      </c>
      <c r="AE79" s="457" t="s">
        <v>12545</v>
      </c>
      <c r="AF79" s="460"/>
      <c r="AG79" s="461" t="s">
        <v>12739</v>
      </c>
      <c r="AH79" s="461" t="s">
        <v>12817</v>
      </c>
    </row>
    <row r="80" spans="1:34">
      <c r="A80" s="453" t="s">
        <v>12813</v>
      </c>
      <c r="B80" s="454" t="s">
        <v>12839</v>
      </c>
      <c r="C80" s="454" t="s">
        <v>12815</v>
      </c>
      <c r="D80" s="454" t="s">
        <v>12840</v>
      </c>
      <c r="E80" s="454" t="s">
        <v>1743</v>
      </c>
      <c r="F80" s="459" t="s">
        <v>1736</v>
      </c>
      <c r="G80" s="455" t="s">
        <v>4913</v>
      </c>
      <c r="H80" s="455" t="s">
        <v>4913</v>
      </c>
      <c r="I80" s="455" t="s">
        <v>4913</v>
      </c>
      <c r="J80" s="455" t="s">
        <v>4913</v>
      </c>
      <c r="K80" s="455" t="s">
        <v>4913</v>
      </c>
      <c r="L80" s="455" t="s">
        <v>4913</v>
      </c>
      <c r="M80" s="455" t="s">
        <v>4913</v>
      </c>
      <c r="N80" s="455" t="s">
        <v>4913</v>
      </c>
      <c r="O80" s="455" t="s">
        <v>4913</v>
      </c>
      <c r="P80" s="455" t="s">
        <v>4913</v>
      </c>
      <c r="Q80" s="455" t="s">
        <v>4913</v>
      </c>
      <c r="R80" s="455" t="s">
        <v>4913</v>
      </c>
      <c r="S80" s="455" t="s">
        <v>4913</v>
      </c>
      <c r="T80" s="455" t="s">
        <v>4913</v>
      </c>
      <c r="U80" s="455" t="s">
        <v>4913</v>
      </c>
      <c r="V80" s="455" t="s">
        <v>4913</v>
      </c>
      <c r="W80" s="455" t="s">
        <v>4913</v>
      </c>
      <c r="X80" s="455" t="s">
        <v>4913</v>
      </c>
      <c r="Y80" s="455" t="s">
        <v>4913</v>
      </c>
      <c r="Z80" s="455" t="s">
        <v>4913</v>
      </c>
      <c r="AA80" s="455" t="s">
        <v>4913</v>
      </c>
      <c r="AB80" s="455" t="s">
        <v>4913</v>
      </c>
      <c r="AC80" s="456" t="s">
        <v>1737</v>
      </c>
      <c r="AD80" s="459" t="s">
        <v>12544</v>
      </c>
      <c r="AE80" s="457" t="s">
        <v>12545</v>
      </c>
      <c r="AF80" s="460" t="s">
        <v>12824</v>
      </c>
      <c r="AG80" s="461" t="s">
        <v>12739</v>
      </c>
      <c r="AH80" s="461" t="s">
        <v>12817</v>
      </c>
    </row>
    <row r="81" spans="1:34">
      <c r="A81" s="453" t="s">
        <v>12841</v>
      </c>
      <c r="B81" s="454" t="s">
        <v>12842</v>
      </c>
      <c r="C81" s="454" t="s">
        <v>12843</v>
      </c>
      <c r="D81" s="454" t="s">
        <v>12844</v>
      </c>
      <c r="E81" s="454" t="s">
        <v>1732</v>
      </c>
      <c r="F81" s="459" t="s">
        <v>1736</v>
      </c>
      <c r="G81" s="455" t="s">
        <v>4913</v>
      </c>
      <c r="H81" s="455" t="s">
        <v>4913</v>
      </c>
      <c r="I81" s="455" t="s">
        <v>4913</v>
      </c>
      <c r="J81" s="455" t="s">
        <v>4913</v>
      </c>
      <c r="K81" s="455" t="s">
        <v>4913</v>
      </c>
      <c r="L81" s="455" t="s">
        <v>4913</v>
      </c>
      <c r="M81" s="455" t="s">
        <v>4913</v>
      </c>
      <c r="N81" s="455" t="s">
        <v>4913</v>
      </c>
      <c r="O81" s="455" t="s">
        <v>4913</v>
      </c>
      <c r="P81" s="455" t="s">
        <v>4913</v>
      </c>
      <c r="Q81" s="455" t="s">
        <v>4913</v>
      </c>
      <c r="R81" s="455" t="s">
        <v>4913</v>
      </c>
      <c r="S81" s="455" t="s">
        <v>4913</v>
      </c>
      <c r="T81" s="455" t="s">
        <v>4913</v>
      </c>
      <c r="U81" s="455" t="s">
        <v>4913</v>
      </c>
      <c r="V81" s="455" t="s">
        <v>4913</v>
      </c>
      <c r="W81" s="455" t="s">
        <v>4913</v>
      </c>
      <c r="X81" s="455" t="s">
        <v>4913</v>
      </c>
      <c r="Y81" s="455" t="s">
        <v>4913</v>
      </c>
      <c r="Z81" s="455" t="s">
        <v>4913</v>
      </c>
      <c r="AA81" s="455" t="s">
        <v>4913</v>
      </c>
      <c r="AB81" s="455" t="s">
        <v>4913</v>
      </c>
      <c r="AC81" s="456" t="s">
        <v>1737</v>
      </c>
      <c r="AD81" s="459" t="s">
        <v>12544</v>
      </c>
      <c r="AE81" s="454" t="s">
        <v>12545</v>
      </c>
      <c r="AF81" s="460" t="s">
        <v>12806</v>
      </c>
      <c r="AG81" s="460" t="s">
        <v>12807</v>
      </c>
      <c r="AH81" s="460" t="s">
        <v>12845</v>
      </c>
    </row>
    <row r="82" spans="1:34">
      <c r="A82" s="453" t="s">
        <v>12841</v>
      </c>
      <c r="B82" s="454" t="s">
        <v>12846</v>
      </c>
      <c r="C82" s="454" t="s">
        <v>12843</v>
      </c>
      <c r="D82" s="454" t="s">
        <v>12847</v>
      </c>
      <c r="E82" s="454" t="s">
        <v>1732</v>
      </c>
      <c r="F82" s="459" t="s">
        <v>1736</v>
      </c>
      <c r="G82" s="455" t="s">
        <v>4913</v>
      </c>
      <c r="H82" s="455" t="s">
        <v>4913</v>
      </c>
      <c r="I82" s="455" t="s">
        <v>4913</v>
      </c>
      <c r="J82" s="455" t="s">
        <v>4913</v>
      </c>
      <c r="K82" s="455" t="s">
        <v>4913</v>
      </c>
      <c r="L82" s="455" t="s">
        <v>4913</v>
      </c>
      <c r="M82" s="455" t="s">
        <v>4913</v>
      </c>
      <c r="N82" s="455" t="s">
        <v>4913</v>
      </c>
      <c r="O82" s="455" t="s">
        <v>4913</v>
      </c>
      <c r="P82" s="455" t="s">
        <v>4913</v>
      </c>
      <c r="Q82" s="455" t="s">
        <v>4913</v>
      </c>
      <c r="R82" s="455" t="s">
        <v>4913</v>
      </c>
      <c r="S82" s="455" t="s">
        <v>4913</v>
      </c>
      <c r="T82" s="455" t="s">
        <v>4913</v>
      </c>
      <c r="U82" s="455" t="s">
        <v>4913</v>
      </c>
      <c r="V82" s="455" t="s">
        <v>4913</v>
      </c>
      <c r="W82" s="455" t="s">
        <v>4913</v>
      </c>
      <c r="X82" s="455" t="s">
        <v>4913</v>
      </c>
      <c r="Y82" s="455" t="s">
        <v>4913</v>
      </c>
      <c r="Z82" s="455" t="s">
        <v>4913</v>
      </c>
      <c r="AA82" s="455" t="s">
        <v>4913</v>
      </c>
      <c r="AB82" s="455" t="s">
        <v>4913</v>
      </c>
      <c r="AC82" s="456" t="s">
        <v>1737</v>
      </c>
      <c r="AD82" s="459" t="s">
        <v>12544</v>
      </c>
      <c r="AE82" s="454" t="s">
        <v>12545</v>
      </c>
      <c r="AF82" s="460" t="s">
        <v>12806</v>
      </c>
      <c r="AG82" s="460" t="s">
        <v>12807</v>
      </c>
      <c r="AH82" s="460" t="s">
        <v>12845</v>
      </c>
    </row>
    <row r="83" spans="1:34">
      <c r="A83" s="453" t="s">
        <v>12841</v>
      </c>
      <c r="B83" s="454" t="s">
        <v>12848</v>
      </c>
      <c r="C83" s="454" t="s">
        <v>12843</v>
      </c>
      <c r="D83" s="454" t="s">
        <v>12849</v>
      </c>
      <c r="E83" s="454" t="s">
        <v>1732</v>
      </c>
      <c r="F83" s="459" t="s">
        <v>1736</v>
      </c>
      <c r="G83" s="455" t="s">
        <v>4913</v>
      </c>
      <c r="H83" s="455" t="s">
        <v>4913</v>
      </c>
      <c r="I83" s="455" t="s">
        <v>4913</v>
      </c>
      <c r="J83" s="455" t="s">
        <v>4913</v>
      </c>
      <c r="K83" s="455" t="s">
        <v>4913</v>
      </c>
      <c r="L83" s="455" t="s">
        <v>4913</v>
      </c>
      <c r="M83" s="455" t="s">
        <v>4913</v>
      </c>
      <c r="N83" s="455" t="s">
        <v>4913</v>
      </c>
      <c r="O83" s="455" t="s">
        <v>4913</v>
      </c>
      <c r="P83" s="455" t="s">
        <v>4913</v>
      </c>
      <c r="Q83" s="455" t="s">
        <v>4913</v>
      </c>
      <c r="R83" s="455" t="s">
        <v>4913</v>
      </c>
      <c r="S83" s="455" t="s">
        <v>4913</v>
      </c>
      <c r="T83" s="455" t="s">
        <v>4913</v>
      </c>
      <c r="U83" s="455" t="s">
        <v>4913</v>
      </c>
      <c r="V83" s="455" t="s">
        <v>4913</v>
      </c>
      <c r="W83" s="455" t="s">
        <v>4913</v>
      </c>
      <c r="X83" s="455" t="s">
        <v>4913</v>
      </c>
      <c r="Y83" s="455" t="s">
        <v>4913</v>
      </c>
      <c r="Z83" s="455" t="s">
        <v>4913</v>
      </c>
      <c r="AA83" s="455" t="s">
        <v>4913</v>
      </c>
      <c r="AB83" s="455" t="s">
        <v>4913</v>
      </c>
      <c r="AC83" s="456" t="s">
        <v>1737</v>
      </c>
      <c r="AD83" s="459" t="s">
        <v>12544</v>
      </c>
      <c r="AE83" s="454" t="s">
        <v>12545</v>
      </c>
      <c r="AF83" s="460" t="s">
        <v>12806</v>
      </c>
      <c r="AG83" s="460" t="s">
        <v>12807</v>
      </c>
      <c r="AH83" s="460" t="s">
        <v>12845</v>
      </c>
    </row>
    <row r="84" spans="1:34">
      <c r="A84" s="453" t="s">
        <v>12841</v>
      </c>
      <c r="B84" s="454" t="s">
        <v>12850</v>
      </c>
      <c r="C84" s="454" t="s">
        <v>12843</v>
      </c>
      <c r="D84" s="454" t="s">
        <v>12851</v>
      </c>
      <c r="E84" s="454" t="s">
        <v>1743</v>
      </c>
      <c r="F84" s="459" t="s">
        <v>1736</v>
      </c>
      <c r="G84" s="455" t="s">
        <v>4913</v>
      </c>
      <c r="H84" s="455" t="s">
        <v>4913</v>
      </c>
      <c r="I84" s="455" t="s">
        <v>4913</v>
      </c>
      <c r="J84" s="455" t="s">
        <v>4913</v>
      </c>
      <c r="K84" s="455" t="s">
        <v>4913</v>
      </c>
      <c r="L84" s="455" t="s">
        <v>4913</v>
      </c>
      <c r="M84" s="455" t="s">
        <v>4913</v>
      </c>
      <c r="N84" s="455" t="s">
        <v>4913</v>
      </c>
      <c r="O84" s="455" t="s">
        <v>4913</v>
      </c>
      <c r="P84" s="455" t="s">
        <v>4913</v>
      </c>
      <c r="Q84" s="455" t="s">
        <v>4913</v>
      </c>
      <c r="R84" s="455" t="s">
        <v>4913</v>
      </c>
      <c r="S84" s="455" t="s">
        <v>4913</v>
      </c>
      <c r="T84" s="455" t="s">
        <v>4913</v>
      </c>
      <c r="U84" s="455" t="s">
        <v>4913</v>
      </c>
      <c r="V84" s="455" t="s">
        <v>4913</v>
      </c>
      <c r="W84" s="455" t="s">
        <v>4913</v>
      </c>
      <c r="X84" s="455" t="s">
        <v>4913</v>
      </c>
      <c r="Y84" s="455" t="s">
        <v>4913</v>
      </c>
      <c r="Z84" s="455" t="s">
        <v>4913</v>
      </c>
      <c r="AA84" s="455" t="s">
        <v>4913</v>
      </c>
      <c r="AB84" s="455" t="s">
        <v>4913</v>
      </c>
      <c r="AC84" s="456" t="s">
        <v>1737</v>
      </c>
      <c r="AD84" s="459" t="s">
        <v>12544</v>
      </c>
      <c r="AE84" s="454" t="s">
        <v>12545</v>
      </c>
      <c r="AF84" s="460" t="s">
        <v>12806</v>
      </c>
      <c r="AG84" s="460" t="s">
        <v>12807</v>
      </c>
      <c r="AH84" s="460" t="s">
        <v>12845</v>
      </c>
    </row>
    <row r="85" spans="1:34">
      <c r="A85" s="453" t="s">
        <v>12841</v>
      </c>
      <c r="B85" s="454" t="s">
        <v>12852</v>
      </c>
      <c r="C85" s="454" t="s">
        <v>12843</v>
      </c>
      <c r="D85" s="454" t="s">
        <v>12853</v>
      </c>
      <c r="E85" s="454" t="s">
        <v>1743</v>
      </c>
      <c r="F85" s="459" t="s">
        <v>1736</v>
      </c>
      <c r="G85" s="455" t="s">
        <v>4913</v>
      </c>
      <c r="H85" s="455" t="s">
        <v>4913</v>
      </c>
      <c r="I85" s="455" t="s">
        <v>4913</v>
      </c>
      <c r="J85" s="455" t="s">
        <v>4913</v>
      </c>
      <c r="K85" s="455" t="s">
        <v>4913</v>
      </c>
      <c r="L85" s="455" t="s">
        <v>4913</v>
      </c>
      <c r="M85" s="455" t="s">
        <v>4913</v>
      </c>
      <c r="N85" s="455" t="s">
        <v>4913</v>
      </c>
      <c r="O85" s="455" t="s">
        <v>4913</v>
      </c>
      <c r="P85" s="455" t="s">
        <v>4913</v>
      </c>
      <c r="Q85" s="455" t="s">
        <v>4913</v>
      </c>
      <c r="R85" s="455" t="s">
        <v>4913</v>
      </c>
      <c r="S85" s="455" t="s">
        <v>4913</v>
      </c>
      <c r="T85" s="455" t="s">
        <v>4913</v>
      </c>
      <c r="U85" s="455" t="s">
        <v>4913</v>
      </c>
      <c r="V85" s="455" t="s">
        <v>4913</v>
      </c>
      <c r="W85" s="455" t="s">
        <v>4913</v>
      </c>
      <c r="X85" s="455" t="s">
        <v>4913</v>
      </c>
      <c r="Y85" s="455" t="s">
        <v>4913</v>
      </c>
      <c r="Z85" s="455" t="s">
        <v>4913</v>
      </c>
      <c r="AA85" s="455" t="s">
        <v>4913</v>
      </c>
      <c r="AB85" s="455" t="s">
        <v>4913</v>
      </c>
      <c r="AC85" s="456" t="s">
        <v>1737</v>
      </c>
      <c r="AD85" s="459" t="s">
        <v>12544</v>
      </c>
      <c r="AE85" s="454" t="s">
        <v>12545</v>
      </c>
      <c r="AF85" s="460" t="s">
        <v>12806</v>
      </c>
      <c r="AG85" s="460" t="s">
        <v>12807</v>
      </c>
      <c r="AH85" s="460" t="s">
        <v>12845</v>
      </c>
    </row>
    <row r="86" spans="1:34">
      <c r="A86" s="453" t="s">
        <v>12841</v>
      </c>
      <c r="B86" s="454" t="s">
        <v>12854</v>
      </c>
      <c r="C86" s="454" t="s">
        <v>12843</v>
      </c>
      <c r="D86" s="454" t="s">
        <v>12855</v>
      </c>
      <c r="E86" s="454" t="s">
        <v>1743</v>
      </c>
      <c r="F86" s="459" t="s">
        <v>1736</v>
      </c>
      <c r="G86" s="455" t="s">
        <v>4913</v>
      </c>
      <c r="H86" s="455" t="s">
        <v>4913</v>
      </c>
      <c r="I86" s="455" t="s">
        <v>4913</v>
      </c>
      <c r="J86" s="455" t="s">
        <v>4913</v>
      </c>
      <c r="K86" s="455" t="s">
        <v>4913</v>
      </c>
      <c r="L86" s="455" t="s">
        <v>4913</v>
      </c>
      <c r="M86" s="455" t="s">
        <v>4913</v>
      </c>
      <c r="N86" s="455" t="s">
        <v>4913</v>
      </c>
      <c r="O86" s="455" t="s">
        <v>4913</v>
      </c>
      <c r="P86" s="455" t="s">
        <v>4913</v>
      </c>
      <c r="Q86" s="455" t="s">
        <v>4913</v>
      </c>
      <c r="R86" s="455" t="s">
        <v>4913</v>
      </c>
      <c r="S86" s="455" t="s">
        <v>4913</v>
      </c>
      <c r="T86" s="455" t="s">
        <v>4913</v>
      </c>
      <c r="U86" s="455" t="s">
        <v>4913</v>
      </c>
      <c r="V86" s="455" t="s">
        <v>4913</v>
      </c>
      <c r="W86" s="455" t="s">
        <v>4913</v>
      </c>
      <c r="X86" s="455" t="s">
        <v>4913</v>
      </c>
      <c r="Y86" s="455" t="s">
        <v>4913</v>
      </c>
      <c r="Z86" s="455" t="s">
        <v>4913</v>
      </c>
      <c r="AA86" s="455" t="s">
        <v>4913</v>
      </c>
      <c r="AB86" s="455" t="s">
        <v>4913</v>
      </c>
      <c r="AC86" s="456" t="s">
        <v>1737</v>
      </c>
      <c r="AD86" s="459" t="s">
        <v>12544</v>
      </c>
      <c r="AE86" s="454" t="s">
        <v>12545</v>
      </c>
      <c r="AF86" s="460" t="s">
        <v>12806</v>
      </c>
      <c r="AG86" s="460" t="s">
        <v>12807</v>
      </c>
      <c r="AH86" s="460" t="s">
        <v>12845</v>
      </c>
    </row>
    <row r="87" spans="1:34">
      <c r="A87" s="453" t="s">
        <v>12856</v>
      </c>
      <c r="B87" s="454" t="s">
        <v>12857</v>
      </c>
      <c r="C87" s="454" t="s">
        <v>12858</v>
      </c>
      <c r="D87" s="454" t="s">
        <v>12859</v>
      </c>
      <c r="E87" s="454" t="s">
        <v>1732</v>
      </c>
      <c r="F87" s="459" t="s">
        <v>1736</v>
      </c>
      <c r="G87" s="455" t="s">
        <v>4913</v>
      </c>
      <c r="H87" s="455" t="s">
        <v>4913</v>
      </c>
      <c r="I87" s="455" t="s">
        <v>4913</v>
      </c>
      <c r="J87" s="455" t="s">
        <v>4913</v>
      </c>
      <c r="K87" s="455" t="s">
        <v>4913</v>
      </c>
      <c r="L87" s="455" t="s">
        <v>4913</v>
      </c>
      <c r="M87" s="455" t="s">
        <v>4913</v>
      </c>
      <c r="N87" s="455" t="s">
        <v>4913</v>
      </c>
      <c r="O87" s="455" t="s">
        <v>4913</v>
      </c>
      <c r="P87" s="455" t="s">
        <v>4913</v>
      </c>
      <c r="Q87" s="455" t="s">
        <v>4913</v>
      </c>
      <c r="R87" s="455" t="s">
        <v>4913</v>
      </c>
      <c r="S87" s="455" t="s">
        <v>4913</v>
      </c>
      <c r="T87" s="455" t="s">
        <v>4913</v>
      </c>
      <c r="U87" s="455" t="s">
        <v>4913</v>
      </c>
      <c r="V87" s="455" t="s">
        <v>4913</v>
      </c>
      <c r="W87" s="455" t="s">
        <v>4913</v>
      </c>
      <c r="X87" s="455" t="s">
        <v>4913</v>
      </c>
      <c r="Y87" s="455" t="s">
        <v>4913</v>
      </c>
      <c r="Z87" s="455" t="s">
        <v>4913</v>
      </c>
      <c r="AA87" s="455" t="s">
        <v>4913</v>
      </c>
      <c r="AB87" s="455" t="s">
        <v>4913</v>
      </c>
      <c r="AC87" s="456" t="s">
        <v>1737</v>
      </c>
      <c r="AD87" s="459" t="s">
        <v>12544</v>
      </c>
      <c r="AE87" s="454" t="s">
        <v>12545</v>
      </c>
      <c r="AF87" s="454" t="s">
        <v>12860</v>
      </c>
      <c r="AG87" s="462">
        <v>44658</v>
      </c>
      <c r="AH87" s="460" t="s">
        <v>12861</v>
      </c>
    </row>
    <row r="88" spans="1:34">
      <c r="A88" s="453" t="s">
        <v>12856</v>
      </c>
      <c r="B88" s="454" t="s">
        <v>12862</v>
      </c>
      <c r="C88" s="454" t="s">
        <v>12858</v>
      </c>
      <c r="D88" s="454" t="s">
        <v>12863</v>
      </c>
      <c r="E88" s="454" t="s">
        <v>1743</v>
      </c>
      <c r="F88" s="455" t="s">
        <v>4913</v>
      </c>
      <c r="G88" s="455" t="s">
        <v>4913</v>
      </c>
      <c r="H88" s="455" t="s">
        <v>4913</v>
      </c>
      <c r="I88" s="455" t="s">
        <v>4913</v>
      </c>
      <c r="J88" s="455" t="s">
        <v>4913</v>
      </c>
      <c r="K88" s="455" t="s">
        <v>4913</v>
      </c>
      <c r="L88" s="455" t="s">
        <v>4913</v>
      </c>
      <c r="M88" s="455" t="s">
        <v>4913</v>
      </c>
      <c r="N88" s="455" t="s">
        <v>4913</v>
      </c>
      <c r="O88" s="455" t="s">
        <v>4913</v>
      </c>
      <c r="P88" s="455" t="s">
        <v>4913</v>
      </c>
      <c r="Q88" s="455" t="s">
        <v>4913</v>
      </c>
      <c r="R88" s="455" t="s">
        <v>4913</v>
      </c>
      <c r="S88" s="455" t="s">
        <v>4913</v>
      </c>
      <c r="T88" s="455" t="s">
        <v>4913</v>
      </c>
      <c r="U88" s="455" t="s">
        <v>4913</v>
      </c>
      <c r="V88" s="455" t="s">
        <v>4913</v>
      </c>
      <c r="W88" s="455" t="s">
        <v>4913</v>
      </c>
      <c r="X88" s="455" t="s">
        <v>4913</v>
      </c>
      <c r="Y88" s="455" t="s">
        <v>4913</v>
      </c>
      <c r="Z88" s="455" t="s">
        <v>4913</v>
      </c>
      <c r="AA88" s="455" t="s">
        <v>4913</v>
      </c>
      <c r="AB88" s="455" t="s">
        <v>4913</v>
      </c>
      <c r="AC88" s="456" t="s">
        <v>1737</v>
      </c>
      <c r="AD88" s="459" t="s">
        <v>12544</v>
      </c>
      <c r="AE88" s="454" t="s">
        <v>12545</v>
      </c>
      <c r="AF88" s="454" t="s">
        <v>12864</v>
      </c>
      <c r="AG88" s="462">
        <v>44658</v>
      </c>
      <c r="AH88" s="460" t="s">
        <v>12861</v>
      </c>
    </row>
    <row r="89" spans="1:34">
      <c r="A89" s="453" t="s">
        <v>12856</v>
      </c>
      <c r="B89" s="454" t="s">
        <v>12865</v>
      </c>
      <c r="C89" s="454" t="s">
        <v>12858</v>
      </c>
      <c r="D89" s="454" t="s">
        <v>12866</v>
      </c>
      <c r="E89" s="454" t="s">
        <v>1743</v>
      </c>
      <c r="F89" s="459" t="s">
        <v>1736</v>
      </c>
      <c r="G89" s="455" t="s">
        <v>4913</v>
      </c>
      <c r="H89" s="455" t="s">
        <v>4913</v>
      </c>
      <c r="I89" s="455" t="s">
        <v>4913</v>
      </c>
      <c r="J89" s="455" t="s">
        <v>4913</v>
      </c>
      <c r="K89" s="455" t="s">
        <v>4913</v>
      </c>
      <c r="L89" s="455" t="s">
        <v>4913</v>
      </c>
      <c r="M89" s="455" t="s">
        <v>4913</v>
      </c>
      <c r="N89" s="455" t="s">
        <v>4913</v>
      </c>
      <c r="O89" s="455" t="s">
        <v>4913</v>
      </c>
      <c r="P89" s="455" t="s">
        <v>4913</v>
      </c>
      <c r="Q89" s="455" t="s">
        <v>4913</v>
      </c>
      <c r="R89" s="455" t="s">
        <v>4913</v>
      </c>
      <c r="S89" s="455" t="s">
        <v>4913</v>
      </c>
      <c r="T89" s="455" t="s">
        <v>4913</v>
      </c>
      <c r="U89" s="455" t="s">
        <v>4913</v>
      </c>
      <c r="V89" s="455" t="s">
        <v>4913</v>
      </c>
      <c r="W89" s="455" t="s">
        <v>4913</v>
      </c>
      <c r="X89" s="455" t="s">
        <v>4913</v>
      </c>
      <c r="Y89" s="455" t="s">
        <v>4913</v>
      </c>
      <c r="Z89" s="455" t="s">
        <v>4913</v>
      </c>
      <c r="AA89" s="455" t="s">
        <v>4913</v>
      </c>
      <c r="AB89" s="455" t="s">
        <v>4913</v>
      </c>
      <c r="AC89" s="456" t="s">
        <v>1737</v>
      </c>
      <c r="AD89" s="459" t="s">
        <v>12544</v>
      </c>
      <c r="AE89" s="454" t="s">
        <v>12545</v>
      </c>
      <c r="AF89" s="460" t="s">
        <v>12860</v>
      </c>
      <c r="AG89" s="460" t="s">
        <v>12867</v>
      </c>
      <c r="AH89" s="460" t="s">
        <v>12868</v>
      </c>
    </row>
    <row r="90" spans="1:34">
      <c r="A90" s="453" t="s">
        <v>12856</v>
      </c>
      <c r="B90" s="454" t="s">
        <v>12869</v>
      </c>
      <c r="C90" s="454" t="s">
        <v>12858</v>
      </c>
      <c r="D90" s="454" t="s">
        <v>12870</v>
      </c>
      <c r="E90" s="454" t="s">
        <v>1743</v>
      </c>
      <c r="F90" s="459" t="s">
        <v>1736</v>
      </c>
      <c r="G90" s="455" t="s">
        <v>4913</v>
      </c>
      <c r="H90" s="455" t="s">
        <v>4913</v>
      </c>
      <c r="I90" s="455" t="s">
        <v>4913</v>
      </c>
      <c r="J90" s="455" t="s">
        <v>4913</v>
      </c>
      <c r="K90" s="455" t="s">
        <v>4913</v>
      </c>
      <c r="L90" s="455" t="s">
        <v>4913</v>
      </c>
      <c r="M90" s="455" t="s">
        <v>4913</v>
      </c>
      <c r="N90" s="455" t="s">
        <v>4913</v>
      </c>
      <c r="O90" s="455" t="s">
        <v>4913</v>
      </c>
      <c r="P90" s="455" t="s">
        <v>4913</v>
      </c>
      <c r="Q90" s="455" t="s">
        <v>4913</v>
      </c>
      <c r="R90" s="455" t="s">
        <v>4913</v>
      </c>
      <c r="S90" s="455" t="s">
        <v>4913</v>
      </c>
      <c r="T90" s="455" t="s">
        <v>4913</v>
      </c>
      <c r="U90" s="455" t="s">
        <v>4913</v>
      </c>
      <c r="V90" s="455" t="s">
        <v>4913</v>
      </c>
      <c r="W90" s="455" t="s">
        <v>4913</v>
      </c>
      <c r="X90" s="455" t="s">
        <v>4913</v>
      </c>
      <c r="Y90" s="455" t="s">
        <v>4913</v>
      </c>
      <c r="Z90" s="455" t="s">
        <v>4913</v>
      </c>
      <c r="AA90" s="455" t="s">
        <v>4913</v>
      </c>
      <c r="AB90" s="455" t="s">
        <v>4913</v>
      </c>
      <c r="AC90" s="456" t="s">
        <v>1737</v>
      </c>
      <c r="AD90" s="459" t="s">
        <v>12544</v>
      </c>
      <c r="AE90" s="454" t="s">
        <v>12545</v>
      </c>
      <c r="AF90" s="454" t="s">
        <v>12871</v>
      </c>
      <c r="AG90" s="460" t="s">
        <v>12867</v>
      </c>
      <c r="AH90" s="460" t="s">
        <v>12868</v>
      </c>
    </row>
    <row r="91" spans="1:34">
      <c r="A91" s="453" t="s">
        <v>12856</v>
      </c>
      <c r="B91" s="454" t="s">
        <v>12872</v>
      </c>
      <c r="C91" s="454" t="s">
        <v>12858</v>
      </c>
      <c r="D91" s="454" t="s">
        <v>12873</v>
      </c>
      <c r="E91" s="454" t="s">
        <v>1743</v>
      </c>
      <c r="F91" s="459" t="s">
        <v>1736</v>
      </c>
      <c r="G91" s="455" t="s">
        <v>4913</v>
      </c>
      <c r="H91" s="455" t="s">
        <v>4913</v>
      </c>
      <c r="I91" s="455" t="s">
        <v>4913</v>
      </c>
      <c r="J91" s="455" t="s">
        <v>4913</v>
      </c>
      <c r="K91" s="455" t="s">
        <v>4913</v>
      </c>
      <c r="L91" s="455" t="s">
        <v>4913</v>
      </c>
      <c r="M91" s="455" t="s">
        <v>4913</v>
      </c>
      <c r="N91" s="455" t="s">
        <v>4913</v>
      </c>
      <c r="O91" s="455" t="s">
        <v>4913</v>
      </c>
      <c r="P91" s="455" t="s">
        <v>4913</v>
      </c>
      <c r="Q91" s="455" t="s">
        <v>4913</v>
      </c>
      <c r="R91" s="455" t="s">
        <v>4913</v>
      </c>
      <c r="S91" s="455" t="s">
        <v>4913</v>
      </c>
      <c r="T91" s="455" t="s">
        <v>4913</v>
      </c>
      <c r="U91" s="455" t="s">
        <v>4913</v>
      </c>
      <c r="V91" s="455" t="s">
        <v>4913</v>
      </c>
      <c r="W91" s="455" t="s">
        <v>4913</v>
      </c>
      <c r="X91" s="455" t="s">
        <v>4913</v>
      </c>
      <c r="Y91" s="455" t="s">
        <v>4913</v>
      </c>
      <c r="Z91" s="455" t="s">
        <v>4913</v>
      </c>
      <c r="AA91" s="455" t="s">
        <v>4913</v>
      </c>
      <c r="AB91" s="455" t="s">
        <v>4913</v>
      </c>
      <c r="AC91" s="456" t="s">
        <v>1737</v>
      </c>
      <c r="AD91" s="459" t="s">
        <v>12544</v>
      </c>
      <c r="AE91" s="454" t="s">
        <v>12545</v>
      </c>
      <c r="AF91" s="454" t="s">
        <v>12860</v>
      </c>
      <c r="AG91" s="460" t="s">
        <v>12874</v>
      </c>
      <c r="AH91" s="460" t="s">
        <v>12875</v>
      </c>
    </row>
    <row r="92" spans="1:34">
      <c r="A92" s="453" t="s">
        <v>12876</v>
      </c>
      <c r="B92" s="454" t="s">
        <v>12877</v>
      </c>
      <c r="C92" s="454" t="s">
        <v>12878</v>
      </c>
      <c r="D92" s="454" t="s">
        <v>12879</v>
      </c>
      <c r="E92" s="454" t="s">
        <v>1732</v>
      </c>
      <c r="F92" s="459" t="s">
        <v>1736</v>
      </c>
      <c r="G92" s="459" t="s">
        <v>1736</v>
      </c>
      <c r="H92" s="455" t="s">
        <v>4913</v>
      </c>
      <c r="I92" s="455" t="s">
        <v>4913</v>
      </c>
      <c r="J92" s="455" t="s">
        <v>4913</v>
      </c>
      <c r="K92" s="455" t="s">
        <v>4913</v>
      </c>
      <c r="L92" s="455" t="s">
        <v>4913</v>
      </c>
      <c r="M92" s="455" t="s">
        <v>4913</v>
      </c>
      <c r="N92" s="455" t="s">
        <v>4913</v>
      </c>
      <c r="O92" s="455" t="s">
        <v>4913</v>
      </c>
      <c r="P92" s="459" t="s">
        <v>1736</v>
      </c>
      <c r="Q92" s="455" t="s">
        <v>4913</v>
      </c>
      <c r="R92" s="455" t="s">
        <v>4913</v>
      </c>
      <c r="S92" s="455" t="s">
        <v>4913</v>
      </c>
      <c r="T92" s="455" t="s">
        <v>4913</v>
      </c>
      <c r="U92" s="455" t="s">
        <v>4913</v>
      </c>
      <c r="V92" s="455" t="s">
        <v>4913</v>
      </c>
      <c r="W92" s="459" t="s">
        <v>1736</v>
      </c>
      <c r="X92" s="459" t="s">
        <v>1736</v>
      </c>
      <c r="Y92" s="455" t="s">
        <v>4913</v>
      </c>
      <c r="Z92" s="455" t="s">
        <v>4913</v>
      </c>
      <c r="AA92" s="455" t="s">
        <v>4913</v>
      </c>
      <c r="AB92" s="455" t="s">
        <v>4913</v>
      </c>
      <c r="AC92" s="456" t="s">
        <v>1737</v>
      </c>
      <c r="AD92" s="459" t="s">
        <v>12544</v>
      </c>
      <c r="AE92" s="457" t="s">
        <v>12880</v>
      </c>
      <c r="AF92" s="461" t="s">
        <v>12881</v>
      </c>
      <c r="AG92" s="461" t="s">
        <v>12882</v>
      </c>
      <c r="AH92" s="461" t="s">
        <v>12883</v>
      </c>
    </row>
    <row r="93" spans="1:34">
      <c r="A93" s="453" t="s">
        <v>12876</v>
      </c>
      <c r="B93" s="454" t="s">
        <v>12884</v>
      </c>
      <c r="C93" s="454" t="s">
        <v>12878</v>
      </c>
      <c r="D93" s="454" t="s">
        <v>12885</v>
      </c>
      <c r="E93" s="454" t="s">
        <v>1743</v>
      </c>
      <c r="F93" s="459" t="s">
        <v>1736</v>
      </c>
      <c r="G93" s="459" t="s">
        <v>1736</v>
      </c>
      <c r="H93" s="455" t="s">
        <v>4913</v>
      </c>
      <c r="I93" s="455" t="s">
        <v>4913</v>
      </c>
      <c r="J93" s="455" t="s">
        <v>4913</v>
      </c>
      <c r="K93" s="455" t="s">
        <v>4913</v>
      </c>
      <c r="L93" s="455" t="s">
        <v>4913</v>
      </c>
      <c r="M93" s="455" t="s">
        <v>4913</v>
      </c>
      <c r="N93" s="455" t="s">
        <v>4913</v>
      </c>
      <c r="O93" s="455" t="s">
        <v>4913</v>
      </c>
      <c r="P93" s="455" t="s">
        <v>4913</v>
      </c>
      <c r="Q93" s="455" t="s">
        <v>4913</v>
      </c>
      <c r="R93" s="455" t="s">
        <v>4913</v>
      </c>
      <c r="S93" s="455" t="s">
        <v>4913</v>
      </c>
      <c r="T93" s="455" t="s">
        <v>4913</v>
      </c>
      <c r="U93" s="455" t="s">
        <v>4913</v>
      </c>
      <c r="V93" s="455" t="s">
        <v>4913</v>
      </c>
      <c r="W93" s="455" t="s">
        <v>4913</v>
      </c>
      <c r="X93" s="455" t="s">
        <v>4913</v>
      </c>
      <c r="Y93" s="455" t="s">
        <v>4913</v>
      </c>
      <c r="Z93" s="455" t="s">
        <v>4913</v>
      </c>
      <c r="AA93" s="455" t="s">
        <v>4913</v>
      </c>
      <c r="AB93" s="455" t="s">
        <v>4913</v>
      </c>
      <c r="AC93" s="456" t="s">
        <v>1737</v>
      </c>
      <c r="AD93" s="459" t="s">
        <v>12544</v>
      </c>
      <c r="AE93" s="457" t="s">
        <v>12545</v>
      </c>
      <c r="AF93" s="461" t="s">
        <v>12886</v>
      </c>
      <c r="AG93" s="461" t="s">
        <v>12882</v>
      </c>
      <c r="AH93" s="461" t="s">
        <v>12883</v>
      </c>
    </row>
    <row r="94" spans="1:34">
      <c r="A94" s="453" t="s">
        <v>12876</v>
      </c>
      <c r="B94" s="454" t="s">
        <v>12887</v>
      </c>
      <c r="C94" s="454" t="s">
        <v>12878</v>
      </c>
      <c r="D94" s="454" t="s">
        <v>12888</v>
      </c>
      <c r="E94" s="454" t="s">
        <v>1743</v>
      </c>
      <c r="F94" s="459" t="s">
        <v>1736</v>
      </c>
      <c r="G94" s="459" t="s">
        <v>1736</v>
      </c>
      <c r="H94" s="455" t="s">
        <v>4913</v>
      </c>
      <c r="I94" s="455" t="s">
        <v>4913</v>
      </c>
      <c r="J94" s="455" t="s">
        <v>4913</v>
      </c>
      <c r="K94" s="455" t="s">
        <v>4913</v>
      </c>
      <c r="L94" s="455" t="s">
        <v>4913</v>
      </c>
      <c r="M94" s="455" t="s">
        <v>4913</v>
      </c>
      <c r="N94" s="455" t="s">
        <v>4913</v>
      </c>
      <c r="O94" s="455" t="s">
        <v>4913</v>
      </c>
      <c r="P94" s="455" t="s">
        <v>4913</v>
      </c>
      <c r="Q94" s="455" t="s">
        <v>4913</v>
      </c>
      <c r="R94" s="455" t="s">
        <v>4913</v>
      </c>
      <c r="S94" s="455" t="s">
        <v>4913</v>
      </c>
      <c r="T94" s="455" t="s">
        <v>4913</v>
      </c>
      <c r="U94" s="455" t="s">
        <v>4913</v>
      </c>
      <c r="V94" s="455" t="s">
        <v>4913</v>
      </c>
      <c r="W94" s="455" t="s">
        <v>4913</v>
      </c>
      <c r="X94" s="455" t="s">
        <v>4913</v>
      </c>
      <c r="Y94" s="455" t="s">
        <v>4913</v>
      </c>
      <c r="Z94" s="455" t="s">
        <v>4913</v>
      </c>
      <c r="AA94" s="455" t="s">
        <v>4913</v>
      </c>
      <c r="AB94" s="455" t="s">
        <v>4913</v>
      </c>
      <c r="AC94" s="456" t="s">
        <v>1737</v>
      </c>
      <c r="AD94" s="459" t="s">
        <v>12544</v>
      </c>
      <c r="AE94" s="457" t="s">
        <v>12545</v>
      </c>
      <c r="AF94" s="461" t="s">
        <v>12886</v>
      </c>
      <c r="AG94" s="461" t="s">
        <v>12882</v>
      </c>
      <c r="AH94" s="461" t="s">
        <v>12883</v>
      </c>
    </row>
    <row r="95" spans="1:34">
      <c r="A95" s="453" t="s">
        <v>12876</v>
      </c>
      <c r="B95" s="454" t="s">
        <v>12889</v>
      </c>
      <c r="C95" s="454" t="s">
        <v>12878</v>
      </c>
      <c r="D95" s="454" t="s">
        <v>12890</v>
      </c>
      <c r="E95" s="454" t="s">
        <v>1743</v>
      </c>
      <c r="F95" s="459" t="s">
        <v>1736</v>
      </c>
      <c r="G95" s="459" t="s">
        <v>1736</v>
      </c>
      <c r="H95" s="455" t="s">
        <v>4913</v>
      </c>
      <c r="I95" s="455" t="s">
        <v>4913</v>
      </c>
      <c r="J95" s="455" t="s">
        <v>4913</v>
      </c>
      <c r="K95" s="455" t="s">
        <v>4913</v>
      </c>
      <c r="L95" s="455" t="s">
        <v>4913</v>
      </c>
      <c r="M95" s="455" t="s">
        <v>4913</v>
      </c>
      <c r="N95" s="455" t="s">
        <v>4913</v>
      </c>
      <c r="O95" s="455" t="s">
        <v>4913</v>
      </c>
      <c r="P95" s="455" t="s">
        <v>4913</v>
      </c>
      <c r="Q95" s="455" t="s">
        <v>4913</v>
      </c>
      <c r="R95" s="455" t="s">
        <v>4913</v>
      </c>
      <c r="S95" s="455" t="s">
        <v>4913</v>
      </c>
      <c r="T95" s="455" t="s">
        <v>4913</v>
      </c>
      <c r="U95" s="455" t="s">
        <v>4913</v>
      </c>
      <c r="V95" s="455" t="s">
        <v>4913</v>
      </c>
      <c r="W95" s="455" t="s">
        <v>4913</v>
      </c>
      <c r="X95" s="455" t="s">
        <v>4913</v>
      </c>
      <c r="Y95" s="455" t="s">
        <v>4913</v>
      </c>
      <c r="Z95" s="455" t="s">
        <v>4913</v>
      </c>
      <c r="AA95" s="455" t="s">
        <v>4913</v>
      </c>
      <c r="AB95" s="455" t="s">
        <v>4913</v>
      </c>
      <c r="AC95" s="456" t="s">
        <v>1737</v>
      </c>
      <c r="AD95" s="459" t="s">
        <v>12544</v>
      </c>
      <c r="AE95" s="457" t="s">
        <v>12545</v>
      </c>
      <c r="AF95" s="461" t="s">
        <v>12886</v>
      </c>
      <c r="AG95" s="461" t="s">
        <v>12882</v>
      </c>
      <c r="AH95" s="461" t="s">
        <v>12883</v>
      </c>
    </row>
    <row r="96" spans="1:34">
      <c r="A96" s="453" t="s">
        <v>12876</v>
      </c>
      <c r="B96" s="454" t="s">
        <v>12891</v>
      </c>
      <c r="C96" s="454" t="s">
        <v>12878</v>
      </c>
      <c r="D96" s="454" t="s">
        <v>12892</v>
      </c>
      <c r="E96" s="454" t="s">
        <v>1743</v>
      </c>
      <c r="F96" s="459" t="s">
        <v>1736</v>
      </c>
      <c r="G96" s="459" t="s">
        <v>1736</v>
      </c>
      <c r="H96" s="455" t="s">
        <v>4913</v>
      </c>
      <c r="I96" s="455" t="s">
        <v>4913</v>
      </c>
      <c r="J96" s="455" t="s">
        <v>4913</v>
      </c>
      <c r="K96" s="455" t="s">
        <v>4913</v>
      </c>
      <c r="L96" s="455" t="s">
        <v>4913</v>
      </c>
      <c r="M96" s="455" t="s">
        <v>4913</v>
      </c>
      <c r="N96" s="455" t="s">
        <v>4913</v>
      </c>
      <c r="O96" s="455" t="s">
        <v>4913</v>
      </c>
      <c r="P96" s="455" t="s">
        <v>4913</v>
      </c>
      <c r="Q96" s="455" t="s">
        <v>4913</v>
      </c>
      <c r="R96" s="455" t="s">
        <v>4913</v>
      </c>
      <c r="S96" s="455" t="s">
        <v>4913</v>
      </c>
      <c r="T96" s="455" t="s">
        <v>4913</v>
      </c>
      <c r="U96" s="455" t="s">
        <v>4913</v>
      </c>
      <c r="V96" s="455" t="s">
        <v>4913</v>
      </c>
      <c r="W96" s="459" t="s">
        <v>1736</v>
      </c>
      <c r="X96" s="459" t="s">
        <v>1736</v>
      </c>
      <c r="Y96" s="455" t="s">
        <v>4913</v>
      </c>
      <c r="Z96" s="455" t="s">
        <v>4913</v>
      </c>
      <c r="AA96" s="455" t="s">
        <v>4913</v>
      </c>
      <c r="AB96" s="455" t="s">
        <v>4913</v>
      </c>
      <c r="AC96" s="456" t="s">
        <v>1737</v>
      </c>
      <c r="AD96" s="459" t="s">
        <v>12544</v>
      </c>
      <c r="AE96" s="457" t="s">
        <v>12893</v>
      </c>
      <c r="AF96" s="461" t="s">
        <v>12894</v>
      </c>
      <c r="AG96" s="464">
        <v>44658</v>
      </c>
      <c r="AH96" s="461" t="s">
        <v>12895</v>
      </c>
    </row>
    <row r="97" spans="1:34">
      <c r="A97" s="453" t="s">
        <v>12896</v>
      </c>
      <c r="B97" s="454" t="s">
        <v>12897</v>
      </c>
      <c r="C97" s="454" t="s">
        <v>12898</v>
      </c>
      <c r="D97" s="454" t="s">
        <v>12899</v>
      </c>
      <c r="E97" s="454" t="s">
        <v>1732</v>
      </c>
      <c r="F97" s="459" t="s">
        <v>1736</v>
      </c>
      <c r="G97" s="455" t="s">
        <v>4913</v>
      </c>
      <c r="H97" s="455" t="s">
        <v>4913</v>
      </c>
      <c r="I97" s="455" t="s">
        <v>4913</v>
      </c>
      <c r="J97" s="455" t="s">
        <v>4913</v>
      </c>
      <c r="K97" s="455" t="s">
        <v>4913</v>
      </c>
      <c r="L97" s="455" t="s">
        <v>4913</v>
      </c>
      <c r="M97" s="455" t="s">
        <v>4913</v>
      </c>
      <c r="N97" s="455" t="s">
        <v>4913</v>
      </c>
      <c r="O97" s="455" t="s">
        <v>4913</v>
      </c>
      <c r="P97" s="455" t="s">
        <v>4913</v>
      </c>
      <c r="Q97" s="455" t="s">
        <v>4913</v>
      </c>
      <c r="R97" s="455" t="s">
        <v>4913</v>
      </c>
      <c r="S97" s="455" t="s">
        <v>4913</v>
      </c>
      <c r="T97" s="455" t="s">
        <v>4913</v>
      </c>
      <c r="U97" s="455" t="s">
        <v>4913</v>
      </c>
      <c r="V97" s="455" t="s">
        <v>4913</v>
      </c>
      <c r="W97" s="455" t="s">
        <v>4913</v>
      </c>
      <c r="X97" s="455" t="s">
        <v>4913</v>
      </c>
      <c r="Y97" s="455" t="s">
        <v>4913</v>
      </c>
      <c r="Z97" s="455" t="s">
        <v>4913</v>
      </c>
      <c r="AA97" s="455" t="s">
        <v>4913</v>
      </c>
      <c r="AB97" s="455" t="s">
        <v>4913</v>
      </c>
      <c r="AC97" s="456" t="s">
        <v>1737</v>
      </c>
      <c r="AD97" s="459" t="s">
        <v>12544</v>
      </c>
      <c r="AE97" s="454" t="s">
        <v>12545</v>
      </c>
      <c r="AF97" s="460" t="s">
        <v>12900</v>
      </c>
      <c r="AG97" s="460" t="s">
        <v>12901</v>
      </c>
      <c r="AH97" s="460" t="s">
        <v>12902</v>
      </c>
    </row>
    <row r="98" spans="1:34">
      <c r="A98" s="453" t="s">
        <v>12896</v>
      </c>
      <c r="B98" s="454" t="s">
        <v>12903</v>
      </c>
      <c r="C98" s="454" t="s">
        <v>12898</v>
      </c>
      <c r="D98" s="454" t="s">
        <v>12904</v>
      </c>
      <c r="E98" s="454" t="s">
        <v>1732</v>
      </c>
      <c r="F98" s="459" t="s">
        <v>1736</v>
      </c>
      <c r="G98" s="455" t="s">
        <v>4913</v>
      </c>
      <c r="H98" s="455" t="s">
        <v>4913</v>
      </c>
      <c r="I98" s="455" t="s">
        <v>4913</v>
      </c>
      <c r="J98" s="455" t="s">
        <v>4913</v>
      </c>
      <c r="K98" s="455" t="s">
        <v>4913</v>
      </c>
      <c r="L98" s="455" t="s">
        <v>4913</v>
      </c>
      <c r="M98" s="455" t="s">
        <v>4913</v>
      </c>
      <c r="N98" s="455" t="s">
        <v>4913</v>
      </c>
      <c r="O98" s="455" t="s">
        <v>4913</v>
      </c>
      <c r="P98" s="455" t="s">
        <v>4913</v>
      </c>
      <c r="Q98" s="455" t="s">
        <v>4913</v>
      </c>
      <c r="R98" s="455" t="s">
        <v>4913</v>
      </c>
      <c r="S98" s="455" t="s">
        <v>4913</v>
      </c>
      <c r="T98" s="455" t="s">
        <v>4913</v>
      </c>
      <c r="U98" s="455" t="s">
        <v>4913</v>
      </c>
      <c r="V98" s="455" t="s">
        <v>4913</v>
      </c>
      <c r="W98" s="455" t="s">
        <v>4913</v>
      </c>
      <c r="X98" s="455" t="s">
        <v>4913</v>
      </c>
      <c r="Y98" s="455" t="s">
        <v>4913</v>
      </c>
      <c r="Z98" s="455" t="s">
        <v>4913</v>
      </c>
      <c r="AA98" s="455" t="s">
        <v>4913</v>
      </c>
      <c r="AB98" s="455" t="s">
        <v>4913</v>
      </c>
      <c r="AC98" s="456" t="s">
        <v>1737</v>
      </c>
      <c r="AD98" s="459" t="s">
        <v>12544</v>
      </c>
      <c r="AE98" s="454" t="s">
        <v>12545</v>
      </c>
      <c r="AF98" s="460" t="s">
        <v>12900</v>
      </c>
      <c r="AG98" s="460" t="s">
        <v>12901</v>
      </c>
      <c r="AH98" s="460" t="s">
        <v>12902</v>
      </c>
    </row>
    <row r="99" spans="1:34">
      <c r="A99" s="453" t="s">
        <v>12905</v>
      </c>
      <c r="B99" s="454" t="s">
        <v>12906</v>
      </c>
      <c r="C99" s="454" t="s">
        <v>12907</v>
      </c>
      <c r="D99" s="454" t="s">
        <v>12908</v>
      </c>
      <c r="E99" s="454" t="s">
        <v>1732</v>
      </c>
      <c r="F99" s="459" t="s">
        <v>1736</v>
      </c>
      <c r="G99" s="455" t="s">
        <v>4913</v>
      </c>
      <c r="H99" s="455" t="s">
        <v>4913</v>
      </c>
      <c r="I99" s="455" t="s">
        <v>4913</v>
      </c>
      <c r="J99" s="455" t="s">
        <v>4913</v>
      </c>
      <c r="K99" s="455" t="s">
        <v>4913</v>
      </c>
      <c r="L99" s="455" t="s">
        <v>4913</v>
      </c>
      <c r="M99" s="455" t="s">
        <v>4913</v>
      </c>
      <c r="N99" s="455" t="s">
        <v>4913</v>
      </c>
      <c r="O99" s="455" t="s">
        <v>4913</v>
      </c>
      <c r="P99" s="455" t="s">
        <v>4913</v>
      </c>
      <c r="Q99" s="455" t="s">
        <v>4913</v>
      </c>
      <c r="R99" s="455" t="s">
        <v>4913</v>
      </c>
      <c r="S99" s="455" t="s">
        <v>4913</v>
      </c>
      <c r="T99" s="455" t="s">
        <v>4913</v>
      </c>
      <c r="U99" s="455" t="s">
        <v>4913</v>
      </c>
      <c r="V99" s="455" t="s">
        <v>4913</v>
      </c>
      <c r="W99" s="455" t="s">
        <v>4913</v>
      </c>
      <c r="X99" s="455" t="s">
        <v>4913</v>
      </c>
      <c r="Y99" s="455" t="s">
        <v>4913</v>
      </c>
      <c r="Z99" s="455" t="s">
        <v>4913</v>
      </c>
      <c r="AA99" s="455" t="s">
        <v>4913</v>
      </c>
      <c r="AB99" s="455" t="s">
        <v>4913</v>
      </c>
      <c r="AC99" s="456" t="s">
        <v>1737</v>
      </c>
      <c r="AD99" s="459" t="s">
        <v>12544</v>
      </c>
      <c r="AE99" s="454" t="s">
        <v>12545</v>
      </c>
      <c r="AF99" s="460" t="s">
        <v>12573</v>
      </c>
      <c r="AG99" s="460" t="s">
        <v>12901</v>
      </c>
      <c r="AH99" s="460" t="s">
        <v>12909</v>
      </c>
    </row>
    <row r="100" spans="1:34">
      <c r="A100" s="453" t="s">
        <v>12905</v>
      </c>
      <c r="B100" s="454" t="s">
        <v>12910</v>
      </c>
      <c r="C100" s="454" t="s">
        <v>12907</v>
      </c>
      <c r="D100" s="454" t="s">
        <v>12911</v>
      </c>
      <c r="E100" s="454" t="s">
        <v>1732</v>
      </c>
      <c r="F100" s="459" t="s">
        <v>1736</v>
      </c>
      <c r="G100" s="455" t="s">
        <v>4913</v>
      </c>
      <c r="H100" s="455" t="s">
        <v>4913</v>
      </c>
      <c r="I100" s="455" t="s">
        <v>4913</v>
      </c>
      <c r="J100" s="455" t="s">
        <v>4913</v>
      </c>
      <c r="K100" s="455" t="s">
        <v>4913</v>
      </c>
      <c r="L100" s="455" t="s">
        <v>4913</v>
      </c>
      <c r="M100" s="455" t="s">
        <v>4913</v>
      </c>
      <c r="N100" s="455" t="s">
        <v>4913</v>
      </c>
      <c r="O100" s="455" t="s">
        <v>4913</v>
      </c>
      <c r="P100" s="455" t="s">
        <v>4913</v>
      </c>
      <c r="Q100" s="455" t="s">
        <v>4913</v>
      </c>
      <c r="R100" s="455" t="s">
        <v>4913</v>
      </c>
      <c r="S100" s="455" t="s">
        <v>4913</v>
      </c>
      <c r="T100" s="455" t="s">
        <v>4913</v>
      </c>
      <c r="U100" s="455" t="s">
        <v>4913</v>
      </c>
      <c r="V100" s="455" t="s">
        <v>4913</v>
      </c>
      <c r="W100" s="455" t="s">
        <v>4913</v>
      </c>
      <c r="X100" s="455" t="s">
        <v>4913</v>
      </c>
      <c r="Y100" s="455" t="s">
        <v>4913</v>
      </c>
      <c r="Z100" s="455" t="s">
        <v>4913</v>
      </c>
      <c r="AA100" s="455" t="s">
        <v>4913</v>
      </c>
      <c r="AB100" s="455" t="s">
        <v>4913</v>
      </c>
      <c r="AC100" s="456" t="s">
        <v>1737</v>
      </c>
      <c r="AD100" s="459" t="s">
        <v>12544</v>
      </c>
      <c r="AE100" s="454" t="s">
        <v>12545</v>
      </c>
      <c r="AF100" s="460" t="s">
        <v>12573</v>
      </c>
      <c r="AG100" s="460" t="s">
        <v>12901</v>
      </c>
      <c r="AH100" s="460" t="s">
        <v>12909</v>
      </c>
    </row>
    <row r="101" spans="1:34">
      <c r="A101" s="453" t="s">
        <v>12912</v>
      </c>
      <c r="B101" s="454" t="s">
        <v>12913</v>
      </c>
      <c r="C101" s="454" t="s">
        <v>12914</v>
      </c>
      <c r="D101" s="454" t="s">
        <v>12915</v>
      </c>
      <c r="E101" s="454" t="s">
        <v>1732</v>
      </c>
      <c r="F101" s="459" t="s">
        <v>1736</v>
      </c>
      <c r="G101" s="455" t="s">
        <v>4913</v>
      </c>
      <c r="H101" s="455" t="s">
        <v>4913</v>
      </c>
      <c r="I101" s="455" t="s">
        <v>4913</v>
      </c>
      <c r="J101" s="455" t="s">
        <v>4913</v>
      </c>
      <c r="K101" s="455" t="s">
        <v>4913</v>
      </c>
      <c r="L101" s="455" t="s">
        <v>4913</v>
      </c>
      <c r="M101" s="455" t="s">
        <v>4913</v>
      </c>
      <c r="N101" s="455" t="s">
        <v>4913</v>
      </c>
      <c r="O101" s="455" t="s">
        <v>4913</v>
      </c>
      <c r="P101" s="455" t="s">
        <v>4913</v>
      </c>
      <c r="Q101" s="455" t="s">
        <v>4913</v>
      </c>
      <c r="R101" s="459" t="s">
        <v>1736</v>
      </c>
      <c r="S101" s="455" t="s">
        <v>4913</v>
      </c>
      <c r="T101" s="455" t="s">
        <v>4913</v>
      </c>
      <c r="U101" s="455" t="s">
        <v>4913</v>
      </c>
      <c r="V101" s="455" t="s">
        <v>4913</v>
      </c>
      <c r="W101" s="455" t="s">
        <v>4913</v>
      </c>
      <c r="X101" s="455" t="s">
        <v>4913</v>
      </c>
      <c r="Y101" s="455" t="s">
        <v>4913</v>
      </c>
      <c r="Z101" s="455" t="s">
        <v>4913</v>
      </c>
      <c r="AA101" s="455" t="s">
        <v>4913</v>
      </c>
      <c r="AB101" s="455" t="s">
        <v>4913</v>
      </c>
      <c r="AC101" s="456" t="s">
        <v>1737</v>
      </c>
      <c r="AD101" s="459" t="s">
        <v>12544</v>
      </c>
      <c r="AE101" s="454" t="s">
        <v>12916</v>
      </c>
      <c r="AF101" s="460" t="s">
        <v>12917</v>
      </c>
      <c r="AG101" s="460" t="s">
        <v>12918</v>
      </c>
      <c r="AH101" s="460" t="s">
        <v>12919</v>
      </c>
    </row>
    <row r="102" spans="1:34">
      <c r="A102" s="453" t="s">
        <v>12912</v>
      </c>
      <c r="B102" s="454" t="s">
        <v>12920</v>
      </c>
      <c r="C102" s="454" t="s">
        <v>12914</v>
      </c>
      <c r="D102" s="454" t="s">
        <v>12921</v>
      </c>
      <c r="E102" s="454" t="s">
        <v>1732</v>
      </c>
      <c r="F102" s="459" t="s">
        <v>1736</v>
      </c>
      <c r="G102" s="455" t="s">
        <v>4913</v>
      </c>
      <c r="H102" s="455" t="s">
        <v>4913</v>
      </c>
      <c r="I102" s="455" t="s">
        <v>4913</v>
      </c>
      <c r="J102" s="455" t="s">
        <v>4913</v>
      </c>
      <c r="K102" s="455" t="s">
        <v>4913</v>
      </c>
      <c r="L102" s="455" t="s">
        <v>4913</v>
      </c>
      <c r="M102" s="455" t="s">
        <v>4913</v>
      </c>
      <c r="N102" s="455" t="s">
        <v>4913</v>
      </c>
      <c r="O102" s="455" t="s">
        <v>4913</v>
      </c>
      <c r="P102" s="455" t="s">
        <v>4913</v>
      </c>
      <c r="Q102" s="455" t="s">
        <v>4913</v>
      </c>
      <c r="R102" s="455" t="s">
        <v>4913</v>
      </c>
      <c r="S102" s="455" t="s">
        <v>4913</v>
      </c>
      <c r="T102" s="455" t="s">
        <v>4913</v>
      </c>
      <c r="U102" s="455" t="s">
        <v>4913</v>
      </c>
      <c r="V102" s="455" t="s">
        <v>4913</v>
      </c>
      <c r="W102" s="455" t="s">
        <v>4913</v>
      </c>
      <c r="X102" s="455" t="s">
        <v>4913</v>
      </c>
      <c r="Y102" s="455" t="s">
        <v>4913</v>
      </c>
      <c r="Z102" s="455" t="s">
        <v>4913</v>
      </c>
      <c r="AA102" s="455" t="s">
        <v>4913</v>
      </c>
      <c r="AB102" s="455" t="s">
        <v>4913</v>
      </c>
      <c r="AC102" s="456" t="s">
        <v>1737</v>
      </c>
      <c r="AD102" s="459" t="s">
        <v>12544</v>
      </c>
      <c r="AE102" s="454" t="s">
        <v>12545</v>
      </c>
      <c r="AF102" s="460" t="s">
        <v>12922</v>
      </c>
      <c r="AG102" s="460" t="s">
        <v>12918</v>
      </c>
      <c r="AH102" s="460" t="s">
        <v>12919</v>
      </c>
    </row>
    <row r="103" spans="1:34">
      <c r="A103" s="453" t="s">
        <v>12912</v>
      </c>
      <c r="B103" s="454" t="s">
        <v>12923</v>
      </c>
      <c r="C103" s="454" t="s">
        <v>12914</v>
      </c>
      <c r="D103" s="454" t="s">
        <v>12924</v>
      </c>
      <c r="E103" s="454" t="s">
        <v>1743</v>
      </c>
      <c r="F103" s="459" t="s">
        <v>1736</v>
      </c>
      <c r="G103" s="455" t="s">
        <v>4913</v>
      </c>
      <c r="H103" s="455" t="s">
        <v>4913</v>
      </c>
      <c r="I103" s="455" t="s">
        <v>4913</v>
      </c>
      <c r="J103" s="455" t="s">
        <v>4913</v>
      </c>
      <c r="K103" s="455" t="s">
        <v>4913</v>
      </c>
      <c r="L103" s="455" t="s">
        <v>4913</v>
      </c>
      <c r="M103" s="455" t="s">
        <v>4913</v>
      </c>
      <c r="N103" s="455" t="s">
        <v>4913</v>
      </c>
      <c r="O103" s="455" t="s">
        <v>4913</v>
      </c>
      <c r="P103" s="455" t="s">
        <v>4913</v>
      </c>
      <c r="Q103" s="455" t="s">
        <v>4913</v>
      </c>
      <c r="R103" s="459" t="s">
        <v>1736</v>
      </c>
      <c r="S103" s="455" t="s">
        <v>4913</v>
      </c>
      <c r="T103" s="455" t="s">
        <v>4913</v>
      </c>
      <c r="U103" s="455" t="s">
        <v>4913</v>
      </c>
      <c r="V103" s="455" t="s">
        <v>4913</v>
      </c>
      <c r="W103" s="455" t="s">
        <v>4913</v>
      </c>
      <c r="X103" s="455" t="s">
        <v>4913</v>
      </c>
      <c r="Y103" s="455" t="s">
        <v>4913</v>
      </c>
      <c r="Z103" s="455" t="s">
        <v>4913</v>
      </c>
      <c r="AA103" s="455" t="s">
        <v>4913</v>
      </c>
      <c r="AB103" s="455" t="s">
        <v>4913</v>
      </c>
      <c r="AC103" s="456" t="s">
        <v>1737</v>
      </c>
      <c r="AD103" s="459" t="s">
        <v>12544</v>
      </c>
      <c r="AE103" s="454" t="s">
        <v>12916</v>
      </c>
      <c r="AF103" s="460" t="s">
        <v>12917</v>
      </c>
      <c r="AG103" s="460" t="s">
        <v>12918</v>
      </c>
      <c r="AH103" s="460" t="s">
        <v>12919</v>
      </c>
    </row>
    <row r="104" spans="1:34">
      <c r="A104" s="453" t="s">
        <v>12912</v>
      </c>
      <c r="B104" s="454" t="s">
        <v>12925</v>
      </c>
      <c r="C104" s="454" t="s">
        <v>12914</v>
      </c>
      <c r="D104" s="454" t="s">
        <v>12926</v>
      </c>
      <c r="E104" s="454" t="s">
        <v>1743</v>
      </c>
      <c r="F104" s="459" t="s">
        <v>1736</v>
      </c>
      <c r="G104" s="455" t="s">
        <v>4913</v>
      </c>
      <c r="H104" s="455" t="s">
        <v>4913</v>
      </c>
      <c r="I104" s="455" t="s">
        <v>4913</v>
      </c>
      <c r="J104" s="455" t="s">
        <v>4913</v>
      </c>
      <c r="K104" s="455" t="s">
        <v>4913</v>
      </c>
      <c r="L104" s="455" t="s">
        <v>4913</v>
      </c>
      <c r="M104" s="455" t="s">
        <v>4913</v>
      </c>
      <c r="N104" s="455" t="s">
        <v>4913</v>
      </c>
      <c r="O104" s="455" t="s">
        <v>4913</v>
      </c>
      <c r="P104" s="455" t="s">
        <v>4913</v>
      </c>
      <c r="Q104" s="455" t="s">
        <v>4913</v>
      </c>
      <c r="R104" s="455" t="s">
        <v>4913</v>
      </c>
      <c r="S104" s="455" t="s">
        <v>4913</v>
      </c>
      <c r="T104" s="455" t="s">
        <v>4913</v>
      </c>
      <c r="U104" s="455" t="s">
        <v>4913</v>
      </c>
      <c r="V104" s="455" t="s">
        <v>4913</v>
      </c>
      <c r="W104" s="455" t="s">
        <v>4913</v>
      </c>
      <c r="X104" s="455" t="s">
        <v>4913</v>
      </c>
      <c r="Y104" s="455" t="s">
        <v>4913</v>
      </c>
      <c r="Z104" s="455" t="s">
        <v>4913</v>
      </c>
      <c r="AA104" s="455" t="s">
        <v>4913</v>
      </c>
      <c r="AB104" s="455" t="s">
        <v>4913</v>
      </c>
      <c r="AC104" s="456" t="s">
        <v>1737</v>
      </c>
      <c r="AD104" s="459" t="s">
        <v>12544</v>
      </c>
      <c r="AE104" s="454" t="s">
        <v>12545</v>
      </c>
      <c r="AF104" s="460" t="s">
        <v>12922</v>
      </c>
      <c r="AG104" s="460" t="s">
        <v>12918</v>
      </c>
      <c r="AH104" s="460" t="s">
        <v>12919</v>
      </c>
    </row>
    <row r="105" spans="1:34">
      <c r="A105" s="453" t="s">
        <v>12927</v>
      </c>
      <c r="B105" s="454" t="s">
        <v>12928</v>
      </c>
      <c r="C105" s="454" t="s">
        <v>12929</v>
      </c>
      <c r="D105" s="454" t="s">
        <v>12930</v>
      </c>
      <c r="E105" s="454" t="s">
        <v>1732</v>
      </c>
      <c r="F105" s="459" t="s">
        <v>1736</v>
      </c>
      <c r="G105" s="455" t="s">
        <v>4913</v>
      </c>
      <c r="H105" s="455" t="s">
        <v>4913</v>
      </c>
      <c r="I105" s="456" t="s">
        <v>1736</v>
      </c>
      <c r="J105" s="455" t="s">
        <v>4913</v>
      </c>
      <c r="K105" s="455" t="s">
        <v>4913</v>
      </c>
      <c r="L105" s="455" t="s">
        <v>4913</v>
      </c>
      <c r="M105" s="455" t="s">
        <v>4913</v>
      </c>
      <c r="N105" s="455" t="s">
        <v>4913</v>
      </c>
      <c r="O105" s="455" t="s">
        <v>4913</v>
      </c>
      <c r="P105" s="455" t="s">
        <v>4913</v>
      </c>
      <c r="Q105" s="455" t="s">
        <v>4913</v>
      </c>
      <c r="R105" s="455" t="s">
        <v>4913</v>
      </c>
      <c r="S105" s="456" t="s">
        <v>1736</v>
      </c>
      <c r="T105" s="455" t="s">
        <v>4913</v>
      </c>
      <c r="U105" s="455" t="s">
        <v>4913</v>
      </c>
      <c r="V105" s="455" t="s">
        <v>4913</v>
      </c>
      <c r="W105" s="455" t="s">
        <v>4913</v>
      </c>
      <c r="X105" s="455" t="s">
        <v>4913</v>
      </c>
      <c r="Y105" s="455" t="s">
        <v>4913</v>
      </c>
      <c r="Z105" s="455" t="s">
        <v>4913</v>
      </c>
      <c r="AA105" s="455" t="s">
        <v>4913</v>
      </c>
      <c r="AB105" s="455" t="s">
        <v>4913</v>
      </c>
      <c r="AC105" s="456" t="s">
        <v>1737</v>
      </c>
      <c r="AD105" s="459" t="s">
        <v>12544</v>
      </c>
      <c r="AE105" s="454" t="s">
        <v>12931</v>
      </c>
      <c r="AF105" s="460" t="s">
        <v>12900</v>
      </c>
      <c r="AG105" s="462">
        <v>44655</v>
      </c>
      <c r="AH105" s="460" t="s">
        <v>12932</v>
      </c>
    </row>
    <row r="106" spans="1:34">
      <c r="A106" s="453" t="s">
        <v>12927</v>
      </c>
      <c r="B106" s="454" t="s">
        <v>12933</v>
      </c>
      <c r="C106" s="454" t="s">
        <v>12929</v>
      </c>
      <c r="D106" s="454" t="s">
        <v>12934</v>
      </c>
      <c r="E106" s="454" t="s">
        <v>1743</v>
      </c>
      <c r="F106" s="459" t="s">
        <v>1736</v>
      </c>
      <c r="G106" s="455" t="s">
        <v>4913</v>
      </c>
      <c r="H106" s="455" t="s">
        <v>4913</v>
      </c>
      <c r="I106" s="455" t="s">
        <v>4913</v>
      </c>
      <c r="J106" s="455" t="s">
        <v>4913</v>
      </c>
      <c r="K106" s="455" t="s">
        <v>4913</v>
      </c>
      <c r="L106" s="455" t="s">
        <v>4913</v>
      </c>
      <c r="M106" s="455" t="s">
        <v>4913</v>
      </c>
      <c r="N106" s="455" t="s">
        <v>4913</v>
      </c>
      <c r="O106" s="455" t="s">
        <v>4913</v>
      </c>
      <c r="P106" s="455" t="s">
        <v>4913</v>
      </c>
      <c r="Q106" s="455" t="s">
        <v>4913</v>
      </c>
      <c r="R106" s="455" t="s">
        <v>4913</v>
      </c>
      <c r="S106" s="455" t="s">
        <v>4913</v>
      </c>
      <c r="T106" s="455" t="s">
        <v>4913</v>
      </c>
      <c r="U106" s="455" t="s">
        <v>4913</v>
      </c>
      <c r="V106" s="455" t="s">
        <v>4913</v>
      </c>
      <c r="W106" s="455" t="s">
        <v>4913</v>
      </c>
      <c r="X106" s="455" t="s">
        <v>4913</v>
      </c>
      <c r="Y106" s="455" t="s">
        <v>4913</v>
      </c>
      <c r="Z106" s="455" t="s">
        <v>4913</v>
      </c>
      <c r="AA106" s="455" t="s">
        <v>4913</v>
      </c>
      <c r="AB106" s="455" t="s">
        <v>4913</v>
      </c>
      <c r="AC106" s="456" t="s">
        <v>1737</v>
      </c>
      <c r="AD106" s="459" t="s">
        <v>12544</v>
      </c>
      <c r="AE106" s="454" t="s">
        <v>12545</v>
      </c>
      <c r="AF106" s="460" t="s">
        <v>12573</v>
      </c>
      <c r="AG106" s="462">
        <v>44655</v>
      </c>
      <c r="AH106" s="460" t="s">
        <v>12932</v>
      </c>
    </row>
    <row r="107" spans="1:34">
      <c r="A107" s="453" t="s">
        <v>12935</v>
      </c>
      <c r="B107" s="454" t="s">
        <v>12936</v>
      </c>
      <c r="C107" s="454" t="s">
        <v>12937</v>
      </c>
      <c r="D107" s="454" t="s">
        <v>12938</v>
      </c>
      <c r="E107" s="454" t="s">
        <v>1732</v>
      </c>
      <c r="F107" s="459" t="s">
        <v>1736</v>
      </c>
      <c r="G107" s="455" t="s">
        <v>4913</v>
      </c>
      <c r="H107" s="455" t="s">
        <v>4913</v>
      </c>
      <c r="I107" s="456" t="s">
        <v>1736</v>
      </c>
      <c r="J107" s="455" t="s">
        <v>4913</v>
      </c>
      <c r="K107" s="455" t="s">
        <v>4913</v>
      </c>
      <c r="L107" s="455" t="s">
        <v>4913</v>
      </c>
      <c r="M107" s="455" t="s">
        <v>4913</v>
      </c>
      <c r="N107" s="455" t="s">
        <v>4913</v>
      </c>
      <c r="O107" s="455" t="s">
        <v>4913</v>
      </c>
      <c r="P107" s="455" t="s">
        <v>4913</v>
      </c>
      <c r="Q107" s="455" t="s">
        <v>4913</v>
      </c>
      <c r="R107" s="455" t="s">
        <v>4913</v>
      </c>
      <c r="S107" s="456" t="s">
        <v>1736</v>
      </c>
      <c r="T107" s="455" t="s">
        <v>4913</v>
      </c>
      <c r="U107" s="455" t="s">
        <v>4913</v>
      </c>
      <c r="V107" s="456" t="s">
        <v>1736</v>
      </c>
      <c r="W107" s="455" t="s">
        <v>4913</v>
      </c>
      <c r="X107" s="455" t="s">
        <v>4913</v>
      </c>
      <c r="Y107" s="455" t="s">
        <v>4913</v>
      </c>
      <c r="Z107" s="455" t="s">
        <v>4913</v>
      </c>
      <c r="AA107" s="455" t="s">
        <v>4913</v>
      </c>
      <c r="AB107" s="455" t="s">
        <v>4913</v>
      </c>
      <c r="AC107" s="456" t="s">
        <v>1737</v>
      </c>
      <c r="AD107" s="459" t="s">
        <v>12544</v>
      </c>
      <c r="AE107" s="454" t="s">
        <v>12931</v>
      </c>
      <c r="AF107" s="460" t="s">
        <v>12573</v>
      </c>
      <c r="AG107" s="462">
        <v>44559</v>
      </c>
      <c r="AH107" s="460" t="s">
        <v>12939</v>
      </c>
    </row>
    <row r="108" spans="1:34">
      <c r="A108" s="453" t="s">
        <v>12935</v>
      </c>
      <c r="B108" s="454" t="s">
        <v>12940</v>
      </c>
      <c r="C108" s="454" t="s">
        <v>12937</v>
      </c>
      <c r="D108" s="454" t="s">
        <v>12941</v>
      </c>
      <c r="E108" s="454" t="s">
        <v>1732</v>
      </c>
      <c r="F108" s="459" t="s">
        <v>1736</v>
      </c>
      <c r="G108" s="455" t="s">
        <v>4913</v>
      </c>
      <c r="H108" s="455" t="s">
        <v>4913</v>
      </c>
      <c r="I108" s="456" t="s">
        <v>1736</v>
      </c>
      <c r="J108" s="455" t="s">
        <v>4913</v>
      </c>
      <c r="K108" s="455" t="s">
        <v>4913</v>
      </c>
      <c r="L108" s="455" t="s">
        <v>4913</v>
      </c>
      <c r="M108" s="455" t="s">
        <v>4913</v>
      </c>
      <c r="N108" s="455" t="s">
        <v>4913</v>
      </c>
      <c r="O108" s="455" t="s">
        <v>4913</v>
      </c>
      <c r="P108" s="455" t="s">
        <v>4913</v>
      </c>
      <c r="Q108" s="455" t="s">
        <v>4913</v>
      </c>
      <c r="R108" s="455" t="s">
        <v>4913</v>
      </c>
      <c r="S108" s="456" t="s">
        <v>1736</v>
      </c>
      <c r="T108" s="455" t="s">
        <v>4913</v>
      </c>
      <c r="U108" s="455" t="s">
        <v>4913</v>
      </c>
      <c r="V108" s="456" t="s">
        <v>1736</v>
      </c>
      <c r="W108" s="455" t="s">
        <v>4913</v>
      </c>
      <c r="X108" s="455" t="s">
        <v>4913</v>
      </c>
      <c r="Y108" s="455" t="s">
        <v>4913</v>
      </c>
      <c r="Z108" s="455" t="s">
        <v>4913</v>
      </c>
      <c r="AA108" s="455" t="s">
        <v>4913</v>
      </c>
      <c r="AB108" s="455" t="s">
        <v>4913</v>
      </c>
      <c r="AC108" s="456" t="s">
        <v>1737</v>
      </c>
      <c r="AD108" s="459" t="s">
        <v>12544</v>
      </c>
      <c r="AE108" s="454" t="s">
        <v>12931</v>
      </c>
      <c r="AF108" s="460" t="s">
        <v>12573</v>
      </c>
      <c r="AG108" s="462">
        <v>44559</v>
      </c>
      <c r="AH108" s="460" t="s">
        <v>12939</v>
      </c>
    </row>
    <row r="109" spans="1:34">
      <c r="A109" s="453" t="s">
        <v>12935</v>
      </c>
      <c r="B109" s="454" t="s">
        <v>12942</v>
      </c>
      <c r="C109" s="454" t="s">
        <v>12937</v>
      </c>
      <c r="D109" s="454" t="s">
        <v>12943</v>
      </c>
      <c r="E109" s="454" t="s">
        <v>1732</v>
      </c>
      <c r="F109" s="459" t="s">
        <v>1736</v>
      </c>
      <c r="G109" s="455" t="s">
        <v>4913</v>
      </c>
      <c r="H109" s="455" t="s">
        <v>4913</v>
      </c>
      <c r="I109" s="456" t="s">
        <v>1736</v>
      </c>
      <c r="J109" s="455" t="s">
        <v>4913</v>
      </c>
      <c r="K109" s="455" t="s">
        <v>4913</v>
      </c>
      <c r="L109" s="455" t="s">
        <v>4913</v>
      </c>
      <c r="M109" s="455" t="s">
        <v>4913</v>
      </c>
      <c r="N109" s="455" t="s">
        <v>4913</v>
      </c>
      <c r="O109" s="455" t="s">
        <v>4913</v>
      </c>
      <c r="P109" s="455" t="s">
        <v>4913</v>
      </c>
      <c r="Q109" s="455" t="s">
        <v>4913</v>
      </c>
      <c r="R109" s="455" t="s">
        <v>4913</v>
      </c>
      <c r="S109" s="456" t="s">
        <v>1736</v>
      </c>
      <c r="T109" s="455" t="s">
        <v>4913</v>
      </c>
      <c r="U109" s="455" t="s">
        <v>4913</v>
      </c>
      <c r="V109" s="456" t="s">
        <v>1736</v>
      </c>
      <c r="W109" s="455" t="s">
        <v>4913</v>
      </c>
      <c r="X109" s="455" t="s">
        <v>4913</v>
      </c>
      <c r="Y109" s="455" t="s">
        <v>4913</v>
      </c>
      <c r="Z109" s="455" t="s">
        <v>4913</v>
      </c>
      <c r="AA109" s="455" t="s">
        <v>4913</v>
      </c>
      <c r="AB109" s="455" t="s">
        <v>4913</v>
      </c>
      <c r="AC109" s="456" t="s">
        <v>1737</v>
      </c>
      <c r="AD109" s="459" t="s">
        <v>12544</v>
      </c>
      <c r="AE109" s="454" t="s">
        <v>12931</v>
      </c>
      <c r="AF109" s="460" t="s">
        <v>12573</v>
      </c>
      <c r="AG109" s="462">
        <v>44559</v>
      </c>
      <c r="AH109" s="460" t="s">
        <v>12939</v>
      </c>
    </row>
    <row r="110" spans="1:34">
      <c r="A110" s="453" t="s">
        <v>12935</v>
      </c>
      <c r="B110" s="454" t="s">
        <v>12944</v>
      </c>
      <c r="C110" s="454" t="s">
        <v>12937</v>
      </c>
      <c r="D110" s="454" t="s">
        <v>12945</v>
      </c>
      <c r="E110" s="454" t="s">
        <v>1743</v>
      </c>
      <c r="F110" s="459" t="s">
        <v>1736</v>
      </c>
      <c r="G110" s="455" t="s">
        <v>4913</v>
      </c>
      <c r="H110" s="455" t="s">
        <v>4913</v>
      </c>
      <c r="I110" s="455" t="s">
        <v>4913</v>
      </c>
      <c r="J110" s="455" t="s">
        <v>4913</v>
      </c>
      <c r="K110" s="455" t="s">
        <v>4913</v>
      </c>
      <c r="L110" s="455" t="s">
        <v>4913</v>
      </c>
      <c r="M110" s="455" t="s">
        <v>4913</v>
      </c>
      <c r="N110" s="455" t="s">
        <v>4913</v>
      </c>
      <c r="O110" s="455" t="s">
        <v>4913</v>
      </c>
      <c r="P110" s="455" t="s">
        <v>4913</v>
      </c>
      <c r="Q110" s="455" t="s">
        <v>4913</v>
      </c>
      <c r="R110" s="455" t="s">
        <v>4913</v>
      </c>
      <c r="S110" s="455" t="s">
        <v>4913</v>
      </c>
      <c r="T110" s="455" t="s">
        <v>4913</v>
      </c>
      <c r="U110" s="455" t="s">
        <v>4913</v>
      </c>
      <c r="V110" s="455" t="s">
        <v>4913</v>
      </c>
      <c r="W110" s="455" t="s">
        <v>4913</v>
      </c>
      <c r="X110" s="455" t="s">
        <v>4913</v>
      </c>
      <c r="Y110" s="455" t="s">
        <v>4913</v>
      </c>
      <c r="Z110" s="455" t="s">
        <v>4913</v>
      </c>
      <c r="AA110" s="455" t="s">
        <v>4913</v>
      </c>
      <c r="AB110" s="455" t="s">
        <v>4913</v>
      </c>
      <c r="AC110" s="456" t="s">
        <v>1737</v>
      </c>
      <c r="AD110" s="459" t="s">
        <v>12544</v>
      </c>
      <c r="AE110" s="454" t="s">
        <v>12545</v>
      </c>
      <c r="AF110" s="460" t="s">
        <v>12573</v>
      </c>
      <c r="AG110" s="462">
        <v>44559</v>
      </c>
      <c r="AH110" s="460" t="s">
        <v>12939</v>
      </c>
    </row>
    <row r="111" spans="1:34">
      <c r="A111" s="453" t="s">
        <v>12946</v>
      </c>
      <c r="B111" s="454" t="s">
        <v>12947</v>
      </c>
      <c r="C111" s="454" t="s">
        <v>12948</v>
      </c>
      <c r="D111" s="454" t="s">
        <v>12949</v>
      </c>
      <c r="E111" s="454" t="s">
        <v>1732</v>
      </c>
      <c r="F111" s="459" t="s">
        <v>1736</v>
      </c>
      <c r="G111" s="455" t="s">
        <v>4913</v>
      </c>
      <c r="H111" s="455" t="s">
        <v>4913</v>
      </c>
      <c r="I111" s="455" t="s">
        <v>4913</v>
      </c>
      <c r="J111" s="455" t="s">
        <v>4913</v>
      </c>
      <c r="K111" s="455" t="s">
        <v>4913</v>
      </c>
      <c r="L111" s="455" t="s">
        <v>4913</v>
      </c>
      <c r="M111" s="455" t="s">
        <v>4913</v>
      </c>
      <c r="N111" s="455" t="s">
        <v>4913</v>
      </c>
      <c r="O111" s="455" t="s">
        <v>4913</v>
      </c>
      <c r="P111" s="455" t="s">
        <v>4913</v>
      </c>
      <c r="Q111" s="455" t="s">
        <v>4913</v>
      </c>
      <c r="R111" s="455" t="s">
        <v>4913</v>
      </c>
      <c r="S111" s="455" t="s">
        <v>4913</v>
      </c>
      <c r="T111" s="459" t="s">
        <v>1736</v>
      </c>
      <c r="U111" s="455" t="s">
        <v>4913</v>
      </c>
      <c r="V111" s="455" t="s">
        <v>4913</v>
      </c>
      <c r="W111" s="455" t="s">
        <v>4913</v>
      </c>
      <c r="X111" s="455" t="s">
        <v>4913</v>
      </c>
      <c r="Y111" s="455" t="s">
        <v>4913</v>
      </c>
      <c r="Z111" s="455" t="s">
        <v>4913</v>
      </c>
      <c r="AA111" s="455" t="s">
        <v>4913</v>
      </c>
      <c r="AB111" s="455" t="s">
        <v>4913</v>
      </c>
      <c r="AC111" s="456" t="s">
        <v>1737</v>
      </c>
      <c r="AD111" s="459" t="s">
        <v>12544</v>
      </c>
      <c r="AE111" s="454" t="s">
        <v>12950</v>
      </c>
      <c r="AF111" s="460" t="s">
        <v>12951</v>
      </c>
      <c r="AG111" s="460" t="s">
        <v>12952</v>
      </c>
      <c r="AH111" s="460" t="s">
        <v>12953</v>
      </c>
    </row>
    <row r="112" spans="1:34">
      <c r="A112" s="453" t="s">
        <v>12946</v>
      </c>
      <c r="B112" s="454" t="s">
        <v>12954</v>
      </c>
      <c r="C112" s="454" t="s">
        <v>12948</v>
      </c>
      <c r="D112" s="454" t="s">
        <v>12955</v>
      </c>
      <c r="E112" s="454" t="s">
        <v>1743</v>
      </c>
      <c r="F112" s="455" t="s">
        <v>4913</v>
      </c>
      <c r="G112" s="455" t="s">
        <v>4913</v>
      </c>
      <c r="H112" s="455" t="s">
        <v>4913</v>
      </c>
      <c r="I112" s="455" t="s">
        <v>4913</v>
      </c>
      <c r="J112" s="455" t="s">
        <v>4913</v>
      </c>
      <c r="K112" s="455" t="s">
        <v>4913</v>
      </c>
      <c r="L112" s="455" t="s">
        <v>4913</v>
      </c>
      <c r="M112" s="455" t="s">
        <v>4913</v>
      </c>
      <c r="N112" s="455" t="s">
        <v>4913</v>
      </c>
      <c r="O112" s="455" t="s">
        <v>4913</v>
      </c>
      <c r="P112" s="455" t="s">
        <v>4913</v>
      </c>
      <c r="Q112" s="455" t="s">
        <v>4913</v>
      </c>
      <c r="R112" s="455" t="s">
        <v>4913</v>
      </c>
      <c r="S112" s="455" t="s">
        <v>4913</v>
      </c>
      <c r="T112" s="455" t="s">
        <v>4913</v>
      </c>
      <c r="U112" s="455" t="s">
        <v>4913</v>
      </c>
      <c r="V112" s="455" t="s">
        <v>4913</v>
      </c>
      <c r="W112" s="455" t="s">
        <v>4913</v>
      </c>
      <c r="X112" s="455" t="s">
        <v>4913</v>
      </c>
      <c r="Y112" s="455" t="s">
        <v>4913</v>
      </c>
      <c r="Z112" s="455" t="s">
        <v>4913</v>
      </c>
      <c r="AA112" s="455" t="s">
        <v>4913</v>
      </c>
      <c r="AB112" s="455" t="s">
        <v>4913</v>
      </c>
      <c r="AC112" s="456" t="s">
        <v>1737</v>
      </c>
      <c r="AD112" s="459" t="s">
        <v>12544</v>
      </c>
      <c r="AE112" s="454" t="s">
        <v>12545</v>
      </c>
      <c r="AF112" s="460"/>
      <c r="AG112" s="460" t="s">
        <v>12952</v>
      </c>
      <c r="AH112" s="460" t="s">
        <v>12953</v>
      </c>
    </row>
    <row r="113" spans="1:34">
      <c r="A113" s="453" t="s">
        <v>12956</v>
      </c>
      <c r="B113" s="454" t="s">
        <v>12957</v>
      </c>
      <c r="C113" s="454" t="s">
        <v>12958</v>
      </c>
      <c r="D113" s="454" t="s">
        <v>12959</v>
      </c>
      <c r="E113" s="454" t="s">
        <v>1732</v>
      </c>
      <c r="F113" s="459" t="s">
        <v>1736</v>
      </c>
      <c r="G113" s="455" t="s">
        <v>4913</v>
      </c>
      <c r="H113" s="455" t="s">
        <v>4913</v>
      </c>
      <c r="I113" s="455" t="s">
        <v>4913</v>
      </c>
      <c r="J113" s="455" t="s">
        <v>4913</v>
      </c>
      <c r="K113" s="455" t="s">
        <v>4913</v>
      </c>
      <c r="L113" s="455" t="s">
        <v>4913</v>
      </c>
      <c r="M113" s="455" t="s">
        <v>4913</v>
      </c>
      <c r="N113" s="455" t="s">
        <v>4913</v>
      </c>
      <c r="O113" s="455" t="s">
        <v>4913</v>
      </c>
      <c r="P113" s="455" t="s">
        <v>4913</v>
      </c>
      <c r="Q113" s="455" t="s">
        <v>4913</v>
      </c>
      <c r="R113" s="455" t="s">
        <v>4913</v>
      </c>
      <c r="S113" s="455" t="s">
        <v>4913</v>
      </c>
      <c r="T113" s="455" t="s">
        <v>4913</v>
      </c>
      <c r="U113" s="455" t="s">
        <v>4913</v>
      </c>
      <c r="V113" s="455" t="s">
        <v>4913</v>
      </c>
      <c r="W113" s="455" t="s">
        <v>4913</v>
      </c>
      <c r="X113" s="455" t="s">
        <v>4913</v>
      </c>
      <c r="Y113" s="455" t="s">
        <v>4913</v>
      </c>
      <c r="Z113" s="455" t="s">
        <v>4913</v>
      </c>
      <c r="AA113" s="455" t="s">
        <v>4913</v>
      </c>
      <c r="AB113" s="455" t="s">
        <v>4913</v>
      </c>
      <c r="AC113" s="456" t="s">
        <v>1737</v>
      </c>
      <c r="AD113" s="459" t="s">
        <v>12544</v>
      </c>
      <c r="AE113" s="454" t="s">
        <v>12545</v>
      </c>
      <c r="AF113" s="460" t="s">
        <v>12573</v>
      </c>
      <c r="AG113" s="462">
        <v>44554</v>
      </c>
      <c r="AH113" s="460" t="s">
        <v>12960</v>
      </c>
    </row>
    <row r="114" spans="1:34">
      <c r="A114" s="453" t="s">
        <v>12956</v>
      </c>
      <c r="B114" s="454" t="s">
        <v>12961</v>
      </c>
      <c r="C114" s="454" t="s">
        <v>12958</v>
      </c>
      <c r="D114" s="454" t="s">
        <v>12962</v>
      </c>
      <c r="E114" s="454" t="s">
        <v>1743</v>
      </c>
      <c r="F114" s="459" t="s">
        <v>1736</v>
      </c>
      <c r="G114" s="455" t="s">
        <v>4913</v>
      </c>
      <c r="H114" s="455" t="s">
        <v>4913</v>
      </c>
      <c r="I114" s="455" t="s">
        <v>4913</v>
      </c>
      <c r="J114" s="455" t="s">
        <v>4913</v>
      </c>
      <c r="K114" s="455" t="s">
        <v>4913</v>
      </c>
      <c r="L114" s="455" t="s">
        <v>4913</v>
      </c>
      <c r="M114" s="455" t="s">
        <v>4913</v>
      </c>
      <c r="N114" s="455" t="s">
        <v>4913</v>
      </c>
      <c r="O114" s="455" t="s">
        <v>4913</v>
      </c>
      <c r="P114" s="455" t="s">
        <v>4913</v>
      </c>
      <c r="Q114" s="455" t="s">
        <v>4913</v>
      </c>
      <c r="R114" s="455" t="s">
        <v>4913</v>
      </c>
      <c r="S114" s="455" t="s">
        <v>4913</v>
      </c>
      <c r="T114" s="455" t="s">
        <v>4913</v>
      </c>
      <c r="U114" s="455" t="s">
        <v>4913</v>
      </c>
      <c r="V114" s="455" t="s">
        <v>4913</v>
      </c>
      <c r="W114" s="455" t="s">
        <v>4913</v>
      </c>
      <c r="X114" s="455" t="s">
        <v>4913</v>
      </c>
      <c r="Y114" s="455" t="s">
        <v>4913</v>
      </c>
      <c r="Z114" s="455" t="s">
        <v>4913</v>
      </c>
      <c r="AA114" s="455" t="s">
        <v>4913</v>
      </c>
      <c r="AB114" s="455" t="s">
        <v>4913</v>
      </c>
      <c r="AC114" s="456" t="s">
        <v>1737</v>
      </c>
      <c r="AD114" s="459" t="s">
        <v>12544</v>
      </c>
      <c r="AE114" s="454" t="s">
        <v>12545</v>
      </c>
      <c r="AF114" s="460" t="s">
        <v>12573</v>
      </c>
      <c r="AG114" s="462">
        <v>44554</v>
      </c>
      <c r="AH114" s="460" t="s">
        <v>12960</v>
      </c>
    </row>
    <row r="115" spans="1:34">
      <c r="A115" s="453" t="s">
        <v>12956</v>
      </c>
      <c r="B115" s="454" t="s">
        <v>12963</v>
      </c>
      <c r="C115" s="454" t="s">
        <v>12958</v>
      </c>
      <c r="D115" s="454" t="s">
        <v>12964</v>
      </c>
      <c r="E115" s="454" t="s">
        <v>1743</v>
      </c>
      <c r="F115" s="459" t="s">
        <v>1736</v>
      </c>
      <c r="G115" s="455" t="s">
        <v>4913</v>
      </c>
      <c r="H115" s="455" t="s">
        <v>4913</v>
      </c>
      <c r="I115" s="455" t="s">
        <v>4913</v>
      </c>
      <c r="J115" s="455" t="s">
        <v>4913</v>
      </c>
      <c r="K115" s="455" t="s">
        <v>4913</v>
      </c>
      <c r="L115" s="455" t="s">
        <v>4913</v>
      </c>
      <c r="M115" s="455" t="s">
        <v>4913</v>
      </c>
      <c r="N115" s="455" t="s">
        <v>4913</v>
      </c>
      <c r="O115" s="455" t="s">
        <v>4913</v>
      </c>
      <c r="P115" s="455" t="s">
        <v>4913</v>
      </c>
      <c r="Q115" s="455" t="s">
        <v>4913</v>
      </c>
      <c r="R115" s="455" t="s">
        <v>4913</v>
      </c>
      <c r="S115" s="455" t="s">
        <v>4913</v>
      </c>
      <c r="T115" s="455" t="s">
        <v>4913</v>
      </c>
      <c r="U115" s="455" t="s">
        <v>4913</v>
      </c>
      <c r="V115" s="455" t="s">
        <v>4913</v>
      </c>
      <c r="W115" s="455" t="s">
        <v>4913</v>
      </c>
      <c r="X115" s="455" t="s">
        <v>4913</v>
      </c>
      <c r="Y115" s="455" t="s">
        <v>4913</v>
      </c>
      <c r="Z115" s="455" t="s">
        <v>4913</v>
      </c>
      <c r="AA115" s="455" t="s">
        <v>4913</v>
      </c>
      <c r="AB115" s="455" t="s">
        <v>4913</v>
      </c>
      <c r="AC115" s="456" t="s">
        <v>1737</v>
      </c>
      <c r="AD115" s="459" t="s">
        <v>12544</v>
      </c>
      <c r="AE115" s="454" t="s">
        <v>12545</v>
      </c>
      <c r="AF115" s="460" t="s">
        <v>12573</v>
      </c>
      <c r="AG115" s="462">
        <v>44554</v>
      </c>
      <c r="AH115" s="460" t="s">
        <v>12960</v>
      </c>
    </row>
    <row r="116" spans="1:34">
      <c r="A116" s="453" t="s">
        <v>12965</v>
      </c>
      <c r="B116" s="454" t="s">
        <v>12966</v>
      </c>
      <c r="C116" s="454" t="s">
        <v>12967</v>
      </c>
      <c r="D116" s="454" t="s">
        <v>12968</v>
      </c>
      <c r="E116" s="454" t="s">
        <v>1732</v>
      </c>
      <c r="F116" s="459" t="s">
        <v>1736</v>
      </c>
      <c r="G116" s="455" t="s">
        <v>4913</v>
      </c>
      <c r="H116" s="455" t="s">
        <v>4913</v>
      </c>
      <c r="I116" s="455" t="s">
        <v>4913</v>
      </c>
      <c r="J116" s="455" t="s">
        <v>4913</v>
      </c>
      <c r="K116" s="455" t="s">
        <v>4913</v>
      </c>
      <c r="L116" s="455" t="s">
        <v>4913</v>
      </c>
      <c r="M116" s="455" t="s">
        <v>4913</v>
      </c>
      <c r="N116" s="455" t="s">
        <v>4913</v>
      </c>
      <c r="O116" s="455" t="s">
        <v>4913</v>
      </c>
      <c r="P116" s="455" t="s">
        <v>4913</v>
      </c>
      <c r="Q116" s="455" t="s">
        <v>4913</v>
      </c>
      <c r="R116" s="455" t="s">
        <v>4913</v>
      </c>
      <c r="S116" s="455" t="s">
        <v>4913</v>
      </c>
      <c r="T116" s="455" t="s">
        <v>4913</v>
      </c>
      <c r="U116" s="455" t="s">
        <v>4913</v>
      </c>
      <c r="V116" s="455" t="s">
        <v>4913</v>
      </c>
      <c r="W116" s="455" t="s">
        <v>4913</v>
      </c>
      <c r="X116" s="455" t="s">
        <v>4913</v>
      </c>
      <c r="Y116" s="455" t="s">
        <v>4913</v>
      </c>
      <c r="Z116" s="455" t="s">
        <v>4913</v>
      </c>
      <c r="AA116" s="455" t="s">
        <v>4913</v>
      </c>
      <c r="AB116" s="455" t="s">
        <v>4913</v>
      </c>
      <c r="AC116" s="456" t="s">
        <v>1737</v>
      </c>
      <c r="AD116" s="459" t="s">
        <v>12544</v>
      </c>
      <c r="AE116" s="454" t="s">
        <v>12545</v>
      </c>
      <c r="AF116" s="460" t="s">
        <v>12573</v>
      </c>
      <c r="AG116" s="462">
        <v>44554</v>
      </c>
      <c r="AH116" s="460" t="s">
        <v>12969</v>
      </c>
    </row>
    <row r="117" spans="1:34">
      <c r="A117" s="453" t="s">
        <v>12965</v>
      </c>
      <c r="B117" s="454" t="s">
        <v>12970</v>
      </c>
      <c r="C117" s="454" t="s">
        <v>12967</v>
      </c>
      <c r="D117" s="454" t="s">
        <v>12971</v>
      </c>
      <c r="E117" s="454" t="s">
        <v>1743</v>
      </c>
      <c r="F117" s="459" t="s">
        <v>1736</v>
      </c>
      <c r="G117" s="455" t="s">
        <v>4913</v>
      </c>
      <c r="H117" s="455" t="s">
        <v>4913</v>
      </c>
      <c r="I117" s="455" t="s">
        <v>4913</v>
      </c>
      <c r="J117" s="455" t="s">
        <v>4913</v>
      </c>
      <c r="K117" s="455" t="s">
        <v>4913</v>
      </c>
      <c r="L117" s="455" t="s">
        <v>4913</v>
      </c>
      <c r="M117" s="455" t="s">
        <v>4913</v>
      </c>
      <c r="N117" s="455" t="s">
        <v>4913</v>
      </c>
      <c r="O117" s="455" t="s">
        <v>4913</v>
      </c>
      <c r="P117" s="455" t="s">
        <v>4913</v>
      </c>
      <c r="Q117" s="455" t="s">
        <v>4913</v>
      </c>
      <c r="R117" s="455" t="s">
        <v>4913</v>
      </c>
      <c r="S117" s="455" t="s">
        <v>4913</v>
      </c>
      <c r="T117" s="455" t="s">
        <v>4913</v>
      </c>
      <c r="U117" s="455" t="s">
        <v>4913</v>
      </c>
      <c r="V117" s="455" t="s">
        <v>4913</v>
      </c>
      <c r="W117" s="455" t="s">
        <v>4913</v>
      </c>
      <c r="X117" s="455" t="s">
        <v>4913</v>
      </c>
      <c r="Y117" s="455" t="s">
        <v>4913</v>
      </c>
      <c r="Z117" s="455" t="s">
        <v>4913</v>
      </c>
      <c r="AA117" s="455" t="s">
        <v>4913</v>
      </c>
      <c r="AB117" s="455" t="s">
        <v>4913</v>
      </c>
      <c r="AC117" s="456" t="s">
        <v>1737</v>
      </c>
      <c r="AD117" s="459" t="s">
        <v>12544</v>
      </c>
      <c r="AE117" s="454" t="s">
        <v>12545</v>
      </c>
      <c r="AF117" s="460" t="s">
        <v>12573</v>
      </c>
      <c r="AG117" s="462">
        <v>44554</v>
      </c>
      <c r="AH117" s="460" t="s">
        <v>12969</v>
      </c>
    </row>
    <row r="118" spans="1:34">
      <c r="A118" s="453" t="s">
        <v>12965</v>
      </c>
      <c r="B118" s="454" t="s">
        <v>12972</v>
      </c>
      <c r="C118" s="454" t="s">
        <v>12967</v>
      </c>
      <c r="D118" s="454" t="s">
        <v>12973</v>
      </c>
      <c r="E118" s="454" t="s">
        <v>1743</v>
      </c>
      <c r="F118" s="459" t="s">
        <v>1736</v>
      </c>
      <c r="G118" s="455" t="s">
        <v>4913</v>
      </c>
      <c r="H118" s="455" t="s">
        <v>4913</v>
      </c>
      <c r="I118" s="455" t="s">
        <v>4913</v>
      </c>
      <c r="J118" s="455" t="s">
        <v>4913</v>
      </c>
      <c r="K118" s="455" t="s">
        <v>4913</v>
      </c>
      <c r="L118" s="455" t="s">
        <v>4913</v>
      </c>
      <c r="M118" s="455" t="s">
        <v>4913</v>
      </c>
      <c r="N118" s="455" t="s">
        <v>4913</v>
      </c>
      <c r="O118" s="455" t="s">
        <v>4913</v>
      </c>
      <c r="P118" s="455" t="s">
        <v>4913</v>
      </c>
      <c r="Q118" s="455" t="s">
        <v>4913</v>
      </c>
      <c r="R118" s="455" t="s">
        <v>4913</v>
      </c>
      <c r="S118" s="455" t="s">
        <v>4913</v>
      </c>
      <c r="T118" s="455" t="s">
        <v>4913</v>
      </c>
      <c r="U118" s="455" t="s">
        <v>4913</v>
      </c>
      <c r="V118" s="455" t="s">
        <v>4913</v>
      </c>
      <c r="W118" s="455" t="s">
        <v>4913</v>
      </c>
      <c r="X118" s="455" t="s">
        <v>4913</v>
      </c>
      <c r="Y118" s="455" t="s">
        <v>4913</v>
      </c>
      <c r="Z118" s="455" t="s">
        <v>4913</v>
      </c>
      <c r="AA118" s="455" t="s">
        <v>4913</v>
      </c>
      <c r="AB118" s="455" t="s">
        <v>4913</v>
      </c>
      <c r="AC118" s="456" t="s">
        <v>1737</v>
      </c>
      <c r="AD118" s="459" t="s">
        <v>12544</v>
      </c>
      <c r="AE118" s="454" t="s">
        <v>12545</v>
      </c>
      <c r="AF118" s="460" t="s">
        <v>12573</v>
      </c>
      <c r="AG118" s="462">
        <v>44554</v>
      </c>
      <c r="AH118" s="460" t="s">
        <v>12969</v>
      </c>
    </row>
    <row r="119" spans="1:34">
      <c r="A119" s="453" t="s">
        <v>12974</v>
      </c>
      <c r="B119" s="454" t="s">
        <v>12975</v>
      </c>
      <c r="C119" s="454" t="s">
        <v>12976</v>
      </c>
      <c r="D119" s="454" t="s">
        <v>12977</v>
      </c>
      <c r="E119" s="454" t="s">
        <v>1732</v>
      </c>
      <c r="F119" s="459" t="s">
        <v>1736</v>
      </c>
      <c r="G119" s="455" t="s">
        <v>4913</v>
      </c>
      <c r="H119" s="455" t="s">
        <v>4913</v>
      </c>
      <c r="I119" s="455" t="s">
        <v>4913</v>
      </c>
      <c r="J119" s="455" t="s">
        <v>4913</v>
      </c>
      <c r="K119" s="455" t="s">
        <v>4913</v>
      </c>
      <c r="L119" s="455" t="s">
        <v>4913</v>
      </c>
      <c r="M119" s="455" t="s">
        <v>4913</v>
      </c>
      <c r="N119" s="455" t="s">
        <v>4913</v>
      </c>
      <c r="O119" s="455" t="s">
        <v>4913</v>
      </c>
      <c r="P119" s="455" t="s">
        <v>4913</v>
      </c>
      <c r="Q119" s="455" t="s">
        <v>4913</v>
      </c>
      <c r="R119" s="455" t="s">
        <v>4913</v>
      </c>
      <c r="S119" s="455" t="s">
        <v>4913</v>
      </c>
      <c r="T119" s="455" t="s">
        <v>4913</v>
      </c>
      <c r="U119" s="455" t="s">
        <v>4913</v>
      </c>
      <c r="V119" s="455" t="s">
        <v>4913</v>
      </c>
      <c r="W119" s="455" t="s">
        <v>4913</v>
      </c>
      <c r="X119" s="455" t="s">
        <v>4913</v>
      </c>
      <c r="Y119" s="455" t="s">
        <v>4913</v>
      </c>
      <c r="Z119" s="455" t="s">
        <v>4913</v>
      </c>
      <c r="AA119" s="455" t="s">
        <v>4913</v>
      </c>
      <c r="AB119" s="455" t="s">
        <v>4913</v>
      </c>
      <c r="AC119" s="456" t="s">
        <v>1737</v>
      </c>
      <c r="AD119" s="459" t="s">
        <v>12544</v>
      </c>
      <c r="AE119" s="454" t="s">
        <v>12545</v>
      </c>
      <c r="AF119" s="460" t="s">
        <v>12573</v>
      </c>
      <c r="AG119" s="462">
        <v>44561</v>
      </c>
      <c r="AH119" s="460" t="s">
        <v>12978</v>
      </c>
    </row>
    <row r="120" spans="1:34">
      <c r="A120" s="453" t="s">
        <v>12974</v>
      </c>
      <c r="B120" s="454" t="s">
        <v>12979</v>
      </c>
      <c r="C120" s="454" t="s">
        <v>12976</v>
      </c>
      <c r="D120" s="454" t="s">
        <v>12980</v>
      </c>
      <c r="E120" s="454" t="s">
        <v>1743</v>
      </c>
      <c r="F120" s="459" t="s">
        <v>1736</v>
      </c>
      <c r="G120" s="455" t="s">
        <v>4913</v>
      </c>
      <c r="H120" s="455" t="s">
        <v>4913</v>
      </c>
      <c r="I120" s="455" t="s">
        <v>4913</v>
      </c>
      <c r="J120" s="455" t="s">
        <v>4913</v>
      </c>
      <c r="K120" s="455" t="s">
        <v>4913</v>
      </c>
      <c r="L120" s="455" t="s">
        <v>4913</v>
      </c>
      <c r="M120" s="455" t="s">
        <v>4913</v>
      </c>
      <c r="N120" s="455" t="s">
        <v>4913</v>
      </c>
      <c r="O120" s="455" t="s">
        <v>4913</v>
      </c>
      <c r="P120" s="455" t="s">
        <v>4913</v>
      </c>
      <c r="Q120" s="455" t="s">
        <v>4913</v>
      </c>
      <c r="R120" s="455" t="s">
        <v>4913</v>
      </c>
      <c r="S120" s="455" t="s">
        <v>4913</v>
      </c>
      <c r="T120" s="455" t="s">
        <v>4913</v>
      </c>
      <c r="U120" s="455" t="s">
        <v>4913</v>
      </c>
      <c r="V120" s="455" t="s">
        <v>4913</v>
      </c>
      <c r="W120" s="455" t="s">
        <v>4913</v>
      </c>
      <c r="X120" s="455" t="s">
        <v>4913</v>
      </c>
      <c r="Y120" s="455" t="s">
        <v>4913</v>
      </c>
      <c r="Z120" s="455" t="s">
        <v>4913</v>
      </c>
      <c r="AA120" s="455" t="s">
        <v>4913</v>
      </c>
      <c r="AB120" s="455" t="s">
        <v>4913</v>
      </c>
      <c r="AC120" s="456" t="s">
        <v>1737</v>
      </c>
      <c r="AD120" s="459" t="s">
        <v>12544</v>
      </c>
      <c r="AE120" s="454" t="s">
        <v>12545</v>
      </c>
      <c r="AF120" s="460" t="s">
        <v>12573</v>
      </c>
      <c r="AG120" s="462">
        <v>44561</v>
      </c>
      <c r="AH120" s="460" t="s">
        <v>12978</v>
      </c>
    </row>
    <row r="121" spans="1:34">
      <c r="A121" s="453" t="s">
        <v>12974</v>
      </c>
      <c r="B121" s="454" t="s">
        <v>12981</v>
      </c>
      <c r="C121" s="454" t="s">
        <v>12976</v>
      </c>
      <c r="D121" s="454" t="s">
        <v>12982</v>
      </c>
      <c r="E121" s="454" t="s">
        <v>1743</v>
      </c>
      <c r="F121" s="459" t="s">
        <v>1736</v>
      </c>
      <c r="G121" s="455" t="s">
        <v>4913</v>
      </c>
      <c r="H121" s="455" t="s">
        <v>4913</v>
      </c>
      <c r="I121" s="455" t="s">
        <v>4913</v>
      </c>
      <c r="J121" s="455" t="s">
        <v>4913</v>
      </c>
      <c r="K121" s="455" t="s">
        <v>4913</v>
      </c>
      <c r="L121" s="455" t="s">
        <v>4913</v>
      </c>
      <c r="M121" s="455" t="s">
        <v>4913</v>
      </c>
      <c r="N121" s="455" t="s">
        <v>4913</v>
      </c>
      <c r="O121" s="455" t="s">
        <v>4913</v>
      </c>
      <c r="P121" s="455" t="s">
        <v>4913</v>
      </c>
      <c r="Q121" s="455" t="s">
        <v>4913</v>
      </c>
      <c r="R121" s="455" t="s">
        <v>4913</v>
      </c>
      <c r="S121" s="455" t="s">
        <v>4913</v>
      </c>
      <c r="T121" s="455" t="s">
        <v>4913</v>
      </c>
      <c r="U121" s="455" t="s">
        <v>4913</v>
      </c>
      <c r="V121" s="455" t="s">
        <v>4913</v>
      </c>
      <c r="W121" s="455" t="s">
        <v>4913</v>
      </c>
      <c r="X121" s="455" t="s">
        <v>4913</v>
      </c>
      <c r="Y121" s="455" t="s">
        <v>4913</v>
      </c>
      <c r="Z121" s="455" t="s">
        <v>4913</v>
      </c>
      <c r="AA121" s="455" t="s">
        <v>4913</v>
      </c>
      <c r="AB121" s="455" t="s">
        <v>4913</v>
      </c>
      <c r="AC121" s="456" t="s">
        <v>1737</v>
      </c>
      <c r="AD121" s="459" t="s">
        <v>12544</v>
      </c>
      <c r="AE121" s="454" t="s">
        <v>12545</v>
      </c>
      <c r="AF121" s="460" t="s">
        <v>12573</v>
      </c>
      <c r="AG121" s="462">
        <v>44561</v>
      </c>
      <c r="AH121" s="460" t="s">
        <v>12978</v>
      </c>
    </row>
    <row r="122" spans="1:34">
      <c r="A122" s="453" t="s">
        <v>12983</v>
      </c>
      <c r="B122" s="454" t="s">
        <v>12984</v>
      </c>
      <c r="C122" s="454" t="s">
        <v>12985</v>
      </c>
      <c r="D122" s="454" t="s">
        <v>12986</v>
      </c>
      <c r="E122" s="454" t="s">
        <v>1732</v>
      </c>
      <c r="F122" s="459" t="s">
        <v>1736</v>
      </c>
      <c r="G122" s="459" t="s">
        <v>1736</v>
      </c>
      <c r="H122" s="455" t="s">
        <v>4913</v>
      </c>
      <c r="I122" s="456" t="s">
        <v>1736</v>
      </c>
      <c r="J122" s="455" t="s">
        <v>4913</v>
      </c>
      <c r="K122" s="455" t="s">
        <v>4913</v>
      </c>
      <c r="L122" s="455" t="s">
        <v>4913</v>
      </c>
      <c r="M122" s="455" t="s">
        <v>4913</v>
      </c>
      <c r="N122" s="455" t="s">
        <v>4913</v>
      </c>
      <c r="O122" s="455" t="s">
        <v>4913</v>
      </c>
      <c r="P122" s="455" t="s">
        <v>4913</v>
      </c>
      <c r="Q122" s="455" t="s">
        <v>4913</v>
      </c>
      <c r="R122" s="455" t="s">
        <v>4913</v>
      </c>
      <c r="S122" s="455" t="s">
        <v>4913</v>
      </c>
      <c r="T122" s="455" t="s">
        <v>4913</v>
      </c>
      <c r="U122" s="455" t="s">
        <v>4913</v>
      </c>
      <c r="V122" s="455" t="s">
        <v>4913</v>
      </c>
      <c r="W122" s="456" t="s">
        <v>1736</v>
      </c>
      <c r="X122" s="456" t="s">
        <v>1736</v>
      </c>
      <c r="Y122" s="455" t="s">
        <v>4913</v>
      </c>
      <c r="Z122" s="455" t="s">
        <v>4913</v>
      </c>
      <c r="AA122" s="455" t="s">
        <v>4913</v>
      </c>
      <c r="AB122" s="455" t="s">
        <v>4913</v>
      </c>
      <c r="AC122" s="456" t="s">
        <v>1737</v>
      </c>
      <c r="AD122" s="459" t="s">
        <v>12544</v>
      </c>
      <c r="AE122" s="454" t="s">
        <v>12656</v>
      </c>
      <c r="AF122" s="460" t="s">
        <v>12642</v>
      </c>
      <c r="AG122" s="460" t="s">
        <v>12867</v>
      </c>
      <c r="AH122" s="460" t="s">
        <v>12987</v>
      </c>
    </row>
    <row r="123" spans="1:34">
      <c r="A123" s="453" t="s">
        <v>12983</v>
      </c>
      <c r="B123" s="454" t="s">
        <v>12988</v>
      </c>
      <c r="C123" s="454" t="s">
        <v>12985</v>
      </c>
      <c r="D123" s="454" t="s">
        <v>12989</v>
      </c>
      <c r="E123" s="454" t="s">
        <v>1732</v>
      </c>
      <c r="F123" s="459" t="s">
        <v>1736</v>
      </c>
      <c r="G123" s="459" t="s">
        <v>1736</v>
      </c>
      <c r="H123" s="455" t="s">
        <v>4913</v>
      </c>
      <c r="I123" s="456" t="s">
        <v>1736</v>
      </c>
      <c r="J123" s="455" t="s">
        <v>4913</v>
      </c>
      <c r="K123" s="455" t="s">
        <v>4913</v>
      </c>
      <c r="L123" s="455" t="s">
        <v>4913</v>
      </c>
      <c r="M123" s="455" t="s">
        <v>4913</v>
      </c>
      <c r="N123" s="455" t="s">
        <v>4913</v>
      </c>
      <c r="O123" s="455" t="s">
        <v>4913</v>
      </c>
      <c r="P123" s="455" t="s">
        <v>4913</v>
      </c>
      <c r="Q123" s="455" t="s">
        <v>4913</v>
      </c>
      <c r="R123" s="455" t="s">
        <v>4913</v>
      </c>
      <c r="S123" s="455" t="s">
        <v>4913</v>
      </c>
      <c r="T123" s="455" t="s">
        <v>4913</v>
      </c>
      <c r="U123" s="455" t="s">
        <v>4913</v>
      </c>
      <c r="V123" s="455" t="s">
        <v>4913</v>
      </c>
      <c r="W123" s="456" t="s">
        <v>1736</v>
      </c>
      <c r="X123" s="456" t="s">
        <v>1736</v>
      </c>
      <c r="Y123" s="455" t="s">
        <v>4913</v>
      </c>
      <c r="Z123" s="455" t="s">
        <v>4913</v>
      </c>
      <c r="AA123" s="455" t="s">
        <v>4913</v>
      </c>
      <c r="AB123" s="455" t="s">
        <v>4913</v>
      </c>
      <c r="AC123" s="456" t="s">
        <v>1737</v>
      </c>
      <c r="AD123" s="459" t="s">
        <v>12544</v>
      </c>
      <c r="AE123" s="454" t="s">
        <v>12656</v>
      </c>
      <c r="AF123" s="460" t="s">
        <v>12990</v>
      </c>
      <c r="AG123" s="460" t="s">
        <v>12867</v>
      </c>
      <c r="AH123" s="460" t="s">
        <v>12987</v>
      </c>
    </row>
    <row r="124" spans="1:34">
      <c r="A124" s="453" t="s">
        <v>12983</v>
      </c>
      <c r="B124" s="454" t="s">
        <v>12991</v>
      </c>
      <c r="C124" s="454" t="s">
        <v>12985</v>
      </c>
      <c r="D124" s="454" t="s">
        <v>12992</v>
      </c>
      <c r="E124" s="454" t="s">
        <v>1732</v>
      </c>
      <c r="F124" s="459" t="s">
        <v>1736</v>
      </c>
      <c r="G124" s="459" t="s">
        <v>1736</v>
      </c>
      <c r="H124" s="455" t="s">
        <v>4913</v>
      </c>
      <c r="I124" s="456" t="s">
        <v>1736</v>
      </c>
      <c r="J124" s="455" t="s">
        <v>4913</v>
      </c>
      <c r="K124" s="455" t="s">
        <v>4913</v>
      </c>
      <c r="L124" s="455" t="s">
        <v>4913</v>
      </c>
      <c r="M124" s="455" t="s">
        <v>4913</v>
      </c>
      <c r="N124" s="455" t="s">
        <v>4913</v>
      </c>
      <c r="O124" s="455" t="s">
        <v>4913</v>
      </c>
      <c r="P124" s="455" t="s">
        <v>4913</v>
      </c>
      <c r="Q124" s="455" t="s">
        <v>4913</v>
      </c>
      <c r="R124" s="455" t="s">
        <v>4913</v>
      </c>
      <c r="S124" s="455" t="s">
        <v>4913</v>
      </c>
      <c r="T124" s="455" t="s">
        <v>4913</v>
      </c>
      <c r="U124" s="455" t="s">
        <v>4913</v>
      </c>
      <c r="V124" s="455" t="s">
        <v>4913</v>
      </c>
      <c r="W124" s="456" t="s">
        <v>1736</v>
      </c>
      <c r="X124" s="456" t="s">
        <v>1736</v>
      </c>
      <c r="Y124" s="455" t="s">
        <v>4913</v>
      </c>
      <c r="Z124" s="455" t="s">
        <v>4913</v>
      </c>
      <c r="AA124" s="455" t="s">
        <v>4913</v>
      </c>
      <c r="AB124" s="455" t="s">
        <v>4913</v>
      </c>
      <c r="AC124" s="456" t="s">
        <v>1737</v>
      </c>
      <c r="AD124" s="459" t="s">
        <v>12544</v>
      </c>
      <c r="AE124" s="454" t="s">
        <v>12656</v>
      </c>
      <c r="AF124" s="454" t="s">
        <v>12993</v>
      </c>
      <c r="AG124" s="460" t="s">
        <v>12867</v>
      </c>
      <c r="AH124" s="460" t="s">
        <v>12987</v>
      </c>
    </row>
    <row r="125" spans="1:34">
      <c r="A125" s="453" t="s">
        <v>12983</v>
      </c>
      <c r="B125" s="454" t="s">
        <v>12994</v>
      </c>
      <c r="C125" s="454" t="s">
        <v>12985</v>
      </c>
      <c r="D125" s="454" t="s">
        <v>12995</v>
      </c>
      <c r="E125" s="454" t="s">
        <v>1743</v>
      </c>
      <c r="F125" s="459" t="s">
        <v>1736</v>
      </c>
      <c r="G125" s="455" t="s">
        <v>4913</v>
      </c>
      <c r="H125" s="455" t="s">
        <v>4913</v>
      </c>
      <c r="I125" s="455" t="s">
        <v>4913</v>
      </c>
      <c r="J125" s="455" t="s">
        <v>4913</v>
      </c>
      <c r="K125" s="455" t="s">
        <v>4913</v>
      </c>
      <c r="L125" s="455" t="s">
        <v>4913</v>
      </c>
      <c r="M125" s="455" t="s">
        <v>4913</v>
      </c>
      <c r="N125" s="455" t="s">
        <v>4913</v>
      </c>
      <c r="O125" s="455" t="s">
        <v>4913</v>
      </c>
      <c r="P125" s="455" t="s">
        <v>4913</v>
      </c>
      <c r="Q125" s="455" t="s">
        <v>4913</v>
      </c>
      <c r="R125" s="455" t="s">
        <v>4913</v>
      </c>
      <c r="S125" s="455" t="s">
        <v>4913</v>
      </c>
      <c r="T125" s="455" t="s">
        <v>4913</v>
      </c>
      <c r="U125" s="455" t="s">
        <v>4913</v>
      </c>
      <c r="V125" s="455" t="s">
        <v>4913</v>
      </c>
      <c r="W125" s="455" t="s">
        <v>4913</v>
      </c>
      <c r="X125" s="455" t="s">
        <v>4913</v>
      </c>
      <c r="Y125" s="455" t="s">
        <v>4913</v>
      </c>
      <c r="Z125" s="455" t="s">
        <v>4913</v>
      </c>
      <c r="AA125" s="455" t="s">
        <v>4913</v>
      </c>
      <c r="AB125" s="455" t="s">
        <v>4913</v>
      </c>
      <c r="AC125" s="456" t="s">
        <v>1737</v>
      </c>
      <c r="AD125" s="459" t="s">
        <v>12544</v>
      </c>
      <c r="AE125" s="454" t="s">
        <v>12545</v>
      </c>
      <c r="AF125" s="460" t="s">
        <v>12573</v>
      </c>
      <c r="AG125" s="460" t="s">
        <v>12867</v>
      </c>
      <c r="AH125" s="460" t="s">
        <v>12987</v>
      </c>
    </row>
    <row r="126" spans="1:34">
      <c r="A126" s="453" t="s">
        <v>12983</v>
      </c>
      <c r="B126" s="454" t="s">
        <v>12996</v>
      </c>
      <c r="C126" s="454" t="s">
        <v>12985</v>
      </c>
      <c r="D126" s="454" t="s">
        <v>12997</v>
      </c>
      <c r="E126" s="454" t="s">
        <v>1743</v>
      </c>
      <c r="F126" s="459" t="s">
        <v>1736</v>
      </c>
      <c r="G126" s="455" t="s">
        <v>4913</v>
      </c>
      <c r="H126" s="455" t="s">
        <v>4913</v>
      </c>
      <c r="I126" s="455" t="s">
        <v>4913</v>
      </c>
      <c r="J126" s="455" t="s">
        <v>4913</v>
      </c>
      <c r="K126" s="455" t="s">
        <v>4913</v>
      </c>
      <c r="L126" s="455" t="s">
        <v>4913</v>
      </c>
      <c r="M126" s="455" t="s">
        <v>4913</v>
      </c>
      <c r="N126" s="455" t="s">
        <v>4913</v>
      </c>
      <c r="O126" s="455" t="s">
        <v>4913</v>
      </c>
      <c r="P126" s="455" t="s">
        <v>4913</v>
      </c>
      <c r="Q126" s="455" t="s">
        <v>4913</v>
      </c>
      <c r="R126" s="455" t="s">
        <v>4913</v>
      </c>
      <c r="S126" s="455" t="s">
        <v>4913</v>
      </c>
      <c r="T126" s="455" t="s">
        <v>4913</v>
      </c>
      <c r="U126" s="455" t="s">
        <v>4913</v>
      </c>
      <c r="V126" s="455" t="s">
        <v>4913</v>
      </c>
      <c r="W126" s="455" t="s">
        <v>4913</v>
      </c>
      <c r="X126" s="455" t="s">
        <v>4913</v>
      </c>
      <c r="Y126" s="455" t="s">
        <v>4913</v>
      </c>
      <c r="Z126" s="455" t="s">
        <v>4913</v>
      </c>
      <c r="AA126" s="455" t="s">
        <v>4913</v>
      </c>
      <c r="AB126" s="455" t="s">
        <v>4913</v>
      </c>
      <c r="AC126" s="456" t="s">
        <v>1737</v>
      </c>
      <c r="AD126" s="459" t="s">
        <v>12544</v>
      </c>
      <c r="AE126" s="454" t="s">
        <v>12545</v>
      </c>
      <c r="AF126" s="460" t="s">
        <v>12573</v>
      </c>
      <c r="AG126" s="460" t="s">
        <v>12867</v>
      </c>
      <c r="AH126" s="460" t="s">
        <v>12987</v>
      </c>
    </row>
    <row r="127" spans="1:34">
      <c r="A127" s="453" t="s">
        <v>12983</v>
      </c>
      <c r="B127" s="454" t="s">
        <v>12998</v>
      </c>
      <c r="C127" s="454" t="s">
        <v>12985</v>
      </c>
      <c r="D127" s="454" t="s">
        <v>12999</v>
      </c>
      <c r="E127" s="454" t="s">
        <v>1743</v>
      </c>
      <c r="F127" s="459" t="s">
        <v>1736</v>
      </c>
      <c r="G127" s="455" t="s">
        <v>4913</v>
      </c>
      <c r="H127" s="455" t="s">
        <v>4913</v>
      </c>
      <c r="I127" s="455" t="s">
        <v>4913</v>
      </c>
      <c r="J127" s="455" t="s">
        <v>4913</v>
      </c>
      <c r="K127" s="455" t="s">
        <v>4913</v>
      </c>
      <c r="L127" s="455" t="s">
        <v>4913</v>
      </c>
      <c r="M127" s="455" t="s">
        <v>4913</v>
      </c>
      <c r="N127" s="455" t="s">
        <v>4913</v>
      </c>
      <c r="O127" s="455" t="s">
        <v>4913</v>
      </c>
      <c r="P127" s="455" t="s">
        <v>4913</v>
      </c>
      <c r="Q127" s="455" t="s">
        <v>4913</v>
      </c>
      <c r="R127" s="455" t="s">
        <v>4913</v>
      </c>
      <c r="S127" s="455" t="s">
        <v>4913</v>
      </c>
      <c r="T127" s="455" t="s">
        <v>4913</v>
      </c>
      <c r="U127" s="455" t="s">
        <v>4913</v>
      </c>
      <c r="V127" s="455" t="s">
        <v>4913</v>
      </c>
      <c r="W127" s="455" t="s">
        <v>4913</v>
      </c>
      <c r="X127" s="455" t="s">
        <v>4913</v>
      </c>
      <c r="Y127" s="455" t="s">
        <v>4913</v>
      </c>
      <c r="Z127" s="455" t="s">
        <v>4913</v>
      </c>
      <c r="AA127" s="455" t="s">
        <v>4913</v>
      </c>
      <c r="AB127" s="455" t="s">
        <v>4913</v>
      </c>
      <c r="AC127" s="456" t="s">
        <v>1737</v>
      </c>
      <c r="AD127" s="459" t="s">
        <v>12544</v>
      </c>
      <c r="AE127" s="454" t="s">
        <v>12545</v>
      </c>
      <c r="AF127" s="460" t="s">
        <v>12573</v>
      </c>
      <c r="AG127" s="460" t="s">
        <v>12867</v>
      </c>
      <c r="AH127" s="460" t="s">
        <v>12987</v>
      </c>
    </row>
    <row r="128" spans="1:34">
      <c r="A128" s="453" t="s">
        <v>12983</v>
      </c>
      <c r="B128" s="454" t="s">
        <v>13000</v>
      </c>
      <c r="C128" s="454" t="s">
        <v>12985</v>
      </c>
      <c r="D128" s="454" t="s">
        <v>13001</v>
      </c>
      <c r="E128" s="454" t="s">
        <v>1732</v>
      </c>
      <c r="F128" s="459" t="s">
        <v>1736</v>
      </c>
      <c r="G128" s="459" t="s">
        <v>1736</v>
      </c>
      <c r="H128" s="455" t="s">
        <v>4913</v>
      </c>
      <c r="I128" s="455" t="s">
        <v>4913</v>
      </c>
      <c r="J128" s="455" t="s">
        <v>4913</v>
      </c>
      <c r="K128" s="455" t="s">
        <v>4913</v>
      </c>
      <c r="L128" s="459" t="s">
        <v>1736</v>
      </c>
      <c r="M128" s="459" t="s">
        <v>1736</v>
      </c>
      <c r="N128" s="455" t="s">
        <v>4913</v>
      </c>
      <c r="O128" s="455" t="s">
        <v>4913</v>
      </c>
      <c r="P128" s="455" t="s">
        <v>4913</v>
      </c>
      <c r="Q128" s="455" t="s">
        <v>4913</v>
      </c>
      <c r="R128" s="455" t="s">
        <v>4913</v>
      </c>
      <c r="S128" s="455" t="s">
        <v>4913</v>
      </c>
      <c r="T128" s="455" t="s">
        <v>4913</v>
      </c>
      <c r="U128" s="459" t="s">
        <v>1736</v>
      </c>
      <c r="V128" s="455" t="s">
        <v>4913</v>
      </c>
      <c r="W128" s="459" t="s">
        <v>1736</v>
      </c>
      <c r="X128" s="455" t="s">
        <v>4913</v>
      </c>
      <c r="Y128" s="455" t="s">
        <v>4913</v>
      </c>
      <c r="Z128" s="455" t="s">
        <v>4913</v>
      </c>
      <c r="AA128" s="455" t="s">
        <v>4913</v>
      </c>
      <c r="AB128" s="455" t="s">
        <v>4913</v>
      </c>
      <c r="AC128" s="456" t="s">
        <v>1737</v>
      </c>
      <c r="AD128" s="459" t="s">
        <v>12544</v>
      </c>
      <c r="AE128" s="454" t="s">
        <v>13002</v>
      </c>
      <c r="AF128" s="460" t="s">
        <v>12642</v>
      </c>
      <c r="AG128" s="460" t="s">
        <v>12867</v>
      </c>
      <c r="AH128" s="460" t="s">
        <v>12987</v>
      </c>
    </row>
    <row r="129" spans="1:34">
      <c r="A129" s="453" t="s">
        <v>12983</v>
      </c>
      <c r="B129" s="454" t="s">
        <v>13003</v>
      </c>
      <c r="C129" s="454" t="s">
        <v>12985</v>
      </c>
      <c r="D129" s="454" t="s">
        <v>13004</v>
      </c>
      <c r="E129" s="454" t="s">
        <v>1732</v>
      </c>
      <c r="F129" s="455" t="s">
        <v>4913</v>
      </c>
      <c r="G129" s="455" t="s">
        <v>4913</v>
      </c>
      <c r="H129" s="455" t="s">
        <v>4913</v>
      </c>
      <c r="I129" s="455" t="s">
        <v>4913</v>
      </c>
      <c r="J129" s="455" t="s">
        <v>4913</v>
      </c>
      <c r="K129" s="455" t="s">
        <v>4913</v>
      </c>
      <c r="L129" s="455" t="s">
        <v>4913</v>
      </c>
      <c r="M129" s="455" t="s">
        <v>4913</v>
      </c>
      <c r="N129" s="455" t="s">
        <v>4913</v>
      </c>
      <c r="O129" s="455" t="s">
        <v>4913</v>
      </c>
      <c r="P129" s="455" t="s">
        <v>4913</v>
      </c>
      <c r="Q129" s="455" t="s">
        <v>4913</v>
      </c>
      <c r="R129" s="455" t="s">
        <v>4913</v>
      </c>
      <c r="S129" s="455" t="s">
        <v>4913</v>
      </c>
      <c r="T129" s="455" t="s">
        <v>4913</v>
      </c>
      <c r="U129" s="455" t="s">
        <v>4913</v>
      </c>
      <c r="V129" s="455" t="s">
        <v>4913</v>
      </c>
      <c r="W129" s="456" t="s">
        <v>1736</v>
      </c>
      <c r="X129" s="455" t="s">
        <v>4913</v>
      </c>
      <c r="Y129" s="455" t="s">
        <v>4913</v>
      </c>
      <c r="Z129" s="455" t="s">
        <v>4913</v>
      </c>
      <c r="AA129" s="455" t="s">
        <v>4913</v>
      </c>
      <c r="AB129" s="455" t="s">
        <v>4913</v>
      </c>
      <c r="AC129" s="456" t="s">
        <v>1737</v>
      </c>
      <c r="AD129" s="459" t="s">
        <v>12544</v>
      </c>
      <c r="AE129" s="454" t="s">
        <v>12545</v>
      </c>
      <c r="AF129" s="460"/>
      <c r="AG129" s="460" t="s">
        <v>12867</v>
      </c>
      <c r="AH129" s="460" t="s">
        <v>12987</v>
      </c>
    </row>
    <row r="130" spans="1:34">
      <c r="A130" s="453" t="s">
        <v>12983</v>
      </c>
      <c r="B130" s="454" t="s">
        <v>13005</v>
      </c>
      <c r="C130" s="454" t="s">
        <v>12985</v>
      </c>
      <c r="D130" s="454" t="s">
        <v>13006</v>
      </c>
      <c r="E130" s="454" t="s">
        <v>1743</v>
      </c>
      <c r="F130" s="456" t="s">
        <v>1736</v>
      </c>
      <c r="G130" s="456" t="s">
        <v>1736</v>
      </c>
      <c r="H130" s="455" t="s">
        <v>4913</v>
      </c>
      <c r="I130" s="455" t="s">
        <v>4913</v>
      </c>
      <c r="J130" s="455" t="s">
        <v>4913</v>
      </c>
      <c r="K130" s="455" t="s">
        <v>4913</v>
      </c>
      <c r="L130" s="455" t="s">
        <v>4913</v>
      </c>
      <c r="M130" s="455" t="s">
        <v>4913</v>
      </c>
      <c r="N130" s="455" t="s">
        <v>4913</v>
      </c>
      <c r="O130" s="455" t="s">
        <v>4913</v>
      </c>
      <c r="P130" s="455" t="s">
        <v>4913</v>
      </c>
      <c r="Q130" s="455" t="s">
        <v>4913</v>
      </c>
      <c r="R130" s="455" t="s">
        <v>4913</v>
      </c>
      <c r="S130" s="455" t="s">
        <v>4913</v>
      </c>
      <c r="T130" s="455" t="s">
        <v>4913</v>
      </c>
      <c r="U130" s="455" t="s">
        <v>4913</v>
      </c>
      <c r="V130" s="455" t="s">
        <v>4913</v>
      </c>
      <c r="W130" s="455" t="s">
        <v>4913</v>
      </c>
      <c r="X130" s="455" t="s">
        <v>4913</v>
      </c>
      <c r="Y130" s="455" t="s">
        <v>4913</v>
      </c>
      <c r="Z130" s="455" t="s">
        <v>4913</v>
      </c>
      <c r="AA130" s="455" t="s">
        <v>4913</v>
      </c>
      <c r="AB130" s="455" t="s">
        <v>4913</v>
      </c>
      <c r="AC130" s="456" t="s">
        <v>1737</v>
      </c>
      <c r="AD130" s="459" t="s">
        <v>12544</v>
      </c>
      <c r="AE130" s="454" t="s">
        <v>12545</v>
      </c>
      <c r="AF130" s="454" t="s">
        <v>13007</v>
      </c>
      <c r="AG130" s="460" t="s">
        <v>12867</v>
      </c>
      <c r="AH130" s="460" t="s">
        <v>12987</v>
      </c>
    </row>
    <row r="131" spans="1:34">
      <c r="A131" s="453" t="s">
        <v>13008</v>
      </c>
      <c r="B131" s="454" t="s">
        <v>13009</v>
      </c>
      <c r="C131" s="454" t="s">
        <v>13010</v>
      </c>
      <c r="D131" s="454" t="s">
        <v>13011</v>
      </c>
      <c r="E131" s="454" t="s">
        <v>1732</v>
      </c>
      <c r="F131" s="456" t="s">
        <v>1736</v>
      </c>
      <c r="G131" s="456" t="s">
        <v>1736</v>
      </c>
      <c r="H131" s="455" t="s">
        <v>4913</v>
      </c>
      <c r="I131" s="456" t="s">
        <v>1736</v>
      </c>
      <c r="J131" s="455" t="s">
        <v>4913</v>
      </c>
      <c r="K131" s="455" t="s">
        <v>4913</v>
      </c>
      <c r="L131" s="455" t="s">
        <v>4913</v>
      </c>
      <c r="M131" s="455" t="s">
        <v>4913</v>
      </c>
      <c r="N131" s="455" t="s">
        <v>4913</v>
      </c>
      <c r="O131" s="455" t="s">
        <v>4913</v>
      </c>
      <c r="P131" s="455" t="s">
        <v>4913</v>
      </c>
      <c r="Q131" s="455" t="s">
        <v>4913</v>
      </c>
      <c r="R131" s="455" t="s">
        <v>4913</v>
      </c>
      <c r="S131" s="455" t="s">
        <v>4913</v>
      </c>
      <c r="T131" s="455" t="s">
        <v>4913</v>
      </c>
      <c r="U131" s="455" t="s">
        <v>4913</v>
      </c>
      <c r="V131" s="455" t="s">
        <v>4913</v>
      </c>
      <c r="W131" s="456" t="s">
        <v>1736</v>
      </c>
      <c r="X131" s="456" t="s">
        <v>1736</v>
      </c>
      <c r="Y131" s="455" t="s">
        <v>4913</v>
      </c>
      <c r="Z131" s="455" t="s">
        <v>4913</v>
      </c>
      <c r="AA131" s="455" t="s">
        <v>4913</v>
      </c>
      <c r="AB131" s="455" t="s">
        <v>4913</v>
      </c>
      <c r="AC131" s="456" t="s">
        <v>1737</v>
      </c>
      <c r="AD131" s="459" t="s">
        <v>12544</v>
      </c>
      <c r="AE131" s="454" t="s">
        <v>12656</v>
      </c>
      <c r="AF131" s="460" t="s">
        <v>13012</v>
      </c>
      <c r="AG131" s="460" t="s">
        <v>12638</v>
      </c>
      <c r="AH131" s="460" t="s">
        <v>13013</v>
      </c>
    </row>
    <row r="132" spans="1:34">
      <c r="A132" s="453" t="s">
        <v>13008</v>
      </c>
      <c r="B132" s="454" t="s">
        <v>13014</v>
      </c>
      <c r="C132" s="454" t="s">
        <v>13010</v>
      </c>
      <c r="D132" s="454" t="s">
        <v>13015</v>
      </c>
      <c r="E132" s="454" t="s">
        <v>1743</v>
      </c>
      <c r="F132" s="456" t="s">
        <v>1736</v>
      </c>
      <c r="G132" s="455" t="s">
        <v>4913</v>
      </c>
      <c r="H132" s="455" t="s">
        <v>4913</v>
      </c>
      <c r="I132" s="455" t="s">
        <v>4913</v>
      </c>
      <c r="J132" s="455" t="s">
        <v>4913</v>
      </c>
      <c r="K132" s="455" t="s">
        <v>4913</v>
      </c>
      <c r="L132" s="455" t="s">
        <v>4913</v>
      </c>
      <c r="M132" s="455" t="s">
        <v>4913</v>
      </c>
      <c r="N132" s="455" t="s">
        <v>4913</v>
      </c>
      <c r="O132" s="455" t="s">
        <v>4913</v>
      </c>
      <c r="P132" s="455" t="s">
        <v>4913</v>
      </c>
      <c r="Q132" s="455" t="s">
        <v>4913</v>
      </c>
      <c r="R132" s="455" t="s">
        <v>4913</v>
      </c>
      <c r="S132" s="455" t="s">
        <v>4913</v>
      </c>
      <c r="T132" s="455" t="s">
        <v>4913</v>
      </c>
      <c r="U132" s="455" t="s">
        <v>4913</v>
      </c>
      <c r="V132" s="455" t="s">
        <v>4913</v>
      </c>
      <c r="W132" s="455" t="s">
        <v>4913</v>
      </c>
      <c r="X132" s="455" t="s">
        <v>4913</v>
      </c>
      <c r="Y132" s="455" t="s">
        <v>4913</v>
      </c>
      <c r="Z132" s="455" t="s">
        <v>4913</v>
      </c>
      <c r="AA132" s="455" t="s">
        <v>4913</v>
      </c>
      <c r="AB132" s="455" t="s">
        <v>4913</v>
      </c>
      <c r="AC132" s="456" t="s">
        <v>1737</v>
      </c>
      <c r="AD132" s="459" t="s">
        <v>12544</v>
      </c>
      <c r="AE132" s="454" t="s">
        <v>12545</v>
      </c>
      <c r="AF132" s="460" t="s">
        <v>13016</v>
      </c>
      <c r="AG132" s="460" t="s">
        <v>12638</v>
      </c>
      <c r="AH132" s="460" t="s">
        <v>13013</v>
      </c>
    </row>
    <row r="133" spans="1:34">
      <c r="A133" s="453" t="s">
        <v>13017</v>
      </c>
      <c r="B133" s="454" t="s">
        <v>13018</v>
      </c>
      <c r="C133" s="454" t="s">
        <v>13019</v>
      </c>
      <c r="D133" s="454" t="s">
        <v>13020</v>
      </c>
      <c r="E133" s="454" t="s">
        <v>1732</v>
      </c>
      <c r="F133" s="456" t="s">
        <v>1736</v>
      </c>
      <c r="G133" s="456" t="s">
        <v>1736</v>
      </c>
      <c r="H133" s="455" t="s">
        <v>4913</v>
      </c>
      <c r="I133" s="456" t="s">
        <v>1736</v>
      </c>
      <c r="J133" s="455" t="s">
        <v>4913</v>
      </c>
      <c r="K133" s="455" t="s">
        <v>4913</v>
      </c>
      <c r="L133" s="455" t="s">
        <v>4913</v>
      </c>
      <c r="M133" s="455" t="s">
        <v>4913</v>
      </c>
      <c r="N133" s="455" t="s">
        <v>4913</v>
      </c>
      <c r="O133" s="455" t="s">
        <v>4913</v>
      </c>
      <c r="P133" s="455" t="s">
        <v>4913</v>
      </c>
      <c r="Q133" s="455" t="s">
        <v>4913</v>
      </c>
      <c r="R133" s="455" t="s">
        <v>4913</v>
      </c>
      <c r="S133" s="455" t="s">
        <v>4913</v>
      </c>
      <c r="T133" s="455" t="s">
        <v>4913</v>
      </c>
      <c r="U133" s="455" t="s">
        <v>4913</v>
      </c>
      <c r="V133" s="455" t="s">
        <v>4913</v>
      </c>
      <c r="W133" s="456" t="s">
        <v>1736</v>
      </c>
      <c r="X133" s="456" t="s">
        <v>1736</v>
      </c>
      <c r="Y133" s="455" t="s">
        <v>4913</v>
      </c>
      <c r="Z133" s="455" t="s">
        <v>4913</v>
      </c>
      <c r="AA133" s="455" t="s">
        <v>4913</v>
      </c>
      <c r="AB133" s="455" t="s">
        <v>4913</v>
      </c>
      <c r="AC133" s="456" t="s">
        <v>1737</v>
      </c>
      <c r="AD133" s="459" t="s">
        <v>12544</v>
      </c>
      <c r="AE133" s="454" t="s">
        <v>12656</v>
      </c>
      <c r="AF133" s="460" t="s">
        <v>13021</v>
      </c>
      <c r="AG133" s="462">
        <v>44655</v>
      </c>
      <c r="AH133" s="460" t="s">
        <v>13022</v>
      </c>
    </row>
    <row r="134" spans="1:34">
      <c r="A134" s="453" t="s">
        <v>13017</v>
      </c>
      <c r="B134" s="454" t="s">
        <v>13023</v>
      </c>
      <c r="C134" s="454" t="s">
        <v>13019</v>
      </c>
      <c r="D134" s="454" t="s">
        <v>13024</v>
      </c>
      <c r="E134" s="454" t="s">
        <v>1743</v>
      </c>
      <c r="F134" s="459" t="s">
        <v>1736</v>
      </c>
      <c r="G134" s="455" t="s">
        <v>4913</v>
      </c>
      <c r="H134" s="455" t="s">
        <v>4913</v>
      </c>
      <c r="I134" s="455" t="s">
        <v>4913</v>
      </c>
      <c r="J134" s="455" t="s">
        <v>4913</v>
      </c>
      <c r="K134" s="455" t="s">
        <v>4913</v>
      </c>
      <c r="L134" s="455" t="s">
        <v>4913</v>
      </c>
      <c r="M134" s="455" t="s">
        <v>4913</v>
      </c>
      <c r="N134" s="455" t="s">
        <v>4913</v>
      </c>
      <c r="O134" s="455" t="s">
        <v>4913</v>
      </c>
      <c r="P134" s="455" t="s">
        <v>4913</v>
      </c>
      <c r="Q134" s="455" t="s">
        <v>4913</v>
      </c>
      <c r="R134" s="455" t="s">
        <v>4913</v>
      </c>
      <c r="S134" s="455" t="s">
        <v>4913</v>
      </c>
      <c r="T134" s="455" t="s">
        <v>4913</v>
      </c>
      <c r="U134" s="455" t="s">
        <v>4913</v>
      </c>
      <c r="V134" s="455" t="s">
        <v>4913</v>
      </c>
      <c r="W134" s="455" t="s">
        <v>4913</v>
      </c>
      <c r="X134" s="455" t="s">
        <v>4913</v>
      </c>
      <c r="Y134" s="455" t="s">
        <v>4913</v>
      </c>
      <c r="Z134" s="455" t="s">
        <v>4913</v>
      </c>
      <c r="AA134" s="455" t="s">
        <v>4913</v>
      </c>
      <c r="AB134" s="455" t="s">
        <v>4913</v>
      </c>
      <c r="AC134" s="456" t="s">
        <v>1737</v>
      </c>
      <c r="AD134" s="459" t="s">
        <v>12544</v>
      </c>
      <c r="AE134" s="454" t="s">
        <v>12545</v>
      </c>
      <c r="AF134" s="460" t="s">
        <v>13025</v>
      </c>
      <c r="AG134" s="462">
        <v>44655</v>
      </c>
      <c r="AH134" s="460" t="s">
        <v>13022</v>
      </c>
    </row>
    <row r="135" spans="1:34">
      <c r="A135" s="453" t="s">
        <v>13026</v>
      </c>
      <c r="B135" s="454" t="s">
        <v>13027</v>
      </c>
      <c r="C135" s="454" t="s">
        <v>13028</v>
      </c>
      <c r="D135" s="454" t="s">
        <v>13029</v>
      </c>
      <c r="E135" s="454" t="s">
        <v>1732</v>
      </c>
      <c r="F135" s="459" t="s">
        <v>1736</v>
      </c>
      <c r="G135" s="459" t="s">
        <v>1736</v>
      </c>
      <c r="H135" s="455" t="s">
        <v>4913</v>
      </c>
      <c r="I135" s="456" t="s">
        <v>1736</v>
      </c>
      <c r="J135" s="455" t="s">
        <v>4913</v>
      </c>
      <c r="K135" s="455" t="s">
        <v>4913</v>
      </c>
      <c r="L135" s="455" t="s">
        <v>4913</v>
      </c>
      <c r="M135" s="455" t="s">
        <v>4913</v>
      </c>
      <c r="N135" s="455" t="s">
        <v>4913</v>
      </c>
      <c r="O135" s="455" t="s">
        <v>4913</v>
      </c>
      <c r="P135" s="455" t="s">
        <v>4913</v>
      </c>
      <c r="Q135" s="455" t="s">
        <v>4913</v>
      </c>
      <c r="R135" s="455" t="s">
        <v>4913</v>
      </c>
      <c r="S135" s="455" t="s">
        <v>4913</v>
      </c>
      <c r="T135" s="455" t="s">
        <v>4913</v>
      </c>
      <c r="U135" s="455" t="s">
        <v>4913</v>
      </c>
      <c r="V135" s="455" t="s">
        <v>4913</v>
      </c>
      <c r="W135" s="456" t="s">
        <v>1736</v>
      </c>
      <c r="X135" s="456" t="s">
        <v>1736</v>
      </c>
      <c r="Y135" s="455" t="s">
        <v>4913</v>
      </c>
      <c r="Z135" s="455" t="s">
        <v>4913</v>
      </c>
      <c r="AA135" s="455" t="s">
        <v>4913</v>
      </c>
      <c r="AB135" s="455" t="s">
        <v>4913</v>
      </c>
      <c r="AC135" s="456" t="s">
        <v>1737</v>
      </c>
      <c r="AD135" s="459" t="s">
        <v>12544</v>
      </c>
      <c r="AE135" s="454" t="s">
        <v>12656</v>
      </c>
      <c r="AF135" s="460" t="s">
        <v>12672</v>
      </c>
      <c r="AG135" s="460" t="s">
        <v>12673</v>
      </c>
      <c r="AH135" s="460" t="s">
        <v>13030</v>
      </c>
    </row>
    <row r="136" spans="1:34">
      <c r="A136" s="453" t="s">
        <v>13026</v>
      </c>
      <c r="B136" s="454" t="s">
        <v>13031</v>
      </c>
      <c r="C136" s="454" t="s">
        <v>13028</v>
      </c>
      <c r="D136" s="454" t="s">
        <v>13032</v>
      </c>
      <c r="E136" s="454" t="s">
        <v>1732</v>
      </c>
      <c r="F136" s="459" t="s">
        <v>1736</v>
      </c>
      <c r="G136" s="459" t="s">
        <v>1736</v>
      </c>
      <c r="H136" s="455" t="s">
        <v>4913</v>
      </c>
      <c r="I136" s="456" t="s">
        <v>1736</v>
      </c>
      <c r="J136" s="455" t="s">
        <v>4913</v>
      </c>
      <c r="K136" s="455" t="s">
        <v>4913</v>
      </c>
      <c r="L136" s="455" t="s">
        <v>4913</v>
      </c>
      <c r="M136" s="455" t="s">
        <v>4913</v>
      </c>
      <c r="N136" s="455" t="s">
        <v>4913</v>
      </c>
      <c r="O136" s="455" t="s">
        <v>4913</v>
      </c>
      <c r="P136" s="455" t="s">
        <v>4913</v>
      </c>
      <c r="Q136" s="455" t="s">
        <v>4913</v>
      </c>
      <c r="R136" s="455" t="s">
        <v>4913</v>
      </c>
      <c r="S136" s="455" t="s">
        <v>4913</v>
      </c>
      <c r="T136" s="455" t="s">
        <v>4913</v>
      </c>
      <c r="U136" s="455" t="s">
        <v>4913</v>
      </c>
      <c r="V136" s="455" t="s">
        <v>4913</v>
      </c>
      <c r="W136" s="456" t="s">
        <v>1736</v>
      </c>
      <c r="X136" s="456" t="s">
        <v>1736</v>
      </c>
      <c r="Y136" s="455" t="s">
        <v>4913</v>
      </c>
      <c r="Z136" s="455" t="s">
        <v>4913</v>
      </c>
      <c r="AA136" s="455" t="s">
        <v>4913</v>
      </c>
      <c r="AB136" s="455" t="s">
        <v>4913</v>
      </c>
      <c r="AC136" s="456" t="s">
        <v>1737</v>
      </c>
      <c r="AD136" s="459" t="s">
        <v>12544</v>
      </c>
      <c r="AE136" s="454" t="s">
        <v>12656</v>
      </c>
      <c r="AF136" s="460" t="s">
        <v>12672</v>
      </c>
      <c r="AG136" s="460" t="s">
        <v>12673</v>
      </c>
      <c r="AH136" s="460" t="s">
        <v>13030</v>
      </c>
    </row>
    <row r="137" spans="1:34">
      <c r="A137" s="453" t="s">
        <v>13026</v>
      </c>
      <c r="B137" s="454" t="s">
        <v>13033</v>
      </c>
      <c r="C137" s="454" t="s">
        <v>13028</v>
      </c>
      <c r="D137" s="454" t="s">
        <v>13034</v>
      </c>
      <c r="E137" s="454" t="s">
        <v>1732</v>
      </c>
      <c r="F137" s="459" t="s">
        <v>1736</v>
      </c>
      <c r="G137" s="459" t="s">
        <v>1736</v>
      </c>
      <c r="H137" s="455" t="s">
        <v>4913</v>
      </c>
      <c r="I137" s="456" t="s">
        <v>1736</v>
      </c>
      <c r="J137" s="455" t="s">
        <v>4913</v>
      </c>
      <c r="K137" s="455" t="s">
        <v>4913</v>
      </c>
      <c r="L137" s="455" t="s">
        <v>4913</v>
      </c>
      <c r="M137" s="455" t="s">
        <v>4913</v>
      </c>
      <c r="N137" s="455" t="s">
        <v>4913</v>
      </c>
      <c r="O137" s="455" t="s">
        <v>4913</v>
      </c>
      <c r="P137" s="455" t="s">
        <v>4913</v>
      </c>
      <c r="Q137" s="455" t="s">
        <v>4913</v>
      </c>
      <c r="R137" s="455" t="s">
        <v>4913</v>
      </c>
      <c r="S137" s="455" t="s">
        <v>4913</v>
      </c>
      <c r="T137" s="455" t="s">
        <v>4913</v>
      </c>
      <c r="U137" s="455" t="s">
        <v>4913</v>
      </c>
      <c r="V137" s="455" t="s">
        <v>4913</v>
      </c>
      <c r="W137" s="456" t="s">
        <v>1736</v>
      </c>
      <c r="X137" s="456" t="s">
        <v>1736</v>
      </c>
      <c r="Y137" s="455" t="s">
        <v>4913</v>
      </c>
      <c r="Z137" s="455" t="s">
        <v>4913</v>
      </c>
      <c r="AA137" s="455" t="s">
        <v>4913</v>
      </c>
      <c r="AB137" s="455" t="s">
        <v>4913</v>
      </c>
      <c r="AC137" s="456" t="s">
        <v>1737</v>
      </c>
      <c r="AD137" s="459" t="s">
        <v>12544</v>
      </c>
      <c r="AE137" s="454" t="s">
        <v>12656</v>
      </c>
      <c r="AF137" s="460" t="s">
        <v>12672</v>
      </c>
      <c r="AG137" s="460" t="s">
        <v>12673</v>
      </c>
      <c r="AH137" s="460" t="s">
        <v>13030</v>
      </c>
    </row>
    <row r="138" spans="1:34">
      <c r="A138" s="453" t="s">
        <v>13035</v>
      </c>
      <c r="B138" s="454" t="s">
        <v>13036</v>
      </c>
      <c r="C138" s="454" t="s">
        <v>13037</v>
      </c>
      <c r="D138" s="454" t="s">
        <v>13038</v>
      </c>
      <c r="E138" s="454" t="s">
        <v>1732</v>
      </c>
      <c r="F138" s="459" t="s">
        <v>1736</v>
      </c>
      <c r="G138" s="455" t="s">
        <v>4913</v>
      </c>
      <c r="H138" s="455" t="s">
        <v>4913</v>
      </c>
      <c r="I138" s="455" t="s">
        <v>4913</v>
      </c>
      <c r="J138" s="455" t="s">
        <v>4913</v>
      </c>
      <c r="K138" s="455" t="s">
        <v>4913</v>
      </c>
      <c r="L138" s="455" t="s">
        <v>4913</v>
      </c>
      <c r="M138" s="455" t="s">
        <v>4913</v>
      </c>
      <c r="N138" s="455" t="s">
        <v>4913</v>
      </c>
      <c r="O138" s="455" t="s">
        <v>4913</v>
      </c>
      <c r="P138" s="455" t="s">
        <v>4913</v>
      </c>
      <c r="Q138" s="455" t="s">
        <v>4913</v>
      </c>
      <c r="R138" s="455" t="s">
        <v>4913</v>
      </c>
      <c r="S138" s="455" t="s">
        <v>4913</v>
      </c>
      <c r="T138" s="455" t="s">
        <v>4913</v>
      </c>
      <c r="U138" s="455" t="s">
        <v>4913</v>
      </c>
      <c r="V138" s="455" t="s">
        <v>4913</v>
      </c>
      <c r="W138" s="455" t="s">
        <v>4913</v>
      </c>
      <c r="X138" s="455" t="s">
        <v>4913</v>
      </c>
      <c r="Y138" s="455" t="s">
        <v>4913</v>
      </c>
      <c r="Z138" s="455" t="s">
        <v>4913</v>
      </c>
      <c r="AA138" s="455" t="s">
        <v>4913</v>
      </c>
      <c r="AB138" s="455" t="s">
        <v>4913</v>
      </c>
      <c r="AC138" s="456" t="s">
        <v>1737</v>
      </c>
      <c r="AD138" s="459" t="s">
        <v>12544</v>
      </c>
      <c r="AE138" s="454" t="s">
        <v>12545</v>
      </c>
      <c r="AF138" s="454" t="s">
        <v>13039</v>
      </c>
      <c r="AG138" s="462">
        <v>44554</v>
      </c>
      <c r="AH138" s="460" t="s">
        <v>13040</v>
      </c>
    </row>
    <row r="139" spans="1:34">
      <c r="A139" s="453" t="s">
        <v>13035</v>
      </c>
      <c r="B139" s="454" t="s">
        <v>13041</v>
      </c>
      <c r="C139" s="454" t="s">
        <v>13037</v>
      </c>
      <c r="D139" s="454" t="s">
        <v>13042</v>
      </c>
      <c r="E139" s="454" t="s">
        <v>1732</v>
      </c>
      <c r="F139" s="459" t="s">
        <v>1736</v>
      </c>
      <c r="G139" s="455" t="s">
        <v>4913</v>
      </c>
      <c r="H139" s="455" t="s">
        <v>4913</v>
      </c>
      <c r="I139" s="455" t="s">
        <v>4913</v>
      </c>
      <c r="J139" s="455" t="s">
        <v>4913</v>
      </c>
      <c r="K139" s="455" t="s">
        <v>4913</v>
      </c>
      <c r="L139" s="455" t="s">
        <v>4913</v>
      </c>
      <c r="M139" s="455" t="s">
        <v>4913</v>
      </c>
      <c r="N139" s="455" t="s">
        <v>4913</v>
      </c>
      <c r="O139" s="455" t="s">
        <v>4913</v>
      </c>
      <c r="P139" s="455" t="s">
        <v>4913</v>
      </c>
      <c r="Q139" s="455" t="s">
        <v>4913</v>
      </c>
      <c r="R139" s="455" t="s">
        <v>4913</v>
      </c>
      <c r="S139" s="455" t="s">
        <v>4913</v>
      </c>
      <c r="T139" s="455" t="s">
        <v>4913</v>
      </c>
      <c r="U139" s="455" t="s">
        <v>4913</v>
      </c>
      <c r="V139" s="455" t="s">
        <v>4913</v>
      </c>
      <c r="W139" s="455" t="s">
        <v>4913</v>
      </c>
      <c r="X139" s="455" t="s">
        <v>4913</v>
      </c>
      <c r="Y139" s="455" t="s">
        <v>4913</v>
      </c>
      <c r="Z139" s="455" t="s">
        <v>4913</v>
      </c>
      <c r="AA139" s="455" t="s">
        <v>4913</v>
      </c>
      <c r="AB139" s="455" t="s">
        <v>4913</v>
      </c>
      <c r="AC139" s="456" t="s">
        <v>1737</v>
      </c>
      <c r="AD139" s="459" t="s">
        <v>12544</v>
      </c>
      <c r="AE139" s="454" t="s">
        <v>12545</v>
      </c>
      <c r="AF139" s="454" t="s">
        <v>13043</v>
      </c>
      <c r="AG139" s="462">
        <v>44554</v>
      </c>
      <c r="AH139" s="460" t="s">
        <v>13040</v>
      </c>
    </row>
    <row r="140" spans="1:34">
      <c r="A140" s="453" t="s">
        <v>13035</v>
      </c>
      <c r="B140" s="454" t="s">
        <v>13044</v>
      </c>
      <c r="C140" s="454" t="s">
        <v>13037</v>
      </c>
      <c r="D140" s="454" t="s">
        <v>13045</v>
      </c>
      <c r="E140" s="454" t="s">
        <v>1732</v>
      </c>
      <c r="F140" s="459" t="s">
        <v>1736</v>
      </c>
      <c r="G140" s="455" t="s">
        <v>4913</v>
      </c>
      <c r="H140" s="455" t="s">
        <v>4913</v>
      </c>
      <c r="I140" s="455" t="s">
        <v>4913</v>
      </c>
      <c r="J140" s="455" t="s">
        <v>4913</v>
      </c>
      <c r="K140" s="455" t="s">
        <v>4913</v>
      </c>
      <c r="L140" s="455" t="s">
        <v>4913</v>
      </c>
      <c r="M140" s="455" t="s">
        <v>4913</v>
      </c>
      <c r="N140" s="455" t="s">
        <v>4913</v>
      </c>
      <c r="O140" s="455" t="s">
        <v>4913</v>
      </c>
      <c r="P140" s="455" t="s">
        <v>4913</v>
      </c>
      <c r="Q140" s="455" t="s">
        <v>4913</v>
      </c>
      <c r="R140" s="455" t="s">
        <v>4913</v>
      </c>
      <c r="S140" s="455" t="s">
        <v>4913</v>
      </c>
      <c r="T140" s="455" t="s">
        <v>4913</v>
      </c>
      <c r="U140" s="455" t="s">
        <v>4913</v>
      </c>
      <c r="V140" s="455" t="s">
        <v>4913</v>
      </c>
      <c r="W140" s="455" t="s">
        <v>4913</v>
      </c>
      <c r="X140" s="455" t="s">
        <v>4913</v>
      </c>
      <c r="Y140" s="455" t="s">
        <v>4913</v>
      </c>
      <c r="Z140" s="455" t="s">
        <v>4913</v>
      </c>
      <c r="AA140" s="455" t="s">
        <v>4913</v>
      </c>
      <c r="AB140" s="455" t="s">
        <v>4913</v>
      </c>
      <c r="AC140" s="456" t="s">
        <v>1737</v>
      </c>
      <c r="AD140" s="459" t="s">
        <v>12544</v>
      </c>
      <c r="AE140" s="454" t="s">
        <v>12545</v>
      </c>
      <c r="AF140" s="454" t="s">
        <v>13046</v>
      </c>
      <c r="AG140" s="462">
        <v>44554</v>
      </c>
      <c r="AH140" s="460" t="s">
        <v>13040</v>
      </c>
    </row>
    <row r="141" spans="1:34">
      <c r="A141" s="453" t="s">
        <v>13035</v>
      </c>
      <c r="B141" s="454" t="s">
        <v>13047</v>
      </c>
      <c r="C141" s="454" t="s">
        <v>13037</v>
      </c>
      <c r="D141" s="454" t="s">
        <v>13048</v>
      </c>
      <c r="E141" s="454" t="s">
        <v>1732</v>
      </c>
      <c r="F141" s="459" t="s">
        <v>1736</v>
      </c>
      <c r="G141" s="455" t="s">
        <v>4913</v>
      </c>
      <c r="H141" s="455" t="s">
        <v>4913</v>
      </c>
      <c r="I141" s="455" t="s">
        <v>4913</v>
      </c>
      <c r="J141" s="455" t="s">
        <v>4913</v>
      </c>
      <c r="K141" s="455" t="s">
        <v>4913</v>
      </c>
      <c r="L141" s="455" t="s">
        <v>4913</v>
      </c>
      <c r="M141" s="455" t="s">
        <v>4913</v>
      </c>
      <c r="N141" s="455" t="s">
        <v>4913</v>
      </c>
      <c r="O141" s="455" t="s">
        <v>4913</v>
      </c>
      <c r="P141" s="455" t="s">
        <v>4913</v>
      </c>
      <c r="Q141" s="455" t="s">
        <v>4913</v>
      </c>
      <c r="R141" s="455" t="s">
        <v>4913</v>
      </c>
      <c r="S141" s="455" t="s">
        <v>4913</v>
      </c>
      <c r="T141" s="455" t="s">
        <v>4913</v>
      </c>
      <c r="U141" s="455" t="s">
        <v>4913</v>
      </c>
      <c r="V141" s="455" t="s">
        <v>4913</v>
      </c>
      <c r="W141" s="455" t="s">
        <v>4913</v>
      </c>
      <c r="X141" s="455" t="s">
        <v>4913</v>
      </c>
      <c r="Y141" s="455" t="s">
        <v>4913</v>
      </c>
      <c r="Z141" s="455" t="s">
        <v>4913</v>
      </c>
      <c r="AA141" s="455" t="s">
        <v>4913</v>
      </c>
      <c r="AB141" s="455" t="s">
        <v>4913</v>
      </c>
      <c r="AC141" s="456" t="s">
        <v>1737</v>
      </c>
      <c r="AD141" s="459" t="s">
        <v>12544</v>
      </c>
      <c r="AE141" s="454" t="s">
        <v>12545</v>
      </c>
      <c r="AF141" s="454" t="s">
        <v>13049</v>
      </c>
      <c r="AG141" s="462">
        <v>44554</v>
      </c>
      <c r="AH141" s="460" t="s">
        <v>13040</v>
      </c>
    </row>
    <row r="142" spans="1:34">
      <c r="A142" s="453" t="s">
        <v>13035</v>
      </c>
      <c r="B142" s="454" t="s">
        <v>13050</v>
      </c>
      <c r="C142" s="454" t="s">
        <v>13037</v>
      </c>
      <c r="D142" s="454" t="s">
        <v>13051</v>
      </c>
      <c r="E142" s="454" t="s">
        <v>1743</v>
      </c>
      <c r="F142" s="459" t="s">
        <v>1736</v>
      </c>
      <c r="G142" s="455" t="s">
        <v>4913</v>
      </c>
      <c r="H142" s="455" t="s">
        <v>4913</v>
      </c>
      <c r="I142" s="455" t="s">
        <v>4913</v>
      </c>
      <c r="J142" s="455" t="s">
        <v>4913</v>
      </c>
      <c r="K142" s="455" t="s">
        <v>4913</v>
      </c>
      <c r="L142" s="455" t="s">
        <v>4913</v>
      </c>
      <c r="M142" s="455" t="s">
        <v>4913</v>
      </c>
      <c r="N142" s="455" t="s">
        <v>4913</v>
      </c>
      <c r="O142" s="455" t="s">
        <v>4913</v>
      </c>
      <c r="P142" s="455" t="s">
        <v>4913</v>
      </c>
      <c r="Q142" s="455" t="s">
        <v>4913</v>
      </c>
      <c r="R142" s="455" t="s">
        <v>4913</v>
      </c>
      <c r="S142" s="455" t="s">
        <v>4913</v>
      </c>
      <c r="T142" s="455" t="s">
        <v>4913</v>
      </c>
      <c r="U142" s="455" t="s">
        <v>4913</v>
      </c>
      <c r="V142" s="455" t="s">
        <v>4913</v>
      </c>
      <c r="W142" s="455" t="s">
        <v>4913</v>
      </c>
      <c r="X142" s="455" t="s">
        <v>4913</v>
      </c>
      <c r="Y142" s="455" t="s">
        <v>4913</v>
      </c>
      <c r="Z142" s="455" t="s">
        <v>4913</v>
      </c>
      <c r="AA142" s="455" t="s">
        <v>4913</v>
      </c>
      <c r="AB142" s="455" t="s">
        <v>4913</v>
      </c>
      <c r="AC142" s="456" t="s">
        <v>1737</v>
      </c>
      <c r="AD142" s="459" t="s">
        <v>12544</v>
      </c>
      <c r="AE142" s="454" t="s">
        <v>12545</v>
      </c>
      <c r="AF142" s="460" t="s">
        <v>12573</v>
      </c>
      <c r="AG142" s="462">
        <v>44554</v>
      </c>
      <c r="AH142" s="460" t="s">
        <v>13040</v>
      </c>
    </row>
    <row r="143" spans="1:34">
      <c r="A143" s="453" t="s">
        <v>13052</v>
      </c>
      <c r="B143" s="454" t="s">
        <v>13053</v>
      </c>
      <c r="C143" s="454" t="s">
        <v>12929</v>
      </c>
      <c r="D143" s="454" t="s">
        <v>13054</v>
      </c>
      <c r="E143" s="454" t="s">
        <v>1732</v>
      </c>
      <c r="F143" s="459" t="s">
        <v>1736</v>
      </c>
      <c r="G143" s="455" t="s">
        <v>4913</v>
      </c>
      <c r="H143" s="455" t="s">
        <v>4913</v>
      </c>
      <c r="I143" s="455" t="s">
        <v>4913</v>
      </c>
      <c r="J143" s="455" t="s">
        <v>4913</v>
      </c>
      <c r="K143" s="455" t="s">
        <v>4913</v>
      </c>
      <c r="L143" s="455" t="s">
        <v>4913</v>
      </c>
      <c r="M143" s="455" t="s">
        <v>4913</v>
      </c>
      <c r="N143" s="455" t="s">
        <v>4913</v>
      </c>
      <c r="O143" s="455" t="s">
        <v>4913</v>
      </c>
      <c r="P143" s="455" t="s">
        <v>4913</v>
      </c>
      <c r="Q143" s="455" t="s">
        <v>4913</v>
      </c>
      <c r="R143" s="455" t="s">
        <v>4913</v>
      </c>
      <c r="S143" s="455" t="s">
        <v>4913</v>
      </c>
      <c r="T143" s="455" t="s">
        <v>4913</v>
      </c>
      <c r="U143" s="455" t="s">
        <v>4913</v>
      </c>
      <c r="V143" s="455" t="s">
        <v>4913</v>
      </c>
      <c r="W143" s="455" t="s">
        <v>4913</v>
      </c>
      <c r="X143" s="455" t="s">
        <v>4913</v>
      </c>
      <c r="Y143" s="455" t="s">
        <v>4913</v>
      </c>
      <c r="Z143" s="455" t="s">
        <v>4913</v>
      </c>
      <c r="AA143" s="455" t="s">
        <v>4913</v>
      </c>
      <c r="AB143" s="455" t="s">
        <v>4913</v>
      </c>
      <c r="AC143" s="456" t="s">
        <v>1737</v>
      </c>
      <c r="AD143" s="459" t="s">
        <v>12544</v>
      </c>
      <c r="AE143" s="454" t="s">
        <v>12545</v>
      </c>
      <c r="AF143" s="460" t="s">
        <v>13055</v>
      </c>
      <c r="AG143" s="462">
        <v>44557</v>
      </c>
      <c r="AH143" s="460" t="s">
        <v>13056</v>
      </c>
    </row>
    <row r="144" spans="1:34">
      <c r="A144" s="453" t="s">
        <v>13052</v>
      </c>
      <c r="B144" s="454" t="s">
        <v>13057</v>
      </c>
      <c r="C144" s="454" t="s">
        <v>12929</v>
      </c>
      <c r="D144" s="454" t="s">
        <v>13058</v>
      </c>
      <c r="E144" s="454" t="s">
        <v>1732</v>
      </c>
      <c r="F144" s="459" t="s">
        <v>1736</v>
      </c>
      <c r="G144" s="455" t="s">
        <v>4913</v>
      </c>
      <c r="H144" s="455" t="s">
        <v>4913</v>
      </c>
      <c r="I144" s="455" t="s">
        <v>4913</v>
      </c>
      <c r="J144" s="455" t="s">
        <v>4913</v>
      </c>
      <c r="K144" s="455" t="s">
        <v>4913</v>
      </c>
      <c r="L144" s="455" t="s">
        <v>4913</v>
      </c>
      <c r="M144" s="455" t="s">
        <v>4913</v>
      </c>
      <c r="N144" s="455" t="s">
        <v>4913</v>
      </c>
      <c r="O144" s="455" t="s">
        <v>4913</v>
      </c>
      <c r="P144" s="455" t="s">
        <v>4913</v>
      </c>
      <c r="Q144" s="455" t="s">
        <v>4913</v>
      </c>
      <c r="R144" s="455" t="s">
        <v>4913</v>
      </c>
      <c r="S144" s="455" t="s">
        <v>4913</v>
      </c>
      <c r="T144" s="455" t="s">
        <v>4913</v>
      </c>
      <c r="U144" s="455" t="s">
        <v>4913</v>
      </c>
      <c r="V144" s="455" t="s">
        <v>4913</v>
      </c>
      <c r="W144" s="455" t="s">
        <v>4913</v>
      </c>
      <c r="X144" s="455" t="s">
        <v>4913</v>
      </c>
      <c r="Y144" s="455" t="s">
        <v>4913</v>
      </c>
      <c r="Z144" s="455" t="s">
        <v>4913</v>
      </c>
      <c r="AA144" s="455" t="s">
        <v>4913</v>
      </c>
      <c r="AB144" s="455" t="s">
        <v>4913</v>
      </c>
      <c r="AC144" s="456" t="s">
        <v>1737</v>
      </c>
      <c r="AD144" s="459" t="s">
        <v>12544</v>
      </c>
      <c r="AE144" s="454" t="s">
        <v>12545</v>
      </c>
      <c r="AF144" s="460" t="s">
        <v>12573</v>
      </c>
      <c r="AG144" s="462">
        <v>44557</v>
      </c>
      <c r="AH144" s="460" t="s">
        <v>13056</v>
      </c>
    </row>
    <row r="145" spans="1:34">
      <c r="A145" s="453" t="s">
        <v>13059</v>
      </c>
      <c r="B145" s="454" t="s">
        <v>13060</v>
      </c>
      <c r="C145" s="454" t="s">
        <v>13061</v>
      </c>
      <c r="D145" s="454" t="s">
        <v>13062</v>
      </c>
      <c r="E145" s="454" t="s">
        <v>1732</v>
      </c>
      <c r="F145" s="459" t="s">
        <v>1736</v>
      </c>
      <c r="G145" s="455" t="s">
        <v>4913</v>
      </c>
      <c r="H145" s="455" t="s">
        <v>4913</v>
      </c>
      <c r="I145" s="455" t="s">
        <v>4913</v>
      </c>
      <c r="J145" s="455" t="s">
        <v>4913</v>
      </c>
      <c r="K145" s="455" t="s">
        <v>4913</v>
      </c>
      <c r="L145" s="455" t="s">
        <v>4913</v>
      </c>
      <c r="M145" s="455" t="s">
        <v>4913</v>
      </c>
      <c r="N145" s="455" t="s">
        <v>4913</v>
      </c>
      <c r="O145" s="455" t="s">
        <v>4913</v>
      </c>
      <c r="P145" s="455" t="s">
        <v>4913</v>
      </c>
      <c r="Q145" s="455" t="s">
        <v>4913</v>
      </c>
      <c r="R145" s="455" t="s">
        <v>4913</v>
      </c>
      <c r="S145" s="455" t="s">
        <v>4913</v>
      </c>
      <c r="T145" s="455" t="s">
        <v>4913</v>
      </c>
      <c r="U145" s="455" t="s">
        <v>4913</v>
      </c>
      <c r="V145" s="455" t="s">
        <v>4913</v>
      </c>
      <c r="W145" s="455" t="s">
        <v>4913</v>
      </c>
      <c r="X145" s="455" t="s">
        <v>4913</v>
      </c>
      <c r="Y145" s="455" t="s">
        <v>4913</v>
      </c>
      <c r="Z145" s="455" t="s">
        <v>4913</v>
      </c>
      <c r="AA145" s="455" t="s">
        <v>4913</v>
      </c>
      <c r="AB145" s="455" t="s">
        <v>4913</v>
      </c>
      <c r="AC145" s="456" t="s">
        <v>1737</v>
      </c>
      <c r="AD145" s="459" t="s">
        <v>12544</v>
      </c>
      <c r="AE145" s="454" t="s">
        <v>12545</v>
      </c>
      <c r="AF145" s="461" t="s">
        <v>13063</v>
      </c>
      <c r="AG145" s="460" t="s">
        <v>12786</v>
      </c>
      <c r="AH145" s="460" t="s">
        <v>13064</v>
      </c>
    </row>
    <row r="146" spans="1:34">
      <c r="A146" s="453" t="s">
        <v>13059</v>
      </c>
      <c r="B146" s="454" t="s">
        <v>13065</v>
      </c>
      <c r="C146" s="454" t="s">
        <v>13061</v>
      </c>
      <c r="D146" s="454" t="s">
        <v>13066</v>
      </c>
      <c r="E146" s="454" t="s">
        <v>1743</v>
      </c>
      <c r="F146" s="459" t="s">
        <v>1736</v>
      </c>
      <c r="G146" s="455" t="s">
        <v>4913</v>
      </c>
      <c r="H146" s="455" t="s">
        <v>4913</v>
      </c>
      <c r="I146" s="455" t="s">
        <v>4913</v>
      </c>
      <c r="J146" s="455" t="s">
        <v>4913</v>
      </c>
      <c r="K146" s="455" t="s">
        <v>4913</v>
      </c>
      <c r="L146" s="455" t="s">
        <v>4913</v>
      </c>
      <c r="M146" s="455" t="s">
        <v>4913</v>
      </c>
      <c r="N146" s="455" t="s">
        <v>4913</v>
      </c>
      <c r="O146" s="455" t="s">
        <v>4913</v>
      </c>
      <c r="P146" s="455" t="s">
        <v>4913</v>
      </c>
      <c r="Q146" s="455" t="s">
        <v>4913</v>
      </c>
      <c r="R146" s="455" t="s">
        <v>4913</v>
      </c>
      <c r="S146" s="455" t="s">
        <v>4913</v>
      </c>
      <c r="T146" s="455" t="s">
        <v>4913</v>
      </c>
      <c r="U146" s="455" t="s">
        <v>4913</v>
      </c>
      <c r="V146" s="455" t="s">
        <v>4913</v>
      </c>
      <c r="W146" s="455" t="s">
        <v>4913</v>
      </c>
      <c r="X146" s="455" t="s">
        <v>4913</v>
      </c>
      <c r="Y146" s="455" t="s">
        <v>4913</v>
      </c>
      <c r="Z146" s="455" t="s">
        <v>4913</v>
      </c>
      <c r="AA146" s="455" t="s">
        <v>4913</v>
      </c>
      <c r="AB146" s="455" t="s">
        <v>4913</v>
      </c>
      <c r="AC146" s="456" t="s">
        <v>1737</v>
      </c>
      <c r="AD146" s="459" t="s">
        <v>12544</v>
      </c>
      <c r="AE146" s="454" t="s">
        <v>12545</v>
      </c>
      <c r="AF146" s="461" t="s">
        <v>13067</v>
      </c>
      <c r="AG146" s="460" t="s">
        <v>12786</v>
      </c>
      <c r="AH146" s="460" t="s">
        <v>13064</v>
      </c>
    </row>
    <row r="147" spans="1:34">
      <c r="A147" s="453" t="s">
        <v>13059</v>
      </c>
      <c r="B147" s="454" t="s">
        <v>13068</v>
      </c>
      <c r="C147" s="454" t="s">
        <v>13061</v>
      </c>
      <c r="D147" s="454" t="s">
        <v>13069</v>
      </c>
      <c r="E147" s="454" t="s">
        <v>1743</v>
      </c>
      <c r="F147" s="459" t="s">
        <v>1736</v>
      </c>
      <c r="G147" s="455" t="s">
        <v>4913</v>
      </c>
      <c r="H147" s="455" t="s">
        <v>4913</v>
      </c>
      <c r="I147" s="455" t="s">
        <v>4913</v>
      </c>
      <c r="J147" s="455" t="s">
        <v>4913</v>
      </c>
      <c r="K147" s="455" t="s">
        <v>4913</v>
      </c>
      <c r="L147" s="455" t="s">
        <v>4913</v>
      </c>
      <c r="M147" s="455" t="s">
        <v>4913</v>
      </c>
      <c r="N147" s="455" t="s">
        <v>4913</v>
      </c>
      <c r="O147" s="455" t="s">
        <v>4913</v>
      </c>
      <c r="P147" s="455" t="s">
        <v>4913</v>
      </c>
      <c r="Q147" s="455" t="s">
        <v>4913</v>
      </c>
      <c r="R147" s="455" t="s">
        <v>4913</v>
      </c>
      <c r="S147" s="455" t="s">
        <v>4913</v>
      </c>
      <c r="T147" s="455" t="s">
        <v>4913</v>
      </c>
      <c r="U147" s="455" t="s">
        <v>4913</v>
      </c>
      <c r="V147" s="455" t="s">
        <v>4913</v>
      </c>
      <c r="W147" s="455" t="s">
        <v>4913</v>
      </c>
      <c r="X147" s="455" t="s">
        <v>4913</v>
      </c>
      <c r="Y147" s="455" t="s">
        <v>4913</v>
      </c>
      <c r="Z147" s="455" t="s">
        <v>4913</v>
      </c>
      <c r="AA147" s="455" t="s">
        <v>4913</v>
      </c>
      <c r="AB147" s="455" t="s">
        <v>4913</v>
      </c>
      <c r="AC147" s="456" t="s">
        <v>1737</v>
      </c>
      <c r="AD147" s="459" t="s">
        <v>12544</v>
      </c>
      <c r="AE147" s="454" t="s">
        <v>12545</v>
      </c>
      <c r="AF147" s="461" t="s">
        <v>13070</v>
      </c>
      <c r="AG147" s="460" t="s">
        <v>13071</v>
      </c>
      <c r="AH147" s="460" t="s">
        <v>13072</v>
      </c>
    </row>
    <row r="148" spans="1:34">
      <c r="A148" s="453" t="s">
        <v>13059</v>
      </c>
      <c r="B148" s="454" t="s">
        <v>13073</v>
      </c>
      <c r="C148" s="454" t="s">
        <v>13074</v>
      </c>
      <c r="D148" s="454" t="s">
        <v>13075</v>
      </c>
      <c r="E148" s="454" t="s">
        <v>1732</v>
      </c>
      <c r="F148" s="459" t="s">
        <v>1736</v>
      </c>
      <c r="G148" s="455" t="s">
        <v>4913</v>
      </c>
      <c r="H148" s="455" t="s">
        <v>4913</v>
      </c>
      <c r="I148" s="455" t="s">
        <v>4913</v>
      </c>
      <c r="J148" s="455" t="s">
        <v>4913</v>
      </c>
      <c r="K148" s="455" t="s">
        <v>4913</v>
      </c>
      <c r="L148" s="455" t="s">
        <v>4913</v>
      </c>
      <c r="M148" s="455" t="s">
        <v>4913</v>
      </c>
      <c r="N148" s="455" t="s">
        <v>4913</v>
      </c>
      <c r="O148" s="455" t="s">
        <v>4913</v>
      </c>
      <c r="P148" s="455" t="s">
        <v>4913</v>
      </c>
      <c r="Q148" s="455" t="s">
        <v>4913</v>
      </c>
      <c r="R148" s="455" t="s">
        <v>4913</v>
      </c>
      <c r="S148" s="455" t="s">
        <v>4913</v>
      </c>
      <c r="T148" s="455" t="s">
        <v>4913</v>
      </c>
      <c r="U148" s="455" t="s">
        <v>4913</v>
      </c>
      <c r="V148" s="455" t="s">
        <v>4913</v>
      </c>
      <c r="W148" s="455" t="s">
        <v>4913</v>
      </c>
      <c r="X148" s="455" t="s">
        <v>4913</v>
      </c>
      <c r="Y148" s="455" t="s">
        <v>4913</v>
      </c>
      <c r="Z148" s="455" t="s">
        <v>4913</v>
      </c>
      <c r="AA148" s="455" t="s">
        <v>4913</v>
      </c>
      <c r="AB148" s="455" t="s">
        <v>4913</v>
      </c>
      <c r="AC148" s="456" t="s">
        <v>1737</v>
      </c>
      <c r="AD148" s="459" t="s">
        <v>12544</v>
      </c>
      <c r="AE148" s="454" t="s">
        <v>12545</v>
      </c>
      <c r="AF148" s="461" t="s">
        <v>13076</v>
      </c>
      <c r="AG148" s="460" t="s">
        <v>13077</v>
      </c>
      <c r="AH148" s="460" t="s">
        <v>13078</v>
      </c>
    </row>
    <row r="149" spans="1:34">
      <c r="A149" s="453" t="s">
        <v>13059</v>
      </c>
      <c r="B149" s="454" t="s">
        <v>13079</v>
      </c>
      <c r="C149" s="454" t="s">
        <v>13074</v>
      </c>
      <c r="D149" s="454" t="s">
        <v>13080</v>
      </c>
      <c r="E149" s="454" t="s">
        <v>1743</v>
      </c>
      <c r="F149" s="459" t="s">
        <v>1736</v>
      </c>
      <c r="G149" s="455" t="s">
        <v>4913</v>
      </c>
      <c r="H149" s="455" t="s">
        <v>4913</v>
      </c>
      <c r="I149" s="455" t="s">
        <v>4913</v>
      </c>
      <c r="J149" s="455" t="s">
        <v>4913</v>
      </c>
      <c r="K149" s="455" t="s">
        <v>4913</v>
      </c>
      <c r="L149" s="455" t="s">
        <v>4913</v>
      </c>
      <c r="M149" s="455" t="s">
        <v>4913</v>
      </c>
      <c r="N149" s="455" t="s">
        <v>4913</v>
      </c>
      <c r="O149" s="455" t="s">
        <v>4913</v>
      </c>
      <c r="P149" s="455" t="s">
        <v>4913</v>
      </c>
      <c r="Q149" s="455" t="s">
        <v>4913</v>
      </c>
      <c r="R149" s="455" t="s">
        <v>4913</v>
      </c>
      <c r="S149" s="455" t="s">
        <v>4913</v>
      </c>
      <c r="T149" s="455" t="s">
        <v>4913</v>
      </c>
      <c r="U149" s="455" t="s">
        <v>4913</v>
      </c>
      <c r="V149" s="455" t="s">
        <v>4913</v>
      </c>
      <c r="W149" s="455" t="s">
        <v>4913</v>
      </c>
      <c r="X149" s="455" t="s">
        <v>4913</v>
      </c>
      <c r="Y149" s="455" t="s">
        <v>4913</v>
      </c>
      <c r="Z149" s="455" t="s">
        <v>4913</v>
      </c>
      <c r="AA149" s="455" t="s">
        <v>4913</v>
      </c>
      <c r="AB149" s="455" t="s">
        <v>4913</v>
      </c>
      <c r="AC149" s="456" t="s">
        <v>1737</v>
      </c>
      <c r="AD149" s="459" t="s">
        <v>12544</v>
      </c>
      <c r="AE149" s="454" t="s">
        <v>12545</v>
      </c>
      <c r="AF149" s="461" t="s">
        <v>13081</v>
      </c>
      <c r="AG149" s="460" t="s">
        <v>12786</v>
      </c>
      <c r="AH149" s="460" t="s">
        <v>13064</v>
      </c>
    </row>
    <row r="150" spans="1:34">
      <c r="A150" s="453" t="s">
        <v>13059</v>
      </c>
      <c r="B150" s="454" t="s">
        <v>13082</v>
      </c>
      <c r="C150" s="454" t="s">
        <v>13083</v>
      </c>
      <c r="D150" s="454" t="s">
        <v>13084</v>
      </c>
      <c r="E150" s="454" t="s">
        <v>1732</v>
      </c>
      <c r="F150" s="459" t="s">
        <v>1736</v>
      </c>
      <c r="G150" s="455" t="s">
        <v>4913</v>
      </c>
      <c r="H150" s="455" t="s">
        <v>4913</v>
      </c>
      <c r="I150" s="455" t="s">
        <v>4913</v>
      </c>
      <c r="J150" s="455" t="s">
        <v>4913</v>
      </c>
      <c r="K150" s="455" t="s">
        <v>4913</v>
      </c>
      <c r="L150" s="455" t="s">
        <v>4913</v>
      </c>
      <c r="M150" s="455" t="s">
        <v>4913</v>
      </c>
      <c r="N150" s="455" t="s">
        <v>4913</v>
      </c>
      <c r="O150" s="455" t="s">
        <v>4913</v>
      </c>
      <c r="P150" s="455" t="s">
        <v>4913</v>
      </c>
      <c r="Q150" s="455" t="s">
        <v>4913</v>
      </c>
      <c r="R150" s="455" t="s">
        <v>4913</v>
      </c>
      <c r="S150" s="455" t="s">
        <v>4913</v>
      </c>
      <c r="T150" s="455" t="s">
        <v>4913</v>
      </c>
      <c r="U150" s="455" t="s">
        <v>4913</v>
      </c>
      <c r="V150" s="455" t="s">
        <v>4913</v>
      </c>
      <c r="W150" s="455" t="s">
        <v>4913</v>
      </c>
      <c r="X150" s="455" t="s">
        <v>4913</v>
      </c>
      <c r="Y150" s="455" t="s">
        <v>4913</v>
      </c>
      <c r="Z150" s="455" t="s">
        <v>4913</v>
      </c>
      <c r="AA150" s="455" t="s">
        <v>4913</v>
      </c>
      <c r="AB150" s="455" t="s">
        <v>4913</v>
      </c>
      <c r="AC150" s="456" t="s">
        <v>1737</v>
      </c>
      <c r="AD150" s="459" t="s">
        <v>12544</v>
      </c>
      <c r="AE150" s="454" t="s">
        <v>12545</v>
      </c>
      <c r="AF150" s="461" t="s">
        <v>13063</v>
      </c>
      <c r="AG150" s="460" t="s">
        <v>12786</v>
      </c>
      <c r="AH150" s="460" t="s">
        <v>13064</v>
      </c>
    </row>
    <row r="151" spans="1:34">
      <c r="A151" s="453" t="s">
        <v>13059</v>
      </c>
      <c r="B151" s="454" t="s">
        <v>13085</v>
      </c>
      <c r="C151" s="454" t="s">
        <v>13083</v>
      </c>
      <c r="D151" s="454" t="s">
        <v>13086</v>
      </c>
      <c r="E151" s="454" t="s">
        <v>1743</v>
      </c>
      <c r="F151" s="459" t="s">
        <v>1736</v>
      </c>
      <c r="G151" s="455" t="s">
        <v>4913</v>
      </c>
      <c r="H151" s="455" t="s">
        <v>4913</v>
      </c>
      <c r="I151" s="455" t="s">
        <v>4913</v>
      </c>
      <c r="J151" s="455" t="s">
        <v>4913</v>
      </c>
      <c r="K151" s="455" t="s">
        <v>4913</v>
      </c>
      <c r="L151" s="455" t="s">
        <v>4913</v>
      </c>
      <c r="M151" s="455" t="s">
        <v>4913</v>
      </c>
      <c r="N151" s="455" t="s">
        <v>4913</v>
      </c>
      <c r="O151" s="455" t="s">
        <v>4913</v>
      </c>
      <c r="P151" s="455" t="s">
        <v>4913</v>
      </c>
      <c r="Q151" s="455" t="s">
        <v>4913</v>
      </c>
      <c r="R151" s="455" t="s">
        <v>4913</v>
      </c>
      <c r="S151" s="455" t="s">
        <v>4913</v>
      </c>
      <c r="T151" s="455" t="s">
        <v>4913</v>
      </c>
      <c r="U151" s="455" t="s">
        <v>4913</v>
      </c>
      <c r="V151" s="455" t="s">
        <v>4913</v>
      </c>
      <c r="W151" s="455" t="s">
        <v>4913</v>
      </c>
      <c r="X151" s="455" t="s">
        <v>4913</v>
      </c>
      <c r="Y151" s="455" t="s">
        <v>4913</v>
      </c>
      <c r="Z151" s="455" t="s">
        <v>4913</v>
      </c>
      <c r="AA151" s="455" t="s">
        <v>4913</v>
      </c>
      <c r="AB151" s="455" t="s">
        <v>4913</v>
      </c>
      <c r="AC151" s="456" t="s">
        <v>1737</v>
      </c>
      <c r="AD151" s="459" t="s">
        <v>12544</v>
      </c>
      <c r="AE151" s="454" t="s">
        <v>12545</v>
      </c>
      <c r="AF151" s="461" t="s">
        <v>13087</v>
      </c>
      <c r="AG151" s="460" t="s">
        <v>12786</v>
      </c>
      <c r="AH151" s="460" t="s">
        <v>13064</v>
      </c>
    </row>
    <row r="152" spans="1:34">
      <c r="A152" s="453" t="s">
        <v>13059</v>
      </c>
      <c r="B152" s="454" t="s">
        <v>13088</v>
      </c>
      <c r="C152" s="454" t="s">
        <v>13083</v>
      </c>
      <c r="D152" s="454" t="s">
        <v>13089</v>
      </c>
      <c r="E152" s="454" t="s">
        <v>1743</v>
      </c>
      <c r="F152" s="459" t="s">
        <v>1736</v>
      </c>
      <c r="G152" s="455" t="s">
        <v>4913</v>
      </c>
      <c r="H152" s="455" t="s">
        <v>4913</v>
      </c>
      <c r="I152" s="455" t="s">
        <v>4913</v>
      </c>
      <c r="J152" s="455" t="s">
        <v>4913</v>
      </c>
      <c r="K152" s="455" t="s">
        <v>4913</v>
      </c>
      <c r="L152" s="455" t="s">
        <v>4913</v>
      </c>
      <c r="M152" s="455" t="s">
        <v>4913</v>
      </c>
      <c r="N152" s="455" t="s">
        <v>4913</v>
      </c>
      <c r="O152" s="455" t="s">
        <v>4913</v>
      </c>
      <c r="P152" s="455" t="s">
        <v>4913</v>
      </c>
      <c r="Q152" s="455" t="s">
        <v>4913</v>
      </c>
      <c r="R152" s="455" t="s">
        <v>4913</v>
      </c>
      <c r="S152" s="455" t="s">
        <v>4913</v>
      </c>
      <c r="T152" s="455" t="s">
        <v>4913</v>
      </c>
      <c r="U152" s="455" t="s">
        <v>4913</v>
      </c>
      <c r="V152" s="455" t="s">
        <v>4913</v>
      </c>
      <c r="W152" s="455" t="s">
        <v>4913</v>
      </c>
      <c r="X152" s="455" t="s">
        <v>4913</v>
      </c>
      <c r="Y152" s="455" t="s">
        <v>4913</v>
      </c>
      <c r="Z152" s="455" t="s">
        <v>4913</v>
      </c>
      <c r="AA152" s="455" t="s">
        <v>4913</v>
      </c>
      <c r="AB152" s="455" t="s">
        <v>4913</v>
      </c>
      <c r="AC152" s="456" t="s">
        <v>1737</v>
      </c>
      <c r="AD152" s="459" t="s">
        <v>12544</v>
      </c>
      <c r="AE152" s="454" t="s">
        <v>12545</v>
      </c>
      <c r="AF152" s="461" t="s">
        <v>13087</v>
      </c>
      <c r="AG152" s="460" t="s">
        <v>12786</v>
      </c>
      <c r="AH152" s="460" t="s">
        <v>13064</v>
      </c>
    </row>
    <row r="153" spans="1:34">
      <c r="A153" s="453" t="s">
        <v>13090</v>
      </c>
      <c r="B153" s="454" t="s">
        <v>13091</v>
      </c>
      <c r="C153" s="454" t="s">
        <v>13092</v>
      </c>
      <c r="D153" s="454" t="s">
        <v>13093</v>
      </c>
      <c r="E153" s="454" t="s">
        <v>1732</v>
      </c>
      <c r="F153" s="459" t="s">
        <v>1736</v>
      </c>
      <c r="G153" s="455" t="s">
        <v>4913</v>
      </c>
      <c r="H153" s="455" t="s">
        <v>4913</v>
      </c>
      <c r="I153" s="455" t="s">
        <v>4913</v>
      </c>
      <c r="J153" s="455" t="s">
        <v>4913</v>
      </c>
      <c r="K153" s="455" t="s">
        <v>4913</v>
      </c>
      <c r="L153" s="455" t="s">
        <v>4913</v>
      </c>
      <c r="M153" s="455" t="s">
        <v>4913</v>
      </c>
      <c r="N153" s="455" t="s">
        <v>4913</v>
      </c>
      <c r="O153" s="455" t="s">
        <v>4913</v>
      </c>
      <c r="P153" s="455" t="s">
        <v>4913</v>
      </c>
      <c r="Q153" s="455" t="s">
        <v>4913</v>
      </c>
      <c r="R153" s="455" t="s">
        <v>4913</v>
      </c>
      <c r="S153" s="455" t="s">
        <v>4913</v>
      </c>
      <c r="T153" s="455" t="s">
        <v>4913</v>
      </c>
      <c r="U153" s="455" t="s">
        <v>4913</v>
      </c>
      <c r="V153" s="455" t="s">
        <v>4913</v>
      </c>
      <c r="W153" s="459" t="s">
        <v>1736</v>
      </c>
      <c r="X153" s="455" t="s">
        <v>4913</v>
      </c>
      <c r="Y153" s="455" t="s">
        <v>4913</v>
      </c>
      <c r="Z153" s="455" t="s">
        <v>4913</v>
      </c>
      <c r="AA153" s="455" t="s">
        <v>4913</v>
      </c>
      <c r="AB153" s="455" t="s">
        <v>4913</v>
      </c>
      <c r="AC153" s="456" t="s">
        <v>1737</v>
      </c>
      <c r="AD153" s="459" t="s">
        <v>12544</v>
      </c>
      <c r="AE153" s="454" t="s">
        <v>12545</v>
      </c>
      <c r="AF153" s="460" t="s">
        <v>13094</v>
      </c>
      <c r="AG153" s="462">
        <v>44657</v>
      </c>
      <c r="AH153" s="460" t="s">
        <v>13095</v>
      </c>
    </row>
    <row r="154" spans="1:34">
      <c r="A154" s="453" t="s">
        <v>13090</v>
      </c>
      <c r="B154" s="454" t="s">
        <v>13096</v>
      </c>
      <c r="C154" s="454" t="s">
        <v>13092</v>
      </c>
      <c r="D154" s="454" t="s">
        <v>13097</v>
      </c>
      <c r="E154" s="454" t="s">
        <v>1743</v>
      </c>
      <c r="F154" s="459" t="s">
        <v>1736</v>
      </c>
      <c r="G154" s="455" t="s">
        <v>4913</v>
      </c>
      <c r="H154" s="455" t="s">
        <v>4913</v>
      </c>
      <c r="I154" s="455" t="s">
        <v>4913</v>
      </c>
      <c r="J154" s="455" t="s">
        <v>4913</v>
      </c>
      <c r="K154" s="455" t="s">
        <v>4913</v>
      </c>
      <c r="L154" s="455" t="s">
        <v>4913</v>
      </c>
      <c r="M154" s="455" t="s">
        <v>4913</v>
      </c>
      <c r="N154" s="455" t="s">
        <v>4913</v>
      </c>
      <c r="O154" s="455" t="s">
        <v>4913</v>
      </c>
      <c r="P154" s="455" t="s">
        <v>4913</v>
      </c>
      <c r="Q154" s="455" t="s">
        <v>4913</v>
      </c>
      <c r="R154" s="455" t="s">
        <v>4913</v>
      </c>
      <c r="S154" s="455" t="s">
        <v>4913</v>
      </c>
      <c r="T154" s="455" t="s">
        <v>4913</v>
      </c>
      <c r="U154" s="455" t="s">
        <v>4913</v>
      </c>
      <c r="V154" s="455" t="s">
        <v>4913</v>
      </c>
      <c r="W154" s="455" t="s">
        <v>4913</v>
      </c>
      <c r="X154" s="455" t="s">
        <v>4913</v>
      </c>
      <c r="Y154" s="455" t="s">
        <v>4913</v>
      </c>
      <c r="Z154" s="455" t="s">
        <v>4913</v>
      </c>
      <c r="AA154" s="455" t="s">
        <v>4913</v>
      </c>
      <c r="AB154" s="455" t="s">
        <v>4913</v>
      </c>
      <c r="AC154" s="456" t="s">
        <v>1737</v>
      </c>
      <c r="AD154" s="459" t="s">
        <v>12544</v>
      </c>
      <c r="AE154" s="454" t="s">
        <v>12545</v>
      </c>
      <c r="AF154" s="460" t="s">
        <v>13098</v>
      </c>
      <c r="AG154" s="462">
        <v>44657</v>
      </c>
      <c r="AH154" s="460" t="s">
        <v>13095</v>
      </c>
    </row>
    <row r="155" spans="1:34">
      <c r="A155" s="453" t="s">
        <v>13090</v>
      </c>
      <c r="B155" s="454" t="s">
        <v>13099</v>
      </c>
      <c r="C155" s="454" t="s">
        <v>13100</v>
      </c>
      <c r="D155" s="454" t="s">
        <v>13101</v>
      </c>
      <c r="E155" s="454" t="s">
        <v>1732</v>
      </c>
      <c r="F155" s="459" t="s">
        <v>1736</v>
      </c>
      <c r="G155" s="455" t="s">
        <v>4913</v>
      </c>
      <c r="H155" s="455" t="s">
        <v>4913</v>
      </c>
      <c r="I155" s="455" t="s">
        <v>4913</v>
      </c>
      <c r="J155" s="455" t="s">
        <v>4913</v>
      </c>
      <c r="K155" s="455" t="s">
        <v>4913</v>
      </c>
      <c r="L155" s="455" t="s">
        <v>4913</v>
      </c>
      <c r="M155" s="455" t="s">
        <v>4913</v>
      </c>
      <c r="N155" s="455" t="s">
        <v>4913</v>
      </c>
      <c r="O155" s="455" t="s">
        <v>4913</v>
      </c>
      <c r="P155" s="455" t="s">
        <v>4913</v>
      </c>
      <c r="Q155" s="455" t="s">
        <v>4913</v>
      </c>
      <c r="R155" s="455" t="s">
        <v>4913</v>
      </c>
      <c r="S155" s="455" t="s">
        <v>4913</v>
      </c>
      <c r="T155" s="455" t="s">
        <v>4913</v>
      </c>
      <c r="U155" s="455" t="s">
        <v>4913</v>
      </c>
      <c r="V155" s="455" t="s">
        <v>4913</v>
      </c>
      <c r="W155" s="459" t="s">
        <v>1736</v>
      </c>
      <c r="X155" s="455" t="s">
        <v>4913</v>
      </c>
      <c r="Y155" s="455" t="s">
        <v>4913</v>
      </c>
      <c r="Z155" s="455" t="s">
        <v>4913</v>
      </c>
      <c r="AA155" s="455" t="s">
        <v>4913</v>
      </c>
      <c r="AB155" s="455" t="s">
        <v>4913</v>
      </c>
      <c r="AC155" s="456" t="s">
        <v>1737</v>
      </c>
      <c r="AD155" s="459" t="s">
        <v>12544</v>
      </c>
      <c r="AE155" s="454" t="s">
        <v>12545</v>
      </c>
      <c r="AF155" s="460" t="s">
        <v>13102</v>
      </c>
      <c r="AG155" s="462">
        <v>44657</v>
      </c>
      <c r="AH155" s="460" t="s">
        <v>13095</v>
      </c>
    </row>
    <row r="156" spans="1:34">
      <c r="A156" s="453" t="s">
        <v>13090</v>
      </c>
      <c r="B156" s="454" t="s">
        <v>13103</v>
      </c>
      <c r="C156" s="454" t="s">
        <v>13104</v>
      </c>
      <c r="D156" s="454" t="s">
        <v>13105</v>
      </c>
      <c r="E156" s="454" t="s">
        <v>1732</v>
      </c>
      <c r="F156" s="459" t="s">
        <v>1736</v>
      </c>
      <c r="G156" s="455" t="s">
        <v>4913</v>
      </c>
      <c r="H156" s="455" t="s">
        <v>4913</v>
      </c>
      <c r="I156" s="455" t="s">
        <v>4913</v>
      </c>
      <c r="J156" s="455" t="s">
        <v>4913</v>
      </c>
      <c r="K156" s="455" t="s">
        <v>4913</v>
      </c>
      <c r="L156" s="455" t="s">
        <v>4913</v>
      </c>
      <c r="M156" s="455" t="s">
        <v>4913</v>
      </c>
      <c r="N156" s="455" t="s">
        <v>4913</v>
      </c>
      <c r="O156" s="455" t="s">
        <v>4913</v>
      </c>
      <c r="P156" s="455" t="s">
        <v>4913</v>
      </c>
      <c r="Q156" s="455" t="s">
        <v>4913</v>
      </c>
      <c r="R156" s="455" t="s">
        <v>4913</v>
      </c>
      <c r="S156" s="455" t="s">
        <v>4913</v>
      </c>
      <c r="T156" s="455" t="s">
        <v>4913</v>
      </c>
      <c r="U156" s="455" t="s">
        <v>4913</v>
      </c>
      <c r="V156" s="455" t="s">
        <v>4913</v>
      </c>
      <c r="W156" s="459" t="s">
        <v>1736</v>
      </c>
      <c r="X156" s="455" t="s">
        <v>4913</v>
      </c>
      <c r="Y156" s="455" t="s">
        <v>4913</v>
      </c>
      <c r="Z156" s="455" t="s">
        <v>4913</v>
      </c>
      <c r="AA156" s="455" t="s">
        <v>4913</v>
      </c>
      <c r="AB156" s="455" t="s">
        <v>4913</v>
      </c>
      <c r="AC156" s="456" t="s">
        <v>1737</v>
      </c>
      <c r="AD156" s="459" t="s">
        <v>12544</v>
      </c>
      <c r="AE156" s="454" t="s">
        <v>12545</v>
      </c>
      <c r="AF156" s="460" t="s">
        <v>13106</v>
      </c>
      <c r="AG156" s="462">
        <v>44657</v>
      </c>
      <c r="AH156" s="460" t="s">
        <v>13095</v>
      </c>
    </row>
    <row r="157" spans="1:34">
      <c r="A157" s="453" t="s">
        <v>13107</v>
      </c>
      <c r="B157" s="454" t="s">
        <v>13108</v>
      </c>
      <c r="C157" s="454" t="s">
        <v>13109</v>
      </c>
      <c r="D157" s="454" t="s">
        <v>13110</v>
      </c>
      <c r="E157" s="454" t="s">
        <v>1732</v>
      </c>
      <c r="F157" s="459" t="s">
        <v>1736</v>
      </c>
      <c r="G157" s="459" t="s">
        <v>1736</v>
      </c>
      <c r="H157" s="455" t="s">
        <v>4913</v>
      </c>
      <c r="I157" s="455" t="s">
        <v>4913</v>
      </c>
      <c r="J157" s="455" t="s">
        <v>4913</v>
      </c>
      <c r="K157" s="455" t="s">
        <v>4913</v>
      </c>
      <c r="L157" s="455" t="s">
        <v>4913</v>
      </c>
      <c r="M157" s="455" t="s">
        <v>4913</v>
      </c>
      <c r="N157" s="455" t="s">
        <v>4913</v>
      </c>
      <c r="O157" s="455" t="s">
        <v>4913</v>
      </c>
      <c r="P157" s="455" t="s">
        <v>4913</v>
      </c>
      <c r="Q157" s="455" t="s">
        <v>4913</v>
      </c>
      <c r="R157" s="455" t="s">
        <v>4913</v>
      </c>
      <c r="S157" s="455" t="s">
        <v>4913</v>
      </c>
      <c r="T157" s="455" t="s">
        <v>4913</v>
      </c>
      <c r="U157" s="455" t="s">
        <v>4913</v>
      </c>
      <c r="V157" s="455" t="s">
        <v>4913</v>
      </c>
      <c r="W157" s="455" t="s">
        <v>4913</v>
      </c>
      <c r="X157" s="455" t="s">
        <v>4913</v>
      </c>
      <c r="Y157" s="455" t="s">
        <v>4913</v>
      </c>
      <c r="Z157" s="455" t="s">
        <v>4913</v>
      </c>
      <c r="AA157" s="455" t="s">
        <v>4913</v>
      </c>
      <c r="AB157" s="455" t="s">
        <v>4913</v>
      </c>
      <c r="AC157" s="456" t="s">
        <v>1737</v>
      </c>
      <c r="AD157" s="459" t="s">
        <v>12544</v>
      </c>
      <c r="AE157" s="454" t="s">
        <v>12545</v>
      </c>
      <c r="AF157" s="454" t="s">
        <v>13111</v>
      </c>
      <c r="AG157" s="460" t="s">
        <v>13112</v>
      </c>
      <c r="AH157" s="460" t="s">
        <v>13113</v>
      </c>
    </row>
    <row r="158" spans="1:34">
      <c r="A158" s="453" t="s">
        <v>13114</v>
      </c>
      <c r="B158" s="454" t="s">
        <v>13115</v>
      </c>
      <c r="C158" s="454" t="s">
        <v>13116</v>
      </c>
      <c r="D158" s="454" t="s">
        <v>13117</v>
      </c>
      <c r="E158" s="454" t="s">
        <v>1732</v>
      </c>
      <c r="F158" s="459" t="s">
        <v>1736</v>
      </c>
      <c r="G158" s="459" t="s">
        <v>1736</v>
      </c>
      <c r="H158" s="455" t="s">
        <v>4913</v>
      </c>
      <c r="I158" s="455" t="s">
        <v>4913</v>
      </c>
      <c r="J158" s="455" t="s">
        <v>4913</v>
      </c>
      <c r="K158" s="455" t="s">
        <v>4913</v>
      </c>
      <c r="L158" s="455" t="s">
        <v>4913</v>
      </c>
      <c r="M158" s="455" t="s">
        <v>4913</v>
      </c>
      <c r="N158" s="455" t="s">
        <v>4913</v>
      </c>
      <c r="O158" s="455" t="s">
        <v>4913</v>
      </c>
      <c r="P158" s="455" t="s">
        <v>4913</v>
      </c>
      <c r="Q158" s="455" t="s">
        <v>4913</v>
      </c>
      <c r="R158" s="455" t="s">
        <v>4913</v>
      </c>
      <c r="S158" s="455" t="s">
        <v>4913</v>
      </c>
      <c r="T158" s="455" t="s">
        <v>4913</v>
      </c>
      <c r="U158" s="455" t="s">
        <v>4913</v>
      </c>
      <c r="V158" s="455" t="s">
        <v>4913</v>
      </c>
      <c r="W158" s="459" t="s">
        <v>1736</v>
      </c>
      <c r="X158" s="459" t="s">
        <v>1736</v>
      </c>
      <c r="Y158" s="455" t="s">
        <v>4913</v>
      </c>
      <c r="Z158" s="455" t="s">
        <v>4913</v>
      </c>
      <c r="AA158" s="455" t="s">
        <v>4913</v>
      </c>
      <c r="AB158" s="455" t="s">
        <v>4913</v>
      </c>
      <c r="AC158" s="456" t="s">
        <v>1737</v>
      </c>
      <c r="AD158" s="459" t="s">
        <v>12544</v>
      </c>
      <c r="AE158" s="454" t="s">
        <v>13118</v>
      </c>
      <c r="AF158" s="454" t="s">
        <v>13119</v>
      </c>
      <c r="AG158" s="460" t="s">
        <v>12771</v>
      </c>
      <c r="AH158" s="460" t="s">
        <v>13120</v>
      </c>
    </row>
    <row r="159" spans="1:34">
      <c r="A159" s="453" t="s">
        <v>13114</v>
      </c>
      <c r="B159" s="454" t="s">
        <v>13121</v>
      </c>
      <c r="C159" s="454" t="s">
        <v>13116</v>
      </c>
      <c r="D159" s="454" t="s">
        <v>13122</v>
      </c>
      <c r="E159" s="454" t="s">
        <v>1743</v>
      </c>
      <c r="F159" s="459" t="s">
        <v>1736</v>
      </c>
      <c r="G159" s="459" t="s">
        <v>1736</v>
      </c>
      <c r="H159" s="455" t="s">
        <v>4913</v>
      </c>
      <c r="I159" s="455" t="s">
        <v>4913</v>
      </c>
      <c r="J159" s="455" t="s">
        <v>4913</v>
      </c>
      <c r="K159" s="455" t="s">
        <v>4913</v>
      </c>
      <c r="L159" s="455" t="s">
        <v>4913</v>
      </c>
      <c r="M159" s="455" t="s">
        <v>4913</v>
      </c>
      <c r="N159" s="455" t="s">
        <v>4913</v>
      </c>
      <c r="O159" s="455" t="s">
        <v>4913</v>
      </c>
      <c r="P159" s="455" t="s">
        <v>4913</v>
      </c>
      <c r="Q159" s="455" t="s">
        <v>4913</v>
      </c>
      <c r="R159" s="455" t="s">
        <v>4913</v>
      </c>
      <c r="S159" s="455" t="s">
        <v>4913</v>
      </c>
      <c r="T159" s="455" t="s">
        <v>4913</v>
      </c>
      <c r="U159" s="455" t="s">
        <v>4913</v>
      </c>
      <c r="V159" s="455" t="s">
        <v>4913</v>
      </c>
      <c r="W159" s="455" t="s">
        <v>4913</v>
      </c>
      <c r="X159" s="455" t="s">
        <v>4913</v>
      </c>
      <c r="Y159" s="455" t="s">
        <v>4913</v>
      </c>
      <c r="Z159" s="455" t="s">
        <v>4913</v>
      </c>
      <c r="AA159" s="455" t="s">
        <v>4913</v>
      </c>
      <c r="AB159" s="455" t="s">
        <v>4913</v>
      </c>
      <c r="AC159" s="456" t="s">
        <v>1737</v>
      </c>
      <c r="AD159" s="459" t="s">
        <v>12544</v>
      </c>
      <c r="AE159" s="454" t="s">
        <v>12545</v>
      </c>
      <c r="AF159" s="454" t="s">
        <v>13123</v>
      </c>
      <c r="AG159" s="460" t="s">
        <v>12771</v>
      </c>
      <c r="AH159" s="460" t="s">
        <v>13120</v>
      </c>
    </row>
    <row r="160" spans="1:34">
      <c r="A160" s="453" t="s">
        <v>13114</v>
      </c>
      <c r="B160" s="454" t="s">
        <v>13124</v>
      </c>
      <c r="C160" s="454" t="s">
        <v>13116</v>
      </c>
      <c r="D160" s="454" t="s">
        <v>13125</v>
      </c>
      <c r="E160" s="454" t="s">
        <v>1743</v>
      </c>
      <c r="F160" s="459" t="s">
        <v>1736</v>
      </c>
      <c r="G160" s="459" t="s">
        <v>1736</v>
      </c>
      <c r="H160" s="455" t="s">
        <v>4913</v>
      </c>
      <c r="I160" s="455" t="s">
        <v>4913</v>
      </c>
      <c r="J160" s="455" t="s">
        <v>4913</v>
      </c>
      <c r="K160" s="455" t="s">
        <v>4913</v>
      </c>
      <c r="L160" s="455" t="s">
        <v>4913</v>
      </c>
      <c r="M160" s="455" t="s">
        <v>4913</v>
      </c>
      <c r="N160" s="455" t="s">
        <v>4913</v>
      </c>
      <c r="O160" s="455" t="s">
        <v>4913</v>
      </c>
      <c r="P160" s="455" t="s">
        <v>4913</v>
      </c>
      <c r="Q160" s="455" t="s">
        <v>4913</v>
      </c>
      <c r="R160" s="455" t="s">
        <v>4913</v>
      </c>
      <c r="S160" s="455" t="s">
        <v>4913</v>
      </c>
      <c r="T160" s="455" t="s">
        <v>4913</v>
      </c>
      <c r="U160" s="455" t="s">
        <v>4913</v>
      </c>
      <c r="V160" s="455" t="s">
        <v>4913</v>
      </c>
      <c r="W160" s="455" t="s">
        <v>4913</v>
      </c>
      <c r="X160" s="455" t="s">
        <v>4913</v>
      </c>
      <c r="Y160" s="455" t="s">
        <v>4913</v>
      </c>
      <c r="Z160" s="455" t="s">
        <v>4913</v>
      </c>
      <c r="AA160" s="455" t="s">
        <v>4913</v>
      </c>
      <c r="AB160" s="455" t="s">
        <v>4913</v>
      </c>
      <c r="AC160" s="456" t="s">
        <v>1737</v>
      </c>
      <c r="AD160" s="459" t="s">
        <v>12544</v>
      </c>
      <c r="AE160" s="454" t="s">
        <v>12545</v>
      </c>
      <c r="AF160" s="454" t="s">
        <v>13126</v>
      </c>
      <c r="AG160" s="460" t="s">
        <v>12771</v>
      </c>
      <c r="AH160" s="460" t="s">
        <v>13120</v>
      </c>
    </row>
    <row r="161" spans="1:34">
      <c r="A161" s="453" t="s">
        <v>13127</v>
      </c>
      <c r="B161" s="454" t="s">
        <v>13128</v>
      </c>
      <c r="C161" s="454" t="s">
        <v>13129</v>
      </c>
      <c r="D161" s="454" t="s">
        <v>13130</v>
      </c>
      <c r="E161" s="454" t="s">
        <v>1732</v>
      </c>
      <c r="F161" s="459" t="s">
        <v>1736</v>
      </c>
      <c r="G161" s="459" t="s">
        <v>1736</v>
      </c>
      <c r="H161" s="455" t="s">
        <v>4913</v>
      </c>
      <c r="I161" s="455" t="s">
        <v>4913</v>
      </c>
      <c r="J161" s="455" t="s">
        <v>4913</v>
      </c>
      <c r="K161" s="455" t="s">
        <v>4913</v>
      </c>
      <c r="L161" s="455" t="s">
        <v>4913</v>
      </c>
      <c r="M161" s="455" t="s">
        <v>4913</v>
      </c>
      <c r="N161" s="455" t="s">
        <v>4913</v>
      </c>
      <c r="O161" s="455" t="s">
        <v>4913</v>
      </c>
      <c r="P161" s="455" t="s">
        <v>4913</v>
      </c>
      <c r="Q161" s="455" t="s">
        <v>4913</v>
      </c>
      <c r="R161" s="455" t="s">
        <v>4913</v>
      </c>
      <c r="S161" s="455" t="s">
        <v>4913</v>
      </c>
      <c r="T161" s="455" t="s">
        <v>4913</v>
      </c>
      <c r="U161" s="455" t="s">
        <v>4913</v>
      </c>
      <c r="V161" s="455" t="s">
        <v>4913</v>
      </c>
      <c r="W161" s="455" t="s">
        <v>4913</v>
      </c>
      <c r="X161" s="455" t="s">
        <v>4913</v>
      </c>
      <c r="Y161" s="455" t="s">
        <v>4913</v>
      </c>
      <c r="Z161" s="455" t="s">
        <v>4913</v>
      </c>
      <c r="AA161" s="455" t="s">
        <v>4913</v>
      </c>
      <c r="AB161" s="455" t="s">
        <v>4913</v>
      </c>
      <c r="AC161" s="456" t="s">
        <v>1737</v>
      </c>
      <c r="AD161" s="459" t="s">
        <v>12544</v>
      </c>
      <c r="AE161" s="454" t="s">
        <v>12545</v>
      </c>
      <c r="AF161" s="460" t="s">
        <v>13131</v>
      </c>
      <c r="AG161" s="460" t="s">
        <v>13132</v>
      </c>
      <c r="AH161" s="460" t="s">
        <v>13133</v>
      </c>
    </row>
    <row r="162" spans="1:34">
      <c r="A162" s="453" t="s">
        <v>13134</v>
      </c>
      <c r="B162" s="454" t="s">
        <v>13135</v>
      </c>
      <c r="C162" s="454" t="s">
        <v>13136</v>
      </c>
      <c r="D162" s="454" t="s">
        <v>13137</v>
      </c>
      <c r="E162" s="454" t="s">
        <v>1732</v>
      </c>
      <c r="F162" s="459" t="s">
        <v>1736</v>
      </c>
      <c r="G162" s="459" t="s">
        <v>1736</v>
      </c>
      <c r="H162" s="455" t="s">
        <v>4913</v>
      </c>
      <c r="I162" s="455" t="s">
        <v>4913</v>
      </c>
      <c r="J162" s="455" t="s">
        <v>4913</v>
      </c>
      <c r="K162" s="455" t="s">
        <v>4913</v>
      </c>
      <c r="L162" s="455" t="s">
        <v>4913</v>
      </c>
      <c r="M162" s="455" t="s">
        <v>4913</v>
      </c>
      <c r="N162" s="455" t="s">
        <v>4913</v>
      </c>
      <c r="O162" s="455" t="s">
        <v>4913</v>
      </c>
      <c r="P162" s="455" t="s">
        <v>4913</v>
      </c>
      <c r="Q162" s="455" t="s">
        <v>4913</v>
      </c>
      <c r="R162" s="455" t="s">
        <v>4913</v>
      </c>
      <c r="S162" s="455" t="s">
        <v>4913</v>
      </c>
      <c r="T162" s="455" t="s">
        <v>4913</v>
      </c>
      <c r="U162" s="455" t="s">
        <v>4913</v>
      </c>
      <c r="V162" s="455" t="s">
        <v>4913</v>
      </c>
      <c r="W162" s="459" t="s">
        <v>1736</v>
      </c>
      <c r="X162" s="459" t="s">
        <v>1736</v>
      </c>
      <c r="Y162" s="455" t="s">
        <v>4913</v>
      </c>
      <c r="Z162" s="455" t="s">
        <v>4913</v>
      </c>
      <c r="AA162" s="455" t="s">
        <v>4913</v>
      </c>
      <c r="AB162" s="455" t="s">
        <v>4913</v>
      </c>
      <c r="AC162" s="456" t="s">
        <v>1737</v>
      </c>
      <c r="AD162" s="459" t="s">
        <v>12544</v>
      </c>
      <c r="AE162" s="454" t="s">
        <v>13118</v>
      </c>
      <c r="AF162" s="460" t="s">
        <v>13138</v>
      </c>
      <c r="AG162" s="460" t="s">
        <v>13132</v>
      </c>
      <c r="AH162" s="460" t="s">
        <v>13139</v>
      </c>
    </row>
    <row r="163" spans="1:34">
      <c r="A163" s="453" t="s">
        <v>13134</v>
      </c>
      <c r="B163" s="454" t="s">
        <v>13140</v>
      </c>
      <c r="C163" s="454" t="s">
        <v>13136</v>
      </c>
      <c r="D163" s="454" t="s">
        <v>13141</v>
      </c>
      <c r="E163" s="454" t="s">
        <v>1743</v>
      </c>
      <c r="F163" s="459" t="s">
        <v>1736</v>
      </c>
      <c r="G163" s="459" t="s">
        <v>1736</v>
      </c>
      <c r="H163" s="455" t="s">
        <v>4913</v>
      </c>
      <c r="I163" s="455" t="s">
        <v>4913</v>
      </c>
      <c r="J163" s="455" t="s">
        <v>4913</v>
      </c>
      <c r="K163" s="455" t="s">
        <v>4913</v>
      </c>
      <c r="L163" s="455" t="s">
        <v>4913</v>
      </c>
      <c r="M163" s="455" t="s">
        <v>4913</v>
      </c>
      <c r="N163" s="455" t="s">
        <v>4913</v>
      </c>
      <c r="O163" s="455" t="s">
        <v>4913</v>
      </c>
      <c r="P163" s="455" t="s">
        <v>4913</v>
      </c>
      <c r="Q163" s="455" t="s">
        <v>4913</v>
      </c>
      <c r="R163" s="455" t="s">
        <v>4913</v>
      </c>
      <c r="S163" s="455" t="s">
        <v>4913</v>
      </c>
      <c r="T163" s="455" t="s">
        <v>4913</v>
      </c>
      <c r="U163" s="455" t="s">
        <v>4913</v>
      </c>
      <c r="V163" s="455" t="s">
        <v>4913</v>
      </c>
      <c r="W163" s="455" t="s">
        <v>4913</v>
      </c>
      <c r="X163" s="455" t="s">
        <v>4913</v>
      </c>
      <c r="Y163" s="455" t="s">
        <v>4913</v>
      </c>
      <c r="Z163" s="455" t="s">
        <v>4913</v>
      </c>
      <c r="AA163" s="455" t="s">
        <v>4913</v>
      </c>
      <c r="AB163" s="455" t="s">
        <v>4913</v>
      </c>
      <c r="AC163" s="456" t="s">
        <v>1737</v>
      </c>
      <c r="AD163" s="459" t="s">
        <v>12544</v>
      </c>
      <c r="AE163" s="454" t="s">
        <v>12545</v>
      </c>
      <c r="AF163" s="460" t="s">
        <v>13142</v>
      </c>
      <c r="AG163" s="460" t="s">
        <v>13132</v>
      </c>
      <c r="AH163" s="460" t="s">
        <v>13139</v>
      </c>
    </row>
    <row r="164" spans="1:34">
      <c r="A164" s="453" t="s">
        <v>13143</v>
      </c>
      <c r="B164" s="454" t="s">
        <v>13144</v>
      </c>
      <c r="C164" s="454" t="s">
        <v>13145</v>
      </c>
      <c r="D164" s="454" t="s">
        <v>13146</v>
      </c>
      <c r="E164" s="454" t="s">
        <v>1732</v>
      </c>
      <c r="F164" s="459" t="s">
        <v>1736</v>
      </c>
      <c r="G164" s="459" t="s">
        <v>1736</v>
      </c>
      <c r="H164" s="455" t="s">
        <v>4913</v>
      </c>
      <c r="I164" s="455" t="s">
        <v>4913</v>
      </c>
      <c r="J164" s="455" t="s">
        <v>4913</v>
      </c>
      <c r="K164" s="455" t="s">
        <v>4913</v>
      </c>
      <c r="L164" s="455" t="s">
        <v>4913</v>
      </c>
      <c r="M164" s="455" t="s">
        <v>4913</v>
      </c>
      <c r="N164" s="455" t="s">
        <v>4913</v>
      </c>
      <c r="O164" s="455" t="s">
        <v>4913</v>
      </c>
      <c r="P164" s="455" t="s">
        <v>4913</v>
      </c>
      <c r="Q164" s="455" t="s">
        <v>4913</v>
      </c>
      <c r="R164" s="455" t="s">
        <v>4913</v>
      </c>
      <c r="S164" s="455" t="s">
        <v>4913</v>
      </c>
      <c r="T164" s="455" t="s">
        <v>4913</v>
      </c>
      <c r="U164" s="455" t="s">
        <v>4913</v>
      </c>
      <c r="V164" s="455" t="s">
        <v>4913</v>
      </c>
      <c r="W164" s="455" t="s">
        <v>4913</v>
      </c>
      <c r="X164" s="455" t="s">
        <v>4913</v>
      </c>
      <c r="Y164" s="455" t="s">
        <v>4913</v>
      </c>
      <c r="Z164" s="455" t="s">
        <v>4913</v>
      </c>
      <c r="AA164" s="455" t="s">
        <v>4913</v>
      </c>
      <c r="AB164" s="455" t="s">
        <v>4913</v>
      </c>
      <c r="AC164" s="456" t="s">
        <v>1737</v>
      </c>
      <c r="AD164" s="459" t="s">
        <v>12544</v>
      </c>
      <c r="AE164" s="454" t="s">
        <v>12545</v>
      </c>
      <c r="AF164" s="460" t="s">
        <v>13147</v>
      </c>
      <c r="AG164" s="460" t="s">
        <v>13148</v>
      </c>
      <c r="AH164" s="460" t="s">
        <v>13149</v>
      </c>
    </row>
    <row r="165" spans="1:34">
      <c r="A165" s="453" t="s">
        <v>13150</v>
      </c>
      <c r="B165" s="454" t="s">
        <v>13151</v>
      </c>
      <c r="C165" s="454" t="s">
        <v>13152</v>
      </c>
      <c r="D165" s="454" t="s">
        <v>13153</v>
      </c>
      <c r="E165" s="454" t="s">
        <v>1732</v>
      </c>
      <c r="F165" s="459" t="s">
        <v>1736</v>
      </c>
      <c r="G165" s="459" t="s">
        <v>1736</v>
      </c>
      <c r="H165" s="455" t="s">
        <v>4913</v>
      </c>
      <c r="I165" s="455" t="s">
        <v>4913</v>
      </c>
      <c r="J165" s="455" t="s">
        <v>4913</v>
      </c>
      <c r="K165" s="455" t="s">
        <v>4913</v>
      </c>
      <c r="L165" s="455" t="s">
        <v>4913</v>
      </c>
      <c r="M165" s="455" t="s">
        <v>4913</v>
      </c>
      <c r="N165" s="455" t="s">
        <v>4913</v>
      </c>
      <c r="O165" s="455" t="s">
        <v>4913</v>
      </c>
      <c r="P165" s="455" t="s">
        <v>4913</v>
      </c>
      <c r="Q165" s="455" t="s">
        <v>4913</v>
      </c>
      <c r="R165" s="455" t="s">
        <v>4913</v>
      </c>
      <c r="S165" s="455" t="s">
        <v>4913</v>
      </c>
      <c r="T165" s="455" t="s">
        <v>4913</v>
      </c>
      <c r="U165" s="455" t="s">
        <v>4913</v>
      </c>
      <c r="V165" s="455" t="s">
        <v>4913</v>
      </c>
      <c r="W165" s="459" t="s">
        <v>1736</v>
      </c>
      <c r="X165" s="459" t="s">
        <v>1736</v>
      </c>
      <c r="Y165" s="455" t="s">
        <v>4913</v>
      </c>
      <c r="Z165" s="455" t="s">
        <v>4913</v>
      </c>
      <c r="AA165" s="455" t="s">
        <v>4913</v>
      </c>
      <c r="AB165" s="455" t="s">
        <v>4913</v>
      </c>
      <c r="AC165" s="456" t="s">
        <v>1737</v>
      </c>
      <c r="AD165" s="459" t="s">
        <v>12544</v>
      </c>
      <c r="AE165" s="454" t="s">
        <v>12545</v>
      </c>
      <c r="AF165" s="460" t="s">
        <v>13154</v>
      </c>
      <c r="AG165" s="460" t="s">
        <v>13148</v>
      </c>
      <c r="AH165" s="460" t="s">
        <v>13155</v>
      </c>
    </row>
    <row r="166" spans="1:34">
      <c r="A166" s="453" t="s">
        <v>13156</v>
      </c>
      <c r="B166" s="454" t="s">
        <v>13157</v>
      </c>
      <c r="C166" s="454" t="s">
        <v>13158</v>
      </c>
      <c r="D166" s="454" t="s">
        <v>13159</v>
      </c>
      <c r="E166" s="454" t="s">
        <v>1732</v>
      </c>
      <c r="F166" s="456" t="s">
        <v>1736</v>
      </c>
      <c r="G166" s="456" t="s">
        <v>1736</v>
      </c>
      <c r="H166" s="455" t="s">
        <v>4913</v>
      </c>
      <c r="I166" s="455" t="s">
        <v>4913</v>
      </c>
      <c r="J166" s="455" t="s">
        <v>4913</v>
      </c>
      <c r="K166" s="455" t="s">
        <v>4913</v>
      </c>
      <c r="L166" s="455" t="s">
        <v>4913</v>
      </c>
      <c r="M166" s="455" t="s">
        <v>4913</v>
      </c>
      <c r="N166" s="455" t="s">
        <v>4913</v>
      </c>
      <c r="O166" s="455" t="s">
        <v>4913</v>
      </c>
      <c r="P166" s="455" t="s">
        <v>4913</v>
      </c>
      <c r="Q166" s="455" t="s">
        <v>4913</v>
      </c>
      <c r="R166" s="455" t="s">
        <v>4913</v>
      </c>
      <c r="S166" s="455" t="s">
        <v>4913</v>
      </c>
      <c r="T166" s="455" t="s">
        <v>4913</v>
      </c>
      <c r="U166" s="455" t="s">
        <v>4913</v>
      </c>
      <c r="V166" s="455" t="s">
        <v>4913</v>
      </c>
      <c r="W166" s="455" t="s">
        <v>4913</v>
      </c>
      <c r="X166" s="455" t="s">
        <v>4913</v>
      </c>
      <c r="Y166" s="455" t="s">
        <v>4913</v>
      </c>
      <c r="Z166" s="455" t="s">
        <v>4913</v>
      </c>
      <c r="AA166" s="455" t="s">
        <v>4913</v>
      </c>
      <c r="AB166" s="455" t="s">
        <v>4913</v>
      </c>
      <c r="AC166" s="456" t="s">
        <v>1737</v>
      </c>
      <c r="AD166" s="459" t="s">
        <v>12544</v>
      </c>
      <c r="AE166" s="454" t="s">
        <v>12545</v>
      </c>
      <c r="AF166" s="460" t="s">
        <v>13160</v>
      </c>
      <c r="AG166" s="460" t="s">
        <v>12771</v>
      </c>
      <c r="AH166" s="460" t="s">
        <v>13161</v>
      </c>
    </row>
    <row r="167" spans="1:34">
      <c r="A167" s="453" t="s">
        <v>13156</v>
      </c>
      <c r="B167" s="454" t="s">
        <v>13162</v>
      </c>
      <c r="C167" s="454" t="s">
        <v>13158</v>
      </c>
      <c r="D167" s="454" t="s">
        <v>13163</v>
      </c>
      <c r="E167" s="454" t="s">
        <v>1743</v>
      </c>
      <c r="F167" s="456" t="s">
        <v>1736</v>
      </c>
      <c r="G167" s="456" t="s">
        <v>1736</v>
      </c>
      <c r="H167" s="455" t="s">
        <v>4913</v>
      </c>
      <c r="I167" s="455" t="s">
        <v>4913</v>
      </c>
      <c r="J167" s="455" t="s">
        <v>4913</v>
      </c>
      <c r="K167" s="455" t="s">
        <v>4913</v>
      </c>
      <c r="L167" s="455" t="s">
        <v>4913</v>
      </c>
      <c r="M167" s="455" t="s">
        <v>4913</v>
      </c>
      <c r="N167" s="455" t="s">
        <v>4913</v>
      </c>
      <c r="O167" s="455" t="s">
        <v>4913</v>
      </c>
      <c r="P167" s="455" t="s">
        <v>4913</v>
      </c>
      <c r="Q167" s="455" t="s">
        <v>4913</v>
      </c>
      <c r="R167" s="455" t="s">
        <v>4913</v>
      </c>
      <c r="S167" s="455" t="s">
        <v>4913</v>
      </c>
      <c r="T167" s="455" t="s">
        <v>4913</v>
      </c>
      <c r="U167" s="455" t="s">
        <v>4913</v>
      </c>
      <c r="V167" s="455" t="s">
        <v>4913</v>
      </c>
      <c r="W167" s="455" t="s">
        <v>4913</v>
      </c>
      <c r="X167" s="455" t="s">
        <v>4913</v>
      </c>
      <c r="Y167" s="455" t="s">
        <v>4913</v>
      </c>
      <c r="Z167" s="455" t="s">
        <v>4913</v>
      </c>
      <c r="AA167" s="455" t="s">
        <v>4913</v>
      </c>
      <c r="AB167" s="455" t="s">
        <v>4913</v>
      </c>
      <c r="AC167" s="456" t="s">
        <v>1737</v>
      </c>
      <c r="AD167" s="459" t="s">
        <v>12544</v>
      </c>
      <c r="AE167" s="454" t="s">
        <v>12545</v>
      </c>
      <c r="AF167" s="460" t="s">
        <v>13164</v>
      </c>
      <c r="AG167" s="460" t="s">
        <v>12771</v>
      </c>
      <c r="AH167" s="460" t="s">
        <v>13161</v>
      </c>
    </row>
    <row r="168" spans="1:34">
      <c r="A168" s="453" t="s">
        <v>13156</v>
      </c>
      <c r="B168" s="454" t="s">
        <v>13165</v>
      </c>
      <c r="C168" s="454" t="s">
        <v>13158</v>
      </c>
      <c r="D168" s="454" t="s">
        <v>13166</v>
      </c>
      <c r="E168" s="454" t="s">
        <v>1743</v>
      </c>
      <c r="F168" s="456" t="s">
        <v>1736</v>
      </c>
      <c r="G168" s="456" t="s">
        <v>1736</v>
      </c>
      <c r="H168" s="455" t="s">
        <v>4913</v>
      </c>
      <c r="I168" s="455" t="s">
        <v>4913</v>
      </c>
      <c r="J168" s="455" t="s">
        <v>4913</v>
      </c>
      <c r="K168" s="455" t="s">
        <v>4913</v>
      </c>
      <c r="L168" s="455" t="s">
        <v>4913</v>
      </c>
      <c r="M168" s="455" t="s">
        <v>4913</v>
      </c>
      <c r="N168" s="455" t="s">
        <v>4913</v>
      </c>
      <c r="O168" s="455" t="s">
        <v>4913</v>
      </c>
      <c r="P168" s="455" t="s">
        <v>4913</v>
      </c>
      <c r="Q168" s="455" t="s">
        <v>4913</v>
      </c>
      <c r="R168" s="455" t="s">
        <v>4913</v>
      </c>
      <c r="S168" s="455" t="s">
        <v>4913</v>
      </c>
      <c r="T168" s="455" t="s">
        <v>4913</v>
      </c>
      <c r="U168" s="455" t="s">
        <v>4913</v>
      </c>
      <c r="V168" s="455" t="s">
        <v>4913</v>
      </c>
      <c r="W168" s="455" t="s">
        <v>4913</v>
      </c>
      <c r="X168" s="455" t="s">
        <v>4913</v>
      </c>
      <c r="Y168" s="455" t="s">
        <v>4913</v>
      </c>
      <c r="Z168" s="455" t="s">
        <v>4913</v>
      </c>
      <c r="AA168" s="455" t="s">
        <v>4913</v>
      </c>
      <c r="AB168" s="455" t="s">
        <v>4913</v>
      </c>
      <c r="AC168" s="456" t="s">
        <v>1737</v>
      </c>
      <c r="AD168" s="459" t="s">
        <v>12544</v>
      </c>
      <c r="AE168" s="454" t="s">
        <v>12545</v>
      </c>
      <c r="AF168" s="460" t="s">
        <v>13164</v>
      </c>
      <c r="AG168" s="460" t="s">
        <v>12771</v>
      </c>
      <c r="AH168" s="460" t="s">
        <v>13161</v>
      </c>
    </row>
    <row r="169" spans="1:34">
      <c r="A169" s="453" t="s">
        <v>13167</v>
      </c>
      <c r="B169" s="454" t="s">
        <v>13168</v>
      </c>
      <c r="C169" s="454" t="s">
        <v>13169</v>
      </c>
      <c r="D169" s="454" t="s">
        <v>13170</v>
      </c>
      <c r="E169" s="454" t="s">
        <v>1732</v>
      </c>
      <c r="F169" s="456" t="s">
        <v>1736</v>
      </c>
      <c r="G169" s="456" t="s">
        <v>1736</v>
      </c>
      <c r="H169" s="455" t="s">
        <v>4913</v>
      </c>
      <c r="I169" s="455" t="s">
        <v>4913</v>
      </c>
      <c r="J169" s="455" t="s">
        <v>4913</v>
      </c>
      <c r="K169" s="455" t="s">
        <v>4913</v>
      </c>
      <c r="L169" s="455" t="s">
        <v>4913</v>
      </c>
      <c r="M169" s="455" t="s">
        <v>4913</v>
      </c>
      <c r="N169" s="455" t="s">
        <v>4913</v>
      </c>
      <c r="O169" s="455" t="s">
        <v>4913</v>
      </c>
      <c r="P169" s="455" t="s">
        <v>4913</v>
      </c>
      <c r="Q169" s="455" t="s">
        <v>4913</v>
      </c>
      <c r="R169" s="455" t="s">
        <v>4913</v>
      </c>
      <c r="S169" s="455" t="s">
        <v>4913</v>
      </c>
      <c r="T169" s="455" t="s">
        <v>4913</v>
      </c>
      <c r="U169" s="455" t="s">
        <v>4913</v>
      </c>
      <c r="V169" s="455" t="s">
        <v>4913</v>
      </c>
      <c r="W169" s="456" t="s">
        <v>1736</v>
      </c>
      <c r="X169" s="456" t="s">
        <v>1736</v>
      </c>
      <c r="Y169" s="455" t="s">
        <v>4913</v>
      </c>
      <c r="Z169" s="455" t="s">
        <v>4913</v>
      </c>
      <c r="AA169" s="455" t="s">
        <v>4913</v>
      </c>
      <c r="AB169" s="455" t="s">
        <v>4913</v>
      </c>
      <c r="AC169" s="456" t="s">
        <v>1737</v>
      </c>
      <c r="AD169" s="459" t="s">
        <v>12544</v>
      </c>
      <c r="AE169" s="454" t="s">
        <v>13118</v>
      </c>
      <c r="AF169" s="460" t="s">
        <v>13171</v>
      </c>
      <c r="AG169" s="460" t="s">
        <v>12771</v>
      </c>
      <c r="AH169" s="460" t="s">
        <v>13172</v>
      </c>
    </row>
    <row r="170" spans="1:34">
      <c r="A170" s="453" t="s">
        <v>13167</v>
      </c>
      <c r="B170" s="454" t="s">
        <v>13173</v>
      </c>
      <c r="C170" s="454" t="s">
        <v>13169</v>
      </c>
      <c r="D170" s="454" t="s">
        <v>13174</v>
      </c>
      <c r="E170" s="454" t="s">
        <v>1743</v>
      </c>
      <c r="F170" s="456" t="s">
        <v>1736</v>
      </c>
      <c r="G170" s="456" t="s">
        <v>1736</v>
      </c>
      <c r="H170" s="455" t="s">
        <v>4913</v>
      </c>
      <c r="I170" s="455" t="s">
        <v>4913</v>
      </c>
      <c r="J170" s="455" t="s">
        <v>4913</v>
      </c>
      <c r="K170" s="455" t="s">
        <v>4913</v>
      </c>
      <c r="L170" s="455" t="s">
        <v>4913</v>
      </c>
      <c r="M170" s="455" t="s">
        <v>4913</v>
      </c>
      <c r="N170" s="455" t="s">
        <v>4913</v>
      </c>
      <c r="O170" s="455" t="s">
        <v>4913</v>
      </c>
      <c r="P170" s="455" t="s">
        <v>4913</v>
      </c>
      <c r="Q170" s="455" t="s">
        <v>4913</v>
      </c>
      <c r="R170" s="455" t="s">
        <v>4913</v>
      </c>
      <c r="S170" s="455" t="s">
        <v>4913</v>
      </c>
      <c r="T170" s="455" t="s">
        <v>4913</v>
      </c>
      <c r="U170" s="455" t="s">
        <v>4913</v>
      </c>
      <c r="V170" s="455" t="s">
        <v>4913</v>
      </c>
      <c r="W170" s="455" t="s">
        <v>4913</v>
      </c>
      <c r="X170" s="455" t="s">
        <v>4913</v>
      </c>
      <c r="Y170" s="455" t="s">
        <v>4913</v>
      </c>
      <c r="Z170" s="455" t="s">
        <v>4913</v>
      </c>
      <c r="AA170" s="455" t="s">
        <v>4913</v>
      </c>
      <c r="AB170" s="455" t="s">
        <v>4913</v>
      </c>
      <c r="AC170" s="456" t="s">
        <v>1737</v>
      </c>
      <c r="AD170" s="459" t="s">
        <v>12544</v>
      </c>
      <c r="AE170" s="454" t="s">
        <v>12545</v>
      </c>
      <c r="AF170" s="460" t="s">
        <v>13164</v>
      </c>
      <c r="AG170" s="460" t="s">
        <v>12771</v>
      </c>
      <c r="AH170" s="460" t="s">
        <v>13172</v>
      </c>
    </row>
    <row r="171" spans="1:34">
      <c r="A171" s="453" t="s">
        <v>13175</v>
      </c>
      <c r="B171" s="454" t="s">
        <v>13176</v>
      </c>
      <c r="C171" s="454" t="s">
        <v>13177</v>
      </c>
      <c r="D171" s="454" t="s">
        <v>13178</v>
      </c>
      <c r="E171" s="454" t="s">
        <v>1732</v>
      </c>
      <c r="F171" s="455" t="s">
        <v>4913</v>
      </c>
      <c r="G171" s="456" t="s">
        <v>1736</v>
      </c>
      <c r="H171" s="455" t="s">
        <v>4913</v>
      </c>
      <c r="I171" s="455" t="s">
        <v>4913</v>
      </c>
      <c r="J171" s="455" t="s">
        <v>4913</v>
      </c>
      <c r="K171" s="455" t="s">
        <v>4913</v>
      </c>
      <c r="L171" s="455" t="s">
        <v>4913</v>
      </c>
      <c r="M171" s="455" t="s">
        <v>4913</v>
      </c>
      <c r="N171" s="455" t="s">
        <v>4913</v>
      </c>
      <c r="O171" s="455" t="s">
        <v>4913</v>
      </c>
      <c r="P171" s="455" t="s">
        <v>4913</v>
      </c>
      <c r="Q171" s="455" t="s">
        <v>4913</v>
      </c>
      <c r="R171" s="455" t="s">
        <v>4913</v>
      </c>
      <c r="S171" s="455" t="s">
        <v>4913</v>
      </c>
      <c r="T171" s="455" t="s">
        <v>4913</v>
      </c>
      <c r="U171" s="455" t="s">
        <v>4913</v>
      </c>
      <c r="V171" s="455" t="s">
        <v>4913</v>
      </c>
      <c r="W171" s="456" t="s">
        <v>1736</v>
      </c>
      <c r="X171" s="456" t="s">
        <v>1736</v>
      </c>
      <c r="Y171" s="455" t="s">
        <v>4913</v>
      </c>
      <c r="Z171" s="455" t="s">
        <v>4913</v>
      </c>
      <c r="AA171" s="455" t="s">
        <v>4913</v>
      </c>
      <c r="AB171" s="455" t="s">
        <v>4913</v>
      </c>
      <c r="AC171" s="456" t="s">
        <v>1737</v>
      </c>
      <c r="AD171" s="459" t="s">
        <v>12544</v>
      </c>
      <c r="AE171" s="454" t="s">
        <v>13118</v>
      </c>
      <c r="AF171" s="460" t="s">
        <v>13179</v>
      </c>
      <c r="AG171" s="460" t="s">
        <v>13071</v>
      </c>
      <c r="AH171" s="460" t="s">
        <v>13180</v>
      </c>
    </row>
    <row r="172" spans="1:34">
      <c r="A172" s="453" t="s">
        <v>13175</v>
      </c>
      <c r="B172" s="454" t="s">
        <v>13181</v>
      </c>
      <c r="C172" s="454" t="s">
        <v>13177</v>
      </c>
      <c r="D172" s="454" t="s">
        <v>13182</v>
      </c>
      <c r="E172" s="454" t="s">
        <v>1743</v>
      </c>
      <c r="F172" s="455" t="s">
        <v>4913</v>
      </c>
      <c r="G172" s="456" t="s">
        <v>1736</v>
      </c>
      <c r="H172" s="455" t="s">
        <v>4913</v>
      </c>
      <c r="I172" s="455" t="s">
        <v>4913</v>
      </c>
      <c r="J172" s="455" t="s">
        <v>4913</v>
      </c>
      <c r="K172" s="455" t="s">
        <v>4913</v>
      </c>
      <c r="L172" s="455" t="s">
        <v>4913</v>
      </c>
      <c r="M172" s="455" t="s">
        <v>4913</v>
      </c>
      <c r="N172" s="455" t="s">
        <v>4913</v>
      </c>
      <c r="O172" s="455" t="s">
        <v>4913</v>
      </c>
      <c r="P172" s="455" t="s">
        <v>4913</v>
      </c>
      <c r="Q172" s="455" t="s">
        <v>4913</v>
      </c>
      <c r="R172" s="455" t="s">
        <v>4913</v>
      </c>
      <c r="S172" s="455" t="s">
        <v>4913</v>
      </c>
      <c r="T172" s="455" t="s">
        <v>4913</v>
      </c>
      <c r="U172" s="455" t="s">
        <v>4913</v>
      </c>
      <c r="V172" s="455" t="s">
        <v>4913</v>
      </c>
      <c r="W172" s="455" t="s">
        <v>4913</v>
      </c>
      <c r="X172" s="455" t="s">
        <v>4913</v>
      </c>
      <c r="Y172" s="455" t="s">
        <v>4913</v>
      </c>
      <c r="Z172" s="455" t="s">
        <v>4913</v>
      </c>
      <c r="AA172" s="455" t="s">
        <v>4913</v>
      </c>
      <c r="AB172" s="455" t="s">
        <v>4913</v>
      </c>
      <c r="AC172" s="456" t="s">
        <v>1737</v>
      </c>
      <c r="AD172" s="459" t="s">
        <v>12544</v>
      </c>
      <c r="AE172" s="454" t="s">
        <v>12545</v>
      </c>
      <c r="AF172" s="460" t="s">
        <v>13183</v>
      </c>
      <c r="AG172" s="460" t="s">
        <v>13071</v>
      </c>
      <c r="AH172" s="460" t="s">
        <v>13180</v>
      </c>
    </row>
    <row r="173" spans="1:34">
      <c r="A173" s="453" t="s">
        <v>13175</v>
      </c>
      <c r="B173" s="454" t="s">
        <v>13184</v>
      </c>
      <c r="C173" s="454" t="s">
        <v>13177</v>
      </c>
      <c r="D173" s="454" t="s">
        <v>13185</v>
      </c>
      <c r="E173" s="454" t="s">
        <v>1743</v>
      </c>
      <c r="F173" s="455" t="s">
        <v>4913</v>
      </c>
      <c r="G173" s="456" t="s">
        <v>1736</v>
      </c>
      <c r="H173" s="455" t="s">
        <v>4913</v>
      </c>
      <c r="I173" s="455" t="s">
        <v>4913</v>
      </c>
      <c r="J173" s="455" t="s">
        <v>4913</v>
      </c>
      <c r="K173" s="455" t="s">
        <v>4913</v>
      </c>
      <c r="L173" s="455" t="s">
        <v>4913</v>
      </c>
      <c r="M173" s="455" t="s">
        <v>4913</v>
      </c>
      <c r="N173" s="455" t="s">
        <v>4913</v>
      </c>
      <c r="O173" s="455" t="s">
        <v>4913</v>
      </c>
      <c r="P173" s="455" t="s">
        <v>4913</v>
      </c>
      <c r="Q173" s="455" t="s">
        <v>4913</v>
      </c>
      <c r="R173" s="455" t="s">
        <v>4913</v>
      </c>
      <c r="S173" s="455" t="s">
        <v>4913</v>
      </c>
      <c r="T173" s="455" t="s">
        <v>4913</v>
      </c>
      <c r="U173" s="455" t="s">
        <v>4913</v>
      </c>
      <c r="V173" s="455" t="s">
        <v>4913</v>
      </c>
      <c r="W173" s="455" t="s">
        <v>4913</v>
      </c>
      <c r="X173" s="455" t="s">
        <v>4913</v>
      </c>
      <c r="Y173" s="455" t="s">
        <v>4913</v>
      </c>
      <c r="Z173" s="455" t="s">
        <v>4913</v>
      </c>
      <c r="AA173" s="455" t="s">
        <v>4913</v>
      </c>
      <c r="AB173" s="455" t="s">
        <v>4913</v>
      </c>
      <c r="AC173" s="456" t="s">
        <v>1737</v>
      </c>
      <c r="AD173" s="459" t="s">
        <v>12544</v>
      </c>
      <c r="AE173" s="454" t="s">
        <v>12545</v>
      </c>
      <c r="AF173" s="460" t="s">
        <v>13183</v>
      </c>
      <c r="AG173" s="460" t="s">
        <v>13071</v>
      </c>
      <c r="AH173" s="460" t="s">
        <v>13180</v>
      </c>
    </row>
    <row r="174" spans="1:34">
      <c r="A174" s="453" t="s">
        <v>13175</v>
      </c>
      <c r="B174" s="454" t="s">
        <v>13186</v>
      </c>
      <c r="C174" s="454" t="s">
        <v>13177</v>
      </c>
      <c r="D174" s="454" t="s">
        <v>13187</v>
      </c>
      <c r="E174" s="454" t="s">
        <v>1743</v>
      </c>
      <c r="F174" s="455" t="s">
        <v>4913</v>
      </c>
      <c r="G174" s="456" t="s">
        <v>1736</v>
      </c>
      <c r="H174" s="455" t="s">
        <v>4913</v>
      </c>
      <c r="I174" s="455" t="s">
        <v>4913</v>
      </c>
      <c r="J174" s="455" t="s">
        <v>4913</v>
      </c>
      <c r="K174" s="455" t="s">
        <v>4913</v>
      </c>
      <c r="L174" s="455" t="s">
        <v>4913</v>
      </c>
      <c r="M174" s="455" t="s">
        <v>4913</v>
      </c>
      <c r="N174" s="455" t="s">
        <v>4913</v>
      </c>
      <c r="O174" s="455" t="s">
        <v>4913</v>
      </c>
      <c r="P174" s="455" t="s">
        <v>4913</v>
      </c>
      <c r="Q174" s="455" t="s">
        <v>4913</v>
      </c>
      <c r="R174" s="455" t="s">
        <v>4913</v>
      </c>
      <c r="S174" s="455" t="s">
        <v>4913</v>
      </c>
      <c r="T174" s="455" t="s">
        <v>4913</v>
      </c>
      <c r="U174" s="455" t="s">
        <v>4913</v>
      </c>
      <c r="V174" s="455" t="s">
        <v>4913</v>
      </c>
      <c r="W174" s="455" t="s">
        <v>4913</v>
      </c>
      <c r="X174" s="455" t="s">
        <v>4913</v>
      </c>
      <c r="Y174" s="455" t="s">
        <v>4913</v>
      </c>
      <c r="Z174" s="455" t="s">
        <v>4913</v>
      </c>
      <c r="AA174" s="455" t="s">
        <v>4913</v>
      </c>
      <c r="AB174" s="455" t="s">
        <v>4913</v>
      </c>
      <c r="AC174" s="456" t="s">
        <v>1737</v>
      </c>
      <c r="AD174" s="459" t="s">
        <v>12544</v>
      </c>
      <c r="AE174" s="454" t="s">
        <v>12545</v>
      </c>
      <c r="AF174" s="460" t="s">
        <v>13183</v>
      </c>
      <c r="AG174" s="460" t="s">
        <v>13071</v>
      </c>
      <c r="AH174" s="460" t="s">
        <v>13180</v>
      </c>
    </row>
    <row r="175" spans="1:34">
      <c r="A175" s="453" t="s">
        <v>13175</v>
      </c>
      <c r="B175" s="454" t="s">
        <v>13188</v>
      </c>
      <c r="C175" s="454" t="s">
        <v>13177</v>
      </c>
      <c r="D175" s="454" t="s">
        <v>13189</v>
      </c>
      <c r="E175" s="454" t="s">
        <v>1743</v>
      </c>
      <c r="F175" s="455" t="s">
        <v>4913</v>
      </c>
      <c r="G175" s="456" t="s">
        <v>1736</v>
      </c>
      <c r="H175" s="455" t="s">
        <v>4913</v>
      </c>
      <c r="I175" s="455" t="s">
        <v>4913</v>
      </c>
      <c r="J175" s="455" t="s">
        <v>4913</v>
      </c>
      <c r="K175" s="455" t="s">
        <v>4913</v>
      </c>
      <c r="L175" s="455" t="s">
        <v>4913</v>
      </c>
      <c r="M175" s="455" t="s">
        <v>4913</v>
      </c>
      <c r="N175" s="455" t="s">
        <v>4913</v>
      </c>
      <c r="O175" s="455" t="s">
        <v>4913</v>
      </c>
      <c r="P175" s="455" t="s">
        <v>4913</v>
      </c>
      <c r="Q175" s="455" t="s">
        <v>4913</v>
      </c>
      <c r="R175" s="455" t="s">
        <v>4913</v>
      </c>
      <c r="S175" s="455" t="s">
        <v>4913</v>
      </c>
      <c r="T175" s="455" t="s">
        <v>4913</v>
      </c>
      <c r="U175" s="455" t="s">
        <v>4913</v>
      </c>
      <c r="V175" s="455" t="s">
        <v>4913</v>
      </c>
      <c r="W175" s="455" t="s">
        <v>4913</v>
      </c>
      <c r="X175" s="455" t="s">
        <v>4913</v>
      </c>
      <c r="Y175" s="455" t="s">
        <v>4913</v>
      </c>
      <c r="Z175" s="455" t="s">
        <v>4913</v>
      </c>
      <c r="AA175" s="455" t="s">
        <v>4913</v>
      </c>
      <c r="AB175" s="455" t="s">
        <v>4913</v>
      </c>
      <c r="AC175" s="456" t="s">
        <v>1737</v>
      </c>
      <c r="AD175" s="459" t="s">
        <v>12544</v>
      </c>
      <c r="AE175" s="454" t="s">
        <v>12545</v>
      </c>
      <c r="AF175" s="460" t="s">
        <v>13183</v>
      </c>
      <c r="AG175" s="460" t="s">
        <v>13071</v>
      </c>
      <c r="AH175" s="460" t="s">
        <v>13180</v>
      </c>
    </row>
    <row r="176" spans="1:34">
      <c r="A176" s="453" t="s">
        <v>13175</v>
      </c>
      <c r="B176" s="454" t="s">
        <v>13190</v>
      </c>
      <c r="C176" s="454" t="s">
        <v>13177</v>
      </c>
      <c r="D176" s="454" t="s">
        <v>13191</v>
      </c>
      <c r="E176" s="454" t="s">
        <v>1743</v>
      </c>
      <c r="F176" s="455" t="s">
        <v>4913</v>
      </c>
      <c r="G176" s="456" t="s">
        <v>1736</v>
      </c>
      <c r="H176" s="455" t="s">
        <v>4913</v>
      </c>
      <c r="I176" s="455" t="s">
        <v>4913</v>
      </c>
      <c r="J176" s="455" t="s">
        <v>4913</v>
      </c>
      <c r="K176" s="455" t="s">
        <v>4913</v>
      </c>
      <c r="L176" s="455" t="s">
        <v>4913</v>
      </c>
      <c r="M176" s="455" t="s">
        <v>4913</v>
      </c>
      <c r="N176" s="455" t="s">
        <v>4913</v>
      </c>
      <c r="O176" s="455" t="s">
        <v>4913</v>
      </c>
      <c r="P176" s="455" t="s">
        <v>4913</v>
      </c>
      <c r="Q176" s="455" t="s">
        <v>4913</v>
      </c>
      <c r="R176" s="455" t="s">
        <v>4913</v>
      </c>
      <c r="S176" s="455" t="s">
        <v>4913</v>
      </c>
      <c r="T176" s="455" t="s">
        <v>4913</v>
      </c>
      <c r="U176" s="455" t="s">
        <v>4913</v>
      </c>
      <c r="V176" s="455" t="s">
        <v>4913</v>
      </c>
      <c r="W176" s="455" t="s">
        <v>4913</v>
      </c>
      <c r="X176" s="455" t="s">
        <v>4913</v>
      </c>
      <c r="Y176" s="455" t="s">
        <v>4913</v>
      </c>
      <c r="Z176" s="455" t="s">
        <v>4913</v>
      </c>
      <c r="AA176" s="455" t="s">
        <v>4913</v>
      </c>
      <c r="AB176" s="455" t="s">
        <v>4913</v>
      </c>
      <c r="AC176" s="456" t="s">
        <v>1737</v>
      </c>
      <c r="AD176" s="459" t="s">
        <v>12544</v>
      </c>
      <c r="AE176" s="454" t="s">
        <v>12545</v>
      </c>
      <c r="AF176" s="460" t="s">
        <v>13183</v>
      </c>
      <c r="AG176" s="460" t="s">
        <v>13071</v>
      </c>
      <c r="AH176" s="460" t="s">
        <v>13180</v>
      </c>
    </row>
    <row r="177" spans="1:34">
      <c r="A177" s="453" t="s">
        <v>13192</v>
      </c>
      <c r="B177" s="454" t="s">
        <v>13193</v>
      </c>
      <c r="C177" s="454" t="s">
        <v>13194</v>
      </c>
      <c r="D177" s="454" t="s">
        <v>13195</v>
      </c>
      <c r="E177" s="454" t="s">
        <v>1732</v>
      </c>
      <c r="F177" s="456" t="s">
        <v>1736</v>
      </c>
      <c r="G177" s="456" t="s">
        <v>1736</v>
      </c>
      <c r="H177" s="455" t="s">
        <v>4913</v>
      </c>
      <c r="I177" s="455" t="s">
        <v>4913</v>
      </c>
      <c r="J177" s="455" t="s">
        <v>4913</v>
      </c>
      <c r="K177" s="455" t="s">
        <v>4913</v>
      </c>
      <c r="L177" s="455" t="s">
        <v>4913</v>
      </c>
      <c r="M177" s="455" t="s">
        <v>4913</v>
      </c>
      <c r="N177" s="455" t="s">
        <v>4913</v>
      </c>
      <c r="O177" s="455" t="s">
        <v>4913</v>
      </c>
      <c r="P177" s="455" t="s">
        <v>4913</v>
      </c>
      <c r="Q177" s="455" t="s">
        <v>4913</v>
      </c>
      <c r="R177" s="455" t="s">
        <v>4913</v>
      </c>
      <c r="S177" s="455" t="s">
        <v>4913</v>
      </c>
      <c r="T177" s="455" t="s">
        <v>4913</v>
      </c>
      <c r="U177" s="455" t="s">
        <v>4913</v>
      </c>
      <c r="V177" s="455" t="s">
        <v>4913</v>
      </c>
      <c r="W177" s="455" t="s">
        <v>4913</v>
      </c>
      <c r="X177" s="455" t="s">
        <v>4913</v>
      </c>
      <c r="Y177" s="455" t="s">
        <v>4913</v>
      </c>
      <c r="Z177" s="455" t="s">
        <v>4913</v>
      </c>
      <c r="AA177" s="455" t="s">
        <v>4913</v>
      </c>
      <c r="AB177" s="455" t="s">
        <v>4913</v>
      </c>
      <c r="AC177" s="456" t="s">
        <v>1737</v>
      </c>
      <c r="AD177" s="459" t="s">
        <v>12544</v>
      </c>
      <c r="AE177" s="454" t="s">
        <v>12545</v>
      </c>
      <c r="AF177" s="461" t="s">
        <v>13196</v>
      </c>
      <c r="AG177" s="462">
        <v>44658</v>
      </c>
      <c r="AH177" s="460" t="s">
        <v>13197</v>
      </c>
    </row>
    <row r="178" spans="1:34">
      <c r="A178" s="453" t="s">
        <v>13192</v>
      </c>
      <c r="B178" s="454" t="s">
        <v>13198</v>
      </c>
      <c r="C178" s="454" t="s">
        <v>13194</v>
      </c>
      <c r="D178" s="454" t="s">
        <v>13199</v>
      </c>
      <c r="E178" s="454" t="s">
        <v>1743</v>
      </c>
      <c r="F178" s="459" t="s">
        <v>1736</v>
      </c>
      <c r="G178" s="459" t="s">
        <v>1736</v>
      </c>
      <c r="H178" s="455" t="s">
        <v>4913</v>
      </c>
      <c r="I178" s="455" t="s">
        <v>4913</v>
      </c>
      <c r="J178" s="455" t="s">
        <v>4913</v>
      </c>
      <c r="K178" s="455" t="s">
        <v>4913</v>
      </c>
      <c r="L178" s="455" t="s">
        <v>4913</v>
      </c>
      <c r="M178" s="455" t="s">
        <v>4913</v>
      </c>
      <c r="N178" s="455" t="s">
        <v>4913</v>
      </c>
      <c r="O178" s="455" t="s">
        <v>4913</v>
      </c>
      <c r="P178" s="455" t="s">
        <v>4913</v>
      </c>
      <c r="Q178" s="455" t="s">
        <v>4913</v>
      </c>
      <c r="R178" s="455" t="s">
        <v>4913</v>
      </c>
      <c r="S178" s="455" t="s">
        <v>4913</v>
      </c>
      <c r="T178" s="455" t="s">
        <v>4913</v>
      </c>
      <c r="U178" s="455" t="s">
        <v>4913</v>
      </c>
      <c r="V178" s="455" t="s">
        <v>4913</v>
      </c>
      <c r="W178" s="455" t="s">
        <v>4913</v>
      </c>
      <c r="X178" s="455" t="s">
        <v>4913</v>
      </c>
      <c r="Y178" s="455" t="s">
        <v>4913</v>
      </c>
      <c r="Z178" s="455" t="s">
        <v>4913</v>
      </c>
      <c r="AA178" s="455" t="s">
        <v>4913</v>
      </c>
      <c r="AB178" s="455" t="s">
        <v>4913</v>
      </c>
      <c r="AC178" s="456" t="s">
        <v>1737</v>
      </c>
      <c r="AD178" s="459" t="s">
        <v>12544</v>
      </c>
      <c r="AE178" s="454" t="s">
        <v>12545</v>
      </c>
      <c r="AF178" s="461" t="s">
        <v>13200</v>
      </c>
      <c r="AG178" s="462">
        <v>44659</v>
      </c>
      <c r="AH178" s="460" t="s">
        <v>13201</v>
      </c>
    </row>
    <row r="179" spans="1:34">
      <c r="A179" s="453" t="s">
        <v>13202</v>
      </c>
      <c r="B179" s="454" t="s">
        <v>13203</v>
      </c>
      <c r="C179" s="454" t="s">
        <v>13204</v>
      </c>
      <c r="D179" s="454" t="s">
        <v>13205</v>
      </c>
      <c r="E179" s="454" t="s">
        <v>1732</v>
      </c>
      <c r="F179" s="456" t="s">
        <v>1736</v>
      </c>
      <c r="G179" s="456" t="s">
        <v>1736</v>
      </c>
      <c r="H179" s="455" t="s">
        <v>4913</v>
      </c>
      <c r="I179" s="455" t="s">
        <v>4913</v>
      </c>
      <c r="J179" s="455" t="s">
        <v>4913</v>
      </c>
      <c r="K179" s="455" t="s">
        <v>4913</v>
      </c>
      <c r="L179" s="455" t="s">
        <v>4913</v>
      </c>
      <c r="M179" s="455" t="s">
        <v>4913</v>
      </c>
      <c r="N179" s="455" t="s">
        <v>4913</v>
      </c>
      <c r="O179" s="455" t="s">
        <v>4913</v>
      </c>
      <c r="P179" s="455" t="s">
        <v>4913</v>
      </c>
      <c r="Q179" s="455" t="s">
        <v>4913</v>
      </c>
      <c r="R179" s="455" t="s">
        <v>4913</v>
      </c>
      <c r="S179" s="455" t="s">
        <v>4913</v>
      </c>
      <c r="T179" s="455" t="s">
        <v>4913</v>
      </c>
      <c r="U179" s="455" t="s">
        <v>4913</v>
      </c>
      <c r="V179" s="455" t="s">
        <v>4913</v>
      </c>
      <c r="W179" s="456" t="s">
        <v>1736</v>
      </c>
      <c r="X179" s="456" t="s">
        <v>1736</v>
      </c>
      <c r="Y179" s="455" t="s">
        <v>4913</v>
      </c>
      <c r="Z179" s="455" t="s">
        <v>4913</v>
      </c>
      <c r="AA179" s="455" t="s">
        <v>4913</v>
      </c>
      <c r="AB179" s="455" t="s">
        <v>4913</v>
      </c>
      <c r="AC179" s="456" t="s">
        <v>1737</v>
      </c>
      <c r="AD179" s="459" t="s">
        <v>12544</v>
      </c>
      <c r="AE179" s="454" t="s">
        <v>13118</v>
      </c>
      <c r="AF179" s="460" t="s">
        <v>13206</v>
      </c>
      <c r="AG179" s="462">
        <v>44658</v>
      </c>
      <c r="AH179" s="460" t="s">
        <v>13207</v>
      </c>
    </row>
    <row r="180" spans="1:34">
      <c r="A180" s="453" t="s">
        <v>13202</v>
      </c>
      <c r="B180" s="454" t="s">
        <v>13208</v>
      </c>
      <c r="C180" s="454" t="s">
        <v>13204</v>
      </c>
      <c r="D180" s="454" t="s">
        <v>13209</v>
      </c>
      <c r="E180" s="454" t="s">
        <v>1743</v>
      </c>
      <c r="F180" s="456" t="s">
        <v>1736</v>
      </c>
      <c r="G180" s="456" t="s">
        <v>1736</v>
      </c>
      <c r="H180" s="455" t="s">
        <v>4913</v>
      </c>
      <c r="I180" s="455" t="s">
        <v>4913</v>
      </c>
      <c r="J180" s="455" t="s">
        <v>4913</v>
      </c>
      <c r="K180" s="455" t="s">
        <v>4913</v>
      </c>
      <c r="L180" s="455" t="s">
        <v>4913</v>
      </c>
      <c r="M180" s="455" t="s">
        <v>4913</v>
      </c>
      <c r="N180" s="455" t="s">
        <v>4913</v>
      </c>
      <c r="O180" s="455" t="s">
        <v>4913</v>
      </c>
      <c r="P180" s="455" t="s">
        <v>4913</v>
      </c>
      <c r="Q180" s="455" t="s">
        <v>4913</v>
      </c>
      <c r="R180" s="455" t="s">
        <v>4913</v>
      </c>
      <c r="S180" s="455" t="s">
        <v>4913</v>
      </c>
      <c r="T180" s="455" t="s">
        <v>4913</v>
      </c>
      <c r="U180" s="455" t="s">
        <v>4913</v>
      </c>
      <c r="V180" s="455" t="s">
        <v>4913</v>
      </c>
      <c r="W180" s="455" t="s">
        <v>4913</v>
      </c>
      <c r="X180" s="455" t="s">
        <v>4913</v>
      </c>
      <c r="Y180" s="455" t="s">
        <v>4913</v>
      </c>
      <c r="Z180" s="455" t="s">
        <v>4913</v>
      </c>
      <c r="AA180" s="455" t="s">
        <v>4913</v>
      </c>
      <c r="AB180" s="455" t="s">
        <v>4913</v>
      </c>
      <c r="AC180" s="456" t="s">
        <v>1737</v>
      </c>
      <c r="AD180" s="459" t="s">
        <v>12544</v>
      </c>
      <c r="AE180" s="454" t="s">
        <v>12545</v>
      </c>
      <c r="AF180" s="460" t="s">
        <v>13210</v>
      </c>
      <c r="AG180" s="462">
        <v>44658</v>
      </c>
      <c r="AH180" s="460" t="s">
        <v>13207</v>
      </c>
    </row>
    <row r="181" spans="1:34">
      <c r="A181" s="453" t="s">
        <v>13211</v>
      </c>
      <c r="B181" s="454" t="s">
        <v>13212</v>
      </c>
      <c r="C181" s="454" t="s">
        <v>13213</v>
      </c>
      <c r="D181" s="454" t="s">
        <v>13214</v>
      </c>
      <c r="E181" s="454" t="s">
        <v>1732</v>
      </c>
      <c r="F181" s="455" t="s">
        <v>4913</v>
      </c>
      <c r="G181" s="456" t="s">
        <v>1736</v>
      </c>
      <c r="H181" s="455" t="s">
        <v>4913</v>
      </c>
      <c r="I181" s="455" t="s">
        <v>4913</v>
      </c>
      <c r="J181" s="455" t="s">
        <v>4913</v>
      </c>
      <c r="K181" s="455" t="s">
        <v>4913</v>
      </c>
      <c r="L181" s="455" t="s">
        <v>4913</v>
      </c>
      <c r="M181" s="455" t="s">
        <v>4913</v>
      </c>
      <c r="N181" s="455" t="s">
        <v>4913</v>
      </c>
      <c r="O181" s="455" t="s">
        <v>4913</v>
      </c>
      <c r="P181" s="455" t="s">
        <v>4913</v>
      </c>
      <c r="Q181" s="455" t="s">
        <v>4913</v>
      </c>
      <c r="R181" s="455" t="s">
        <v>4913</v>
      </c>
      <c r="S181" s="455" t="s">
        <v>4913</v>
      </c>
      <c r="T181" s="455" t="s">
        <v>4913</v>
      </c>
      <c r="U181" s="455" t="s">
        <v>4913</v>
      </c>
      <c r="V181" s="455" t="s">
        <v>4913</v>
      </c>
      <c r="W181" s="455" t="s">
        <v>4913</v>
      </c>
      <c r="X181" s="455" t="s">
        <v>4913</v>
      </c>
      <c r="Y181" s="455" t="s">
        <v>4913</v>
      </c>
      <c r="Z181" s="455" t="s">
        <v>4913</v>
      </c>
      <c r="AA181" s="455" t="s">
        <v>4913</v>
      </c>
      <c r="AB181" s="455" t="s">
        <v>4913</v>
      </c>
      <c r="AC181" s="456" t="s">
        <v>1737</v>
      </c>
      <c r="AD181" s="459" t="s">
        <v>12544</v>
      </c>
      <c r="AE181" s="454" t="s">
        <v>12545</v>
      </c>
      <c r="AF181" s="460" t="s">
        <v>13215</v>
      </c>
      <c r="AG181" s="460" t="s">
        <v>13216</v>
      </c>
      <c r="AH181" s="460" t="s">
        <v>13217</v>
      </c>
    </row>
    <row r="182" spans="1:34">
      <c r="A182" s="453" t="s">
        <v>13218</v>
      </c>
      <c r="B182" s="454" t="s">
        <v>13219</v>
      </c>
      <c r="C182" s="454" t="s">
        <v>13220</v>
      </c>
      <c r="D182" s="454" t="s">
        <v>13221</v>
      </c>
      <c r="E182" s="454" t="s">
        <v>1732</v>
      </c>
      <c r="F182" s="455" t="s">
        <v>4913</v>
      </c>
      <c r="G182" s="456" t="s">
        <v>1736</v>
      </c>
      <c r="H182" s="455" t="s">
        <v>4913</v>
      </c>
      <c r="I182" s="455" t="s">
        <v>4913</v>
      </c>
      <c r="J182" s="455" t="s">
        <v>4913</v>
      </c>
      <c r="K182" s="455" t="s">
        <v>4913</v>
      </c>
      <c r="L182" s="455" t="s">
        <v>4913</v>
      </c>
      <c r="M182" s="455" t="s">
        <v>4913</v>
      </c>
      <c r="N182" s="455" t="s">
        <v>4913</v>
      </c>
      <c r="O182" s="455" t="s">
        <v>4913</v>
      </c>
      <c r="P182" s="455" t="s">
        <v>4913</v>
      </c>
      <c r="Q182" s="455" t="s">
        <v>4913</v>
      </c>
      <c r="R182" s="455" t="s">
        <v>4913</v>
      </c>
      <c r="S182" s="455" t="s">
        <v>4913</v>
      </c>
      <c r="T182" s="455" t="s">
        <v>4913</v>
      </c>
      <c r="U182" s="455" t="s">
        <v>4913</v>
      </c>
      <c r="V182" s="455" t="s">
        <v>4913</v>
      </c>
      <c r="W182" s="459" t="s">
        <v>1736</v>
      </c>
      <c r="X182" s="459" t="s">
        <v>1736</v>
      </c>
      <c r="Y182" s="455" t="s">
        <v>4913</v>
      </c>
      <c r="Z182" s="455" t="s">
        <v>4913</v>
      </c>
      <c r="AA182" s="455" t="s">
        <v>4913</v>
      </c>
      <c r="AB182" s="455" t="s">
        <v>4913</v>
      </c>
      <c r="AC182" s="456" t="s">
        <v>1737</v>
      </c>
      <c r="AD182" s="459" t="s">
        <v>12544</v>
      </c>
      <c r="AE182" s="454" t="s">
        <v>13118</v>
      </c>
      <c r="AF182" s="460" t="s">
        <v>13222</v>
      </c>
      <c r="AG182" s="460" t="s">
        <v>13071</v>
      </c>
      <c r="AH182" s="460" t="s">
        <v>13223</v>
      </c>
    </row>
    <row r="183" spans="1:34">
      <c r="A183" s="453" t="s">
        <v>13218</v>
      </c>
      <c r="B183" s="454" t="s">
        <v>13224</v>
      </c>
      <c r="C183" s="454" t="s">
        <v>13220</v>
      </c>
      <c r="D183" s="454" t="s">
        <v>13225</v>
      </c>
      <c r="E183" s="454" t="s">
        <v>1743</v>
      </c>
      <c r="F183" s="455" t="s">
        <v>4913</v>
      </c>
      <c r="G183" s="456" t="s">
        <v>1736</v>
      </c>
      <c r="H183" s="455" t="s">
        <v>4913</v>
      </c>
      <c r="I183" s="455" t="s">
        <v>4913</v>
      </c>
      <c r="J183" s="455" t="s">
        <v>4913</v>
      </c>
      <c r="K183" s="455" t="s">
        <v>4913</v>
      </c>
      <c r="L183" s="455" t="s">
        <v>4913</v>
      </c>
      <c r="M183" s="455" t="s">
        <v>4913</v>
      </c>
      <c r="N183" s="455" t="s">
        <v>4913</v>
      </c>
      <c r="O183" s="455" t="s">
        <v>4913</v>
      </c>
      <c r="P183" s="455" t="s">
        <v>4913</v>
      </c>
      <c r="Q183" s="455" t="s">
        <v>4913</v>
      </c>
      <c r="R183" s="455" t="s">
        <v>4913</v>
      </c>
      <c r="S183" s="455" t="s">
        <v>4913</v>
      </c>
      <c r="T183" s="455" t="s">
        <v>4913</v>
      </c>
      <c r="U183" s="455" t="s">
        <v>4913</v>
      </c>
      <c r="V183" s="455" t="s">
        <v>4913</v>
      </c>
      <c r="W183" s="455" t="s">
        <v>4913</v>
      </c>
      <c r="X183" s="455" t="s">
        <v>4913</v>
      </c>
      <c r="Y183" s="455" t="s">
        <v>4913</v>
      </c>
      <c r="Z183" s="455" t="s">
        <v>4913</v>
      </c>
      <c r="AA183" s="455" t="s">
        <v>4913</v>
      </c>
      <c r="AB183" s="455" t="s">
        <v>4913</v>
      </c>
      <c r="AC183" s="456" t="s">
        <v>1737</v>
      </c>
      <c r="AD183" s="459" t="s">
        <v>12544</v>
      </c>
      <c r="AE183" s="454" t="s">
        <v>12545</v>
      </c>
      <c r="AF183" s="460" t="s">
        <v>13226</v>
      </c>
      <c r="AG183" s="460" t="s">
        <v>13071</v>
      </c>
      <c r="AH183" s="460" t="s">
        <v>13223</v>
      </c>
    </row>
    <row r="184" spans="1:34">
      <c r="A184" s="453" t="s">
        <v>13218</v>
      </c>
      <c r="B184" s="454" t="s">
        <v>13227</v>
      </c>
      <c r="C184" s="454" t="s">
        <v>13220</v>
      </c>
      <c r="D184" s="454" t="s">
        <v>13228</v>
      </c>
      <c r="E184" s="454" t="s">
        <v>1743</v>
      </c>
      <c r="F184" s="455" t="s">
        <v>4913</v>
      </c>
      <c r="G184" s="456" t="s">
        <v>1736</v>
      </c>
      <c r="H184" s="455" t="s">
        <v>4913</v>
      </c>
      <c r="I184" s="455" t="s">
        <v>4913</v>
      </c>
      <c r="J184" s="455" t="s">
        <v>4913</v>
      </c>
      <c r="K184" s="455" t="s">
        <v>4913</v>
      </c>
      <c r="L184" s="455" t="s">
        <v>4913</v>
      </c>
      <c r="M184" s="455" t="s">
        <v>4913</v>
      </c>
      <c r="N184" s="455" t="s">
        <v>4913</v>
      </c>
      <c r="O184" s="455" t="s">
        <v>4913</v>
      </c>
      <c r="P184" s="455" t="s">
        <v>4913</v>
      </c>
      <c r="Q184" s="455" t="s">
        <v>4913</v>
      </c>
      <c r="R184" s="455" t="s">
        <v>4913</v>
      </c>
      <c r="S184" s="455" t="s">
        <v>4913</v>
      </c>
      <c r="T184" s="455" t="s">
        <v>4913</v>
      </c>
      <c r="U184" s="455" t="s">
        <v>4913</v>
      </c>
      <c r="V184" s="455" t="s">
        <v>4913</v>
      </c>
      <c r="W184" s="455" t="s">
        <v>4913</v>
      </c>
      <c r="X184" s="455" t="s">
        <v>4913</v>
      </c>
      <c r="Y184" s="455" t="s">
        <v>4913</v>
      </c>
      <c r="Z184" s="455" t="s">
        <v>4913</v>
      </c>
      <c r="AA184" s="455" t="s">
        <v>4913</v>
      </c>
      <c r="AB184" s="455" t="s">
        <v>4913</v>
      </c>
      <c r="AC184" s="456" t="s">
        <v>1737</v>
      </c>
      <c r="AD184" s="459" t="s">
        <v>12544</v>
      </c>
      <c r="AE184" s="454" t="s">
        <v>13229</v>
      </c>
      <c r="AF184" s="460" t="s">
        <v>13226</v>
      </c>
      <c r="AG184" s="460" t="s">
        <v>11920</v>
      </c>
      <c r="AH184" s="460" t="s">
        <v>13230</v>
      </c>
    </row>
    <row r="185" spans="1:34">
      <c r="A185" s="453" t="s">
        <v>13218</v>
      </c>
      <c r="B185" s="454" t="s">
        <v>13231</v>
      </c>
      <c r="C185" s="454" t="s">
        <v>13220</v>
      </c>
      <c r="D185" s="454" t="s">
        <v>13232</v>
      </c>
      <c r="E185" s="454" t="s">
        <v>1743</v>
      </c>
      <c r="F185" s="455" t="s">
        <v>4913</v>
      </c>
      <c r="G185" s="456" t="s">
        <v>1736</v>
      </c>
      <c r="H185" s="455" t="s">
        <v>4913</v>
      </c>
      <c r="I185" s="455" t="s">
        <v>4913</v>
      </c>
      <c r="J185" s="455" t="s">
        <v>4913</v>
      </c>
      <c r="K185" s="455" t="s">
        <v>4913</v>
      </c>
      <c r="L185" s="455" t="s">
        <v>4913</v>
      </c>
      <c r="M185" s="455" t="s">
        <v>4913</v>
      </c>
      <c r="N185" s="455" t="s">
        <v>4913</v>
      </c>
      <c r="O185" s="455" t="s">
        <v>4913</v>
      </c>
      <c r="P185" s="455" t="s">
        <v>4913</v>
      </c>
      <c r="Q185" s="455" t="s">
        <v>4913</v>
      </c>
      <c r="R185" s="455" t="s">
        <v>4913</v>
      </c>
      <c r="S185" s="455" t="s">
        <v>4913</v>
      </c>
      <c r="T185" s="455" t="s">
        <v>4913</v>
      </c>
      <c r="U185" s="455" t="s">
        <v>4913</v>
      </c>
      <c r="V185" s="455" t="s">
        <v>4913</v>
      </c>
      <c r="W185" s="455" t="s">
        <v>4913</v>
      </c>
      <c r="X185" s="455" t="s">
        <v>4913</v>
      </c>
      <c r="Y185" s="455" t="s">
        <v>4913</v>
      </c>
      <c r="Z185" s="455" t="s">
        <v>4913</v>
      </c>
      <c r="AA185" s="455" t="s">
        <v>4913</v>
      </c>
      <c r="AB185" s="455" t="s">
        <v>4913</v>
      </c>
      <c r="AC185" s="456" t="s">
        <v>1737</v>
      </c>
      <c r="AD185" s="459" t="s">
        <v>12544</v>
      </c>
      <c r="AE185" s="454" t="s">
        <v>13229</v>
      </c>
      <c r="AF185" s="460" t="s">
        <v>13226</v>
      </c>
      <c r="AG185" s="460" t="s">
        <v>11920</v>
      </c>
      <c r="AH185" s="460" t="s">
        <v>13233</v>
      </c>
    </row>
    <row r="186" spans="1:34">
      <c r="A186" s="453" t="s">
        <v>13234</v>
      </c>
      <c r="B186" s="454" t="s">
        <v>13235</v>
      </c>
      <c r="C186" s="454" t="s">
        <v>13236</v>
      </c>
      <c r="D186" s="454" t="s">
        <v>13237</v>
      </c>
      <c r="E186" s="454" t="s">
        <v>1732</v>
      </c>
      <c r="F186" s="456" t="s">
        <v>1736</v>
      </c>
      <c r="G186" s="456" t="s">
        <v>1736</v>
      </c>
      <c r="H186" s="455" t="s">
        <v>4913</v>
      </c>
      <c r="I186" s="455" t="s">
        <v>4913</v>
      </c>
      <c r="J186" s="455" t="s">
        <v>4913</v>
      </c>
      <c r="K186" s="455" t="s">
        <v>4913</v>
      </c>
      <c r="L186" s="455" t="s">
        <v>4913</v>
      </c>
      <c r="M186" s="455" t="s">
        <v>4913</v>
      </c>
      <c r="N186" s="455" t="s">
        <v>4913</v>
      </c>
      <c r="O186" s="455" t="s">
        <v>4913</v>
      </c>
      <c r="P186" s="455" t="s">
        <v>4913</v>
      </c>
      <c r="Q186" s="455" t="s">
        <v>4913</v>
      </c>
      <c r="R186" s="455" t="s">
        <v>4913</v>
      </c>
      <c r="S186" s="455" t="s">
        <v>4913</v>
      </c>
      <c r="T186" s="455" t="s">
        <v>4913</v>
      </c>
      <c r="U186" s="455" t="s">
        <v>4913</v>
      </c>
      <c r="V186" s="455" t="s">
        <v>4913</v>
      </c>
      <c r="W186" s="455" t="s">
        <v>4913</v>
      </c>
      <c r="X186" s="455" t="s">
        <v>4913</v>
      </c>
      <c r="Y186" s="455" t="s">
        <v>4913</v>
      </c>
      <c r="Z186" s="455" t="s">
        <v>4913</v>
      </c>
      <c r="AA186" s="455" t="s">
        <v>4913</v>
      </c>
      <c r="AB186" s="455" t="s">
        <v>4913</v>
      </c>
      <c r="AC186" s="456" t="s">
        <v>1737</v>
      </c>
      <c r="AD186" s="459" t="s">
        <v>12544</v>
      </c>
      <c r="AE186" s="454" t="s">
        <v>12545</v>
      </c>
      <c r="AF186" s="460" t="s">
        <v>13238</v>
      </c>
      <c r="AG186" s="460" t="s">
        <v>13216</v>
      </c>
      <c r="AH186" s="460" t="s">
        <v>13239</v>
      </c>
    </row>
    <row r="187" spans="1:34">
      <c r="A187" s="453" t="s">
        <v>13234</v>
      </c>
      <c r="B187" s="454" t="s">
        <v>13240</v>
      </c>
      <c r="C187" s="454" t="s">
        <v>13236</v>
      </c>
      <c r="D187" s="454" t="s">
        <v>13241</v>
      </c>
      <c r="E187" s="454" t="s">
        <v>1743</v>
      </c>
      <c r="F187" s="456" t="s">
        <v>1736</v>
      </c>
      <c r="G187" s="456" t="s">
        <v>1736</v>
      </c>
      <c r="H187" s="455" t="s">
        <v>4913</v>
      </c>
      <c r="I187" s="455" t="s">
        <v>4913</v>
      </c>
      <c r="J187" s="455" t="s">
        <v>4913</v>
      </c>
      <c r="K187" s="455" t="s">
        <v>4913</v>
      </c>
      <c r="L187" s="455" t="s">
        <v>4913</v>
      </c>
      <c r="M187" s="455" t="s">
        <v>4913</v>
      </c>
      <c r="N187" s="455" t="s">
        <v>4913</v>
      </c>
      <c r="O187" s="455" t="s">
        <v>4913</v>
      </c>
      <c r="P187" s="455" t="s">
        <v>4913</v>
      </c>
      <c r="Q187" s="455" t="s">
        <v>4913</v>
      </c>
      <c r="R187" s="455" t="s">
        <v>4913</v>
      </c>
      <c r="S187" s="455" t="s">
        <v>4913</v>
      </c>
      <c r="T187" s="455" t="s">
        <v>4913</v>
      </c>
      <c r="U187" s="455" t="s">
        <v>4913</v>
      </c>
      <c r="V187" s="455" t="s">
        <v>4913</v>
      </c>
      <c r="W187" s="455" t="s">
        <v>4913</v>
      </c>
      <c r="X187" s="455" t="s">
        <v>4913</v>
      </c>
      <c r="Y187" s="455" t="s">
        <v>4913</v>
      </c>
      <c r="Z187" s="455" t="s">
        <v>4913</v>
      </c>
      <c r="AA187" s="455" t="s">
        <v>4913</v>
      </c>
      <c r="AB187" s="455" t="s">
        <v>4913</v>
      </c>
      <c r="AC187" s="456" t="s">
        <v>1737</v>
      </c>
      <c r="AD187" s="459" t="s">
        <v>12544</v>
      </c>
      <c r="AE187" s="454" t="s">
        <v>12545</v>
      </c>
      <c r="AF187" s="460" t="s">
        <v>13242</v>
      </c>
      <c r="AG187" s="460" t="s">
        <v>13243</v>
      </c>
      <c r="AH187" s="460" t="s">
        <v>13244</v>
      </c>
    </row>
    <row r="188" spans="1:34">
      <c r="A188" s="453" t="s">
        <v>13245</v>
      </c>
      <c r="B188" s="454" t="s">
        <v>13246</v>
      </c>
      <c r="C188" s="454" t="s">
        <v>13247</v>
      </c>
      <c r="D188" s="454" t="s">
        <v>13248</v>
      </c>
      <c r="E188" s="454" t="s">
        <v>1732</v>
      </c>
      <c r="F188" s="459" t="s">
        <v>1736</v>
      </c>
      <c r="G188" s="459" t="s">
        <v>1736</v>
      </c>
      <c r="H188" s="455" t="s">
        <v>4913</v>
      </c>
      <c r="I188" s="455" t="s">
        <v>4913</v>
      </c>
      <c r="J188" s="455" t="s">
        <v>4913</v>
      </c>
      <c r="K188" s="455" t="s">
        <v>4913</v>
      </c>
      <c r="L188" s="455" t="s">
        <v>4913</v>
      </c>
      <c r="M188" s="455" t="s">
        <v>4913</v>
      </c>
      <c r="N188" s="455" t="s">
        <v>4913</v>
      </c>
      <c r="O188" s="455" t="s">
        <v>4913</v>
      </c>
      <c r="P188" s="455" t="s">
        <v>4913</v>
      </c>
      <c r="Q188" s="455" t="s">
        <v>4913</v>
      </c>
      <c r="R188" s="455" t="s">
        <v>4913</v>
      </c>
      <c r="S188" s="455" t="s">
        <v>4913</v>
      </c>
      <c r="T188" s="455" t="s">
        <v>4913</v>
      </c>
      <c r="U188" s="455" t="s">
        <v>4913</v>
      </c>
      <c r="V188" s="455" t="s">
        <v>4913</v>
      </c>
      <c r="W188" s="459" t="s">
        <v>1736</v>
      </c>
      <c r="X188" s="459" t="s">
        <v>1736</v>
      </c>
      <c r="Y188" s="455" t="s">
        <v>4913</v>
      </c>
      <c r="Z188" s="455" t="s">
        <v>4913</v>
      </c>
      <c r="AA188" s="455" t="s">
        <v>4913</v>
      </c>
      <c r="AB188" s="455" t="s">
        <v>4913</v>
      </c>
      <c r="AC188" s="456" t="s">
        <v>1737</v>
      </c>
      <c r="AD188" s="459" t="s">
        <v>12544</v>
      </c>
      <c r="AE188" s="454" t="s">
        <v>13118</v>
      </c>
      <c r="AF188" s="460" t="s">
        <v>13249</v>
      </c>
      <c r="AG188" s="460" t="s">
        <v>13250</v>
      </c>
      <c r="AH188" s="460" t="s">
        <v>13251</v>
      </c>
    </row>
    <row r="189" spans="1:34">
      <c r="A189" s="453" t="s">
        <v>13245</v>
      </c>
      <c r="B189" s="454" t="s">
        <v>13252</v>
      </c>
      <c r="C189" s="454" t="s">
        <v>13247</v>
      </c>
      <c r="D189" s="454" t="s">
        <v>13253</v>
      </c>
      <c r="E189" s="454" t="s">
        <v>1743</v>
      </c>
      <c r="F189" s="459" t="s">
        <v>1736</v>
      </c>
      <c r="G189" s="459" t="s">
        <v>1736</v>
      </c>
      <c r="H189" s="455" t="s">
        <v>4913</v>
      </c>
      <c r="I189" s="455" t="s">
        <v>4913</v>
      </c>
      <c r="J189" s="455" t="s">
        <v>4913</v>
      </c>
      <c r="K189" s="455" t="s">
        <v>4913</v>
      </c>
      <c r="L189" s="455" t="s">
        <v>4913</v>
      </c>
      <c r="M189" s="455" t="s">
        <v>4913</v>
      </c>
      <c r="N189" s="455" t="s">
        <v>4913</v>
      </c>
      <c r="O189" s="455" t="s">
        <v>4913</v>
      </c>
      <c r="P189" s="455" t="s">
        <v>4913</v>
      </c>
      <c r="Q189" s="455" t="s">
        <v>4913</v>
      </c>
      <c r="R189" s="455" t="s">
        <v>4913</v>
      </c>
      <c r="S189" s="455" t="s">
        <v>4913</v>
      </c>
      <c r="T189" s="455" t="s">
        <v>4913</v>
      </c>
      <c r="U189" s="455" t="s">
        <v>4913</v>
      </c>
      <c r="V189" s="455" t="s">
        <v>4913</v>
      </c>
      <c r="W189" s="455" t="s">
        <v>4913</v>
      </c>
      <c r="X189" s="455" t="s">
        <v>4913</v>
      </c>
      <c r="Y189" s="455" t="s">
        <v>4913</v>
      </c>
      <c r="Z189" s="455" t="s">
        <v>4913</v>
      </c>
      <c r="AA189" s="455" t="s">
        <v>4913</v>
      </c>
      <c r="AB189" s="455" t="s">
        <v>4913</v>
      </c>
      <c r="AC189" s="456" t="s">
        <v>1737</v>
      </c>
      <c r="AD189" s="459" t="s">
        <v>12544</v>
      </c>
      <c r="AE189" s="454" t="s">
        <v>12545</v>
      </c>
      <c r="AF189" s="460" t="s">
        <v>13254</v>
      </c>
      <c r="AG189" s="460" t="s">
        <v>13250</v>
      </c>
      <c r="AH189" s="460" t="s">
        <v>13251</v>
      </c>
    </row>
    <row r="190" spans="1:34">
      <c r="A190" s="453" t="s">
        <v>13255</v>
      </c>
      <c r="B190" s="454" t="s">
        <v>13256</v>
      </c>
      <c r="C190" s="454" t="s">
        <v>13257</v>
      </c>
      <c r="D190" s="454" t="s">
        <v>13258</v>
      </c>
      <c r="E190" s="454" t="s">
        <v>1732</v>
      </c>
      <c r="F190" s="455" t="s">
        <v>4913</v>
      </c>
      <c r="G190" s="459" t="s">
        <v>1736</v>
      </c>
      <c r="H190" s="455" t="s">
        <v>4913</v>
      </c>
      <c r="I190" s="455" t="s">
        <v>4913</v>
      </c>
      <c r="J190" s="455" t="s">
        <v>4913</v>
      </c>
      <c r="K190" s="455" t="s">
        <v>4913</v>
      </c>
      <c r="L190" s="455" t="s">
        <v>4913</v>
      </c>
      <c r="M190" s="455" t="s">
        <v>4913</v>
      </c>
      <c r="N190" s="455" t="s">
        <v>4913</v>
      </c>
      <c r="O190" s="455" t="s">
        <v>4913</v>
      </c>
      <c r="P190" s="455" t="s">
        <v>4913</v>
      </c>
      <c r="Q190" s="455" t="s">
        <v>4913</v>
      </c>
      <c r="R190" s="455" t="s">
        <v>4913</v>
      </c>
      <c r="S190" s="455" t="s">
        <v>4913</v>
      </c>
      <c r="T190" s="455" t="s">
        <v>4913</v>
      </c>
      <c r="U190" s="455" t="s">
        <v>4913</v>
      </c>
      <c r="V190" s="455" t="s">
        <v>4913</v>
      </c>
      <c r="W190" s="459" t="s">
        <v>1736</v>
      </c>
      <c r="X190" s="459" t="s">
        <v>1736</v>
      </c>
      <c r="Y190" s="455" t="s">
        <v>4913</v>
      </c>
      <c r="Z190" s="455" t="s">
        <v>4913</v>
      </c>
      <c r="AA190" s="455" t="s">
        <v>4913</v>
      </c>
      <c r="AB190" s="455" t="s">
        <v>4913</v>
      </c>
      <c r="AC190" s="456" t="s">
        <v>1737</v>
      </c>
      <c r="AD190" s="459" t="s">
        <v>12544</v>
      </c>
      <c r="AE190" s="454" t="s">
        <v>13118</v>
      </c>
      <c r="AF190" s="454" t="s">
        <v>13259</v>
      </c>
      <c r="AG190" s="460" t="s">
        <v>13112</v>
      </c>
      <c r="AH190" s="460" t="s">
        <v>13260</v>
      </c>
    </row>
    <row r="191" spans="1:34">
      <c r="A191" s="453" t="s">
        <v>13261</v>
      </c>
      <c r="B191" s="454" t="s">
        <v>13262</v>
      </c>
      <c r="C191" s="454" t="s">
        <v>13263</v>
      </c>
      <c r="D191" s="454" t="s">
        <v>13264</v>
      </c>
      <c r="E191" s="454" t="s">
        <v>1732</v>
      </c>
      <c r="F191" s="455" t="s">
        <v>4913</v>
      </c>
      <c r="G191" s="459" t="s">
        <v>1736</v>
      </c>
      <c r="H191" s="455" t="s">
        <v>4913</v>
      </c>
      <c r="I191" s="455" t="s">
        <v>4913</v>
      </c>
      <c r="J191" s="455" t="s">
        <v>4913</v>
      </c>
      <c r="K191" s="455" t="s">
        <v>4913</v>
      </c>
      <c r="L191" s="455" t="s">
        <v>4913</v>
      </c>
      <c r="M191" s="455" t="s">
        <v>4913</v>
      </c>
      <c r="N191" s="455" t="s">
        <v>4913</v>
      </c>
      <c r="O191" s="455" t="s">
        <v>4913</v>
      </c>
      <c r="P191" s="455" t="s">
        <v>4913</v>
      </c>
      <c r="Q191" s="455" t="s">
        <v>4913</v>
      </c>
      <c r="R191" s="455" t="s">
        <v>4913</v>
      </c>
      <c r="S191" s="455" t="s">
        <v>4913</v>
      </c>
      <c r="T191" s="455" t="s">
        <v>4913</v>
      </c>
      <c r="U191" s="455" t="s">
        <v>4913</v>
      </c>
      <c r="V191" s="455" t="s">
        <v>4913</v>
      </c>
      <c r="W191" s="459" t="s">
        <v>1736</v>
      </c>
      <c r="X191" s="459" t="s">
        <v>1736</v>
      </c>
      <c r="Y191" s="455" t="s">
        <v>4913</v>
      </c>
      <c r="Z191" s="455" t="s">
        <v>4913</v>
      </c>
      <c r="AA191" s="455" t="s">
        <v>4913</v>
      </c>
      <c r="AB191" s="455" t="s">
        <v>4913</v>
      </c>
      <c r="AC191" s="456" t="s">
        <v>1737</v>
      </c>
      <c r="AD191" s="459" t="s">
        <v>12544</v>
      </c>
      <c r="AE191" s="454" t="s">
        <v>13118</v>
      </c>
      <c r="AF191" s="454" t="s">
        <v>13265</v>
      </c>
      <c r="AG191" s="460" t="s">
        <v>13112</v>
      </c>
      <c r="AH191" s="460" t="s">
        <v>13266</v>
      </c>
    </row>
    <row r="192" spans="1:34">
      <c r="A192" s="453" t="s">
        <v>13267</v>
      </c>
      <c r="B192" s="454" t="s">
        <v>13268</v>
      </c>
      <c r="C192" s="454" t="s">
        <v>13269</v>
      </c>
      <c r="D192" s="454" t="s">
        <v>13270</v>
      </c>
      <c r="E192" s="454" t="s">
        <v>1732</v>
      </c>
      <c r="F192" s="455" t="s">
        <v>4913</v>
      </c>
      <c r="G192" s="459" t="s">
        <v>1736</v>
      </c>
      <c r="H192" s="455" t="s">
        <v>4913</v>
      </c>
      <c r="I192" s="455" t="s">
        <v>4913</v>
      </c>
      <c r="J192" s="455" t="s">
        <v>4913</v>
      </c>
      <c r="K192" s="455" t="s">
        <v>4913</v>
      </c>
      <c r="L192" s="455" t="s">
        <v>4913</v>
      </c>
      <c r="M192" s="455" t="s">
        <v>4913</v>
      </c>
      <c r="N192" s="455" t="s">
        <v>4913</v>
      </c>
      <c r="O192" s="455" t="s">
        <v>4913</v>
      </c>
      <c r="P192" s="455" t="s">
        <v>4913</v>
      </c>
      <c r="Q192" s="455" t="s">
        <v>4913</v>
      </c>
      <c r="R192" s="455" t="s">
        <v>4913</v>
      </c>
      <c r="S192" s="455" t="s">
        <v>4913</v>
      </c>
      <c r="T192" s="455" t="s">
        <v>4913</v>
      </c>
      <c r="U192" s="455" t="s">
        <v>4913</v>
      </c>
      <c r="V192" s="455" t="s">
        <v>4913</v>
      </c>
      <c r="W192" s="459" t="s">
        <v>1736</v>
      </c>
      <c r="X192" s="459" t="s">
        <v>1736</v>
      </c>
      <c r="Y192" s="455" t="s">
        <v>4913</v>
      </c>
      <c r="Z192" s="455" t="s">
        <v>4913</v>
      </c>
      <c r="AA192" s="455" t="s">
        <v>4913</v>
      </c>
      <c r="AB192" s="455" t="s">
        <v>4913</v>
      </c>
      <c r="AC192" s="456" t="s">
        <v>1737</v>
      </c>
      <c r="AD192" s="459" t="s">
        <v>12544</v>
      </c>
      <c r="AE192" s="454" t="s">
        <v>13118</v>
      </c>
      <c r="AF192" s="457" t="s">
        <v>13271</v>
      </c>
      <c r="AG192" s="460" t="s">
        <v>13112</v>
      </c>
      <c r="AH192" s="460" t="s">
        <v>13272</v>
      </c>
    </row>
    <row r="193" spans="1:34">
      <c r="A193" s="453" t="s">
        <v>13267</v>
      </c>
      <c r="B193" s="454" t="s">
        <v>13273</v>
      </c>
      <c r="C193" s="454" t="s">
        <v>13269</v>
      </c>
      <c r="D193" s="454" t="s">
        <v>13274</v>
      </c>
      <c r="E193" s="454" t="s">
        <v>1743</v>
      </c>
      <c r="F193" s="455" t="s">
        <v>4913</v>
      </c>
      <c r="G193" s="459" t="s">
        <v>1736</v>
      </c>
      <c r="H193" s="455" t="s">
        <v>4913</v>
      </c>
      <c r="I193" s="455" t="s">
        <v>4913</v>
      </c>
      <c r="J193" s="455" t="s">
        <v>4913</v>
      </c>
      <c r="K193" s="455" t="s">
        <v>4913</v>
      </c>
      <c r="L193" s="455" t="s">
        <v>4913</v>
      </c>
      <c r="M193" s="455" t="s">
        <v>4913</v>
      </c>
      <c r="N193" s="455" t="s">
        <v>4913</v>
      </c>
      <c r="O193" s="455" t="s">
        <v>4913</v>
      </c>
      <c r="P193" s="455" t="s">
        <v>4913</v>
      </c>
      <c r="Q193" s="455" t="s">
        <v>4913</v>
      </c>
      <c r="R193" s="455" t="s">
        <v>4913</v>
      </c>
      <c r="S193" s="455" t="s">
        <v>4913</v>
      </c>
      <c r="T193" s="455" t="s">
        <v>4913</v>
      </c>
      <c r="U193" s="455" t="s">
        <v>4913</v>
      </c>
      <c r="V193" s="455" t="s">
        <v>4913</v>
      </c>
      <c r="W193" s="455" t="s">
        <v>4913</v>
      </c>
      <c r="X193" s="455" t="s">
        <v>4913</v>
      </c>
      <c r="Y193" s="455" t="s">
        <v>4913</v>
      </c>
      <c r="Z193" s="455" t="s">
        <v>4913</v>
      </c>
      <c r="AA193" s="455" t="s">
        <v>4913</v>
      </c>
      <c r="AB193" s="455" t="s">
        <v>4913</v>
      </c>
      <c r="AC193" s="456" t="s">
        <v>1737</v>
      </c>
      <c r="AD193" s="459" t="s">
        <v>12544</v>
      </c>
      <c r="AE193" s="457" t="s">
        <v>12545</v>
      </c>
      <c r="AF193" s="457" t="s">
        <v>13275</v>
      </c>
      <c r="AG193" s="460" t="s">
        <v>12673</v>
      </c>
      <c r="AH193" s="460" t="s">
        <v>13276</v>
      </c>
    </row>
    <row r="194" spans="1:34">
      <c r="A194" s="453" t="s">
        <v>13277</v>
      </c>
      <c r="B194" s="454" t="s">
        <v>13278</v>
      </c>
      <c r="C194" s="454" t="s">
        <v>13279</v>
      </c>
      <c r="D194" s="454" t="s">
        <v>13280</v>
      </c>
      <c r="E194" s="454" t="s">
        <v>1732</v>
      </c>
      <c r="F194" s="455" t="s">
        <v>4913</v>
      </c>
      <c r="G194" s="459" t="s">
        <v>1736</v>
      </c>
      <c r="H194" s="455" t="s">
        <v>4913</v>
      </c>
      <c r="I194" s="455" t="s">
        <v>4913</v>
      </c>
      <c r="J194" s="455" t="s">
        <v>4913</v>
      </c>
      <c r="K194" s="455" t="s">
        <v>4913</v>
      </c>
      <c r="L194" s="455" t="s">
        <v>4913</v>
      </c>
      <c r="M194" s="455" t="s">
        <v>4913</v>
      </c>
      <c r="N194" s="455" t="s">
        <v>4913</v>
      </c>
      <c r="O194" s="455" t="s">
        <v>4913</v>
      </c>
      <c r="P194" s="455" t="s">
        <v>4913</v>
      </c>
      <c r="Q194" s="455" t="s">
        <v>4913</v>
      </c>
      <c r="R194" s="455" t="s">
        <v>4913</v>
      </c>
      <c r="S194" s="455" t="s">
        <v>4913</v>
      </c>
      <c r="T194" s="455" t="s">
        <v>4913</v>
      </c>
      <c r="U194" s="455" t="s">
        <v>4913</v>
      </c>
      <c r="V194" s="455" t="s">
        <v>4913</v>
      </c>
      <c r="W194" s="455" t="s">
        <v>4913</v>
      </c>
      <c r="X194" s="459" t="s">
        <v>1736</v>
      </c>
      <c r="Y194" s="455" t="s">
        <v>4913</v>
      </c>
      <c r="Z194" s="455" t="s">
        <v>4913</v>
      </c>
      <c r="AA194" s="455" t="s">
        <v>4913</v>
      </c>
      <c r="AB194" s="455" t="s">
        <v>4913</v>
      </c>
      <c r="AC194" s="456" t="s">
        <v>1737</v>
      </c>
      <c r="AD194" s="459" t="s">
        <v>12544</v>
      </c>
      <c r="AE194" s="454" t="s">
        <v>13118</v>
      </c>
      <c r="AF194" s="457" t="s">
        <v>13281</v>
      </c>
      <c r="AG194" s="460" t="s">
        <v>13112</v>
      </c>
      <c r="AH194" s="460" t="s">
        <v>13282</v>
      </c>
    </row>
    <row r="195" spans="1:34">
      <c r="A195" s="453" t="s">
        <v>13283</v>
      </c>
      <c r="B195" s="454" t="s">
        <v>13284</v>
      </c>
      <c r="C195" s="454" t="s">
        <v>13285</v>
      </c>
      <c r="D195" s="454" t="s">
        <v>13286</v>
      </c>
      <c r="E195" s="454" t="s">
        <v>1732</v>
      </c>
      <c r="F195" s="455" t="s">
        <v>4913</v>
      </c>
      <c r="G195" s="459" t="s">
        <v>1736</v>
      </c>
      <c r="H195" s="455" t="s">
        <v>4913</v>
      </c>
      <c r="I195" s="455" t="s">
        <v>4913</v>
      </c>
      <c r="J195" s="455" t="s">
        <v>4913</v>
      </c>
      <c r="K195" s="455" t="s">
        <v>4913</v>
      </c>
      <c r="L195" s="455" t="s">
        <v>4913</v>
      </c>
      <c r="M195" s="455" t="s">
        <v>4913</v>
      </c>
      <c r="N195" s="455" t="s">
        <v>4913</v>
      </c>
      <c r="O195" s="455" t="s">
        <v>4913</v>
      </c>
      <c r="P195" s="455" t="s">
        <v>4913</v>
      </c>
      <c r="Q195" s="455" t="s">
        <v>4913</v>
      </c>
      <c r="R195" s="455" t="s">
        <v>4913</v>
      </c>
      <c r="S195" s="455" t="s">
        <v>4913</v>
      </c>
      <c r="T195" s="455" t="s">
        <v>4913</v>
      </c>
      <c r="U195" s="455" t="s">
        <v>4913</v>
      </c>
      <c r="V195" s="455" t="s">
        <v>4913</v>
      </c>
      <c r="W195" s="455" t="s">
        <v>4913</v>
      </c>
      <c r="X195" s="459" t="s">
        <v>1736</v>
      </c>
      <c r="Y195" s="455" t="s">
        <v>4913</v>
      </c>
      <c r="Z195" s="455" t="s">
        <v>4913</v>
      </c>
      <c r="AA195" s="455" t="s">
        <v>4913</v>
      </c>
      <c r="AB195" s="455" t="s">
        <v>4913</v>
      </c>
      <c r="AC195" s="456" t="s">
        <v>1737</v>
      </c>
      <c r="AD195" s="459" t="s">
        <v>12544</v>
      </c>
      <c r="AE195" s="454" t="s">
        <v>13118</v>
      </c>
      <c r="AF195" s="457" t="s">
        <v>13287</v>
      </c>
      <c r="AG195" s="460" t="s">
        <v>13288</v>
      </c>
      <c r="AH195" s="460" t="s">
        <v>13289</v>
      </c>
    </row>
    <row r="196" spans="1:34">
      <c r="A196" s="453" t="s">
        <v>13283</v>
      </c>
      <c r="B196" s="454" t="s">
        <v>13290</v>
      </c>
      <c r="C196" s="454" t="s">
        <v>13285</v>
      </c>
      <c r="D196" s="454" t="s">
        <v>13291</v>
      </c>
      <c r="E196" s="454" t="s">
        <v>1743</v>
      </c>
      <c r="F196" s="455" t="s">
        <v>4913</v>
      </c>
      <c r="G196" s="459" t="s">
        <v>1736</v>
      </c>
      <c r="H196" s="455" t="s">
        <v>4913</v>
      </c>
      <c r="I196" s="455" t="s">
        <v>4913</v>
      </c>
      <c r="J196" s="455" t="s">
        <v>4913</v>
      </c>
      <c r="K196" s="455" t="s">
        <v>4913</v>
      </c>
      <c r="L196" s="455" t="s">
        <v>4913</v>
      </c>
      <c r="M196" s="455" t="s">
        <v>4913</v>
      </c>
      <c r="N196" s="455" t="s">
        <v>4913</v>
      </c>
      <c r="O196" s="455" t="s">
        <v>4913</v>
      </c>
      <c r="P196" s="455" t="s">
        <v>4913</v>
      </c>
      <c r="Q196" s="455" t="s">
        <v>4913</v>
      </c>
      <c r="R196" s="455" t="s">
        <v>4913</v>
      </c>
      <c r="S196" s="455" t="s">
        <v>4913</v>
      </c>
      <c r="T196" s="455" t="s">
        <v>4913</v>
      </c>
      <c r="U196" s="455" t="s">
        <v>4913</v>
      </c>
      <c r="V196" s="455" t="s">
        <v>4913</v>
      </c>
      <c r="W196" s="455" t="s">
        <v>4913</v>
      </c>
      <c r="X196" s="455" t="s">
        <v>4913</v>
      </c>
      <c r="Y196" s="455" t="s">
        <v>4913</v>
      </c>
      <c r="Z196" s="455" t="s">
        <v>4913</v>
      </c>
      <c r="AA196" s="455" t="s">
        <v>4913</v>
      </c>
      <c r="AB196" s="455" t="s">
        <v>4913</v>
      </c>
      <c r="AC196" s="456" t="s">
        <v>1737</v>
      </c>
      <c r="AD196" s="459" t="s">
        <v>12544</v>
      </c>
      <c r="AE196" s="457" t="s">
        <v>12545</v>
      </c>
      <c r="AF196" s="457" t="s">
        <v>13292</v>
      </c>
      <c r="AG196" s="460" t="s">
        <v>13288</v>
      </c>
      <c r="AH196" s="460" t="s">
        <v>13289</v>
      </c>
    </row>
    <row r="197" spans="1:34">
      <c r="A197" s="453" t="s">
        <v>13293</v>
      </c>
      <c r="B197" s="454" t="s">
        <v>13294</v>
      </c>
      <c r="C197" s="454" t="s">
        <v>13295</v>
      </c>
      <c r="D197" s="454" t="s">
        <v>13296</v>
      </c>
      <c r="E197" s="454" t="s">
        <v>1732</v>
      </c>
      <c r="F197" s="459" t="s">
        <v>1736</v>
      </c>
      <c r="G197" s="459" t="s">
        <v>1736</v>
      </c>
      <c r="H197" s="455" t="s">
        <v>4913</v>
      </c>
      <c r="I197" s="455" t="s">
        <v>4913</v>
      </c>
      <c r="J197" s="455" t="s">
        <v>4913</v>
      </c>
      <c r="K197" s="455" t="s">
        <v>4913</v>
      </c>
      <c r="L197" s="455" t="s">
        <v>4913</v>
      </c>
      <c r="M197" s="455" t="s">
        <v>4913</v>
      </c>
      <c r="N197" s="455" t="s">
        <v>4913</v>
      </c>
      <c r="O197" s="455" t="s">
        <v>4913</v>
      </c>
      <c r="P197" s="455" t="s">
        <v>4913</v>
      </c>
      <c r="Q197" s="455" t="s">
        <v>4913</v>
      </c>
      <c r="R197" s="455" t="s">
        <v>4913</v>
      </c>
      <c r="S197" s="455" t="s">
        <v>4913</v>
      </c>
      <c r="T197" s="455" t="s">
        <v>4913</v>
      </c>
      <c r="U197" s="455" t="s">
        <v>4913</v>
      </c>
      <c r="V197" s="455" t="s">
        <v>4913</v>
      </c>
      <c r="W197" s="455" t="s">
        <v>4913</v>
      </c>
      <c r="X197" s="455" t="s">
        <v>4913</v>
      </c>
      <c r="Y197" s="455" t="s">
        <v>4913</v>
      </c>
      <c r="Z197" s="455" t="s">
        <v>4913</v>
      </c>
      <c r="AA197" s="455" t="s">
        <v>4913</v>
      </c>
      <c r="AB197" s="455" t="s">
        <v>4913</v>
      </c>
      <c r="AC197" s="456" t="s">
        <v>1737</v>
      </c>
      <c r="AD197" s="459" t="s">
        <v>12544</v>
      </c>
      <c r="AE197" s="454" t="s">
        <v>12545</v>
      </c>
      <c r="AF197" s="454" t="s">
        <v>13297</v>
      </c>
      <c r="AG197" s="460" t="s">
        <v>13112</v>
      </c>
      <c r="AH197" s="460" t="s">
        <v>13298</v>
      </c>
    </row>
    <row r="198" spans="1:34">
      <c r="A198" s="453" t="s">
        <v>13299</v>
      </c>
      <c r="B198" s="454" t="s">
        <v>13300</v>
      </c>
      <c r="C198" s="454" t="s">
        <v>13301</v>
      </c>
      <c r="D198" s="454" t="s">
        <v>13302</v>
      </c>
      <c r="E198" s="454" t="s">
        <v>1732</v>
      </c>
      <c r="F198" s="459" t="s">
        <v>1736</v>
      </c>
      <c r="G198" s="459" t="s">
        <v>1736</v>
      </c>
      <c r="H198" s="455" t="s">
        <v>4913</v>
      </c>
      <c r="I198" s="455" t="s">
        <v>4913</v>
      </c>
      <c r="J198" s="455" t="s">
        <v>4913</v>
      </c>
      <c r="K198" s="455" t="s">
        <v>4913</v>
      </c>
      <c r="L198" s="455" t="s">
        <v>4913</v>
      </c>
      <c r="M198" s="455" t="s">
        <v>4913</v>
      </c>
      <c r="N198" s="455" t="s">
        <v>4913</v>
      </c>
      <c r="O198" s="455" t="s">
        <v>4913</v>
      </c>
      <c r="P198" s="455" t="s">
        <v>4913</v>
      </c>
      <c r="Q198" s="455" t="s">
        <v>4913</v>
      </c>
      <c r="R198" s="455" t="s">
        <v>4913</v>
      </c>
      <c r="S198" s="455" t="s">
        <v>4913</v>
      </c>
      <c r="T198" s="455" t="s">
        <v>4913</v>
      </c>
      <c r="U198" s="455" t="s">
        <v>4913</v>
      </c>
      <c r="V198" s="455" t="s">
        <v>4913</v>
      </c>
      <c r="W198" s="459" t="s">
        <v>1736</v>
      </c>
      <c r="X198" s="459" t="s">
        <v>1736</v>
      </c>
      <c r="Y198" s="455" t="s">
        <v>4913</v>
      </c>
      <c r="Z198" s="455" t="s">
        <v>4913</v>
      </c>
      <c r="AA198" s="455" t="s">
        <v>4913</v>
      </c>
      <c r="AB198" s="455" t="s">
        <v>4913</v>
      </c>
      <c r="AC198" s="456" t="s">
        <v>1737</v>
      </c>
      <c r="AD198" s="459" t="s">
        <v>12544</v>
      </c>
      <c r="AE198" s="454" t="s">
        <v>13118</v>
      </c>
      <c r="AF198" s="454" t="s">
        <v>13303</v>
      </c>
      <c r="AG198" s="460" t="s">
        <v>13112</v>
      </c>
      <c r="AH198" s="460" t="s">
        <v>13304</v>
      </c>
    </row>
    <row r="199" spans="1:34">
      <c r="A199" s="453" t="s">
        <v>13305</v>
      </c>
      <c r="B199" s="454" t="s">
        <v>13306</v>
      </c>
      <c r="C199" s="454" t="s">
        <v>13307</v>
      </c>
      <c r="D199" s="454" t="s">
        <v>13308</v>
      </c>
      <c r="E199" s="454" t="s">
        <v>1732</v>
      </c>
      <c r="F199" s="459" t="s">
        <v>1736</v>
      </c>
      <c r="G199" s="459" t="s">
        <v>1736</v>
      </c>
      <c r="H199" s="455" t="s">
        <v>4913</v>
      </c>
      <c r="I199" s="455" t="s">
        <v>4913</v>
      </c>
      <c r="J199" s="455" t="s">
        <v>4913</v>
      </c>
      <c r="K199" s="455" t="s">
        <v>4913</v>
      </c>
      <c r="L199" s="455" t="s">
        <v>4913</v>
      </c>
      <c r="M199" s="455" t="s">
        <v>4913</v>
      </c>
      <c r="N199" s="455" t="s">
        <v>4913</v>
      </c>
      <c r="O199" s="455" t="s">
        <v>4913</v>
      </c>
      <c r="P199" s="455" t="s">
        <v>4913</v>
      </c>
      <c r="Q199" s="455" t="s">
        <v>4913</v>
      </c>
      <c r="R199" s="455" t="s">
        <v>4913</v>
      </c>
      <c r="S199" s="455" t="s">
        <v>4913</v>
      </c>
      <c r="T199" s="455" t="s">
        <v>4913</v>
      </c>
      <c r="U199" s="455" t="s">
        <v>4913</v>
      </c>
      <c r="V199" s="455" t="s">
        <v>4913</v>
      </c>
      <c r="W199" s="455" t="s">
        <v>4913</v>
      </c>
      <c r="X199" s="455" t="s">
        <v>4913</v>
      </c>
      <c r="Y199" s="455" t="s">
        <v>4913</v>
      </c>
      <c r="Z199" s="455" t="s">
        <v>4913</v>
      </c>
      <c r="AA199" s="455" t="s">
        <v>4913</v>
      </c>
      <c r="AB199" s="455" t="s">
        <v>4913</v>
      </c>
      <c r="AC199" s="456" t="s">
        <v>1737</v>
      </c>
      <c r="AD199" s="459" t="s">
        <v>12544</v>
      </c>
      <c r="AE199" s="454" t="s">
        <v>12545</v>
      </c>
      <c r="AF199" s="454" t="s">
        <v>13309</v>
      </c>
      <c r="AG199" s="460" t="s">
        <v>13112</v>
      </c>
      <c r="AH199" s="460" t="s">
        <v>13310</v>
      </c>
    </row>
    <row r="200" spans="1:34">
      <c r="A200" s="453" t="s">
        <v>13311</v>
      </c>
      <c r="B200" s="454" t="s">
        <v>13312</v>
      </c>
      <c r="C200" s="454" t="s">
        <v>13313</v>
      </c>
      <c r="D200" s="454" t="s">
        <v>13314</v>
      </c>
      <c r="E200" s="454" t="s">
        <v>1732</v>
      </c>
      <c r="F200" s="459" t="s">
        <v>1736</v>
      </c>
      <c r="G200" s="459" t="s">
        <v>1736</v>
      </c>
      <c r="H200" s="455" t="s">
        <v>4913</v>
      </c>
      <c r="I200" s="455" t="s">
        <v>4913</v>
      </c>
      <c r="J200" s="455" t="s">
        <v>4913</v>
      </c>
      <c r="K200" s="455" t="s">
        <v>4913</v>
      </c>
      <c r="L200" s="455" t="s">
        <v>4913</v>
      </c>
      <c r="M200" s="455" t="s">
        <v>4913</v>
      </c>
      <c r="N200" s="455" t="s">
        <v>4913</v>
      </c>
      <c r="O200" s="455" t="s">
        <v>4913</v>
      </c>
      <c r="P200" s="455" t="s">
        <v>4913</v>
      </c>
      <c r="Q200" s="455" t="s">
        <v>4913</v>
      </c>
      <c r="R200" s="455" t="s">
        <v>4913</v>
      </c>
      <c r="S200" s="455" t="s">
        <v>4913</v>
      </c>
      <c r="T200" s="455" t="s">
        <v>4913</v>
      </c>
      <c r="U200" s="455" t="s">
        <v>4913</v>
      </c>
      <c r="V200" s="455" t="s">
        <v>4913</v>
      </c>
      <c r="W200" s="459" t="s">
        <v>1736</v>
      </c>
      <c r="X200" s="459" t="s">
        <v>1736</v>
      </c>
      <c r="Y200" s="455" t="s">
        <v>4913</v>
      </c>
      <c r="Z200" s="455" t="s">
        <v>4913</v>
      </c>
      <c r="AA200" s="455" t="s">
        <v>4913</v>
      </c>
      <c r="AB200" s="455" t="s">
        <v>4913</v>
      </c>
      <c r="AC200" s="456" t="s">
        <v>1737</v>
      </c>
      <c r="AD200" s="459" t="s">
        <v>12544</v>
      </c>
      <c r="AE200" s="454" t="s">
        <v>13118</v>
      </c>
      <c r="AF200" s="454" t="s">
        <v>13315</v>
      </c>
      <c r="AG200" s="460" t="s">
        <v>13112</v>
      </c>
      <c r="AH200" s="460" t="s">
        <v>13316</v>
      </c>
    </row>
    <row r="201" spans="1:34">
      <c r="A201" s="453" t="s">
        <v>13317</v>
      </c>
      <c r="B201" s="454" t="s">
        <v>13318</v>
      </c>
      <c r="C201" s="454" t="s">
        <v>13319</v>
      </c>
      <c r="D201" s="454" t="s">
        <v>13320</v>
      </c>
      <c r="E201" s="454" t="s">
        <v>1732</v>
      </c>
      <c r="F201" s="459" t="s">
        <v>1736</v>
      </c>
      <c r="G201" s="459" t="s">
        <v>1736</v>
      </c>
      <c r="H201" s="455" t="s">
        <v>4913</v>
      </c>
      <c r="I201" s="455" t="s">
        <v>4913</v>
      </c>
      <c r="J201" s="455" t="s">
        <v>4913</v>
      </c>
      <c r="K201" s="455" t="s">
        <v>4913</v>
      </c>
      <c r="L201" s="455" t="s">
        <v>4913</v>
      </c>
      <c r="M201" s="455" t="s">
        <v>4913</v>
      </c>
      <c r="N201" s="455" t="s">
        <v>4913</v>
      </c>
      <c r="O201" s="455" t="s">
        <v>4913</v>
      </c>
      <c r="P201" s="455" t="s">
        <v>4913</v>
      </c>
      <c r="Q201" s="455" t="s">
        <v>4913</v>
      </c>
      <c r="R201" s="455" t="s">
        <v>4913</v>
      </c>
      <c r="S201" s="455" t="s">
        <v>4913</v>
      </c>
      <c r="T201" s="455" t="s">
        <v>4913</v>
      </c>
      <c r="U201" s="455" t="s">
        <v>4913</v>
      </c>
      <c r="V201" s="455" t="s">
        <v>4913</v>
      </c>
      <c r="W201" s="455" t="s">
        <v>4913</v>
      </c>
      <c r="X201" s="455" t="s">
        <v>4913</v>
      </c>
      <c r="Y201" s="455" t="s">
        <v>4913</v>
      </c>
      <c r="Z201" s="455" t="s">
        <v>4913</v>
      </c>
      <c r="AA201" s="455" t="s">
        <v>4913</v>
      </c>
      <c r="AB201" s="455" t="s">
        <v>4913</v>
      </c>
      <c r="AC201" s="456" t="s">
        <v>1737</v>
      </c>
      <c r="AD201" s="459" t="s">
        <v>12544</v>
      </c>
      <c r="AE201" s="454" t="s">
        <v>12545</v>
      </c>
      <c r="AF201" s="454" t="s">
        <v>13321</v>
      </c>
      <c r="AG201" s="460" t="s">
        <v>13112</v>
      </c>
      <c r="AH201" s="460" t="s">
        <v>13322</v>
      </c>
    </row>
    <row r="202" spans="1:34">
      <c r="A202" s="453" t="s">
        <v>13323</v>
      </c>
      <c r="B202" s="454" t="s">
        <v>13324</v>
      </c>
      <c r="C202" s="454" t="s">
        <v>13325</v>
      </c>
      <c r="D202" s="454" t="s">
        <v>13326</v>
      </c>
      <c r="E202" s="454" t="s">
        <v>1732</v>
      </c>
      <c r="F202" s="459" t="s">
        <v>1736</v>
      </c>
      <c r="G202" s="459" t="s">
        <v>1736</v>
      </c>
      <c r="H202" s="455" t="s">
        <v>4913</v>
      </c>
      <c r="I202" s="455" t="s">
        <v>4913</v>
      </c>
      <c r="J202" s="455" t="s">
        <v>4913</v>
      </c>
      <c r="K202" s="455" t="s">
        <v>4913</v>
      </c>
      <c r="L202" s="455" t="s">
        <v>4913</v>
      </c>
      <c r="M202" s="455" t="s">
        <v>4913</v>
      </c>
      <c r="N202" s="455" t="s">
        <v>4913</v>
      </c>
      <c r="O202" s="455" t="s">
        <v>4913</v>
      </c>
      <c r="P202" s="455" t="s">
        <v>4913</v>
      </c>
      <c r="Q202" s="455" t="s">
        <v>4913</v>
      </c>
      <c r="R202" s="455" t="s">
        <v>4913</v>
      </c>
      <c r="S202" s="455" t="s">
        <v>4913</v>
      </c>
      <c r="T202" s="455" t="s">
        <v>4913</v>
      </c>
      <c r="U202" s="455" t="s">
        <v>4913</v>
      </c>
      <c r="V202" s="455" t="s">
        <v>4913</v>
      </c>
      <c r="W202" s="459" t="s">
        <v>1736</v>
      </c>
      <c r="X202" s="459" t="s">
        <v>1736</v>
      </c>
      <c r="Y202" s="455" t="s">
        <v>4913</v>
      </c>
      <c r="Z202" s="455" t="s">
        <v>4913</v>
      </c>
      <c r="AA202" s="455" t="s">
        <v>4913</v>
      </c>
      <c r="AB202" s="455" t="s">
        <v>4913</v>
      </c>
      <c r="AC202" s="456" t="s">
        <v>1737</v>
      </c>
      <c r="AD202" s="459" t="s">
        <v>12544</v>
      </c>
      <c r="AE202" s="454" t="s">
        <v>13118</v>
      </c>
      <c r="AF202" s="454" t="s">
        <v>13327</v>
      </c>
      <c r="AG202" s="460" t="s">
        <v>13132</v>
      </c>
      <c r="AH202" s="460" t="s">
        <v>13328</v>
      </c>
    </row>
    <row r="203" spans="1:34">
      <c r="A203" s="453" t="s">
        <v>13329</v>
      </c>
      <c r="B203" s="454" t="s">
        <v>13330</v>
      </c>
      <c r="C203" s="454" t="s">
        <v>13331</v>
      </c>
      <c r="D203" s="454" t="s">
        <v>13332</v>
      </c>
      <c r="E203" s="454" t="s">
        <v>1732</v>
      </c>
      <c r="F203" s="459" t="s">
        <v>1736</v>
      </c>
      <c r="G203" s="459" t="s">
        <v>1736</v>
      </c>
      <c r="H203" s="455" t="s">
        <v>4913</v>
      </c>
      <c r="I203" s="455" t="s">
        <v>4913</v>
      </c>
      <c r="J203" s="455" t="s">
        <v>4913</v>
      </c>
      <c r="K203" s="455" t="s">
        <v>4913</v>
      </c>
      <c r="L203" s="455" t="s">
        <v>4913</v>
      </c>
      <c r="M203" s="455" t="s">
        <v>4913</v>
      </c>
      <c r="N203" s="455" t="s">
        <v>4913</v>
      </c>
      <c r="O203" s="455" t="s">
        <v>4913</v>
      </c>
      <c r="P203" s="455" t="s">
        <v>4913</v>
      </c>
      <c r="Q203" s="455" t="s">
        <v>4913</v>
      </c>
      <c r="R203" s="455" t="s">
        <v>4913</v>
      </c>
      <c r="S203" s="455" t="s">
        <v>4913</v>
      </c>
      <c r="T203" s="455" t="s">
        <v>4913</v>
      </c>
      <c r="U203" s="455" t="s">
        <v>4913</v>
      </c>
      <c r="V203" s="455" t="s">
        <v>4913</v>
      </c>
      <c r="W203" s="455" t="s">
        <v>4913</v>
      </c>
      <c r="X203" s="455" t="s">
        <v>4913</v>
      </c>
      <c r="Y203" s="455" t="s">
        <v>4913</v>
      </c>
      <c r="Z203" s="455" t="s">
        <v>4913</v>
      </c>
      <c r="AA203" s="455" t="s">
        <v>4913</v>
      </c>
      <c r="AB203" s="455" t="s">
        <v>4913</v>
      </c>
      <c r="AC203" s="456" t="s">
        <v>1737</v>
      </c>
      <c r="AD203" s="459" t="s">
        <v>12544</v>
      </c>
      <c r="AE203" s="457" t="s">
        <v>12545</v>
      </c>
      <c r="AF203" s="457" t="s">
        <v>13333</v>
      </c>
      <c r="AG203" s="460" t="s">
        <v>13288</v>
      </c>
      <c r="AH203" s="460" t="s">
        <v>13334</v>
      </c>
    </row>
    <row r="204" spans="1:34">
      <c r="A204" s="453" t="s">
        <v>13335</v>
      </c>
      <c r="B204" s="454" t="s">
        <v>13336</v>
      </c>
      <c r="C204" s="454" t="s">
        <v>13337</v>
      </c>
      <c r="D204" s="454" t="s">
        <v>13338</v>
      </c>
      <c r="E204" s="454" t="s">
        <v>1732</v>
      </c>
      <c r="F204" s="459" t="s">
        <v>1736</v>
      </c>
      <c r="G204" s="459" t="s">
        <v>1736</v>
      </c>
      <c r="H204" s="455" t="s">
        <v>4913</v>
      </c>
      <c r="I204" s="455" t="s">
        <v>4913</v>
      </c>
      <c r="J204" s="455" t="s">
        <v>4913</v>
      </c>
      <c r="K204" s="455" t="s">
        <v>4913</v>
      </c>
      <c r="L204" s="455" t="s">
        <v>4913</v>
      </c>
      <c r="M204" s="455" t="s">
        <v>4913</v>
      </c>
      <c r="N204" s="455" t="s">
        <v>4913</v>
      </c>
      <c r="O204" s="455" t="s">
        <v>4913</v>
      </c>
      <c r="P204" s="455" t="s">
        <v>4913</v>
      </c>
      <c r="Q204" s="455" t="s">
        <v>4913</v>
      </c>
      <c r="R204" s="455" t="s">
        <v>4913</v>
      </c>
      <c r="S204" s="455" t="s">
        <v>4913</v>
      </c>
      <c r="T204" s="455" t="s">
        <v>4913</v>
      </c>
      <c r="U204" s="455" t="s">
        <v>4913</v>
      </c>
      <c r="V204" s="455" t="s">
        <v>4913</v>
      </c>
      <c r="W204" s="459" t="s">
        <v>1736</v>
      </c>
      <c r="X204" s="459" t="s">
        <v>1736</v>
      </c>
      <c r="Y204" s="455" t="s">
        <v>4913</v>
      </c>
      <c r="Z204" s="455" t="s">
        <v>4913</v>
      </c>
      <c r="AA204" s="455" t="s">
        <v>4913</v>
      </c>
      <c r="AB204" s="455" t="s">
        <v>4913</v>
      </c>
      <c r="AC204" s="456" t="s">
        <v>1737</v>
      </c>
      <c r="AD204" s="459" t="s">
        <v>12544</v>
      </c>
      <c r="AE204" s="454" t="s">
        <v>13118</v>
      </c>
      <c r="AF204" s="457" t="s">
        <v>13339</v>
      </c>
      <c r="AG204" s="460" t="s">
        <v>13288</v>
      </c>
      <c r="AH204" s="460" t="s">
        <v>13340</v>
      </c>
    </row>
    <row r="205" spans="1:34">
      <c r="A205" s="453" t="s">
        <v>13335</v>
      </c>
      <c r="B205" s="454" t="s">
        <v>13341</v>
      </c>
      <c r="C205" s="454" t="s">
        <v>13337</v>
      </c>
      <c r="D205" s="454" t="s">
        <v>13342</v>
      </c>
      <c r="E205" s="454" t="s">
        <v>1743</v>
      </c>
      <c r="F205" s="459" t="s">
        <v>1736</v>
      </c>
      <c r="G205" s="459" t="s">
        <v>1736</v>
      </c>
      <c r="H205" s="455" t="s">
        <v>4913</v>
      </c>
      <c r="I205" s="455" t="s">
        <v>4913</v>
      </c>
      <c r="J205" s="455" t="s">
        <v>4913</v>
      </c>
      <c r="K205" s="455" t="s">
        <v>4913</v>
      </c>
      <c r="L205" s="455" t="s">
        <v>4913</v>
      </c>
      <c r="M205" s="455" t="s">
        <v>4913</v>
      </c>
      <c r="N205" s="455" t="s">
        <v>4913</v>
      </c>
      <c r="O205" s="455" t="s">
        <v>4913</v>
      </c>
      <c r="P205" s="455" t="s">
        <v>4913</v>
      </c>
      <c r="Q205" s="455" t="s">
        <v>4913</v>
      </c>
      <c r="R205" s="455" t="s">
        <v>4913</v>
      </c>
      <c r="S205" s="455" t="s">
        <v>4913</v>
      </c>
      <c r="T205" s="455" t="s">
        <v>4913</v>
      </c>
      <c r="U205" s="455" t="s">
        <v>4913</v>
      </c>
      <c r="V205" s="455" t="s">
        <v>4913</v>
      </c>
      <c r="W205" s="455" t="s">
        <v>4913</v>
      </c>
      <c r="X205" s="455" t="s">
        <v>4913</v>
      </c>
      <c r="Y205" s="455" t="s">
        <v>4913</v>
      </c>
      <c r="Z205" s="455" t="s">
        <v>4913</v>
      </c>
      <c r="AA205" s="455" t="s">
        <v>4913</v>
      </c>
      <c r="AB205" s="455" t="s">
        <v>4913</v>
      </c>
      <c r="AC205" s="456" t="s">
        <v>1737</v>
      </c>
      <c r="AD205" s="459" t="s">
        <v>12544</v>
      </c>
      <c r="AE205" s="457" t="s">
        <v>12545</v>
      </c>
      <c r="AF205" s="457" t="s">
        <v>13343</v>
      </c>
      <c r="AG205" s="460" t="s">
        <v>13288</v>
      </c>
      <c r="AH205" s="460" t="s">
        <v>13340</v>
      </c>
    </row>
    <row r="206" spans="1:34">
      <c r="A206" s="453" t="s">
        <v>13344</v>
      </c>
      <c r="B206" s="454" t="s">
        <v>13345</v>
      </c>
      <c r="C206" s="454" t="s">
        <v>13346</v>
      </c>
      <c r="D206" s="454" t="s">
        <v>13347</v>
      </c>
      <c r="E206" s="454" t="s">
        <v>1732</v>
      </c>
      <c r="F206" s="459" t="s">
        <v>1736</v>
      </c>
      <c r="G206" s="459" t="s">
        <v>1736</v>
      </c>
      <c r="H206" s="455" t="s">
        <v>4913</v>
      </c>
      <c r="I206" s="455" t="s">
        <v>4913</v>
      </c>
      <c r="J206" s="455" t="s">
        <v>4913</v>
      </c>
      <c r="K206" s="455" t="s">
        <v>4913</v>
      </c>
      <c r="L206" s="455" t="s">
        <v>4913</v>
      </c>
      <c r="M206" s="455" t="s">
        <v>4913</v>
      </c>
      <c r="N206" s="455" t="s">
        <v>4913</v>
      </c>
      <c r="O206" s="455" t="s">
        <v>4913</v>
      </c>
      <c r="P206" s="455" t="s">
        <v>4913</v>
      </c>
      <c r="Q206" s="455" t="s">
        <v>4913</v>
      </c>
      <c r="R206" s="455" t="s">
        <v>4913</v>
      </c>
      <c r="S206" s="455" t="s">
        <v>4913</v>
      </c>
      <c r="T206" s="455" t="s">
        <v>4913</v>
      </c>
      <c r="U206" s="455" t="s">
        <v>4913</v>
      </c>
      <c r="V206" s="455" t="s">
        <v>4913</v>
      </c>
      <c r="W206" s="455" t="s">
        <v>4913</v>
      </c>
      <c r="X206" s="455" t="s">
        <v>4913</v>
      </c>
      <c r="Y206" s="455" t="s">
        <v>4913</v>
      </c>
      <c r="Z206" s="455" t="s">
        <v>4913</v>
      </c>
      <c r="AA206" s="455" t="s">
        <v>4913</v>
      </c>
      <c r="AB206" s="455" t="s">
        <v>4913</v>
      </c>
      <c r="AC206" s="456" t="s">
        <v>1737</v>
      </c>
      <c r="AD206" s="459" t="s">
        <v>12544</v>
      </c>
      <c r="AE206" s="457" t="s">
        <v>12545</v>
      </c>
      <c r="AF206" s="457" t="s">
        <v>13348</v>
      </c>
      <c r="AG206" s="460" t="s">
        <v>12901</v>
      </c>
      <c r="AH206" s="460" t="s">
        <v>13349</v>
      </c>
    </row>
    <row r="207" spans="1:34">
      <c r="A207" s="453" t="s">
        <v>13350</v>
      </c>
      <c r="B207" s="454" t="s">
        <v>13351</v>
      </c>
      <c r="C207" s="454" t="s">
        <v>13352</v>
      </c>
      <c r="D207" s="454" t="s">
        <v>13353</v>
      </c>
      <c r="E207" s="454" t="s">
        <v>1732</v>
      </c>
      <c r="F207" s="459" t="s">
        <v>1736</v>
      </c>
      <c r="G207" s="459" t="s">
        <v>1736</v>
      </c>
      <c r="H207" s="455" t="s">
        <v>4913</v>
      </c>
      <c r="I207" s="455" t="s">
        <v>4913</v>
      </c>
      <c r="J207" s="455" t="s">
        <v>4913</v>
      </c>
      <c r="K207" s="455" t="s">
        <v>4913</v>
      </c>
      <c r="L207" s="455" t="s">
        <v>4913</v>
      </c>
      <c r="M207" s="455" t="s">
        <v>4913</v>
      </c>
      <c r="N207" s="455" t="s">
        <v>4913</v>
      </c>
      <c r="O207" s="455" t="s">
        <v>4913</v>
      </c>
      <c r="P207" s="455" t="s">
        <v>4913</v>
      </c>
      <c r="Q207" s="455" t="s">
        <v>4913</v>
      </c>
      <c r="R207" s="455" t="s">
        <v>4913</v>
      </c>
      <c r="S207" s="455" t="s">
        <v>4913</v>
      </c>
      <c r="T207" s="455" t="s">
        <v>4913</v>
      </c>
      <c r="U207" s="455" t="s">
        <v>4913</v>
      </c>
      <c r="V207" s="455" t="s">
        <v>4913</v>
      </c>
      <c r="W207" s="459" t="s">
        <v>1736</v>
      </c>
      <c r="X207" s="459" t="s">
        <v>1736</v>
      </c>
      <c r="Y207" s="455" t="s">
        <v>4913</v>
      </c>
      <c r="Z207" s="455" t="s">
        <v>4913</v>
      </c>
      <c r="AA207" s="455" t="s">
        <v>4913</v>
      </c>
      <c r="AB207" s="455" t="s">
        <v>4913</v>
      </c>
      <c r="AC207" s="456" t="s">
        <v>1737</v>
      </c>
      <c r="AD207" s="459" t="s">
        <v>12544</v>
      </c>
      <c r="AE207" s="454" t="s">
        <v>13118</v>
      </c>
      <c r="AF207" s="457" t="s">
        <v>13354</v>
      </c>
      <c r="AG207" s="460" t="s">
        <v>12901</v>
      </c>
      <c r="AH207" s="460" t="s">
        <v>13355</v>
      </c>
    </row>
    <row r="208" spans="1:34">
      <c r="A208" s="453" t="s">
        <v>13356</v>
      </c>
      <c r="B208" s="454" t="s">
        <v>13357</v>
      </c>
      <c r="C208" s="454" t="s">
        <v>13358</v>
      </c>
      <c r="D208" s="454" t="s">
        <v>13359</v>
      </c>
      <c r="E208" s="454" t="s">
        <v>1732</v>
      </c>
      <c r="F208" s="459" t="s">
        <v>1736</v>
      </c>
      <c r="G208" s="459" t="s">
        <v>1736</v>
      </c>
      <c r="H208" s="455" t="s">
        <v>4913</v>
      </c>
      <c r="I208" s="455" t="s">
        <v>4913</v>
      </c>
      <c r="J208" s="455" t="s">
        <v>4913</v>
      </c>
      <c r="K208" s="455" t="s">
        <v>4913</v>
      </c>
      <c r="L208" s="455" t="s">
        <v>4913</v>
      </c>
      <c r="M208" s="455" t="s">
        <v>4913</v>
      </c>
      <c r="N208" s="455" t="s">
        <v>4913</v>
      </c>
      <c r="O208" s="455" t="s">
        <v>4913</v>
      </c>
      <c r="P208" s="455" t="s">
        <v>4913</v>
      </c>
      <c r="Q208" s="455" t="s">
        <v>4913</v>
      </c>
      <c r="R208" s="455" t="s">
        <v>4913</v>
      </c>
      <c r="S208" s="455" t="s">
        <v>4913</v>
      </c>
      <c r="T208" s="455" t="s">
        <v>4913</v>
      </c>
      <c r="U208" s="455" t="s">
        <v>4913</v>
      </c>
      <c r="V208" s="455" t="s">
        <v>4913</v>
      </c>
      <c r="W208" s="455" t="s">
        <v>4913</v>
      </c>
      <c r="X208" s="455" t="s">
        <v>4913</v>
      </c>
      <c r="Y208" s="455" t="s">
        <v>4913</v>
      </c>
      <c r="Z208" s="455" t="s">
        <v>4913</v>
      </c>
      <c r="AA208" s="455" t="s">
        <v>4913</v>
      </c>
      <c r="AB208" s="455" t="s">
        <v>4913</v>
      </c>
      <c r="AC208" s="456" t="s">
        <v>1737</v>
      </c>
      <c r="AD208" s="459" t="s">
        <v>12544</v>
      </c>
      <c r="AE208" s="454" t="s">
        <v>12545</v>
      </c>
      <c r="AF208" s="457" t="s">
        <v>13360</v>
      </c>
      <c r="AG208" s="461" t="s">
        <v>13361</v>
      </c>
      <c r="AH208" s="460" t="s">
        <v>13362</v>
      </c>
    </row>
    <row r="209" spans="1:34">
      <c r="A209" s="453" t="s">
        <v>13356</v>
      </c>
      <c r="B209" s="454" t="s">
        <v>13363</v>
      </c>
      <c r="C209" s="454" t="s">
        <v>13358</v>
      </c>
      <c r="D209" s="454" t="s">
        <v>13364</v>
      </c>
      <c r="E209" s="454" t="s">
        <v>1743</v>
      </c>
      <c r="F209" s="459" t="s">
        <v>1736</v>
      </c>
      <c r="G209" s="459" t="s">
        <v>1736</v>
      </c>
      <c r="H209" s="455" t="s">
        <v>4913</v>
      </c>
      <c r="I209" s="455" t="s">
        <v>4913</v>
      </c>
      <c r="J209" s="455" t="s">
        <v>4913</v>
      </c>
      <c r="K209" s="455" t="s">
        <v>4913</v>
      </c>
      <c r="L209" s="455" t="s">
        <v>4913</v>
      </c>
      <c r="M209" s="455" t="s">
        <v>4913</v>
      </c>
      <c r="N209" s="455" t="s">
        <v>4913</v>
      </c>
      <c r="O209" s="455" t="s">
        <v>4913</v>
      </c>
      <c r="P209" s="455" t="s">
        <v>4913</v>
      </c>
      <c r="Q209" s="455" t="s">
        <v>4913</v>
      </c>
      <c r="R209" s="455" t="s">
        <v>4913</v>
      </c>
      <c r="S209" s="455" t="s">
        <v>4913</v>
      </c>
      <c r="T209" s="455" t="s">
        <v>4913</v>
      </c>
      <c r="U209" s="455" t="s">
        <v>4913</v>
      </c>
      <c r="V209" s="455" t="s">
        <v>4913</v>
      </c>
      <c r="W209" s="455" t="s">
        <v>4913</v>
      </c>
      <c r="X209" s="455" t="s">
        <v>4913</v>
      </c>
      <c r="Y209" s="455" t="s">
        <v>4913</v>
      </c>
      <c r="Z209" s="455" t="s">
        <v>4913</v>
      </c>
      <c r="AA209" s="455" t="s">
        <v>4913</v>
      </c>
      <c r="AB209" s="455" t="s">
        <v>4913</v>
      </c>
      <c r="AC209" s="456" t="s">
        <v>1737</v>
      </c>
      <c r="AD209" s="459" t="s">
        <v>12544</v>
      </c>
      <c r="AE209" s="454" t="s">
        <v>12545</v>
      </c>
      <c r="AF209" s="457" t="s">
        <v>13365</v>
      </c>
      <c r="AG209" s="460" t="s">
        <v>13071</v>
      </c>
      <c r="AH209" s="460" t="s">
        <v>13366</v>
      </c>
    </row>
    <row r="210" spans="1:34">
      <c r="A210" s="453" t="s">
        <v>13367</v>
      </c>
      <c r="B210" s="454" t="s">
        <v>13368</v>
      </c>
      <c r="C210" s="454" t="s">
        <v>13369</v>
      </c>
      <c r="D210" s="454" t="s">
        <v>13370</v>
      </c>
      <c r="E210" s="454" t="s">
        <v>1732</v>
      </c>
      <c r="F210" s="459" t="s">
        <v>1736</v>
      </c>
      <c r="G210" s="459" t="s">
        <v>1736</v>
      </c>
      <c r="H210" s="455" t="s">
        <v>4913</v>
      </c>
      <c r="I210" s="455" t="s">
        <v>4913</v>
      </c>
      <c r="J210" s="455" t="s">
        <v>4913</v>
      </c>
      <c r="K210" s="455" t="s">
        <v>4913</v>
      </c>
      <c r="L210" s="455" t="s">
        <v>4913</v>
      </c>
      <c r="M210" s="455" t="s">
        <v>4913</v>
      </c>
      <c r="N210" s="455" t="s">
        <v>4913</v>
      </c>
      <c r="O210" s="455" t="s">
        <v>4913</v>
      </c>
      <c r="P210" s="455" t="s">
        <v>4913</v>
      </c>
      <c r="Q210" s="455" t="s">
        <v>4913</v>
      </c>
      <c r="R210" s="455" t="s">
        <v>4913</v>
      </c>
      <c r="S210" s="455" t="s">
        <v>4913</v>
      </c>
      <c r="T210" s="455" t="s">
        <v>4913</v>
      </c>
      <c r="U210" s="455" t="s">
        <v>4913</v>
      </c>
      <c r="V210" s="455" t="s">
        <v>4913</v>
      </c>
      <c r="W210" s="459" t="s">
        <v>1736</v>
      </c>
      <c r="X210" s="459" t="s">
        <v>1736</v>
      </c>
      <c r="Y210" s="455" t="s">
        <v>4913</v>
      </c>
      <c r="Z210" s="455" t="s">
        <v>4913</v>
      </c>
      <c r="AA210" s="455" t="s">
        <v>4913</v>
      </c>
      <c r="AB210" s="455" t="s">
        <v>4913</v>
      </c>
      <c r="AC210" s="456" t="s">
        <v>1737</v>
      </c>
      <c r="AD210" s="459" t="s">
        <v>12544</v>
      </c>
      <c r="AE210" s="454" t="s">
        <v>13118</v>
      </c>
      <c r="AF210" s="460" t="s">
        <v>13371</v>
      </c>
      <c r="AG210" s="461" t="s">
        <v>13361</v>
      </c>
      <c r="AH210" s="460" t="s">
        <v>13372</v>
      </c>
    </row>
    <row r="211" spans="1:34">
      <c r="A211" s="453" t="s">
        <v>13373</v>
      </c>
      <c r="B211" s="454" t="s">
        <v>13374</v>
      </c>
      <c r="C211" s="454" t="s">
        <v>13375</v>
      </c>
      <c r="D211" s="454" t="s">
        <v>13376</v>
      </c>
      <c r="E211" s="454" t="s">
        <v>1732</v>
      </c>
      <c r="F211" s="455" t="s">
        <v>4913</v>
      </c>
      <c r="G211" s="459" t="s">
        <v>1736</v>
      </c>
      <c r="H211" s="455" t="s">
        <v>4913</v>
      </c>
      <c r="I211" s="455" t="s">
        <v>4913</v>
      </c>
      <c r="J211" s="455" t="s">
        <v>4913</v>
      </c>
      <c r="K211" s="455" t="s">
        <v>4913</v>
      </c>
      <c r="L211" s="455" t="s">
        <v>4913</v>
      </c>
      <c r="M211" s="455" t="s">
        <v>4913</v>
      </c>
      <c r="N211" s="455" t="s">
        <v>4913</v>
      </c>
      <c r="O211" s="455" t="s">
        <v>4913</v>
      </c>
      <c r="P211" s="455" t="s">
        <v>4913</v>
      </c>
      <c r="Q211" s="455" t="s">
        <v>4913</v>
      </c>
      <c r="R211" s="455" t="s">
        <v>4913</v>
      </c>
      <c r="S211" s="455" t="s">
        <v>4913</v>
      </c>
      <c r="T211" s="455" t="s">
        <v>4913</v>
      </c>
      <c r="U211" s="455" t="s">
        <v>4913</v>
      </c>
      <c r="V211" s="455" t="s">
        <v>4913</v>
      </c>
      <c r="W211" s="456" t="s">
        <v>1736</v>
      </c>
      <c r="X211" s="456" t="s">
        <v>1736</v>
      </c>
      <c r="Y211" s="455" t="s">
        <v>4913</v>
      </c>
      <c r="Z211" s="455" t="s">
        <v>4913</v>
      </c>
      <c r="AA211" s="455" t="s">
        <v>4913</v>
      </c>
      <c r="AB211" s="455" t="s">
        <v>4913</v>
      </c>
      <c r="AC211" s="456" t="s">
        <v>1737</v>
      </c>
      <c r="AD211" s="459" t="s">
        <v>12544</v>
      </c>
      <c r="AE211" s="454" t="s">
        <v>13118</v>
      </c>
      <c r="AF211" s="460" t="s">
        <v>13377</v>
      </c>
      <c r="AG211" s="460" t="s">
        <v>13216</v>
      </c>
      <c r="AH211" s="460" t="s">
        <v>13378</v>
      </c>
    </row>
    <row r="212" spans="1:34">
      <c r="A212" s="453" t="s">
        <v>13373</v>
      </c>
      <c r="B212" s="454" t="s">
        <v>13379</v>
      </c>
      <c r="C212" s="454" t="s">
        <v>13375</v>
      </c>
      <c r="D212" s="454" t="s">
        <v>13380</v>
      </c>
      <c r="E212" s="454" t="s">
        <v>1743</v>
      </c>
      <c r="F212" s="455" t="s">
        <v>4913</v>
      </c>
      <c r="G212" s="459" t="s">
        <v>1736</v>
      </c>
      <c r="H212" s="455" t="s">
        <v>4913</v>
      </c>
      <c r="I212" s="455" t="s">
        <v>4913</v>
      </c>
      <c r="J212" s="455" t="s">
        <v>4913</v>
      </c>
      <c r="K212" s="455" t="s">
        <v>4913</v>
      </c>
      <c r="L212" s="455" t="s">
        <v>4913</v>
      </c>
      <c r="M212" s="455" t="s">
        <v>4913</v>
      </c>
      <c r="N212" s="455" t="s">
        <v>4913</v>
      </c>
      <c r="O212" s="455" t="s">
        <v>4913</v>
      </c>
      <c r="P212" s="455" t="s">
        <v>4913</v>
      </c>
      <c r="Q212" s="455" t="s">
        <v>4913</v>
      </c>
      <c r="R212" s="455" t="s">
        <v>4913</v>
      </c>
      <c r="S212" s="455" t="s">
        <v>4913</v>
      </c>
      <c r="T212" s="455" t="s">
        <v>4913</v>
      </c>
      <c r="U212" s="455" t="s">
        <v>4913</v>
      </c>
      <c r="V212" s="455" t="s">
        <v>4913</v>
      </c>
      <c r="W212" s="455" t="s">
        <v>4913</v>
      </c>
      <c r="X212" s="455" t="s">
        <v>4913</v>
      </c>
      <c r="Y212" s="455" t="s">
        <v>4913</v>
      </c>
      <c r="Z212" s="455" t="s">
        <v>4913</v>
      </c>
      <c r="AA212" s="455" t="s">
        <v>4913</v>
      </c>
      <c r="AB212" s="455" t="s">
        <v>4913</v>
      </c>
      <c r="AC212" s="456" t="s">
        <v>1737</v>
      </c>
      <c r="AD212" s="459" t="s">
        <v>12544</v>
      </c>
      <c r="AE212" s="454" t="s">
        <v>12545</v>
      </c>
      <c r="AF212" s="460" t="s">
        <v>13381</v>
      </c>
      <c r="AG212" s="460" t="s">
        <v>13216</v>
      </c>
      <c r="AH212" s="460" t="s">
        <v>13378</v>
      </c>
    </row>
    <row r="213" spans="1:34">
      <c r="A213" s="453" t="s">
        <v>13382</v>
      </c>
      <c r="B213" s="454" t="s">
        <v>13383</v>
      </c>
      <c r="C213" s="454" t="s">
        <v>13384</v>
      </c>
      <c r="D213" s="454" t="s">
        <v>13385</v>
      </c>
      <c r="E213" s="454" t="s">
        <v>1732</v>
      </c>
      <c r="F213" s="459" t="s">
        <v>1736</v>
      </c>
      <c r="G213" s="459" t="s">
        <v>1736</v>
      </c>
      <c r="H213" s="455" t="s">
        <v>4913</v>
      </c>
      <c r="I213" s="455" t="s">
        <v>4913</v>
      </c>
      <c r="J213" s="455" t="s">
        <v>4913</v>
      </c>
      <c r="K213" s="455" t="s">
        <v>4913</v>
      </c>
      <c r="L213" s="455" t="s">
        <v>4913</v>
      </c>
      <c r="M213" s="455" t="s">
        <v>4913</v>
      </c>
      <c r="N213" s="455" t="s">
        <v>4913</v>
      </c>
      <c r="O213" s="455" t="s">
        <v>4913</v>
      </c>
      <c r="P213" s="455" t="s">
        <v>4913</v>
      </c>
      <c r="Q213" s="455" t="s">
        <v>4913</v>
      </c>
      <c r="R213" s="455" t="s">
        <v>4913</v>
      </c>
      <c r="S213" s="455" t="s">
        <v>4913</v>
      </c>
      <c r="T213" s="455" t="s">
        <v>4913</v>
      </c>
      <c r="U213" s="455" t="s">
        <v>4913</v>
      </c>
      <c r="V213" s="455" t="s">
        <v>4913</v>
      </c>
      <c r="W213" s="455" t="s">
        <v>4913</v>
      </c>
      <c r="X213" s="455" t="s">
        <v>4913</v>
      </c>
      <c r="Y213" s="455" t="s">
        <v>4913</v>
      </c>
      <c r="Z213" s="455" t="s">
        <v>4913</v>
      </c>
      <c r="AA213" s="455" t="s">
        <v>4913</v>
      </c>
      <c r="AB213" s="455" t="s">
        <v>4913</v>
      </c>
      <c r="AC213" s="456" t="s">
        <v>1737</v>
      </c>
      <c r="AD213" s="459" t="s">
        <v>12544</v>
      </c>
      <c r="AE213" s="454" t="s">
        <v>12545</v>
      </c>
      <c r="AF213" s="460" t="s">
        <v>13386</v>
      </c>
      <c r="AG213" s="461" t="s">
        <v>13361</v>
      </c>
      <c r="AH213" s="460" t="s">
        <v>13387</v>
      </c>
    </row>
    <row r="214" spans="1:34">
      <c r="A214" s="453" t="s">
        <v>13388</v>
      </c>
      <c r="B214" s="454" t="s">
        <v>13389</v>
      </c>
      <c r="C214" s="454" t="s">
        <v>13390</v>
      </c>
      <c r="D214" s="454" t="s">
        <v>13391</v>
      </c>
      <c r="E214" s="454" t="s">
        <v>1732</v>
      </c>
      <c r="F214" s="456" t="s">
        <v>1736</v>
      </c>
      <c r="G214" s="456" t="s">
        <v>1736</v>
      </c>
      <c r="H214" s="455" t="s">
        <v>4913</v>
      </c>
      <c r="I214" s="455" t="s">
        <v>4913</v>
      </c>
      <c r="J214" s="455" t="s">
        <v>4913</v>
      </c>
      <c r="K214" s="455" t="s">
        <v>4913</v>
      </c>
      <c r="L214" s="455" t="s">
        <v>4913</v>
      </c>
      <c r="M214" s="455" t="s">
        <v>4913</v>
      </c>
      <c r="N214" s="455" t="s">
        <v>4913</v>
      </c>
      <c r="O214" s="455" t="s">
        <v>4913</v>
      </c>
      <c r="P214" s="455" t="s">
        <v>4913</v>
      </c>
      <c r="Q214" s="455" t="s">
        <v>4913</v>
      </c>
      <c r="R214" s="455" t="s">
        <v>4913</v>
      </c>
      <c r="S214" s="455" t="s">
        <v>4913</v>
      </c>
      <c r="T214" s="455" t="s">
        <v>4913</v>
      </c>
      <c r="U214" s="455" t="s">
        <v>4913</v>
      </c>
      <c r="V214" s="455" t="s">
        <v>4913</v>
      </c>
      <c r="W214" s="456" t="s">
        <v>1736</v>
      </c>
      <c r="X214" s="456" t="s">
        <v>1736</v>
      </c>
      <c r="Y214" s="455" t="s">
        <v>4913</v>
      </c>
      <c r="Z214" s="455" t="s">
        <v>4913</v>
      </c>
      <c r="AA214" s="455" t="s">
        <v>4913</v>
      </c>
      <c r="AB214" s="455" t="s">
        <v>4913</v>
      </c>
      <c r="AC214" s="456" t="s">
        <v>1737</v>
      </c>
      <c r="AD214" s="459" t="s">
        <v>12544</v>
      </c>
      <c r="AE214" s="454" t="s">
        <v>13118</v>
      </c>
      <c r="AF214" s="457" t="s">
        <v>13392</v>
      </c>
      <c r="AG214" s="460" t="s">
        <v>13288</v>
      </c>
      <c r="AH214" s="460" t="s">
        <v>13393</v>
      </c>
    </row>
    <row r="215" spans="1:34">
      <c r="A215" s="453" t="s">
        <v>13394</v>
      </c>
      <c r="B215" s="454" t="s">
        <v>13395</v>
      </c>
      <c r="C215" s="454" t="s">
        <v>13396</v>
      </c>
      <c r="D215" s="454" t="s">
        <v>13397</v>
      </c>
      <c r="E215" s="454" t="s">
        <v>1732</v>
      </c>
      <c r="F215" s="459" t="s">
        <v>1736</v>
      </c>
      <c r="G215" s="459" t="s">
        <v>1736</v>
      </c>
      <c r="H215" s="455" t="s">
        <v>4913</v>
      </c>
      <c r="I215" s="455" t="s">
        <v>4913</v>
      </c>
      <c r="J215" s="455" t="s">
        <v>4913</v>
      </c>
      <c r="K215" s="455" t="s">
        <v>4913</v>
      </c>
      <c r="L215" s="455" t="s">
        <v>4913</v>
      </c>
      <c r="M215" s="455" t="s">
        <v>4913</v>
      </c>
      <c r="N215" s="455" t="s">
        <v>4913</v>
      </c>
      <c r="O215" s="455" t="s">
        <v>4913</v>
      </c>
      <c r="P215" s="455" t="s">
        <v>4913</v>
      </c>
      <c r="Q215" s="455" t="s">
        <v>4913</v>
      </c>
      <c r="R215" s="455" t="s">
        <v>4913</v>
      </c>
      <c r="S215" s="455" t="s">
        <v>4913</v>
      </c>
      <c r="T215" s="455" t="s">
        <v>4913</v>
      </c>
      <c r="U215" s="455" t="s">
        <v>4913</v>
      </c>
      <c r="V215" s="455" t="s">
        <v>4913</v>
      </c>
      <c r="W215" s="455" t="s">
        <v>4913</v>
      </c>
      <c r="X215" s="455" t="s">
        <v>4913</v>
      </c>
      <c r="Y215" s="455" t="s">
        <v>4913</v>
      </c>
      <c r="Z215" s="455" t="s">
        <v>4913</v>
      </c>
      <c r="AA215" s="455" t="s">
        <v>4913</v>
      </c>
      <c r="AB215" s="455" t="s">
        <v>4913</v>
      </c>
      <c r="AC215" s="456" t="s">
        <v>1737</v>
      </c>
      <c r="AD215" s="459" t="s">
        <v>12544</v>
      </c>
      <c r="AE215" s="457" t="s">
        <v>12545</v>
      </c>
      <c r="AF215" s="457" t="s">
        <v>13398</v>
      </c>
      <c r="AG215" s="461" t="s">
        <v>13399</v>
      </c>
      <c r="AH215" s="460" t="s">
        <v>13400</v>
      </c>
    </row>
    <row r="216" spans="1:34">
      <c r="A216" s="453" t="s">
        <v>13394</v>
      </c>
      <c r="B216" s="454" t="s">
        <v>13401</v>
      </c>
      <c r="C216" s="454" t="s">
        <v>13396</v>
      </c>
      <c r="D216" s="454" t="s">
        <v>13402</v>
      </c>
      <c r="E216" s="454" t="s">
        <v>1743</v>
      </c>
      <c r="F216" s="459" t="s">
        <v>1736</v>
      </c>
      <c r="G216" s="459" t="s">
        <v>1736</v>
      </c>
      <c r="H216" s="455" t="s">
        <v>4913</v>
      </c>
      <c r="I216" s="455" t="s">
        <v>4913</v>
      </c>
      <c r="J216" s="455" t="s">
        <v>4913</v>
      </c>
      <c r="K216" s="455" t="s">
        <v>4913</v>
      </c>
      <c r="L216" s="455" t="s">
        <v>4913</v>
      </c>
      <c r="M216" s="455" t="s">
        <v>4913</v>
      </c>
      <c r="N216" s="455" t="s">
        <v>4913</v>
      </c>
      <c r="O216" s="455" t="s">
        <v>4913</v>
      </c>
      <c r="P216" s="455" t="s">
        <v>4913</v>
      </c>
      <c r="Q216" s="455" t="s">
        <v>4913</v>
      </c>
      <c r="R216" s="455" t="s">
        <v>4913</v>
      </c>
      <c r="S216" s="455" t="s">
        <v>4913</v>
      </c>
      <c r="T216" s="455" t="s">
        <v>4913</v>
      </c>
      <c r="U216" s="455" t="s">
        <v>4913</v>
      </c>
      <c r="V216" s="455" t="s">
        <v>4913</v>
      </c>
      <c r="W216" s="455" t="s">
        <v>4913</v>
      </c>
      <c r="X216" s="455" t="s">
        <v>4913</v>
      </c>
      <c r="Y216" s="455" t="s">
        <v>4913</v>
      </c>
      <c r="Z216" s="455" t="s">
        <v>4913</v>
      </c>
      <c r="AA216" s="455" t="s">
        <v>4913</v>
      </c>
      <c r="AB216" s="455" t="s">
        <v>4913</v>
      </c>
      <c r="AC216" s="456" t="s">
        <v>1737</v>
      </c>
      <c r="AD216" s="459" t="s">
        <v>12544</v>
      </c>
      <c r="AE216" s="457" t="s">
        <v>12545</v>
      </c>
      <c r="AF216" s="457" t="s">
        <v>13403</v>
      </c>
      <c r="AG216" s="460" t="s">
        <v>11920</v>
      </c>
      <c r="AH216" s="460" t="s">
        <v>13404</v>
      </c>
    </row>
    <row r="217" spans="1:34">
      <c r="A217" s="453" t="s">
        <v>13405</v>
      </c>
      <c r="B217" s="454" t="s">
        <v>13406</v>
      </c>
      <c r="C217" s="454" t="s">
        <v>13407</v>
      </c>
      <c r="D217" s="454" t="s">
        <v>13408</v>
      </c>
      <c r="E217" s="454" t="s">
        <v>1732</v>
      </c>
      <c r="F217" s="459" t="s">
        <v>1736</v>
      </c>
      <c r="G217" s="459" t="s">
        <v>1736</v>
      </c>
      <c r="H217" s="455" t="s">
        <v>4913</v>
      </c>
      <c r="I217" s="455" t="s">
        <v>4913</v>
      </c>
      <c r="J217" s="455" t="s">
        <v>4913</v>
      </c>
      <c r="K217" s="455" t="s">
        <v>4913</v>
      </c>
      <c r="L217" s="455" t="s">
        <v>4913</v>
      </c>
      <c r="M217" s="455" t="s">
        <v>4913</v>
      </c>
      <c r="N217" s="455" t="s">
        <v>4913</v>
      </c>
      <c r="O217" s="455" t="s">
        <v>4913</v>
      </c>
      <c r="P217" s="455" t="s">
        <v>4913</v>
      </c>
      <c r="Q217" s="455" t="s">
        <v>4913</v>
      </c>
      <c r="R217" s="455" t="s">
        <v>4913</v>
      </c>
      <c r="S217" s="455" t="s">
        <v>4913</v>
      </c>
      <c r="T217" s="455" t="s">
        <v>4913</v>
      </c>
      <c r="U217" s="455" t="s">
        <v>4913</v>
      </c>
      <c r="V217" s="455" t="s">
        <v>4913</v>
      </c>
      <c r="W217" s="456" t="s">
        <v>1736</v>
      </c>
      <c r="X217" s="456" t="s">
        <v>1736</v>
      </c>
      <c r="Y217" s="455" t="s">
        <v>4913</v>
      </c>
      <c r="Z217" s="455" t="s">
        <v>4913</v>
      </c>
      <c r="AA217" s="455" t="s">
        <v>4913</v>
      </c>
      <c r="AB217" s="455" t="s">
        <v>4913</v>
      </c>
      <c r="AC217" s="456" t="s">
        <v>1737</v>
      </c>
      <c r="AD217" s="459" t="s">
        <v>12544</v>
      </c>
      <c r="AE217" s="454" t="s">
        <v>13118</v>
      </c>
      <c r="AF217" s="460" t="s">
        <v>13409</v>
      </c>
      <c r="AG217" s="460" t="s">
        <v>13112</v>
      </c>
      <c r="AH217" s="460" t="s">
        <v>13410</v>
      </c>
    </row>
    <row r="218" spans="1:34">
      <c r="A218" s="453" t="s">
        <v>13411</v>
      </c>
      <c r="B218" s="454" t="s">
        <v>13412</v>
      </c>
      <c r="C218" s="454" t="s">
        <v>13413</v>
      </c>
      <c r="D218" s="454" t="s">
        <v>13414</v>
      </c>
      <c r="E218" s="454" t="s">
        <v>1732</v>
      </c>
      <c r="F218" s="459" t="s">
        <v>1736</v>
      </c>
      <c r="G218" s="455" t="s">
        <v>4913</v>
      </c>
      <c r="H218" s="455" t="s">
        <v>4913</v>
      </c>
      <c r="I218" s="455" t="s">
        <v>4913</v>
      </c>
      <c r="J218" s="455" t="s">
        <v>4913</v>
      </c>
      <c r="K218" s="455" t="s">
        <v>4913</v>
      </c>
      <c r="L218" s="455" t="s">
        <v>4913</v>
      </c>
      <c r="M218" s="455" t="s">
        <v>4913</v>
      </c>
      <c r="N218" s="455" t="s">
        <v>4913</v>
      </c>
      <c r="O218" s="455" t="s">
        <v>4913</v>
      </c>
      <c r="P218" s="455" t="s">
        <v>4913</v>
      </c>
      <c r="Q218" s="455" t="s">
        <v>4913</v>
      </c>
      <c r="R218" s="455" t="s">
        <v>4913</v>
      </c>
      <c r="S218" s="455" t="s">
        <v>4913</v>
      </c>
      <c r="T218" s="455" t="s">
        <v>4913</v>
      </c>
      <c r="U218" s="455" t="s">
        <v>4913</v>
      </c>
      <c r="V218" s="455" t="s">
        <v>4913</v>
      </c>
      <c r="W218" s="455" t="s">
        <v>4913</v>
      </c>
      <c r="X218" s="455" t="s">
        <v>4913</v>
      </c>
      <c r="Y218" s="455" t="s">
        <v>4913</v>
      </c>
      <c r="Z218" s="455" t="s">
        <v>4913</v>
      </c>
      <c r="AA218" s="455" t="s">
        <v>4913</v>
      </c>
      <c r="AB218" s="455" t="s">
        <v>4913</v>
      </c>
      <c r="AC218" s="456" t="s">
        <v>1737</v>
      </c>
      <c r="AD218" s="459" t="s">
        <v>12544</v>
      </c>
      <c r="AE218" s="454" t="s">
        <v>12545</v>
      </c>
      <c r="AF218" s="460" t="s">
        <v>13415</v>
      </c>
      <c r="AG218" s="460" t="s">
        <v>12807</v>
      </c>
      <c r="AH218" s="460" t="s">
        <v>13416</v>
      </c>
    </row>
    <row r="219" spans="1:34">
      <c r="A219" s="453" t="s">
        <v>13411</v>
      </c>
      <c r="B219" s="454" t="s">
        <v>13417</v>
      </c>
      <c r="C219" s="454" t="s">
        <v>13413</v>
      </c>
      <c r="D219" s="454" t="s">
        <v>13418</v>
      </c>
      <c r="E219" s="454" t="s">
        <v>1743</v>
      </c>
      <c r="F219" s="459" t="s">
        <v>1736</v>
      </c>
      <c r="G219" s="455" t="s">
        <v>4913</v>
      </c>
      <c r="H219" s="455" t="s">
        <v>4913</v>
      </c>
      <c r="I219" s="455" t="s">
        <v>4913</v>
      </c>
      <c r="J219" s="455" t="s">
        <v>4913</v>
      </c>
      <c r="K219" s="455" t="s">
        <v>4913</v>
      </c>
      <c r="L219" s="455" t="s">
        <v>4913</v>
      </c>
      <c r="M219" s="455" t="s">
        <v>4913</v>
      </c>
      <c r="N219" s="455" t="s">
        <v>4913</v>
      </c>
      <c r="O219" s="455" t="s">
        <v>4913</v>
      </c>
      <c r="P219" s="455" t="s">
        <v>4913</v>
      </c>
      <c r="Q219" s="455" t="s">
        <v>4913</v>
      </c>
      <c r="R219" s="455" t="s">
        <v>4913</v>
      </c>
      <c r="S219" s="455" t="s">
        <v>4913</v>
      </c>
      <c r="T219" s="455" t="s">
        <v>4913</v>
      </c>
      <c r="U219" s="455" t="s">
        <v>4913</v>
      </c>
      <c r="V219" s="455" t="s">
        <v>4913</v>
      </c>
      <c r="W219" s="455" t="s">
        <v>4913</v>
      </c>
      <c r="X219" s="455" t="s">
        <v>4913</v>
      </c>
      <c r="Y219" s="455" t="s">
        <v>4913</v>
      </c>
      <c r="Z219" s="455" t="s">
        <v>4913</v>
      </c>
      <c r="AA219" s="455" t="s">
        <v>4913</v>
      </c>
      <c r="AB219" s="455" t="s">
        <v>4913</v>
      </c>
      <c r="AC219" s="456" t="s">
        <v>1737</v>
      </c>
      <c r="AD219" s="459" t="s">
        <v>12544</v>
      </c>
      <c r="AE219" s="454" t="s">
        <v>12545</v>
      </c>
      <c r="AF219" s="460" t="s">
        <v>13419</v>
      </c>
      <c r="AG219" s="460" t="s">
        <v>12807</v>
      </c>
      <c r="AH219" s="460" t="s">
        <v>13416</v>
      </c>
    </row>
    <row r="220" spans="1:34">
      <c r="A220" s="453" t="s">
        <v>13420</v>
      </c>
      <c r="B220" s="454" t="s">
        <v>13421</v>
      </c>
      <c r="C220" s="454" t="s">
        <v>13422</v>
      </c>
      <c r="D220" s="454" t="s">
        <v>13423</v>
      </c>
      <c r="E220" s="454" t="s">
        <v>1732</v>
      </c>
      <c r="F220" s="459" t="s">
        <v>1736</v>
      </c>
      <c r="G220" s="455" t="s">
        <v>4913</v>
      </c>
      <c r="H220" s="455" t="s">
        <v>4913</v>
      </c>
      <c r="I220" s="455" t="s">
        <v>4913</v>
      </c>
      <c r="J220" s="455" t="s">
        <v>4913</v>
      </c>
      <c r="K220" s="455" t="s">
        <v>4913</v>
      </c>
      <c r="L220" s="455" t="s">
        <v>4913</v>
      </c>
      <c r="M220" s="455" t="s">
        <v>4913</v>
      </c>
      <c r="N220" s="455" t="s">
        <v>4913</v>
      </c>
      <c r="O220" s="455" t="s">
        <v>4913</v>
      </c>
      <c r="P220" s="455" t="s">
        <v>4913</v>
      </c>
      <c r="Q220" s="455" t="s">
        <v>4913</v>
      </c>
      <c r="R220" s="455" t="s">
        <v>4913</v>
      </c>
      <c r="S220" s="455" t="s">
        <v>4913</v>
      </c>
      <c r="T220" s="455" t="s">
        <v>4913</v>
      </c>
      <c r="U220" s="455" t="s">
        <v>4913</v>
      </c>
      <c r="V220" s="455" t="s">
        <v>4913</v>
      </c>
      <c r="W220" s="459" t="s">
        <v>1736</v>
      </c>
      <c r="X220" s="455" t="s">
        <v>4913</v>
      </c>
      <c r="Y220" s="455" t="s">
        <v>4913</v>
      </c>
      <c r="Z220" s="455" t="s">
        <v>4913</v>
      </c>
      <c r="AA220" s="455" t="s">
        <v>4913</v>
      </c>
      <c r="AB220" s="455" t="s">
        <v>4913</v>
      </c>
      <c r="AC220" s="456" t="s">
        <v>1737</v>
      </c>
      <c r="AD220" s="459" t="s">
        <v>12544</v>
      </c>
      <c r="AE220" s="454" t="s">
        <v>12545</v>
      </c>
      <c r="AF220" s="460" t="s">
        <v>13424</v>
      </c>
      <c r="AG220" s="460" t="s">
        <v>13425</v>
      </c>
      <c r="AH220" s="460" t="s">
        <v>13426</v>
      </c>
    </row>
    <row r="221" spans="1:34">
      <c r="A221" s="453" t="s">
        <v>13420</v>
      </c>
      <c r="B221" s="454" t="s">
        <v>13427</v>
      </c>
      <c r="C221" s="454" t="s">
        <v>13422</v>
      </c>
      <c r="D221" s="454" t="s">
        <v>13428</v>
      </c>
      <c r="E221" s="454" t="s">
        <v>1743</v>
      </c>
      <c r="F221" s="459" t="s">
        <v>1736</v>
      </c>
      <c r="G221" s="455" t="s">
        <v>4913</v>
      </c>
      <c r="H221" s="455" t="s">
        <v>4913</v>
      </c>
      <c r="I221" s="455" t="s">
        <v>4913</v>
      </c>
      <c r="J221" s="455" t="s">
        <v>4913</v>
      </c>
      <c r="K221" s="455" t="s">
        <v>4913</v>
      </c>
      <c r="L221" s="455" t="s">
        <v>4913</v>
      </c>
      <c r="M221" s="455" t="s">
        <v>4913</v>
      </c>
      <c r="N221" s="455" t="s">
        <v>4913</v>
      </c>
      <c r="O221" s="455" t="s">
        <v>4913</v>
      </c>
      <c r="P221" s="455" t="s">
        <v>4913</v>
      </c>
      <c r="Q221" s="455" t="s">
        <v>4913</v>
      </c>
      <c r="R221" s="455" t="s">
        <v>4913</v>
      </c>
      <c r="S221" s="455" t="s">
        <v>4913</v>
      </c>
      <c r="T221" s="455" t="s">
        <v>4913</v>
      </c>
      <c r="U221" s="455" t="s">
        <v>4913</v>
      </c>
      <c r="V221" s="455" t="s">
        <v>4913</v>
      </c>
      <c r="W221" s="455" t="s">
        <v>4913</v>
      </c>
      <c r="X221" s="455" t="s">
        <v>4913</v>
      </c>
      <c r="Y221" s="455" t="s">
        <v>4913</v>
      </c>
      <c r="Z221" s="455" t="s">
        <v>4913</v>
      </c>
      <c r="AA221" s="455" t="s">
        <v>4913</v>
      </c>
      <c r="AB221" s="455" t="s">
        <v>4913</v>
      </c>
      <c r="AC221" s="456" t="s">
        <v>1737</v>
      </c>
      <c r="AD221" s="459" t="s">
        <v>12544</v>
      </c>
      <c r="AE221" s="454" t="s">
        <v>12545</v>
      </c>
      <c r="AF221" s="460" t="s">
        <v>13429</v>
      </c>
      <c r="AG221" s="460" t="s">
        <v>13425</v>
      </c>
      <c r="AH221" s="460" t="s">
        <v>13426</v>
      </c>
    </row>
    <row r="222" spans="1:34">
      <c r="A222" s="453" t="s">
        <v>13420</v>
      </c>
      <c r="B222" s="454" t="s">
        <v>13430</v>
      </c>
      <c r="C222" s="454" t="s">
        <v>13422</v>
      </c>
      <c r="D222" s="454" t="s">
        <v>13431</v>
      </c>
      <c r="E222" s="454" t="s">
        <v>1743</v>
      </c>
      <c r="F222" s="459" t="s">
        <v>1736</v>
      </c>
      <c r="G222" s="455" t="s">
        <v>4913</v>
      </c>
      <c r="H222" s="455" t="s">
        <v>4913</v>
      </c>
      <c r="I222" s="455" t="s">
        <v>4913</v>
      </c>
      <c r="J222" s="455" t="s">
        <v>4913</v>
      </c>
      <c r="K222" s="455" t="s">
        <v>4913</v>
      </c>
      <c r="L222" s="455" t="s">
        <v>4913</v>
      </c>
      <c r="M222" s="455" t="s">
        <v>4913</v>
      </c>
      <c r="N222" s="455" t="s">
        <v>4913</v>
      </c>
      <c r="O222" s="455" t="s">
        <v>4913</v>
      </c>
      <c r="P222" s="455" t="s">
        <v>4913</v>
      </c>
      <c r="Q222" s="455" t="s">
        <v>4913</v>
      </c>
      <c r="R222" s="455" t="s">
        <v>4913</v>
      </c>
      <c r="S222" s="455" t="s">
        <v>4913</v>
      </c>
      <c r="T222" s="455" t="s">
        <v>4913</v>
      </c>
      <c r="U222" s="455" t="s">
        <v>4913</v>
      </c>
      <c r="V222" s="455" t="s">
        <v>4913</v>
      </c>
      <c r="W222" s="455" t="s">
        <v>4913</v>
      </c>
      <c r="X222" s="455" t="s">
        <v>4913</v>
      </c>
      <c r="Y222" s="455" t="s">
        <v>4913</v>
      </c>
      <c r="Z222" s="455" t="s">
        <v>4913</v>
      </c>
      <c r="AA222" s="455" t="s">
        <v>4913</v>
      </c>
      <c r="AB222" s="455" t="s">
        <v>4913</v>
      </c>
      <c r="AC222" s="456" t="s">
        <v>1737</v>
      </c>
      <c r="AD222" s="459" t="s">
        <v>12544</v>
      </c>
      <c r="AE222" s="454" t="s">
        <v>12545</v>
      </c>
      <c r="AF222" s="460" t="s">
        <v>13415</v>
      </c>
      <c r="AG222" s="460" t="s">
        <v>13425</v>
      </c>
      <c r="AH222" s="460" t="s">
        <v>13426</v>
      </c>
    </row>
    <row r="223" spans="1:34">
      <c r="A223" s="453" t="s">
        <v>13420</v>
      </c>
      <c r="B223" s="454" t="s">
        <v>13432</v>
      </c>
      <c r="C223" s="454" t="s">
        <v>13422</v>
      </c>
      <c r="D223" s="454" t="s">
        <v>13433</v>
      </c>
      <c r="E223" s="454" t="s">
        <v>1743</v>
      </c>
      <c r="F223" s="459" t="s">
        <v>1736</v>
      </c>
      <c r="G223" s="455" t="s">
        <v>4913</v>
      </c>
      <c r="H223" s="455" t="s">
        <v>4913</v>
      </c>
      <c r="I223" s="455" t="s">
        <v>4913</v>
      </c>
      <c r="J223" s="455" t="s">
        <v>4913</v>
      </c>
      <c r="K223" s="455" t="s">
        <v>4913</v>
      </c>
      <c r="L223" s="455" t="s">
        <v>4913</v>
      </c>
      <c r="M223" s="455" t="s">
        <v>4913</v>
      </c>
      <c r="N223" s="455" t="s">
        <v>4913</v>
      </c>
      <c r="O223" s="455" t="s">
        <v>4913</v>
      </c>
      <c r="P223" s="455" t="s">
        <v>4913</v>
      </c>
      <c r="Q223" s="455" t="s">
        <v>4913</v>
      </c>
      <c r="R223" s="455" t="s">
        <v>4913</v>
      </c>
      <c r="S223" s="455" t="s">
        <v>4913</v>
      </c>
      <c r="T223" s="455" t="s">
        <v>4913</v>
      </c>
      <c r="U223" s="455" t="s">
        <v>4913</v>
      </c>
      <c r="V223" s="455" t="s">
        <v>4913</v>
      </c>
      <c r="W223" s="455" t="s">
        <v>4913</v>
      </c>
      <c r="X223" s="455" t="s">
        <v>4913</v>
      </c>
      <c r="Y223" s="455" t="s">
        <v>4913</v>
      </c>
      <c r="Z223" s="455" t="s">
        <v>4913</v>
      </c>
      <c r="AA223" s="455" t="s">
        <v>4913</v>
      </c>
      <c r="AB223" s="455" t="s">
        <v>4913</v>
      </c>
      <c r="AC223" s="456" t="s">
        <v>1737</v>
      </c>
      <c r="AD223" s="459" t="s">
        <v>12544</v>
      </c>
      <c r="AE223" s="454" t="s">
        <v>12545</v>
      </c>
      <c r="AF223" s="454" t="s">
        <v>13434</v>
      </c>
      <c r="AG223" s="460" t="s">
        <v>13425</v>
      </c>
      <c r="AH223" s="460" t="s">
        <v>13426</v>
      </c>
    </row>
    <row r="224" spans="1:34">
      <c r="A224" s="453" t="s">
        <v>13435</v>
      </c>
      <c r="B224" s="454" t="s">
        <v>13436</v>
      </c>
      <c r="C224" s="454" t="s">
        <v>13437</v>
      </c>
      <c r="D224" s="454" t="s">
        <v>13438</v>
      </c>
      <c r="E224" s="454" t="s">
        <v>1732</v>
      </c>
      <c r="F224" s="459" t="s">
        <v>1736</v>
      </c>
      <c r="G224" s="455" t="s">
        <v>4913</v>
      </c>
      <c r="H224" s="455" t="s">
        <v>4913</v>
      </c>
      <c r="I224" s="455" t="s">
        <v>4913</v>
      </c>
      <c r="J224" s="455" t="s">
        <v>4913</v>
      </c>
      <c r="K224" s="455" t="s">
        <v>4913</v>
      </c>
      <c r="L224" s="455" t="s">
        <v>4913</v>
      </c>
      <c r="M224" s="455" t="s">
        <v>4913</v>
      </c>
      <c r="N224" s="455" t="s">
        <v>4913</v>
      </c>
      <c r="O224" s="455" t="s">
        <v>4913</v>
      </c>
      <c r="P224" s="455" t="s">
        <v>4913</v>
      </c>
      <c r="Q224" s="455" t="s">
        <v>4913</v>
      </c>
      <c r="R224" s="455" t="s">
        <v>4913</v>
      </c>
      <c r="S224" s="455" t="s">
        <v>4913</v>
      </c>
      <c r="T224" s="455" t="s">
        <v>4913</v>
      </c>
      <c r="U224" s="455" t="s">
        <v>4913</v>
      </c>
      <c r="V224" s="455" t="s">
        <v>4913</v>
      </c>
      <c r="W224" s="455" t="s">
        <v>4913</v>
      </c>
      <c r="X224" s="455" t="s">
        <v>4913</v>
      </c>
      <c r="Y224" s="455" t="s">
        <v>4913</v>
      </c>
      <c r="Z224" s="455" t="s">
        <v>4913</v>
      </c>
      <c r="AA224" s="455" t="s">
        <v>4913</v>
      </c>
      <c r="AB224" s="455" t="s">
        <v>4913</v>
      </c>
      <c r="AC224" s="456" t="s">
        <v>1737</v>
      </c>
      <c r="AD224" s="459" t="s">
        <v>12544</v>
      </c>
      <c r="AE224" s="457" t="s">
        <v>12545</v>
      </c>
      <c r="AF224" s="461" t="s">
        <v>13439</v>
      </c>
      <c r="AG224" s="461" t="s">
        <v>13440</v>
      </c>
      <c r="AH224" s="461" t="s">
        <v>13441</v>
      </c>
    </row>
    <row r="225" spans="1:34">
      <c r="A225" s="453" t="s">
        <v>13435</v>
      </c>
      <c r="B225" s="454" t="s">
        <v>13442</v>
      </c>
      <c r="C225" s="454" t="s">
        <v>13437</v>
      </c>
      <c r="D225" s="454" t="s">
        <v>13443</v>
      </c>
      <c r="E225" s="454" t="s">
        <v>1732</v>
      </c>
      <c r="F225" s="459" t="s">
        <v>1736</v>
      </c>
      <c r="G225" s="455" t="s">
        <v>4913</v>
      </c>
      <c r="H225" s="455" t="s">
        <v>4913</v>
      </c>
      <c r="I225" s="455" t="s">
        <v>4913</v>
      </c>
      <c r="J225" s="455" t="s">
        <v>4913</v>
      </c>
      <c r="K225" s="455" t="s">
        <v>4913</v>
      </c>
      <c r="L225" s="455" t="s">
        <v>4913</v>
      </c>
      <c r="M225" s="455" t="s">
        <v>4913</v>
      </c>
      <c r="N225" s="455" t="s">
        <v>4913</v>
      </c>
      <c r="O225" s="455" t="s">
        <v>4913</v>
      </c>
      <c r="P225" s="455" t="s">
        <v>4913</v>
      </c>
      <c r="Q225" s="455" t="s">
        <v>4913</v>
      </c>
      <c r="R225" s="455" t="s">
        <v>4913</v>
      </c>
      <c r="S225" s="455" t="s">
        <v>4913</v>
      </c>
      <c r="T225" s="455" t="s">
        <v>4913</v>
      </c>
      <c r="U225" s="455" t="s">
        <v>4913</v>
      </c>
      <c r="V225" s="455" t="s">
        <v>4913</v>
      </c>
      <c r="W225" s="455" t="s">
        <v>4913</v>
      </c>
      <c r="X225" s="455" t="s">
        <v>4913</v>
      </c>
      <c r="Y225" s="455" t="s">
        <v>4913</v>
      </c>
      <c r="Z225" s="455" t="s">
        <v>4913</v>
      </c>
      <c r="AA225" s="455" t="s">
        <v>4913</v>
      </c>
      <c r="AB225" s="455" t="s">
        <v>4913</v>
      </c>
      <c r="AC225" s="456" t="s">
        <v>1737</v>
      </c>
      <c r="AD225" s="459" t="s">
        <v>12544</v>
      </c>
      <c r="AE225" s="457" t="s">
        <v>12545</v>
      </c>
      <c r="AF225" s="461" t="s">
        <v>13439</v>
      </c>
      <c r="AG225" s="461" t="s">
        <v>13440</v>
      </c>
      <c r="AH225" s="461" t="s">
        <v>13441</v>
      </c>
    </row>
    <row r="226" spans="1:34">
      <c r="A226" s="453" t="s">
        <v>13435</v>
      </c>
      <c r="B226" s="454" t="s">
        <v>13444</v>
      </c>
      <c r="C226" s="454" t="s">
        <v>13437</v>
      </c>
      <c r="D226" s="454" t="s">
        <v>13445</v>
      </c>
      <c r="E226" s="454" t="s">
        <v>1732</v>
      </c>
      <c r="F226" s="459" t="s">
        <v>1736</v>
      </c>
      <c r="G226" s="455" t="s">
        <v>4913</v>
      </c>
      <c r="H226" s="455" t="s">
        <v>4913</v>
      </c>
      <c r="I226" s="455" t="s">
        <v>4913</v>
      </c>
      <c r="J226" s="455" t="s">
        <v>4913</v>
      </c>
      <c r="K226" s="455" t="s">
        <v>4913</v>
      </c>
      <c r="L226" s="455" t="s">
        <v>4913</v>
      </c>
      <c r="M226" s="455" t="s">
        <v>4913</v>
      </c>
      <c r="N226" s="455" t="s">
        <v>4913</v>
      </c>
      <c r="O226" s="455" t="s">
        <v>4913</v>
      </c>
      <c r="P226" s="455" t="s">
        <v>4913</v>
      </c>
      <c r="Q226" s="455" t="s">
        <v>4913</v>
      </c>
      <c r="R226" s="455" t="s">
        <v>4913</v>
      </c>
      <c r="S226" s="455" t="s">
        <v>4913</v>
      </c>
      <c r="T226" s="455" t="s">
        <v>4913</v>
      </c>
      <c r="U226" s="455" t="s">
        <v>4913</v>
      </c>
      <c r="V226" s="455" t="s">
        <v>4913</v>
      </c>
      <c r="W226" s="455" t="s">
        <v>4913</v>
      </c>
      <c r="X226" s="455" t="s">
        <v>4913</v>
      </c>
      <c r="Y226" s="455" t="s">
        <v>4913</v>
      </c>
      <c r="Z226" s="455" t="s">
        <v>4913</v>
      </c>
      <c r="AA226" s="455" t="s">
        <v>4913</v>
      </c>
      <c r="AB226" s="455" t="s">
        <v>4913</v>
      </c>
      <c r="AC226" s="456" t="s">
        <v>1737</v>
      </c>
      <c r="AD226" s="459" t="s">
        <v>12544</v>
      </c>
      <c r="AE226" s="457" t="s">
        <v>12545</v>
      </c>
      <c r="AF226" s="461" t="s">
        <v>13439</v>
      </c>
      <c r="AG226" s="461" t="s">
        <v>13440</v>
      </c>
      <c r="AH226" s="461" t="s">
        <v>13441</v>
      </c>
    </row>
    <row r="227" spans="1:34">
      <c r="A227" s="453" t="s">
        <v>13435</v>
      </c>
      <c r="B227" s="454" t="s">
        <v>13446</v>
      </c>
      <c r="C227" s="454" t="s">
        <v>13437</v>
      </c>
      <c r="D227" s="454" t="s">
        <v>13447</v>
      </c>
      <c r="E227" s="454" t="s">
        <v>1743</v>
      </c>
      <c r="F227" s="459" t="s">
        <v>1736</v>
      </c>
      <c r="G227" s="455" t="s">
        <v>4913</v>
      </c>
      <c r="H227" s="455" t="s">
        <v>4913</v>
      </c>
      <c r="I227" s="455" t="s">
        <v>4913</v>
      </c>
      <c r="J227" s="455" t="s">
        <v>4913</v>
      </c>
      <c r="K227" s="455" t="s">
        <v>4913</v>
      </c>
      <c r="L227" s="455" t="s">
        <v>4913</v>
      </c>
      <c r="M227" s="455" t="s">
        <v>4913</v>
      </c>
      <c r="N227" s="455" t="s">
        <v>4913</v>
      </c>
      <c r="O227" s="455" t="s">
        <v>4913</v>
      </c>
      <c r="P227" s="455" t="s">
        <v>4913</v>
      </c>
      <c r="Q227" s="455" t="s">
        <v>4913</v>
      </c>
      <c r="R227" s="455" t="s">
        <v>4913</v>
      </c>
      <c r="S227" s="455" t="s">
        <v>4913</v>
      </c>
      <c r="T227" s="455" t="s">
        <v>4913</v>
      </c>
      <c r="U227" s="455" t="s">
        <v>4913</v>
      </c>
      <c r="V227" s="455" t="s">
        <v>4913</v>
      </c>
      <c r="W227" s="455" t="s">
        <v>4913</v>
      </c>
      <c r="X227" s="455" t="s">
        <v>4913</v>
      </c>
      <c r="Y227" s="455" t="s">
        <v>4913</v>
      </c>
      <c r="Z227" s="455" t="s">
        <v>4913</v>
      </c>
      <c r="AA227" s="455" t="s">
        <v>4913</v>
      </c>
      <c r="AB227" s="455" t="s">
        <v>4913</v>
      </c>
      <c r="AC227" s="456" t="s">
        <v>1737</v>
      </c>
      <c r="AD227" s="459" t="s">
        <v>12544</v>
      </c>
      <c r="AE227" s="457" t="s">
        <v>12545</v>
      </c>
      <c r="AF227" s="461" t="s">
        <v>13419</v>
      </c>
      <c r="AG227" s="461" t="s">
        <v>13448</v>
      </c>
      <c r="AH227" s="461" t="s">
        <v>13449</v>
      </c>
    </row>
    <row r="228" spans="1:34">
      <c r="A228" s="453" t="s">
        <v>13450</v>
      </c>
      <c r="B228" s="454" t="s">
        <v>13451</v>
      </c>
      <c r="C228" s="454" t="s">
        <v>13452</v>
      </c>
      <c r="D228" s="454" t="s">
        <v>13453</v>
      </c>
      <c r="E228" s="454" t="s">
        <v>1732</v>
      </c>
      <c r="F228" s="459" t="s">
        <v>1736</v>
      </c>
      <c r="G228" s="455" t="s">
        <v>4913</v>
      </c>
      <c r="H228" s="455" t="s">
        <v>4913</v>
      </c>
      <c r="I228" s="455" t="s">
        <v>4913</v>
      </c>
      <c r="J228" s="455" t="s">
        <v>4913</v>
      </c>
      <c r="K228" s="455" t="s">
        <v>4913</v>
      </c>
      <c r="L228" s="455" t="s">
        <v>4913</v>
      </c>
      <c r="M228" s="455" t="s">
        <v>4913</v>
      </c>
      <c r="N228" s="455" t="s">
        <v>4913</v>
      </c>
      <c r="O228" s="455" t="s">
        <v>4913</v>
      </c>
      <c r="P228" s="455" t="s">
        <v>4913</v>
      </c>
      <c r="Q228" s="455" t="s">
        <v>4913</v>
      </c>
      <c r="R228" s="455" t="s">
        <v>4913</v>
      </c>
      <c r="S228" s="455" t="s">
        <v>4913</v>
      </c>
      <c r="T228" s="455" t="s">
        <v>4913</v>
      </c>
      <c r="U228" s="455" t="s">
        <v>4913</v>
      </c>
      <c r="V228" s="455" t="s">
        <v>4913</v>
      </c>
      <c r="W228" s="459" t="s">
        <v>1736</v>
      </c>
      <c r="X228" s="455" t="s">
        <v>4913</v>
      </c>
      <c r="Y228" s="455" t="s">
        <v>4913</v>
      </c>
      <c r="Z228" s="455" t="s">
        <v>4913</v>
      </c>
      <c r="AA228" s="455" t="s">
        <v>4913</v>
      </c>
      <c r="AB228" s="455" t="s">
        <v>4913</v>
      </c>
      <c r="AC228" s="456" t="s">
        <v>1737</v>
      </c>
      <c r="AD228" s="459" t="s">
        <v>12544</v>
      </c>
      <c r="AE228" s="454" t="s">
        <v>12545</v>
      </c>
      <c r="AF228" s="460" t="s">
        <v>13454</v>
      </c>
      <c r="AG228" s="462">
        <v>44561</v>
      </c>
      <c r="AH228" s="460" t="s">
        <v>13455</v>
      </c>
    </row>
    <row r="229" spans="1:34">
      <c r="A229" s="453" t="s">
        <v>13450</v>
      </c>
      <c r="B229" s="454" t="s">
        <v>13456</v>
      </c>
      <c r="C229" s="454" t="s">
        <v>13452</v>
      </c>
      <c r="D229" s="454" t="s">
        <v>13457</v>
      </c>
      <c r="E229" s="454" t="s">
        <v>1743</v>
      </c>
      <c r="F229" s="459" t="s">
        <v>1736</v>
      </c>
      <c r="G229" s="455" t="s">
        <v>4913</v>
      </c>
      <c r="H229" s="455" t="s">
        <v>4913</v>
      </c>
      <c r="I229" s="455" t="s">
        <v>4913</v>
      </c>
      <c r="J229" s="455" t="s">
        <v>4913</v>
      </c>
      <c r="K229" s="455" t="s">
        <v>4913</v>
      </c>
      <c r="L229" s="455" t="s">
        <v>4913</v>
      </c>
      <c r="M229" s="455" t="s">
        <v>4913</v>
      </c>
      <c r="N229" s="455" t="s">
        <v>4913</v>
      </c>
      <c r="O229" s="455" t="s">
        <v>4913</v>
      </c>
      <c r="P229" s="455" t="s">
        <v>4913</v>
      </c>
      <c r="Q229" s="455" t="s">
        <v>4913</v>
      </c>
      <c r="R229" s="455" t="s">
        <v>4913</v>
      </c>
      <c r="S229" s="455" t="s">
        <v>4913</v>
      </c>
      <c r="T229" s="455" t="s">
        <v>4913</v>
      </c>
      <c r="U229" s="455" t="s">
        <v>4913</v>
      </c>
      <c r="V229" s="455" t="s">
        <v>4913</v>
      </c>
      <c r="W229" s="455" t="s">
        <v>4913</v>
      </c>
      <c r="X229" s="455" t="s">
        <v>4913</v>
      </c>
      <c r="Y229" s="455" t="s">
        <v>4913</v>
      </c>
      <c r="Z229" s="455" t="s">
        <v>4913</v>
      </c>
      <c r="AA229" s="455" t="s">
        <v>4913</v>
      </c>
      <c r="AB229" s="455" t="s">
        <v>4913</v>
      </c>
      <c r="AC229" s="456" t="s">
        <v>1737</v>
      </c>
      <c r="AD229" s="459" t="s">
        <v>12544</v>
      </c>
      <c r="AE229" s="454" t="s">
        <v>12545</v>
      </c>
      <c r="AF229" s="460" t="s">
        <v>13458</v>
      </c>
      <c r="AG229" s="462">
        <v>44561</v>
      </c>
      <c r="AH229" s="460" t="s">
        <v>13455</v>
      </c>
    </row>
    <row r="230" spans="1:34">
      <c r="A230" s="453" t="s">
        <v>13450</v>
      </c>
      <c r="B230" s="454" t="s">
        <v>13459</v>
      </c>
      <c r="C230" s="454" t="s">
        <v>13452</v>
      </c>
      <c r="D230" s="454" t="s">
        <v>13460</v>
      </c>
      <c r="E230" s="454" t="s">
        <v>1743</v>
      </c>
      <c r="F230" s="459" t="s">
        <v>1736</v>
      </c>
      <c r="G230" s="455" t="s">
        <v>4913</v>
      </c>
      <c r="H230" s="455" t="s">
        <v>4913</v>
      </c>
      <c r="I230" s="455" t="s">
        <v>4913</v>
      </c>
      <c r="J230" s="455" t="s">
        <v>4913</v>
      </c>
      <c r="K230" s="455" t="s">
        <v>4913</v>
      </c>
      <c r="L230" s="455" t="s">
        <v>4913</v>
      </c>
      <c r="M230" s="455" t="s">
        <v>4913</v>
      </c>
      <c r="N230" s="455" t="s">
        <v>4913</v>
      </c>
      <c r="O230" s="455" t="s">
        <v>4913</v>
      </c>
      <c r="P230" s="455" t="s">
        <v>4913</v>
      </c>
      <c r="Q230" s="455" t="s">
        <v>4913</v>
      </c>
      <c r="R230" s="455" t="s">
        <v>4913</v>
      </c>
      <c r="S230" s="455" t="s">
        <v>4913</v>
      </c>
      <c r="T230" s="455" t="s">
        <v>4913</v>
      </c>
      <c r="U230" s="455" t="s">
        <v>4913</v>
      </c>
      <c r="V230" s="455" t="s">
        <v>4913</v>
      </c>
      <c r="W230" s="455" t="s">
        <v>4913</v>
      </c>
      <c r="X230" s="455" t="s">
        <v>4913</v>
      </c>
      <c r="Y230" s="455" t="s">
        <v>4913</v>
      </c>
      <c r="Z230" s="455" t="s">
        <v>4913</v>
      </c>
      <c r="AA230" s="455" t="s">
        <v>4913</v>
      </c>
      <c r="AB230" s="455" t="s">
        <v>4913</v>
      </c>
      <c r="AC230" s="456" t="s">
        <v>1737</v>
      </c>
      <c r="AD230" s="459" t="s">
        <v>12544</v>
      </c>
      <c r="AE230" s="454" t="s">
        <v>12545</v>
      </c>
      <c r="AF230" s="460" t="s">
        <v>13458</v>
      </c>
      <c r="AG230" s="462">
        <v>44561</v>
      </c>
      <c r="AH230" s="460" t="s">
        <v>13455</v>
      </c>
    </row>
    <row r="231" spans="1:34">
      <c r="A231" s="453" t="s">
        <v>13450</v>
      </c>
      <c r="B231" s="454" t="s">
        <v>13461</v>
      </c>
      <c r="C231" s="454" t="s">
        <v>13452</v>
      </c>
      <c r="D231" s="454" t="s">
        <v>13462</v>
      </c>
      <c r="E231" s="454" t="s">
        <v>1743</v>
      </c>
      <c r="F231" s="459" t="s">
        <v>1736</v>
      </c>
      <c r="G231" s="455" t="s">
        <v>4913</v>
      </c>
      <c r="H231" s="455" t="s">
        <v>4913</v>
      </c>
      <c r="I231" s="455" t="s">
        <v>4913</v>
      </c>
      <c r="J231" s="455" t="s">
        <v>4913</v>
      </c>
      <c r="K231" s="455" t="s">
        <v>4913</v>
      </c>
      <c r="L231" s="455" t="s">
        <v>4913</v>
      </c>
      <c r="M231" s="455" t="s">
        <v>4913</v>
      </c>
      <c r="N231" s="455" t="s">
        <v>4913</v>
      </c>
      <c r="O231" s="455" t="s">
        <v>4913</v>
      </c>
      <c r="P231" s="455" t="s">
        <v>4913</v>
      </c>
      <c r="Q231" s="455" t="s">
        <v>4913</v>
      </c>
      <c r="R231" s="455" t="s">
        <v>4913</v>
      </c>
      <c r="S231" s="455" t="s">
        <v>4913</v>
      </c>
      <c r="T231" s="455" t="s">
        <v>4913</v>
      </c>
      <c r="U231" s="455" t="s">
        <v>4913</v>
      </c>
      <c r="V231" s="455" t="s">
        <v>4913</v>
      </c>
      <c r="W231" s="455" t="s">
        <v>4913</v>
      </c>
      <c r="X231" s="455" t="s">
        <v>4913</v>
      </c>
      <c r="Y231" s="455" t="s">
        <v>4913</v>
      </c>
      <c r="Z231" s="455" t="s">
        <v>4913</v>
      </c>
      <c r="AA231" s="455" t="s">
        <v>4913</v>
      </c>
      <c r="AB231" s="455" t="s">
        <v>4913</v>
      </c>
      <c r="AC231" s="456" t="s">
        <v>1737</v>
      </c>
      <c r="AD231" s="459" t="s">
        <v>12544</v>
      </c>
      <c r="AE231" s="454" t="s">
        <v>12545</v>
      </c>
      <c r="AF231" s="460" t="s">
        <v>13458</v>
      </c>
      <c r="AG231" s="462">
        <v>44561</v>
      </c>
      <c r="AH231" s="460" t="s">
        <v>13455</v>
      </c>
    </row>
    <row r="232" spans="1:34">
      <c r="A232" s="453" t="s">
        <v>13463</v>
      </c>
      <c r="B232" s="454" t="s">
        <v>13464</v>
      </c>
      <c r="C232" s="454" t="s">
        <v>13465</v>
      </c>
      <c r="D232" s="454" t="s">
        <v>13466</v>
      </c>
      <c r="E232" s="454" t="s">
        <v>1732</v>
      </c>
      <c r="F232" s="459" t="s">
        <v>1736</v>
      </c>
      <c r="G232" s="455" t="s">
        <v>4913</v>
      </c>
      <c r="H232" s="455" t="s">
        <v>4913</v>
      </c>
      <c r="I232" s="455" t="s">
        <v>4913</v>
      </c>
      <c r="J232" s="455" t="s">
        <v>4913</v>
      </c>
      <c r="K232" s="455" t="s">
        <v>4913</v>
      </c>
      <c r="L232" s="455" t="s">
        <v>4913</v>
      </c>
      <c r="M232" s="455" t="s">
        <v>4913</v>
      </c>
      <c r="N232" s="455" t="s">
        <v>4913</v>
      </c>
      <c r="O232" s="455" t="s">
        <v>4913</v>
      </c>
      <c r="P232" s="455" t="s">
        <v>4913</v>
      </c>
      <c r="Q232" s="455" t="s">
        <v>4913</v>
      </c>
      <c r="R232" s="455" t="s">
        <v>4913</v>
      </c>
      <c r="S232" s="455" t="s">
        <v>4913</v>
      </c>
      <c r="T232" s="455" t="s">
        <v>4913</v>
      </c>
      <c r="U232" s="455" t="s">
        <v>4913</v>
      </c>
      <c r="V232" s="455" t="s">
        <v>4913</v>
      </c>
      <c r="W232" s="455" t="s">
        <v>4913</v>
      </c>
      <c r="X232" s="455" t="s">
        <v>4913</v>
      </c>
      <c r="Y232" s="455" t="s">
        <v>4913</v>
      </c>
      <c r="Z232" s="455" t="s">
        <v>4913</v>
      </c>
      <c r="AA232" s="455" t="s">
        <v>4913</v>
      </c>
      <c r="AB232" s="455" t="s">
        <v>4913</v>
      </c>
      <c r="AC232" s="456" t="s">
        <v>1737</v>
      </c>
      <c r="AD232" s="459" t="s">
        <v>12544</v>
      </c>
      <c r="AE232" s="454" t="s">
        <v>12545</v>
      </c>
      <c r="AF232" s="454" t="s">
        <v>13467</v>
      </c>
      <c r="AG232" s="460" t="s">
        <v>13112</v>
      </c>
      <c r="AH232" s="460" t="s">
        <v>13468</v>
      </c>
    </row>
    <row r="233" spans="1:34">
      <c r="A233" s="453" t="s">
        <v>13463</v>
      </c>
      <c r="B233" s="454" t="s">
        <v>13469</v>
      </c>
      <c r="C233" s="454" t="s">
        <v>13465</v>
      </c>
      <c r="D233" s="454" t="s">
        <v>13470</v>
      </c>
      <c r="E233" s="454" t="s">
        <v>1743</v>
      </c>
      <c r="F233" s="459" t="s">
        <v>1736</v>
      </c>
      <c r="G233" s="455" t="s">
        <v>4913</v>
      </c>
      <c r="H233" s="455" t="s">
        <v>4913</v>
      </c>
      <c r="I233" s="455" t="s">
        <v>4913</v>
      </c>
      <c r="J233" s="455" t="s">
        <v>4913</v>
      </c>
      <c r="K233" s="455" t="s">
        <v>4913</v>
      </c>
      <c r="L233" s="455" t="s">
        <v>4913</v>
      </c>
      <c r="M233" s="455" t="s">
        <v>4913</v>
      </c>
      <c r="N233" s="455" t="s">
        <v>4913</v>
      </c>
      <c r="O233" s="455" t="s">
        <v>4913</v>
      </c>
      <c r="P233" s="455" t="s">
        <v>4913</v>
      </c>
      <c r="Q233" s="455" t="s">
        <v>4913</v>
      </c>
      <c r="R233" s="455" t="s">
        <v>4913</v>
      </c>
      <c r="S233" s="455" t="s">
        <v>4913</v>
      </c>
      <c r="T233" s="455" t="s">
        <v>4913</v>
      </c>
      <c r="U233" s="455" t="s">
        <v>4913</v>
      </c>
      <c r="V233" s="455" t="s">
        <v>4913</v>
      </c>
      <c r="W233" s="455" t="s">
        <v>4913</v>
      </c>
      <c r="X233" s="455" t="s">
        <v>4913</v>
      </c>
      <c r="Y233" s="455" t="s">
        <v>4913</v>
      </c>
      <c r="Z233" s="455" t="s">
        <v>4913</v>
      </c>
      <c r="AA233" s="455" t="s">
        <v>4913</v>
      </c>
      <c r="AB233" s="455" t="s">
        <v>4913</v>
      </c>
      <c r="AC233" s="456" t="s">
        <v>1737</v>
      </c>
      <c r="AD233" s="459" t="s">
        <v>12544</v>
      </c>
      <c r="AE233" s="454" t="s">
        <v>12545</v>
      </c>
      <c r="AF233" s="454" t="s">
        <v>13471</v>
      </c>
      <c r="AG233" s="460" t="s">
        <v>12603</v>
      </c>
      <c r="AH233" s="460" t="s">
        <v>13472</v>
      </c>
    </row>
    <row r="234" spans="1:34">
      <c r="A234" s="453" t="s">
        <v>13473</v>
      </c>
      <c r="B234" s="454" t="s">
        <v>13474</v>
      </c>
      <c r="C234" s="454" t="s">
        <v>13475</v>
      </c>
      <c r="D234" s="454" t="s">
        <v>13476</v>
      </c>
      <c r="E234" s="454" t="s">
        <v>1732</v>
      </c>
      <c r="F234" s="459" t="s">
        <v>1736</v>
      </c>
      <c r="G234" s="455" t="s">
        <v>4913</v>
      </c>
      <c r="H234" s="455" t="s">
        <v>4913</v>
      </c>
      <c r="I234" s="455" t="s">
        <v>4913</v>
      </c>
      <c r="J234" s="455" t="s">
        <v>4913</v>
      </c>
      <c r="K234" s="455" t="s">
        <v>4913</v>
      </c>
      <c r="L234" s="455" t="s">
        <v>4913</v>
      </c>
      <c r="M234" s="455" t="s">
        <v>4913</v>
      </c>
      <c r="N234" s="455" t="s">
        <v>4913</v>
      </c>
      <c r="O234" s="455" t="s">
        <v>4913</v>
      </c>
      <c r="P234" s="455" t="s">
        <v>4913</v>
      </c>
      <c r="Q234" s="455" t="s">
        <v>4913</v>
      </c>
      <c r="R234" s="455" t="s">
        <v>4913</v>
      </c>
      <c r="S234" s="455" t="s">
        <v>4913</v>
      </c>
      <c r="T234" s="455" t="s">
        <v>4913</v>
      </c>
      <c r="U234" s="455" t="s">
        <v>4913</v>
      </c>
      <c r="V234" s="455" t="s">
        <v>4913</v>
      </c>
      <c r="W234" s="459" t="s">
        <v>1736</v>
      </c>
      <c r="X234" s="455" t="s">
        <v>4913</v>
      </c>
      <c r="Y234" s="455" t="s">
        <v>4913</v>
      </c>
      <c r="Z234" s="455" t="s">
        <v>4913</v>
      </c>
      <c r="AA234" s="455" t="s">
        <v>4913</v>
      </c>
      <c r="AB234" s="455" t="s">
        <v>4913</v>
      </c>
      <c r="AC234" s="456" t="s">
        <v>1737</v>
      </c>
      <c r="AD234" s="459" t="s">
        <v>12544</v>
      </c>
      <c r="AE234" s="454" t="s">
        <v>12545</v>
      </c>
      <c r="AF234" s="460" t="s">
        <v>13477</v>
      </c>
      <c r="AG234" s="462">
        <v>44561</v>
      </c>
      <c r="AH234" s="460" t="s">
        <v>13478</v>
      </c>
    </row>
    <row r="235" spans="1:34">
      <c r="A235" s="453" t="s">
        <v>13473</v>
      </c>
      <c r="B235" s="454" t="s">
        <v>13479</v>
      </c>
      <c r="C235" s="454" t="s">
        <v>13475</v>
      </c>
      <c r="D235" s="454" t="s">
        <v>13480</v>
      </c>
      <c r="E235" s="454" t="s">
        <v>1743</v>
      </c>
      <c r="F235" s="459" t="s">
        <v>1736</v>
      </c>
      <c r="G235" s="455" t="s">
        <v>4913</v>
      </c>
      <c r="H235" s="455" t="s">
        <v>4913</v>
      </c>
      <c r="I235" s="455" t="s">
        <v>4913</v>
      </c>
      <c r="J235" s="455" t="s">
        <v>4913</v>
      </c>
      <c r="K235" s="455" t="s">
        <v>4913</v>
      </c>
      <c r="L235" s="455" t="s">
        <v>4913</v>
      </c>
      <c r="M235" s="455" t="s">
        <v>4913</v>
      </c>
      <c r="N235" s="455" t="s">
        <v>4913</v>
      </c>
      <c r="O235" s="455" t="s">
        <v>4913</v>
      </c>
      <c r="P235" s="455" t="s">
        <v>4913</v>
      </c>
      <c r="Q235" s="455" t="s">
        <v>4913</v>
      </c>
      <c r="R235" s="455" t="s">
        <v>4913</v>
      </c>
      <c r="S235" s="455" t="s">
        <v>4913</v>
      </c>
      <c r="T235" s="455" t="s">
        <v>4913</v>
      </c>
      <c r="U235" s="455" t="s">
        <v>4913</v>
      </c>
      <c r="V235" s="455" t="s">
        <v>4913</v>
      </c>
      <c r="W235" s="455" t="s">
        <v>4913</v>
      </c>
      <c r="X235" s="455" t="s">
        <v>4913</v>
      </c>
      <c r="Y235" s="455" t="s">
        <v>4913</v>
      </c>
      <c r="Z235" s="455" t="s">
        <v>4913</v>
      </c>
      <c r="AA235" s="455" t="s">
        <v>4913</v>
      </c>
      <c r="AB235" s="455" t="s">
        <v>4913</v>
      </c>
      <c r="AC235" s="456" t="s">
        <v>1737</v>
      </c>
      <c r="AD235" s="459" t="s">
        <v>12544</v>
      </c>
      <c r="AE235" s="454" t="s">
        <v>12545</v>
      </c>
      <c r="AF235" s="454" t="s">
        <v>13481</v>
      </c>
      <c r="AG235" s="462">
        <v>44561</v>
      </c>
      <c r="AH235" s="460" t="s">
        <v>13478</v>
      </c>
    </row>
    <row r="236" spans="1:34">
      <c r="A236" s="453" t="s">
        <v>13473</v>
      </c>
      <c r="B236" s="454" t="s">
        <v>13482</v>
      </c>
      <c r="C236" s="454" t="s">
        <v>13475</v>
      </c>
      <c r="D236" s="454" t="s">
        <v>13483</v>
      </c>
      <c r="E236" s="454" t="s">
        <v>1743</v>
      </c>
      <c r="F236" s="459" t="s">
        <v>1736</v>
      </c>
      <c r="G236" s="455" t="s">
        <v>4913</v>
      </c>
      <c r="H236" s="455" t="s">
        <v>4913</v>
      </c>
      <c r="I236" s="455" t="s">
        <v>4913</v>
      </c>
      <c r="J236" s="455" t="s">
        <v>4913</v>
      </c>
      <c r="K236" s="455" t="s">
        <v>4913</v>
      </c>
      <c r="L236" s="455" t="s">
        <v>4913</v>
      </c>
      <c r="M236" s="455" t="s">
        <v>4913</v>
      </c>
      <c r="N236" s="455" t="s">
        <v>4913</v>
      </c>
      <c r="O236" s="455" t="s">
        <v>4913</v>
      </c>
      <c r="P236" s="455" t="s">
        <v>4913</v>
      </c>
      <c r="Q236" s="455" t="s">
        <v>4913</v>
      </c>
      <c r="R236" s="455" t="s">
        <v>4913</v>
      </c>
      <c r="S236" s="455" t="s">
        <v>4913</v>
      </c>
      <c r="T236" s="455" t="s">
        <v>4913</v>
      </c>
      <c r="U236" s="455" t="s">
        <v>4913</v>
      </c>
      <c r="V236" s="455" t="s">
        <v>4913</v>
      </c>
      <c r="W236" s="455" t="s">
        <v>4913</v>
      </c>
      <c r="X236" s="455" t="s">
        <v>4913</v>
      </c>
      <c r="Y236" s="455" t="s">
        <v>4913</v>
      </c>
      <c r="Z236" s="455" t="s">
        <v>4913</v>
      </c>
      <c r="AA236" s="455" t="s">
        <v>4913</v>
      </c>
      <c r="AB236" s="455" t="s">
        <v>4913</v>
      </c>
      <c r="AC236" s="456" t="s">
        <v>1737</v>
      </c>
      <c r="AD236" s="459" t="s">
        <v>12544</v>
      </c>
      <c r="AE236" s="461" t="s">
        <v>12545</v>
      </c>
      <c r="AF236" s="461" t="s">
        <v>13484</v>
      </c>
      <c r="AG236" s="462">
        <v>44561</v>
      </c>
      <c r="AH236" s="460" t="s">
        <v>13478</v>
      </c>
    </row>
    <row r="237" spans="1:34">
      <c r="A237" s="453" t="s">
        <v>13485</v>
      </c>
      <c r="B237" s="454" t="s">
        <v>13486</v>
      </c>
      <c r="C237" s="454" t="s">
        <v>13487</v>
      </c>
      <c r="D237" s="454" t="s">
        <v>13488</v>
      </c>
      <c r="E237" s="454" t="s">
        <v>1732</v>
      </c>
      <c r="F237" s="459" t="s">
        <v>1736</v>
      </c>
      <c r="G237" s="459" t="s">
        <v>1736</v>
      </c>
      <c r="H237" s="455" t="s">
        <v>4913</v>
      </c>
      <c r="I237" s="455" t="s">
        <v>4913</v>
      </c>
      <c r="J237" s="455" t="s">
        <v>4913</v>
      </c>
      <c r="K237" s="455" t="s">
        <v>4913</v>
      </c>
      <c r="L237" s="455" t="s">
        <v>4913</v>
      </c>
      <c r="M237" s="455" t="s">
        <v>4913</v>
      </c>
      <c r="N237" s="455" t="s">
        <v>4913</v>
      </c>
      <c r="O237" s="455" t="s">
        <v>4913</v>
      </c>
      <c r="P237" s="455" t="s">
        <v>4913</v>
      </c>
      <c r="Q237" s="455" t="s">
        <v>4913</v>
      </c>
      <c r="R237" s="455" t="s">
        <v>4913</v>
      </c>
      <c r="S237" s="455" t="s">
        <v>4913</v>
      </c>
      <c r="T237" s="455" t="s">
        <v>4913</v>
      </c>
      <c r="U237" s="455" t="s">
        <v>4913</v>
      </c>
      <c r="V237" s="455" t="s">
        <v>4913</v>
      </c>
      <c r="W237" s="455" t="s">
        <v>4913</v>
      </c>
      <c r="X237" s="455" t="s">
        <v>4913</v>
      </c>
      <c r="Y237" s="455" t="s">
        <v>4913</v>
      </c>
      <c r="Z237" s="455" t="s">
        <v>4913</v>
      </c>
      <c r="AA237" s="455" t="s">
        <v>4913</v>
      </c>
      <c r="AB237" s="455" t="s">
        <v>4913</v>
      </c>
      <c r="AC237" s="456" t="s">
        <v>1737</v>
      </c>
      <c r="AD237" s="459" t="s">
        <v>12544</v>
      </c>
      <c r="AE237" s="454" t="s">
        <v>12545</v>
      </c>
      <c r="AF237" s="460" t="s">
        <v>13489</v>
      </c>
      <c r="AG237" s="460" t="s">
        <v>13216</v>
      </c>
      <c r="AH237" s="460" t="s">
        <v>13490</v>
      </c>
    </row>
    <row r="238" spans="1:34">
      <c r="A238" s="453" t="s">
        <v>13491</v>
      </c>
      <c r="B238" s="454" t="s">
        <v>13492</v>
      </c>
      <c r="C238" s="454" t="s">
        <v>13493</v>
      </c>
      <c r="D238" s="454" t="s">
        <v>13494</v>
      </c>
      <c r="E238" s="454" t="s">
        <v>1732</v>
      </c>
      <c r="F238" s="459" t="s">
        <v>1736</v>
      </c>
      <c r="G238" s="459" t="s">
        <v>1736</v>
      </c>
      <c r="H238" s="455" t="s">
        <v>4913</v>
      </c>
      <c r="I238" s="455" t="s">
        <v>4913</v>
      </c>
      <c r="J238" s="455" t="s">
        <v>4913</v>
      </c>
      <c r="K238" s="455" t="s">
        <v>4913</v>
      </c>
      <c r="L238" s="455" t="s">
        <v>4913</v>
      </c>
      <c r="M238" s="455" t="s">
        <v>4913</v>
      </c>
      <c r="N238" s="455" t="s">
        <v>4913</v>
      </c>
      <c r="O238" s="455" t="s">
        <v>4913</v>
      </c>
      <c r="P238" s="455" t="s">
        <v>4913</v>
      </c>
      <c r="Q238" s="455" t="s">
        <v>4913</v>
      </c>
      <c r="R238" s="455" t="s">
        <v>4913</v>
      </c>
      <c r="S238" s="455" t="s">
        <v>4913</v>
      </c>
      <c r="T238" s="455" t="s">
        <v>4913</v>
      </c>
      <c r="U238" s="455" t="s">
        <v>4913</v>
      </c>
      <c r="V238" s="455" t="s">
        <v>4913</v>
      </c>
      <c r="W238" s="459" t="s">
        <v>1736</v>
      </c>
      <c r="X238" s="459" t="s">
        <v>1736</v>
      </c>
      <c r="Y238" s="459" t="s">
        <v>1736</v>
      </c>
      <c r="Z238" s="455" t="s">
        <v>4913</v>
      </c>
      <c r="AA238" s="455" t="s">
        <v>4913</v>
      </c>
      <c r="AB238" s="455" t="s">
        <v>4913</v>
      </c>
      <c r="AC238" s="456" t="s">
        <v>1737</v>
      </c>
      <c r="AD238" s="459" t="s">
        <v>12544</v>
      </c>
      <c r="AE238" s="454" t="s">
        <v>13495</v>
      </c>
      <c r="AF238" s="460" t="s">
        <v>13496</v>
      </c>
      <c r="AG238" s="460" t="s">
        <v>13216</v>
      </c>
      <c r="AH238" s="460" t="s">
        <v>13497</v>
      </c>
    </row>
    <row r="239" spans="1:34">
      <c r="A239" s="453" t="s">
        <v>13491</v>
      </c>
      <c r="B239" s="454" t="s">
        <v>13498</v>
      </c>
      <c r="C239" s="454" t="s">
        <v>13493</v>
      </c>
      <c r="D239" s="454" t="s">
        <v>13499</v>
      </c>
      <c r="E239" s="454" t="s">
        <v>1743</v>
      </c>
      <c r="F239" s="459" t="s">
        <v>1736</v>
      </c>
      <c r="G239" s="459" t="s">
        <v>1736</v>
      </c>
      <c r="H239" s="455" t="s">
        <v>4913</v>
      </c>
      <c r="I239" s="455" t="s">
        <v>4913</v>
      </c>
      <c r="J239" s="455" t="s">
        <v>4913</v>
      </c>
      <c r="K239" s="455" t="s">
        <v>4913</v>
      </c>
      <c r="L239" s="455" t="s">
        <v>4913</v>
      </c>
      <c r="M239" s="455" t="s">
        <v>4913</v>
      </c>
      <c r="N239" s="455" t="s">
        <v>4913</v>
      </c>
      <c r="O239" s="455" t="s">
        <v>4913</v>
      </c>
      <c r="P239" s="455" t="s">
        <v>4913</v>
      </c>
      <c r="Q239" s="455" t="s">
        <v>4913</v>
      </c>
      <c r="R239" s="455" t="s">
        <v>4913</v>
      </c>
      <c r="S239" s="455" t="s">
        <v>4913</v>
      </c>
      <c r="T239" s="455" t="s">
        <v>4913</v>
      </c>
      <c r="U239" s="455" t="s">
        <v>4913</v>
      </c>
      <c r="V239" s="455" t="s">
        <v>4913</v>
      </c>
      <c r="W239" s="455" t="s">
        <v>4913</v>
      </c>
      <c r="X239" s="455" t="s">
        <v>4913</v>
      </c>
      <c r="Y239" s="455" t="s">
        <v>4913</v>
      </c>
      <c r="Z239" s="455" t="s">
        <v>4913</v>
      </c>
      <c r="AA239" s="455" t="s">
        <v>4913</v>
      </c>
      <c r="AB239" s="455" t="s">
        <v>4913</v>
      </c>
      <c r="AC239" s="456" t="s">
        <v>1737</v>
      </c>
      <c r="AD239" s="459" t="s">
        <v>12544</v>
      </c>
      <c r="AE239" s="454" t="s">
        <v>12545</v>
      </c>
      <c r="AF239" s="460" t="s">
        <v>13500</v>
      </c>
      <c r="AG239" s="460" t="s">
        <v>13216</v>
      </c>
      <c r="AH239" s="460" t="s">
        <v>13497</v>
      </c>
    </row>
    <row r="240" spans="1:34">
      <c r="A240" s="453" t="s">
        <v>13491</v>
      </c>
      <c r="B240" s="454" t="s">
        <v>13501</v>
      </c>
      <c r="C240" s="454" t="s">
        <v>13493</v>
      </c>
      <c r="D240" s="454" t="s">
        <v>13502</v>
      </c>
      <c r="E240" s="454" t="s">
        <v>1743</v>
      </c>
      <c r="F240" s="459" t="s">
        <v>1736</v>
      </c>
      <c r="G240" s="459" t="s">
        <v>1736</v>
      </c>
      <c r="H240" s="455" t="s">
        <v>4913</v>
      </c>
      <c r="I240" s="455" t="s">
        <v>4913</v>
      </c>
      <c r="J240" s="455" t="s">
        <v>4913</v>
      </c>
      <c r="K240" s="455" t="s">
        <v>4913</v>
      </c>
      <c r="L240" s="455" t="s">
        <v>4913</v>
      </c>
      <c r="M240" s="455" t="s">
        <v>4913</v>
      </c>
      <c r="N240" s="455" t="s">
        <v>4913</v>
      </c>
      <c r="O240" s="455" t="s">
        <v>4913</v>
      </c>
      <c r="P240" s="455" t="s">
        <v>4913</v>
      </c>
      <c r="Q240" s="455" t="s">
        <v>4913</v>
      </c>
      <c r="R240" s="455" t="s">
        <v>4913</v>
      </c>
      <c r="S240" s="455" t="s">
        <v>4913</v>
      </c>
      <c r="T240" s="455" t="s">
        <v>4913</v>
      </c>
      <c r="U240" s="455" t="s">
        <v>4913</v>
      </c>
      <c r="V240" s="455" t="s">
        <v>4913</v>
      </c>
      <c r="W240" s="455" t="s">
        <v>4913</v>
      </c>
      <c r="X240" s="455" t="s">
        <v>4913</v>
      </c>
      <c r="Y240" s="455" t="s">
        <v>4913</v>
      </c>
      <c r="Z240" s="455" t="s">
        <v>4913</v>
      </c>
      <c r="AA240" s="455" t="s">
        <v>4913</v>
      </c>
      <c r="AB240" s="455" t="s">
        <v>4913</v>
      </c>
      <c r="AC240" s="456" t="s">
        <v>1737</v>
      </c>
      <c r="AD240" s="459" t="s">
        <v>12544</v>
      </c>
      <c r="AE240" s="454" t="s">
        <v>12545</v>
      </c>
      <c r="AF240" s="460" t="s">
        <v>13500</v>
      </c>
      <c r="AG240" s="460" t="s">
        <v>13216</v>
      </c>
      <c r="AH240" s="460" t="s">
        <v>13497</v>
      </c>
    </row>
    <row r="241" spans="1:34">
      <c r="A241" s="453" t="s">
        <v>13503</v>
      </c>
      <c r="B241" s="454" t="s">
        <v>13504</v>
      </c>
      <c r="C241" s="454" t="s">
        <v>13505</v>
      </c>
      <c r="D241" s="454" t="s">
        <v>13506</v>
      </c>
      <c r="E241" s="454" t="s">
        <v>1732</v>
      </c>
      <c r="F241" s="459" t="s">
        <v>1736</v>
      </c>
      <c r="G241" s="459" t="s">
        <v>1736</v>
      </c>
      <c r="H241" s="455" t="s">
        <v>4913</v>
      </c>
      <c r="I241" s="455" t="s">
        <v>4913</v>
      </c>
      <c r="J241" s="455" t="s">
        <v>4913</v>
      </c>
      <c r="K241" s="455" t="s">
        <v>4913</v>
      </c>
      <c r="L241" s="455" t="s">
        <v>4913</v>
      </c>
      <c r="M241" s="455" t="s">
        <v>4913</v>
      </c>
      <c r="N241" s="455" t="s">
        <v>4913</v>
      </c>
      <c r="O241" s="455" t="s">
        <v>4913</v>
      </c>
      <c r="P241" s="455" t="s">
        <v>4913</v>
      </c>
      <c r="Q241" s="455" t="s">
        <v>4913</v>
      </c>
      <c r="R241" s="455" t="s">
        <v>4913</v>
      </c>
      <c r="S241" s="455" t="s">
        <v>4913</v>
      </c>
      <c r="T241" s="455" t="s">
        <v>4913</v>
      </c>
      <c r="U241" s="455" t="s">
        <v>4913</v>
      </c>
      <c r="V241" s="455" t="s">
        <v>4913</v>
      </c>
      <c r="W241" s="455" t="s">
        <v>4913</v>
      </c>
      <c r="X241" s="455" t="s">
        <v>4913</v>
      </c>
      <c r="Y241" s="455" t="s">
        <v>4913</v>
      </c>
      <c r="Z241" s="455" t="s">
        <v>4913</v>
      </c>
      <c r="AA241" s="455" t="s">
        <v>4913</v>
      </c>
      <c r="AB241" s="455" t="s">
        <v>4913</v>
      </c>
      <c r="AC241" s="456" t="s">
        <v>1737</v>
      </c>
      <c r="AD241" s="459" t="s">
        <v>12544</v>
      </c>
      <c r="AE241" s="454" t="s">
        <v>12545</v>
      </c>
      <c r="AF241" s="460" t="s">
        <v>13489</v>
      </c>
      <c r="AG241" s="460" t="s">
        <v>13507</v>
      </c>
      <c r="AH241" s="460" t="s">
        <v>13508</v>
      </c>
    </row>
    <row r="242" spans="1:34">
      <c r="A242" s="453" t="s">
        <v>13509</v>
      </c>
      <c r="B242" s="454" t="s">
        <v>13510</v>
      </c>
      <c r="C242" s="454" t="s">
        <v>13511</v>
      </c>
      <c r="D242" s="454" t="s">
        <v>13512</v>
      </c>
      <c r="E242" s="454" t="s">
        <v>1732</v>
      </c>
      <c r="F242" s="459" t="s">
        <v>1736</v>
      </c>
      <c r="G242" s="459" t="s">
        <v>1736</v>
      </c>
      <c r="H242" s="455" t="s">
        <v>4913</v>
      </c>
      <c r="I242" s="455" t="s">
        <v>4913</v>
      </c>
      <c r="J242" s="455" t="s">
        <v>4913</v>
      </c>
      <c r="K242" s="455" t="s">
        <v>4913</v>
      </c>
      <c r="L242" s="455" t="s">
        <v>4913</v>
      </c>
      <c r="M242" s="455" t="s">
        <v>4913</v>
      </c>
      <c r="N242" s="455" t="s">
        <v>4913</v>
      </c>
      <c r="O242" s="455" t="s">
        <v>4913</v>
      </c>
      <c r="P242" s="455" t="s">
        <v>4913</v>
      </c>
      <c r="Q242" s="455" t="s">
        <v>4913</v>
      </c>
      <c r="R242" s="455" t="s">
        <v>4913</v>
      </c>
      <c r="S242" s="455" t="s">
        <v>4913</v>
      </c>
      <c r="T242" s="455" t="s">
        <v>4913</v>
      </c>
      <c r="U242" s="455" t="s">
        <v>4913</v>
      </c>
      <c r="V242" s="455" t="s">
        <v>4913</v>
      </c>
      <c r="W242" s="459" t="s">
        <v>1736</v>
      </c>
      <c r="X242" s="459" t="s">
        <v>1736</v>
      </c>
      <c r="Y242" s="459" t="s">
        <v>1736</v>
      </c>
      <c r="Z242" s="455" t="s">
        <v>4913</v>
      </c>
      <c r="AA242" s="455" t="s">
        <v>4913</v>
      </c>
      <c r="AB242" s="455" t="s">
        <v>4913</v>
      </c>
      <c r="AC242" s="456" t="s">
        <v>1737</v>
      </c>
      <c r="AD242" s="459" t="s">
        <v>12544</v>
      </c>
      <c r="AE242" s="454" t="s">
        <v>13495</v>
      </c>
      <c r="AF242" s="460" t="s">
        <v>13513</v>
      </c>
      <c r="AG242" s="460" t="s">
        <v>13288</v>
      </c>
      <c r="AH242" s="460" t="s">
        <v>13514</v>
      </c>
    </row>
    <row r="243" spans="1:34">
      <c r="A243" s="453" t="s">
        <v>13509</v>
      </c>
      <c r="B243" s="454" t="s">
        <v>13515</v>
      </c>
      <c r="C243" s="454" t="s">
        <v>13511</v>
      </c>
      <c r="D243" s="454" t="s">
        <v>13516</v>
      </c>
      <c r="E243" s="454" t="s">
        <v>1743</v>
      </c>
      <c r="F243" s="459" t="s">
        <v>1736</v>
      </c>
      <c r="G243" s="459" t="s">
        <v>1736</v>
      </c>
      <c r="H243" s="455" t="s">
        <v>4913</v>
      </c>
      <c r="I243" s="455" t="s">
        <v>4913</v>
      </c>
      <c r="J243" s="455" t="s">
        <v>4913</v>
      </c>
      <c r="K243" s="455" t="s">
        <v>4913</v>
      </c>
      <c r="L243" s="455" t="s">
        <v>4913</v>
      </c>
      <c r="M243" s="455" t="s">
        <v>4913</v>
      </c>
      <c r="N243" s="455" t="s">
        <v>4913</v>
      </c>
      <c r="O243" s="455" t="s">
        <v>4913</v>
      </c>
      <c r="P243" s="455" t="s">
        <v>4913</v>
      </c>
      <c r="Q243" s="455" t="s">
        <v>4913</v>
      </c>
      <c r="R243" s="455" t="s">
        <v>4913</v>
      </c>
      <c r="S243" s="455" t="s">
        <v>4913</v>
      </c>
      <c r="T243" s="455" t="s">
        <v>4913</v>
      </c>
      <c r="U243" s="455" t="s">
        <v>4913</v>
      </c>
      <c r="V243" s="455" t="s">
        <v>4913</v>
      </c>
      <c r="W243" s="455" t="s">
        <v>4913</v>
      </c>
      <c r="X243" s="455" t="s">
        <v>4913</v>
      </c>
      <c r="Y243" s="455" t="s">
        <v>4913</v>
      </c>
      <c r="Z243" s="455" t="s">
        <v>4913</v>
      </c>
      <c r="AA243" s="455" t="s">
        <v>4913</v>
      </c>
      <c r="AB243" s="455" t="s">
        <v>4913</v>
      </c>
      <c r="AC243" s="456" t="s">
        <v>1737</v>
      </c>
      <c r="AD243" s="459" t="s">
        <v>12544</v>
      </c>
      <c r="AE243" s="454" t="s">
        <v>12545</v>
      </c>
      <c r="AF243" s="460" t="s">
        <v>13517</v>
      </c>
      <c r="AG243" s="460" t="s">
        <v>13518</v>
      </c>
      <c r="AH243" s="460" t="s">
        <v>13519</v>
      </c>
    </row>
    <row r="244" spans="1:34">
      <c r="A244" s="453" t="s">
        <v>13509</v>
      </c>
      <c r="B244" s="454" t="s">
        <v>13520</v>
      </c>
      <c r="C244" s="454" t="s">
        <v>13511</v>
      </c>
      <c r="D244" s="454" t="s">
        <v>13521</v>
      </c>
      <c r="E244" s="454" t="s">
        <v>1743</v>
      </c>
      <c r="F244" s="459" t="s">
        <v>1736</v>
      </c>
      <c r="G244" s="459" t="s">
        <v>1736</v>
      </c>
      <c r="H244" s="455" t="s">
        <v>4913</v>
      </c>
      <c r="I244" s="455" t="s">
        <v>4913</v>
      </c>
      <c r="J244" s="455" t="s">
        <v>4913</v>
      </c>
      <c r="K244" s="455" t="s">
        <v>4913</v>
      </c>
      <c r="L244" s="455" t="s">
        <v>4913</v>
      </c>
      <c r="M244" s="455" t="s">
        <v>4913</v>
      </c>
      <c r="N244" s="455" t="s">
        <v>4913</v>
      </c>
      <c r="O244" s="455" t="s">
        <v>4913</v>
      </c>
      <c r="P244" s="455" t="s">
        <v>4913</v>
      </c>
      <c r="Q244" s="455" t="s">
        <v>4913</v>
      </c>
      <c r="R244" s="455" t="s">
        <v>4913</v>
      </c>
      <c r="S244" s="455" t="s">
        <v>4913</v>
      </c>
      <c r="T244" s="455" t="s">
        <v>4913</v>
      </c>
      <c r="U244" s="455" t="s">
        <v>4913</v>
      </c>
      <c r="V244" s="455" t="s">
        <v>4913</v>
      </c>
      <c r="W244" s="455" t="s">
        <v>4913</v>
      </c>
      <c r="X244" s="455" t="s">
        <v>4913</v>
      </c>
      <c r="Y244" s="455" t="s">
        <v>4913</v>
      </c>
      <c r="Z244" s="455" t="s">
        <v>4913</v>
      </c>
      <c r="AA244" s="455" t="s">
        <v>4913</v>
      </c>
      <c r="AB244" s="455" t="s">
        <v>4913</v>
      </c>
      <c r="AC244" s="456" t="s">
        <v>1737</v>
      </c>
      <c r="AD244" s="459" t="s">
        <v>12544</v>
      </c>
      <c r="AE244" s="454" t="s">
        <v>12545</v>
      </c>
      <c r="AF244" s="460" t="s">
        <v>13522</v>
      </c>
      <c r="AG244" s="460" t="s">
        <v>13288</v>
      </c>
      <c r="AH244" s="460" t="s">
        <v>13514</v>
      </c>
    </row>
    <row r="245" spans="1:34">
      <c r="A245" s="453" t="s">
        <v>13523</v>
      </c>
      <c r="B245" s="454" t="s">
        <v>13524</v>
      </c>
      <c r="C245" s="454" t="s">
        <v>13525</v>
      </c>
      <c r="D245" s="454" t="s">
        <v>13526</v>
      </c>
      <c r="E245" s="454" t="s">
        <v>1732</v>
      </c>
      <c r="F245" s="459" t="s">
        <v>1736</v>
      </c>
      <c r="G245" s="459" t="s">
        <v>1736</v>
      </c>
      <c r="H245" s="455" t="s">
        <v>4913</v>
      </c>
      <c r="I245" s="455" t="s">
        <v>4913</v>
      </c>
      <c r="J245" s="455" t="s">
        <v>4913</v>
      </c>
      <c r="K245" s="455" t="s">
        <v>4913</v>
      </c>
      <c r="L245" s="455" t="s">
        <v>4913</v>
      </c>
      <c r="M245" s="455" t="s">
        <v>4913</v>
      </c>
      <c r="N245" s="455" t="s">
        <v>4913</v>
      </c>
      <c r="O245" s="455" t="s">
        <v>4913</v>
      </c>
      <c r="P245" s="455" t="s">
        <v>4913</v>
      </c>
      <c r="Q245" s="455" t="s">
        <v>4913</v>
      </c>
      <c r="R245" s="455" t="s">
        <v>4913</v>
      </c>
      <c r="S245" s="455" t="s">
        <v>4913</v>
      </c>
      <c r="T245" s="455" t="s">
        <v>4913</v>
      </c>
      <c r="U245" s="455" t="s">
        <v>4913</v>
      </c>
      <c r="V245" s="455" t="s">
        <v>4913</v>
      </c>
      <c r="W245" s="455" t="s">
        <v>4913</v>
      </c>
      <c r="X245" s="455" t="s">
        <v>4913</v>
      </c>
      <c r="Y245" s="455" t="s">
        <v>4913</v>
      </c>
      <c r="Z245" s="455" t="s">
        <v>4913</v>
      </c>
      <c r="AA245" s="455" t="s">
        <v>4913</v>
      </c>
      <c r="AB245" s="455" t="s">
        <v>4913</v>
      </c>
      <c r="AC245" s="456" t="s">
        <v>1737</v>
      </c>
      <c r="AD245" s="459" t="s">
        <v>12544</v>
      </c>
      <c r="AE245" s="454" t="s">
        <v>12545</v>
      </c>
      <c r="AF245" s="460" t="s">
        <v>13489</v>
      </c>
      <c r="AG245" s="460" t="s">
        <v>13112</v>
      </c>
      <c r="AH245" s="460" t="s">
        <v>13527</v>
      </c>
    </row>
    <row r="246" spans="1:34">
      <c r="A246" s="453" t="s">
        <v>13528</v>
      </c>
      <c r="B246" s="454" t="s">
        <v>13529</v>
      </c>
      <c r="C246" s="454" t="s">
        <v>13530</v>
      </c>
      <c r="D246" s="454" t="s">
        <v>13531</v>
      </c>
      <c r="E246" s="454" t="s">
        <v>1732</v>
      </c>
      <c r="F246" s="459" t="s">
        <v>1736</v>
      </c>
      <c r="G246" s="459" t="s">
        <v>1736</v>
      </c>
      <c r="H246" s="455" t="s">
        <v>4913</v>
      </c>
      <c r="I246" s="455" t="s">
        <v>4913</v>
      </c>
      <c r="J246" s="455" t="s">
        <v>4913</v>
      </c>
      <c r="K246" s="455" t="s">
        <v>4913</v>
      </c>
      <c r="L246" s="455" t="s">
        <v>4913</v>
      </c>
      <c r="M246" s="455" t="s">
        <v>4913</v>
      </c>
      <c r="N246" s="455" t="s">
        <v>4913</v>
      </c>
      <c r="O246" s="455" t="s">
        <v>4913</v>
      </c>
      <c r="P246" s="455" t="s">
        <v>4913</v>
      </c>
      <c r="Q246" s="455" t="s">
        <v>4913</v>
      </c>
      <c r="R246" s="455" t="s">
        <v>4913</v>
      </c>
      <c r="S246" s="455" t="s">
        <v>4913</v>
      </c>
      <c r="T246" s="455" t="s">
        <v>4913</v>
      </c>
      <c r="U246" s="455" t="s">
        <v>4913</v>
      </c>
      <c r="V246" s="455" t="s">
        <v>4913</v>
      </c>
      <c r="W246" s="459" t="s">
        <v>1736</v>
      </c>
      <c r="X246" s="459" t="s">
        <v>1736</v>
      </c>
      <c r="Y246" s="459" t="s">
        <v>1736</v>
      </c>
      <c r="Z246" s="455" t="s">
        <v>4913</v>
      </c>
      <c r="AA246" s="455" t="s">
        <v>4913</v>
      </c>
      <c r="AB246" s="455" t="s">
        <v>4913</v>
      </c>
      <c r="AC246" s="456" t="s">
        <v>1737</v>
      </c>
      <c r="AD246" s="459" t="s">
        <v>12544</v>
      </c>
      <c r="AE246" s="454" t="s">
        <v>13495</v>
      </c>
      <c r="AF246" s="460" t="s">
        <v>13532</v>
      </c>
      <c r="AG246" s="460" t="s">
        <v>13533</v>
      </c>
      <c r="AH246" s="460" t="s">
        <v>13534</v>
      </c>
    </row>
    <row r="247" spans="1:34">
      <c r="A247" s="453" t="s">
        <v>13535</v>
      </c>
      <c r="B247" s="454" t="s">
        <v>13536</v>
      </c>
      <c r="C247" s="454" t="s">
        <v>13537</v>
      </c>
      <c r="D247" s="454" t="s">
        <v>13538</v>
      </c>
      <c r="E247" s="454" t="s">
        <v>1732</v>
      </c>
      <c r="F247" s="459" t="s">
        <v>1736</v>
      </c>
      <c r="G247" s="459" t="s">
        <v>1736</v>
      </c>
      <c r="H247" s="455" t="s">
        <v>4913</v>
      </c>
      <c r="I247" s="455" t="s">
        <v>4913</v>
      </c>
      <c r="J247" s="455" t="s">
        <v>4913</v>
      </c>
      <c r="K247" s="455" t="s">
        <v>4913</v>
      </c>
      <c r="L247" s="455" t="s">
        <v>4913</v>
      </c>
      <c r="M247" s="455" t="s">
        <v>4913</v>
      </c>
      <c r="N247" s="455" t="s">
        <v>4913</v>
      </c>
      <c r="O247" s="455" t="s">
        <v>4913</v>
      </c>
      <c r="P247" s="455" t="s">
        <v>4913</v>
      </c>
      <c r="Q247" s="455" t="s">
        <v>4913</v>
      </c>
      <c r="R247" s="455" t="s">
        <v>4913</v>
      </c>
      <c r="S247" s="455" t="s">
        <v>4913</v>
      </c>
      <c r="T247" s="455" t="s">
        <v>4913</v>
      </c>
      <c r="U247" s="455" t="s">
        <v>4913</v>
      </c>
      <c r="V247" s="455" t="s">
        <v>4913</v>
      </c>
      <c r="W247" s="455" t="s">
        <v>4913</v>
      </c>
      <c r="X247" s="455" t="s">
        <v>4913</v>
      </c>
      <c r="Y247" s="455" t="s">
        <v>4913</v>
      </c>
      <c r="Z247" s="455" t="s">
        <v>4913</v>
      </c>
      <c r="AA247" s="455" t="s">
        <v>4913</v>
      </c>
      <c r="AB247" s="455" t="s">
        <v>4913</v>
      </c>
      <c r="AC247" s="456" t="s">
        <v>1737</v>
      </c>
      <c r="AD247" s="459" t="s">
        <v>12544</v>
      </c>
      <c r="AE247" s="454" t="s">
        <v>12545</v>
      </c>
      <c r="AF247" s="460" t="s">
        <v>13539</v>
      </c>
      <c r="AG247" s="460" t="s">
        <v>13216</v>
      </c>
      <c r="AH247" s="460" t="s">
        <v>13540</v>
      </c>
    </row>
    <row r="248" spans="1:34">
      <c r="A248" s="453" t="s">
        <v>13541</v>
      </c>
      <c r="B248" s="454" t="s">
        <v>13542</v>
      </c>
      <c r="C248" s="454" t="s">
        <v>13543</v>
      </c>
      <c r="D248" s="454" t="s">
        <v>13544</v>
      </c>
      <c r="E248" s="454" t="s">
        <v>1732</v>
      </c>
      <c r="F248" s="459" t="s">
        <v>1736</v>
      </c>
      <c r="G248" s="459" t="s">
        <v>1736</v>
      </c>
      <c r="H248" s="455" t="s">
        <v>4913</v>
      </c>
      <c r="I248" s="455" t="s">
        <v>4913</v>
      </c>
      <c r="J248" s="455" t="s">
        <v>4913</v>
      </c>
      <c r="K248" s="455" t="s">
        <v>4913</v>
      </c>
      <c r="L248" s="455" t="s">
        <v>4913</v>
      </c>
      <c r="M248" s="455" t="s">
        <v>4913</v>
      </c>
      <c r="N248" s="455" t="s">
        <v>4913</v>
      </c>
      <c r="O248" s="455" t="s">
        <v>4913</v>
      </c>
      <c r="P248" s="455" t="s">
        <v>4913</v>
      </c>
      <c r="Q248" s="455" t="s">
        <v>4913</v>
      </c>
      <c r="R248" s="455" t="s">
        <v>4913</v>
      </c>
      <c r="S248" s="455" t="s">
        <v>4913</v>
      </c>
      <c r="T248" s="455" t="s">
        <v>4913</v>
      </c>
      <c r="U248" s="455" t="s">
        <v>4913</v>
      </c>
      <c r="V248" s="455" t="s">
        <v>4913</v>
      </c>
      <c r="W248" s="459" t="s">
        <v>1736</v>
      </c>
      <c r="X248" s="459" t="s">
        <v>1736</v>
      </c>
      <c r="Y248" s="459" t="s">
        <v>1736</v>
      </c>
      <c r="Z248" s="459" t="s">
        <v>1736</v>
      </c>
      <c r="AA248" s="455" t="s">
        <v>4913</v>
      </c>
      <c r="AB248" s="455" t="s">
        <v>4913</v>
      </c>
      <c r="AC248" s="456" t="s">
        <v>1737</v>
      </c>
      <c r="AD248" s="459" t="s">
        <v>12544</v>
      </c>
      <c r="AE248" s="454" t="s">
        <v>13545</v>
      </c>
      <c r="AF248" s="460" t="s">
        <v>13546</v>
      </c>
      <c r="AG248" s="460" t="s">
        <v>12739</v>
      </c>
      <c r="AH248" s="460" t="s">
        <v>13547</v>
      </c>
    </row>
    <row r="249" spans="1:34">
      <c r="A249" s="453" t="s">
        <v>13541</v>
      </c>
      <c r="B249" s="454" t="s">
        <v>13548</v>
      </c>
      <c r="C249" s="454" t="s">
        <v>13543</v>
      </c>
      <c r="D249" s="454" t="s">
        <v>13549</v>
      </c>
      <c r="E249" s="454" t="s">
        <v>1743</v>
      </c>
      <c r="F249" s="459" t="s">
        <v>1736</v>
      </c>
      <c r="G249" s="459" t="s">
        <v>1736</v>
      </c>
      <c r="H249" s="455" t="s">
        <v>4913</v>
      </c>
      <c r="I249" s="455" t="s">
        <v>4913</v>
      </c>
      <c r="J249" s="455" t="s">
        <v>4913</v>
      </c>
      <c r="K249" s="455" t="s">
        <v>4913</v>
      </c>
      <c r="L249" s="455" t="s">
        <v>4913</v>
      </c>
      <c r="M249" s="455" t="s">
        <v>4913</v>
      </c>
      <c r="N249" s="455" t="s">
        <v>4913</v>
      </c>
      <c r="O249" s="455" t="s">
        <v>4913</v>
      </c>
      <c r="P249" s="455" t="s">
        <v>4913</v>
      </c>
      <c r="Q249" s="455" t="s">
        <v>4913</v>
      </c>
      <c r="R249" s="455" t="s">
        <v>4913</v>
      </c>
      <c r="S249" s="455" t="s">
        <v>4913</v>
      </c>
      <c r="T249" s="455" t="s">
        <v>4913</v>
      </c>
      <c r="U249" s="455" t="s">
        <v>4913</v>
      </c>
      <c r="V249" s="455" t="s">
        <v>4913</v>
      </c>
      <c r="W249" s="455" t="s">
        <v>4913</v>
      </c>
      <c r="X249" s="455" t="s">
        <v>4913</v>
      </c>
      <c r="Y249" s="455" t="s">
        <v>4913</v>
      </c>
      <c r="Z249" s="455" t="s">
        <v>4913</v>
      </c>
      <c r="AA249" s="455" t="s">
        <v>4913</v>
      </c>
      <c r="AB249" s="455" t="s">
        <v>4913</v>
      </c>
      <c r="AC249" s="456" t="s">
        <v>1737</v>
      </c>
      <c r="AD249" s="459" t="s">
        <v>12544</v>
      </c>
      <c r="AE249" s="454" t="s">
        <v>12545</v>
      </c>
      <c r="AF249" s="460" t="s">
        <v>13550</v>
      </c>
      <c r="AG249" s="460" t="s">
        <v>12739</v>
      </c>
      <c r="AH249" s="460" t="s">
        <v>13547</v>
      </c>
    </row>
    <row r="250" spans="1:34">
      <c r="A250" s="453" t="s">
        <v>13541</v>
      </c>
      <c r="B250" s="454" t="s">
        <v>13551</v>
      </c>
      <c r="C250" s="454" t="s">
        <v>13543</v>
      </c>
      <c r="D250" s="454" t="s">
        <v>13552</v>
      </c>
      <c r="E250" s="454" t="s">
        <v>1743</v>
      </c>
      <c r="F250" s="459" t="s">
        <v>1736</v>
      </c>
      <c r="G250" s="459" t="s">
        <v>1736</v>
      </c>
      <c r="H250" s="455" t="s">
        <v>4913</v>
      </c>
      <c r="I250" s="455" t="s">
        <v>4913</v>
      </c>
      <c r="J250" s="455" t="s">
        <v>4913</v>
      </c>
      <c r="K250" s="455" t="s">
        <v>4913</v>
      </c>
      <c r="L250" s="455" t="s">
        <v>4913</v>
      </c>
      <c r="M250" s="455" t="s">
        <v>4913</v>
      </c>
      <c r="N250" s="455" t="s">
        <v>4913</v>
      </c>
      <c r="O250" s="455" t="s">
        <v>4913</v>
      </c>
      <c r="P250" s="455" t="s">
        <v>4913</v>
      </c>
      <c r="Q250" s="455" t="s">
        <v>4913</v>
      </c>
      <c r="R250" s="455" t="s">
        <v>4913</v>
      </c>
      <c r="S250" s="455" t="s">
        <v>4913</v>
      </c>
      <c r="T250" s="455" t="s">
        <v>4913</v>
      </c>
      <c r="U250" s="455" t="s">
        <v>4913</v>
      </c>
      <c r="V250" s="455" t="s">
        <v>4913</v>
      </c>
      <c r="W250" s="455" t="s">
        <v>4913</v>
      </c>
      <c r="X250" s="455" t="s">
        <v>4913</v>
      </c>
      <c r="Y250" s="455" t="s">
        <v>4913</v>
      </c>
      <c r="Z250" s="455" t="s">
        <v>4913</v>
      </c>
      <c r="AA250" s="455" t="s">
        <v>4913</v>
      </c>
      <c r="AB250" s="455" t="s">
        <v>4913</v>
      </c>
      <c r="AC250" s="456" t="s">
        <v>1737</v>
      </c>
      <c r="AD250" s="459" t="s">
        <v>12544</v>
      </c>
      <c r="AE250" s="454" t="s">
        <v>12545</v>
      </c>
      <c r="AF250" s="454" t="s">
        <v>13553</v>
      </c>
      <c r="AG250" s="460" t="s">
        <v>12739</v>
      </c>
      <c r="AH250" s="460" t="s">
        <v>13547</v>
      </c>
    </row>
    <row r="251" spans="1:34">
      <c r="A251" s="453" t="s">
        <v>13541</v>
      </c>
      <c r="B251" s="454" t="s">
        <v>13554</v>
      </c>
      <c r="C251" s="454" t="s">
        <v>13543</v>
      </c>
      <c r="D251" s="454" t="s">
        <v>13555</v>
      </c>
      <c r="E251" s="454" t="s">
        <v>1743</v>
      </c>
      <c r="F251" s="459" t="s">
        <v>1736</v>
      </c>
      <c r="G251" s="459" t="s">
        <v>1736</v>
      </c>
      <c r="H251" s="455" t="s">
        <v>4913</v>
      </c>
      <c r="I251" s="455" t="s">
        <v>4913</v>
      </c>
      <c r="J251" s="455" t="s">
        <v>4913</v>
      </c>
      <c r="K251" s="455" t="s">
        <v>4913</v>
      </c>
      <c r="L251" s="455" t="s">
        <v>4913</v>
      </c>
      <c r="M251" s="455" t="s">
        <v>4913</v>
      </c>
      <c r="N251" s="455" t="s">
        <v>4913</v>
      </c>
      <c r="O251" s="455" t="s">
        <v>4913</v>
      </c>
      <c r="P251" s="455" t="s">
        <v>4913</v>
      </c>
      <c r="Q251" s="455" t="s">
        <v>4913</v>
      </c>
      <c r="R251" s="455" t="s">
        <v>4913</v>
      </c>
      <c r="S251" s="455" t="s">
        <v>4913</v>
      </c>
      <c r="T251" s="455" t="s">
        <v>4913</v>
      </c>
      <c r="U251" s="455" t="s">
        <v>4913</v>
      </c>
      <c r="V251" s="455" t="s">
        <v>4913</v>
      </c>
      <c r="W251" s="455" t="s">
        <v>4913</v>
      </c>
      <c r="X251" s="455" t="s">
        <v>4913</v>
      </c>
      <c r="Y251" s="455" t="s">
        <v>4913</v>
      </c>
      <c r="Z251" s="455" t="s">
        <v>4913</v>
      </c>
      <c r="AA251" s="455" t="s">
        <v>4913</v>
      </c>
      <c r="AB251" s="455" t="s">
        <v>4913</v>
      </c>
      <c r="AC251" s="456" t="s">
        <v>1737</v>
      </c>
      <c r="AD251" s="459" t="s">
        <v>12544</v>
      </c>
      <c r="AE251" s="454" t="s">
        <v>12545</v>
      </c>
      <c r="AF251" s="460" t="s">
        <v>13550</v>
      </c>
      <c r="AG251" s="460" t="s">
        <v>12739</v>
      </c>
      <c r="AH251" s="460" t="s">
        <v>13547</v>
      </c>
    </row>
    <row r="252" spans="1:34">
      <c r="A252" s="453" t="s">
        <v>13556</v>
      </c>
      <c r="B252" s="454" t="s">
        <v>13557</v>
      </c>
      <c r="C252" s="454" t="s">
        <v>13558</v>
      </c>
      <c r="D252" s="454" t="s">
        <v>13559</v>
      </c>
      <c r="E252" s="454" t="s">
        <v>1732</v>
      </c>
      <c r="F252" s="459" t="s">
        <v>1736</v>
      </c>
      <c r="G252" s="459" t="s">
        <v>1736</v>
      </c>
      <c r="H252" s="455" t="s">
        <v>4913</v>
      </c>
      <c r="I252" s="455" t="s">
        <v>4913</v>
      </c>
      <c r="J252" s="455" t="s">
        <v>4913</v>
      </c>
      <c r="K252" s="455" t="s">
        <v>4913</v>
      </c>
      <c r="L252" s="455" t="s">
        <v>4913</v>
      </c>
      <c r="M252" s="455" t="s">
        <v>4913</v>
      </c>
      <c r="N252" s="455" t="s">
        <v>4913</v>
      </c>
      <c r="O252" s="455" t="s">
        <v>4913</v>
      </c>
      <c r="P252" s="455" t="s">
        <v>4913</v>
      </c>
      <c r="Q252" s="455" t="s">
        <v>4913</v>
      </c>
      <c r="R252" s="455" t="s">
        <v>4913</v>
      </c>
      <c r="S252" s="455" t="s">
        <v>4913</v>
      </c>
      <c r="T252" s="455" t="s">
        <v>4913</v>
      </c>
      <c r="U252" s="455" t="s">
        <v>4913</v>
      </c>
      <c r="V252" s="455" t="s">
        <v>4913</v>
      </c>
      <c r="W252" s="455" t="s">
        <v>4913</v>
      </c>
      <c r="X252" s="455" t="s">
        <v>4913</v>
      </c>
      <c r="Y252" s="455" t="s">
        <v>4913</v>
      </c>
      <c r="Z252" s="455" t="s">
        <v>4913</v>
      </c>
      <c r="AA252" s="455" t="s">
        <v>4913</v>
      </c>
      <c r="AB252" s="455" t="s">
        <v>4913</v>
      </c>
      <c r="AC252" s="456" t="s">
        <v>1737</v>
      </c>
      <c r="AD252" s="459" t="s">
        <v>12544</v>
      </c>
      <c r="AE252" s="454" t="s">
        <v>12545</v>
      </c>
      <c r="AF252" s="460" t="s">
        <v>13560</v>
      </c>
      <c r="AG252" s="460" t="s">
        <v>13250</v>
      </c>
      <c r="AH252" s="460" t="s">
        <v>13561</v>
      </c>
    </row>
    <row r="253" spans="1:34">
      <c r="A253" s="453" t="s">
        <v>13562</v>
      </c>
      <c r="B253" s="454" t="s">
        <v>13563</v>
      </c>
      <c r="C253" s="454" t="s">
        <v>13564</v>
      </c>
      <c r="D253" s="454" t="s">
        <v>13565</v>
      </c>
      <c r="E253" s="454" t="s">
        <v>1732</v>
      </c>
      <c r="F253" s="459" t="s">
        <v>1736</v>
      </c>
      <c r="G253" s="459" t="s">
        <v>1736</v>
      </c>
      <c r="H253" s="455" t="s">
        <v>4913</v>
      </c>
      <c r="I253" s="455" t="s">
        <v>4913</v>
      </c>
      <c r="J253" s="455" t="s">
        <v>4913</v>
      </c>
      <c r="K253" s="455" t="s">
        <v>4913</v>
      </c>
      <c r="L253" s="455" t="s">
        <v>4913</v>
      </c>
      <c r="M253" s="455" t="s">
        <v>4913</v>
      </c>
      <c r="N253" s="455" t="s">
        <v>4913</v>
      </c>
      <c r="O253" s="455" t="s">
        <v>4913</v>
      </c>
      <c r="P253" s="455" t="s">
        <v>4913</v>
      </c>
      <c r="Q253" s="455" t="s">
        <v>4913</v>
      </c>
      <c r="R253" s="455" t="s">
        <v>4913</v>
      </c>
      <c r="S253" s="455" t="s">
        <v>4913</v>
      </c>
      <c r="T253" s="455" t="s">
        <v>4913</v>
      </c>
      <c r="U253" s="455" t="s">
        <v>4913</v>
      </c>
      <c r="V253" s="455" t="s">
        <v>4913</v>
      </c>
      <c r="W253" s="459" t="s">
        <v>1736</v>
      </c>
      <c r="X253" s="459" t="s">
        <v>1736</v>
      </c>
      <c r="Y253" s="459" t="s">
        <v>1736</v>
      </c>
      <c r="Z253" s="459" t="s">
        <v>1736</v>
      </c>
      <c r="AA253" s="455" t="s">
        <v>4913</v>
      </c>
      <c r="AB253" s="455" t="s">
        <v>4913</v>
      </c>
      <c r="AC253" s="456" t="s">
        <v>1737</v>
      </c>
      <c r="AD253" s="459" t="s">
        <v>12544</v>
      </c>
      <c r="AE253" s="454" t="s">
        <v>13545</v>
      </c>
      <c r="AF253" s="460" t="s">
        <v>13566</v>
      </c>
      <c r="AG253" s="460" t="s">
        <v>13250</v>
      </c>
      <c r="AH253" s="460" t="s">
        <v>13567</v>
      </c>
    </row>
    <row r="254" spans="1:34">
      <c r="A254" s="453" t="s">
        <v>13562</v>
      </c>
      <c r="B254" s="454" t="s">
        <v>13568</v>
      </c>
      <c r="C254" s="454" t="s">
        <v>13564</v>
      </c>
      <c r="D254" s="454" t="s">
        <v>13569</v>
      </c>
      <c r="E254" s="454" t="s">
        <v>1743</v>
      </c>
      <c r="F254" s="459" t="s">
        <v>1736</v>
      </c>
      <c r="G254" s="459" t="s">
        <v>1736</v>
      </c>
      <c r="H254" s="455" t="s">
        <v>4913</v>
      </c>
      <c r="I254" s="455" t="s">
        <v>4913</v>
      </c>
      <c r="J254" s="455" t="s">
        <v>4913</v>
      </c>
      <c r="K254" s="455" t="s">
        <v>4913</v>
      </c>
      <c r="L254" s="455" t="s">
        <v>4913</v>
      </c>
      <c r="M254" s="455" t="s">
        <v>4913</v>
      </c>
      <c r="N254" s="455" t="s">
        <v>4913</v>
      </c>
      <c r="O254" s="455" t="s">
        <v>4913</v>
      </c>
      <c r="P254" s="455" t="s">
        <v>4913</v>
      </c>
      <c r="Q254" s="455" t="s">
        <v>4913</v>
      </c>
      <c r="R254" s="455" t="s">
        <v>4913</v>
      </c>
      <c r="S254" s="455" t="s">
        <v>4913</v>
      </c>
      <c r="T254" s="455" t="s">
        <v>4913</v>
      </c>
      <c r="U254" s="455" t="s">
        <v>4913</v>
      </c>
      <c r="V254" s="455" t="s">
        <v>4913</v>
      </c>
      <c r="W254" s="455" t="s">
        <v>4913</v>
      </c>
      <c r="X254" s="455" t="s">
        <v>4913</v>
      </c>
      <c r="Y254" s="455" t="s">
        <v>4913</v>
      </c>
      <c r="Z254" s="455" t="s">
        <v>4913</v>
      </c>
      <c r="AA254" s="455" t="s">
        <v>4913</v>
      </c>
      <c r="AB254" s="455" t="s">
        <v>4913</v>
      </c>
      <c r="AC254" s="456" t="s">
        <v>1737</v>
      </c>
      <c r="AD254" s="459" t="s">
        <v>12544</v>
      </c>
      <c r="AE254" s="454" t="s">
        <v>12545</v>
      </c>
      <c r="AF254" s="460" t="s">
        <v>13522</v>
      </c>
      <c r="AG254" s="460" t="s">
        <v>13250</v>
      </c>
      <c r="AH254" s="460" t="s">
        <v>13567</v>
      </c>
    </row>
    <row r="255" spans="1:34">
      <c r="A255" s="453" t="s">
        <v>13562</v>
      </c>
      <c r="B255" s="454" t="s">
        <v>13570</v>
      </c>
      <c r="C255" s="454" t="s">
        <v>13564</v>
      </c>
      <c r="D255" s="454" t="s">
        <v>13571</v>
      </c>
      <c r="E255" s="454" t="s">
        <v>1743</v>
      </c>
      <c r="F255" s="459" t="s">
        <v>1736</v>
      </c>
      <c r="G255" s="459" t="s">
        <v>1736</v>
      </c>
      <c r="H255" s="455" t="s">
        <v>4913</v>
      </c>
      <c r="I255" s="455" t="s">
        <v>4913</v>
      </c>
      <c r="J255" s="455" t="s">
        <v>4913</v>
      </c>
      <c r="K255" s="455" t="s">
        <v>4913</v>
      </c>
      <c r="L255" s="455" t="s">
        <v>4913</v>
      </c>
      <c r="M255" s="455" t="s">
        <v>4913</v>
      </c>
      <c r="N255" s="455" t="s">
        <v>4913</v>
      </c>
      <c r="O255" s="455" t="s">
        <v>4913</v>
      </c>
      <c r="P255" s="455" t="s">
        <v>4913</v>
      </c>
      <c r="Q255" s="455" t="s">
        <v>4913</v>
      </c>
      <c r="R255" s="455" t="s">
        <v>4913</v>
      </c>
      <c r="S255" s="455" t="s">
        <v>4913</v>
      </c>
      <c r="T255" s="455" t="s">
        <v>4913</v>
      </c>
      <c r="U255" s="455" t="s">
        <v>4913</v>
      </c>
      <c r="V255" s="455" t="s">
        <v>4913</v>
      </c>
      <c r="W255" s="455" t="s">
        <v>4913</v>
      </c>
      <c r="X255" s="455" t="s">
        <v>4913</v>
      </c>
      <c r="Y255" s="455" t="s">
        <v>4913</v>
      </c>
      <c r="Z255" s="455" t="s">
        <v>4913</v>
      </c>
      <c r="AA255" s="455" t="s">
        <v>4913</v>
      </c>
      <c r="AB255" s="455" t="s">
        <v>4913</v>
      </c>
      <c r="AC255" s="456" t="s">
        <v>1737</v>
      </c>
      <c r="AD255" s="459" t="s">
        <v>12544</v>
      </c>
      <c r="AE255" s="454" t="s">
        <v>12545</v>
      </c>
      <c r="AF255" s="460" t="s">
        <v>13522</v>
      </c>
      <c r="AG255" s="460" t="s">
        <v>13250</v>
      </c>
      <c r="AH255" s="460" t="s">
        <v>13567</v>
      </c>
    </row>
    <row r="256" spans="1:34">
      <c r="A256" s="453" t="s">
        <v>13572</v>
      </c>
      <c r="B256" s="454" t="s">
        <v>13573</v>
      </c>
      <c r="C256" s="454" t="s">
        <v>13574</v>
      </c>
      <c r="D256" s="454" t="s">
        <v>13575</v>
      </c>
      <c r="E256" s="454" t="s">
        <v>1732</v>
      </c>
      <c r="F256" s="459" t="s">
        <v>1736</v>
      </c>
      <c r="G256" s="459" t="s">
        <v>1736</v>
      </c>
      <c r="H256" s="455" t="s">
        <v>4913</v>
      </c>
      <c r="I256" s="455" t="s">
        <v>4913</v>
      </c>
      <c r="J256" s="455" t="s">
        <v>4913</v>
      </c>
      <c r="K256" s="455" t="s">
        <v>4913</v>
      </c>
      <c r="L256" s="455" t="s">
        <v>4913</v>
      </c>
      <c r="M256" s="455" t="s">
        <v>4913</v>
      </c>
      <c r="N256" s="455" t="s">
        <v>4913</v>
      </c>
      <c r="O256" s="455" t="s">
        <v>4913</v>
      </c>
      <c r="P256" s="455" t="s">
        <v>4913</v>
      </c>
      <c r="Q256" s="455" t="s">
        <v>4913</v>
      </c>
      <c r="R256" s="455" t="s">
        <v>4913</v>
      </c>
      <c r="S256" s="455" t="s">
        <v>4913</v>
      </c>
      <c r="T256" s="455" t="s">
        <v>4913</v>
      </c>
      <c r="U256" s="455" t="s">
        <v>4913</v>
      </c>
      <c r="V256" s="455" t="s">
        <v>4913</v>
      </c>
      <c r="W256" s="455" t="s">
        <v>4913</v>
      </c>
      <c r="X256" s="455" t="s">
        <v>4913</v>
      </c>
      <c r="Y256" s="455" t="s">
        <v>4913</v>
      </c>
      <c r="Z256" s="455" t="s">
        <v>4913</v>
      </c>
      <c r="AA256" s="455" t="s">
        <v>4913</v>
      </c>
      <c r="AB256" s="455" t="s">
        <v>4913</v>
      </c>
      <c r="AC256" s="456" t="s">
        <v>1737</v>
      </c>
      <c r="AD256" s="459" t="s">
        <v>12544</v>
      </c>
      <c r="AE256" s="454" t="s">
        <v>12545</v>
      </c>
      <c r="AF256" s="460" t="s">
        <v>13560</v>
      </c>
      <c r="AG256" s="460" t="s">
        <v>13250</v>
      </c>
      <c r="AH256" s="460" t="s">
        <v>13576</v>
      </c>
    </row>
    <row r="257" spans="1:34">
      <c r="A257" s="453" t="s">
        <v>13577</v>
      </c>
      <c r="B257" s="454" t="s">
        <v>13578</v>
      </c>
      <c r="C257" s="454" t="s">
        <v>13579</v>
      </c>
      <c r="D257" s="454" t="s">
        <v>13580</v>
      </c>
      <c r="E257" s="454" t="s">
        <v>1732</v>
      </c>
      <c r="F257" s="459" t="s">
        <v>1736</v>
      </c>
      <c r="G257" s="459" t="s">
        <v>1736</v>
      </c>
      <c r="H257" s="455" t="s">
        <v>4913</v>
      </c>
      <c r="I257" s="455" t="s">
        <v>4913</v>
      </c>
      <c r="J257" s="455" t="s">
        <v>4913</v>
      </c>
      <c r="K257" s="455" t="s">
        <v>4913</v>
      </c>
      <c r="L257" s="455" t="s">
        <v>4913</v>
      </c>
      <c r="M257" s="455" t="s">
        <v>4913</v>
      </c>
      <c r="N257" s="455" t="s">
        <v>4913</v>
      </c>
      <c r="O257" s="455" t="s">
        <v>4913</v>
      </c>
      <c r="P257" s="455" t="s">
        <v>4913</v>
      </c>
      <c r="Q257" s="455" t="s">
        <v>4913</v>
      </c>
      <c r="R257" s="455" t="s">
        <v>4913</v>
      </c>
      <c r="S257" s="455" t="s">
        <v>4913</v>
      </c>
      <c r="T257" s="455" t="s">
        <v>4913</v>
      </c>
      <c r="U257" s="455" t="s">
        <v>4913</v>
      </c>
      <c r="V257" s="455" t="s">
        <v>4913</v>
      </c>
      <c r="W257" s="459" t="s">
        <v>1736</v>
      </c>
      <c r="X257" s="459" t="s">
        <v>1736</v>
      </c>
      <c r="Y257" s="459" t="s">
        <v>1736</v>
      </c>
      <c r="Z257" s="459" t="s">
        <v>1736</v>
      </c>
      <c r="AA257" s="455" t="s">
        <v>4913</v>
      </c>
      <c r="AB257" s="455" t="s">
        <v>4913</v>
      </c>
      <c r="AC257" s="456" t="s">
        <v>1737</v>
      </c>
      <c r="AD257" s="459" t="s">
        <v>12544</v>
      </c>
      <c r="AE257" s="454" t="s">
        <v>13545</v>
      </c>
      <c r="AF257" s="460" t="s">
        <v>13581</v>
      </c>
      <c r="AG257" s="460" t="s">
        <v>13250</v>
      </c>
      <c r="AH257" s="460" t="s">
        <v>13582</v>
      </c>
    </row>
    <row r="258" spans="1:34">
      <c r="A258" s="453" t="s">
        <v>13583</v>
      </c>
      <c r="B258" s="454" t="s">
        <v>13584</v>
      </c>
      <c r="C258" s="454" t="s">
        <v>13585</v>
      </c>
      <c r="D258" s="454" t="s">
        <v>13586</v>
      </c>
      <c r="E258" s="454" t="s">
        <v>1732</v>
      </c>
      <c r="F258" s="459" t="s">
        <v>1736</v>
      </c>
      <c r="G258" s="459" t="s">
        <v>1736</v>
      </c>
      <c r="H258" s="455" t="s">
        <v>4913</v>
      </c>
      <c r="I258" s="455" t="s">
        <v>4913</v>
      </c>
      <c r="J258" s="455" t="s">
        <v>4913</v>
      </c>
      <c r="K258" s="455" t="s">
        <v>4913</v>
      </c>
      <c r="L258" s="455" t="s">
        <v>4913</v>
      </c>
      <c r="M258" s="455" t="s">
        <v>4913</v>
      </c>
      <c r="N258" s="455" t="s">
        <v>4913</v>
      </c>
      <c r="O258" s="455" t="s">
        <v>4913</v>
      </c>
      <c r="P258" s="455" t="s">
        <v>4913</v>
      </c>
      <c r="Q258" s="455" t="s">
        <v>4913</v>
      </c>
      <c r="R258" s="455" t="s">
        <v>4913</v>
      </c>
      <c r="S258" s="455" t="s">
        <v>4913</v>
      </c>
      <c r="T258" s="455" t="s">
        <v>4913</v>
      </c>
      <c r="U258" s="455" t="s">
        <v>4913</v>
      </c>
      <c r="V258" s="455" t="s">
        <v>4913</v>
      </c>
      <c r="W258" s="455" t="s">
        <v>4913</v>
      </c>
      <c r="X258" s="455" t="s">
        <v>4913</v>
      </c>
      <c r="Y258" s="455" t="s">
        <v>4913</v>
      </c>
      <c r="Z258" s="455" t="s">
        <v>4913</v>
      </c>
      <c r="AA258" s="455" t="s">
        <v>4913</v>
      </c>
      <c r="AB258" s="455" t="s">
        <v>4913</v>
      </c>
      <c r="AC258" s="456" t="s">
        <v>1737</v>
      </c>
      <c r="AD258" s="459" t="s">
        <v>12544</v>
      </c>
      <c r="AE258" s="454" t="s">
        <v>12545</v>
      </c>
      <c r="AF258" s="460" t="s">
        <v>13560</v>
      </c>
      <c r="AG258" s="460" t="s">
        <v>13216</v>
      </c>
      <c r="AH258" s="460" t="s">
        <v>13587</v>
      </c>
    </row>
    <row r="259" spans="1:34">
      <c r="A259" s="453" t="s">
        <v>13588</v>
      </c>
      <c r="B259" s="454" t="s">
        <v>13589</v>
      </c>
      <c r="C259" s="454" t="s">
        <v>13590</v>
      </c>
      <c r="D259" s="454" t="s">
        <v>13591</v>
      </c>
      <c r="E259" s="454" t="s">
        <v>1732</v>
      </c>
      <c r="F259" s="459" t="s">
        <v>1736</v>
      </c>
      <c r="G259" s="459" t="s">
        <v>1736</v>
      </c>
      <c r="H259" s="455" t="s">
        <v>4913</v>
      </c>
      <c r="I259" s="455" t="s">
        <v>4913</v>
      </c>
      <c r="J259" s="455" t="s">
        <v>4913</v>
      </c>
      <c r="K259" s="455" t="s">
        <v>4913</v>
      </c>
      <c r="L259" s="455" t="s">
        <v>4913</v>
      </c>
      <c r="M259" s="455" t="s">
        <v>4913</v>
      </c>
      <c r="N259" s="455" t="s">
        <v>4913</v>
      </c>
      <c r="O259" s="455" t="s">
        <v>4913</v>
      </c>
      <c r="P259" s="455" t="s">
        <v>4913</v>
      </c>
      <c r="Q259" s="455" t="s">
        <v>4913</v>
      </c>
      <c r="R259" s="455" t="s">
        <v>4913</v>
      </c>
      <c r="S259" s="455" t="s">
        <v>4913</v>
      </c>
      <c r="T259" s="455" t="s">
        <v>4913</v>
      </c>
      <c r="U259" s="455" t="s">
        <v>4913</v>
      </c>
      <c r="V259" s="455" t="s">
        <v>4913</v>
      </c>
      <c r="W259" s="459" t="s">
        <v>1736</v>
      </c>
      <c r="X259" s="459" t="s">
        <v>1736</v>
      </c>
      <c r="Y259" s="459" t="s">
        <v>1736</v>
      </c>
      <c r="Z259" s="459" t="s">
        <v>1736</v>
      </c>
      <c r="AA259" s="455" t="s">
        <v>4913</v>
      </c>
      <c r="AB259" s="455" t="s">
        <v>4913</v>
      </c>
      <c r="AC259" s="456" t="s">
        <v>1737</v>
      </c>
      <c r="AD259" s="459" t="s">
        <v>12544</v>
      </c>
      <c r="AE259" s="454" t="s">
        <v>13545</v>
      </c>
      <c r="AF259" s="460" t="s">
        <v>13592</v>
      </c>
      <c r="AG259" s="460" t="s">
        <v>13216</v>
      </c>
      <c r="AH259" s="460" t="s">
        <v>13593</v>
      </c>
    </row>
    <row r="260" spans="1:34">
      <c r="A260" s="453" t="s">
        <v>13594</v>
      </c>
      <c r="B260" s="454" t="s">
        <v>13595</v>
      </c>
      <c r="C260" s="454" t="s">
        <v>13596</v>
      </c>
      <c r="D260" s="454" t="s">
        <v>13597</v>
      </c>
      <c r="E260" s="454" t="s">
        <v>1732</v>
      </c>
      <c r="F260" s="459" t="s">
        <v>1736</v>
      </c>
      <c r="G260" s="459" t="s">
        <v>1736</v>
      </c>
      <c r="H260" s="455" t="s">
        <v>4913</v>
      </c>
      <c r="I260" s="455" t="s">
        <v>4913</v>
      </c>
      <c r="J260" s="455" t="s">
        <v>4913</v>
      </c>
      <c r="K260" s="455" t="s">
        <v>4913</v>
      </c>
      <c r="L260" s="455" t="s">
        <v>4913</v>
      </c>
      <c r="M260" s="455" t="s">
        <v>4913</v>
      </c>
      <c r="N260" s="455" t="s">
        <v>4913</v>
      </c>
      <c r="O260" s="455" t="s">
        <v>4913</v>
      </c>
      <c r="P260" s="455" t="s">
        <v>4913</v>
      </c>
      <c r="Q260" s="455" t="s">
        <v>4913</v>
      </c>
      <c r="R260" s="455" t="s">
        <v>4913</v>
      </c>
      <c r="S260" s="455" t="s">
        <v>4913</v>
      </c>
      <c r="T260" s="455" t="s">
        <v>4913</v>
      </c>
      <c r="U260" s="455" t="s">
        <v>4913</v>
      </c>
      <c r="V260" s="455" t="s">
        <v>4913</v>
      </c>
      <c r="W260" s="455" t="s">
        <v>4913</v>
      </c>
      <c r="X260" s="455" t="s">
        <v>4913</v>
      </c>
      <c r="Y260" s="455" t="s">
        <v>4913</v>
      </c>
      <c r="Z260" s="455" t="s">
        <v>4913</v>
      </c>
      <c r="AA260" s="455" t="s">
        <v>4913</v>
      </c>
      <c r="AB260" s="455" t="s">
        <v>4913</v>
      </c>
      <c r="AC260" s="456" t="s">
        <v>1737</v>
      </c>
      <c r="AD260" s="459" t="s">
        <v>12544</v>
      </c>
      <c r="AE260" s="454" t="s">
        <v>12545</v>
      </c>
      <c r="AF260" s="460" t="s">
        <v>13560</v>
      </c>
      <c r="AG260" s="460" t="s">
        <v>13250</v>
      </c>
      <c r="AH260" s="460" t="s">
        <v>13598</v>
      </c>
    </row>
    <row r="261" spans="1:34">
      <c r="A261" s="453" t="s">
        <v>13599</v>
      </c>
      <c r="B261" s="454" t="s">
        <v>13600</v>
      </c>
      <c r="C261" s="454" t="s">
        <v>13601</v>
      </c>
      <c r="D261" s="454" t="s">
        <v>13602</v>
      </c>
      <c r="E261" s="454" t="s">
        <v>1732</v>
      </c>
      <c r="F261" s="459" t="s">
        <v>1736</v>
      </c>
      <c r="G261" s="459" t="s">
        <v>1736</v>
      </c>
      <c r="H261" s="455" t="s">
        <v>4913</v>
      </c>
      <c r="I261" s="455" t="s">
        <v>4913</v>
      </c>
      <c r="J261" s="455" t="s">
        <v>4913</v>
      </c>
      <c r="K261" s="455" t="s">
        <v>4913</v>
      </c>
      <c r="L261" s="455" t="s">
        <v>4913</v>
      </c>
      <c r="M261" s="455" t="s">
        <v>4913</v>
      </c>
      <c r="N261" s="455" t="s">
        <v>4913</v>
      </c>
      <c r="O261" s="455" t="s">
        <v>4913</v>
      </c>
      <c r="P261" s="455" t="s">
        <v>4913</v>
      </c>
      <c r="Q261" s="455" t="s">
        <v>4913</v>
      </c>
      <c r="R261" s="455" t="s">
        <v>4913</v>
      </c>
      <c r="S261" s="455" t="s">
        <v>4913</v>
      </c>
      <c r="T261" s="455" t="s">
        <v>4913</v>
      </c>
      <c r="U261" s="455" t="s">
        <v>4913</v>
      </c>
      <c r="V261" s="455" t="s">
        <v>4913</v>
      </c>
      <c r="W261" s="459" t="s">
        <v>1736</v>
      </c>
      <c r="X261" s="459" t="s">
        <v>1736</v>
      </c>
      <c r="Y261" s="459" t="s">
        <v>1736</v>
      </c>
      <c r="Z261" s="459" t="s">
        <v>1736</v>
      </c>
      <c r="AA261" s="455" t="s">
        <v>4913</v>
      </c>
      <c r="AB261" s="455" t="s">
        <v>4913</v>
      </c>
      <c r="AC261" s="456" t="s">
        <v>1737</v>
      </c>
      <c r="AD261" s="459" t="s">
        <v>12544</v>
      </c>
      <c r="AE261" s="454" t="s">
        <v>13545</v>
      </c>
      <c r="AF261" s="460" t="s">
        <v>13603</v>
      </c>
      <c r="AG261" s="460" t="s">
        <v>13250</v>
      </c>
      <c r="AH261" s="460" t="s">
        <v>13604</v>
      </c>
    </row>
    <row r="262" spans="1:34">
      <c r="A262" s="453" t="s">
        <v>13605</v>
      </c>
      <c r="B262" s="454" t="s">
        <v>13606</v>
      </c>
      <c r="C262" s="454" t="s">
        <v>13607</v>
      </c>
      <c r="D262" s="454" t="s">
        <v>13608</v>
      </c>
      <c r="E262" s="454" t="s">
        <v>1732</v>
      </c>
      <c r="F262" s="459" t="s">
        <v>1736</v>
      </c>
      <c r="G262" s="459" t="s">
        <v>1736</v>
      </c>
      <c r="H262" s="455" t="s">
        <v>4913</v>
      </c>
      <c r="I262" s="455" t="s">
        <v>4913</v>
      </c>
      <c r="J262" s="455" t="s">
        <v>4913</v>
      </c>
      <c r="K262" s="455" t="s">
        <v>4913</v>
      </c>
      <c r="L262" s="455" t="s">
        <v>4913</v>
      </c>
      <c r="M262" s="455" t="s">
        <v>4913</v>
      </c>
      <c r="N262" s="455" t="s">
        <v>4913</v>
      </c>
      <c r="O262" s="455" t="s">
        <v>4913</v>
      </c>
      <c r="P262" s="455" t="s">
        <v>4913</v>
      </c>
      <c r="Q262" s="455" t="s">
        <v>4913</v>
      </c>
      <c r="R262" s="455" t="s">
        <v>4913</v>
      </c>
      <c r="S262" s="455" t="s">
        <v>4913</v>
      </c>
      <c r="T262" s="455" t="s">
        <v>4913</v>
      </c>
      <c r="U262" s="455" t="s">
        <v>4913</v>
      </c>
      <c r="V262" s="455" t="s">
        <v>4913</v>
      </c>
      <c r="W262" s="455" t="s">
        <v>4913</v>
      </c>
      <c r="X262" s="455" t="s">
        <v>4913</v>
      </c>
      <c r="Y262" s="455" t="s">
        <v>4913</v>
      </c>
      <c r="Z262" s="455" t="s">
        <v>4913</v>
      </c>
      <c r="AA262" s="455" t="s">
        <v>4913</v>
      </c>
      <c r="AB262" s="455" t="s">
        <v>4913</v>
      </c>
      <c r="AC262" s="456" t="s">
        <v>1737</v>
      </c>
      <c r="AD262" s="459" t="s">
        <v>12544</v>
      </c>
      <c r="AE262" s="454" t="s">
        <v>12545</v>
      </c>
      <c r="AF262" s="454" t="s">
        <v>13609</v>
      </c>
      <c r="AG262" s="460" t="s">
        <v>12569</v>
      </c>
      <c r="AH262" s="460" t="s">
        <v>13610</v>
      </c>
    </row>
    <row r="263" spans="1:34">
      <c r="A263" s="453" t="s">
        <v>13611</v>
      </c>
      <c r="B263" s="454" t="s">
        <v>13612</v>
      </c>
      <c r="C263" s="454" t="s">
        <v>13613</v>
      </c>
      <c r="D263" s="454" t="s">
        <v>13614</v>
      </c>
      <c r="E263" s="454" t="s">
        <v>1732</v>
      </c>
      <c r="F263" s="459" t="s">
        <v>1736</v>
      </c>
      <c r="G263" s="459" t="s">
        <v>1736</v>
      </c>
      <c r="H263" s="455" t="s">
        <v>4913</v>
      </c>
      <c r="I263" s="455" t="s">
        <v>4913</v>
      </c>
      <c r="J263" s="455" t="s">
        <v>4913</v>
      </c>
      <c r="K263" s="455" t="s">
        <v>4913</v>
      </c>
      <c r="L263" s="455" t="s">
        <v>4913</v>
      </c>
      <c r="M263" s="455" t="s">
        <v>4913</v>
      </c>
      <c r="N263" s="455" t="s">
        <v>4913</v>
      </c>
      <c r="O263" s="455" t="s">
        <v>4913</v>
      </c>
      <c r="P263" s="455" t="s">
        <v>4913</v>
      </c>
      <c r="Q263" s="455" t="s">
        <v>4913</v>
      </c>
      <c r="R263" s="455" t="s">
        <v>4913</v>
      </c>
      <c r="S263" s="455" t="s">
        <v>4913</v>
      </c>
      <c r="T263" s="455" t="s">
        <v>4913</v>
      </c>
      <c r="U263" s="455" t="s">
        <v>4913</v>
      </c>
      <c r="V263" s="455" t="s">
        <v>4913</v>
      </c>
      <c r="W263" s="459" t="s">
        <v>1736</v>
      </c>
      <c r="X263" s="459" t="s">
        <v>1736</v>
      </c>
      <c r="Y263" s="459" t="s">
        <v>1736</v>
      </c>
      <c r="Z263" s="459" t="s">
        <v>1736</v>
      </c>
      <c r="AA263" s="455" t="s">
        <v>4913</v>
      </c>
      <c r="AB263" s="455" t="s">
        <v>4913</v>
      </c>
      <c r="AC263" s="456" t="s">
        <v>1737</v>
      </c>
      <c r="AD263" s="459" t="s">
        <v>12544</v>
      </c>
      <c r="AE263" s="454" t="s">
        <v>13545</v>
      </c>
      <c r="AF263" s="460" t="s">
        <v>13615</v>
      </c>
      <c r="AG263" s="460" t="s">
        <v>13250</v>
      </c>
      <c r="AH263" s="460" t="s">
        <v>13616</v>
      </c>
    </row>
    <row r="264" spans="1:34">
      <c r="A264" s="453" t="s">
        <v>13617</v>
      </c>
      <c r="B264" s="454" t="s">
        <v>13618</v>
      </c>
      <c r="C264" s="454" t="s">
        <v>13619</v>
      </c>
      <c r="D264" s="454" t="s">
        <v>13620</v>
      </c>
      <c r="E264" s="454" t="s">
        <v>1732</v>
      </c>
      <c r="F264" s="459" t="s">
        <v>1736</v>
      </c>
      <c r="G264" s="459" t="s">
        <v>1736</v>
      </c>
      <c r="H264" s="455" t="s">
        <v>4913</v>
      </c>
      <c r="I264" s="455" t="s">
        <v>4913</v>
      </c>
      <c r="J264" s="455" t="s">
        <v>4913</v>
      </c>
      <c r="K264" s="455" t="s">
        <v>4913</v>
      </c>
      <c r="L264" s="455" t="s">
        <v>4913</v>
      </c>
      <c r="M264" s="455" t="s">
        <v>4913</v>
      </c>
      <c r="N264" s="455" t="s">
        <v>4913</v>
      </c>
      <c r="O264" s="455" t="s">
        <v>4913</v>
      </c>
      <c r="P264" s="455" t="s">
        <v>4913</v>
      </c>
      <c r="Q264" s="455" t="s">
        <v>4913</v>
      </c>
      <c r="R264" s="455" t="s">
        <v>4913</v>
      </c>
      <c r="S264" s="455" t="s">
        <v>4913</v>
      </c>
      <c r="T264" s="455" t="s">
        <v>4913</v>
      </c>
      <c r="U264" s="455" t="s">
        <v>4913</v>
      </c>
      <c r="V264" s="455" t="s">
        <v>4913</v>
      </c>
      <c r="W264" s="455" t="s">
        <v>4913</v>
      </c>
      <c r="X264" s="455" t="s">
        <v>4913</v>
      </c>
      <c r="Y264" s="455" t="s">
        <v>4913</v>
      </c>
      <c r="Z264" s="455" t="s">
        <v>4913</v>
      </c>
      <c r="AA264" s="455" t="s">
        <v>4913</v>
      </c>
      <c r="AB264" s="455" t="s">
        <v>4913</v>
      </c>
      <c r="AC264" s="456" t="s">
        <v>1737</v>
      </c>
      <c r="AD264" s="459" t="s">
        <v>12544</v>
      </c>
      <c r="AE264" s="454" t="s">
        <v>12545</v>
      </c>
      <c r="AF264" s="460" t="s">
        <v>13560</v>
      </c>
      <c r="AG264" s="460" t="s">
        <v>12569</v>
      </c>
      <c r="AH264" s="460" t="s">
        <v>13621</v>
      </c>
    </row>
    <row r="265" spans="1:34">
      <c r="A265" s="453" t="s">
        <v>13622</v>
      </c>
      <c r="B265" s="454" t="s">
        <v>13623</v>
      </c>
      <c r="C265" s="454" t="s">
        <v>13624</v>
      </c>
      <c r="D265" s="454" t="s">
        <v>13625</v>
      </c>
      <c r="E265" s="454" t="s">
        <v>1732</v>
      </c>
      <c r="F265" s="459" t="s">
        <v>1736</v>
      </c>
      <c r="G265" s="459" t="s">
        <v>1736</v>
      </c>
      <c r="H265" s="455" t="s">
        <v>4913</v>
      </c>
      <c r="I265" s="455" t="s">
        <v>4913</v>
      </c>
      <c r="J265" s="455" t="s">
        <v>4913</v>
      </c>
      <c r="K265" s="455" t="s">
        <v>4913</v>
      </c>
      <c r="L265" s="455" t="s">
        <v>4913</v>
      </c>
      <c r="M265" s="455" t="s">
        <v>4913</v>
      </c>
      <c r="N265" s="455" t="s">
        <v>4913</v>
      </c>
      <c r="O265" s="455" t="s">
        <v>4913</v>
      </c>
      <c r="P265" s="455" t="s">
        <v>4913</v>
      </c>
      <c r="Q265" s="455" t="s">
        <v>4913</v>
      </c>
      <c r="R265" s="455" t="s">
        <v>4913</v>
      </c>
      <c r="S265" s="455" t="s">
        <v>4913</v>
      </c>
      <c r="T265" s="455" t="s">
        <v>4913</v>
      </c>
      <c r="U265" s="455" t="s">
        <v>4913</v>
      </c>
      <c r="V265" s="455" t="s">
        <v>4913</v>
      </c>
      <c r="W265" s="459" t="s">
        <v>1736</v>
      </c>
      <c r="X265" s="459" t="s">
        <v>1736</v>
      </c>
      <c r="Y265" s="459" t="s">
        <v>1736</v>
      </c>
      <c r="Z265" s="459" t="s">
        <v>1736</v>
      </c>
      <c r="AA265" s="455" t="s">
        <v>4913</v>
      </c>
      <c r="AB265" s="455" t="s">
        <v>4913</v>
      </c>
      <c r="AC265" s="456" t="s">
        <v>1737</v>
      </c>
      <c r="AD265" s="459" t="s">
        <v>12544</v>
      </c>
      <c r="AE265" s="454" t="s">
        <v>13545</v>
      </c>
      <c r="AF265" s="460" t="s">
        <v>13626</v>
      </c>
      <c r="AG265" s="460" t="s">
        <v>12569</v>
      </c>
      <c r="AH265" s="461" t="s">
        <v>13627</v>
      </c>
    </row>
    <row r="266" spans="1:34">
      <c r="A266" s="453" t="s">
        <v>13628</v>
      </c>
      <c r="B266" s="454" t="s">
        <v>13629</v>
      </c>
      <c r="C266" s="454" t="s">
        <v>13630</v>
      </c>
      <c r="D266" s="454" t="s">
        <v>13631</v>
      </c>
      <c r="E266" s="454" t="s">
        <v>1732</v>
      </c>
      <c r="F266" s="459" t="s">
        <v>1736</v>
      </c>
      <c r="G266" s="459" t="s">
        <v>1736</v>
      </c>
      <c r="H266" s="455" t="s">
        <v>4913</v>
      </c>
      <c r="I266" s="455" t="s">
        <v>4913</v>
      </c>
      <c r="J266" s="455" t="s">
        <v>4913</v>
      </c>
      <c r="K266" s="455" t="s">
        <v>4913</v>
      </c>
      <c r="L266" s="455" t="s">
        <v>4913</v>
      </c>
      <c r="M266" s="455" t="s">
        <v>4913</v>
      </c>
      <c r="N266" s="455" t="s">
        <v>4913</v>
      </c>
      <c r="O266" s="455" t="s">
        <v>4913</v>
      </c>
      <c r="P266" s="455" t="s">
        <v>4913</v>
      </c>
      <c r="Q266" s="455" t="s">
        <v>4913</v>
      </c>
      <c r="R266" s="455" t="s">
        <v>4913</v>
      </c>
      <c r="S266" s="455" t="s">
        <v>4913</v>
      </c>
      <c r="T266" s="455" t="s">
        <v>4913</v>
      </c>
      <c r="U266" s="455" t="s">
        <v>4913</v>
      </c>
      <c r="V266" s="455" t="s">
        <v>4913</v>
      </c>
      <c r="W266" s="455" t="s">
        <v>4913</v>
      </c>
      <c r="X266" s="455" t="s">
        <v>4913</v>
      </c>
      <c r="Y266" s="455" t="s">
        <v>4913</v>
      </c>
      <c r="Z266" s="455" t="s">
        <v>4913</v>
      </c>
      <c r="AA266" s="455" t="s">
        <v>4913</v>
      </c>
      <c r="AB266" s="455" t="s">
        <v>4913</v>
      </c>
      <c r="AC266" s="456" t="s">
        <v>1737</v>
      </c>
      <c r="AD266" s="459" t="s">
        <v>12544</v>
      </c>
      <c r="AE266" s="457" t="s">
        <v>12545</v>
      </c>
      <c r="AF266" s="460" t="s">
        <v>13560</v>
      </c>
      <c r="AG266" s="460" t="s">
        <v>12591</v>
      </c>
      <c r="AH266" s="461" t="s">
        <v>13632</v>
      </c>
    </row>
    <row r="267" spans="1:34">
      <c r="A267" s="453" t="s">
        <v>13628</v>
      </c>
      <c r="B267" s="454" t="s">
        <v>13633</v>
      </c>
      <c r="C267" s="454" t="s">
        <v>13630</v>
      </c>
      <c r="D267" s="454" t="s">
        <v>13634</v>
      </c>
      <c r="E267" s="454" t="s">
        <v>1743</v>
      </c>
      <c r="F267" s="459" t="s">
        <v>1736</v>
      </c>
      <c r="G267" s="459" t="s">
        <v>1736</v>
      </c>
      <c r="H267" s="455" t="s">
        <v>4913</v>
      </c>
      <c r="I267" s="455" t="s">
        <v>4913</v>
      </c>
      <c r="J267" s="455" t="s">
        <v>4913</v>
      </c>
      <c r="K267" s="455" t="s">
        <v>4913</v>
      </c>
      <c r="L267" s="455" t="s">
        <v>4913</v>
      </c>
      <c r="M267" s="455" t="s">
        <v>4913</v>
      </c>
      <c r="N267" s="455" t="s">
        <v>4913</v>
      </c>
      <c r="O267" s="455" t="s">
        <v>4913</v>
      </c>
      <c r="P267" s="455" t="s">
        <v>4913</v>
      </c>
      <c r="Q267" s="455" t="s">
        <v>4913</v>
      </c>
      <c r="R267" s="455" t="s">
        <v>4913</v>
      </c>
      <c r="S267" s="455" t="s">
        <v>4913</v>
      </c>
      <c r="T267" s="455" t="s">
        <v>4913</v>
      </c>
      <c r="U267" s="455" t="s">
        <v>4913</v>
      </c>
      <c r="V267" s="455" t="s">
        <v>4913</v>
      </c>
      <c r="W267" s="455" t="s">
        <v>4913</v>
      </c>
      <c r="X267" s="455" t="s">
        <v>4913</v>
      </c>
      <c r="Y267" s="455" t="s">
        <v>4913</v>
      </c>
      <c r="Z267" s="455" t="s">
        <v>4913</v>
      </c>
      <c r="AA267" s="455" t="s">
        <v>4913</v>
      </c>
      <c r="AB267" s="455" t="s">
        <v>4913</v>
      </c>
      <c r="AC267" s="456" t="s">
        <v>1737</v>
      </c>
      <c r="AD267" s="459" t="s">
        <v>12544</v>
      </c>
      <c r="AE267" s="457" t="s">
        <v>12545</v>
      </c>
      <c r="AF267" s="460" t="s">
        <v>13635</v>
      </c>
      <c r="AG267" s="460" t="s">
        <v>12591</v>
      </c>
      <c r="AH267" s="461" t="s">
        <v>13632</v>
      </c>
    </row>
    <row r="268" spans="1:34">
      <c r="A268" s="453" t="s">
        <v>13628</v>
      </c>
      <c r="B268" s="454" t="s">
        <v>13636</v>
      </c>
      <c r="C268" s="454" t="s">
        <v>13630</v>
      </c>
      <c r="D268" s="454" t="s">
        <v>13637</v>
      </c>
      <c r="E268" s="454" t="s">
        <v>1743</v>
      </c>
      <c r="F268" s="459" t="s">
        <v>1736</v>
      </c>
      <c r="G268" s="459" t="s">
        <v>1736</v>
      </c>
      <c r="H268" s="455" t="s">
        <v>4913</v>
      </c>
      <c r="I268" s="455" t="s">
        <v>4913</v>
      </c>
      <c r="J268" s="455" t="s">
        <v>4913</v>
      </c>
      <c r="K268" s="455" t="s">
        <v>4913</v>
      </c>
      <c r="L268" s="455" t="s">
        <v>4913</v>
      </c>
      <c r="M268" s="455" t="s">
        <v>4913</v>
      </c>
      <c r="N268" s="455" t="s">
        <v>4913</v>
      </c>
      <c r="O268" s="455" t="s">
        <v>4913</v>
      </c>
      <c r="P268" s="455" t="s">
        <v>4913</v>
      </c>
      <c r="Q268" s="455" t="s">
        <v>4913</v>
      </c>
      <c r="R268" s="455" t="s">
        <v>4913</v>
      </c>
      <c r="S268" s="455" t="s">
        <v>4913</v>
      </c>
      <c r="T268" s="455" t="s">
        <v>4913</v>
      </c>
      <c r="U268" s="455" t="s">
        <v>4913</v>
      </c>
      <c r="V268" s="455" t="s">
        <v>4913</v>
      </c>
      <c r="W268" s="455" t="s">
        <v>4913</v>
      </c>
      <c r="X268" s="455" t="s">
        <v>4913</v>
      </c>
      <c r="Y268" s="455" t="s">
        <v>4913</v>
      </c>
      <c r="Z268" s="455" t="s">
        <v>4913</v>
      </c>
      <c r="AA268" s="455" t="s">
        <v>4913</v>
      </c>
      <c r="AB268" s="455" t="s">
        <v>4913</v>
      </c>
      <c r="AC268" s="456" t="s">
        <v>1737</v>
      </c>
      <c r="AD268" s="459" t="s">
        <v>12544</v>
      </c>
      <c r="AE268" s="457" t="s">
        <v>12545</v>
      </c>
      <c r="AF268" s="460" t="s">
        <v>13635</v>
      </c>
      <c r="AG268" s="460" t="s">
        <v>12591</v>
      </c>
      <c r="AH268" s="461" t="s">
        <v>13632</v>
      </c>
    </row>
    <row r="269" spans="1:34">
      <c r="A269" s="453" t="s">
        <v>13638</v>
      </c>
      <c r="B269" s="454" t="s">
        <v>13639</v>
      </c>
      <c r="C269" s="454" t="s">
        <v>13640</v>
      </c>
      <c r="D269" s="454" t="s">
        <v>13641</v>
      </c>
      <c r="E269" s="454" t="s">
        <v>1732</v>
      </c>
      <c r="F269" s="459" t="s">
        <v>1736</v>
      </c>
      <c r="G269" s="459" t="s">
        <v>1736</v>
      </c>
      <c r="H269" s="455" t="s">
        <v>4913</v>
      </c>
      <c r="I269" s="455" t="s">
        <v>4913</v>
      </c>
      <c r="J269" s="455" t="s">
        <v>4913</v>
      </c>
      <c r="K269" s="455" t="s">
        <v>4913</v>
      </c>
      <c r="L269" s="455" t="s">
        <v>4913</v>
      </c>
      <c r="M269" s="455" t="s">
        <v>4913</v>
      </c>
      <c r="N269" s="455" t="s">
        <v>4913</v>
      </c>
      <c r="O269" s="455" t="s">
        <v>4913</v>
      </c>
      <c r="P269" s="455" t="s">
        <v>4913</v>
      </c>
      <c r="Q269" s="455" t="s">
        <v>4913</v>
      </c>
      <c r="R269" s="455" t="s">
        <v>4913</v>
      </c>
      <c r="S269" s="455" t="s">
        <v>4913</v>
      </c>
      <c r="T269" s="455" t="s">
        <v>4913</v>
      </c>
      <c r="U269" s="455" t="s">
        <v>4913</v>
      </c>
      <c r="V269" s="455" t="s">
        <v>4913</v>
      </c>
      <c r="W269" s="455" t="s">
        <v>4913</v>
      </c>
      <c r="X269" s="455" t="s">
        <v>4913</v>
      </c>
      <c r="Y269" s="455" t="s">
        <v>4913</v>
      </c>
      <c r="Z269" s="455" t="s">
        <v>4913</v>
      </c>
      <c r="AA269" s="455" t="s">
        <v>4913</v>
      </c>
      <c r="AB269" s="455" t="s">
        <v>4913</v>
      </c>
      <c r="AC269" s="456" t="s">
        <v>1737</v>
      </c>
      <c r="AD269" s="459" t="s">
        <v>12544</v>
      </c>
      <c r="AE269" s="454" t="s">
        <v>13545</v>
      </c>
      <c r="AF269" s="460" t="s">
        <v>13642</v>
      </c>
      <c r="AG269" s="460" t="s">
        <v>12569</v>
      </c>
      <c r="AH269" s="461" t="s">
        <v>13643</v>
      </c>
    </row>
    <row r="270" spans="1:34">
      <c r="A270" s="453" t="s">
        <v>13644</v>
      </c>
      <c r="B270" s="454" t="s">
        <v>13645</v>
      </c>
      <c r="C270" s="454" t="s">
        <v>13646</v>
      </c>
      <c r="D270" s="454" t="s">
        <v>13647</v>
      </c>
      <c r="E270" s="454" t="s">
        <v>1732</v>
      </c>
      <c r="F270" s="459" t="s">
        <v>1736</v>
      </c>
      <c r="G270" s="459" t="s">
        <v>1736</v>
      </c>
      <c r="H270" s="455" t="s">
        <v>4913</v>
      </c>
      <c r="I270" s="455" t="s">
        <v>4913</v>
      </c>
      <c r="J270" s="455" t="s">
        <v>4913</v>
      </c>
      <c r="K270" s="455" t="s">
        <v>4913</v>
      </c>
      <c r="L270" s="455" t="s">
        <v>4913</v>
      </c>
      <c r="M270" s="455" t="s">
        <v>4913</v>
      </c>
      <c r="N270" s="455" t="s">
        <v>4913</v>
      </c>
      <c r="O270" s="455" t="s">
        <v>4913</v>
      </c>
      <c r="P270" s="455" t="s">
        <v>4913</v>
      </c>
      <c r="Q270" s="455" t="s">
        <v>4913</v>
      </c>
      <c r="R270" s="455" t="s">
        <v>4913</v>
      </c>
      <c r="S270" s="455" t="s">
        <v>4913</v>
      </c>
      <c r="T270" s="455" t="s">
        <v>4913</v>
      </c>
      <c r="U270" s="455" t="s">
        <v>4913</v>
      </c>
      <c r="V270" s="455" t="s">
        <v>4913</v>
      </c>
      <c r="W270" s="455" t="s">
        <v>4913</v>
      </c>
      <c r="X270" s="455" t="s">
        <v>4913</v>
      </c>
      <c r="Y270" s="455" t="s">
        <v>4913</v>
      </c>
      <c r="Z270" s="455" t="s">
        <v>4913</v>
      </c>
      <c r="AA270" s="455" t="s">
        <v>4913</v>
      </c>
      <c r="AB270" s="455" t="s">
        <v>4913</v>
      </c>
      <c r="AC270" s="456" t="s">
        <v>1737</v>
      </c>
      <c r="AD270" s="459" t="s">
        <v>12544</v>
      </c>
      <c r="AE270" s="457" t="s">
        <v>12545</v>
      </c>
      <c r="AF270" s="460" t="s">
        <v>13560</v>
      </c>
      <c r="AG270" s="460" t="s">
        <v>12591</v>
      </c>
      <c r="AH270" s="461" t="s">
        <v>13648</v>
      </c>
    </row>
    <row r="271" spans="1:34">
      <c r="A271" s="453" t="s">
        <v>13649</v>
      </c>
      <c r="B271" s="454" t="s">
        <v>13650</v>
      </c>
      <c r="C271" s="454" t="s">
        <v>13651</v>
      </c>
      <c r="D271" s="454" t="s">
        <v>13652</v>
      </c>
      <c r="E271" s="454" t="s">
        <v>1732</v>
      </c>
      <c r="F271" s="459" t="s">
        <v>1736</v>
      </c>
      <c r="G271" s="459" t="s">
        <v>1736</v>
      </c>
      <c r="H271" s="455" t="s">
        <v>4913</v>
      </c>
      <c r="I271" s="455" t="s">
        <v>4913</v>
      </c>
      <c r="J271" s="455" t="s">
        <v>4913</v>
      </c>
      <c r="K271" s="455" t="s">
        <v>4913</v>
      </c>
      <c r="L271" s="455" t="s">
        <v>4913</v>
      </c>
      <c r="M271" s="455" t="s">
        <v>4913</v>
      </c>
      <c r="N271" s="455" t="s">
        <v>4913</v>
      </c>
      <c r="O271" s="455" t="s">
        <v>4913</v>
      </c>
      <c r="P271" s="455" t="s">
        <v>4913</v>
      </c>
      <c r="Q271" s="455" t="s">
        <v>4913</v>
      </c>
      <c r="R271" s="455" t="s">
        <v>4913</v>
      </c>
      <c r="S271" s="455" t="s">
        <v>4913</v>
      </c>
      <c r="T271" s="455" t="s">
        <v>4913</v>
      </c>
      <c r="U271" s="455" t="s">
        <v>4913</v>
      </c>
      <c r="V271" s="455" t="s">
        <v>4913</v>
      </c>
      <c r="W271" s="456" t="s">
        <v>1736</v>
      </c>
      <c r="X271" s="456" t="s">
        <v>1736</v>
      </c>
      <c r="Y271" s="456" t="s">
        <v>1736</v>
      </c>
      <c r="Z271" s="456" t="s">
        <v>1736</v>
      </c>
      <c r="AA271" s="455" t="s">
        <v>4913</v>
      </c>
      <c r="AB271" s="455" t="s">
        <v>4913</v>
      </c>
      <c r="AC271" s="456" t="s">
        <v>1737</v>
      </c>
      <c r="AD271" s="459" t="s">
        <v>12544</v>
      </c>
      <c r="AE271" s="454" t="s">
        <v>13545</v>
      </c>
      <c r="AF271" s="460" t="s">
        <v>13653</v>
      </c>
      <c r="AG271" s="461" t="s">
        <v>12739</v>
      </c>
      <c r="AH271" s="461" t="s">
        <v>13654</v>
      </c>
    </row>
    <row r="272" spans="1:34">
      <c r="A272" s="453" t="s">
        <v>13649</v>
      </c>
      <c r="B272" s="454" t="s">
        <v>13655</v>
      </c>
      <c r="C272" s="454" t="s">
        <v>13651</v>
      </c>
      <c r="D272" s="454" t="s">
        <v>13656</v>
      </c>
      <c r="E272" s="454" t="s">
        <v>1743</v>
      </c>
      <c r="F272" s="459" t="s">
        <v>1736</v>
      </c>
      <c r="G272" s="459" t="s">
        <v>1736</v>
      </c>
      <c r="H272" s="455" t="s">
        <v>4913</v>
      </c>
      <c r="I272" s="455" t="s">
        <v>4913</v>
      </c>
      <c r="J272" s="455" t="s">
        <v>4913</v>
      </c>
      <c r="K272" s="455" t="s">
        <v>4913</v>
      </c>
      <c r="L272" s="455" t="s">
        <v>4913</v>
      </c>
      <c r="M272" s="455" t="s">
        <v>4913</v>
      </c>
      <c r="N272" s="455" t="s">
        <v>4913</v>
      </c>
      <c r="O272" s="455" t="s">
        <v>4913</v>
      </c>
      <c r="P272" s="455" t="s">
        <v>4913</v>
      </c>
      <c r="Q272" s="455" t="s">
        <v>4913</v>
      </c>
      <c r="R272" s="455" t="s">
        <v>4913</v>
      </c>
      <c r="S272" s="455" t="s">
        <v>4913</v>
      </c>
      <c r="T272" s="455" t="s">
        <v>4913</v>
      </c>
      <c r="U272" s="455" t="s">
        <v>4913</v>
      </c>
      <c r="V272" s="455" t="s">
        <v>4913</v>
      </c>
      <c r="W272" s="455" t="s">
        <v>4913</v>
      </c>
      <c r="X272" s="455" t="s">
        <v>4913</v>
      </c>
      <c r="Y272" s="455" t="s">
        <v>4913</v>
      </c>
      <c r="Z272" s="455" t="s">
        <v>4913</v>
      </c>
      <c r="AA272" s="455" t="s">
        <v>4913</v>
      </c>
      <c r="AB272" s="455" t="s">
        <v>4913</v>
      </c>
      <c r="AC272" s="456" t="s">
        <v>1737</v>
      </c>
      <c r="AD272" s="459" t="s">
        <v>12544</v>
      </c>
      <c r="AE272" s="457" t="s">
        <v>12545</v>
      </c>
      <c r="AF272" s="454" t="s">
        <v>13657</v>
      </c>
      <c r="AG272" s="461" t="s">
        <v>12739</v>
      </c>
      <c r="AH272" s="461" t="s">
        <v>13654</v>
      </c>
    </row>
    <row r="273" spans="1:34">
      <c r="A273" s="453" t="s">
        <v>13658</v>
      </c>
      <c r="B273" s="454" t="s">
        <v>13659</v>
      </c>
      <c r="C273" s="454" t="s">
        <v>13660</v>
      </c>
      <c r="D273" s="454" t="s">
        <v>13661</v>
      </c>
      <c r="E273" s="454" t="s">
        <v>1732</v>
      </c>
      <c r="F273" s="459" t="s">
        <v>1736</v>
      </c>
      <c r="G273" s="459" t="s">
        <v>1736</v>
      </c>
      <c r="H273" s="455" t="s">
        <v>4913</v>
      </c>
      <c r="I273" s="455" t="s">
        <v>4913</v>
      </c>
      <c r="J273" s="455" t="s">
        <v>4913</v>
      </c>
      <c r="K273" s="455" t="s">
        <v>4913</v>
      </c>
      <c r="L273" s="455" t="s">
        <v>4913</v>
      </c>
      <c r="M273" s="455" t="s">
        <v>4913</v>
      </c>
      <c r="N273" s="455" t="s">
        <v>4913</v>
      </c>
      <c r="O273" s="455" t="s">
        <v>4913</v>
      </c>
      <c r="P273" s="455" t="s">
        <v>4913</v>
      </c>
      <c r="Q273" s="455" t="s">
        <v>4913</v>
      </c>
      <c r="R273" s="455" t="s">
        <v>4913</v>
      </c>
      <c r="S273" s="455" t="s">
        <v>4913</v>
      </c>
      <c r="T273" s="455" t="s">
        <v>4913</v>
      </c>
      <c r="U273" s="455" t="s">
        <v>4913</v>
      </c>
      <c r="V273" s="455" t="s">
        <v>4913</v>
      </c>
      <c r="W273" s="455" t="s">
        <v>4913</v>
      </c>
      <c r="X273" s="455" t="s">
        <v>4913</v>
      </c>
      <c r="Y273" s="455" t="s">
        <v>4913</v>
      </c>
      <c r="Z273" s="455" t="s">
        <v>4913</v>
      </c>
      <c r="AA273" s="455" t="s">
        <v>4913</v>
      </c>
      <c r="AB273" s="455" t="s">
        <v>4913</v>
      </c>
      <c r="AC273" s="456" t="s">
        <v>1737</v>
      </c>
      <c r="AD273" s="459" t="s">
        <v>12544</v>
      </c>
      <c r="AE273" s="454" t="s">
        <v>12545</v>
      </c>
      <c r="AF273" s="454" t="s">
        <v>13662</v>
      </c>
      <c r="AG273" s="460" t="s">
        <v>12569</v>
      </c>
      <c r="AH273" s="460" t="s">
        <v>13663</v>
      </c>
    </row>
    <row r="274" spans="1:34">
      <c r="A274" s="453" t="s">
        <v>13658</v>
      </c>
      <c r="B274" s="454" t="s">
        <v>13664</v>
      </c>
      <c r="C274" s="454" t="s">
        <v>13660</v>
      </c>
      <c r="D274" s="454" t="s">
        <v>13665</v>
      </c>
      <c r="E274" s="454" t="s">
        <v>1743</v>
      </c>
      <c r="F274" s="459" t="s">
        <v>1736</v>
      </c>
      <c r="G274" s="459" t="s">
        <v>1736</v>
      </c>
      <c r="H274" s="455" t="s">
        <v>4913</v>
      </c>
      <c r="I274" s="455" t="s">
        <v>4913</v>
      </c>
      <c r="J274" s="455" t="s">
        <v>4913</v>
      </c>
      <c r="K274" s="455" t="s">
        <v>4913</v>
      </c>
      <c r="L274" s="455" t="s">
        <v>4913</v>
      </c>
      <c r="M274" s="455" t="s">
        <v>4913</v>
      </c>
      <c r="N274" s="455" t="s">
        <v>4913</v>
      </c>
      <c r="O274" s="455" t="s">
        <v>4913</v>
      </c>
      <c r="P274" s="455" t="s">
        <v>4913</v>
      </c>
      <c r="Q274" s="455" t="s">
        <v>4913</v>
      </c>
      <c r="R274" s="455" t="s">
        <v>4913</v>
      </c>
      <c r="S274" s="455" t="s">
        <v>4913</v>
      </c>
      <c r="T274" s="455" t="s">
        <v>4913</v>
      </c>
      <c r="U274" s="455" t="s">
        <v>4913</v>
      </c>
      <c r="V274" s="455" t="s">
        <v>4913</v>
      </c>
      <c r="W274" s="455" t="s">
        <v>4913</v>
      </c>
      <c r="X274" s="455" t="s">
        <v>4913</v>
      </c>
      <c r="Y274" s="455" t="s">
        <v>4913</v>
      </c>
      <c r="Z274" s="455" t="s">
        <v>4913</v>
      </c>
      <c r="AA274" s="455" t="s">
        <v>4913</v>
      </c>
      <c r="AB274" s="455" t="s">
        <v>4913</v>
      </c>
      <c r="AC274" s="456" t="s">
        <v>1737</v>
      </c>
      <c r="AD274" s="459" t="s">
        <v>12544</v>
      </c>
      <c r="AE274" s="454" t="s">
        <v>12545</v>
      </c>
      <c r="AF274" s="454" t="s">
        <v>13666</v>
      </c>
      <c r="AG274" s="460" t="s">
        <v>13071</v>
      </c>
      <c r="AH274" s="460" t="s">
        <v>13667</v>
      </c>
    </row>
    <row r="275" spans="1:34">
      <c r="A275" s="453" t="s">
        <v>13668</v>
      </c>
      <c r="B275" s="454" t="s">
        <v>13669</v>
      </c>
      <c r="C275" s="454" t="s">
        <v>13670</v>
      </c>
      <c r="D275" s="454" t="s">
        <v>13671</v>
      </c>
      <c r="E275" s="454" t="s">
        <v>1732</v>
      </c>
      <c r="F275" s="459" t="s">
        <v>1736</v>
      </c>
      <c r="G275" s="459" t="s">
        <v>1736</v>
      </c>
      <c r="H275" s="455" t="s">
        <v>4913</v>
      </c>
      <c r="I275" s="455" t="s">
        <v>4913</v>
      </c>
      <c r="J275" s="455" t="s">
        <v>4913</v>
      </c>
      <c r="K275" s="455" t="s">
        <v>4913</v>
      </c>
      <c r="L275" s="455" t="s">
        <v>4913</v>
      </c>
      <c r="M275" s="455" t="s">
        <v>4913</v>
      </c>
      <c r="N275" s="455" t="s">
        <v>4913</v>
      </c>
      <c r="O275" s="455" t="s">
        <v>4913</v>
      </c>
      <c r="P275" s="455" t="s">
        <v>4913</v>
      </c>
      <c r="Q275" s="455" t="s">
        <v>4913</v>
      </c>
      <c r="R275" s="455" t="s">
        <v>4913</v>
      </c>
      <c r="S275" s="455" t="s">
        <v>4913</v>
      </c>
      <c r="T275" s="455" t="s">
        <v>4913</v>
      </c>
      <c r="U275" s="455" t="s">
        <v>4913</v>
      </c>
      <c r="V275" s="455" t="s">
        <v>4913</v>
      </c>
      <c r="W275" s="459" t="s">
        <v>1736</v>
      </c>
      <c r="X275" s="456" t="s">
        <v>1736</v>
      </c>
      <c r="Y275" s="456" t="s">
        <v>1736</v>
      </c>
      <c r="Z275" s="456" t="s">
        <v>1736</v>
      </c>
      <c r="AA275" s="455" t="s">
        <v>4913</v>
      </c>
      <c r="AB275" s="455" t="s">
        <v>4913</v>
      </c>
      <c r="AC275" s="456" t="s">
        <v>1737</v>
      </c>
      <c r="AD275" s="459" t="s">
        <v>12544</v>
      </c>
      <c r="AE275" s="454" t="s">
        <v>13545</v>
      </c>
      <c r="AF275" s="460" t="s">
        <v>13672</v>
      </c>
      <c r="AG275" s="460" t="s">
        <v>12569</v>
      </c>
      <c r="AH275" s="460" t="s">
        <v>13673</v>
      </c>
    </row>
    <row r="276" spans="1:34">
      <c r="A276" s="453" t="s">
        <v>13668</v>
      </c>
      <c r="B276" s="454" t="s">
        <v>13674</v>
      </c>
      <c r="C276" s="454" t="s">
        <v>13670</v>
      </c>
      <c r="D276" s="454" t="s">
        <v>13675</v>
      </c>
      <c r="E276" s="454" t="s">
        <v>1743</v>
      </c>
      <c r="F276" s="459" t="s">
        <v>1736</v>
      </c>
      <c r="G276" s="459" t="s">
        <v>1736</v>
      </c>
      <c r="H276" s="455" t="s">
        <v>4913</v>
      </c>
      <c r="I276" s="455" t="s">
        <v>4913</v>
      </c>
      <c r="J276" s="455" t="s">
        <v>4913</v>
      </c>
      <c r="K276" s="455" t="s">
        <v>4913</v>
      </c>
      <c r="L276" s="455" t="s">
        <v>4913</v>
      </c>
      <c r="M276" s="455" t="s">
        <v>4913</v>
      </c>
      <c r="N276" s="455" t="s">
        <v>4913</v>
      </c>
      <c r="O276" s="455" t="s">
        <v>4913</v>
      </c>
      <c r="P276" s="455" t="s">
        <v>4913</v>
      </c>
      <c r="Q276" s="455" t="s">
        <v>4913</v>
      </c>
      <c r="R276" s="455" t="s">
        <v>4913</v>
      </c>
      <c r="S276" s="455" t="s">
        <v>4913</v>
      </c>
      <c r="T276" s="455" t="s">
        <v>4913</v>
      </c>
      <c r="U276" s="455" t="s">
        <v>4913</v>
      </c>
      <c r="V276" s="455" t="s">
        <v>4913</v>
      </c>
      <c r="W276" s="455" t="s">
        <v>4913</v>
      </c>
      <c r="X276" s="455" t="s">
        <v>4913</v>
      </c>
      <c r="Y276" s="455" t="s">
        <v>4913</v>
      </c>
      <c r="Z276" s="455" t="s">
        <v>4913</v>
      </c>
      <c r="AA276" s="455" t="s">
        <v>4913</v>
      </c>
      <c r="AB276" s="455" t="s">
        <v>4913</v>
      </c>
      <c r="AC276" s="456" t="s">
        <v>1737</v>
      </c>
      <c r="AD276" s="459" t="s">
        <v>12544</v>
      </c>
      <c r="AE276" s="454" t="s">
        <v>12545</v>
      </c>
      <c r="AF276" s="460" t="s">
        <v>13657</v>
      </c>
      <c r="AG276" s="460" t="s">
        <v>12569</v>
      </c>
      <c r="AH276" s="460" t="s">
        <v>13673</v>
      </c>
    </row>
    <row r="277" spans="1:34">
      <c r="A277" s="453" t="s">
        <v>13668</v>
      </c>
      <c r="B277" s="454" t="s">
        <v>13676</v>
      </c>
      <c r="C277" s="454" t="s">
        <v>13670</v>
      </c>
      <c r="D277" s="454" t="s">
        <v>13677</v>
      </c>
      <c r="E277" s="454" t="s">
        <v>1743</v>
      </c>
      <c r="F277" s="459" t="s">
        <v>1736</v>
      </c>
      <c r="G277" s="459" t="s">
        <v>1736</v>
      </c>
      <c r="H277" s="455" t="s">
        <v>4913</v>
      </c>
      <c r="I277" s="455" t="s">
        <v>4913</v>
      </c>
      <c r="J277" s="455" t="s">
        <v>4913</v>
      </c>
      <c r="K277" s="455" t="s">
        <v>4913</v>
      </c>
      <c r="L277" s="455" t="s">
        <v>4913</v>
      </c>
      <c r="M277" s="455" t="s">
        <v>4913</v>
      </c>
      <c r="N277" s="455" t="s">
        <v>4913</v>
      </c>
      <c r="O277" s="455" t="s">
        <v>4913</v>
      </c>
      <c r="P277" s="455" t="s">
        <v>4913</v>
      </c>
      <c r="Q277" s="455" t="s">
        <v>4913</v>
      </c>
      <c r="R277" s="455" t="s">
        <v>4913</v>
      </c>
      <c r="S277" s="455" t="s">
        <v>4913</v>
      </c>
      <c r="T277" s="455" t="s">
        <v>4913</v>
      </c>
      <c r="U277" s="455" t="s">
        <v>4913</v>
      </c>
      <c r="V277" s="455" t="s">
        <v>4913</v>
      </c>
      <c r="W277" s="455" t="s">
        <v>4913</v>
      </c>
      <c r="X277" s="455" t="s">
        <v>4913</v>
      </c>
      <c r="Y277" s="455" t="s">
        <v>4913</v>
      </c>
      <c r="Z277" s="455" t="s">
        <v>4913</v>
      </c>
      <c r="AA277" s="455" t="s">
        <v>4913</v>
      </c>
      <c r="AB277" s="455" t="s">
        <v>4913</v>
      </c>
      <c r="AC277" s="456" t="s">
        <v>1737</v>
      </c>
      <c r="AD277" s="459" t="s">
        <v>12544</v>
      </c>
      <c r="AE277" s="454" t="s">
        <v>12545</v>
      </c>
      <c r="AF277" s="460" t="s">
        <v>13657</v>
      </c>
      <c r="AG277" s="460" t="s">
        <v>12569</v>
      </c>
      <c r="AH277" s="460" t="s">
        <v>13673</v>
      </c>
    </row>
    <row r="278" spans="1:34">
      <c r="A278" s="453" t="s">
        <v>13678</v>
      </c>
      <c r="B278" s="454" t="s">
        <v>13679</v>
      </c>
      <c r="C278" s="454" t="s">
        <v>13680</v>
      </c>
      <c r="D278" s="454" t="s">
        <v>13681</v>
      </c>
      <c r="E278" s="454" t="s">
        <v>1732</v>
      </c>
      <c r="F278" s="459" t="s">
        <v>1736</v>
      </c>
      <c r="G278" s="459" t="s">
        <v>1736</v>
      </c>
      <c r="H278" s="455" t="s">
        <v>4913</v>
      </c>
      <c r="I278" s="455" t="s">
        <v>4913</v>
      </c>
      <c r="J278" s="455" t="s">
        <v>4913</v>
      </c>
      <c r="K278" s="455" t="s">
        <v>4913</v>
      </c>
      <c r="L278" s="455" t="s">
        <v>4913</v>
      </c>
      <c r="M278" s="455" t="s">
        <v>4913</v>
      </c>
      <c r="N278" s="455" t="s">
        <v>4913</v>
      </c>
      <c r="O278" s="455" t="s">
        <v>4913</v>
      </c>
      <c r="P278" s="455" t="s">
        <v>4913</v>
      </c>
      <c r="Q278" s="455" t="s">
        <v>4913</v>
      </c>
      <c r="R278" s="455" t="s">
        <v>4913</v>
      </c>
      <c r="S278" s="455" t="s">
        <v>4913</v>
      </c>
      <c r="T278" s="455" t="s">
        <v>4913</v>
      </c>
      <c r="U278" s="455" t="s">
        <v>4913</v>
      </c>
      <c r="V278" s="455" t="s">
        <v>4913</v>
      </c>
      <c r="W278" s="455" t="s">
        <v>4913</v>
      </c>
      <c r="X278" s="455" t="s">
        <v>4913</v>
      </c>
      <c r="Y278" s="455" t="s">
        <v>4913</v>
      </c>
      <c r="Z278" s="455" t="s">
        <v>4913</v>
      </c>
      <c r="AA278" s="455" t="s">
        <v>4913</v>
      </c>
      <c r="AB278" s="455" t="s">
        <v>4913</v>
      </c>
      <c r="AC278" s="456" t="s">
        <v>1737</v>
      </c>
      <c r="AD278" s="459" t="s">
        <v>12544</v>
      </c>
      <c r="AE278" s="454" t="s">
        <v>13682</v>
      </c>
      <c r="AF278" s="454" t="s">
        <v>13683</v>
      </c>
      <c r="AG278" s="460" t="s">
        <v>12591</v>
      </c>
      <c r="AH278" s="460" t="s">
        <v>13684</v>
      </c>
    </row>
    <row r="279" spans="1:34">
      <c r="A279" s="453" t="s">
        <v>13678</v>
      </c>
      <c r="B279" s="454" t="s">
        <v>13685</v>
      </c>
      <c r="C279" s="454" t="s">
        <v>13680</v>
      </c>
      <c r="D279" s="454" t="s">
        <v>13686</v>
      </c>
      <c r="E279" s="454" t="s">
        <v>1743</v>
      </c>
      <c r="F279" s="459" t="s">
        <v>1736</v>
      </c>
      <c r="G279" s="459" t="s">
        <v>1736</v>
      </c>
      <c r="H279" s="455" t="s">
        <v>4913</v>
      </c>
      <c r="I279" s="455" t="s">
        <v>4913</v>
      </c>
      <c r="J279" s="455" t="s">
        <v>4913</v>
      </c>
      <c r="K279" s="455" t="s">
        <v>4913</v>
      </c>
      <c r="L279" s="455" t="s">
        <v>4913</v>
      </c>
      <c r="M279" s="455" t="s">
        <v>4913</v>
      </c>
      <c r="N279" s="455" t="s">
        <v>4913</v>
      </c>
      <c r="O279" s="455" t="s">
        <v>4913</v>
      </c>
      <c r="P279" s="455" t="s">
        <v>4913</v>
      </c>
      <c r="Q279" s="455" t="s">
        <v>4913</v>
      </c>
      <c r="R279" s="455" t="s">
        <v>4913</v>
      </c>
      <c r="S279" s="455" t="s">
        <v>4913</v>
      </c>
      <c r="T279" s="455" t="s">
        <v>4913</v>
      </c>
      <c r="U279" s="455" t="s">
        <v>4913</v>
      </c>
      <c r="V279" s="455" t="s">
        <v>4913</v>
      </c>
      <c r="W279" s="455" t="s">
        <v>4913</v>
      </c>
      <c r="X279" s="455" t="s">
        <v>4913</v>
      </c>
      <c r="Y279" s="455" t="s">
        <v>4913</v>
      </c>
      <c r="Z279" s="455" t="s">
        <v>4913</v>
      </c>
      <c r="AA279" s="455" t="s">
        <v>4913</v>
      </c>
      <c r="AB279" s="455" t="s">
        <v>4913</v>
      </c>
      <c r="AC279" s="456" t="s">
        <v>1737</v>
      </c>
      <c r="AD279" s="459" t="s">
        <v>12544</v>
      </c>
      <c r="AE279" s="454" t="s">
        <v>12545</v>
      </c>
      <c r="AF279" s="454" t="s">
        <v>13687</v>
      </c>
      <c r="AG279" s="460" t="s">
        <v>11920</v>
      </c>
      <c r="AH279" s="460" t="s">
        <v>13688</v>
      </c>
    </row>
    <row r="280" spans="1:34">
      <c r="A280" s="453" t="s">
        <v>13689</v>
      </c>
      <c r="B280" s="454" t="s">
        <v>13690</v>
      </c>
      <c r="C280" s="454" t="s">
        <v>13691</v>
      </c>
      <c r="D280" s="454" t="s">
        <v>13692</v>
      </c>
      <c r="E280" s="454" t="s">
        <v>1732</v>
      </c>
      <c r="F280" s="459" t="s">
        <v>1736</v>
      </c>
      <c r="G280" s="459" t="s">
        <v>1736</v>
      </c>
      <c r="H280" s="455" t="s">
        <v>4913</v>
      </c>
      <c r="I280" s="455" t="s">
        <v>4913</v>
      </c>
      <c r="J280" s="455" t="s">
        <v>4913</v>
      </c>
      <c r="K280" s="455" t="s">
        <v>4913</v>
      </c>
      <c r="L280" s="455" t="s">
        <v>4913</v>
      </c>
      <c r="M280" s="455" t="s">
        <v>4913</v>
      </c>
      <c r="N280" s="455" t="s">
        <v>4913</v>
      </c>
      <c r="O280" s="455" t="s">
        <v>4913</v>
      </c>
      <c r="P280" s="455" t="s">
        <v>4913</v>
      </c>
      <c r="Q280" s="455" t="s">
        <v>4913</v>
      </c>
      <c r="R280" s="455" t="s">
        <v>4913</v>
      </c>
      <c r="S280" s="455" t="s">
        <v>4913</v>
      </c>
      <c r="T280" s="455" t="s">
        <v>4913</v>
      </c>
      <c r="U280" s="455" t="s">
        <v>4913</v>
      </c>
      <c r="V280" s="455" t="s">
        <v>4913</v>
      </c>
      <c r="W280" s="459" t="s">
        <v>1736</v>
      </c>
      <c r="X280" s="459" t="s">
        <v>1736</v>
      </c>
      <c r="Y280" s="459" t="s">
        <v>1736</v>
      </c>
      <c r="Z280" s="459" t="s">
        <v>1736</v>
      </c>
      <c r="AA280" s="455" t="s">
        <v>4913</v>
      </c>
      <c r="AB280" s="455" t="s">
        <v>4913</v>
      </c>
      <c r="AC280" s="456" t="s">
        <v>1737</v>
      </c>
      <c r="AD280" s="459" t="s">
        <v>12544</v>
      </c>
      <c r="AE280" s="454" t="s">
        <v>13545</v>
      </c>
      <c r="AF280" s="454" t="s">
        <v>13693</v>
      </c>
      <c r="AG280" s="460" t="s">
        <v>12591</v>
      </c>
      <c r="AH280" s="460" t="s">
        <v>13694</v>
      </c>
    </row>
    <row r="281" spans="1:34">
      <c r="A281" s="453" t="s">
        <v>13689</v>
      </c>
      <c r="B281" s="454" t="s">
        <v>13695</v>
      </c>
      <c r="C281" s="454" t="s">
        <v>13691</v>
      </c>
      <c r="D281" s="454" t="s">
        <v>13696</v>
      </c>
      <c r="E281" s="454" t="s">
        <v>1743</v>
      </c>
      <c r="F281" s="459" t="s">
        <v>1736</v>
      </c>
      <c r="G281" s="459" t="s">
        <v>1736</v>
      </c>
      <c r="H281" s="455" t="s">
        <v>4913</v>
      </c>
      <c r="I281" s="455" t="s">
        <v>4913</v>
      </c>
      <c r="J281" s="455" t="s">
        <v>4913</v>
      </c>
      <c r="K281" s="455" t="s">
        <v>4913</v>
      </c>
      <c r="L281" s="455" t="s">
        <v>4913</v>
      </c>
      <c r="M281" s="455" t="s">
        <v>4913</v>
      </c>
      <c r="N281" s="455" t="s">
        <v>4913</v>
      </c>
      <c r="O281" s="455" t="s">
        <v>4913</v>
      </c>
      <c r="P281" s="455" t="s">
        <v>4913</v>
      </c>
      <c r="Q281" s="455" t="s">
        <v>4913</v>
      </c>
      <c r="R281" s="455" t="s">
        <v>4913</v>
      </c>
      <c r="S281" s="455" t="s">
        <v>4913</v>
      </c>
      <c r="T281" s="455" t="s">
        <v>4913</v>
      </c>
      <c r="U281" s="455" t="s">
        <v>4913</v>
      </c>
      <c r="V281" s="455" t="s">
        <v>4913</v>
      </c>
      <c r="W281" s="455" t="s">
        <v>4913</v>
      </c>
      <c r="X281" s="455" t="s">
        <v>4913</v>
      </c>
      <c r="Y281" s="455" t="s">
        <v>4913</v>
      </c>
      <c r="Z281" s="455" t="s">
        <v>4913</v>
      </c>
      <c r="AA281" s="455" t="s">
        <v>4913</v>
      </c>
      <c r="AB281" s="455" t="s">
        <v>4913</v>
      </c>
      <c r="AC281" s="456" t="s">
        <v>1737</v>
      </c>
      <c r="AD281" s="459" t="s">
        <v>12544</v>
      </c>
      <c r="AE281" s="454" t="s">
        <v>12545</v>
      </c>
      <c r="AF281" s="454" t="s">
        <v>13697</v>
      </c>
      <c r="AG281" s="462">
        <v>44663</v>
      </c>
      <c r="AH281" s="460" t="s">
        <v>13698</v>
      </c>
    </row>
    <row r="282" spans="1:34">
      <c r="A282" s="453" t="s">
        <v>13689</v>
      </c>
      <c r="B282" s="454" t="s">
        <v>13699</v>
      </c>
      <c r="C282" s="454" t="s">
        <v>13691</v>
      </c>
      <c r="D282" s="454" t="s">
        <v>13700</v>
      </c>
      <c r="E282" s="454" t="s">
        <v>1743</v>
      </c>
      <c r="F282" s="459" t="s">
        <v>1736</v>
      </c>
      <c r="G282" s="459" t="s">
        <v>1736</v>
      </c>
      <c r="H282" s="455" t="s">
        <v>4913</v>
      </c>
      <c r="I282" s="455" t="s">
        <v>4913</v>
      </c>
      <c r="J282" s="455" t="s">
        <v>4913</v>
      </c>
      <c r="K282" s="455" t="s">
        <v>4913</v>
      </c>
      <c r="L282" s="455" t="s">
        <v>4913</v>
      </c>
      <c r="M282" s="455" t="s">
        <v>4913</v>
      </c>
      <c r="N282" s="455" t="s">
        <v>4913</v>
      </c>
      <c r="O282" s="455" t="s">
        <v>4913</v>
      </c>
      <c r="P282" s="455" t="s">
        <v>4913</v>
      </c>
      <c r="Q282" s="455" t="s">
        <v>4913</v>
      </c>
      <c r="R282" s="455" t="s">
        <v>4913</v>
      </c>
      <c r="S282" s="455" t="s">
        <v>4913</v>
      </c>
      <c r="T282" s="455" t="s">
        <v>4913</v>
      </c>
      <c r="U282" s="455" t="s">
        <v>4913</v>
      </c>
      <c r="V282" s="455" t="s">
        <v>4913</v>
      </c>
      <c r="W282" s="455" t="s">
        <v>4913</v>
      </c>
      <c r="X282" s="455" t="s">
        <v>4913</v>
      </c>
      <c r="Y282" s="455" t="s">
        <v>4913</v>
      </c>
      <c r="Z282" s="455" t="s">
        <v>4913</v>
      </c>
      <c r="AA282" s="455" t="s">
        <v>4913</v>
      </c>
      <c r="AB282" s="455" t="s">
        <v>4913</v>
      </c>
      <c r="AC282" s="456" t="s">
        <v>1737</v>
      </c>
      <c r="AD282" s="459" t="s">
        <v>12544</v>
      </c>
      <c r="AE282" s="454" t="s">
        <v>12545</v>
      </c>
      <c r="AF282" s="454" t="s">
        <v>13701</v>
      </c>
      <c r="AG282" s="460" t="s">
        <v>12591</v>
      </c>
      <c r="AH282" s="460" t="s">
        <v>13694</v>
      </c>
    </row>
    <row r="283" spans="1:34">
      <c r="A283" s="453" t="s">
        <v>13689</v>
      </c>
      <c r="B283" s="454" t="s">
        <v>13702</v>
      </c>
      <c r="C283" s="454" t="s">
        <v>13691</v>
      </c>
      <c r="D283" s="454" t="s">
        <v>13703</v>
      </c>
      <c r="E283" s="454" t="s">
        <v>1743</v>
      </c>
      <c r="F283" s="459" t="s">
        <v>1736</v>
      </c>
      <c r="G283" s="459" t="s">
        <v>1736</v>
      </c>
      <c r="H283" s="455" t="s">
        <v>4913</v>
      </c>
      <c r="I283" s="455" t="s">
        <v>4913</v>
      </c>
      <c r="J283" s="455" t="s">
        <v>4913</v>
      </c>
      <c r="K283" s="455" t="s">
        <v>4913</v>
      </c>
      <c r="L283" s="455" t="s">
        <v>4913</v>
      </c>
      <c r="M283" s="455" t="s">
        <v>4913</v>
      </c>
      <c r="N283" s="455" t="s">
        <v>4913</v>
      </c>
      <c r="O283" s="455" t="s">
        <v>4913</v>
      </c>
      <c r="P283" s="455" t="s">
        <v>4913</v>
      </c>
      <c r="Q283" s="455" t="s">
        <v>4913</v>
      </c>
      <c r="R283" s="455" t="s">
        <v>4913</v>
      </c>
      <c r="S283" s="455" t="s">
        <v>4913</v>
      </c>
      <c r="T283" s="455" t="s">
        <v>4913</v>
      </c>
      <c r="U283" s="455" t="s">
        <v>4913</v>
      </c>
      <c r="V283" s="455" t="s">
        <v>4913</v>
      </c>
      <c r="W283" s="455" t="s">
        <v>4913</v>
      </c>
      <c r="X283" s="455" t="s">
        <v>4913</v>
      </c>
      <c r="Y283" s="455" t="s">
        <v>4913</v>
      </c>
      <c r="Z283" s="455" t="s">
        <v>4913</v>
      </c>
      <c r="AA283" s="455" t="s">
        <v>4913</v>
      </c>
      <c r="AB283" s="455" t="s">
        <v>4913</v>
      </c>
      <c r="AC283" s="456" t="s">
        <v>1737</v>
      </c>
      <c r="AD283" s="459" t="s">
        <v>12544</v>
      </c>
      <c r="AE283" s="454" t="s">
        <v>12545</v>
      </c>
      <c r="AF283" s="454" t="s">
        <v>13701</v>
      </c>
      <c r="AG283" s="460" t="s">
        <v>12591</v>
      </c>
      <c r="AH283" s="460" t="s">
        <v>13694</v>
      </c>
    </row>
    <row r="284" spans="1:34">
      <c r="A284" s="453" t="s">
        <v>13689</v>
      </c>
      <c r="B284" s="454" t="s">
        <v>13704</v>
      </c>
      <c r="C284" s="454" t="s">
        <v>13691</v>
      </c>
      <c r="D284" s="454" t="s">
        <v>13705</v>
      </c>
      <c r="E284" s="454" t="s">
        <v>1743</v>
      </c>
      <c r="F284" s="459" t="s">
        <v>1736</v>
      </c>
      <c r="G284" s="459" t="s">
        <v>1736</v>
      </c>
      <c r="H284" s="455" t="s">
        <v>4913</v>
      </c>
      <c r="I284" s="455" t="s">
        <v>4913</v>
      </c>
      <c r="J284" s="455" t="s">
        <v>4913</v>
      </c>
      <c r="K284" s="455" t="s">
        <v>4913</v>
      </c>
      <c r="L284" s="455" t="s">
        <v>4913</v>
      </c>
      <c r="M284" s="455" t="s">
        <v>4913</v>
      </c>
      <c r="N284" s="455" t="s">
        <v>4913</v>
      </c>
      <c r="O284" s="455" t="s">
        <v>4913</v>
      </c>
      <c r="P284" s="455" t="s">
        <v>4913</v>
      </c>
      <c r="Q284" s="455" t="s">
        <v>4913</v>
      </c>
      <c r="R284" s="455" t="s">
        <v>4913</v>
      </c>
      <c r="S284" s="455" t="s">
        <v>4913</v>
      </c>
      <c r="T284" s="455" t="s">
        <v>4913</v>
      </c>
      <c r="U284" s="455" t="s">
        <v>4913</v>
      </c>
      <c r="V284" s="455" t="s">
        <v>4913</v>
      </c>
      <c r="W284" s="455" t="s">
        <v>4913</v>
      </c>
      <c r="X284" s="455" t="s">
        <v>4913</v>
      </c>
      <c r="Y284" s="455" t="s">
        <v>4913</v>
      </c>
      <c r="Z284" s="455" t="s">
        <v>4913</v>
      </c>
      <c r="AA284" s="455" t="s">
        <v>4913</v>
      </c>
      <c r="AB284" s="455" t="s">
        <v>4913</v>
      </c>
      <c r="AC284" s="456" t="s">
        <v>1737</v>
      </c>
      <c r="AD284" s="459" t="s">
        <v>12544</v>
      </c>
      <c r="AE284" s="454" t="s">
        <v>12545</v>
      </c>
      <c r="AF284" s="454" t="s">
        <v>13701</v>
      </c>
      <c r="AG284" s="460" t="s">
        <v>12591</v>
      </c>
      <c r="AH284" s="460" t="s">
        <v>13694</v>
      </c>
    </row>
    <row r="285" spans="1:34">
      <c r="A285" s="453" t="s">
        <v>13706</v>
      </c>
      <c r="B285" s="454" t="s">
        <v>13707</v>
      </c>
      <c r="C285" s="454" t="s">
        <v>13708</v>
      </c>
      <c r="D285" s="454" t="s">
        <v>13709</v>
      </c>
      <c r="E285" s="454" t="s">
        <v>1732</v>
      </c>
      <c r="F285" s="459" t="s">
        <v>1736</v>
      </c>
      <c r="G285" s="459" t="s">
        <v>1736</v>
      </c>
      <c r="H285" s="455" t="s">
        <v>4913</v>
      </c>
      <c r="I285" s="455" t="s">
        <v>4913</v>
      </c>
      <c r="J285" s="455" t="s">
        <v>4913</v>
      </c>
      <c r="K285" s="455" t="s">
        <v>4913</v>
      </c>
      <c r="L285" s="455" t="s">
        <v>4913</v>
      </c>
      <c r="M285" s="455" t="s">
        <v>4913</v>
      </c>
      <c r="N285" s="455" t="s">
        <v>4913</v>
      </c>
      <c r="O285" s="455" t="s">
        <v>4913</v>
      </c>
      <c r="P285" s="455" t="s">
        <v>4913</v>
      </c>
      <c r="Q285" s="455" t="s">
        <v>4913</v>
      </c>
      <c r="R285" s="455" t="s">
        <v>4913</v>
      </c>
      <c r="S285" s="455" t="s">
        <v>4913</v>
      </c>
      <c r="T285" s="455" t="s">
        <v>4913</v>
      </c>
      <c r="U285" s="455" t="s">
        <v>4913</v>
      </c>
      <c r="V285" s="455" t="s">
        <v>4913</v>
      </c>
      <c r="W285" s="455" t="s">
        <v>4913</v>
      </c>
      <c r="X285" s="455" t="s">
        <v>4913</v>
      </c>
      <c r="Y285" s="455" t="s">
        <v>4913</v>
      </c>
      <c r="Z285" s="455" t="s">
        <v>4913</v>
      </c>
      <c r="AA285" s="455" t="s">
        <v>4913</v>
      </c>
      <c r="AB285" s="455" t="s">
        <v>4913</v>
      </c>
      <c r="AC285" s="456" t="s">
        <v>1737</v>
      </c>
      <c r="AD285" s="459" t="s">
        <v>12544</v>
      </c>
      <c r="AE285" s="454" t="s">
        <v>12545</v>
      </c>
      <c r="AF285" s="454" t="s">
        <v>13683</v>
      </c>
      <c r="AG285" s="460" t="s">
        <v>12591</v>
      </c>
      <c r="AH285" s="460" t="s">
        <v>13710</v>
      </c>
    </row>
    <row r="286" spans="1:34">
      <c r="A286" s="453" t="s">
        <v>13706</v>
      </c>
      <c r="B286" s="454" t="s">
        <v>13711</v>
      </c>
      <c r="C286" s="454" t="s">
        <v>13708</v>
      </c>
      <c r="D286" s="454" t="s">
        <v>13712</v>
      </c>
      <c r="E286" s="454" t="s">
        <v>1743</v>
      </c>
      <c r="F286" s="459" t="s">
        <v>1736</v>
      </c>
      <c r="G286" s="459" t="s">
        <v>1736</v>
      </c>
      <c r="H286" s="455" t="s">
        <v>4913</v>
      </c>
      <c r="I286" s="455" t="s">
        <v>4913</v>
      </c>
      <c r="J286" s="455" t="s">
        <v>4913</v>
      </c>
      <c r="K286" s="455" t="s">
        <v>4913</v>
      </c>
      <c r="L286" s="455" t="s">
        <v>4913</v>
      </c>
      <c r="M286" s="455" t="s">
        <v>4913</v>
      </c>
      <c r="N286" s="455" t="s">
        <v>4913</v>
      </c>
      <c r="O286" s="455" t="s">
        <v>4913</v>
      </c>
      <c r="P286" s="455" t="s">
        <v>4913</v>
      </c>
      <c r="Q286" s="455" t="s">
        <v>4913</v>
      </c>
      <c r="R286" s="455" t="s">
        <v>4913</v>
      </c>
      <c r="S286" s="455" t="s">
        <v>4913</v>
      </c>
      <c r="T286" s="455" t="s">
        <v>4913</v>
      </c>
      <c r="U286" s="455" t="s">
        <v>4913</v>
      </c>
      <c r="V286" s="455" t="s">
        <v>4913</v>
      </c>
      <c r="W286" s="455" t="s">
        <v>4913</v>
      </c>
      <c r="X286" s="455" t="s">
        <v>4913</v>
      </c>
      <c r="Y286" s="455" t="s">
        <v>4913</v>
      </c>
      <c r="Z286" s="455" t="s">
        <v>4913</v>
      </c>
      <c r="AA286" s="455" t="s">
        <v>4913</v>
      </c>
      <c r="AB286" s="455" t="s">
        <v>4913</v>
      </c>
      <c r="AC286" s="456" t="s">
        <v>1737</v>
      </c>
      <c r="AD286" s="459" t="s">
        <v>12544</v>
      </c>
      <c r="AE286" s="454" t="s">
        <v>12545</v>
      </c>
      <c r="AF286" s="454" t="s">
        <v>13713</v>
      </c>
      <c r="AG286" s="460" t="s">
        <v>12603</v>
      </c>
      <c r="AH286" s="460" t="s">
        <v>13714</v>
      </c>
    </row>
    <row r="287" spans="1:34">
      <c r="A287" s="453" t="s">
        <v>13706</v>
      </c>
      <c r="B287" s="454" t="s">
        <v>13715</v>
      </c>
      <c r="C287" s="454" t="s">
        <v>13708</v>
      </c>
      <c r="D287" s="454" t="s">
        <v>13716</v>
      </c>
      <c r="E287" s="454" t="s">
        <v>1743</v>
      </c>
      <c r="F287" s="459" t="s">
        <v>1736</v>
      </c>
      <c r="G287" s="459" t="s">
        <v>1736</v>
      </c>
      <c r="H287" s="455" t="s">
        <v>4913</v>
      </c>
      <c r="I287" s="455" t="s">
        <v>4913</v>
      </c>
      <c r="J287" s="455" t="s">
        <v>4913</v>
      </c>
      <c r="K287" s="455" t="s">
        <v>4913</v>
      </c>
      <c r="L287" s="455" t="s">
        <v>4913</v>
      </c>
      <c r="M287" s="455" t="s">
        <v>4913</v>
      </c>
      <c r="N287" s="455" t="s">
        <v>4913</v>
      </c>
      <c r="O287" s="455" t="s">
        <v>4913</v>
      </c>
      <c r="P287" s="455" t="s">
        <v>4913</v>
      </c>
      <c r="Q287" s="455" t="s">
        <v>4913</v>
      </c>
      <c r="R287" s="455" t="s">
        <v>4913</v>
      </c>
      <c r="S287" s="455" t="s">
        <v>4913</v>
      </c>
      <c r="T287" s="455" t="s">
        <v>4913</v>
      </c>
      <c r="U287" s="455" t="s">
        <v>4913</v>
      </c>
      <c r="V287" s="455" t="s">
        <v>4913</v>
      </c>
      <c r="W287" s="455" t="s">
        <v>4913</v>
      </c>
      <c r="X287" s="455" t="s">
        <v>4913</v>
      </c>
      <c r="Y287" s="455" t="s">
        <v>4913</v>
      </c>
      <c r="Z287" s="455" t="s">
        <v>4913</v>
      </c>
      <c r="AA287" s="455" t="s">
        <v>4913</v>
      </c>
      <c r="AB287" s="455" t="s">
        <v>4913</v>
      </c>
      <c r="AC287" s="456" t="s">
        <v>1737</v>
      </c>
      <c r="AD287" s="459" t="s">
        <v>12544</v>
      </c>
      <c r="AE287" s="454" t="s">
        <v>12545</v>
      </c>
      <c r="AF287" s="454" t="s">
        <v>13713</v>
      </c>
      <c r="AG287" s="460" t="s">
        <v>12603</v>
      </c>
      <c r="AH287" s="460" t="s">
        <v>13717</v>
      </c>
    </row>
    <row r="288" spans="1:34">
      <c r="A288" s="453" t="s">
        <v>13718</v>
      </c>
      <c r="B288" s="454" t="s">
        <v>13719</v>
      </c>
      <c r="C288" s="454" t="s">
        <v>13720</v>
      </c>
      <c r="D288" s="454" t="s">
        <v>13721</v>
      </c>
      <c r="E288" s="454" t="s">
        <v>1732</v>
      </c>
      <c r="F288" s="459" t="s">
        <v>1736</v>
      </c>
      <c r="G288" s="459" t="s">
        <v>1736</v>
      </c>
      <c r="H288" s="455" t="s">
        <v>4913</v>
      </c>
      <c r="I288" s="455" t="s">
        <v>4913</v>
      </c>
      <c r="J288" s="455" t="s">
        <v>4913</v>
      </c>
      <c r="K288" s="455" t="s">
        <v>4913</v>
      </c>
      <c r="L288" s="455" t="s">
        <v>4913</v>
      </c>
      <c r="M288" s="455" t="s">
        <v>4913</v>
      </c>
      <c r="N288" s="455" t="s">
        <v>4913</v>
      </c>
      <c r="O288" s="455" t="s">
        <v>4913</v>
      </c>
      <c r="P288" s="455" t="s">
        <v>4913</v>
      </c>
      <c r="Q288" s="455" t="s">
        <v>4913</v>
      </c>
      <c r="R288" s="455" t="s">
        <v>4913</v>
      </c>
      <c r="S288" s="455" t="s">
        <v>4913</v>
      </c>
      <c r="T288" s="455" t="s">
        <v>4913</v>
      </c>
      <c r="U288" s="455" t="s">
        <v>4913</v>
      </c>
      <c r="V288" s="455" t="s">
        <v>4913</v>
      </c>
      <c r="W288" s="459" t="s">
        <v>1736</v>
      </c>
      <c r="X288" s="459" t="s">
        <v>1736</v>
      </c>
      <c r="Y288" s="459" t="s">
        <v>1736</v>
      </c>
      <c r="Z288" s="459" t="s">
        <v>1736</v>
      </c>
      <c r="AA288" s="455" t="s">
        <v>4913</v>
      </c>
      <c r="AB288" s="455" t="s">
        <v>4913</v>
      </c>
      <c r="AC288" s="456" t="s">
        <v>1737</v>
      </c>
      <c r="AD288" s="459" t="s">
        <v>12544</v>
      </c>
      <c r="AE288" s="454" t="s">
        <v>13545</v>
      </c>
      <c r="AF288" s="454" t="s">
        <v>13722</v>
      </c>
      <c r="AG288" s="460" t="s">
        <v>12591</v>
      </c>
      <c r="AH288" s="460" t="s">
        <v>13723</v>
      </c>
    </row>
    <row r="289" spans="1:34">
      <c r="A289" s="453" t="s">
        <v>13718</v>
      </c>
      <c r="B289" s="454" t="s">
        <v>13724</v>
      </c>
      <c r="C289" s="454" t="s">
        <v>13720</v>
      </c>
      <c r="D289" s="454" t="s">
        <v>13725</v>
      </c>
      <c r="E289" s="454" t="s">
        <v>1743</v>
      </c>
      <c r="F289" s="459" t="s">
        <v>1736</v>
      </c>
      <c r="G289" s="459" t="s">
        <v>1736</v>
      </c>
      <c r="H289" s="455" t="s">
        <v>4913</v>
      </c>
      <c r="I289" s="455" t="s">
        <v>4913</v>
      </c>
      <c r="J289" s="455" t="s">
        <v>4913</v>
      </c>
      <c r="K289" s="455" t="s">
        <v>4913</v>
      </c>
      <c r="L289" s="455" t="s">
        <v>4913</v>
      </c>
      <c r="M289" s="455" t="s">
        <v>4913</v>
      </c>
      <c r="N289" s="455" t="s">
        <v>4913</v>
      </c>
      <c r="O289" s="455" t="s">
        <v>4913</v>
      </c>
      <c r="P289" s="455" t="s">
        <v>4913</v>
      </c>
      <c r="Q289" s="455" t="s">
        <v>4913</v>
      </c>
      <c r="R289" s="455" t="s">
        <v>4913</v>
      </c>
      <c r="S289" s="455" t="s">
        <v>4913</v>
      </c>
      <c r="T289" s="455" t="s">
        <v>4913</v>
      </c>
      <c r="U289" s="455" t="s">
        <v>4913</v>
      </c>
      <c r="V289" s="455" t="s">
        <v>4913</v>
      </c>
      <c r="W289" s="455" t="s">
        <v>4913</v>
      </c>
      <c r="X289" s="455" t="s">
        <v>4913</v>
      </c>
      <c r="Y289" s="455" t="s">
        <v>4913</v>
      </c>
      <c r="Z289" s="455" t="s">
        <v>4913</v>
      </c>
      <c r="AA289" s="455" t="s">
        <v>4913</v>
      </c>
      <c r="AB289" s="455" t="s">
        <v>4913</v>
      </c>
      <c r="AC289" s="456" t="s">
        <v>1737</v>
      </c>
      <c r="AD289" s="459" t="s">
        <v>12544</v>
      </c>
      <c r="AE289" s="454" t="s">
        <v>12545</v>
      </c>
      <c r="AF289" s="460" t="s">
        <v>13657</v>
      </c>
      <c r="AG289" s="460" t="s">
        <v>12591</v>
      </c>
      <c r="AH289" s="460" t="s">
        <v>13723</v>
      </c>
    </row>
    <row r="290" spans="1:34">
      <c r="A290" s="453" t="s">
        <v>13718</v>
      </c>
      <c r="B290" s="454" t="s">
        <v>13726</v>
      </c>
      <c r="C290" s="454" t="s">
        <v>13720</v>
      </c>
      <c r="D290" s="454" t="s">
        <v>13727</v>
      </c>
      <c r="E290" s="454" t="s">
        <v>1743</v>
      </c>
      <c r="F290" s="459" t="s">
        <v>1736</v>
      </c>
      <c r="G290" s="459" t="s">
        <v>1736</v>
      </c>
      <c r="H290" s="455" t="s">
        <v>4913</v>
      </c>
      <c r="I290" s="455" t="s">
        <v>4913</v>
      </c>
      <c r="J290" s="455" t="s">
        <v>4913</v>
      </c>
      <c r="K290" s="455" t="s">
        <v>4913</v>
      </c>
      <c r="L290" s="455" t="s">
        <v>4913</v>
      </c>
      <c r="M290" s="455" t="s">
        <v>4913</v>
      </c>
      <c r="N290" s="455" t="s">
        <v>4913</v>
      </c>
      <c r="O290" s="455" t="s">
        <v>4913</v>
      </c>
      <c r="P290" s="455" t="s">
        <v>4913</v>
      </c>
      <c r="Q290" s="455" t="s">
        <v>4913</v>
      </c>
      <c r="R290" s="455" t="s">
        <v>4913</v>
      </c>
      <c r="S290" s="455" t="s">
        <v>4913</v>
      </c>
      <c r="T290" s="455" t="s">
        <v>4913</v>
      </c>
      <c r="U290" s="455" t="s">
        <v>4913</v>
      </c>
      <c r="V290" s="455" t="s">
        <v>4913</v>
      </c>
      <c r="W290" s="455" t="s">
        <v>4913</v>
      </c>
      <c r="X290" s="455" t="s">
        <v>4913</v>
      </c>
      <c r="Y290" s="455" t="s">
        <v>4913</v>
      </c>
      <c r="Z290" s="455" t="s">
        <v>4913</v>
      </c>
      <c r="AA290" s="455" t="s">
        <v>4913</v>
      </c>
      <c r="AB290" s="455" t="s">
        <v>4913</v>
      </c>
      <c r="AC290" s="456" t="s">
        <v>1737</v>
      </c>
      <c r="AD290" s="459" t="s">
        <v>12544</v>
      </c>
      <c r="AE290" s="454" t="s">
        <v>12545</v>
      </c>
      <c r="AF290" s="460" t="s">
        <v>13657</v>
      </c>
      <c r="AG290" s="460" t="s">
        <v>12591</v>
      </c>
      <c r="AH290" s="460" t="s">
        <v>13723</v>
      </c>
    </row>
    <row r="291" spans="1:34">
      <c r="A291" s="453" t="s">
        <v>13728</v>
      </c>
      <c r="B291" s="454" t="s">
        <v>13729</v>
      </c>
      <c r="C291" s="454" t="s">
        <v>13730</v>
      </c>
      <c r="D291" s="454" t="s">
        <v>13731</v>
      </c>
      <c r="E291" s="454" t="s">
        <v>1732</v>
      </c>
      <c r="F291" s="459" t="s">
        <v>1736</v>
      </c>
      <c r="G291" s="459" t="s">
        <v>1736</v>
      </c>
      <c r="H291" s="455" t="s">
        <v>4913</v>
      </c>
      <c r="I291" s="455" t="s">
        <v>4913</v>
      </c>
      <c r="J291" s="455" t="s">
        <v>4913</v>
      </c>
      <c r="K291" s="455" t="s">
        <v>4913</v>
      </c>
      <c r="L291" s="455" t="s">
        <v>4913</v>
      </c>
      <c r="M291" s="455" t="s">
        <v>4913</v>
      </c>
      <c r="N291" s="455" t="s">
        <v>4913</v>
      </c>
      <c r="O291" s="455" t="s">
        <v>4913</v>
      </c>
      <c r="P291" s="455" t="s">
        <v>4913</v>
      </c>
      <c r="Q291" s="455" t="s">
        <v>4913</v>
      </c>
      <c r="R291" s="455" t="s">
        <v>4913</v>
      </c>
      <c r="S291" s="455" t="s">
        <v>4913</v>
      </c>
      <c r="T291" s="455" t="s">
        <v>4913</v>
      </c>
      <c r="U291" s="455" t="s">
        <v>4913</v>
      </c>
      <c r="V291" s="455" t="s">
        <v>4913</v>
      </c>
      <c r="W291" s="455" t="s">
        <v>4913</v>
      </c>
      <c r="X291" s="455" t="s">
        <v>4913</v>
      </c>
      <c r="Y291" s="455" t="s">
        <v>4913</v>
      </c>
      <c r="Z291" s="455" t="s">
        <v>4913</v>
      </c>
      <c r="AA291" s="455" t="s">
        <v>4913</v>
      </c>
      <c r="AB291" s="455" t="s">
        <v>4913</v>
      </c>
      <c r="AC291" s="456" t="s">
        <v>1737</v>
      </c>
      <c r="AD291" s="459" t="s">
        <v>12544</v>
      </c>
      <c r="AE291" s="454" t="s">
        <v>12545</v>
      </c>
      <c r="AF291" s="454" t="s">
        <v>13683</v>
      </c>
      <c r="AG291" s="460" t="s">
        <v>12591</v>
      </c>
      <c r="AH291" s="460" t="s">
        <v>13732</v>
      </c>
    </row>
    <row r="292" spans="1:34">
      <c r="A292" s="453" t="s">
        <v>13728</v>
      </c>
      <c r="B292" s="454" t="s">
        <v>13733</v>
      </c>
      <c r="C292" s="454" t="s">
        <v>13730</v>
      </c>
      <c r="D292" s="454" t="s">
        <v>13734</v>
      </c>
      <c r="E292" s="454" t="s">
        <v>1743</v>
      </c>
      <c r="F292" s="459" t="s">
        <v>1736</v>
      </c>
      <c r="G292" s="459" t="s">
        <v>1736</v>
      </c>
      <c r="H292" s="455" t="s">
        <v>4913</v>
      </c>
      <c r="I292" s="455" t="s">
        <v>4913</v>
      </c>
      <c r="J292" s="455" t="s">
        <v>4913</v>
      </c>
      <c r="K292" s="455" t="s">
        <v>4913</v>
      </c>
      <c r="L292" s="455" t="s">
        <v>4913</v>
      </c>
      <c r="M292" s="455" t="s">
        <v>4913</v>
      </c>
      <c r="N292" s="455" t="s">
        <v>4913</v>
      </c>
      <c r="O292" s="455" t="s">
        <v>4913</v>
      </c>
      <c r="P292" s="455" t="s">
        <v>4913</v>
      </c>
      <c r="Q292" s="455" t="s">
        <v>4913</v>
      </c>
      <c r="R292" s="455" t="s">
        <v>4913</v>
      </c>
      <c r="S292" s="455" t="s">
        <v>4913</v>
      </c>
      <c r="T292" s="455" t="s">
        <v>4913</v>
      </c>
      <c r="U292" s="455" t="s">
        <v>4913</v>
      </c>
      <c r="V292" s="455" t="s">
        <v>4913</v>
      </c>
      <c r="W292" s="455" t="s">
        <v>4913</v>
      </c>
      <c r="X292" s="455" t="s">
        <v>4913</v>
      </c>
      <c r="Y292" s="455" t="s">
        <v>4913</v>
      </c>
      <c r="Z292" s="455" t="s">
        <v>4913</v>
      </c>
      <c r="AA292" s="455" t="s">
        <v>4913</v>
      </c>
      <c r="AB292" s="455" t="s">
        <v>4913</v>
      </c>
      <c r="AC292" s="456" t="s">
        <v>1737</v>
      </c>
      <c r="AD292" s="459" t="s">
        <v>12544</v>
      </c>
      <c r="AE292" s="454" t="s">
        <v>12545</v>
      </c>
      <c r="AF292" s="460" t="s">
        <v>13735</v>
      </c>
      <c r="AG292" s="462">
        <v>44663</v>
      </c>
      <c r="AH292" s="460" t="s">
        <v>13736</v>
      </c>
    </row>
    <row r="293" spans="1:34">
      <c r="A293" s="453" t="s">
        <v>13737</v>
      </c>
      <c r="B293" s="454" t="s">
        <v>13738</v>
      </c>
      <c r="C293" s="454" t="s">
        <v>13739</v>
      </c>
      <c r="D293" s="454" t="s">
        <v>13740</v>
      </c>
      <c r="E293" s="454" t="s">
        <v>1732</v>
      </c>
      <c r="F293" s="459" t="s">
        <v>1736</v>
      </c>
      <c r="G293" s="459" t="s">
        <v>1736</v>
      </c>
      <c r="H293" s="455" t="s">
        <v>4913</v>
      </c>
      <c r="I293" s="455" t="s">
        <v>4913</v>
      </c>
      <c r="J293" s="455" t="s">
        <v>4913</v>
      </c>
      <c r="K293" s="455" t="s">
        <v>4913</v>
      </c>
      <c r="L293" s="455" t="s">
        <v>4913</v>
      </c>
      <c r="M293" s="455" t="s">
        <v>4913</v>
      </c>
      <c r="N293" s="455" t="s">
        <v>4913</v>
      </c>
      <c r="O293" s="455" t="s">
        <v>4913</v>
      </c>
      <c r="P293" s="455" t="s">
        <v>4913</v>
      </c>
      <c r="Q293" s="455" t="s">
        <v>4913</v>
      </c>
      <c r="R293" s="455" t="s">
        <v>4913</v>
      </c>
      <c r="S293" s="455" t="s">
        <v>4913</v>
      </c>
      <c r="T293" s="455" t="s">
        <v>4913</v>
      </c>
      <c r="U293" s="455" t="s">
        <v>4913</v>
      </c>
      <c r="V293" s="455" t="s">
        <v>4913</v>
      </c>
      <c r="W293" s="459" t="s">
        <v>1736</v>
      </c>
      <c r="X293" s="459" t="s">
        <v>1736</v>
      </c>
      <c r="Y293" s="459" t="s">
        <v>1736</v>
      </c>
      <c r="Z293" s="459" t="s">
        <v>1736</v>
      </c>
      <c r="AA293" s="455" t="s">
        <v>4913</v>
      </c>
      <c r="AB293" s="455" t="s">
        <v>4913</v>
      </c>
      <c r="AC293" s="456" t="s">
        <v>1737</v>
      </c>
      <c r="AD293" s="459" t="s">
        <v>12544</v>
      </c>
      <c r="AE293" s="454" t="s">
        <v>13545</v>
      </c>
      <c r="AF293" s="454" t="s">
        <v>13741</v>
      </c>
      <c r="AG293" s="460" t="s">
        <v>12569</v>
      </c>
      <c r="AH293" s="460" t="s">
        <v>13742</v>
      </c>
    </row>
    <row r="294" spans="1:34">
      <c r="A294" s="453" t="s">
        <v>13737</v>
      </c>
      <c r="B294" s="454" t="s">
        <v>13743</v>
      </c>
      <c r="C294" s="454" t="s">
        <v>13739</v>
      </c>
      <c r="D294" s="454" t="s">
        <v>13744</v>
      </c>
      <c r="E294" s="454" t="s">
        <v>1743</v>
      </c>
      <c r="F294" s="459" t="s">
        <v>1736</v>
      </c>
      <c r="G294" s="459" t="s">
        <v>1736</v>
      </c>
      <c r="H294" s="455" t="s">
        <v>4913</v>
      </c>
      <c r="I294" s="455" t="s">
        <v>4913</v>
      </c>
      <c r="J294" s="455" t="s">
        <v>4913</v>
      </c>
      <c r="K294" s="455" t="s">
        <v>4913</v>
      </c>
      <c r="L294" s="455" t="s">
        <v>4913</v>
      </c>
      <c r="M294" s="455" t="s">
        <v>4913</v>
      </c>
      <c r="N294" s="455" t="s">
        <v>4913</v>
      </c>
      <c r="O294" s="455" t="s">
        <v>4913</v>
      </c>
      <c r="P294" s="455" t="s">
        <v>4913</v>
      </c>
      <c r="Q294" s="455" t="s">
        <v>4913</v>
      </c>
      <c r="R294" s="455" t="s">
        <v>4913</v>
      </c>
      <c r="S294" s="455" t="s">
        <v>4913</v>
      </c>
      <c r="T294" s="455" t="s">
        <v>4913</v>
      </c>
      <c r="U294" s="455" t="s">
        <v>4913</v>
      </c>
      <c r="V294" s="455" t="s">
        <v>4913</v>
      </c>
      <c r="W294" s="455" t="s">
        <v>4913</v>
      </c>
      <c r="X294" s="455" t="s">
        <v>4913</v>
      </c>
      <c r="Y294" s="455" t="s">
        <v>4913</v>
      </c>
      <c r="Z294" s="455" t="s">
        <v>4913</v>
      </c>
      <c r="AA294" s="455" t="s">
        <v>4913</v>
      </c>
      <c r="AB294" s="455" t="s">
        <v>4913</v>
      </c>
      <c r="AC294" s="456" t="s">
        <v>1737</v>
      </c>
      <c r="AD294" s="459" t="s">
        <v>12544</v>
      </c>
      <c r="AE294" s="454" t="s">
        <v>12545</v>
      </c>
      <c r="AF294" s="460" t="s">
        <v>13657</v>
      </c>
      <c r="AG294" s="460" t="s">
        <v>12569</v>
      </c>
      <c r="AH294" s="460" t="s">
        <v>13742</v>
      </c>
    </row>
    <row r="295" spans="1:34">
      <c r="A295" s="453" t="s">
        <v>13745</v>
      </c>
      <c r="B295" s="454" t="s">
        <v>13746</v>
      </c>
      <c r="C295" s="454" t="s">
        <v>13747</v>
      </c>
      <c r="D295" s="454" t="s">
        <v>13748</v>
      </c>
      <c r="E295" s="454" t="s">
        <v>1732</v>
      </c>
      <c r="F295" s="459" t="s">
        <v>1736</v>
      </c>
      <c r="G295" s="459" t="s">
        <v>1736</v>
      </c>
      <c r="H295" s="455" t="s">
        <v>4913</v>
      </c>
      <c r="I295" s="455" t="s">
        <v>4913</v>
      </c>
      <c r="J295" s="455" t="s">
        <v>4913</v>
      </c>
      <c r="K295" s="455" t="s">
        <v>4913</v>
      </c>
      <c r="L295" s="455" t="s">
        <v>4913</v>
      </c>
      <c r="M295" s="455" t="s">
        <v>4913</v>
      </c>
      <c r="N295" s="455" t="s">
        <v>4913</v>
      </c>
      <c r="O295" s="455" t="s">
        <v>4913</v>
      </c>
      <c r="P295" s="455" t="s">
        <v>4913</v>
      </c>
      <c r="Q295" s="455" t="s">
        <v>4913</v>
      </c>
      <c r="R295" s="455" t="s">
        <v>4913</v>
      </c>
      <c r="S295" s="455" t="s">
        <v>4913</v>
      </c>
      <c r="T295" s="455" t="s">
        <v>4913</v>
      </c>
      <c r="U295" s="455" t="s">
        <v>4913</v>
      </c>
      <c r="V295" s="455" t="s">
        <v>4913</v>
      </c>
      <c r="W295" s="455" t="s">
        <v>4913</v>
      </c>
      <c r="X295" s="455" t="s">
        <v>4913</v>
      </c>
      <c r="Y295" s="455" t="s">
        <v>4913</v>
      </c>
      <c r="Z295" s="455" t="s">
        <v>4913</v>
      </c>
      <c r="AA295" s="455" t="s">
        <v>4913</v>
      </c>
      <c r="AB295" s="455" t="s">
        <v>4913</v>
      </c>
      <c r="AC295" s="456" t="s">
        <v>1737</v>
      </c>
      <c r="AD295" s="459" t="s">
        <v>12544</v>
      </c>
      <c r="AE295" s="454" t="s">
        <v>12545</v>
      </c>
      <c r="AF295" s="461" t="s">
        <v>13749</v>
      </c>
      <c r="AG295" s="460" t="s">
        <v>12616</v>
      </c>
      <c r="AH295" s="460" t="s">
        <v>13750</v>
      </c>
    </row>
    <row r="296" spans="1:34">
      <c r="A296" s="453" t="s">
        <v>13751</v>
      </c>
      <c r="B296" s="454" t="s">
        <v>13752</v>
      </c>
      <c r="C296" s="454" t="s">
        <v>13753</v>
      </c>
      <c r="D296" s="454" t="s">
        <v>13754</v>
      </c>
      <c r="E296" s="454" t="s">
        <v>1732</v>
      </c>
      <c r="F296" s="459" t="s">
        <v>1736</v>
      </c>
      <c r="G296" s="459" t="s">
        <v>1736</v>
      </c>
      <c r="H296" s="455" t="s">
        <v>4913</v>
      </c>
      <c r="I296" s="455" t="s">
        <v>4913</v>
      </c>
      <c r="J296" s="455" t="s">
        <v>4913</v>
      </c>
      <c r="K296" s="455" t="s">
        <v>4913</v>
      </c>
      <c r="L296" s="455" t="s">
        <v>4913</v>
      </c>
      <c r="M296" s="455" t="s">
        <v>4913</v>
      </c>
      <c r="N296" s="455" t="s">
        <v>4913</v>
      </c>
      <c r="O296" s="455" t="s">
        <v>4913</v>
      </c>
      <c r="P296" s="455" t="s">
        <v>4913</v>
      </c>
      <c r="Q296" s="455" t="s">
        <v>4913</v>
      </c>
      <c r="R296" s="455" t="s">
        <v>4913</v>
      </c>
      <c r="S296" s="455" t="s">
        <v>4913</v>
      </c>
      <c r="T296" s="455" t="s">
        <v>4913</v>
      </c>
      <c r="U296" s="455" t="s">
        <v>4913</v>
      </c>
      <c r="V296" s="455" t="s">
        <v>4913</v>
      </c>
      <c r="W296" s="459" t="s">
        <v>1736</v>
      </c>
      <c r="X296" s="459" t="s">
        <v>1736</v>
      </c>
      <c r="Y296" s="459" t="s">
        <v>1736</v>
      </c>
      <c r="Z296" s="459" t="s">
        <v>1736</v>
      </c>
      <c r="AA296" s="455" t="s">
        <v>4913</v>
      </c>
      <c r="AB296" s="455" t="s">
        <v>4913</v>
      </c>
      <c r="AC296" s="456" t="s">
        <v>1737</v>
      </c>
      <c r="AD296" s="459" t="s">
        <v>12544</v>
      </c>
      <c r="AE296" s="454" t="s">
        <v>13545</v>
      </c>
      <c r="AF296" s="454" t="s">
        <v>13755</v>
      </c>
      <c r="AG296" s="460" t="s">
        <v>12616</v>
      </c>
      <c r="AH296" s="460" t="s">
        <v>13756</v>
      </c>
    </row>
    <row r="297" spans="1:34">
      <c r="A297" s="453" t="s">
        <v>13757</v>
      </c>
      <c r="B297" s="454" t="s">
        <v>13758</v>
      </c>
      <c r="C297" s="454" t="s">
        <v>13759</v>
      </c>
      <c r="D297" s="454" t="s">
        <v>13760</v>
      </c>
      <c r="E297" s="454" t="s">
        <v>1732</v>
      </c>
      <c r="F297" s="459" t="s">
        <v>1736</v>
      </c>
      <c r="G297" s="459" t="s">
        <v>1736</v>
      </c>
      <c r="H297" s="455" t="s">
        <v>4913</v>
      </c>
      <c r="I297" s="455" t="s">
        <v>4913</v>
      </c>
      <c r="J297" s="455" t="s">
        <v>4913</v>
      </c>
      <c r="K297" s="455" t="s">
        <v>4913</v>
      </c>
      <c r="L297" s="455" t="s">
        <v>4913</v>
      </c>
      <c r="M297" s="455" t="s">
        <v>4913</v>
      </c>
      <c r="N297" s="455" t="s">
        <v>4913</v>
      </c>
      <c r="O297" s="455" t="s">
        <v>4913</v>
      </c>
      <c r="P297" s="455" t="s">
        <v>4913</v>
      </c>
      <c r="Q297" s="455" t="s">
        <v>4913</v>
      </c>
      <c r="R297" s="455" t="s">
        <v>4913</v>
      </c>
      <c r="S297" s="455" t="s">
        <v>4913</v>
      </c>
      <c r="T297" s="455" t="s">
        <v>4913</v>
      </c>
      <c r="U297" s="455" t="s">
        <v>4913</v>
      </c>
      <c r="V297" s="455" t="s">
        <v>4913</v>
      </c>
      <c r="W297" s="455" t="s">
        <v>4913</v>
      </c>
      <c r="X297" s="455" t="s">
        <v>4913</v>
      </c>
      <c r="Y297" s="455" t="s">
        <v>4913</v>
      </c>
      <c r="Z297" s="455" t="s">
        <v>4913</v>
      </c>
      <c r="AA297" s="455" t="s">
        <v>4913</v>
      </c>
      <c r="AB297" s="455" t="s">
        <v>4913</v>
      </c>
      <c r="AC297" s="456" t="s">
        <v>1737</v>
      </c>
      <c r="AD297" s="459" t="s">
        <v>12544</v>
      </c>
      <c r="AE297" s="454" t="s">
        <v>12545</v>
      </c>
      <c r="AF297" s="461" t="s">
        <v>13749</v>
      </c>
      <c r="AG297" s="460" t="s">
        <v>12616</v>
      </c>
      <c r="AH297" s="460" t="s">
        <v>13761</v>
      </c>
    </row>
    <row r="298" spans="1:34">
      <c r="A298" s="453" t="s">
        <v>13762</v>
      </c>
      <c r="B298" s="454" t="s">
        <v>13763</v>
      </c>
      <c r="C298" s="454" t="s">
        <v>13764</v>
      </c>
      <c r="D298" s="454" t="s">
        <v>13765</v>
      </c>
      <c r="E298" s="454" t="s">
        <v>1732</v>
      </c>
      <c r="F298" s="459" t="s">
        <v>1736</v>
      </c>
      <c r="G298" s="459" t="s">
        <v>1736</v>
      </c>
      <c r="H298" s="455" t="s">
        <v>4913</v>
      </c>
      <c r="I298" s="455" t="s">
        <v>4913</v>
      </c>
      <c r="J298" s="455" t="s">
        <v>4913</v>
      </c>
      <c r="K298" s="455" t="s">
        <v>4913</v>
      </c>
      <c r="L298" s="455" t="s">
        <v>4913</v>
      </c>
      <c r="M298" s="455" t="s">
        <v>4913</v>
      </c>
      <c r="N298" s="455" t="s">
        <v>4913</v>
      </c>
      <c r="O298" s="455" t="s">
        <v>4913</v>
      </c>
      <c r="P298" s="455" t="s">
        <v>4913</v>
      </c>
      <c r="Q298" s="455" t="s">
        <v>4913</v>
      </c>
      <c r="R298" s="455" t="s">
        <v>4913</v>
      </c>
      <c r="S298" s="455" t="s">
        <v>4913</v>
      </c>
      <c r="T298" s="455" t="s">
        <v>4913</v>
      </c>
      <c r="U298" s="455" t="s">
        <v>4913</v>
      </c>
      <c r="V298" s="455" t="s">
        <v>4913</v>
      </c>
      <c r="W298" s="459" t="s">
        <v>1736</v>
      </c>
      <c r="X298" s="459" t="s">
        <v>1736</v>
      </c>
      <c r="Y298" s="459" t="s">
        <v>1736</v>
      </c>
      <c r="Z298" s="459" t="s">
        <v>1736</v>
      </c>
      <c r="AA298" s="455" t="s">
        <v>4913</v>
      </c>
      <c r="AB298" s="455" t="s">
        <v>4913</v>
      </c>
      <c r="AC298" s="456" t="s">
        <v>1737</v>
      </c>
      <c r="AD298" s="459" t="s">
        <v>12544</v>
      </c>
      <c r="AE298" s="454" t="s">
        <v>13545</v>
      </c>
      <c r="AF298" s="454" t="s">
        <v>13766</v>
      </c>
      <c r="AG298" s="460" t="s">
        <v>12616</v>
      </c>
      <c r="AH298" s="460" t="s">
        <v>13767</v>
      </c>
    </row>
    <row r="299" spans="1:34">
      <c r="A299" s="453" t="s">
        <v>13762</v>
      </c>
      <c r="B299" s="454" t="s">
        <v>13768</v>
      </c>
      <c r="C299" s="454" t="s">
        <v>13764</v>
      </c>
      <c r="D299" s="454" t="s">
        <v>13769</v>
      </c>
      <c r="E299" s="454" t="s">
        <v>1743</v>
      </c>
      <c r="F299" s="459" t="s">
        <v>1736</v>
      </c>
      <c r="G299" s="459" t="s">
        <v>1736</v>
      </c>
      <c r="H299" s="455" t="s">
        <v>4913</v>
      </c>
      <c r="I299" s="455" t="s">
        <v>4913</v>
      </c>
      <c r="J299" s="455" t="s">
        <v>4913</v>
      </c>
      <c r="K299" s="455" t="s">
        <v>4913</v>
      </c>
      <c r="L299" s="455" t="s">
        <v>4913</v>
      </c>
      <c r="M299" s="455" t="s">
        <v>4913</v>
      </c>
      <c r="N299" s="455" t="s">
        <v>4913</v>
      </c>
      <c r="O299" s="455" t="s">
        <v>4913</v>
      </c>
      <c r="P299" s="455" t="s">
        <v>4913</v>
      </c>
      <c r="Q299" s="455" t="s">
        <v>4913</v>
      </c>
      <c r="R299" s="455" t="s">
        <v>4913</v>
      </c>
      <c r="S299" s="455" t="s">
        <v>4913</v>
      </c>
      <c r="T299" s="455" t="s">
        <v>4913</v>
      </c>
      <c r="U299" s="455" t="s">
        <v>4913</v>
      </c>
      <c r="V299" s="455" t="s">
        <v>4913</v>
      </c>
      <c r="W299" s="455" t="s">
        <v>4913</v>
      </c>
      <c r="X299" s="455" t="s">
        <v>4913</v>
      </c>
      <c r="Y299" s="455" t="s">
        <v>4913</v>
      </c>
      <c r="Z299" s="455" t="s">
        <v>4913</v>
      </c>
      <c r="AA299" s="455" t="s">
        <v>4913</v>
      </c>
      <c r="AB299" s="455" t="s">
        <v>4913</v>
      </c>
      <c r="AC299" s="456" t="s">
        <v>1737</v>
      </c>
      <c r="AD299" s="459" t="s">
        <v>12544</v>
      </c>
      <c r="AE299" s="454" t="s">
        <v>12545</v>
      </c>
      <c r="AF299" s="460" t="s">
        <v>13657</v>
      </c>
      <c r="AG299" s="460" t="s">
        <v>12616</v>
      </c>
      <c r="AH299" s="460" t="s">
        <v>13767</v>
      </c>
    </row>
    <row r="300" spans="1:34">
      <c r="A300" s="453" t="s">
        <v>13770</v>
      </c>
      <c r="B300" s="454" t="s">
        <v>13771</v>
      </c>
      <c r="C300" s="454" t="s">
        <v>13772</v>
      </c>
      <c r="D300" s="454" t="s">
        <v>13773</v>
      </c>
      <c r="E300" s="454" t="s">
        <v>1732</v>
      </c>
      <c r="F300" s="459" t="s">
        <v>1736</v>
      </c>
      <c r="G300" s="459" t="s">
        <v>1736</v>
      </c>
      <c r="H300" s="455" t="s">
        <v>4913</v>
      </c>
      <c r="I300" s="455" t="s">
        <v>4913</v>
      </c>
      <c r="J300" s="455" t="s">
        <v>4913</v>
      </c>
      <c r="K300" s="455" t="s">
        <v>4913</v>
      </c>
      <c r="L300" s="455" t="s">
        <v>4913</v>
      </c>
      <c r="M300" s="455" t="s">
        <v>4913</v>
      </c>
      <c r="N300" s="455" t="s">
        <v>4913</v>
      </c>
      <c r="O300" s="455" t="s">
        <v>4913</v>
      </c>
      <c r="P300" s="455" t="s">
        <v>4913</v>
      </c>
      <c r="Q300" s="455" t="s">
        <v>4913</v>
      </c>
      <c r="R300" s="455" t="s">
        <v>4913</v>
      </c>
      <c r="S300" s="455" t="s">
        <v>4913</v>
      </c>
      <c r="T300" s="455" t="s">
        <v>4913</v>
      </c>
      <c r="U300" s="455" t="s">
        <v>4913</v>
      </c>
      <c r="V300" s="455" t="s">
        <v>4913</v>
      </c>
      <c r="W300" s="455" t="s">
        <v>4913</v>
      </c>
      <c r="X300" s="455" t="s">
        <v>4913</v>
      </c>
      <c r="Y300" s="455" t="s">
        <v>4913</v>
      </c>
      <c r="Z300" s="455" t="s">
        <v>4913</v>
      </c>
      <c r="AA300" s="455" t="s">
        <v>4913</v>
      </c>
      <c r="AB300" s="455" t="s">
        <v>4913</v>
      </c>
      <c r="AC300" s="456" t="s">
        <v>1737</v>
      </c>
      <c r="AD300" s="459" t="s">
        <v>12544</v>
      </c>
      <c r="AE300" s="454" t="s">
        <v>12545</v>
      </c>
      <c r="AF300" s="461" t="s">
        <v>13749</v>
      </c>
      <c r="AG300" s="460" t="s">
        <v>12616</v>
      </c>
      <c r="AH300" s="460" t="s">
        <v>13774</v>
      </c>
    </row>
    <row r="301" spans="1:34">
      <c r="A301" s="453" t="s">
        <v>13775</v>
      </c>
      <c r="B301" s="454" t="s">
        <v>13776</v>
      </c>
      <c r="C301" s="454" t="s">
        <v>13777</v>
      </c>
      <c r="D301" s="454" t="s">
        <v>13778</v>
      </c>
      <c r="E301" s="454" t="s">
        <v>1732</v>
      </c>
      <c r="F301" s="459" t="s">
        <v>1736</v>
      </c>
      <c r="G301" s="459" t="s">
        <v>1736</v>
      </c>
      <c r="H301" s="455" t="s">
        <v>4913</v>
      </c>
      <c r="I301" s="455" t="s">
        <v>4913</v>
      </c>
      <c r="J301" s="455" t="s">
        <v>4913</v>
      </c>
      <c r="K301" s="455" t="s">
        <v>4913</v>
      </c>
      <c r="L301" s="455" t="s">
        <v>4913</v>
      </c>
      <c r="M301" s="455" t="s">
        <v>4913</v>
      </c>
      <c r="N301" s="455" t="s">
        <v>4913</v>
      </c>
      <c r="O301" s="455" t="s">
        <v>4913</v>
      </c>
      <c r="P301" s="455" t="s">
        <v>4913</v>
      </c>
      <c r="Q301" s="455" t="s">
        <v>4913</v>
      </c>
      <c r="R301" s="455" t="s">
        <v>4913</v>
      </c>
      <c r="S301" s="455" t="s">
        <v>4913</v>
      </c>
      <c r="T301" s="455" t="s">
        <v>4913</v>
      </c>
      <c r="U301" s="455" t="s">
        <v>4913</v>
      </c>
      <c r="V301" s="455" t="s">
        <v>4913</v>
      </c>
      <c r="W301" s="459" t="s">
        <v>1736</v>
      </c>
      <c r="X301" s="459" t="s">
        <v>1736</v>
      </c>
      <c r="Y301" s="459" t="s">
        <v>1736</v>
      </c>
      <c r="Z301" s="459" t="s">
        <v>1736</v>
      </c>
      <c r="AA301" s="455" t="s">
        <v>4913</v>
      </c>
      <c r="AB301" s="455" t="s">
        <v>4913</v>
      </c>
      <c r="AC301" s="456" t="s">
        <v>1737</v>
      </c>
      <c r="AD301" s="459" t="s">
        <v>12544</v>
      </c>
      <c r="AE301" s="454" t="s">
        <v>13545</v>
      </c>
      <c r="AF301" s="454" t="s">
        <v>13779</v>
      </c>
      <c r="AG301" s="460" t="s">
        <v>12616</v>
      </c>
      <c r="AH301" s="460" t="s">
        <v>13780</v>
      </c>
    </row>
    <row r="302" spans="1:34">
      <c r="A302" s="453" t="s">
        <v>13775</v>
      </c>
      <c r="B302" s="454" t="s">
        <v>13781</v>
      </c>
      <c r="C302" s="454" t="s">
        <v>13777</v>
      </c>
      <c r="D302" s="454" t="s">
        <v>13782</v>
      </c>
      <c r="E302" s="454" t="s">
        <v>1743</v>
      </c>
      <c r="F302" s="459" t="s">
        <v>1736</v>
      </c>
      <c r="G302" s="459" t="s">
        <v>1736</v>
      </c>
      <c r="H302" s="455" t="s">
        <v>4913</v>
      </c>
      <c r="I302" s="455" t="s">
        <v>4913</v>
      </c>
      <c r="J302" s="455" t="s">
        <v>4913</v>
      </c>
      <c r="K302" s="455" t="s">
        <v>4913</v>
      </c>
      <c r="L302" s="455" t="s">
        <v>4913</v>
      </c>
      <c r="M302" s="455" t="s">
        <v>4913</v>
      </c>
      <c r="N302" s="455" t="s">
        <v>4913</v>
      </c>
      <c r="O302" s="455" t="s">
        <v>4913</v>
      </c>
      <c r="P302" s="455" t="s">
        <v>4913</v>
      </c>
      <c r="Q302" s="455" t="s">
        <v>4913</v>
      </c>
      <c r="R302" s="455" t="s">
        <v>4913</v>
      </c>
      <c r="S302" s="455" t="s">
        <v>4913</v>
      </c>
      <c r="T302" s="455" t="s">
        <v>4913</v>
      </c>
      <c r="U302" s="455" t="s">
        <v>4913</v>
      </c>
      <c r="V302" s="455" t="s">
        <v>4913</v>
      </c>
      <c r="W302" s="455" t="s">
        <v>4913</v>
      </c>
      <c r="X302" s="455" t="s">
        <v>4913</v>
      </c>
      <c r="Y302" s="455" t="s">
        <v>4913</v>
      </c>
      <c r="Z302" s="455" t="s">
        <v>4913</v>
      </c>
      <c r="AA302" s="455" t="s">
        <v>4913</v>
      </c>
      <c r="AB302" s="455" t="s">
        <v>4913</v>
      </c>
      <c r="AC302" s="456" t="s">
        <v>1737</v>
      </c>
      <c r="AD302" s="459" t="s">
        <v>12544</v>
      </c>
      <c r="AE302" s="454" t="s">
        <v>12545</v>
      </c>
      <c r="AF302" s="460" t="s">
        <v>13657</v>
      </c>
      <c r="AG302" s="460" t="s">
        <v>12616</v>
      </c>
      <c r="AH302" s="460" t="s">
        <v>13780</v>
      </c>
    </row>
    <row r="303" spans="1:34">
      <c r="A303" s="453" t="s">
        <v>13783</v>
      </c>
      <c r="B303" s="454" t="s">
        <v>13784</v>
      </c>
      <c r="C303" s="454" t="s">
        <v>13785</v>
      </c>
      <c r="D303" s="454" t="s">
        <v>13786</v>
      </c>
      <c r="E303" s="454" t="s">
        <v>1732</v>
      </c>
      <c r="F303" s="459" t="s">
        <v>1736</v>
      </c>
      <c r="G303" s="459" t="s">
        <v>1736</v>
      </c>
      <c r="H303" s="455" t="s">
        <v>4913</v>
      </c>
      <c r="I303" s="455" t="s">
        <v>4913</v>
      </c>
      <c r="J303" s="455" t="s">
        <v>4913</v>
      </c>
      <c r="K303" s="455" t="s">
        <v>4913</v>
      </c>
      <c r="L303" s="455" t="s">
        <v>4913</v>
      </c>
      <c r="M303" s="455" t="s">
        <v>4913</v>
      </c>
      <c r="N303" s="455" t="s">
        <v>4913</v>
      </c>
      <c r="O303" s="455" t="s">
        <v>4913</v>
      </c>
      <c r="P303" s="455" t="s">
        <v>4913</v>
      </c>
      <c r="Q303" s="455" t="s">
        <v>4913</v>
      </c>
      <c r="R303" s="455" t="s">
        <v>4913</v>
      </c>
      <c r="S303" s="455" t="s">
        <v>4913</v>
      </c>
      <c r="T303" s="455" t="s">
        <v>4913</v>
      </c>
      <c r="U303" s="455" t="s">
        <v>4913</v>
      </c>
      <c r="V303" s="455" t="s">
        <v>4913</v>
      </c>
      <c r="W303" s="455" t="s">
        <v>4913</v>
      </c>
      <c r="X303" s="455" t="s">
        <v>4913</v>
      </c>
      <c r="Y303" s="455" t="s">
        <v>4913</v>
      </c>
      <c r="Z303" s="455" t="s">
        <v>4913</v>
      </c>
      <c r="AA303" s="455" t="s">
        <v>4913</v>
      </c>
      <c r="AB303" s="455" t="s">
        <v>4913</v>
      </c>
      <c r="AC303" s="456" t="s">
        <v>1737</v>
      </c>
      <c r="AD303" s="459" t="s">
        <v>12544</v>
      </c>
      <c r="AE303" s="454" t="s">
        <v>12545</v>
      </c>
      <c r="AF303" s="461" t="s">
        <v>13749</v>
      </c>
      <c r="AG303" s="460" t="s">
        <v>12616</v>
      </c>
      <c r="AH303" s="460" t="s">
        <v>13787</v>
      </c>
    </row>
    <row r="304" spans="1:34">
      <c r="A304" s="453" t="s">
        <v>13788</v>
      </c>
      <c r="B304" s="454" t="s">
        <v>13789</v>
      </c>
      <c r="C304" s="454" t="s">
        <v>13790</v>
      </c>
      <c r="D304" s="454" t="s">
        <v>13791</v>
      </c>
      <c r="E304" s="454" t="s">
        <v>1732</v>
      </c>
      <c r="F304" s="459" t="s">
        <v>1736</v>
      </c>
      <c r="G304" s="459" t="s">
        <v>1736</v>
      </c>
      <c r="H304" s="455" t="s">
        <v>4913</v>
      </c>
      <c r="I304" s="455" t="s">
        <v>4913</v>
      </c>
      <c r="J304" s="455" t="s">
        <v>4913</v>
      </c>
      <c r="K304" s="455" t="s">
        <v>4913</v>
      </c>
      <c r="L304" s="455" t="s">
        <v>4913</v>
      </c>
      <c r="M304" s="455" t="s">
        <v>4913</v>
      </c>
      <c r="N304" s="455" t="s">
        <v>4913</v>
      </c>
      <c r="O304" s="455" t="s">
        <v>4913</v>
      </c>
      <c r="P304" s="455" t="s">
        <v>4913</v>
      </c>
      <c r="Q304" s="455" t="s">
        <v>4913</v>
      </c>
      <c r="R304" s="455" t="s">
        <v>4913</v>
      </c>
      <c r="S304" s="455" t="s">
        <v>4913</v>
      </c>
      <c r="T304" s="455" t="s">
        <v>4913</v>
      </c>
      <c r="U304" s="455" t="s">
        <v>4913</v>
      </c>
      <c r="V304" s="455" t="s">
        <v>4913</v>
      </c>
      <c r="W304" s="459" t="s">
        <v>1736</v>
      </c>
      <c r="X304" s="459" t="s">
        <v>1736</v>
      </c>
      <c r="Y304" s="459" t="s">
        <v>1736</v>
      </c>
      <c r="Z304" s="459" t="s">
        <v>1736</v>
      </c>
      <c r="AA304" s="455" t="s">
        <v>4913</v>
      </c>
      <c r="AB304" s="455" t="s">
        <v>4913</v>
      </c>
      <c r="AC304" s="456" t="s">
        <v>1737</v>
      </c>
      <c r="AD304" s="459" t="s">
        <v>12544</v>
      </c>
      <c r="AE304" s="454" t="s">
        <v>13545</v>
      </c>
      <c r="AF304" s="454" t="s">
        <v>13792</v>
      </c>
      <c r="AG304" s="460" t="s">
        <v>12616</v>
      </c>
      <c r="AH304" s="460" t="s">
        <v>13793</v>
      </c>
    </row>
    <row r="305" spans="1:34">
      <c r="A305" s="453" t="s">
        <v>13794</v>
      </c>
      <c r="B305" s="454" t="s">
        <v>13795</v>
      </c>
      <c r="C305" s="454" t="s">
        <v>13796</v>
      </c>
      <c r="D305" s="454" t="s">
        <v>13797</v>
      </c>
      <c r="E305" s="454" t="s">
        <v>1732</v>
      </c>
      <c r="F305" s="459" t="s">
        <v>1736</v>
      </c>
      <c r="G305" s="459" t="s">
        <v>1736</v>
      </c>
      <c r="H305" s="455" t="s">
        <v>4913</v>
      </c>
      <c r="I305" s="455" t="s">
        <v>4913</v>
      </c>
      <c r="J305" s="455" t="s">
        <v>4913</v>
      </c>
      <c r="K305" s="455" t="s">
        <v>4913</v>
      </c>
      <c r="L305" s="455" t="s">
        <v>4913</v>
      </c>
      <c r="M305" s="455" t="s">
        <v>4913</v>
      </c>
      <c r="N305" s="455" t="s">
        <v>4913</v>
      </c>
      <c r="O305" s="455" t="s">
        <v>4913</v>
      </c>
      <c r="P305" s="455" t="s">
        <v>4913</v>
      </c>
      <c r="Q305" s="455" t="s">
        <v>4913</v>
      </c>
      <c r="R305" s="455" t="s">
        <v>4913</v>
      </c>
      <c r="S305" s="455" t="s">
        <v>4913</v>
      </c>
      <c r="T305" s="455" t="s">
        <v>4913</v>
      </c>
      <c r="U305" s="455" t="s">
        <v>4913</v>
      </c>
      <c r="V305" s="455" t="s">
        <v>4913</v>
      </c>
      <c r="W305" s="455" t="s">
        <v>4913</v>
      </c>
      <c r="X305" s="455" t="s">
        <v>4913</v>
      </c>
      <c r="Y305" s="455" t="s">
        <v>4913</v>
      </c>
      <c r="Z305" s="455" t="s">
        <v>4913</v>
      </c>
      <c r="AA305" s="455" t="s">
        <v>4913</v>
      </c>
      <c r="AB305" s="455" t="s">
        <v>4913</v>
      </c>
      <c r="AC305" s="456" t="s">
        <v>1737</v>
      </c>
      <c r="AD305" s="459" t="s">
        <v>12544</v>
      </c>
      <c r="AE305" s="454" t="s">
        <v>12545</v>
      </c>
      <c r="AF305" s="461" t="s">
        <v>13798</v>
      </c>
      <c r="AG305" s="460" t="s">
        <v>12786</v>
      </c>
      <c r="AH305" s="460" t="s">
        <v>13799</v>
      </c>
    </row>
    <row r="306" spans="1:34">
      <c r="A306" s="453" t="s">
        <v>13800</v>
      </c>
      <c r="B306" s="454" t="s">
        <v>13801</v>
      </c>
      <c r="C306" s="454" t="s">
        <v>13802</v>
      </c>
      <c r="D306" s="454" t="s">
        <v>13803</v>
      </c>
      <c r="E306" s="454" t="s">
        <v>1732</v>
      </c>
      <c r="F306" s="459" t="s">
        <v>1736</v>
      </c>
      <c r="G306" s="459" t="s">
        <v>1736</v>
      </c>
      <c r="H306" s="455" t="s">
        <v>4913</v>
      </c>
      <c r="I306" s="455" t="s">
        <v>4913</v>
      </c>
      <c r="J306" s="455" t="s">
        <v>4913</v>
      </c>
      <c r="K306" s="455" t="s">
        <v>4913</v>
      </c>
      <c r="L306" s="455" t="s">
        <v>4913</v>
      </c>
      <c r="M306" s="455" t="s">
        <v>4913</v>
      </c>
      <c r="N306" s="455" t="s">
        <v>4913</v>
      </c>
      <c r="O306" s="455" t="s">
        <v>4913</v>
      </c>
      <c r="P306" s="455" t="s">
        <v>4913</v>
      </c>
      <c r="Q306" s="455" t="s">
        <v>4913</v>
      </c>
      <c r="R306" s="455" t="s">
        <v>4913</v>
      </c>
      <c r="S306" s="455" t="s">
        <v>4913</v>
      </c>
      <c r="T306" s="455" t="s">
        <v>4913</v>
      </c>
      <c r="U306" s="455" t="s">
        <v>4913</v>
      </c>
      <c r="V306" s="455" t="s">
        <v>4913</v>
      </c>
      <c r="W306" s="459" t="s">
        <v>1736</v>
      </c>
      <c r="X306" s="459" t="s">
        <v>1736</v>
      </c>
      <c r="Y306" s="459" t="s">
        <v>1736</v>
      </c>
      <c r="Z306" s="459" t="s">
        <v>1736</v>
      </c>
      <c r="AA306" s="455" t="s">
        <v>4913</v>
      </c>
      <c r="AB306" s="455" t="s">
        <v>4913</v>
      </c>
      <c r="AC306" s="456" t="s">
        <v>1737</v>
      </c>
      <c r="AD306" s="459" t="s">
        <v>12544</v>
      </c>
      <c r="AE306" s="454" t="s">
        <v>13545</v>
      </c>
      <c r="AF306" s="454" t="s">
        <v>13804</v>
      </c>
      <c r="AG306" s="460" t="s">
        <v>12616</v>
      </c>
      <c r="AH306" s="460" t="s">
        <v>13805</v>
      </c>
    </row>
    <row r="307" spans="1:34">
      <c r="A307" s="453" t="s">
        <v>13806</v>
      </c>
      <c r="B307" s="454" t="s">
        <v>13807</v>
      </c>
      <c r="C307" s="454" t="s">
        <v>13808</v>
      </c>
      <c r="D307" s="454" t="s">
        <v>13809</v>
      </c>
      <c r="E307" s="454" t="s">
        <v>1732</v>
      </c>
      <c r="F307" s="459" t="s">
        <v>1736</v>
      </c>
      <c r="G307" s="459" t="s">
        <v>1736</v>
      </c>
      <c r="H307" s="455" t="s">
        <v>4913</v>
      </c>
      <c r="I307" s="455" t="s">
        <v>4913</v>
      </c>
      <c r="J307" s="455" t="s">
        <v>4913</v>
      </c>
      <c r="K307" s="455" t="s">
        <v>4913</v>
      </c>
      <c r="L307" s="455" t="s">
        <v>4913</v>
      </c>
      <c r="M307" s="455" t="s">
        <v>4913</v>
      </c>
      <c r="N307" s="455" t="s">
        <v>4913</v>
      </c>
      <c r="O307" s="455" t="s">
        <v>4913</v>
      </c>
      <c r="P307" s="455" t="s">
        <v>4913</v>
      </c>
      <c r="Q307" s="455" t="s">
        <v>4913</v>
      </c>
      <c r="R307" s="455" t="s">
        <v>4913</v>
      </c>
      <c r="S307" s="455" t="s">
        <v>4913</v>
      </c>
      <c r="T307" s="455" t="s">
        <v>4913</v>
      </c>
      <c r="U307" s="455" t="s">
        <v>4913</v>
      </c>
      <c r="V307" s="455" t="s">
        <v>4913</v>
      </c>
      <c r="W307" s="456" t="s">
        <v>1736</v>
      </c>
      <c r="X307" s="456" t="s">
        <v>1736</v>
      </c>
      <c r="Y307" s="456" t="s">
        <v>1736</v>
      </c>
      <c r="Z307" s="456" t="s">
        <v>1736</v>
      </c>
      <c r="AA307" s="455" t="s">
        <v>4913</v>
      </c>
      <c r="AB307" s="455" t="s">
        <v>4913</v>
      </c>
      <c r="AC307" s="456" t="s">
        <v>1737</v>
      </c>
      <c r="AD307" s="459" t="s">
        <v>12544</v>
      </c>
      <c r="AE307" s="454" t="s">
        <v>13545</v>
      </c>
      <c r="AF307" s="454" t="s">
        <v>13810</v>
      </c>
      <c r="AG307" s="460" t="s">
        <v>12739</v>
      </c>
      <c r="AH307" s="460" t="s">
        <v>13811</v>
      </c>
    </row>
    <row r="308" spans="1:34">
      <c r="A308" s="453" t="s">
        <v>13806</v>
      </c>
      <c r="B308" s="454" t="s">
        <v>13812</v>
      </c>
      <c r="C308" s="454" t="s">
        <v>13808</v>
      </c>
      <c r="D308" s="454" t="s">
        <v>13813</v>
      </c>
      <c r="E308" s="454" t="s">
        <v>1743</v>
      </c>
      <c r="F308" s="459" t="s">
        <v>1736</v>
      </c>
      <c r="G308" s="455" t="s">
        <v>4913</v>
      </c>
      <c r="H308" s="455" t="s">
        <v>4913</v>
      </c>
      <c r="I308" s="455" t="s">
        <v>4913</v>
      </c>
      <c r="J308" s="455" t="s">
        <v>4913</v>
      </c>
      <c r="K308" s="455" t="s">
        <v>4913</v>
      </c>
      <c r="L308" s="455" t="s">
        <v>4913</v>
      </c>
      <c r="M308" s="455" t="s">
        <v>4913</v>
      </c>
      <c r="N308" s="455" t="s">
        <v>4913</v>
      </c>
      <c r="O308" s="455" t="s">
        <v>4913</v>
      </c>
      <c r="P308" s="455" t="s">
        <v>4913</v>
      </c>
      <c r="Q308" s="455" t="s">
        <v>4913</v>
      </c>
      <c r="R308" s="455" t="s">
        <v>4913</v>
      </c>
      <c r="S308" s="455" t="s">
        <v>4913</v>
      </c>
      <c r="T308" s="455" t="s">
        <v>4913</v>
      </c>
      <c r="U308" s="455" t="s">
        <v>4913</v>
      </c>
      <c r="V308" s="455" t="s">
        <v>4913</v>
      </c>
      <c r="W308" s="455" t="s">
        <v>4913</v>
      </c>
      <c r="X308" s="455" t="s">
        <v>4913</v>
      </c>
      <c r="Y308" s="455" t="s">
        <v>4913</v>
      </c>
      <c r="Z308" s="455" t="s">
        <v>4913</v>
      </c>
      <c r="AA308" s="455" t="s">
        <v>4913</v>
      </c>
      <c r="AB308" s="455" t="s">
        <v>4913</v>
      </c>
      <c r="AC308" s="456" t="s">
        <v>1737</v>
      </c>
      <c r="AD308" s="459" t="s">
        <v>12544</v>
      </c>
      <c r="AE308" s="454" t="s">
        <v>12545</v>
      </c>
      <c r="AF308" s="460" t="s">
        <v>13814</v>
      </c>
      <c r="AG308" s="460" t="s">
        <v>12739</v>
      </c>
      <c r="AH308" s="460" t="s">
        <v>13811</v>
      </c>
    </row>
    <row r="309" spans="1:34">
      <c r="A309" s="453" t="s">
        <v>13806</v>
      </c>
      <c r="B309" s="454" t="s">
        <v>13815</v>
      </c>
      <c r="C309" s="454" t="s">
        <v>13808</v>
      </c>
      <c r="D309" s="454" t="s">
        <v>13816</v>
      </c>
      <c r="E309" s="454" t="s">
        <v>1743</v>
      </c>
      <c r="F309" s="459" t="s">
        <v>1736</v>
      </c>
      <c r="G309" s="459" t="s">
        <v>1736</v>
      </c>
      <c r="H309" s="455" t="s">
        <v>4913</v>
      </c>
      <c r="I309" s="455" t="s">
        <v>4913</v>
      </c>
      <c r="J309" s="455" t="s">
        <v>4913</v>
      </c>
      <c r="K309" s="455" t="s">
        <v>4913</v>
      </c>
      <c r="L309" s="455" t="s">
        <v>4913</v>
      </c>
      <c r="M309" s="455" t="s">
        <v>4913</v>
      </c>
      <c r="N309" s="455" t="s">
        <v>4913</v>
      </c>
      <c r="O309" s="455" t="s">
        <v>4913</v>
      </c>
      <c r="P309" s="455" t="s">
        <v>4913</v>
      </c>
      <c r="Q309" s="455" t="s">
        <v>4913</v>
      </c>
      <c r="R309" s="455" t="s">
        <v>4913</v>
      </c>
      <c r="S309" s="455" t="s">
        <v>4913</v>
      </c>
      <c r="T309" s="455" t="s">
        <v>4913</v>
      </c>
      <c r="U309" s="455" t="s">
        <v>4913</v>
      </c>
      <c r="V309" s="455" t="s">
        <v>4913</v>
      </c>
      <c r="W309" s="455" t="s">
        <v>4913</v>
      </c>
      <c r="X309" s="455" t="s">
        <v>4913</v>
      </c>
      <c r="Y309" s="455" t="s">
        <v>4913</v>
      </c>
      <c r="Z309" s="455" t="s">
        <v>4913</v>
      </c>
      <c r="AA309" s="455" t="s">
        <v>4913</v>
      </c>
      <c r="AB309" s="455" t="s">
        <v>4913</v>
      </c>
      <c r="AC309" s="456" t="s">
        <v>1737</v>
      </c>
      <c r="AD309" s="459" t="s">
        <v>12544</v>
      </c>
      <c r="AE309" s="454" t="s">
        <v>12545</v>
      </c>
      <c r="AF309" s="460" t="s">
        <v>13817</v>
      </c>
      <c r="AG309" s="460" t="s">
        <v>12739</v>
      </c>
      <c r="AH309" s="460" t="s">
        <v>13811</v>
      </c>
    </row>
    <row r="310" spans="1:34">
      <c r="A310" s="453" t="s">
        <v>13806</v>
      </c>
      <c r="B310" s="454" t="s">
        <v>13818</v>
      </c>
      <c r="C310" s="454" t="s">
        <v>13808</v>
      </c>
      <c r="D310" s="454" t="s">
        <v>13819</v>
      </c>
      <c r="E310" s="454" t="s">
        <v>1732</v>
      </c>
      <c r="F310" s="456" t="s">
        <v>1736</v>
      </c>
      <c r="G310" s="456" t="s">
        <v>1736</v>
      </c>
      <c r="H310" s="455" t="s">
        <v>4913</v>
      </c>
      <c r="I310" s="455" t="s">
        <v>4913</v>
      </c>
      <c r="J310" s="455" t="s">
        <v>4913</v>
      </c>
      <c r="K310" s="455" t="s">
        <v>4913</v>
      </c>
      <c r="L310" s="455" t="s">
        <v>4913</v>
      </c>
      <c r="M310" s="455" t="s">
        <v>4913</v>
      </c>
      <c r="N310" s="455" t="s">
        <v>4913</v>
      </c>
      <c r="O310" s="455" t="s">
        <v>4913</v>
      </c>
      <c r="P310" s="455" t="s">
        <v>4913</v>
      </c>
      <c r="Q310" s="455" t="s">
        <v>4913</v>
      </c>
      <c r="R310" s="455" t="s">
        <v>4913</v>
      </c>
      <c r="S310" s="455" t="s">
        <v>4913</v>
      </c>
      <c r="T310" s="455" t="s">
        <v>4913</v>
      </c>
      <c r="U310" s="455" t="s">
        <v>4913</v>
      </c>
      <c r="V310" s="455" t="s">
        <v>4913</v>
      </c>
      <c r="W310" s="456" t="s">
        <v>1736</v>
      </c>
      <c r="X310" s="456" t="s">
        <v>1736</v>
      </c>
      <c r="Y310" s="456" t="s">
        <v>1736</v>
      </c>
      <c r="Z310" s="456" t="s">
        <v>1736</v>
      </c>
      <c r="AA310" s="455" t="s">
        <v>4913</v>
      </c>
      <c r="AB310" s="455" t="s">
        <v>4913</v>
      </c>
      <c r="AC310" s="456" t="s">
        <v>1737</v>
      </c>
      <c r="AD310" s="459" t="s">
        <v>12544</v>
      </c>
      <c r="AE310" s="454" t="s">
        <v>13545</v>
      </c>
      <c r="AF310" s="454" t="s">
        <v>13820</v>
      </c>
      <c r="AG310" s="460" t="s">
        <v>12739</v>
      </c>
      <c r="AH310" s="460" t="s">
        <v>13811</v>
      </c>
    </row>
    <row r="311" spans="1:34">
      <c r="A311" s="453" t="s">
        <v>13806</v>
      </c>
      <c r="B311" s="454" t="s">
        <v>13821</v>
      </c>
      <c r="C311" s="454" t="s">
        <v>13808</v>
      </c>
      <c r="D311" s="454" t="s">
        <v>13822</v>
      </c>
      <c r="E311" s="454" t="s">
        <v>1743</v>
      </c>
      <c r="F311" s="456" t="s">
        <v>1736</v>
      </c>
      <c r="G311" s="456" t="s">
        <v>1736</v>
      </c>
      <c r="H311" s="455" t="s">
        <v>4913</v>
      </c>
      <c r="I311" s="455" t="s">
        <v>4913</v>
      </c>
      <c r="J311" s="455" t="s">
        <v>4913</v>
      </c>
      <c r="K311" s="455" t="s">
        <v>4913</v>
      </c>
      <c r="L311" s="455" t="s">
        <v>4913</v>
      </c>
      <c r="M311" s="455" t="s">
        <v>4913</v>
      </c>
      <c r="N311" s="455" t="s">
        <v>4913</v>
      </c>
      <c r="O311" s="455" t="s">
        <v>4913</v>
      </c>
      <c r="P311" s="455" t="s">
        <v>4913</v>
      </c>
      <c r="Q311" s="455" t="s">
        <v>4913</v>
      </c>
      <c r="R311" s="455" t="s">
        <v>4913</v>
      </c>
      <c r="S311" s="455" t="s">
        <v>4913</v>
      </c>
      <c r="T311" s="455" t="s">
        <v>4913</v>
      </c>
      <c r="U311" s="455" t="s">
        <v>4913</v>
      </c>
      <c r="V311" s="455" t="s">
        <v>4913</v>
      </c>
      <c r="W311" s="455" t="s">
        <v>4913</v>
      </c>
      <c r="X311" s="455" t="s">
        <v>4913</v>
      </c>
      <c r="Y311" s="455" t="s">
        <v>4913</v>
      </c>
      <c r="Z311" s="455" t="s">
        <v>4913</v>
      </c>
      <c r="AA311" s="455" t="s">
        <v>4913</v>
      </c>
      <c r="AB311" s="455" t="s">
        <v>4913</v>
      </c>
      <c r="AC311" s="456" t="s">
        <v>1737</v>
      </c>
      <c r="AD311" s="459" t="s">
        <v>12544</v>
      </c>
      <c r="AE311" s="454" t="s">
        <v>12545</v>
      </c>
      <c r="AF311" s="460" t="s">
        <v>13817</v>
      </c>
      <c r="AG311" s="460" t="s">
        <v>12739</v>
      </c>
      <c r="AH311" s="460" t="s">
        <v>13811</v>
      </c>
    </row>
    <row r="312" spans="1:34">
      <c r="A312" s="453" t="s">
        <v>13806</v>
      </c>
      <c r="B312" s="454" t="s">
        <v>13823</v>
      </c>
      <c r="C312" s="454" t="s">
        <v>13808</v>
      </c>
      <c r="D312" s="454" t="s">
        <v>13824</v>
      </c>
      <c r="E312" s="454" t="s">
        <v>1743</v>
      </c>
      <c r="F312" s="456" t="s">
        <v>1736</v>
      </c>
      <c r="G312" s="456" t="s">
        <v>1736</v>
      </c>
      <c r="H312" s="455" t="s">
        <v>4913</v>
      </c>
      <c r="I312" s="455" t="s">
        <v>4913</v>
      </c>
      <c r="J312" s="455" t="s">
        <v>4913</v>
      </c>
      <c r="K312" s="455" t="s">
        <v>4913</v>
      </c>
      <c r="L312" s="455" t="s">
        <v>4913</v>
      </c>
      <c r="M312" s="455" t="s">
        <v>4913</v>
      </c>
      <c r="N312" s="455" t="s">
        <v>4913</v>
      </c>
      <c r="O312" s="455" t="s">
        <v>4913</v>
      </c>
      <c r="P312" s="455" t="s">
        <v>4913</v>
      </c>
      <c r="Q312" s="455" t="s">
        <v>4913</v>
      </c>
      <c r="R312" s="455" t="s">
        <v>4913</v>
      </c>
      <c r="S312" s="455" t="s">
        <v>4913</v>
      </c>
      <c r="T312" s="455" t="s">
        <v>4913</v>
      </c>
      <c r="U312" s="455" t="s">
        <v>4913</v>
      </c>
      <c r="V312" s="455" t="s">
        <v>4913</v>
      </c>
      <c r="W312" s="455" t="s">
        <v>4913</v>
      </c>
      <c r="X312" s="455" t="s">
        <v>4913</v>
      </c>
      <c r="Y312" s="455" t="s">
        <v>4913</v>
      </c>
      <c r="Z312" s="455" t="s">
        <v>4913</v>
      </c>
      <c r="AA312" s="455" t="s">
        <v>4913</v>
      </c>
      <c r="AB312" s="455" t="s">
        <v>4913</v>
      </c>
      <c r="AC312" s="456" t="s">
        <v>1737</v>
      </c>
      <c r="AD312" s="459" t="s">
        <v>12544</v>
      </c>
      <c r="AE312" s="454" t="s">
        <v>12545</v>
      </c>
      <c r="AF312" s="460" t="s">
        <v>13817</v>
      </c>
      <c r="AG312" s="460" t="s">
        <v>12739</v>
      </c>
      <c r="AH312" s="460" t="s">
        <v>13811</v>
      </c>
    </row>
    <row r="313" spans="1:34">
      <c r="A313" s="453" t="s">
        <v>13806</v>
      </c>
      <c r="B313" s="454" t="s">
        <v>13825</v>
      </c>
      <c r="C313" s="454" t="s">
        <v>13808</v>
      </c>
      <c r="D313" s="454" t="s">
        <v>13826</v>
      </c>
      <c r="E313" s="454" t="s">
        <v>1732</v>
      </c>
      <c r="F313" s="456" t="s">
        <v>1736</v>
      </c>
      <c r="G313" s="456" t="s">
        <v>1736</v>
      </c>
      <c r="H313" s="455" t="s">
        <v>4913</v>
      </c>
      <c r="I313" s="455" t="s">
        <v>4913</v>
      </c>
      <c r="J313" s="455" t="s">
        <v>4913</v>
      </c>
      <c r="K313" s="455" t="s">
        <v>4913</v>
      </c>
      <c r="L313" s="455" t="s">
        <v>4913</v>
      </c>
      <c r="M313" s="455" t="s">
        <v>4913</v>
      </c>
      <c r="N313" s="455" t="s">
        <v>4913</v>
      </c>
      <c r="O313" s="455" t="s">
        <v>4913</v>
      </c>
      <c r="P313" s="455" t="s">
        <v>4913</v>
      </c>
      <c r="Q313" s="455" t="s">
        <v>4913</v>
      </c>
      <c r="R313" s="455" t="s">
        <v>4913</v>
      </c>
      <c r="S313" s="455" t="s">
        <v>4913</v>
      </c>
      <c r="T313" s="455" t="s">
        <v>4913</v>
      </c>
      <c r="U313" s="455" t="s">
        <v>4913</v>
      </c>
      <c r="V313" s="455" t="s">
        <v>4913</v>
      </c>
      <c r="W313" s="456" t="s">
        <v>1736</v>
      </c>
      <c r="X313" s="456" t="s">
        <v>1736</v>
      </c>
      <c r="Y313" s="456" t="s">
        <v>1736</v>
      </c>
      <c r="Z313" s="456" t="s">
        <v>1736</v>
      </c>
      <c r="AA313" s="455" t="s">
        <v>4913</v>
      </c>
      <c r="AB313" s="455" t="s">
        <v>4913</v>
      </c>
      <c r="AC313" s="456" t="s">
        <v>1737</v>
      </c>
      <c r="AD313" s="459" t="s">
        <v>12544</v>
      </c>
      <c r="AE313" s="454" t="s">
        <v>13545</v>
      </c>
      <c r="AF313" s="454" t="s">
        <v>13827</v>
      </c>
      <c r="AG313" s="460" t="s">
        <v>12739</v>
      </c>
      <c r="AH313" s="460" t="s">
        <v>13811</v>
      </c>
    </row>
    <row r="314" spans="1:34">
      <c r="A314" s="453" t="s">
        <v>13806</v>
      </c>
      <c r="B314" s="454" t="s">
        <v>13828</v>
      </c>
      <c r="C314" s="454" t="s">
        <v>13808</v>
      </c>
      <c r="D314" s="454" t="s">
        <v>13829</v>
      </c>
      <c r="E314" s="454" t="s">
        <v>1732</v>
      </c>
      <c r="F314" s="456" t="s">
        <v>1736</v>
      </c>
      <c r="G314" s="456" t="s">
        <v>1736</v>
      </c>
      <c r="H314" s="455" t="s">
        <v>4913</v>
      </c>
      <c r="I314" s="455" t="s">
        <v>4913</v>
      </c>
      <c r="J314" s="455" t="s">
        <v>4913</v>
      </c>
      <c r="K314" s="455" t="s">
        <v>4913</v>
      </c>
      <c r="L314" s="455" t="s">
        <v>4913</v>
      </c>
      <c r="M314" s="455" t="s">
        <v>4913</v>
      </c>
      <c r="N314" s="455" t="s">
        <v>4913</v>
      </c>
      <c r="O314" s="455" t="s">
        <v>4913</v>
      </c>
      <c r="P314" s="455" t="s">
        <v>4913</v>
      </c>
      <c r="Q314" s="455" t="s">
        <v>4913</v>
      </c>
      <c r="R314" s="455" t="s">
        <v>4913</v>
      </c>
      <c r="S314" s="455" t="s">
        <v>4913</v>
      </c>
      <c r="T314" s="455" t="s">
        <v>4913</v>
      </c>
      <c r="U314" s="455" t="s">
        <v>4913</v>
      </c>
      <c r="V314" s="455" t="s">
        <v>4913</v>
      </c>
      <c r="W314" s="456" t="s">
        <v>1736</v>
      </c>
      <c r="X314" s="456" t="s">
        <v>1736</v>
      </c>
      <c r="Y314" s="456" t="s">
        <v>1736</v>
      </c>
      <c r="Z314" s="456" t="s">
        <v>1736</v>
      </c>
      <c r="AA314" s="455" t="s">
        <v>4913</v>
      </c>
      <c r="AB314" s="455" t="s">
        <v>4913</v>
      </c>
      <c r="AC314" s="456" t="s">
        <v>1737</v>
      </c>
      <c r="AD314" s="459" t="s">
        <v>12544</v>
      </c>
      <c r="AE314" s="454" t="s">
        <v>13545</v>
      </c>
      <c r="AF314" s="454" t="s">
        <v>13830</v>
      </c>
      <c r="AG314" s="460" t="s">
        <v>12739</v>
      </c>
      <c r="AH314" s="460" t="s">
        <v>13811</v>
      </c>
    </row>
    <row r="315" spans="1:34">
      <c r="A315" s="453" t="s">
        <v>13806</v>
      </c>
      <c r="B315" s="454" t="s">
        <v>13831</v>
      </c>
      <c r="C315" s="454" t="s">
        <v>13808</v>
      </c>
      <c r="D315" s="454" t="s">
        <v>13832</v>
      </c>
      <c r="E315" s="454" t="s">
        <v>1732</v>
      </c>
      <c r="F315" s="456" t="s">
        <v>1736</v>
      </c>
      <c r="G315" s="456" t="s">
        <v>1736</v>
      </c>
      <c r="H315" s="455" t="s">
        <v>4913</v>
      </c>
      <c r="I315" s="455" t="s">
        <v>4913</v>
      </c>
      <c r="J315" s="455" t="s">
        <v>4913</v>
      </c>
      <c r="K315" s="455" t="s">
        <v>4913</v>
      </c>
      <c r="L315" s="455" t="s">
        <v>4913</v>
      </c>
      <c r="M315" s="455" t="s">
        <v>4913</v>
      </c>
      <c r="N315" s="455" t="s">
        <v>4913</v>
      </c>
      <c r="O315" s="455" t="s">
        <v>4913</v>
      </c>
      <c r="P315" s="455" t="s">
        <v>4913</v>
      </c>
      <c r="Q315" s="455" t="s">
        <v>4913</v>
      </c>
      <c r="R315" s="455" t="s">
        <v>4913</v>
      </c>
      <c r="S315" s="455" t="s">
        <v>4913</v>
      </c>
      <c r="T315" s="455" t="s">
        <v>4913</v>
      </c>
      <c r="U315" s="455" t="s">
        <v>4913</v>
      </c>
      <c r="V315" s="455" t="s">
        <v>4913</v>
      </c>
      <c r="W315" s="456" t="s">
        <v>1736</v>
      </c>
      <c r="X315" s="456" t="s">
        <v>1736</v>
      </c>
      <c r="Y315" s="456" t="s">
        <v>1736</v>
      </c>
      <c r="Z315" s="456" t="s">
        <v>1736</v>
      </c>
      <c r="AA315" s="455" t="s">
        <v>4913</v>
      </c>
      <c r="AB315" s="455" t="s">
        <v>4913</v>
      </c>
      <c r="AC315" s="456" t="s">
        <v>1737</v>
      </c>
      <c r="AD315" s="459" t="s">
        <v>12544</v>
      </c>
      <c r="AE315" s="454" t="s">
        <v>13545</v>
      </c>
      <c r="AF315" s="454" t="s">
        <v>13833</v>
      </c>
      <c r="AG315" s="460" t="s">
        <v>12739</v>
      </c>
      <c r="AH315" s="460" t="s">
        <v>13811</v>
      </c>
    </row>
    <row r="316" spans="1:34">
      <c r="A316" s="453" t="s">
        <v>13834</v>
      </c>
      <c r="B316" s="454" t="s">
        <v>13835</v>
      </c>
      <c r="C316" s="454" t="s">
        <v>13836</v>
      </c>
      <c r="D316" s="454" t="s">
        <v>13837</v>
      </c>
      <c r="E316" s="454" t="s">
        <v>1732</v>
      </c>
      <c r="F316" s="456" t="s">
        <v>1736</v>
      </c>
      <c r="G316" s="456" t="s">
        <v>1736</v>
      </c>
      <c r="H316" s="455" t="s">
        <v>4913</v>
      </c>
      <c r="I316" s="455" t="s">
        <v>4913</v>
      </c>
      <c r="J316" s="455" t="s">
        <v>4913</v>
      </c>
      <c r="K316" s="455" t="s">
        <v>4913</v>
      </c>
      <c r="L316" s="455" t="s">
        <v>4913</v>
      </c>
      <c r="M316" s="455" t="s">
        <v>4913</v>
      </c>
      <c r="N316" s="455" t="s">
        <v>4913</v>
      </c>
      <c r="O316" s="455" t="s">
        <v>4913</v>
      </c>
      <c r="P316" s="455" t="s">
        <v>4913</v>
      </c>
      <c r="Q316" s="455" t="s">
        <v>4913</v>
      </c>
      <c r="R316" s="455" t="s">
        <v>4913</v>
      </c>
      <c r="S316" s="455" t="s">
        <v>4913</v>
      </c>
      <c r="T316" s="455" t="s">
        <v>4913</v>
      </c>
      <c r="U316" s="455" t="s">
        <v>4913</v>
      </c>
      <c r="V316" s="455" t="s">
        <v>4913</v>
      </c>
      <c r="W316" s="456" t="s">
        <v>1736</v>
      </c>
      <c r="X316" s="456" t="s">
        <v>1736</v>
      </c>
      <c r="Y316" s="456" t="s">
        <v>1736</v>
      </c>
      <c r="Z316" s="456" t="s">
        <v>1736</v>
      </c>
      <c r="AA316" s="455" t="s">
        <v>4913</v>
      </c>
      <c r="AB316" s="455" t="s">
        <v>4913</v>
      </c>
      <c r="AC316" s="456" t="s">
        <v>1737</v>
      </c>
      <c r="AD316" s="459" t="s">
        <v>12544</v>
      </c>
      <c r="AE316" s="454" t="s">
        <v>13545</v>
      </c>
      <c r="AF316" s="454" t="s">
        <v>13838</v>
      </c>
      <c r="AG316" s="460" t="s">
        <v>13839</v>
      </c>
      <c r="AH316" s="460" t="s">
        <v>13840</v>
      </c>
    </row>
    <row r="317" spans="1:34">
      <c r="A317" s="453" t="s">
        <v>13834</v>
      </c>
      <c r="B317" s="454" t="s">
        <v>13841</v>
      </c>
      <c r="C317" s="454" t="s">
        <v>13836</v>
      </c>
      <c r="D317" s="454" t="s">
        <v>13842</v>
      </c>
      <c r="E317" s="454" t="s">
        <v>1743</v>
      </c>
      <c r="F317" s="456" t="s">
        <v>1736</v>
      </c>
      <c r="G317" s="456" t="s">
        <v>1736</v>
      </c>
      <c r="H317" s="455" t="s">
        <v>4913</v>
      </c>
      <c r="I317" s="455" t="s">
        <v>4913</v>
      </c>
      <c r="J317" s="455" t="s">
        <v>4913</v>
      </c>
      <c r="K317" s="455" t="s">
        <v>4913</v>
      </c>
      <c r="L317" s="455" t="s">
        <v>4913</v>
      </c>
      <c r="M317" s="455" t="s">
        <v>4913</v>
      </c>
      <c r="N317" s="455" t="s">
        <v>4913</v>
      </c>
      <c r="O317" s="455" t="s">
        <v>4913</v>
      </c>
      <c r="P317" s="455" t="s">
        <v>4913</v>
      </c>
      <c r="Q317" s="455" t="s">
        <v>4913</v>
      </c>
      <c r="R317" s="455" t="s">
        <v>4913</v>
      </c>
      <c r="S317" s="455" t="s">
        <v>4913</v>
      </c>
      <c r="T317" s="455" t="s">
        <v>4913</v>
      </c>
      <c r="U317" s="455" t="s">
        <v>4913</v>
      </c>
      <c r="V317" s="455" t="s">
        <v>4913</v>
      </c>
      <c r="W317" s="455" t="s">
        <v>4913</v>
      </c>
      <c r="X317" s="455" t="s">
        <v>4913</v>
      </c>
      <c r="Y317" s="455" t="s">
        <v>4913</v>
      </c>
      <c r="Z317" s="455" t="s">
        <v>4913</v>
      </c>
      <c r="AA317" s="455" t="s">
        <v>4913</v>
      </c>
      <c r="AB317" s="455" t="s">
        <v>4913</v>
      </c>
      <c r="AC317" s="456" t="s">
        <v>1737</v>
      </c>
      <c r="AD317" s="459" t="s">
        <v>12544</v>
      </c>
      <c r="AE317" s="454" t="s">
        <v>12545</v>
      </c>
      <c r="AF317" s="460" t="s">
        <v>13657</v>
      </c>
      <c r="AG317" s="460" t="s">
        <v>13839</v>
      </c>
      <c r="AH317" s="460" t="s">
        <v>13840</v>
      </c>
    </row>
    <row r="318" spans="1:34">
      <c r="A318" s="453" t="s">
        <v>13834</v>
      </c>
      <c r="B318" s="454" t="s">
        <v>13843</v>
      </c>
      <c r="C318" s="454" t="s">
        <v>13836</v>
      </c>
      <c r="D318" s="454" t="s">
        <v>13844</v>
      </c>
      <c r="E318" s="454" t="s">
        <v>1743</v>
      </c>
      <c r="F318" s="456" t="s">
        <v>1736</v>
      </c>
      <c r="G318" s="456" t="s">
        <v>1736</v>
      </c>
      <c r="H318" s="455" t="s">
        <v>4913</v>
      </c>
      <c r="I318" s="455" t="s">
        <v>4913</v>
      </c>
      <c r="J318" s="455" t="s">
        <v>4913</v>
      </c>
      <c r="K318" s="455" t="s">
        <v>4913</v>
      </c>
      <c r="L318" s="455" t="s">
        <v>4913</v>
      </c>
      <c r="M318" s="455" t="s">
        <v>4913</v>
      </c>
      <c r="N318" s="455" t="s">
        <v>4913</v>
      </c>
      <c r="O318" s="455" t="s">
        <v>4913</v>
      </c>
      <c r="P318" s="455" t="s">
        <v>4913</v>
      </c>
      <c r="Q318" s="455" t="s">
        <v>4913</v>
      </c>
      <c r="R318" s="455" t="s">
        <v>4913</v>
      </c>
      <c r="S318" s="455" t="s">
        <v>4913</v>
      </c>
      <c r="T318" s="455" t="s">
        <v>4913</v>
      </c>
      <c r="U318" s="455" t="s">
        <v>4913</v>
      </c>
      <c r="V318" s="455" t="s">
        <v>4913</v>
      </c>
      <c r="W318" s="455" t="s">
        <v>4913</v>
      </c>
      <c r="X318" s="455" t="s">
        <v>4913</v>
      </c>
      <c r="Y318" s="455" t="s">
        <v>4913</v>
      </c>
      <c r="Z318" s="455" t="s">
        <v>4913</v>
      </c>
      <c r="AA318" s="455" t="s">
        <v>4913</v>
      </c>
      <c r="AB318" s="455" t="s">
        <v>4913</v>
      </c>
      <c r="AC318" s="456" t="s">
        <v>1737</v>
      </c>
      <c r="AD318" s="459" t="s">
        <v>12544</v>
      </c>
      <c r="AE318" s="454" t="s">
        <v>12545</v>
      </c>
      <c r="AF318" s="460" t="s">
        <v>13657</v>
      </c>
      <c r="AG318" s="460" t="s">
        <v>13839</v>
      </c>
      <c r="AH318" s="460" t="s">
        <v>13840</v>
      </c>
    </row>
    <row r="319" spans="1:34">
      <c r="A319" s="453" t="s">
        <v>13845</v>
      </c>
      <c r="B319" s="454" t="s">
        <v>13846</v>
      </c>
      <c r="C319" s="454" t="s">
        <v>13847</v>
      </c>
      <c r="D319" s="454" t="s">
        <v>13848</v>
      </c>
      <c r="E319" s="454" t="s">
        <v>1732</v>
      </c>
      <c r="F319" s="456" t="s">
        <v>1736</v>
      </c>
      <c r="G319" s="456" t="s">
        <v>1736</v>
      </c>
      <c r="H319" s="455" t="s">
        <v>4913</v>
      </c>
      <c r="I319" s="455" t="s">
        <v>4913</v>
      </c>
      <c r="J319" s="455" t="s">
        <v>4913</v>
      </c>
      <c r="K319" s="455" t="s">
        <v>4913</v>
      </c>
      <c r="L319" s="455" t="s">
        <v>4913</v>
      </c>
      <c r="M319" s="455" t="s">
        <v>4913</v>
      </c>
      <c r="N319" s="455" t="s">
        <v>4913</v>
      </c>
      <c r="O319" s="455" t="s">
        <v>4913</v>
      </c>
      <c r="P319" s="455" t="s">
        <v>4913</v>
      </c>
      <c r="Q319" s="455" t="s">
        <v>4913</v>
      </c>
      <c r="R319" s="455" t="s">
        <v>4913</v>
      </c>
      <c r="S319" s="455" t="s">
        <v>4913</v>
      </c>
      <c r="T319" s="455" t="s">
        <v>4913</v>
      </c>
      <c r="U319" s="455" t="s">
        <v>4913</v>
      </c>
      <c r="V319" s="455" t="s">
        <v>4913</v>
      </c>
      <c r="W319" s="455" t="s">
        <v>4913</v>
      </c>
      <c r="X319" s="455" t="s">
        <v>4913</v>
      </c>
      <c r="Y319" s="455" t="s">
        <v>4913</v>
      </c>
      <c r="Z319" s="455" t="s">
        <v>4913</v>
      </c>
      <c r="AA319" s="455" t="s">
        <v>4913</v>
      </c>
      <c r="AB319" s="455" t="s">
        <v>4913</v>
      </c>
      <c r="AC319" s="456" t="s">
        <v>1737</v>
      </c>
      <c r="AD319" s="459" t="s">
        <v>12544</v>
      </c>
      <c r="AE319" s="454" t="s">
        <v>12545</v>
      </c>
      <c r="AF319" s="463" t="s">
        <v>13849</v>
      </c>
      <c r="AG319" s="460" t="s">
        <v>13507</v>
      </c>
      <c r="AH319" s="460" t="s">
        <v>13850</v>
      </c>
    </row>
    <row r="320" spans="1:34">
      <c r="A320" s="453" t="s">
        <v>13845</v>
      </c>
      <c r="B320" s="454" t="s">
        <v>13851</v>
      </c>
      <c r="C320" s="454" t="s">
        <v>13847</v>
      </c>
      <c r="D320" s="454" t="s">
        <v>13852</v>
      </c>
      <c r="E320" s="454" t="s">
        <v>1732</v>
      </c>
      <c r="F320" s="456" t="s">
        <v>1736</v>
      </c>
      <c r="G320" s="456" t="s">
        <v>1736</v>
      </c>
      <c r="H320" s="455" t="s">
        <v>4913</v>
      </c>
      <c r="I320" s="455" t="s">
        <v>4913</v>
      </c>
      <c r="J320" s="455" t="s">
        <v>4913</v>
      </c>
      <c r="K320" s="455" t="s">
        <v>4913</v>
      </c>
      <c r="L320" s="455" t="s">
        <v>4913</v>
      </c>
      <c r="M320" s="455" t="s">
        <v>4913</v>
      </c>
      <c r="N320" s="455" t="s">
        <v>4913</v>
      </c>
      <c r="O320" s="455" t="s">
        <v>4913</v>
      </c>
      <c r="P320" s="455" t="s">
        <v>4913</v>
      </c>
      <c r="Q320" s="455" t="s">
        <v>4913</v>
      </c>
      <c r="R320" s="455" t="s">
        <v>4913</v>
      </c>
      <c r="S320" s="455" t="s">
        <v>4913</v>
      </c>
      <c r="T320" s="455" t="s">
        <v>4913</v>
      </c>
      <c r="U320" s="455" t="s">
        <v>4913</v>
      </c>
      <c r="V320" s="455" t="s">
        <v>4913</v>
      </c>
      <c r="W320" s="455" t="s">
        <v>4913</v>
      </c>
      <c r="X320" s="455" t="s">
        <v>4913</v>
      </c>
      <c r="Y320" s="455" t="s">
        <v>4913</v>
      </c>
      <c r="Z320" s="455" t="s">
        <v>4913</v>
      </c>
      <c r="AA320" s="455" t="s">
        <v>4913</v>
      </c>
      <c r="AB320" s="455" t="s">
        <v>4913</v>
      </c>
      <c r="AC320" s="456" t="s">
        <v>1737</v>
      </c>
      <c r="AD320" s="459" t="s">
        <v>12544</v>
      </c>
      <c r="AE320" s="454" t="s">
        <v>12545</v>
      </c>
      <c r="AF320" s="463" t="s">
        <v>13849</v>
      </c>
      <c r="AG320" s="460" t="s">
        <v>13507</v>
      </c>
      <c r="AH320" s="460" t="s">
        <v>13850</v>
      </c>
    </row>
    <row r="321" spans="1:34">
      <c r="A321" s="453" t="s">
        <v>13845</v>
      </c>
      <c r="B321" s="454" t="s">
        <v>13853</v>
      </c>
      <c r="C321" s="454" t="s">
        <v>13847</v>
      </c>
      <c r="D321" s="454" t="s">
        <v>13854</v>
      </c>
      <c r="E321" s="454" t="s">
        <v>1732</v>
      </c>
      <c r="F321" s="456" t="s">
        <v>1736</v>
      </c>
      <c r="G321" s="456" t="s">
        <v>1736</v>
      </c>
      <c r="H321" s="455" t="s">
        <v>4913</v>
      </c>
      <c r="I321" s="455" t="s">
        <v>4913</v>
      </c>
      <c r="J321" s="455" t="s">
        <v>4913</v>
      </c>
      <c r="K321" s="455" t="s">
        <v>4913</v>
      </c>
      <c r="L321" s="455" t="s">
        <v>4913</v>
      </c>
      <c r="M321" s="455" t="s">
        <v>4913</v>
      </c>
      <c r="N321" s="455" t="s">
        <v>4913</v>
      </c>
      <c r="O321" s="455" t="s">
        <v>4913</v>
      </c>
      <c r="P321" s="455" t="s">
        <v>4913</v>
      </c>
      <c r="Q321" s="455" t="s">
        <v>4913</v>
      </c>
      <c r="R321" s="455" t="s">
        <v>4913</v>
      </c>
      <c r="S321" s="455" t="s">
        <v>4913</v>
      </c>
      <c r="T321" s="455" t="s">
        <v>4913</v>
      </c>
      <c r="U321" s="455" t="s">
        <v>4913</v>
      </c>
      <c r="V321" s="455" t="s">
        <v>4913</v>
      </c>
      <c r="W321" s="455" t="s">
        <v>4913</v>
      </c>
      <c r="X321" s="455" t="s">
        <v>4913</v>
      </c>
      <c r="Y321" s="455" t="s">
        <v>4913</v>
      </c>
      <c r="Z321" s="455" t="s">
        <v>4913</v>
      </c>
      <c r="AA321" s="455" t="s">
        <v>4913</v>
      </c>
      <c r="AB321" s="455" t="s">
        <v>4913</v>
      </c>
      <c r="AC321" s="456" t="s">
        <v>1737</v>
      </c>
      <c r="AD321" s="459" t="s">
        <v>12544</v>
      </c>
      <c r="AE321" s="454" t="s">
        <v>12545</v>
      </c>
      <c r="AF321" s="463" t="s">
        <v>13849</v>
      </c>
      <c r="AG321" s="460" t="s">
        <v>13507</v>
      </c>
      <c r="AH321" s="460" t="s">
        <v>13850</v>
      </c>
    </row>
    <row r="322" spans="1:34">
      <c r="A322" s="453" t="s">
        <v>13845</v>
      </c>
      <c r="B322" s="454" t="s">
        <v>13855</v>
      </c>
      <c r="C322" s="454" t="s">
        <v>13847</v>
      </c>
      <c r="D322" s="454" t="s">
        <v>13856</v>
      </c>
      <c r="E322" s="454" t="s">
        <v>1732</v>
      </c>
      <c r="F322" s="456" t="s">
        <v>1736</v>
      </c>
      <c r="G322" s="456" t="s">
        <v>1736</v>
      </c>
      <c r="H322" s="455" t="s">
        <v>4913</v>
      </c>
      <c r="I322" s="455" t="s">
        <v>4913</v>
      </c>
      <c r="J322" s="455" t="s">
        <v>4913</v>
      </c>
      <c r="K322" s="455" t="s">
        <v>4913</v>
      </c>
      <c r="L322" s="455" t="s">
        <v>4913</v>
      </c>
      <c r="M322" s="455" t="s">
        <v>4913</v>
      </c>
      <c r="N322" s="455" t="s">
        <v>4913</v>
      </c>
      <c r="O322" s="455" t="s">
        <v>4913</v>
      </c>
      <c r="P322" s="455" t="s">
        <v>4913</v>
      </c>
      <c r="Q322" s="455" t="s">
        <v>4913</v>
      </c>
      <c r="R322" s="455" t="s">
        <v>4913</v>
      </c>
      <c r="S322" s="455" t="s">
        <v>4913</v>
      </c>
      <c r="T322" s="455" t="s">
        <v>4913</v>
      </c>
      <c r="U322" s="455" t="s">
        <v>4913</v>
      </c>
      <c r="V322" s="455" t="s">
        <v>4913</v>
      </c>
      <c r="W322" s="455" t="s">
        <v>4913</v>
      </c>
      <c r="X322" s="455" t="s">
        <v>4913</v>
      </c>
      <c r="Y322" s="455" t="s">
        <v>4913</v>
      </c>
      <c r="Z322" s="455" t="s">
        <v>4913</v>
      </c>
      <c r="AA322" s="455" t="s">
        <v>4913</v>
      </c>
      <c r="AB322" s="455" t="s">
        <v>4913</v>
      </c>
      <c r="AC322" s="456" t="s">
        <v>1737</v>
      </c>
      <c r="AD322" s="459" t="s">
        <v>12544</v>
      </c>
      <c r="AE322" s="454" t="s">
        <v>12545</v>
      </c>
      <c r="AF322" s="463" t="s">
        <v>13849</v>
      </c>
      <c r="AG322" s="460" t="s">
        <v>13507</v>
      </c>
      <c r="AH322" s="460" t="s">
        <v>13850</v>
      </c>
    </row>
    <row r="323" spans="1:34">
      <c r="A323" s="453" t="s">
        <v>13845</v>
      </c>
      <c r="B323" s="454" t="s">
        <v>13857</v>
      </c>
      <c r="C323" s="454" t="s">
        <v>13847</v>
      </c>
      <c r="D323" s="454" t="s">
        <v>13858</v>
      </c>
      <c r="E323" s="454" t="s">
        <v>1732</v>
      </c>
      <c r="F323" s="456" t="s">
        <v>1736</v>
      </c>
      <c r="G323" s="456" t="s">
        <v>1736</v>
      </c>
      <c r="H323" s="455" t="s">
        <v>4913</v>
      </c>
      <c r="I323" s="455" t="s">
        <v>4913</v>
      </c>
      <c r="J323" s="455" t="s">
        <v>4913</v>
      </c>
      <c r="K323" s="455" t="s">
        <v>4913</v>
      </c>
      <c r="L323" s="455" t="s">
        <v>4913</v>
      </c>
      <c r="M323" s="455" t="s">
        <v>4913</v>
      </c>
      <c r="N323" s="455" t="s">
        <v>4913</v>
      </c>
      <c r="O323" s="455" t="s">
        <v>4913</v>
      </c>
      <c r="P323" s="455" t="s">
        <v>4913</v>
      </c>
      <c r="Q323" s="455" t="s">
        <v>4913</v>
      </c>
      <c r="R323" s="455" t="s">
        <v>4913</v>
      </c>
      <c r="S323" s="455" t="s">
        <v>4913</v>
      </c>
      <c r="T323" s="455" t="s">
        <v>4913</v>
      </c>
      <c r="U323" s="455" t="s">
        <v>4913</v>
      </c>
      <c r="V323" s="455" t="s">
        <v>4913</v>
      </c>
      <c r="W323" s="455" t="s">
        <v>4913</v>
      </c>
      <c r="X323" s="455" t="s">
        <v>4913</v>
      </c>
      <c r="Y323" s="455" t="s">
        <v>4913</v>
      </c>
      <c r="Z323" s="455" t="s">
        <v>4913</v>
      </c>
      <c r="AA323" s="455" t="s">
        <v>4913</v>
      </c>
      <c r="AB323" s="455" t="s">
        <v>4913</v>
      </c>
      <c r="AC323" s="456" t="s">
        <v>1737</v>
      </c>
      <c r="AD323" s="459" t="s">
        <v>12544</v>
      </c>
      <c r="AE323" s="454" t="s">
        <v>12545</v>
      </c>
      <c r="AF323" s="461" t="s">
        <v>13849</v>
      </c>
      <c r="AG323" s="460" t="s">
        <v>13507</v>
      </c>
      <c r="AH323" s="460" t="s">
        <v>13850</v>
      </c>
    </row>
    <row r="324" spans="1:34">
      <c r="A324" s="453" t="s">
        <v>13859</v>
      </c>
      <c r="B324" s="454" t="s">
        <v>13860</v>
      </c>
      <c r="C324" s="454" t="s">
        <v>13861</v>
      </c>
      <c r="D324" s="454" t="s">
        <v>13862</v>
      </c>
      <c r="E324" s="454" t="s">
        <v>1732</v>
      </c>
      <c r="F324" s="456" t="s">
        <v>1736</v>
      </c>
      <c r="G324" s="456" t="s">
        <v>1736</v>
      </c>
      <c r="H324" s="455" t="s">
        <v>4913</v>
      </c>
      <c r="I324" s="455" t="s">
        <v>4913</v>
      </c>
      <c r="J324" s="455" t="s">
        <v>4913</v>
      </c>
      <c r="K324" s="455" t="s">
        <v>4913</v>
      </c>
      <c r="L324" s="455" t="s">
        <v>4913</v>
      </c>
      <c r="M324" s="455" t="s">
        <v>4913</v>
      </c>
      <c r="N324" s="455" t="s">
        <v>4913</v>
      </c>
      <c r="O324" s="455" t="s">
        <v>4913</v>
      </c>
      <c r="P324" s="455" t="s">
        <v>4913</v>
      </c>
      <c r="Q324" s="455" t="s">
        <v>4913</v>
      </c>
      <c r="R324" s="455" t="s">
        <v>4913</v>
      </c>
      <c r="S324" s="455" t="s">
        <v>4913</v>
      </c>
      <c r="T324" s="455" t="s">
        <v>4913</v>
      </c>
      <c r="U324" s="455" t="s">
        <v>4913</v>
      </c>
      <c r="V324" s="455" t="s">
        <v>4913</v>
      </c>
      <c r="W324" s="456" t="s">
        <v>1736</v>
      </c>
      <c r="X324" s="456" t="s">
        <v>1736</v>
      </c>
      <c r="Y324" s="456" t="s">
        <v>1736</v>
      </c>
      <c r="Z324" s="456" t="s">
        <v>1736</v>
      </c>
      <c r="AA324" s="455" t="s">
        <v>4913</v>
      </c>
      <c r="AB324" s="455" t="s">
        <v>4913</v>
      </c>
      <c r="AC324" s="456" t="s">
        <v>1737</v>
      </c>
      <c r="AD324" s="459" t="s">
        <v>12544</v>
      </c>
      <c r="AE324" s="454" t="s">
        <v>13545</v>
      </c>
      <c r="AF324" s="454" t="s">
        <v>13863</v>
      </c>
      <c r="AG324" s="460" t="s">
        <v>13839</v>
      </c>
      <c r="AH324" s="460" t="s">
        <v>13864</v>
      </c>
    </row>
    <row r="325" spans="1:34">
      <c r="A325" s="453" t="s">
        <v>13859</v>
      </c>
      <c r="B325" s="454" t="s">
        <v>13865</v>
      </c>
      <c r="C325" s="454" t="s">
        <v>13861</v>
      </c>
      <c r="D325" s="454" t="s">
        <v>13866</v>
      </c>
      <c r="E325" s="454" t="s">
        <v>1732</v>
      </c>
      <c r="F325" s="456" t="s">
        <v>1736</v>
      </c>
      <c r="G325" s="456" t="s">
        <v>1736</v>
      </c>
      <c r="H325" s="455" t="s">
        <v>4913</v>
      </c>
      <c r="I325" s="455" t="s">
        <v>4913</v>
      </c>
      <c r="J325" s="455" t="s">
        <v>4913</v>
      </c>
      <c r="K325" s="455" t="s">
        <v>4913</v>
      </c>
      <c r="L325" s="455" t="s">
        <v>4913</v>
      </c>
      <c r="M325" s="455" t="s">
        <v>4913</v>
      </c>
      <c r="N325" s="455" t="s">
        <v>4913</v>
      </c>
      <c r="O325" s="455" t="s">
        <v>4913</v>
      </c>
      <c r="P325" s="455" t="s">
        <v>4913</v>
      </c>
      <c r="Q325" s="455" t="s">
        <v>4913</v>
      </c>
      <c r="R325" s="455" t="s">
        <v>4913</v>
      </c>
      <c r="S325" s="455" t="s">
        <v>4913</v>
      </c>
      <c r="T325" s="455" t="s">
        <v>4913</v>
      </c>
      <c r="U325" s="455" t="s">
        <v>4913</v>
      </c>
      <c r="V325" s="455" t="s">
        <v>4913</v>
      </c>
      <c r="W325" s="456" t="s">
        <v>1736</v>
      </c>
      <c r="X325" s="456" t="s">
        <v>1736</v>
      </c>
      <c r="Y325" s="456" t="s">
        <v>1736</v>
      </c>
      <c r="Z325" s="456" t="s">
        <v>1736</v>
      </c>
      <c r="AA325" s="455" t="s">
        <v>4913</v>
      </c>
      <c r="AB325" s="455" t="s">
        <v>4913</v>
      </c>
      <c r="AC325" s="456" t="s">
        <v>1737</v>
      </c>
      <c r="AD325" s="459" t="s">
        <v>12544</v>
      </c>
      <c r="AE325" s="454" t="s">
        <v>13545</v>
      </c>
      <c r="AF325" s="454" t="s">
        <v>13867</v>
      </c>
      <c r="AG325" s="460" t="s">
        <v>13839</v>
      </c>
      <c r="AH325" s="460" t="s">
        <v>13864</v>
      </c>
    </row>
    <row r="326" spans="1:34">
      <c r="A326" s="453" t="s">
        <v>13859</v>
      </c>
      <c r="B326" s="454" t="s">
        <v>13868</v>
      </c>
      <c r="C326" s="454" t="s">
        <v>13861</v>
      </c>
      <c r="D326" s="454" t="s">
        <v>13869</v>
      </c>
      <c r="E326" s="454" t="s">
        <v>1732</v>
      </c>
      <c r="F326" s="456" t="s">
        <v>1736</v>
      </c>
      <c r="G326" s="456" t="s">
        <v>1736</v>
      </c>
      <c r="H326" s="455" t="s">
        <v>4913</v>
      </c>
      <c r="I326" s="455" t="s">
        <v>4913</v>
      </c>
      <c r="J326" s="455" t="s">
        <v>4913</v>
      </c>
      <c r="K326" s="455" t="s">
        <v>4913</v>
      </c>
      <c r="L326" s="455" t="s">
        <v>4913</v>
      </c>
      <c r="M326" s="455" t="s">
        <v>4913</v>
      </c>
      <c r="N326" s="455" t="s">
        <v>4913</v>
      </c>
      <c r="O326" s="455" t="s">
        <v>4913</v>
      </c>
      <c r="P326" s="455" t="s">
        <v>4913</v>
      </c>
      <c r="Q326" s="455" t="s">
        <v>4913</v>
      </c>
      <c r="R326" s="455" t="s">
        <v>4913</v>
      </c>
      <c r="S326" s="455" t="s">
        <v>4913</v>
      </c>
      <c r="T326" s="455" t="s">
        <v>4913</v>
      </c>
      <c r="U326" s="455" t="s">
        <v>4913</v>
      </c>
      <c r="V326" s="455" t="s">
        <v>4913</v>
      </c>
      <c r="W326" s="456" t="s">
        <v>1736</v>
      </c>
      <c r="X326" s="456" t="s">
        <v>1736</v>
      </c>
      <c r="Y326" s="456" t="s">
        <v>1736</v>
      </c>
      <c r="Z326" s="456" t="s">
        <v>1736</v>
      </c>
      <c r="AA326" s="455" t="s">
        <v>4913</v>
      </c>
      <c r="AB326" s="455" t="s">
        <v>4913</v>
      </c>
      <c r="AC326" s="456" t="s">
        <v>1737</v>
      </c>
      <c r="AD326" s="459" t="s">
        <v>12544</v>
      </c>
      <c r="AE326" s="454" t="s">
        <v>13545</v>
      </c>
      <c r="AF326" s="454" t="s">
        <v>13870</v>
      </c>
      <c r="AG326" s="460" t="s">
        <v>13839</v>
      </c>
      <c r="AH326" s="460" t="s">
        <v>13864</v>
      </c>
    </row>
    <row r="327" spans="1:34">
      <c r="A327" s="453" t="s">
        <v>13859</v>
      </c>
      <c r="B327" s="454" t="s">
        <v>13871</v>
      </c>
      <c r="C327" s="454" t="s">
        <v>13861</v>
      </c>
      <c r="D327" s="454" t="s">
        <v>13872</v>
      </c>
      <c r="E327" s="454" t="s">
        <v>1732</v>
      </c>
      <c r="F327" s="456" t="s">
        <v>1736</v>
      </c>
      <c r="G327" s="456" t="s">
        <v>1736</v>
      </c>
      <c r="H327" s="455" t="s">
        <v>4913</v>
      </c>
      <c r="I327" s="455" t="s">
        <v>4913</v>
      </c>
      <c r="J327" s="455" t="s">
        <v>4913</v>
      </c>
      <c r="K327" s="455" t="s">
        <v>4913</v>
      </c>
      <c r="L327" s="455" t="s">
        <v>4913</v>
      </c>
      <c r="M327" s="455" t="s">
        <v>4913</v>
      </c>
      <c r="N327" s="455" t="s">
        <v>4913</v>
      </c>
      <c r="O327" s="455" t="s">
        <v>4913</v>
      </c>
      <c r="P327" s="455" t="s">
        <v>4913</v>
      </c>
      <c r="Q327" s="455" t="s">
        <v>4913</v>
      </c>
      <c r="R327" s="455" t="s">
        <v>4913</v>
      </c>
      <c r="S327" s="455" t="s">
        <v>4913</v>
      </c>
      <c r="T327" s="455" t="s">
        <v>4913</v>
      </c>
      <c r="U327" s="455" t="s">
        <v>4913</v>
      </c>
      <c r="V327" s="455" t="s">
        <v>4913</v>
      </c>
      <c r="W327" s="456" t="s">
        <v>1736</v>
      </c>
      <c r="X327" s="456" t="s">
        <v>1736</v>
      </c>
      <c r="Y327" s="456" t="s">
        <v>1736</v>
      </c>
      <c r="Z327" s="456" t="s">
        <v>1736</v>
      </c>
      <c r="AA327" s="455" t="s">
        <v>4913</v>
      </c>
      <c r="AB327" s="455" t="s">
        <v>4913</v>
      </c>
      <c r="AC327" s="456" t="s">
        <v>1737</v>
      </c>
      <c r="AD327" s="459" t="s">
        <v>12544</v>
      </c>
      <c r="AE327" s="454" t="s">
        <v>13545</v>
      </c>
      <c r="AF327" s="454" t="s">
        <v>13873</v>
      </c>
      <c r="AG327" s="460" t="s">
        <v>13839</v>
      </c>
      <c r="AH327" s="460" t="s">
        <v>13864</v>
      </c>
    </row>
    <row r="328" spans="1:34">
      <c r="A328" s="453" t="s">
        <v>13859</v>
      </c>
      <c r="B328" s="454" t="s">
        <v>13874</v>
      </c>
      <c r="C328" s="454" t="s">
        <v>13861</v>
      </c>
      <c r="D328" s="454" t="s">
        <v>13875</v>
      </c>
      <c r="E328" s="454" t="s">
        <v>1732</v>
      </c>
      <c r="F328" s="456" t="s">
        <v>1736</v>
      </c>
      <c r="G328" s="456" t="s">
        <v>1736</v>
      </c>
      <c r="H328" s="455" t="s">
        <v>4913</v>
      </c>
      <c r="I328" s="455" t="s">
        <v>4913</v>
      </c>
      <c r="J328" s="455" t="s">
        <v>4913</v>
      </c>
      <c r="K328" s="455" t="s">
        <v>4913</v>
      </c>
      <c r="L328" s="455" t="s">
        <v>4913</v>
      </c>
      <c r="M328" s="455" t="s">
        <v>4913</v>
      </c>
      <c r="N328" s="455" t="s">
        <v>4913</v>
      </c>
      <c r="O328" s="455" t="s">
        <v>4913</v>
      </c>
      <c r="P328" s="455" t="s">
        <v>4913</v>
      </c>
      <c r="Q328" s="455" t="s">
        <v>4913</v>
      </c>
      <c r="R328" s="455" t="s">
        <v>4913</v>
      </c>
      <c r="S328" s="455" t="s">
        <v>4913</v>
      </c>
      <c r="T328" s="455" t="s">
        <v>4913</v>
      </c>
      <c r="U328" s="455" t="s">
        <v>4913</v>
      </c>
      <c r="V328" s="455" t="s">
        <v>4913</v>
      </c>
      <c r="W328" s="456" t="s">
        <v>1736</v>
      </c>
      <c r="X328" s="456" t="s">
        <v>1736</v>
      </c>
      <c r="Y328" s="456" t="s">
        <v>1736</v>
      </c>
      <c r="Z328" s="456" t="s">
        <v>1736</v>
      </c>
      <c r="AA328" s="455" t="s">
        <v>4913</v>
      </c>
      <c r="AB328" s="455" t="s">
        <v>4913</v>
      </c>
      <c r="AC328" s="456" t="s">
        <v>1737</v>
      </c>
      <c r="AD328" s="459" t="s">
        <v>12544</v>
      </c>
      <c r="AE328" s="454" t="s">
        <v>13545</v>
      </c>
      <c r="AF328" s="454" t="s">
        <v>13876</v>
      </c>
      <c r="AG328" s="460" t="s">
        <v>13839</v>
      </c>
      <c r="AH328" s="460" t="s">
        <v>13864</v>
      </c>
    </row>
    <row r="329" spans="1:34">
      <c r="A329" s="453" t="s">
        <v>13877</v>
      </c>
      <c r="B329" s="454" t="s">
        <v>13878</v>
      </c>
      <c r="C329" s="454" t="s">
        <v>13879</v>
      </c>
      <c r="D329" s="454" t="s">
        <v>13880</v>
      </c>
      <c r="E329" s="454" t="s">
        <v>1732</v>
      </c>
      <c r="F329" s="456" t="s">
        <v>1736</v>
      </c>
      <c r="G329" s="456" t="s">
        <v>1736</v>
      </c>
      <c r="H329" s="455" t="s">
        <v>4913</v>
      </c>
      <c r="I329" s="455" t="s">
        <v>4913</v>
      </c>
      <c r="J329" s="455" t="s">
        <v>4913</v>
      </c>
      <c r="K329" s="455" t="s">
        <v>4913</v>
      </c>
      <c r="L329" s="455" t="s">
        <v>4913</v>
      </c>
      <c r="M329" s="455" t="s">
        <v>4913</v>
      </c>
      <c r="N329" s="455" t="s">
        <v>4913</v>
      </c>
      <c r="O329" s="455" t="s">
        <v>4913</v>
      </c>
      <c r="P329" s="455" t="s">
        <v>4913</v>
      </c>
      <c r="Q329" s="455" t="s">
        <v>4913</v>
      </c>
      <c r="R329" s="455" t="s">
        <v>4913</v>
      </c>
      <c r="S329" s="455" t="s">
        <v>4913</v>
      </c>
      <c r="T329" s="455" t="s">
        <v>4913</v>
      </c>
      <c r="U329" s="455" t="s">
        <v>4913</v>
      </c>
      <c r="V329" s="455" t="s">
        <v>4913</v>
      </c>
      <c r="W329" s="455" t="s">
        <v>4913</v>
      </c>
      <c r="X329" s="455" t="s">
        <v>4913</v>
      </c>
      <c r="Y329" s="455" t="s">
        <v>4913</v>
      </c>
      <c r="Z329" s="455" t="s">
        <v>4913</v>
      </c>
      <c r="AA329" s="455" t="s">
        <v>4913</v>
      </c>
      <c r="AB329" s="455" t="s">
        <v>4913</v>
      </c>
      <c r="AC329" s="456" t="s">
        <v>1737</v>
      </c>
      <c r="AD329" s="459" t="s">
        <v>12544</v>
      </c>
      <c r="AE329" s="454" t="s">
        <v>12545</v>
      </c>
      <c r="AF329" s="463" t="s">
        <v>13749</v>
      </c>
      <c r="AG329" s="460" t="s">
        <v>13839</v>
      </c>
      <c r="AH329" s="460" t="s">
        <v>13881</v>
      </c>
    </row>
    <row r="330" spans="1:34">
      <c r="A330" s="453" t="s">
        <v>13877</v>
      </c>
      <c r="B330" s="454" t="s">
        <v>13882</v>
      </c>
      <c r="C330" s="454" t="s">
        <v>13879</v>
      </c>
      <c r="D330" s="454" t="s">
        <v>13883</v>
      </c>
      <c r="E330" s="454" t="s">
        <v>1732</v>
      </c>
      <c r="F330" s="456" t="s">
        <v>1736</v>
      </c>
      <c r="G330" s="456" t="s">
        <v>1736</v>
      </c>
      <c r="H330" s="455" t="s">
        <v>4913</v>
      </c>
      <c r="I330" s="455" t="s">
        <v>4913</v>
      </c>
      <c r="J330" s="455" t="s">
        <v>4913</v>
      </c>
      <c r="K330" s="455" t="s">
        <v>4913</v>
      </c>
      <c r="L330" s="455" t="s">
        <v>4913</v>
      </c>
      <c r="M330" s="455" t="s">
        <v>4913</v>
      </c>
      <c r="N330" s="455" t="s">
        <v>4913</v>
      </c>
      <c r="O330" s="455" t="s">
        <v>4913</v>
      </c>
      <c r="P330" s="455" t="s">
        <v>4913</v>
      </c>
      <c r="Q330" s="455" t="s">
        <v>4913</v>
      </c>
      <c r="R330" s="455" t="s">
        <v>4913</v>
      </c>
      <c r="S330" s="455" t="s">
        <v>4913</v>
      </c>
      <c r="T330" s="455" t="s">
        <v>4913</v>
      </c>
      <c r="U330" s="455" t="s">
        <v>4913</v>
      </c>
      <c r="V330" s="455" t="s">
        <v>4913</v>
      </c>
      <c r="W330" s="455" t="s">
        <v>4913</v>
      </c>
      <c r="X330" s="455" t="s">
        <v>4913</v>
      </c>
      <c r="Y330" s="455" t="s">
        <v>4913</v>
      </c>
      <c r="Z330" s="455" t="s">
        <v>4913</v>
      </c>
      <c r="AA330" s="455" t="s">
        <v>4913</v>
      </c>
      <c r="AB330" s="455" t="s">
        <v>4913</v>
      </c>
      <c r="AC330" s="456" t="s">
        <v>1737</v>
      </c>
      <c r="AD330" s="459" t="s">
        <v>12544</v>
      </c>
      <c r="AE330" s="454" t="s">
        <v>12545</v>
      </c>
      <c r="AF330" s="463" t="s">
        <v>13749</v>
      </c>
      <c r="AG330" s="460" t="s">
        <v>13839</v>
      </c>
      <c r="AH330" s="460" t="s">
        <v>13881</v>
      </c>
    </row>
    <row r="331" spans="1:34">
      <c r="A331" s="453" t="s">
        <v>13877</v>
      </c>
      <c r="B331" s="454" t="s">
        <v>13884</v>
      </c>
      <c r="C331" s="454" t="s">
        <v>13879</v>
      </c>
      <c r="D331" s="454" t="s">
        <v>13885</v>
      </c>
      <c r="E331" s="454" t="s">
        <v>1732</v>
      </c>
      <c r="F331" s="456" t="s">
        <v>1736</v>
      </c>
      <c r="G331" s="456" t="s">
        <v>1736</v>
      </c>
      <c r="H331" s="455" t="s">
        <v>4913</v>
      </c>
      <c r="I331" s="455" t="s">
        <v>4913</v>
      </c>
      <c r="J331" s="455" t="s">
        <v>4913</v>
      </c>
      <c r="K331" s="455" t="s">
        <v>4913</v>
      </c>
      <c r="L331" s="455" t="s">
        <v>4913</v>
      </c>
      <c r="M331" s="455" t="s">
        <v>4913</v>
      </c>
      <c r="N331" s="455" t="s">
        <v>4913</v>
      </c>
      <c r="O331" s="455" t="s">
        <v>4913</v>
      </c>
      <c r="P331" s="455" t="s">
        <v>4913</v>
      </c>
      <c r="Q331" s="455" t="s">
        <v>4913</v>
      </c>
      <c r="R331" s="455" t="s">
        <v>4913</v>
      </c>
      <c r="S331" s="455" t="s">
        <v>4913</v>
      </c>
      <c r="T331" s="455" t="s">
        <v>4913</v>
      </c>
      <c r="U331" s="455" t="s">
        <v>4913</v>
      </c>
      <c r="V331" s="455" t="s">
        <v>4913</v>
      </c>
      <c r="W331" s="455" t="s">
        <v>4913</v>
      </c>
      <c r="X331" s="455" t="s">
        <v>4913</v>
      </c>
      <c r="Y331" s="455" t="s">
        <v>4913</v>
      </c>
      <c r="Z331" s="455" t="s">
        <v>4913</v>
      </c>
      <c r="AA331" s="455" t="s">
        <v>4913</v>
      </c>
      <c r="AB331" s="455" t="s">
        <v>4913</v>
      </c>
      <c r="AC331" s="456" t="s">
        <v>1737</v>
      </c>
      <c r="AD331" s="459" t="s">
        <v>12544</v>
      </c>
      <c r="AE331" s="454" t="s">
        <v>12545</v>
      </c>
      <c r="AF331" s="461" t="s">
        <v>13749</v>
      </c>
      <c r="AG331" s="460" t="s">
        <v>13839</v>
      </c>
      <c r="AH331" s="460" t="s">
        <v>13881</v>
      </c>
    </row>
    <row r="332" spans="1:34">
      <c r="A332" s="453" t="s">
        <v>13886</v>
      </c>
      <c r="B332" s="454" t="s">
        <v>13887</v>
      </c>
      <c r="C332" s="454" t="s">
        <v>13888</v>
      </c>
      <c r="D332" s="454" t="s">
        <v>13889</v>
      </c>
      <c r="E332" s="454" t="s">
        <v>1732</v>
      </c>
      <c r="F332" s="456" t="s">
        <v>1736</v>
      </c>
      <c r="G332" s="456" t="s">
        <v>1736</v>
      </c>
      <c r="H332" s="455" t="s">
        <v>4913</v>
      </c>
      <c r="I332" s="455" t="s">
        <v>4913</v>
      </c>
      <c r="J332" s="455" t="s">
        <v>4913</v>
      </c>
      <c r="K332" s="455" t="s">
        <v>4913</v>
      </c>
      <c r="L332" s="455" t="s">
        <v>4913</v>
      </c>
      <c r="M332" s="455" t="s">
        <v>4913</v>
      </c>
      <c r="N332" s="455" t="s">
        <v>4913</v>
      </c>
      <c r="O332" s="455" t="s">
        <v>4913</v>
      </c>
      <c r="P332" s="455" t="s">
        <v>4913</v>
      </c>
      <c r="Q332" s="455" t="s">
        <v>4913</v>
      </c>
      <c r="R332" s="455" t="s">
        <v>4913</v>
      </c>
      <c r="S332" s="455" t="s">
        <v>4913</v>
      </c>
      <c r="T332" s="455" t="s">
        <v>4913</v>
      </c>
      <c r="U332" s="455" t="s">
        <v>4913</v>
      </c>
      <c r="V332" s="455" t="s">
        <v>4913</v>
      </c>
      <c r="W332" s="456" t="s">
        <v>1736</v>
      </c>
      <c r="X332" s="456" t="s">
        <v>1736</v>
      </c>
      <c r="Y332" s="456" t="s">
        <v>1736</v>
      </c>
      <c r="Z332" s="456" t="s">
        <v>1736</v>
      </c>
      <c r="AA332" s="455" t="s">
        <v>4913</v>
      </c>
      <c r="AB332" s="455" t="s">
        <v>4913</v>
      </c>
      <c r="AC332" s="456" t="s">
        <v>1737</v>
      </c>
      <c r="AD332" s="459" t="s">
        <v>12544</v>
      </c>
      <c r="AE332" s="454" t="s">
        <v>13545</v>
      </c>
      <c r="AF332" s="454" t="s">
        <v>13890</v>
      </c>
      <c r="AG332" s="460" t="s">
        <v>13891</v>
      </c>
      <c r="AH332" s="460" t="s">
        <v>13892</v>
      </c>
    </row>
    <row r="333" spans="1:34">
      <c r="A333" s="453" t="s">
        <v>13886</v>
      </c>
      <c r="B333" s="454" t="s">
        <v>13893</v>
      </c>
      <c r="C333" s="454" t="s">
        <v>13888</v>
      </c>
      <c r="D333" s="454" t="s">
        <v>13894</v>
      </c>
      <c r="E333" s="454" t="s">
        <v>1732</v>
      </c>
      <c r="F333" s="456" t="s">
        <v>1736</v>
      </c>
      <c r="G333" s="456" t="s">
        <v>1736</v>
      </c>
      <c r="H333" s="455" t="s">
        <v>4913</v>
      </c>
      <c r="I333" s="455" t="s">
        <v>4913</v>
      </c>
      <c r="J333" s="455" t="s">
        <v>4913</v>
      </c>
      <c r="K333" s="455" t="s">
        <v>4913</v>
      </c>
      <c r="L333" s="455" t="s">
        <v>4913</v>
      </c>
      <c r="M333" s="455" t="s">
        <v>4913</v>
      </c>
      <c r="N333" s="455" t="s">
        <v>4913</v>
      </c>
      <c r="O333" s="455" t="s">
        <v>4913</v>
      </c>
      <c r="P333" s="455" t="s">
        <v>4913</v>
      </c>
      <c r="Q333" s="455" t="s">
        <v>4913</v>
      </c>
      <c r="R333" s="455" t="s">
        <v>4913</v>
      </c>
      <c r="S333" s="455" t="s">
        <v>4913</v>
      </c>
      <c r="T333" s="455" t="s">
        <v>4913</v>
      </c>
      <c r="U333" s="455" t="s">
        <v>4913</v>
      </c>
      <c r="V333" s="455" t="s">
        <v>4913</v>
      </c>
      <c r="W333" s="456" t="s">
        <v>1736</v>
      </c>
      <c r="X333" s="456" t="s">
        <v>1736</v>
      </c>
      <c r="Y333" s="456" t="s">
        <v>1736</v>
      </c>
      <c r="Z333" s="456" t="s">
        <v>1736</v>
      </c>
      <c r="AA333" s="455" t="s">
        <v>4913</v>
      </c>
      <c r="AB333" s="455" t="s">
        <v>4913</v>
      </c>
      <c r="AC333" s="456" t="s">
        <v>1737</v>
      </c>
      <c r="AD333" s="459" t="s">
        <v>12544</v>
      </c>
      <c r="AE333" s="454" t="s">
        <v>13545</v>
      </c>
      <c r="AF333" s="454" t="s">
        <v>13895</v>
      </c>
      <c r="AG333" s="460" t="s">
        <v>13891</v>
      </c>
      <c r="AH333" s="460" t="s">
        <v>13892</v>
      </c>
    </row>
    <row r="334" spans="1:34">
      <c r="A334" s="453" t="s">
        <v>13886</v>
      </c>
      <c r="B334" s="454" t="s">
        <v>13896</v>
      </c>
      <c r="C334" s="454" t="s">
        <v>13888</v>
      </c>
      <c r="D334" s="454" t="s">
        <v>13897</v>
      </c>
      <c r="E334" s="454" t="s">
        <v>1732</v>
      </c>
      <c r="F334" s="456" t="s">
        <v>1736</v>
      </c>
      <c r="G334" s="456" t="s">
        <v>1736</v>
      </c>
      <c r="H334" s="455" t="s">
        <v>4913</v>
      </c>
      <c r="I334" s="455" t="s">
        <v>4913</v>
      </c>
      <c r="J334" s="455" t="s">
        <v>4913</v>
      </c>
      <c r="K334" s="455" t="s">
        <v>4913</v>
      </c>
      <c r="L334" s="455" t="s">
        <v>4913</v>
      </c>
      <c r="M334" s="455" t="s">
        <v>4913</v>
      </c>
      <c r="N334" s="455" t="s">
        <v>4913</v>
      </c>
      <c r="O334" s="455" t="s">
        <v>4913</v>
      </c>
      <c r="P334" s="455" t="s">
        <v>4913</v>
      </c>
      <c r="Q334" s="455" t="s">
        <v>4913</v>
      </c>
      <c r="R334" s="455" t="s">
        <v>4913</v>
      </c>
      <c r="S334" s="455" t="s">
        <v>4913</v>
      </c>
      <c r="T334" s="455" t="s">
        <v>4913</v>
      </c>
      <c r="U334" s="455" t="s">
        <v>4913</v>
      </c>
      <c r="V334" s="455" t="s">
        <v>4913</v>
      </c>
      <c r="W334" s="456" t="s">
        <v>1736</v>
      </c>
      <c r="X334" s="456" t="s">
        <v>1736</v>
      </c>
      <c r="Y334" s="456" t="s">
        <v>1736</v>
      </c>
      <c r="Z334" s="456" t="s">
        <v>1736</v>
      </c>
      <c r="AA334" s="455" t="s">
        <v>4913</v>
      </c>
      <c r="AB334" s="455" t="s">
        <v>4913</v>
      </c>
      <c r="AC334" s="456" t="s">
        <v>1737</v>
      </c>
      <c r="AD334" s="459" t="s">
        <v>12544</v>
      </c>
      <c r="AE334" s="454" t="s">
        <v>13545</v>
      </c>
      <c r="AF334" s="454" t="s">
        <v>13898</v>
      </c>
      <c r="AG334" s="460" t="s">
        <v>13891</v>
      </c>
      <c r="AH334" s="460" t="s">
        <v>13892</v>
      </c>
    </row>
    <row r="335" spans="1:34">
      <c r="A335" s="453" t="s">
        <v>13899</v>
      </c>
      <c r="B335" s="454" t="s">
        <v>13900</v>
      </c>
      <c r="C335" s="454" t="s">
        <v>13901</v>
      </c>
      <c r="D335" s="454" t="s">
        <v>13902</v>
      </c>
      <c r="E335" s="454" t="s">
        <v>1732</v>
      </c>
      <c r="F335" s="456" t="s">
        <v>1736</v>
      </c>
      <c r="G335" s="455" t="s">
        <v>4913</v>
      </c>
      <c r="H335" s="455" t="s">
        <v>4913</v>
      </c>
      <c r="I335" s="455" t="s">
        <v>4913</v>
      </c>
      <c r="J335" s="455" t="s">
        <v>4913</v>
      </c>
      <c r="K335" s="455" t="s">
        <v>4913</v>
      </c>
      <c r="L335" s="455" t="s">
        <v>4913</v>
      </c>
      <c r="M335" s="455" t="s">
        <v>4913</v>
      </c>
      <c r="N335" s="455" t="s">
        <v>4913</v>
      </c>
      <c r="O335" s="455" t="s">
        <v>4913</v>
      </c>
      <c r="P335" s="455" t="s">
        <v>4913</v>
      </c>
      <c r="Q335" s="455" t="s">
        <v>4913</v>
      </c>
      <c r="R335" s="455" t="s">
        <v>4913</v>
      </c>
      <c r="S335" s="455" t="s">
        <v>4913</v>
      </c>
      <c r="T335" s="455" t="s">
        <v>4913</v>
      </c>
      <c r="U335" s="455" t="s">
        <v>4913</v>
      </c>
      <c r="V335" s="455" t="s">
        <v>4913</v>
      </c>
      <c r="W335" s="455" t="s">
        <v>4913</v>
      </c>
      <c r="X335" s="455" t="s">
        <v>4913</v>
      </c>
      <c r="Y335" s="455" t="s">
        <v>4913</v>
      </c>
      <c r="Z335" s="455" t="s">
        <v>4913</v>
      </c>
      <c r="AA335" s="455" t="s">
        <v>4913</v>
      </c>
      <c r="AB335" s="455" t="s">
        <v>4913</v>
      </c>
      <c r="AC335" s="456" t="s">
        <v>1737</v>
      </c>
      <c r="AD335" s="465" t="s">
        <v>12544</v>
      </c>
      <c r="AE335" s="454" t="s">
        <v>12545</v>
      </c>
      <c r="AF335" s="460" t="s">
        <v>13903</v>
      </c>
      <c r="AG335" s="460" t="s">
        <v>13904</v>
      </c>
      <c r="AH335" s="460" t="s">
        <v>13905</v>
      </c>
    </row>
    <row r="336" spans="1:34">
      <c r="A336" s="453" t="s">
        <v>13899</v>
      </c>
      <c r="B336" s="454" t="s">
        <v>13906</v>
      </c>
      <c r="C336" s="454" t="s">
        <v>13901</v>
      </c>
      <c r="D336" s="454" t="s">
        <v>13907</v>
      </c>
      <c r="E336" s="454" t="s">
        <v>1732</v>
      </c>
      <c r="F336" s="456" t="s">
        <v>1736</v>
      </c>
      <c r="G336" s="455" t="s">
        <v>4913</v>
      </c>
      <c r="H336" s="455" t="s">
        <v>4913</v>
      </c>
      <c r="I336" s="455" t="s">
        <v>4913</v>
      </c>
      <c r="J336" s="455" t="s">
        <v>4913</v>
      </c>
      <c r="K336" s="455" t="s">
        <v>4913</v>
      </c>
      <c r="L336" s="455" t="s">
        <v>4913</v>
      </c>
      <c r="M336" s="455" t="s">
        <v>4913</v>
      </c>
      <c r="N336" s="455" t="s">
        <v>4913</v>
      </c>
      <c r="O336" s="455" t="s">
        <v>4913</v>
      </c>
      <c r="P336" s="455" t="s">
        <v>4913</v>
      </c>
      <c r="Q336" s="455" t="s">
        <v>4913</v>
      </c>
      <c r="R336" s="455" t="s">
        <v>4913</v>
      </c>
      <c r="S336" s="455" t="s">
        <v>4913</v>
      </c>
      <c r="T336" s="455" t="s">
        <v>4913</v>
      </c>
      <c r="U336" s="455" t="s">
        <v>4913</v>
      </c>
      <c r="V336" s="455" t="s">
        <v>4913</v>
      </c>
      <c r="W336" s="455" t="s">
        <v>4913</v>
      </c>
      <c r="X336" s="455" t="s">
        <v>4913</v>
      </c>
      <c r="Y336" s="455" t="s">
        <v>4913</v>
      </c>
      <c r="Z336" s="455" t="s">
        <v>4913</v>
      </c>
      <c r="AA336" s="455" t="s">
        <v>4913</v>
      </c>
      <c r="AB336" s="455" t="s">
        <v>4913</v>
      </c>
      <c r="AC336" s="456" t="s">
        <v>1737</v>
      </c>
      <c r="AD336" s="465" t="s">
        <v>12544</v>
      </c>
      <c r="AE336" s="454" t="s">
        <v>12545</v>
      </c>
      <c r="AF336" s="460" t="s">
        <v>13903</v>
      </c>
      <c r="AG336" s="460" t="s">
        <v>13904</v>
      </c>
      <c r="AH336" s="460" t="s">
        <v>13905</v>
      </c>
    </row>
    <row r="337" spans="1:34">
      <c r="A337" s="453" t="s">
        <v>13908</v>
      </c>
      <c r="B337" s="454" t="s">
        <v>13909</v>
      </c>
      <c r="C337" s="454" t="s">
        <v>13910</v>
      </c>
      <c r="D337" s="454" t="s">
        <v>13911</v>
      </c>
      <c r="E337" s="454" t="s">
        <v>1732</v>
      </c>
      <c r="F337" s="456" t="s">
        <v>1736</v>
      </c>
      <c r="G337" s="456" t="s">
        <v>1736</v>
      </c>
      <c r="H337" s="455" t="s">
        <v>4913</v>
      </c>
      <c r="I337" s="455" t="s">
        <v>4913</v>
      </c>
      <c r="J337" s="455" t="s">
        <v>4913</v>
      </c>
      <c r="K337" s="455" t="s">
        <v>4913</v>
      </c>
      <c r="L337" s="455" t="s">
        <v>4913</v>
      </c>
      <c r="M337" s="455" t="s">
        <v>4913</v>
      </c>
      <c r="N337" s="455" t="s">
        <v>4913</v>
      </c>
      <c r="O337" s="455" t="s">
        <v>4913</v>
      </c>
      <c r="P337" s="455" t="s">
        <v>4913</v>
      </c>
      <c r="Q337" s="455" t="s">
        <v>4913</v>
      </c>
      <c r="R337" s="455" t="s">
        <v>4913</v>
      </c>
      <c r="S337" s="455" t="s">
        <v>4913</v>
      </c>
      <c r="T337" s="455" t="s">
        <v>4913</v>
      </c>
      <c r="U337" s="455" t="s">
        <v>4913</v>
      </c>
      <c r="V337" s="455" t="s">
        <v>4913</v>
      </c>
      <c r="W337" s="456" t="s">
        <v>1736</v>
      </c>
      <c r="X337" s="456" t="s">
        <v>1736</v>
      </c>
      <c r="Y337" s="456" t="s">
        <v>1736</v>
      </c>
      <c r="Z337" s="456" t="s">
        <v>1736</v>
      </c>
      <c r="AA337" s="455" t="s">
        <v>4913</v>
      </c>
      <c r="AB337" s="455" t="s">
        <v>4913</v>
      </c>
      <c r="AC337" s="456" t="s">
        <v>1737</v>
      </c>
      <c r="AD337" s="465" t="s">
        <v>12544</v>
      </c>
      <c r="AE337" s="454" t="s">
        <v>13545</v>
      </c>
      <c r="AF337" s="460" t="s">
        <v>13912</v>
      </c>
      <c r="AG337" s="460" t="s">
        <v>13913</v>
      </c>
      <c r="AH337" s="460" t="s">
        <v>13914</v>
      </c>
    </row>
    <row r="338" spans="1:34">
      <c r="A338" s="453" t="s">
        <v>13908</v>
      </c>
      <c r="B338" s="454" t="s">
        <v>13915</v>
      </c>
      <c r="C338" s="454" t="s">
        <v>13910</v>
      </c>
      <c r="D338" s="454" t="s">
        <v>13916</v>
      </c>
      <c r="E338" s="454" t="s">
        <v>1732</v>
      </c>
      <c r="F338" s="456" t="s">
        <v>1736</v>
      </c>
      <c r="G338" s="456" t="s">
        <v>1736</v>
      </c>
      <c r="H338" s="455" t="s">
        <v>4913</v>
      </c>
      <c r="I338" s="455" t="s">
        <v>4913</v>
      </c>
      <c r="J338" s="455" t="s">
        <v>4913</v>
      </c>
      <c r="K338" s="455" t="s">
        <v>4913</v>
      </c>
      <c r="L338" s="455" t="s">
        <v>4913</v>
      </c>
      <c r="M338" s="455" t="s">
        <v>4913</v>
      </c>
      <c r="N338" s="455" t="s">
        <v>4913</v>
      </c>
      <c r="O338" s="455" t="s">
        <v>4913</v>
      </c>
      <c r="P338" s="455" t="s">
        <v>4913</v>
      </c>
      <c r="Q338" s="455" t="s">
        <v>4913</v>
      </c>
      <c r="R338" s="455" t="s">
        <v>4913</v>
      </c>
      <c r="S338" s="455" t="s">
        <v>4913</v>
      </c>
      <c r="T338" s="455" t="s">
        <v>4913</v>
      </c>
      <c r="U338" s="455" t="s">
        <v>4913</v>
      </c>
      <c r="V338" s="455" t="s">
        <v>4913</v>
      </c>
      <c r="W338" s="456" t="s">
        <v>1736</v>
      </c>
      <c r="X338" s="456" t="s">
        <v>1736</v>
      </c>
      <c r="Y338" s="456" t="s">
        <v>1736</v>
      </c>
      <c r="Z338" s="456" t="s">
        <v>1736</v>
      </c>
      <c r="AA338" s="455" t="s">
        <v>4913</v>
      </c>
      <c r="AB338" s="455" t="s">
        <v>4913</v>
      </c>
      <c r="AC338" s="456" t="s">
        <v>1737</v>
      </c>
      <c r="AD338" s="465" t="s">
        <v>12544</v>
      </c>
      <c r="AE338" s="454" t="s">
        <v>13545</v>
      </c>
      <c r="AF338" s="460" t="s">
        <v>13912</v>
      </c>
      <c r="AG338" s="460" t="s">
        <v>13913</v>
      </c>
      <c r="AH338" s="460" t="s">
        <v>13914</v>
      </c>
    </row>
    <row r="339" spans="1:34">
      <c r="A339" s="453" t="s">
        <v>13917</v>
      </c>
      <c r="B339" s="454" t="s">
        <v>13918</v>
      </c>
      <c r="C339" s="454" t="s">
        <v>13919</v>
      </c>
      <c r="D339" s="454" t="s">
        <v>13920</v>
      </c>
      <c r="E339" s="454" t="s">
        <v>1732</v>
      </c>
      <c r="F339" s="456" t="s">
        <v>1736</v>
      </c>
      <c r="G339" s="455" t="s">
        <v>4913</v>
      </c>
      <c r="H339" s="455" t="s">
        <v>4913</v>
      </c>
      <c r="I339" s="455" t="s">
        <v>4913</v>
      </c>
      <c r="J339" s="455" t="s">
        <v>4913</v>
      </c>
      <c r="K339" s="455" t="s">
        <v>4913</v>
      </c>
      <c r="L339" s="455" t="s">
        <v>4913</v>
      </c>
      <c r="M339" s="455" t="s">
        <v>4913</v>
      </c>
      <c r="N339" s="455" t="s">
        <v>4913</v>
      </c>
      <c r="O339" s="455" t="s">
        <v>4913</v>
      </c>
      <c r="P339" s="455" t="s">
        <v>4913</v>
      </c>
      <c r="Q339" s="455" t="s">
        <v>4913</v>
      </c>
      <c r="R339" s="455" t="s">
        <v>4913</v>
      </c>
      <c r="S339" s="455" t="s">
        <v>4913</v>
      </c>
      <c r="T339" s="455" t="s">
        <v>4913</v>
      </c>
      <c r="U339" s="455" t="s">
        <v>4913</v>
      </c>
      <c r="V339" s="455" t="s">
        <v>4913</v>
      </c>
      <c r="W339" s="455" t="s">
        <v>4913</v>
      </c>
      <c r="X339" s="455" t="s">
        <v>4913</v>
      </c>
      <c r="Y339" s="455" t="s">
        <v>4913</v>
      </c>
      <c r="Z339" s="455" t="s">
        <v>4913</v>
      </c>
      <c r="AA339" s="455" t="s">
        <v>4913</v>
      </c>
      <c r="AB339" s="455" t="s">
        <v>4913</v>
      </c>
      <c r="AC339" s="456" t="s">
        <v>1737</v>
      </c>
      <c r="AD339" s="465" t="s">
        <v>12544</v>
      </c>
      <c r="AE339" s="454" t="s">
        <v>12545</v>
      </c>
      <c r="AF339" s="460" t="s">
        <v>13903</v>
      </c>
      <c r="AG339" s="460" t="s">
        <v>13904</v>
      </c>
      <c r="AH339" s="460" t="s">
        <v>13921</v>
      </c>
    </row>
    <row r="340" spans="1:34">
      <c r="A340" s="453" t="s">
        <v>13917</v>
      </c>
      <c r="B340" s="454" t="s">
        <v>13922</v>
      </c>
      <c r="C340" s="454" t="s">
        <v>13919</v>
      </c>
      <c r="D340" s="454" t="s">
        <v>13923</v>
      </c>
      <c r="E340" s="454" t="s">
        <v>1732</v>
      </c>
      <c r="F340" s="456" t="s">
        <v>1736</v>
      </c>
      <c r="G340" s="455" t="s">
        <v>4913</v>
      </c>
      <c r="H340" s="455" t="s">
        <v>4913</v>
      </c>
      <c r="I340" s="455" t="s">
        <v>4913</v>
      </c>
      <c r="J340" s="455" t="s">
        <v>4913</v>
      </c>
      <c r="K340" s="455" t="s">
        <v>4913</v>
      </c>
      <c r="L340" s="455" t="s">
        <v>4913</v>
      </c>
      <c r="M340" s="455" t="s">
        <v>4913</v>
      </c>
      <c r="N340" s="455" t="s">
        <v>4913</v>
      </c>
      <c r="O340" s="455" t="s">
        <v>4913</v>
      </c>
      <c r="P340" s="455" t="s">
        <v>4913</v>
      </c>
      <c r="Q340" s="455" t="s">
        <v>4913</v>
      </c>
      <c r="R340" s="455" t="s">
        <v>4913</v>
      </c>
      <c r="S340" s="455" t="s">
        <v>4913</v>
      </c>
      <c r="T340" s="455" t="s">
        <v>4913</v>
      </c>
      <c r="U340" s="455" t="s">
        <v>4913</v>
      </c>
      <c r="V340" s="455" t="s">
        <v>4913</v>
      </c>
      <c r="W340" s="455" t="s">
        <v>4913</v>
      </c>
      <c r="X340" s="455" t="s">
        <v>4913</v>
      </c>
      <c r="Y340" s="455" t="s">
        <v>4913</v>
      </c>
      <c r="Z340" s="455" t="s">
        <v>4913</v>
      </c>
      <c r="AA340" s="455" t="s">
        <v>4913</v>
      </c>
      <c r="AB340" s="455" t="s">
        <v>4913</v>
      </c>
      <c r="AC340" s="456" t="s">
        <v>1737</v>
      </c>
      <c r="AD340" s="465" t="s">
        <v>12544</v>
      </c>
      <c r="AE340" s="454" t="s">
        <v>12545</v>
      </c>
      <c r="AF340" s="460" t="s">
        <v>13903</v>
      </c>
      <c r="AG340" s="460" t="s">
        <v>13904</v>
      </c>
      <c r="AH340" s="460" t="s">
        <v>13921</v>
      </c>
    </row>
    <row r="341" spans="1:34">
      <c r="A341" s="453" t="s">
        <v>13924</v>
      </c>
      <c r="B341" s="454" t="s">
        <v>13925</v>
      </c>
      <c r="C341" s="454" t="s">
        <v>13926</v>
      </c>
      <c r="D341" s="454" t="s">
        <v>13927</v>
      </c>
      <c r="E341" s="454" t="s">
        <v>1732</v>
      </c>
      <c r="F341" s="456" t="s">
        <v>1736</v>
      </c>
      <c r="G341" s="455" t="s">
        <v>4913</v>
      </c>
      <c r="H341" s="455" t="s">
        <v>4913</v>
      </c>
      <c r="I341" s="455" t="s">
        <v>4913</v>
      </c>
      <c r="J341" s="455" t="s">
        <v>4913</v>
      </c>
      <c r="K341" s="455" t="s">
        <v>4913</v>
      </c>
      <c r="L341" s="455" t="s">
        <v>4913</v>
      </c>
      <c r="M341" s="455" t="s">
        <v>4913</v>
      </c>
      <c r="N341" s="455" t="s">
        <v>4913</v>
      </c>
      <c r="O341" s="455" t="s">
        <v>4913</v>
      </c>
      <c r="P341" s="455" t="s">
        <v>4913</v>
      </c>
      <c r="Q341" s="455" t="s">
        <v>4913</v>
      </c>
      <c r="R341" s="455" t="s">
        <v>4913</v>
      </c>
      <c r="S341" s="455" t="s">
        <v>4913</v>
      </c>
      <c r="T341" s="455" t="s">
        <v>4913</v>
      </c>
      <c r="U341" s="455" t="s">
        <v>4913</v>
      </c>
      <c r="V341" s="455" t="s">
        <v>4913</v>
      </c>
      <c r="W341" s="455" t="s">
        <v>4913</v>
      </c>
      <c r="X341" s="455" t="s">
        <v>4913</v>
      </c>
      <c r="Y341" s="455" t="s">
        <v>4913</v>
      </c>
      <c r="Z341" s="455" t="s">
        <v>4913</v>
      </c>
      <c r="AA341" s="455" t="s">
        <v>4913</v>
      </c>
      <c r="AB341" s="455" t="s">
        <v>4913</v>
      </c>
      <c r="AC341" s="456" t="s">
        <v>1737</v>
      </c>
      <c r="AD341" s="465" t="s">
        <v>12544</v>
      </c>
      <c r="AE341" s="454" t="s">
        <v>12545</v>
      </c>
      <c r="AF341" s="454" t="s">
        <v>13928</v>
      </c>
      <c r="AG341" s="460" t="s">
        <v>12603</v>
      </c>
      <c r="AH341" s="460" t="s">
        <v>13929</v>
      </c>
    </row>
    <row r="342" spans="1:34">
      <c r="A342" s="453" t="s">
        <v>13924</v>
      </c>
      <c r="B342" s="454" t="s">
        <v>13930</v>
      </c>
      <c r="C342" s="454" t="s">
        <v>13926</v>
      </c>
      <c r="D342" s="454" t="s">
        <v>13931</v>
      </c>
      <c r="E342" s="454" t="s">
        <v>1743</v>
      </c>
      <c r="F342" s="456" t="s">
        <v>1736</v>
      </c>
      <c r="G342" s="455" t="s">
        <v>4913</v>
      </c>
      <c r="H342" s="455" t="s">
        <v>4913</v>
      </c>
      <c r="I342" s="455" t="s">
        <v>4913</v>
      </c>
      <c r="J342" s="455" t="s">
        <v>4913</v>
      </c>
      <c r="K342" s="455" t="s">
        <v>4913</v>
      </c>
      <c r="L342" s="455" t="s">
        <v>4913</v>
      </c>
      <c r="M342" s="455" t="s">
        <v>4913</v>
      </c>
      <c r="N342" s="455" t="s">
        <v>4913</v>
      </c>
      <c r="O342" s="455" t="s">
        <v>4913</v>
      </c>
      <c r="P342" s="455" t="s">
        <v>4913</v>
      </c>
      <c r="Q342" s="455" t="s">
        <v>4913</v>
      </c>
      <c r="R342" s="455" t="s">
        <v>4913</v>
      </c>
      <c r="S342" s="455" t="s">
        <v>4913</v>
      </c>
      <c r="T342" s="455" t="s">
        <v>4913</v>
      </c>
      <c r="U342" s="455" t="s">
        <v>4913</v>
      </c>
      <c r="V342" s="455" t="s">
        <v>4913</v>
      </c>
      <c r="W342" s="455" t="s">
        <v>4913</v>
      </c>
      <c r="X342" s="455" t="s">
        <v>4913</v>
      </c>
      <c r="Y342" s="455" t="s">
        <v>4913</v>
      </c>
      <c r="Z342" s="455" t="s">
        <v>4913</v>
      </c>
      <c r="AA342" s="455" t="s">
        <v>4913</v>
      </c>
      <c r="AB342" s="455" t="s">
        <v>4913</v>
      </c>
      <c r="AC342" s="456" t="s">
        <v>1737</v>
      </c>
      <c r="AD342" s="465" t="s">
        <v>12544</v>
      </c>
      <c r="AE342" s="454" t="s">
        <v>12545</v>
      </c>
      <c r="AF342" s="454" t="s">
        <v>13932</v>
      </c>
      <c r="AG342" s="460" t="s">
        <v>13518</v>
      </c>
      <c r="AH342" s="460" t="s">
        <v>13933</v>
      </c>
    </row>
    <row r="343" spans="1:34">
      <c r="A343" s="453" t="s">
        <v>13924</v>
      </c>
      <c r="B343" s="454" t="s">
        <v>13934</v>
      </c>
      <c r="C343" s="454" t="s">
        <v>13926</v>
      </c>
      <c r="D343" s="454" t="s">
        <v>13935</v>
      </c>
      <c r="E343" s="454" t="s">
        <v>1743</v>
      </c>
      <c r="F343" s="456" t="s">
        <v>1736</v>
      </c>
      <c r="G343" s="455" t="s">
        <v>4913</v>
      </c>
      <c r="H343" s="455" t="s">
        <v>4913</v>
      </c>
      <c r="I343" s="455" t="s">
        <v>4913</v>
      </c>
      <c r="J343" s="455" t="s">
        <v>4913</v>
      </c>
      <c r="K343" s="455" t="s">
        <v>4913</v>
      </c>
      <c r="L343" s="455" t="s">
        <v>4913</v>
      </c>
      <c r="M343" s="455" t="s">
        <v>4913</v>
      </c>
      <c r="N343" s="455" t="s">
        <v>4913</v>
      </c>
      <c r="O343" s="455" t="s">
        <v>4913</v>
      </c>
      <c r="P343" s="455" t="s">
        <v>4913</v>
      </c>
      <c r="Q343" s="455" t="s">
        <v>4913</v>
      </c>
      <c r="R343" s="455" t="s">
        <v>4913</v>
      </c>
      <c r="S343" s="455" t="s">
        <v>4913</v>
      </c>
      <c r="T343" s="455" t="s">
        <v>4913</v>
      </c>
      <c r="U343" s="455" t="s">
        <v>4913</v>
      </c>
      <c r="V343" s="455" t="s">
        <v>4913</v>
      </c>
      <c r="W343" s="455" t="s">
        <v>4913</v>
      </c>
      <c r="X343" s="455" t="s">
        <v>4913</v>
      </c>
      <c r="Y343" s="455" t="s">
        <v>4913</v>
      </c>
      <c r="Z343" s="455" t="s">
        <v>4913</v>
      </c>
      <c r="AA343" s="455" t="s">
        <v>4913</v>
      </c>
      <c r="AB343" s="455" t="s">
        <v>4913</v>
      </c>
      <c r="AC343" s="456" t="s">
        <v>1737</v>
      </c>
      <c r="AD343" s="465" t="s">
        <v>12544</v>
      </c>
      <c r="AE343" s="454" t="s">
        <v>12545</v>
      </c>
      <c r="AF343" s="454" t="s">
        <v>13932</v>
      </c>
      <c r="AG343" s="462">
        <v>44652</v>
      </c>
      <c r="AH343" s="460" t="s">
        <v>13936</v>
      </c>
    </row>
    <row r="344" spans="1:34">
      <c r="A344" s="453" t="s">
        <v>13937</v>
      </c>
      <c r="B344" s="454" t="s">
        <v>13938</v>
      </c>
      <c r="C344" s="454" t="s">
        <v>13939</v>
      </c>
      <c r="D344" s="454" t="s">
        <v>13940</v>
      </c>
      <c r="E344" s="454" t="s">
        <v>1732</v>
      </c>
      <c r="F344" s="456" t="s">
        <v>1736</v>
      </c>
      <c r="G344" s="456" t="s">
        <v>1736</v>
      </c>
      <c r="H344" s="455" t="s">
        <v>4913</v>
      </c>
      <c r="I344" s="455" t="s">
        <v>4913</v>
      </c>
      <c r="J344" s="455" t="s">
        <v>4913</v>
      </c>
      <c r="K344" s="455" t="s">
        <v>4913</v>
      </c>
      <c r="L344" s="455" t="s">
        <v>4913</v>
      </c>
      <c r="M344" s="455" t="s">
        <v>4913</v>
      </c>
      <c r="N344" s="455" t="s">
        <v>4913</v>
      </c>
      <c r="O344" s="456" t="s">
        <v>1736</v>
      </c>
      <c r="P344" s="455" t="s">
        <v>4913</v>
      </c>
      <c r="Q344" s="455" t="s">
        <v>4913</v>
      </c>
      <c r="R344" s="455" t="s">
        <v>4913</v>
      </c>
      <c r="S344" s="455" t="s">
        <v>4913</v>
      </c>
      <c r="T344" s="455" t="s">
        <v>4913</v>
      </c>
      <c r="U344" s="455" t="s">
        <v>4913</v>
      </c>
      <c r="V344" s="455" t="s">
        <v>4913</v>
      </c>
      <c r="W344" s="456" t="s">
        <v>1736</v>
      </c>
      <c r="X344" s="456" t="s">
        <v>1736</v>
      </c>
      <c r="Y344" s="456" t="s">
        <v>1736</v>
      </c>
      <c r="Z344" s="456" t="s">
        <v>1736</v>
      </c>
      <c r="AA344" s="455" t="s">
        <v>4913</v>
      </c>
      <c r="AB344" s="455" t="s">
        <v>4913</v>
      </c>
      <c r="AC344" s="456" t="s">
        <v>1737</v>
      </c>
      <c r="AD344" s="465" t="s">
        <v>12544</v>
      </c>
      <c r="AE344" s="454" t="s">
        <v>13941</v>
      </c>
      <c r="AF344" s="460" t="s">
        <v>13942</v>
      </c>
      <c r="AG344" s="460" t="s">
        <v>13440</v>
      </c>
      <c r="AH344" s="460" t="s">
        <v>13943</v>
      </c>
    </row>
  </sheetData>
  <mergeCells count="1">
    <mergeCell ref="F1:AB1"/>
  </mergeCells>
  <hyperlinks>
    <hyperlink ref="D2" r:id="rId1" xr:uid="{00000000-0004-0000-1200-000000000000}"/>
  </hyperlinks>
  <pageMargins left="0" right="0" top="0" bottom="0" header="0" footer="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CI1000"/>
  <sheetViews>
    <sheetView workbookViewId="0">
      <pane xSplit="2" ySplit="2" topLeftCell="C3" activePane="bottomRight" state="frozen"/>
      <selection pane="bottomRight" activeCell="C3" sqref="C3"/>
      <selection pane="bottomLeft" activeCell="A3" sqref="A3"/>
      <selection pane="topRight" activeCell="C1" sqref="C1"/>
    </sheetView>
  </sheetViews>
  <sheetFormatPr defaultColWidth="12.5703125" defaultRowHeight="15.75" customHeight="1"/>
  <cols>
    <col min="1" max="1" width="24.42578125" customWidth="1"/>
    <col min="2" max="87" width="7.5703125" customWidth="1"/>
  </cols>
  <sheetData>
    <row r="1" spans="1:87">
      <c r="A1" s="466" t="s">
        <v>13944</v>
      </c>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
      <c r="BK1" s="4"/>
      <c r="BL1" s="4"/>
      <c r="BM1" s="4"/>
      <c r="BN1" s="4"/>
      <c r="BO1" s="4"/>
      <c r="BP1" s="4"/>
      <c r="BQ1" s="4"/>
      <c r="BR1" s="4"/>
      <c r="BS1" s="4"/>
      <c r="BT1" s="4"/>
      <c r="BU1" s="4"/>
      <c r="BV1" s="4"/>
      <c r="BW1" s="4"/>
      <c r="BX1" s="4"/>
      <c r="BY1" s="4"/>
      <c r="BZ1" s="4"/>
      <c r="CA1" s="4"/>
      <c r="CB1" s="4"/>
      <c r="CC1" s="4"/>
      <c r="CD1" s="4"/>
      <c r="CE1" s="4"/>
      <c r="CF1" s="4"/>
      <c r="CG1" s="4"/>
      <c r="CH1" s="4"/>
      <c r="CI1" s="4"/>
    </row>
    <row r="2" spans="1:87">
      <c r="A2" s="4"/>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row>
    <row r="3" spans="1:87">
      <c r="A3" s="467" t="s">
        <v>13945</v>
      </c>
      <c r="B3" s="4"/>
      <c r="C3" s="468">
        <v>44914</v>
      </c>
      <c r="D3" s="468">
        <f t="shared" ref="D3:H3" si="0">C3+1</f>
        <v>44915</v>
      </c>
      <c r="E3" s="468">
        <f t="shared" si="0"/>
        <v>44916</v>
      </c>
      <c r="F3" s="468">
        <f t="shared" si="0"/>
        <v>44917</v>
      </c>
      <c r="G3" s="468">
        <f t="shared" si="0"/>
        <v>44918</v>
      </c>
      <c r="H3" s="468">
        <f t="shared" si="0"/>
        <v>44919</v>
      </c>
      <c r="I3" s="468">
        <f>H3+2</f>
        <v>44921</v>
      </c>
      <c r="J3" s="468">
        <f t="shared" ref="J3:N3" si="1">I3+1</f>
        <v>44922</v>
      </c>
      <c r="K3" s="468">
        <f t="shared" si="1"/>
        <v>44923</v>
      </c>
      <c r="L3" s="468">
        <f t="shared" si="1"/>
        <v>44924</v>
      </c>
      <c r="M3" s="468">
        <f t="shared" si="1"/>
        <v>44925</v>
      </c>
      <c r="N3" s="468">
        <f t="shared" si="1"/>
        <v>44926</v>
      </c>
      <c r="O3" s="468">
        <f>N3+2</f>
        <v>44928</v>
      </c>
      <c r="P3" s="468">
        <f t="shared" ref="P3:T3" si="2">O3+1</f>
        <v>44929</v>
      </c>
      <c r="Q3" s="468">
        <f t="shared" si="2"/>
        <v>44930</v>
      </c>
      <c r="R3" s="468">
        <f t="shared" si="2"/>
        <v>44931</v>
      </c>
      <c r="S3" s="468">
        <f t="shared" si="2"/>
        <v>44932</v>
      </c>
      <c r="T3" s="468">
        <f t="shared" si="2"/>
        <v>44933</v>
      </c>
      <c r="U3" s="468">
        <f>T3+2</f>
        <v>44935</v>
      </c>
      <c r="V3" s="468">
        <f t="shared" ref="V3:Z3" si="3">U3+1</f>
        <v>44936</v>
      </c>
      <c r="W3" s="468">
        <f t="shared" si="3"/>
        <v>44937</v>
      </c>
      <c r="X3" s="468">
        <f t="shared" si="3"/>
        <v>44938</v>
      </c>
      <c r="Y3" s="468">
        <f t="shared" si="3"/>
        <v>44939</v>
      </c>
      <c r="Z3" s="468">
        <f t="shared" si="3"/>
        <v>44940</v>
      </c>
      <c r="AA3" s="468">
        <f>Z3+2</f>
        <v>44942</v>
      </c>
      <c r="AB3" s="468">
        <f t="shared" ref="AB3:AF3" si="4">AA3+1</f>
        <v>44943</v>
      </c>
      <c r="AC3" s="468">
        <f t="shared" si="4"/>
        <v>44944</v>
      </c>
      <c r="AD3" s="468">
        <f t="shared" si="4"/>
        <v>44945</v>
      </c>
      <c r="AE3" s="468">
        <f t="shared" si="4"/>
        <v>44946</v>
      </c>
      <c r="AF3" s="468">
        <f t="shared" si="4"/>
        <v>44947</v>
      </c>
      <c r="AG3" s="468">
        <f>AF3+2</f>
        <v>44949</v>
      </c>
      <c r="AH3" s="468">
        <f t="shared" ref="AH3:AL3" si="5">AG3+1</f>
        <v>44950</v>
      </c>
      <c r="AI3" s="468">
        <f t="shared" si="5"/>
        <v>44951</v>
      </c>
      <c r="AJ3" s="468">
        <f t="shared" si="5"/>
        <v>44952</v>
      </c>
      <c r="AK3" s="468">
        <f t="shared" si="5"/>
        <v>44953</v>
      </c>
      <c r="AL3" s="468">
        <f t="shared" si="5"/>
        <v>44954</v>
      </c>
      <c r="AM3" s="468">
        <f>AL3+2</f>
        <v>44956</v>
      </c>
      <c r="AN3" s="468">
        <f t="shared" ref="AN3:AQ3" si="6">AM3+1</f>
        <v>44957</v>
      </c>
      <c r="AO3" s="468">
        <f t="shared" si="6"/>
        <v>44958</v>
      </c>
      <c r="AP3" s="468">
        <f t="shared" si="6"/>
        <v>44959</v>
      </c>
      <c r="AQ3" s="468">
        <f t="shared" si="6"/>
        <v>44960</v>
      </c>
      <c r="AR3" s="468">
        <f>AQ3+2</f>
        <v>44962</v>
      </c>
      <c r="AS3" s="468">
        <f t="shared" ref="AS3:AW3" si="7">AR3+1</f>
        <v>44963</v>
      </c>
      <c r="AT3" s="468">
        <f t="shared" si="7"/>
        <v>44964</v>
      </c>
      <c r="AU3" s="468">
        <f t="shared" si="7"/>
        <v>44965</v>
      </c>
      <c r="AV3" s="468">
        <f t="shared" si="7"/>
        <v>44966</v>
      </c>
      <c r="AW3" s="468">
        <f t="shared" si="7"/>
        <v>44967</v>
      </c>
      <c r="AX3" s="468">
        <f>AW3+2</f>
        <v>44969</v>
      </c>
      <c r="AY3" s="468">
        <f t="shared" ref="AY3:BC3" si="8">AX3+1</f>
        <v>44970</v>
      </c>
      <c r="AZ3" s="468">
        <f t="shared" si="8"/>
        <v>44971</v>
      </c>
      <c r="BA3" s="468">
        <f t="shared" si="8"/>
        <v>44972</v>
      </c>
      <c r="BB3" s="468">
        <f t="shared" si="8"/>
        <v>44973</v>
      </c>
      <c r="BC3" s="468">
        <f t="shared" si="8"/>
        <v>44974</v>
      </c>
      <c r="BD3" s="468">
        <f>BC3+2</f>
        <v>44976</v>
      </c>
      <c r="BE3" s="468">
        <f t="shared" ref="BE3:BI3" si="9">BD3+1</f>
        <v>44977</v>
      </c>
      <c r="BF3" s="468">
        <f t="shared" si="9"/>
        <v>44978</v>
      </c>
      <c r="BG3" s="468">
        <f t="shared" si="9"/>
        <v>44979</v>
      </c>
      <c r="BH3" s="468">
        <f t="shared" si="9"/>
        <v>44980</v>
      </c>
      <c r="BI3" s="468">
        <f t="shared" si="9"/>
        <v>44981</v>
      </c>
      <c r="BJ3" s="468">
        <f>BI3+2</f>
        <v>44983</v>
      </c>
      <c r="BK3" s="468">
        <f t="shared" ref="BK3:BO3" si="10">BJ3+1</f>
        <v>44984</v>
      </c>
      <c r="BL3" s="468">
        <f t="shared" si="10"/>
        <v>44985</v>
      </c>
      <c r="BM3" s="468">
        <f t="shared" si="10"/>
        <v>44986</v>
      </c>
      <c r="BN3" s="468">
        <f t="shared" si="10"/>
        <v>44987</v>
      </c>
      <c r="BO3" s="468">
        <f t="shared" si="10"/>
        <v>44988</v>
      </c>
      <c r="BP3" s="468">
        <f>BO3+2</f>
        <v>44990</v>
      </c>
      <c r="BQ3" s="468">
        <f t="shared" ref="BQ3:BU3" si="11">BP3+1</f>
        <v>44991</v>
      </c>
      <c r="BR3" s="468">
        <f t="shared" si="11"/>
        <v>44992</v>
      </c>
      <c r="BS3" s="468">
        <f t="shared" si="11"/>
        <v>44993</v>
      </c>
      <c r="BT3" s="468">
        <f t="shared" si="11"/>
        <v>44994</v>
      </c>
      <c r="BU3" s="468">
        <f t="shared" si="11"/>
        <v>44995</v>
      </c>
      <c r="BV3" s="468">
        <f>BU3+2</f>
        <v>44997</v>
      </c>
      <c r="BW3" s="468">
        <f t="shared" ref="BW3:CA3" si="12">BV3+1</f>
        <v>44998</v>
      </c>
      <c r="BX3" s="468">
        <f t="shared" si="12"/>
        <v>44999</v>
      </c>
      <c r="BY3" s="468">
        <f t="shared" si="12"/>
        <v>45000</v>
      </c>
      <c r="BZ3" s="468">
        <f t="shared" si="12"/>
        <v>45001</v>
      </c>
      <c r="CA3" s="468">
        <f t="shared" si="12"/>
        <v>45002</v>
      </c>
      <c r="CB3" s="468">
        <f>CA3+2</f>
        <v>45004</v>
      </c>
      <c r="CC3" s="468">
        <f t="shared" ref="CC3:CG3" si="13">CB3+1</f>
        <v>45005</v>
      </c>
      <c r="CD3" s="468">
        <f t="shared" si="13"/>
        <v>45006</v>
      </c>
      <c r="CE3" s="468">
        <f t="shared" si="13"/>
        <v>45007</v>
      </c>
      <c r="CF3" s="468">
        <f t="shared" si="13"/>
        <v>45008</v>
      </c>
      <c r="CG3" s="468">
        <f t="shared" si="13"/>
        <v>45009</v>
      </c>
      <c r="CH3" s="468">
        <f>CG3+2</f>
        <v>45011</v>
      </c>
      <c r="CI3" s="468">
        <f>CH3+1</f>
        <v>45012</v>
      </c>
    </row>
    <row r="4" spans="1:87">
      <c r="A4" s="573"/>
      <c r="B4" s="574"/>
      <c r="C4" s="574"/>
      <c r="D4" s="574"/>
      <c r="E4" s="574"/>
      <c r="F4" s="574"/>
      <c r="G4" s="574"/>
      <c r="H4" s="575"/>
      <c r="I4" s="574"/>
      <c r="J4" s="574"/>
      <c r="K4" s="574"/>
      <c r="L4" s="574"/>
      <c r="M4" s="574"/>
      <c r="N4" s="575"/>
      <c r="O4" s="574"/>
      <c r="P4" s="574"/>
      <c r="Q4" s="574"/>
      <c r="R4" s="574"/>
      <c r="S4" s="574"/>
      <c r="T4" s="575"/>
      <c r="U4" s="574"/>
      <c r="V4" s="574"/>
      <c r="W4" s="574"/>
      <c r="X4" s="574"/>
      <c r="Y4" s="574"/>
      <c r="Z4" s="575"/>
      <c r="AA4" s="574"/>
      <c r="AB4" s="574"/>
      <c r="AC4" s="574"/>
      <c r="AD4" s="574"/>
      <c r="AE4" s="574"/>
      <c r="AF4" s="575"/>
      <c r="AL4" s="575"/>
      <c r="AR4" s="575"/>
      <c r="AX4" s="575"/>
      <c r="BD4" s="575"/>
      <c r="BJ4" s="575"/>
      <c r="BP4" s="575"/>
      <c r="BV4" s="575"/>
      <c r="CB4" s="575"/>
      <c r="CH4" s="575"/>
    </row>
    <row r="5" spans="1:87">
      <c r="A5" s="469" t="s">
        <v>464</v>
      </c>
      <c r="B5" s="470" t="s">
        <v>13946</v>
      </c>
      <c r="C5" s="576"/>
      <c r="D5" s="576"/>
      <c r="E5" s="576"/>
      <c r="F5" s="576"/>
      <c r="G5" s="576"/>
      <c r="H5" s="471"/>
      <c r="I5" s="36"/>
      <c r="J5" s="36"/>
      <c r="K5" s="36"/>
      <c r="L5" s="36"/>
      <c r="M5" s="36"/>
      <c r="N5" s="471"/>
      <c r="O5" s="36"/>
      <c r="P5" s="36"/>
      <c r="Q5" s="36"/>
      <c r="R5" s="36"/>
      <c r="S5" s="36"/>
      <c r="T5" s="471"/>
      <c r="U5" s="36"/>
      <c r="V5" s="36"/>
      <c r="W5" s="36"/>
      <c r="X5" s="36"/>
      <c r="Y5" s="36"/>
      <c r="Z5" s="471"/>
      <c r="AA5" s="36"/>
      <c r="AB5" s="36"/>
      <c r="AC5" s="36"/>
      <c r="AD5" s="36"/>
      <c r="AE5" s="36"/>
      <c r="AF5" s="471"/>
      <c r="AG5" s="36"/>
      <c r="AH5" s="36"/>
      <c r="AI5" s="36"/>
      <c r="AJ5" s="36"/>
      <c r="AK5" s="36"/>
      <c r="AL5" s="471"/>
      <c r="AM5" s="36"/>
      <c r="AN5" s="36"/>
      <c r="AO5" s="36"/>
      <c r="AP5" s="36"/>
      <c r="AQ5" s="36"/>
      <c r="AR5" s="471"/>
      <c r="AS5" s="36"/>
      <c r="AT5" s="36"/>
      <c r="AU5" s="36"/>
      <c r="AV5" s="36"/>
      <c r="AW5" s="36"/>
      <c r="AX5" s="471"/>
      <c r="AY5" s="36"/>
      <c r="AZ5" s="36"/>
      <c r="BA5" s="36"/>
      <c r="BB5" s="36"/>
      <c r="BC5" s="36"/>
      <c r="BD5" s="471"/>
      <c r="BE5" s="36"/>
      <c r="BF5" s="36"/>
      <c r="BG5" s="36"/>
      <c r="BH5" s="36"/>
      <c r="BI5" s="36"/>
      <c r="BJ5" s="471"/>
      <c r="BK5" s="36"/>
      <c r="BL5" s="36"/>
      <c r="BM5" s="36"/>
      <c r="BN5" s="36"/>
      <c r="BO5" s="36"/>
      <c r="BP5" s="471"/>
      <c r="BQ5" s="36"/>
      <c r="BR5" s="36"/>
      <c r="BS5" s="36"/>
      <c r="BT5" s="36"/>
      <c r="BU5" s="36"/>
      <c r="BV5" s="471"/>
      <c r="BW5" s="36"/>
      <c r="BX5" s="36"/>
      <c r="BY5" s="36"/>
      <c r="BZ5" s="36"/>
      <c r="CA5" s="36"/>
      <c r="CB5" s="471"/>
      <c r="CC5" s="36"/>
      <c r="CD5" s="36"/>
      <c r="CE5" s="36"/>
      <c r="CF5" s="36"/>
      <c r="CG5" s="36"/>
      <c r="CH5" s="471"/>
      <c r="CI5" s="36"/>
    </row>
    <row r="6" spans="1:87">
      <c r="A6" s="472" t="s">
        <v>559</v>
      </c>
      <c r="B6" s="473">
        <v>821968</v>
      </c>
      <c r="C6" s="577"/>
      <c r="D6" s="577"/>
      <c r="E6" s="577"/>
      <c r="F6" s="577"/>
      <c r="G6" s="577"/>
      <c r="H6" s="578"/>
      <c r="I6" s="576" t="s">
        <v>9207</v>
      </c>
      <c r="J6" s="577"/>
      <c r="K6" s="577"/>
      <c r="L6" s="577"/>
      <c r="M6" s="577"/>
      <c r="N6" s="578"/>
      <c r="O6" s="577"/>
      <c r="P6" s="576" t="s">
        <v>9207</v>
      </c>
      <c r="Q6" s="577"/>
      <c r="R6" s="577"/>
      <c r="S6" s="577"/>
      <c r="T6" s="578"/>
      <c r="U6" s="577"/>
      <c r="V6" s="577"/>
      <c r="W6" s="576" t="s">
        <v>9207</v>
      </c>
      <c r="X6" s="577"/>
      <c r="Y6" s="577"/>
      <c r="Z6" s="578"/>
      <c r="AA6" s="577"/>
      <c r="AB6" s="577"/>
      <c r="AC6" s="577"/>
      <c r="AD6" s="576" t="s">
        <v>9207</v>
      </c>
      <c r="AE6" s="36"/>
      <c r="AF6" s="578"/>
      <c r="AG6" s="36"/>
      <c r="AH6" s="36"/>
      <c r="AI6" s="36"/>
      <c r="AJ6" s="36"/>
      <c r="AK6" s="36"/>
      <c r="AL6" s="578"/>
      <c r="AM6" s="36"/>
      <c r="AN6" s="36"/>
      <c r="AO6" s="36"/>
      <c r="AP6" s="36"/>
      <c r="AQ6" s="36"/>
      <c r="AR6" s="578"/>
      <c r="AS6" s="36"/>
      <c r="AT6" s="36"/>
      <c r="AU6" s="36"/>
      <c r="AV6" s="36"/>
      <c r="AW6" s="36"/>
      <c r="AX6" s="578"/>
      <c r="AY6" s="36"/>
      <c r="AZ6" s="36"/>
      <c r="BA6" s="36"/>
      <c r="BB6" s="36"/>
      <c r="BC6" s="36"/>
      <c r="BD6" s="578"/>
      <c r="BE6" s="36"/>
      <c r="BF6" s="36"/>
      <c r="BG6" s="36"/>
      <c r="BH6" s="36"/>
      <c r="BI6" s="36"/>
      <c r="BJ6" s="578"/>
      <c r="BK6" s="36"/>
      <c r="BL6" s="36"/>
      <c r="BM6" s="36"/>
      <c r="BN6" s="36"/>
      <c r="BO6" s="36"/>
      <c r="BP6" s="578"/>
      <c r="BQ6" s="36"/>
      <c r="BR6" s="36"/>
      <c r="BS6" s="36"/>
      <c r="BT6" s="36"/>
      <c r="BU6" s="36"/>
      <c r="BV6" s="578"/>
      <c r="BW6" s="36"/>
      <c r="BX6" s="36"/>
      <c r="BY6" s="36"/>
      <c r="BZ6" s="36"/>
      <c r="CA6" s="36"/>
      <c r="CB6" s="578"/>
      <c r="CC6" s="36"/>
      <c r="CD6" s="36"/>
      <c r="CE6" s="36"/>
      <c r="CF6" s="36"/>
      <c r="CG6" s="36"/>
      <c r="CH6" s="578"/>
      <c r="CI6" s="36"/>
    </row>
    <row r="7" spans="1:87">
      <c r="A7" s="474" t="s">
        <v>13947</v>
      </c>
      <c r="B7" s="475">
        <v>821969</v>
      </c>
      <c r="C7" s="576"/>
      <c r="D7" s="576" t="s">
        <v>9207</v>
      </c>
      <c r="E7" s="106"/>
      <c r="F7" s="576"/>
      <c r="G7" s="106"/>
      <c r="H7" s="471"/>
      <c r="I7" s="36"/>
      <c r="J7" s="36"/>
      <c r="K7" s="576" t="s">
        <v>9207</v>
      </c>
      <c r="L7" s="36"/>
      <c r="M7" s="36"/>
      <c r="N7" s="471"/>
      <c r="O7" s="36"/>
      <c r="P7" s="36"/>
      <c r="Q7" s="36"/>
      <c r="R7" s="576" t="s">
        <v>9207</v>
      </c>
      <c r="S7" s="36"/>
      <c r="T7" s="471"/>
      <c r="U7" s="36"/>
      <c r="V7" s="36"/>
      <c r="W7" s="36"/>
      <c r="X7" s="36"/>
      <c r="Y7" s="36" t="s">
        <v>9207</v>
      </c>
      <c r="Z7" s="471"/>
      <c r="AB7" s="36"/>
      <c r="AC7" s="576" t="s">
        <v>9207</v>
      </c>
      <c r="AD7" s="36"/>
      <c r="AE7" s="36"/>
      <c r="AF7" s="471"/>
      <c r="AG7" s="36"/>
      <c r="AH7" s="36"/>
      <c r="AI7" s="36"/>
      <c r="AJ7" s="36"/>
      <c r="AK7" s="36"/>
      <c r="AL7" s="471"/>
      <c r="AM7" s="36"/>
      <c r="AN7" s="36"/>
      <c r="AO7" s="36"/>
      <c r="AP7" s="36"/>
      <c r="AQ7" s="36"/>
      <c r="AR7" s="471"/>
      <c r="AS7" s="36"/>
      <c r="AT7" s="36"/>
      <c r="AU7" s="36"/>
      <c r="AV7" s="36"/>
      <c r="AW7" s="36"/>
      <c r="AX7" s="471"/>
      <c r="AY7" s="36"/>
      <c r="AZ7" s="36"/>
      <c r="BA7" s="36"/>
      <c r="BB7" s="36"/>
      <c r="BC7" s="36"/>
      <c r="BD7" s="471"/>
      <c r="BE7" s="36"/>
      <c r="BF7" s="36"/>
      <c r="BG7" s="36"/>
      <c r="BH7" s="36"/>
      <c r="BI7" s="36"/>
      <c r="BJ7" s="471"/>
      <c r="BK7" s="36"/>
      <c r="BL7" s="36"/>
      <c r="BM7" s="36"/>
      <c r="BN7" s="36"/>
      <c r="BO7" s="36"/>
      <c r="BP7" s="471"/>
      <c r="BQ7" s="36"/>
      <c r="BR7" s="36"/>
      <c r="BS7" s="36"/>
      <c r="BT7" s="36"/>
      <c r="BU7" s="36"/>
      <c r="BV7" s="471"/>
      <c r="BW7" s="36"/>
      <c r="BX7" s="36"/>
      <c r="BY7" s="36"/>
      <c r="BZ7" s="36"/>
      <c r="CA7" s="36"/>
      <c r="CB7" s="471"/>
      <c r="CC7" s="36"/>
      <c r="CD7" s="36"/>
      <c r="CE7" s="36"/>
      <c r="CF7" s="36"/>
      <c r="CG7" s="36"/>
      <c r="CH7" s="471"/>
      <c r="CI7" s="36"/>
    </row>
    <row r="8" spans="1:87">
      <c r="A8" s="472" t="s">
        <v>13948</v>
      </c>
      <c r="B8" s="473">
        <v>821970</v>
      </c>
      <c r="C8" s="577"/>
      <c r="D8" s="577"/>
      <c r="E8" s="577"/>
      <c r="F8" s="577"/>
      <c r="G8" s="577"/>
      <c r="H8" s="578"/>
      <c r="I8" s="577"/>
      <c r="J8" s="576" t="s">
        <v>9207</v>
      </c>
      <c r="K8" s="577"/>
      <c r="L8" s="577"/>
      <c r="M8" s="577"/>
      <c r="N8" s="578"/>
      <c r="O8" s="577"/>
      <c r="P8" s="577"/>
      <c r="Q8" s="576" t="s">
        <v>9207</v>
      </c>
      <c r="R8" s="577"/>
      <c r="S8" s="577"/>
      <c r="T8" s="578"/>
      <c r="U8" s="577"/>
      <c r="V8" s="577"/>
      <c r="W8" s="577"/>
      <c r="X8" s="576" t="s">
        <v>9207</v>
      </c>
      <c r="Y8" s="577"/>
      <c r="Z8" s="578"/>
      <c r="AA8" s="577"/>
      <c r="AB8" s="577"/>
      <c r="AC8" s="577"/>
      <c r="AD8" s="36"/>
      <c r="AE8" s="576" t="s">
        <v>9207</v>
      </c>
      <c r="AF8" s="578"/>
      <c r="AG8" s="36"/>
      <c r="AH8" s="36"/>
      <c r="AI8" s="36"/>
      <c r="AJ8" s="36"/>
      <c r="AK8" s="36"/>
      <c r="AL8" s="578"/>
      <c r="AM8" s="576" t="s">
        <v>9207</v>
      </c>
      <c r="AN8" s="36"/>
      <c r="AO8" s="36"/>
      <c r="AP8" s="36"/>
      <c r="AQ8" s="36"/>
      <c r="AR8" s="578"/>
      <c r="AS8" s="36"/>
      <c r="AT8" s="576" t="s">
        <v>9207</v>
      </c>
      <c r="AU8" s="36"/>
      <c r="AV8" s="36"/>
      <c r="AW8" s="36"/>
      <c r="AX8" s="578"/>
      <c r="AY8" s="36"/>
      <c r="AZ8" s="36"/>
      <c r="BA8" s="576" t="s">
        <v>9207</v>
      </c>
      <c r="BB8" s="36"/>
      <c r="BC8" s="36"/>
      <c r="BD8" s="578"/>
      <c r="BE8" s="36"/>
      <c r="BF8" s="36"/>
      <c r="BG8" s="36"/>
      <c r="BH8" s="576" t="s">
        <v>9207</v>
      </c>
      <c r="BI8" s="36"/>
      <c r="BJ8" s="578"/>
      <c r="BK8" s="36"/>
      <c r="BL8" s="36"/>
      <c r="BM8" s="36"/>
      <c r="BN8" s="36"/>
      <c r="BO8" s="576" t="s">
        <v>9207</v>
      </c>
      <c r="BP8" s="578"/>
      <c r="BQ8" s="36"/>
      <c r="BR8" s="36"/>
      <c r="BS8" s="36"/>
      <c r="BT8" s="36"/>
      <c r="BU8" s="36"/>
      <c r="BV8" s="578"/>
      <c r="BW8" s="576" t="s">
        <v>9207</v>
      </c>
      <c r="BX8" s="36"/>
      <c r="BY8" s="36"/>
      <c r="BZ8" s="36"/>
      <c r="CA8" s="36"/>
      <c r="CB8" s="578"/>
      <c r="CC8" s="36"/>
      <c r="CD8" s="576" t="s">
        <v>9207</v>
      </c>
      <c r="CE8" s="36"/>
      <c r="CF8" s="36"/>
      <c r="CG8" s="36"/>
      <c r="CH8" s="578"/>
      <c r="CI8" s="36"/>
    </row>
    <row r="9" spans="1:87">
      <c r="A9" s="474" t="s">
        <v>13949</v>
      </c>
      <c r="B9" s="475">
        <v>821971</v>
      </c>
      <c r="C9" s="576"/>
      <c r="D9" s="576"/>
      <c r="E9" s="576" t="s">
        <v>9207</v>
      </c>
      <c r="F9" s="576"/>
      <c r="G9" s="106"/>
      <c r="H9" s="471"/>
      <c r="I9" s="36"/>
      <c r="J9" s="36"/>
      <c r="K9" s="36"/>
      <c r="L9" s="576" t="s">
        <v>9207</v>
      </c>
      <c r="M9" s="36"/>
      <c r="N9" s="471"/>
      <c r="O9" s="36"/>
      <c r="P9" s="36"/>
      <c r="Q9" s="36"/>
      <c r="R9" s="36"/>
      <c r="S9" s="576" t="s">
        <v>9207</v>
      </c>
      <c r="T9" s="471"/>
      <c r="U9" s="576"/>
      <c r="V9" s="36"/>
      <c r="W9" s="36"/>
      <c r="X9" s="36"/>
      <c r="Y9" s="36"/>
      <c r="Z9" s="471"/>
      <c r="AA9" s="576" t="s">
        <v>9207</v>
      </c>
      <c r="AB9" s="36"/>
      <c r="AC9" s="36"/>
      <c r="AD9" s="36"/>
      <c r="AE9" s="36"/>
      <c r="AF9" s="471"/>
      <c r="AG9" s="36"/>
      <c r="AH9" s="576" t="s">
        <v>9207</v>
      </c>
      <c r="AI9" s="36"/>
      <c r="AJ9" s="36"/>
      <c r="AK9" s="36"/>
      <c r="AL9" s="471"/>
      <c r="AM9" s="36"/>
      <c r="AN9" s="36"/>
      <c r="AO9" s="576" t="s">
        <v>9207</v>
      </c>
      <c r="AP9" s="36"/>
      <c r="AQ9" s="36"/>
      <c r="AR9" s="471"/>
      <c r="AS9" s="36"/>
      <c r="AT9" s="36"/>
      <c r="AU9" s="36"/>
      <c r="AV9" s="576" t="s">
        <v>9207</v>
      </c>
      <c r="AW9" s="36"/>
      <c r="AX9" s="471"/>
      <c r="AY9" s="36"/>
      <c r="AZ9" s="36"/>
      <c r="BA9" s="36"/>
      <c r="BB9" s="36"/>
      <c r="BC9" s="576" t="s">
        <v>9207</v>
      </c>
      <c r="BD9" s="471"/>
      <c r="BE9" s="576" t="s">
        <v>9207</v>
      </c>
      <c r="BF9" s="36"/>
      <c r="BG9" s="36"/>
      <c r="BH9" s="36"/>
      <c r="BI9" s="36"/>
      <c r="BJ9" s="471"/>
      <c r="BK9" s="36"/>
      <c r="BL9" s="576" t="s">
        <v>9207</v>
      </c>
      <c r="BM9" s="36"/>
      <c r="BN9" s="36"/>
      <c r="BO9" s="36"/>
      <c r="BP9" s="471"/>
      <c r="BQ9" s="36"/>
      <c r="BR9" s="36"/>
      <c r="BS9" s="576" t="s">
        <v>9207</v>
      </c>
      <c r="BT9" s="36"/>
      <c r="BU9" s="36"/>
      <c r="BV9" s="471"/>
      <c r="BW9" s="36"/>
      <c r="BX9" s="36"/>
      <c r="BY9" s="36"/>
      <c r="BZ9" s="576" t="s">
        <v>9207</v>
      </c>
      <c r="CA9" s="36"/>
      <c r="CB9" s="471"/>
      <c r="CC9" s="36"/>
      <c r="CD9" s="36"/>
      <c r="CE9" s="36"/>
      <c r="CF9" s="36"/>
      <c r="CG9" s="576" t="s">
        <v>9207</v>
      </c>
      <c r="CH9" s="471"/>
      <c r="CI9" s="576" t="s">
        <v>9207</v>
      </c>
    </row>
    <row r="10" spans="1:87">
      <c r="A10" s="472" t="s">
        <v>561</v>
      </c>
      <c r="B10" s="473">
        <v>821972</v>
      </c>
      <c r="C10" s="577"/>
      <c r="D10" s="577"/>
      <c r="E10" s="577"/>
      <c r="F10" s="576" t="s">
        <v>9207</v>
      </c>
      <c r="G10" s="577"/>
      <c r="H10" s="578"/>
      <c r="I10" s="577"/>
      <c r="J10" s="577"/>
      <c r="K10" s="577"/>
      <c r="L10" s="577"/>
      <c r="M10" s="576" t="s">
        <v>9207</v>
      </c>
      <c r="N10" s="578"/>
      <c r="O10" s="577"/>
      <c r="P10" s="577"/>
      <c r="Q10" s="577"/>
      <c r="R10" s="577"/>
      <c r="S10" s="577"/>
      <c r="T10" s="578"/>
      <c r="U10" s="576" t="s">
        <v>9207</v>
      </c>
      <c r="V10" s="577"/>
      <c r="W10" s="577"/>
      <c r="X10" s="577"/>
      <c r="Y10" s="577"/>
      <c r="Z10" s="578"/>
      <c r="AA10" s="577"/>
      <c r="AB10" s="576" t="s">
        <v>9207</v>
      </c>
      <c r="AC10" s="577"/>
      <c r="AD10" s="36"/>
      <c r="AE10" s="36"/>
      <c r="AF10" s="578"/>
      <c r="AG10" s="36"/>
      <c r="AH10" s="36"/>
      <c r="AI10" s="576" t="s">
        <v>9207</v>
      </c>
      <c r="AJ10" s="36"/>
      <c r="AK10" s="36"/>
      <c r="AL10" s="578"/>
      <c r="AM10" s="36"/>
      <c r="AN10" s="36"/>
      <c r="AO10" s="36"/>
      <c r="AP10" s="576" t="s">
        <v>9207</v>
      </c>
      <c r="AQ10" s="36"/>
      <c r="AR10" s="578"/>
      <c r="AS10" s="36"/>
      <c r="AT10" s="36"/>
      <c r="AU10" s="36"/>
      <c r="AV10" s="36"/>
      <c r="AW10" s="576" t="s">
        <v>9207</v>
      </c>
      <c r="AX10" s="578"/>
      <c r="AY10" s="576" t="s">
        <v>9207</v>
      </c>
      <c r="AZ10" s="36"/>
      <c r="BA10" s="36"/>
      <c r="BB10" s="36"/>
      <c r="BC10" s="36"/>
      <c r="BD10" s="578"/>
      <c r="BE10" s="36"/>
      <c r="BF10" s="576" t="s">
        <v>9207</v>
      </c>
      <c r="BG10" s="36"/>
      <c r="BH10" s="36"/>
      <c r="BI10" s="36"/>
      <c r="BJ10" s="578"/>
      <c r="BK10" s="36"/>
      <c r="BL10" s="36"/>
      <c r="BM10" s="576" t="s">
        <v>9207</v>
      </c>
      <c r="BN10" s="36"/>
      <c r="BO10" s="36"/>
      <c r="BP10" s="578"/>
      <c r="BQ10" s="36"/>
      <c r="BR10" s="36"/>
      <c r="BS10" s="36"/>
      <c r="BT10" s="576" t="s">
        <v>9207</v>
      </c>
      <c r="BU10" s="36"/>
      <c r="BV10" s="578"/>
      <c r="BW10" s="36"/>
      <c r="BX10" s="36"/>
      <c r="BY10" s="36"/>
      <c r="BZ10" s="36"/>
      <c r="CA10" s="576" t="s">
        <v>9207</v>
      </c>
      <c r="CB10" s="578"/>
      <c r="CC10" s="576" t="s">
        <v>9207</v>
      </c>
      <c r="CD10" s="36"/>
      <c r="CE10" s="36"/>
      <c r="CF10" s="36"/>
      <c r="CG10" s="36"/>
      <c r="CH10" s="578"/>
      <c r="CI10" s="36"/>
    </row>
    <row r="11" spans="1:87">
      <c r="A11" s="474" t="s">
        <v>13950</v>
      </c>
      <c r="B11" s="475">
        <v>821973</v>
      </c>
      <c r="C11" s="106"/>
      <c r="D11" s="106"/>
      <c r="E11" s="106"/>
      <c r="F11" s="106"/>
      <c r="G11" s="576" t="s">
        <v>9207</v>
      </c>
      <c r="H11" s="471"/>
      <c r="I11" s="36"/>
      <c r="J11" s="36"/>
      <c r="K11" s="36"/>
      <c r="L11" s="36"/>
      <c r="M11" s="36"/>
      <c r="N11" s="471"/>
      <c r="O11" s="576" t="s">
        <v>9207</v>
      </c>
      <c r="P11" s="36"/>
      <c r="Q11" s="36"/>
      <c r="R11" s="36"/>
      <c r="S11" s="36"/>
      <c r="T11" s="471"/>
      <c r="U11" s="36"/>
      <c r="V11" s="576" t="s">
        <v>9207</v>
      </c>
      <c r="W11" s="36"/>
      <c r="X11" s="36"/>
      <c r="Y11" s="36"/>
      <c r="Z11" s="471"/>
      <c r="AA11" s="36"/>
      <c r="AB11" s="36"/>
      <c r="AC11" s="36"/>
      <c r="AD11" s="36"/>
      <c r="AE11" s="36"/>
      <c r="AF11" s="471"/>
      <c r="AG11" s="36"/>
      <c r="AH11" s="36"/>
      <c r="AI11" s="36"/>
      <c r="AJ11" s="36"/>
      <c r="AK11" s="36"/>
      <c r="AL11" s="471"/>
      <c r="AM11" s="36"/>
      <c r="AN11" s="36"/>
      <c r="AO11" s="36"/>
      <c r="AP11" s="36"/>
      <c r="AQ11" s="36"/>
      <c r="AR11" s="471"/>
      <c r="AS11" s="36"/>
      <c r="AT11" s="36"/>
      <c r="AU11" s="36"/>
      <c r="AV11" s="36"/>
      <c r="AW11" s="36"/>
      <c r="AX11" s="471"/>
      <c r="AY11" s="36"/>
      <c r="AZ11" s="36"/>
      <c r="BA11" s="36"/>
      <c r="BB11" s="36"/>
      <c r="BC11" s="36"/>
      <c r="BD11" s="471"/>
      <c r="BE11" s="36"/>
      <c r="BF11" s="36"/>
      <c r="BG11" s="36"/>
      <c r="BH11" s="36"/>
      <c r="BI11" s="36"/>
      <c r="BJ11" s="471"/>
      <c r="BK11" s="36"/>
      <c r="BL11" s="36"/>
      <c r="BM11" s="36"/>
      <c r="BN11" s="36"/>
      <c r="BO11" s="36"/>
      <c r="BP11" s="471"/>
      <c r="BQ11" s="36"/>
      <c r="BR11" s="36"/>
      <c r="BS11" s="36"/>
      <c r="BT11" s="36"/>
      <c r="BU11" s="36"/>
      <c r="BV11" s="471"/>
      <c r="BW11" s="36"/>
      <c r="BX11" s="36"/>
      <c r="BY11" s="36"/>
      <c r="BZ11" s="36"/>
      <c r="CA11" s="36"/>
      <c r="CB11" s="471"/>
      <c r="CC11" s="36"/>
      <c r="CD11" s="36"/>
      <c r="CE11" s="36"/>
      <c r="CF11" s="36"/>
      <c r="CG11" s="36"/>
      <c r="CH11" s="471"/>
      <c r="CI11" s="36"/>
    </row>
    <row r="19" spans="6:7">
      <c r="F19" s="476"/>
      <c r="G19" s="476"/>
    </row>
    <row r="20" spans="6:7">
      <c r="F20" s="476"/>
      <c r="G20" s="476"/>
    </row>
    <row r="21" spans="6:7">
      <c r="F21" s="476"/>
      <c r="G21" s="476"/>
    </row>
    <row r="22" spans="6:7">
      <c r="F22" s="476"/>
      <c r="G22" s="476"/>
    </row>
    <row r="23" spans="6:7">
      <c r="F23" s="476"/>
      <c r="G23" s="476"/>
    </row>
    <row r="24" spans="6:7">
      <c r="F24" s="476"/>
      <c r="G24" s="476"/>
    </row>
    <row r="25" spans="6:7"/>
    <row r="26" spans="6:7"/>
    <row r="27" spans="6:7"/>
    <row r="28" spans="6:7"/>
    <row r="29" spans="6:7"/>
    <row r="30" spans="6:7"/>
    <row r="31" spans="6:7"/>
    <row r="32" spans="6:7"/>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ageMargins left="0.7" right="0.7" top="0.75" bottom="0.75" header="0" footer="0"/>
  <pageSetup orientation="landscape"/>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ECA030-686B-4F2C-AA88-F0BAE50CD5EC}">
  <dimension ref="B1:N40"/>
  <sheetViews>
    <sheetView workbookViewId="0">
      <selection activeCell="C23" sqref="C23"/>
    </sheetView>
  </sheetViews>
  <sheetFormatPr defaultRowHeight="12.75"/>
  <cols>
    <col min="2" max="2" width="79.85546875" bestFit="1" customWidth="1"/>
    <col min="3" max="3" width="19.42578125" bestFit="1" customWidth="1"/>
    <col min="4" max="4" width="24" bestFit="1" customWidth="1"/>
    <col min="5" max="5" width="16.5703125" bestFit="1" customWidth="1"/>
    <col min="10" max="10" width="79.85546875" bestFit="1" customWidth="1"/>
  </cols>
  <sheetData>
    <row r="1" spans="2:10">
      <c r="B1" s="761" t="s">
        <v>13951</v>
      </c>
      <c r="C1" s="761"/>
      <c r="D1" s="761"/>
      <c r="E1" s="762"/>
    </row>
    <row r="2" spans="2:10" ht="44.25" customHeight="1">
      <c r="B2" s="763" t="s">
        <v>13952</v>
      </c>
      <c r="C2" s="764"/>
      <c r="D2" s="764"/>
      <c r="E2" s="765"/>
    </row>
    <row r="3" spans="2:10" ht="16.5">
      <c r="B3" s="601" t="s">
        <v>13953</v>
      </c>
      <c r="C3" s="594" t="s">
        <v>13954</v>
      </c>
      <c r="D3" s="595" t="s">
        <v>13955</v>
      </c>
      <c r="E3" s="594" t="s">
        <v>6</v>
      </c>
      <c r="J3" s="583"/>
    </row>
    <row r="4" spans="2:10" ht="16.5">
      <c r="B4" s="593" t="s">
        <v>13956</v>
      </c>
      <c r="C4" s="596">
        <v>193</v>
      </c>
      <c r="D4" s="596">
        <f>C4-0</f>
        <v>193</v>
      </c>
      <c r="E4" s="597">
        <v>193</v>
      </c>
      <c r="J4" s="583"/>
    </row>
    <row r="5" spans="2:10" ht="16.5">
      <c r="B5" s="593" t="s">
        <v>13957</v>
      </c>
      <c r="C5" s="596">
        <v>1636</v>
      </c>
      <c r="D5" s="596">
        <f>C5-196</f>
        <v>1440</v>
      </c>
      <c r="E5" s="596">
        <v>774</v>
      </c>
      <c r="J5" s="583"/>
    </row>
    <row r="6" spans="2:10" ht="16.5">
      <c r="B6" s="598" t="s">
        <v>13958</v>
      </c>
      <c r="C6" s="596">
        <v>238</v>
      </c>
      <c r="D6" s="596">
        <f>C6-73</f>
        <v>165</v>
      </c>
      <c r="E6" s="596">
        <v>165</v>
      </c>
      <c r="J6" s="583"/>
    </row>
    <row r="7" spans="2:10" ht="16.5">
      <c r="B7" s="593" t="s">
        <v>13959</v>
      </c>
      <c r="C7" s="596">
        <v>224</v>
      </c>
      <c r="D7" s="596">
        <f>C7-0</f>
        <v>224</v>
      </c>
      <c r="E7" s="596">
        <v>224</v>
      </c>
      <c r="J7" s="583"/>
    </row>
    <row r="8" spans="2:10" ht="16.5">
      <c r="B8" s="593" t="s">
        <v>13960</v>
      </c>
      <c r="C8" s="596">
        <v>94</v>
      </c>
      <c r="D8" s="596">
        <f>C8-19</f>
        <v>75</v>
      </c>
      <c r="E8" s="596">
        <v>75</v>
      </c>
      <c r="J8" s="583"/>
    </row>
    <row r="9" spans="2:10" ht="14.25">
      <c r="B9" s="593" t="s">
        <v>13961</v>
      </c>
      <c r="C9" s="596">
        <v>2157</v>
      </c>
      <c r="D9" s="596">
        <f>C9-1580</f>
        <v>577</v>
      </c>
      <c r="E9" s="596">
        <v>577</v>
      </c>
    </row>
    <row r="10" spans="2:10" ht="14.25">
      <c r="B10" s="598" t="s">
        <v>13962</v>
      </c>
      <c r="C10" s="599">
        <v>2773</v>
      </c>
      <c r="D10" s="599">
        <f>C10-1235</f>
        <v>1538</v>
      </c>
      <c r="E10" s="599">
        <v>798</v>
      </c>
    </row>
    <row r="11" spans="2:10" ht="14.25">
      <c r="B11" s="598" t="s">
        <v>446</v>
      </c>
      <c r="C11" s="596">
        <v>753</v>
      </c>
      <c r="D11" s="596">
        <f>C11-204</f>
        <v>549</v>
      </c>
      <c r="E11" s="596">
        <v>535</v>
      </c>
    </row>
    <row r="12" spans="2:10" ht="14.25">
      <c r="B12" s="598" t="s">
        <v>13963</v>
      </c>
      <c r="C12" s="596">
        <v>3120</v>
      </c>
      <c r="D12" s="596">
        <f>C12-450</f>
        <v>2670</v>
      </c>
      <c r="E12" s="596">
        <v>1480</v>
      </c>
    </row>
    <row r="13" spans="2:10" ht="14.25">
      <c r="B13" s="598" t="s">
        <v>13964</v>
      </c>
      <c r="C13" s="596">
        <v>979</v>
      </c>
      <c r="D13" s="596">
        <f>C13-558</f>
        <v>421</v>
      </c>
      <c r="E13" s="596">
        <v>262</v>
      </c>
    </row>
    <row r="14" spans="2:10" ht="15">
      <c r="B14" s="600" t="s">
        <v>13965</v>
      </c>
      <c r="C14" s="600">
        <f>SUM(C4:C5,C6,C7,C9,C10,C11,C12,C13,C8)</f>
        <v>12167</v>
      </c>
      <c r="D14" s="600">
        <f>SUM(D4:D13)</f>
        <v>7852</v>
      </c>
      <c r="E14" s="600">
        <f>SUM(E4:E13)</f>
        <v>5083</v>
      </c>
    </row>
    <row r="15" spans="2:10">
      <c r="B15" s="591"/>
      <c r="C15" s="591"/>
      <c r="D15" s="591"/>
      <c r="E15" s="591"/>
    </row>
    <row r="16" spans="2:10">
      <c r="C16" s="589"/>
      <c r="D16" s="589"/>
      <c r="E16" s="589"/>
    </row>
    <row r="18" spans="2:9">
      <c r="B18" s="761" t="s">
        <v>13966</v>
      </c>
      <c r="C18" s="761"/>
      <c r="D18" s="761"/>
      <c r="E18" s="762"/>
    </row>
    <row r="19" spans="2:9" ht="39.75" customHeight="1">
      <c r="B19" s="763" t="s">
        <v>13952</v>
      </c>
      <c r="C19" s="764"/>
      <c r="D19" s="764"/>
      <c r="E19" s="765"/>
    </row>
    <row r="20" spans="2:9" ht="15">
      <c r="B20" s="604" t="s">
        <v>13953</v>
      </c>
      <c r="C20" s="605" t="s">
        <v>13954</v>
      </c>
      <c r="D20" s="595" t="s">
        <v>13955</v>
      </c>
      <c r="E20" s="594" t="s">
        <v>6</v>
      </c>
    </row>
    <row r="21" spans="2:9" ht="14.25">
      <c r="B21" s="607" t="s">
        <v>13967</v>
      </c>
      <c r="C21" s="592">
        <v>219</v>
      </c>
      <c r="D21" s="602"/>
      <c r="E21" s="597"/>
      <c r="I21" s="590"/>
    </row>
    <row r="22" spans="2:9" ht="14.25">
      <c r="B22" s="607" t="s">
        <v>13968</v>
      </c>
      <c r="C22" s="592">
        <v>2040</v>
      </c>
      <c r="D22" s="602"/>
      <c r="E22" s="596"/>
    </row>
    <row r="23" spans="2:9" ht="14.25">
      <c r="B23" s="607" t="s">
        <v>13969</v>
      </c>
      <c r="C23" s="592">
        <v>94</v>
      </c>
      <c r="D23" s="602"/>
      <c r="E23" s="596"/>
    </row>
    <row r="24" spans="2:9" ht="14.25">
      <c r="B24" s="607" t="s">
        <v>13970</v>
      </c>
      <c r="C24" s="592">
        <v>1073</v>
      </c>
      <c r="D24" s="602"/>
      <c r="E24" s="596"/>
    </row>
    <row r="25" spans="2:9" ht="14.25">
      <c r="B25" s="607" t="s">
        <v>13971</v>
      </c>
      <c r="C25" s="592">
        <v>234</v>
      </c>
      <c r="D25" s="602"/>
      <c r="E25" s="596"/>
    </row>
    <row r="26" spans="2:9" ht="14.25">
      <c r="B26" s="607" t="s">
        <v>13972</v>
      </c>
      <c r="C26" s="592">
        <v>408</v>
      </c>
      <c r="D26" s="602"/>
      <c r="E26" s="596"/>
    </row>
    <row r="27" spans="2:9" ht="14.25">
      <c r="B27" s="608" t="s">
        <v>10808</v>
      </c>
      <c r="C27" s="592">
        <v>1163</v>
      </c>
      <c r="D27" s="603"/>
      <c r="E27" s="599"/>
    </row>
    <row r="28" spans="2:9" ht="14.25">
      <c r="B28" s="608" t="s">
        <v>13973</v>
      </c>
      <c r="C28" s="592">
        <v>224</v>
      </c>
      <c r="D28" s="602"/>
      <c r="E28" s="596"/>
    </row>
    <row r="29" spans="2:9" ht="15">
      <c r="B29" s="606" t="s">
        <v>13965</v>
      </c>
      <c r="C29" s="606">
        <f>SUM(C21:C22,C23,C24,C26,C27,C28,C25)</f>
        <v>5455</v>
      </c>
      <c r="D29" s="600">
        <f>SUM(D21:D28)</f>
        <v>0</v>
      </c>
      <c r="E29" s="600">
        <f>SUM(E21:E28)</f>
        <v>0</v>
      </c>
    </row>
    <row r="40" spans="2:14" ht="58.5" customHeight="1">
      <c r="B40" s="14" t="s">
        <v>69</v>
      </c>
      <c r="C40" s="14" t="s">
        <v>70</v>
      </c>
      <c r="D40" s="62" t="s">
        <v>397</v>
      </c>
      <c r="E40" s="15">
        <v>9779</v>
      </c>
      <c r="F40" s="15">
        <v>3067</v>
      </c>
      <c r="G40" s="15">
        <v>3067</v>
      </c>
      <c r="H40" s="16">
        <f t="shared" ref="H40" si="0">$G40/$F40</f>
        <v>1</v>
      </c>
      <c r="I40" s="15">
        <v>3067</v>
      </c>
      <c r="J40" s="16">
        <f>$I40/$F40</f>
        <v>1</v>
      </c>
      <c r="K40" s="15" t="s">
        <v>398</v>
      </c>
      <c r="L40" s="17" t="s">
        <v>399</v>
      </c>
      <c r="M40" s="17" t="s">
        <v>400</v>
      </c>
      <c r="N40" s="31"/>
    </row>
  </sheetData>
  <mergeCells count="4">
    <mergeCell ref="B1:E1"/>
    <mergeCell ref="B2:E2"/>
    <mergeCell ref="B18:E18"/>
    <mergeCell ref="B19:E19"/>
  </mergeCells>
  <hyperlinks>
    <hyperlink ref="L40" r:id="rId1" xr:uid="{A50B8D28-2C8D-4505-8D75-FA8E2D4F3A2D}"/>
    <hyperlink ref="M40" r:id="rId2" xr:uid="{F66CB707-5120-44F5-9952-DE42BE219744}"/>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22AE9E-B822-48E2-9E2C-7A457F21801D}">
  <dimension ref="A1:E11"/>
  <sheetViews>
    <sheetView workbookViewId="0"/>
  </sheetViews>
  <sheetFormatPr defaultRowHeight="12.75"/>
  <cols>
    <col min="2" max="2" width="24.140625" customWidth="1"/>
  </cols>
  <sheetData>
    <row r="1" spans="1:5">
      <c r="A1" s="622" t="s">
        <v>13974</v>
      </c>
      <c r="B1" s="622" t="s">
        <v>3</v>
      </c>
      <c r="C1" s="622" t="s">
        <v>5</v>
      </c>
      <c r="D1" s="622" t="s">
        <v>13975</v>
      </c>
      <c r="E1" s="622" t="s">
        <v>19</v>
      </c>
    </row>
    <row r="2" spans="1:5">
      <c r="A2">
        <v>1</v>
      </c>
      <c r="B2" t="s">
        <v>397</v>
      </c>
      <c r="C2" s="623">
        <v>7852</v>
      </c>
      <c r="D2" s="624">
        <v>5083</v>
      </c>
      <c r="E2" s="625">
        <v>0.64739999999999998</v>
      </c>
    </row>
    <row r="3" spans="1:5">
      <c r="A3">
        <v>2</v>
      </c>
      <c r="B3" t="s">
        <v>390</v>
      </c>
      <c r="C3" s="623">
        <v>2168</v>
      </c>
      <c r="D3" s="624">
        <v>2014</v>
      </c>
      <c r="E3" s="625">
        <v>0.92900000000000005</v>
      </c>
    </row>
    <row r="4" spans="1:5">
      <c r="A4">
        <v>3</v>
      </c>
      <c r="B4" t="s">
        <v>63</v>
      </c>
      <c r="C4" s="623">
        <v>1554</v>
      </c>
      <c r="D4" s="624">
        <v>1416</v>
      </c>
      <c r="E4" s="625">
        <v>0.91120000000000001</v>
      </c>
    </row>
    <row r="5" spans="1:5">
      <c r="A5">
        <v>4</v>
      </c>
      <c r="B5" t="s">
        <v>428</v>
      </c>
      <c r="C5" s="623">
        <v>1410</v>
      </c>
      <c r="D5" s="622">
        <v>217</v>
      </c>
      <c r="E5" s="625">
        <v>0.15390000000000001</v>
      </c>
    </row>
    <row r="6" spans="1:5">
      <c r="A6">
        <v>5</v>
      </c>
      <c r="B6" t="s">
        <v>425</v>
      </c>
      <c r="C6" s="623">
        <v>1074</v>
      </c>
      <c r="D6" s="622">
        <v>997</v>
      </c>
      <c r="E6" s="625">
        <v>0.92830000000000001</v>
      </c>
    </row>
    <row r="7" spans="1:5">
      <c r="A7">
        <v>6</v>
      </c>
      <c r="B7" t="s">
        <v>415</v>
      </c>
      <c r="C7" s="623">
        <v>1125</v>
      </c>
      <c r="D7" s="622">
        <v>864</v>
      </c>
      <c r="E7" s="625">
        <v>0.76800000000000002</v>
      </c>
    </row>
    <row r="8" spans="1:5">
      <c r="A8">
        <v>7</v>
      </c>
      <c r="B8" t="s">
        <v>164</v>
      </c>
      <c r="C8">
        <v>780</v>
      </c>
      <c r="D8" s="622">
        <v>772</v>
      </c>
      <c r="E8" s="625">
        <v>0.98970000000000002</v>
      </c>
    </row>
    <row r="9" spans="1:5">
      <c r="A9">
        <v>8</v>
      </c>
      <c r="B9" t="s">
        <v>170</v>
      </c>
      <c r="C9">
        <v>780</v>
      </c>
      <c r="D9" s="622">
        <v>772</v>
      </c>
      <c r="E9" s="625">
        <v>0.98970000000000002</v>
      </c>
    </row>
    <row r="10" spans="1:5">
      <c r="A10">
        <v>9</v>
      </c>
      <c r="B10" t="s">
        <v>404</v>
      </c>
      <c r="C10">
        <v>751</v>
      </c>
      <c r="D10" s="622">
        <v>751</v>
      </c>
      <c r="E10" s="625">
        <v>1</v>
      </c>
    </row>
    <row r="11" spans="1:5">
      <c r="A11">
        <v>10</v>
      </c>
      <c r="B11" t="s">
        <v>343</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612B62-7D37-4BDA-9020-DF0D7DFCBF2B}">
  <dimension ref="B1:N31"/>
  <sheetViews>
    <sheetView workbookViewId="0">
      <selection activeCell="K31" sqref="K31"/>
    </sheetView>
  </sheetViews>
  <sheetFormatPr defaultRowHeight="12.75"/>
  <cols>
    <col min="2" max="2" width="79.85546875" bestFit="1" customWidth="1"/>
    <col min="3" max="3" width="19.42578125" bestFit="1" customWidth="1"/>
    <col min="4" max="4" width="24" bestFit="1" customWidth="1"/>
    <col min="5" max="5" width="16.5703125" bestFit="1" customWidth="1"/>
    <col min="10" max="10" width="79.85546875" bestFit="1" customWidth="1"/>
    <col min="12" max="12" width="23.42578125" customWidth="1"/>
    <col min="13" max="13" width="24.7109375" customWidth="1"/>
  </cols>
  <sheetData>
    <row r="1" spans="2:10">
      <c r="B1" s="761" t="s">
        <v>13976</v>
      </c>
      <c r="C1" s="761"/>
      <c r="D1" s="761"/>
      <c r="E1" s="762"/>
    </row>
    <row r="2" spans="2:10">
      <c r="B2" s="766" t="s">
        <v>13977</v>
      </c>
      <c r="C2" s="767"/>
      <c r="D2" s="767"/>
      <c r="E2" s="768"/>
    </row>
    <row r="3" spans="2:10" ht="16.5">
      <c r="B3" s="601" t="s">
        <v>13953</v>
      </c>
      <c r="C3" s="594" t="s">
        <v>13954</v>
      </c>
      <c r="D3" s="595" t="s">
        <v>13955</v>
      </c>
      <c r="E3" s="594" t="s">
        <v>6</v>
      </c>
      <c r="J3" s="583"/>
    </row>
    <row r="4" spans="2:10" ht="16.5">
      <c r="B4" s="609" t="s">
        <v>13978</v>
      </c>
      <c r="C4" s="599"/>
      <c r="D4" s="599"/>
      <c r="E4" s="599"/>
      <c r="J4" s="583"/>
    </row>
    <row r="5" spans="2:10" ht="16.5">
      <c r="B5" s="593" t="s">
        <v>13979</v>
      </c>
      <c r="C5" s="596">
        <v>4052</v>
      </c>
      <c r="D5" s="596">
        <v>42</v>
      </c>
      <c r="E5" s="596">
        <v>7</v>
      </c>
      <c r="J5" s="583"/>
    </row>
    <row r="6" spans="2:10" ht="16.5">
      <c r="B6" s="609" t="s">
        <v>13980</v>
      </c>
      <c r="C6" s="599"/>
      <c r="D6" s="599"/>
      <c r="E6" s="599"/>
      <c r="J6" s="583"/>
    </row>
    <row r="7" spans="2:10" ht="14.25">
      <c r="B7" s="593" t="s">
        <v>13979</v>
      </c>
      <c r="C7" s="596">
        <v>4052</v>
      </c>
      <c r="D7" s="596">
        <v>42</v>
      </c>
      <c r="E7" s="596">
        <v>10</v>
      </c>
    </row>
    <row r="8" spans="2:10" ht="14.25">
      <c r="B8" s="598" t="s">
        <v>13981</v>
      </c>
      <c r="C8" s="596">
        <v>250</v>
      </c>
      <c r="D8" s="596">
        <v>150</v>
      </c>
      <c r="E8" s="596">
        <v>83</v>
      </c>
    </row>
    <row r="9" spans="2:10" ht="14.25">
      <c r="B9" s="598" t="s">
        <v>13982</v>
      </c>
      <c r="C9" s="596">
        <v>806</v>
      </c>
      <c r="D9" s="596">
        <v>125</v>
      </c>
      <c r="E9" s="596">
        <v>74</v>
      </c>
    </row>
    <row r="10" spans="2:10" ht="14.25">
      <c r="B10" s="598" t="s">
        <v>13983</v>
      </c>
      <c r="C10" s="596">
        <v>730</v>
      </c>
      <c r="D10" s="596">
        <v>8</v>
      </c>
      <c r="E10" s="596">
        <v>4</v>
      </c>
    </row>
    <row r="11" spans="2:10" ht="15">
      <c r="B11" s="600" t="s">
        <v>13965</v>
      </c>
      <c r="C11" s="600">
        <f>SUM(C5,C7,C8,C9,C6)</f>
        <v>9160</v>
      </c>
      <c r="D11" s="600">
        <f>SUM(D4:D10)</f>
        <v>367</v>
      </c>
      <c r="E11" s="600">
        <f>SUM(E4:E10)</f>
        <v>178</v>
      </c>
    </row>
    <row r="12" spans="2:10">
      <c r="B12" s="591"/>
      <c r="C12" s="591"/>
      <c r="D12" s="591"/>
      <c r="E12" s="591"/>
    </row>
    <row r="13" spans="2:10">
      <c r="C13" s="589"/>
      <c r="D13" s="589"/>
      <c r="E13" s="589"/>
    </row>
    <row r="15" spans="2:10">
      <c r="B15" s="761" t="s">
        <v>13984</v>
      </c>
      <c r="C15" s="761"/>
      <c r="D15" s="761"/>
      <c r="E15" s="762"/>
    </row>
    <row r="16" spans="2:10">
      <c r="B16" s="766" t="s">
        <v>13985</v>
      </c>
      <c r="C16" s="767"/>
      <c r="D16" s="767"/>
      <c r="E16" s="768"/>
    </row>
    <row r="17" spans="2:14" ht="15">
      <c r="B17" s="604" t="s">
        <v>13953</v>
      </c>
      <c r="C17" s="605" t="s">
        <v>13954</v>
      </c>
      <c r="D17" s="595" t="s">
        <v>13955</v>
      </c>
      <c r="E17" s="594" t="s">
        <v>6</v>
      </c>
    </row>
    <row r="18" spans="2:14" ht="14.25">
      <c r="B18" s="607" t="s">
        <v>13986</v>
      </c>
      <c r="C18" s="592">
        <v>1136</v>
      </c>
      <c r="D18" s="602">
        <v>453</v>
      </c>
      <c r="E18" s="597">
        <v>194</v>
      </c>
      <c r="I18" s="590"/>
    </row>
    <row r="19" spans="2:14" ht="14.25">
      <c r="B19" s="607" t="s">
        <v>13987</v>
      </c>
      <c r="C19" s="592">
        <v>923</v>
      </c>
      <c r="D19" s="602">
        <v>519</v>
      </c>
      <c r="E19" s="596">
        <v>14</v>
      </c>
    </row>
    <row r="20" spans="2:14" ht="15">
      <c r="B20" s="606" t="s">
        <v>13965</v>
      </c>
      <c r="C20" s="606">
        <f>SUM(C18:C19)</f>
        <v>2059</v>
      </c>
      <c r="D20" s="600">
        <f>SUM(D18:D19)</f>
        <v>972</v>
      </c>
      <c r="E20" s="600">
        <f>SUM(E18:E19)</f>
        <v>208</v>
      </c>
    </row>
    <row r="31" spans="2:14" ht="58.5" customHeight="1">
      <c r="B31" s="14" t="s">
        <v>69</v>
      </c>
      <c r="C31" s="14"/>
      <c r="D31" s="62" t="s">
        <v>13988</v>
      </c>
      <c r="E31" s="15"/>
      <c r="F31" s="15"/>
      <c r="G31" s="15"/>
      <c r="H31" s="16"/>
      <c r="I31" s="15"/>
      <c r="J31" s="16"/>
      <c r="K31" s="15"/>
      <c r="L31" s="584"/>
      <c r="M31" s="17"/>
      <c r="N31" s="31"/>
    </row>
  </sheetData>
  <mergeCells count="4">
    <mergeCell ref="B1:E1"/>
    <mergeCell ref="B2:E2"/>
    <mergeCell ref="B15:E15"/>
    <mergeCell ref="B16:E16"/>
  </mergeCells>
  <hyperlinks>
    <hyperlink ref="B2:E2" r:id="rId1" display="https://bankbnitbk.sharepoint.com/:x:/r/sites/TSADeliveryChannel/_layouts/15/Doc.aspx?sourcedoc=%7B782C0A08-36DC-4CE9-8454-F873920C3045%7D&amp;file=Agen46%20New%20Flutter.xlsx&amp;fromShare=true&amp;action=default&amp;mobileredirect=true" xr:uid="{E7E10E00-70D7-47B0-BEC7-17B8FE53E890}"/>
    <hyperlink ref="B16:E16" r:id="rId2" display="https://bankbnitbk.sharepoint.com/:x:/r/sites/TSADeliveryChannel/_layouts/15/Doc2.aspx?action=edit&amp;sourcedoc=%7B819d67f3-5fc9-4a26-9112-18766b20cfc3%7D&amp;wdOrigin=TEAMS-MAGLEV.teamsSdk_ns.rwc&amp;wdExp=TEAMS-TREATMENT&amp;wdhostclicktime=1767584102131&amp;web=1" xr:uid="{8DEE7033-5FB6-4F49-ADB3-8DEADE71F746}"/>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7EF60-5248-45C4-A41B-7FC366B20EDD}">
  <dimension ref="A1:G453"/>
  <sheetViews>
    <sheetView topLeftCell="A255" workbookViewId="0">
      <selection activeCell="G446" sqref="G446"/>
    </sheetView>
  </sheetViews>
  <sheetFormatPr defaultRowHeight="12.75"/>
  <cols>
    <col min="7" max="7" width="32.85546875" customWidth="1"/>
  </cols>
  <sheetData>
    <row r="1" spans="1:7" ht="15">
      <c r="A1" s="610"/>
      <c r="B1" s="614"/>
      <c r="C1" s="614"/>
      <c r="D1" s="614"/>
      <c r="E1" s="614"/>
      <c r="F1" s="617"/>
      <c r="G1" s="619" t="s">
        <v>13989</v>
      </c>
    </row>
    <row r="2" spans="1:7" ht="15">
      <c r="A2" s="611"/>
      <c r="B2" s="614"/>
      <c r="C2" s="614"/>
      <c r="D2" s="614"/>
      <c r="E2" s="615"/>
      <c r="F2" s="617"/>
      <c r="G2" s="619" t="s">
        <v>13989</v>
      </c>
    </row>
    <row r="3" spans="1:7" ht="15">
      <c r="A3" s="610"/>
      <c r="B3" s="614"/>
      <c r="C3" s="614"/>
      <c r="D3" s="614"/>
      <c r="E3" s="615"/>
      <c r="F3" s="617"/>
      <c r="G3" s="619" t="s">
        <v>13989</v>
      </c>
    </row>
    <row r="4" spans="1:7" ht="15">
      <c r="A4" s="611"/>
      <c r="B4" s="614"/>
      <c r="C4" s="614"/>
      <c r="D4" s="614"/>
      <c r="E4" s="615"/>
      <c r="F4" s="617"/>
      <c r="G4" s="619" t="s">
        <v>13989</v>
      </c>
    </row>
    <row r="5" spans="1:7" ht="15">
      <c r="A5" s="610"/>
      <c r="B5" s="614"/>
      <c r="C5" s="614"/>
      <c r="D5" s="614"/>
      <c r="E5" s="614"/>
      <c r="F5" s="617"/>
      <c r="G5" s="619" t="s">
        <v>13989</v>
      </c>
    </row>
    <row r="6" spans="1:7" ht="15">
      <c r="A6" s="610"/>
      <c r="B6" s="614"/>
      <c r="C6" s="614"/>
      <c r="D6" s="614"/>
      <c r="E6" s="615"/>
      <c r="F6" s="617"/>
      <c r="G6" s="620" t="s">
        <v>13989</v>
      </c>
    </row>
    <row r="7" spans="1:7" ht="15">
      <c r="A7" s="610"/>
      <c r="B7" s="614"/>
      <c r="C7" s="614"/>
      <c r="D7" s="614"/>
      <c r="E7" s="615"/>
      <c r="F7" s="617"/>
      <c r="G7" s="619" t="s">
        <v>13989</v>
      </c>
    </row>
    <row r="8" spans="1:7" ht="15">
      <c r="A8" s="612"/>
      <c r="B8" s="614"/>
      <c r="C8" s="614"/>
      <c r="D8" s="614"/>
      <c r="E8" s="615"/>
      <c r="F8" s="617"/>
      <c r="G8" s="621" t="s">
        <v>13989</v>
      </c>
    </row>
    <row r="9" spans="1:7" ht="15">
      <c r="A9" s="612"/>
      <c r="B9" s="614"/>
      <c r="C9" s="614"/>
      <c r="D9" s="614"/>
      <c r="E9" s="614"/>
      <c r="F9" s="617"/>
      <c r="G9" s="619" t="s">
        <v>13989</v>
      </c>
    </row>
    <row r="10" spans="1:7" ht="15">
      <c r="A10" s="612"/>
      <c r="B10" s="614"/>
      <c r="C10" s="614"/>
      <c r="D10" s="614"/>
      <c r="E10" s="614"/>
      <c r="F10" s="617"/>
      <c r="G10" s="619" t="s">
        <v>13989</v>
      </c>
    </row>
    <row r="11" spans="1:7" ht="15">
      <c r="A11" s="613"/>
      <c r="B11" s="615"/>
      <c r="C11" s="616"/>
      <c r="D11" s="614"/>
      <c r="E11" s="614"/>
      <c r="F11" s="617"/>
      <c r="G11" s="619" t="s">
        <v>13989</v>
      </c>
    </row>
    <row r="12" spans="1:7" ht="15">
      <c r="A12" s="613"/>
      <c r="B12" s="616"/>
      <c r="C12" s="616"/>
      <c r="D12" s="616"/>
      <c r="E12" s="615"/>
      <c r="F12" s="617"/>
      <c r="G12" s="619" t="s">
        <v>13989</v>
      </c>
    </row>
    <row r="13" spans="1:7">
      <c r="C13" s="615"/>
      <c r="D13" s="614"/>
      <c r="E13" s="615"/>
      <c r="F13" s="617"/>
      <c r="G13" s="619" t="s">
        <v>13989</v>
      </c>
    </row>
    <row r="14" spans="1:7">
      <c r="C14" s="615"/>
      <c r="D14" s="614"/>
      <c r="E14" s="614"/>
      <c r="F14" s="617"/>
      <c r="G14" s="619" t="s">
        <v>13989</v>
      </c>
    </row>
    <row r="15" spans="1:7">
      <c r="C15" s="615"/>
      <c r="D15" s="614"/>
      <c r="E15" s="614"/>
      <c r="F15" s="617"/>
      <c r="G15" s="619" t="s">
        <v>13989</v>
      </c>
    </row>
    <row r="16" spans="1:7">
      <c r="C16" s="615"/>
      <c r="D16" s="614"/>
      <c r="E16" s="614"/>
      <c r="F16" s="617"/>
      <c r="G16" s="619" t="s">
        <v>13989</v>
      </c>
    </row>
    <row r="17" spans="3:7">
      <c r="C17" s="615"/>
      <c r="D17" s="614"/>
      <c r="E17" s="614"/>
      <c r="F17" s="617"/>
      <c r="G17" s="619" t="s">
        <v>13989</v>
      </c>
    </row>
    <row r="18" spans="3:7">
      <c r="C18" s="615"/>
      <c r="D18" s="616"/>
      <c r="E18" s="614"/>
      <c r="F18" s="617"/>
      <c r="G18" s="619" t="s">
        <v>13989</v>
      </c>
    </row>
    <row r="19" spans="3:7">
      <c r="C19" s="615"/>
      <c r="D19" s="614"/>
      <c r="E19" s="615"/>
      <c r="F19" s="617"/>
      <c r="G19" s="619" t="s">
        <v>13989</v>
      </c>
    </row>
    <row r="20" spans="3:7">
      <c r="C20" s="615"/>
      <c r="E20" s="615"/>
      <c r="F20" s="617"/>
      <c r="G20" s="619" t="s">
        <v>13989</v>
      </c>
    </row>
    <row r="21" spans="3:7">
      <c r="C21" s="615"/>
      <c r="E21" s="614"/>
      <c r="F21" s="617"/>
      <c r="G21" s="619" t="s">
        <v>13989</v>
      </c>
    </row>
    <row r="22" spans="3:7">
      <c r="C22" s="615"/>
      <c r="E22" s="614"/>
      <c r="F22" s="617"/>
      <c r="G22" s="619" t="s">
        <v>13989</v>
      </c>
    </row>
    <row r="23" spans="3:7">
      <c r="C23" s="615"/>
      <c r="E23" s="614"/>
      <c r="F23" s="617"/>
      <c r="G23" s="619" t="s">
        <v>13989</v>
      </c>
    </row>
    <row r="24" spans="3:7">
      <c r="C24" s="615"/>
      <c r="E24" s="614"/>
      <c r="F24" s="617"/>
      <c r="G24" s="619" t="s">
        <v>13989</v>
      </c>
    </row>
    <row r="25" spans="3:7">
      <c r="C25" s="615"/>
      <c r="E25" s="614"/>
      <c r="F25" s="617"/>
      <c r="G25" s="619" t="s">
        <v>13989</v>
      </c>
    </row>
    <row r="26" spans="3:7">
      <c r="C26" s="615"/>
      <c r="E26" s="615"/>
      <c r="F26" s="617"/>
      <c r="G26" s="619" t="s">
        <v>13989</v>
      </c>
    </row>
    <row r="27" spans="3:7">
      <c r="C27" s="615"/>
      <c r="E27" s="615"/>
      <c r="F27" s="617"/>
      <c r="G27" s="619" t="s">
        <v>13989</v>
      </c>
    </row>
    <row r="28" spans="3:7">
      <c r="C28" s="615"/>
      <c r="E28" s="614"/>
      <c r="F28" s="617"/>
      <c r="G28" s="619" t="s">
        <v>13989</v>
      </c>
    </row>
    <row r="29" spans="3:7">
      <c r="C29" s="615"/>
      <c r="E29" s="614"/>
      <c r="F29" s="617"/>
      <c r="G29" s="619" t="s">
        <v>13989</v>
      </c>
    </row>
    <row r="30" spans="3:7">
      <c r="F30" s="617"/>
      <c r="G30" s="619" t="s">
        <v>13989</v>
      </c>
    </row>
    <row r="31" spans="3:7">
      <c r="F31" s="617"/>
      <c r="G31" s="619" t="s">
        <v>13989</v>
      </c>
    </row>
    <row r="32" spans="3:7">
      <c r="F32" s="617"/>
      <c r="G32" s="619" t="s">
        <v>13989</v>
      </c>
    </row>
    <row r="33" spans="6:7">
      <c r="F33" s="617"/>
      <c r="G33" s="619" t="s">
        <v>13989</v>
      </c>
    </row>
    <row r="34" spans="6:7">
      <c r="F34" s="617"/>
      <c r="G34" s="619" t="s">
        <v>13989</v>
      </c>
    </row>
    <row r="35" spans="6:7">
      <c r="F35" s="617"/>
      <c r="G35" s="619" t="s">
        <v>13989</v>
      </c>
    </row>
    <row r="36" spans="6:7">
      <c r="F36" s="617"/>
      <c r="G36" s="619" t="s">
        <v>13989</v>
      </c>
    </row>
    <row r="37" spans="6:7">
      <c r="F37" s="617"/>
      <c r="G37" s="619" t="s">
        <v>13989</v>
      </c>
    </row>
    <row r="38" spans="6:7">
      <c r="F38" s="617"/>
      <c r="G38" s="619" t="s">
        <v>13989</v>
      </c>
    </row>
    <row r="39" spans="6:7">
      <c r="F39" s="617"/>
      <c r="G39" s="619" t="s">
        <v>13989</v>
      </c>
    </row>
    <row r="40" spans="6:7">
      <c r="F40" s="617"/>
      <c r="G40" s="619" t="s">
        <v>13989</v>
      </c>
    </row>
    <row r="41" spans="6:7">
      <c r="F41" s="617"/>
      <c r="G41" s="619" t="s">
        <v>13989</v>
      </c>
    </row>
    <row r="42" spans="6:7">
      <c r="F42" s="617"/>
      <c r="G42" s="619" t="s">
        <v>13989</v>
      </c>
    </row>
    <row r="43" spans="6:7">
      <c r="F43" s="617"/>
      <c r="G43" s="619" t="s">
        <v>13989</v>
      </c>
    </row>
    <row r="44" spans="6:7">
      <c r="F44" s="617"/>
      <c r="G44" s="619" t="s">
        <v>13989</v>
      </c>
    </row>
    <row r="45" spans="6:7">
      <c r="F45" s="617"/>
      <c r="G45" s="619" t="s">
        <v>13989</v>
      </c>
    </row>
    <row r="46" spans="6:7">
      <c r="F46" s="617"/>
      <c r="G46" s="619" t="s">
        <v>13989</v>
      </c>
    </row>
    <row r="47" spans="6:7">
      <c r="F47" s="617"/>
      <c r="G47" s="619" t="s">
        <v>13989</v>
      </c>
    </row>
    <row r="48" spans="6:7">
      <c r="F48" s="617"/>
      <c r="G48" s="619" t="s">
        <v>13989</v>
      </c>
    </row>
    <row r="49" spans="6:7">
      <c r="F49" s="617"/>
      <c r="G49" s="619" t="s">
        <v>13989</v>
      </c>
    </row>
    <row r="50" spans="6:7">
      <c r="F50" s="617"/>
      <c r="G50" s="619" t="s">
        <v>13989</v>
      </c>
    </row>
    <row r="51" spans="6:7">
      <c r="F51" s="617"/>
      <c r="G51" s="619" t="s">
        <v>13989</v>
      </c>
    </row>
    <row r="52" spans="6:7">
      <c r="F52" s="617"/>
      <c r="G52" s="619" t="s">
        <v>13989</v>
      </c>
    </row>
    <row r="53" spans="6:7">
      <c r="F53" s="617"/>
      <c r="G53" s="619" t="s">
        <v>13989</v>
      </c>
    </row>
    <row r="54" spans="6:7">
      <c r="F54" s="617"/>
      <c r="G54" s="619" t="s">
        <v>13989</v>
      </c>
    </row>
    <row r="55" spans="6:7">
      <c r="F55" s="617"/>
      <c r="G55" s="619" t="s">
        <v>13989</v>
      </c>
    </row>
    <row r="56" spans="6:7">
      <c r="F56" s="617"/>
      <c r="G56" s="619" t="s">
        <v>13989</v>
      </c>
    </row>
    <row r="57" spans="6:7">
      <c r="F57" s="617"/>
      <c r="G57" s="619" t="s">
        <v>13989</v>
      </c>
    </row>
    <row r="58" spans="6:7">
      <c r="F58" s="617"/>
      <c r="G58" s="619" t="s">
        <v>13989</v>
      </c>
    </row>
    <row r="59" spans="6:7">
      <c r="F59" s="617"/>
      <c r="G59" s="619" t="s">
        <v>13989</v>
      </c>
    </row>
    <row r="60" spans="6:7">
      <c r="F60" s="617"/>
      <c r="G60" s="619" t="s">
        <v>13989</v>
      </c>
    </row>
    <row r="61" spans="6:7">
      <c r="F61" s="617"/>
      <c r="G61" s="619" t="s">
        <v>13989</v>
      </c>
    </row>
    <row r="62" spans="6:7">
      <c r="F62" s="617"/>
      <c r="G62" s="619" t="s">
        <v>13989</v>
      </c>
    </row>
    <row r="63" spans="6:7">
      <c r="F63" s="617"/>
      <c r="G63" s="619" t="s">
        <v>13989</v>
      </c>
    </row>
    <row r="64" spans="6:7">
      <c r="F64" s="617"/>
      <c r="G64" s="619" t="s">
        <v>13989</v>
      </c>
    </row>
    <row r="65" spans="6:7">
      <c r="F65" s="617"/>
      <c r="G65" s="619" t="s">
        <v>13989</v>
      </c>
    </row>
    <row r="66" spans="6:7">
      <c r="F66" s="617"/>
      <c r="G66" s="619" t="s">
        <v>13989</v>
      </c>
    </row>
    <row r="67" spans="6:7">
      <c r="F67" s="617"/>
      <c r="G67" s="619" t="s">
        <v>13989</v>
      </c>
    </row>
    <row r="68" spans="6:7">
      <c r="F68" s="617"/>
      <c r="G68" s="619" t="s">
        <v>13989</v>
      </c>
    </row>
    <row r="69" spans="6:7">
      <c r="F69" s="617"/>
      <c r="G69" s="619" t="s">
        <v>13989</v>
      </c>
    </row>
    <row r="70" spans="6:7">
      <c r="F70" s="617"/>
      <c r="G70" s="619" t="s">
        <v>13989</v>
      </c>
    </row>
    <row r="71" spans="6:7">
      <c r="F71" s="617"/>
      <c r="G71" s="619" t="s">
        <v>13989</v>
      </c>
    </row>
    <row r="72" spans="6:7">
      <c r="F72" s="617"/>
      <c r="G72" s="619" t="s">
        <v>13989</v>
      </c>
    </row>
    <row r="73" spans="6:7">
      <c r="F73" s="617"/>
      <c r="G73" s="619" t="s">
        <v>13989</v>
      </c>
    </row>
    <row r="74" spans="6:7">
      <c r="F74" s="618"/>
      <c r="G74" s="619" t="s">
        <v>13989</v>
      </c>
    </row>
    <row r="75" spans="6:7">
      <c r="F75" s="617"/>
      <c r="G75" s="619" t="s">
        <v>13989</v>
      </c>
    </row>
    <row r="76" spans="6:7">
      <c r="F76" s="617"/>
      <c r="G76" s="619" t="s">
        <v>13989</v>
      </c>
    </row>
    <row r="77" spans="6:7">
      <c r="F77" s="618"/>
      <c r="G77" s="619" t="s">
        <v>13989</v>
      </c>
    </row>
    <row r="78" spans="6:7">
      <c r="F78" s="617"/>
      <c r="G78" s="619" t="s">
        <v>13989</v>
      </c>
    </row>
    <row r="79" spans="6:7">
      <c r="F79" s="617"/>
      <c r="G79" s="619" t="s">
        <v>13989</v>
      </c>
    </row>
    <row r="80" spans="6:7">
      <c r="F80" s="617"/>
      <c r="G80" s="619" t="s">
        <v>13989</v>
      </c>
    </row>
    <row r="81" spans="6:7">
      <c r="F81" s="617"/>
      <c r="G81" s="619" t="s">
        <v>13989</v>
      </c>
    </row>
    <row r="82" spans="6:7">
      <c r="F82" s="617"/>
      <c r="G82" s="619" t="s">
        <v>13989</v>
      </c>
    </row>
    <row r="83" spans="6:7">
      <c r="F83" s="617"/>
      <c r="G83" s="619" t="s">
        <v>13989</v>
      </c>
    </row>
    <row r="84" spans="6:7">
      <c r="F84" s="617"/>
      <c r="G84" s="619" t="s">
        <v>13989</v>
      </c>
    </row>
    <row r="85" spans="6:7">
      <c r="F85" s="617"/>
      <c r="G85" s="619" t="s">
        <v>13989</v>
      </c>
    </row>
    <row r="86" spans="6:7">
      <c r="F86" s="617"/>
      <c r="G86" s="619" t="s">
        <v>13989</v>
      </c>
    </row>
    <row r="87" spans="6:7">
      <c r="F87" s="617"/>
      <c r="G87" s="619" t="s">
        <v>13989</v>
      </c>
    </row>
    <row r="88" spans="6:7">
      <c r="F88" s="617"/>
      <c r="G88" s="619" t="s">
        <v>13989</v>
      </c>
    </row>
    <row r="89" spans="6:7">
      <c r="F89" s="617"/>
      <c r="G89" s="619" t="s">
        <v>13989</v>
      </c>
    </row>
    <row r="90" spans="6:7">
      <c r="F90" s="617"/>
      <c r="G90" s="619" t="s">
        <v>13989</v>
      </c>
    </row>
    <row r="91" spans="6:7">
      <c r="F91" s="617"/>
      <c r="G91" s="619" t="s">
        <v>13989</v>
      </c>
    </row>
    <row r="92" spans="6:7">
      <c r="F92" s="617"/>
      <c r="G92" s="619" t="s">
        <v>13989</v>
      </c>
    </row>
    <row r="93" spans="6:7">
      <c r="F93" s="617"/>
      <c r="G93" s="619" t="s">
        <v>13989</v>
      </c>
    </row>
    <row r="94" spans="6:7">
      <c r="F94" s="617"/>
      <c r="G94" s="619" t="s">
        <v>13989</v>
      </c>
    </row>
    <row r="95" spans="6:7">
      <c r="F95" s="617"/>
      <c r="G95" s="619" t="s">
        <v>13989</v>
      </c>
    </row>
    <row r="96" spans="6:7">
      <c r="F96" s="617"/>
      <c r="G96" s="619" t="s">
        <v>13989</v>
      </c>
    </row>
    <row r="97" spans="6:7">
      <c r="F97" s="617"/>
      <c r="G97" s="619" t="s">
        <v>13989</v>
      </c>
    </row>
    <row r="98" spans="6:7">
      <c r="F98" s="617"/>
      <c r="G98" s="619" t="s">
        <v>13989</v>
      </c>
    </row>
    <row r="99" spans="6:7">
      <c r="F99" s="617"/>
      <c r="G99" s="619" t="s">
        <v>13989</v>
      </c>
    </row>
    <row r="100" spans="6:7">
      <c r="F100" s="617"/>
      <c r="G100" s="619" t="s">
        <v>13989</v>
      </c>
    </row>
    <row r="101" spans="6:7">
      <c r="F101" s="617"/>
      <c r="G101" s="619" t="s">
        <v>13989</v>
      </c>
    </row>
    <row r="102" spans="6:7">
      <c r="F102" s="617"/>
      <c r="G102" s="619" t="s">
        <v>13989</v>
      </c>
    </row>
    <row r="103" spans="6:7">
      <c r="F103" s="617"/>
      <c r="G103" s="619" t="s">
        <v>13989</v>
      </c>
    </row>
    <row r="104" spans="6:7">
      <c r="F104" s="617"/>
      <c r="G104" s="619" t="s">
        <v>13989</v>
      </c>
    </row>
    <row r="105" spans="6:7">
      <c r="F105" s="617"/>
      <c r="G105" s="619" t="s">
        <v>13989</v>
      </c>
    </row>
    <row r="106" spans="6:7">
      <c r="F106" s="617"/>
      <c r="G106" s="619" t="s">
        <v>13989</v>
      </c>
    </row>
    <row r="107" spans="6:7">
      <c r="F107" s="617"/>
      <c r="G107" s="619" t="s">
        <v>13989</v>
      </c>
    </row>
    <row r="108" spans="6:7">
      <c r="F108" s="617"/>
      <c r="G108" s="619" t="s">
        <v>13989</v>
      </c>
    </row>
    <row r="109" spans="6:7">
      <c r="F109" s="617"/>
      <c r="G109" s="619" t="s">
        <v>13989</v>
      </c>
    </row>
    <row r="110" spans="6:7">
      <c r="F110" s="617"/>
      <c r="G110" s="619" t="s">
        <v>13989</v>
      </c>
    </row>
    <row r="111" spans="6:7">
      <c r="F111" s="617"/>
      <c r="G111" s="619" t="s">
        <v>13989</v>
      </c>
    </row>
    <row r="112" spans="6:7">
      <c r="F112" s="617"/>
      <c r="G112" s="619" t="s">
        <v>13989</v>
      </c>
    </row>
    <row r="113" spans="6:7">
      <c r="F113" s="617"/>
      <c r="G113" s="619" t="s">
        <v>13989</v>
      </c>
    </row>
    <row r="114" spans="6:7">
      <c r="F114" s="617"/>
      <c r="G114" s="619" t="s">
        <v>13989</v>
      </c>
    </row>
    <row r="115" spans="6:7">
      <c r="F115" s="617"/>
      <c r="G115" s="619" t="s">
        <v>13989</v>
      </c>
    </row>
    <row r="116" spans="6:7">
      <c r="F116" s="617"/>
      <c r="G116" s="619" t="s">
        <v>13989</v>
      </c>
    </row>
    <row r="117" spans="6:7">
      <c r="F117" s="617"/>
      <c r="G117" s="619" t="s">
        <v>13989</v>
      </c>
    </row>
    <row r="118" spans="6:7">
      <c r="F118" s="617"/>
      <c r="G118" s="619" t="s">
        <v>13989</v>
      </c>
    </row>
    <row r="119" spans="6:7">
      <c r="F119" s="617"/>
      <c r="G119" s="619" t="s">
        <v>13989</v>
      </c>
    </row>
    <row r="120" spans="6:7">
      <c r="F120" s="617"/>
      <c r="G120" s="619" t="s">
        <v>13989</v>
      </c>
    </row>
    <row r="121" spans="6:7">
      <c r="F121" s="617"/>
      <c r="G121" s="619" t="s">
        <v>13989</v>
      </c>
    </row>
    <row r="122" spans="6:7">
      <c r="F122" s="617"/>
      <c r="G122" s="619" t="s">
        <v>13989</v>
      </c>
    </row>
    <row r="123" spans="6:7">
      <c r="F123" s="617"/>
      <c r="G123" s="619" t="s">
        <v>13989</v>
      </c>
    </row>
    <row r="124" spans="6:7">
      <c r="F124" s="617"/>
      <c r="G124" s="619" t="s">
        <v>13989</v>
      </c>
    </row>
    <row r="125" spans="6:7">
      <c r="F125" s="617"/>
      <c r="G125" s="619" t="s">
        <v>13989</v>
      </c>
    </row>
    <row r="126" spans="6:7">
      <c r="G126" s="619" t="s">
        <v>13989</v>
      </c>
    </row>
    <row r="127" spans="6:7">
      <c r="G127" s="619" t="s">
        <v>13989</v>
      </c>
    </row>
    <row r="128" spans="6:7">
      <c r="G128" s="619" t="s">
        <v>13989</v>
      </c>
    </row>
    <row r="129" spans="7:7">
      <c r="G129" s="619" t="s">
        <v>13989</v>
      </c>
    </row>
    <row r="130" spans="7:7">
      <c r="G130" s="619" t="s">
        <v>13989</v>
      </c>
    </row>
    <row r="131" spans="7:7">
      <c r="G131" s="619" t="s">
        <v>13989</v>
      </c>
    </row>
    <row r="132" spans="7:7">
      <c r="G132" s="619" t="s">
        <v>13989</v>
      </c>
    </row>
    <row r="133" spans="7:7">
      <c r="G133" s="619" t="s">
        <v>13989</v>
      </c>
    </row>
    <row r="134" spans="7:7">
      <c r="G134" s="619" t="s">
        <v>13989</v>
      </c>
    </row>
    <row r="135" spans="7:7">
      <c r="G135" s="619" t="s">
        <v>13989</v>
      </c>
    </row>
    <row r="136" spans="7:7">
      <c r="G136" s="619" t="s">
        <v>13989</v>
      </c>
    </row>
    <row r="137" spans="7:7">
      <c r="G137" s="619" t="s">
        <v>13989</v>
      </c>
    </row>
    <row r="138" spans="7:7">
      <c r="G138" s="619" t="s">
        <v>13989</v>
      </c>
    </row>
    <row r="139" spans="7:7">
      <c r="G139" s="619" t="s">
        <v>13989</v>
      </c>
    </row>
    <row r="140" spans="7:7">
      <c r="G140" s="619" t="s">
        <v>13989</v>
      </c>
    </row>
    <row r="141" spans="7:7">
      <c r="G141" s="619" t="s">
        <v>13989</v>
      </c>
    </row>
    <row r="142" spans="7:7">
      <c r="G142" s="619" t="s">
        <v>13989</v>
      </c>
    </row>
    <row r="143" spans="7:7">
      <c r="G143" s="619" t="s">
        <v>13989</v>
      </c>
    </row>
    <row r="144" spans="7:7">
      <c r="G144" s="619" t="s">
        <v>13989</v>
      </c>
    </row>
    <row r="145" spans="7:7">
      <c r="G145" s="619" t="s">
        <v>13989</v>
      </c>
    </row>
    <row r="146" spans="7:7">
      <c r="G146" s="619" t="s">
        <v>13989</v>
      </c>
    </row>
    <row r="147" spans="7:7">
      <c r="G147" s="619" t="s">
        <v>13989</v>
      </c>
    </row>
    <row r="148" spans="7:7">
      <c r="G148" s="619" t="s">
        <v>13989</v>
      </c>
    </row>
    <row r="149" spans="7:7">
      <c r="G149" s="619" t="s">
        <v>13989</v>
      </c>
    </row>
    <row r="150" spans="7:7">
      <c r="G150" s="619" t="s">
        <v>13989</v>
      </c>
    </row>
    <row r="151" spans="7:7">
      <c r="G151" s="619" t="s">
        <v>13989</v>
      </c>
    </row>
    <row r="152" spans="7:7">
      <c r="G152" s="619" t="s">
        <v>13989</v>
      </c>
    </row>
    <row r="153" spans="7:7">
      <c r="G153" s="619" t="s">
        <v>13989</v>
      </c>
    </row>
    <row r="154" spans="7:7">
      <c r="G154" s="619" t="s">
        <v>13989</v>
      </c>
    </row>
    <row r="155" spans="7:7">
      <c r="G155" s="619" t="s">
        <v>13989</v>
      </c>
    </row>
    <row r="156" spans="7:7">
      <c r="G156" s="619" t="s">
        <v>13989</v>
      </c>
    </row>
    <row r="157" spans="7:7">
      <c r="G157" s="619" t="s">
        <v>13989</v>
      </c>
    </row>
    <row r="158" spans="7:7">
      <c r="G158" s="619" t="s">
        <v>13989</v>
      </c>
    </row>
    <row r="159" spans="7:7">
      <c r="G159" s="619" t="s">
        <v>13989</v>
      </c>
    </row>
    <row r="160" spans="7:7">
      <c r="G160" s="619" t="s">
        <v>13989</v>
      </c>
    </row>
    <row r="161" spans="7:7">
      <c r="G161" s="619" t="s">
        <v>13989</v>
      </c>
    </row>
    <row r="162" spans="7:7">
      <c r="G162" s="619" t="s">
        <v>13989</v>
      </c>
    </row>
    <row r="163" spans="7:7">
      <c r="G163" s="619" t="s">
        <v>13989</v>
      </c>
    </row>
    <row r="164" spans="7:7">
      <c r="G164" s="619" t="s">
        <v>13989</v>
      </c>
    </row>
    <row r="165" spans="7:7">
      <c r="G165" s="619" t="s">
        <v>13989</v>
      </c>
    </row>
    <row r="166" spans="7:7">
      <c r="G166" s="619" t="s">
        <v>13989</v>
      </c>
    </row>
    <row r="167" spans="7:7">
      <c r="G167" s="619" t="s">
        <v>13989</v>
      </c>
    </row>
    <row r="168" spans="7:7">
      <c r="G168" s="619" t="s">
        <v>13989</v>
      </c>
    </row>
    <row r="169" spans="7:7">
      <c r="G169" s="619" t="s">
        <v>13989</v>
      </c>
    </row>
    <row r="170" spans="7:7">
      <c r="G170" s="619" t="s">
        <v>13989</v>
      </c>
    </row>
    <row r="171" spans="7:7">
      <c r="G171" s="619" t="s">
        <v>13989</v>
      </c>
    </row>
    <row r="172" spans="7:7">
      <c r="G172" s="619" t="s">
        <v>13989</v>
      </c>
    </row>
    <row r="173" spans="7:7">
      <c r="G173" s="619" t="s">
        <v>13989</v>
      </c>
    </row>
    <row r="174" spans="7:7">
      <c r="G174" s="619" t="s">
        <v>13989</v>
      </c>
    </row>
    <row r="175" spans="7:7">
      <c r="G175" s="619" t="s">
        <v>13989</v>
      </c>
    </row>
    <row r="176" spans="7:7">
      <c r="G176" s="619" t="s">
        <v>13989</v>
      </c>
    </row>
    <row r="177" spans="7:7">
      <c r="G177" s="619" t="s">
        <v>13989</v>
      </c>
    </row>
    <row r="178" spans="7:7">
      <c r="G178" s="619" t="s">
        <v>13989</v>
      </c>
    </row>
    <row r="179" spans="7:7">
      <c r="G179" s="619" t="s">
        <v>13989</v>
      </c>
    </row>
    <row r="180" spans="7:7">
      <c r="G180" s="619" t="s">
        <v>13989</v>
      </c>
    </row>
    <row r="181" spans="7:7">
      <c r="G181" s="619" t="s">
        <v>13989</v>
      </c>
    </row>
    <row r="182" spans="7:7">
      <c r="G182" s="619" t="s">
        <v>13989</v>
      </c>
    </row>
    <row r="183" spans="7:7">
      <c r="G183" s="619" t="s">
        <v>13989</v>
      </c>
    </row>
    <row r="184" spans="7:7">
      <c r="G184" s="619" t="s">
        <v>13989</v>
      </c>
    </row>
    <row r="185" spans="7:7">
      <c r="G185" s="619" t="s">
        <v>13989</v>
      </c>
    </row>
    <row r="186" spans="7:7">
      <c r="G186" s="619" t="s">
        <v>13989</v>
      </c>
    </row>
    <row r="187" spans="7:7">
      <c r="G187" s="619" t="s">
        <v>13989</v>
      </c>
    </row>
    <row r="188" spans="7:7">
      <c r="G188" s="619" t="s">
        <v>13989</v>
      </c>
    </row>
    <row r="189" spans="7:7">
      <c r="G189" s="619" t="s">
        <v>13989</v>
      </c>
    </row>
    <row r="190" spans="7:7">
      <c r="G190" s="619" t="s">
        <v>13989</v>
      </c>
    </row>
    <row r="191" spans="7:7">
      <c r="G191" s="619" t="s">
        <v>13989</v>
      </c>
    </row>
    <row r="192" spans="7:7">
      <c r="G192" s="619" t="s">
        <v>13989</v>
      </c>
    </row>
    <row r="193" spans="7:7">
      <c r="G193" s="619" t="s">
        <v>13989</v>
      </c>
    </row>
    <row r="194" spans="7:7">
      <c r="G194" s="619" t="s">
        <v>13989</v>
      </c>
    </row>
    <row r="195" spans="7:7">
      <c r="G195" s="619" t="s">
        <v>13989</v>
      </c>
    </row>
    <row r="196" spans="7:7">
      <c r="G196" s="619" t="s">
        <v>13989</v>
      </c>
    </row>
    <row r="197" spans="7:7">
      <c r="G197" s="619" t="s">
        <v>13989</v>
      </c>
    </row>
    <row r="198" spans="7:7">
      <c r="G198" s="619" t="s">
        <v>13989</v>
      </c>
    </row>
    <row r="199" spans="7:7">
      <c r="G199" s="619" t="s">
        <v>13989</v>
      </c>
    </row>
    <row r="200" spans="7:7">
      <c r="G200" s="619" t="s">
        <v>13989</v>
      </c>
    </row>
    <row r="201" spans="7:7">
      <c r="G201" s="619" t="s">
        <v>13989</v>
      </c>
    </row>
    <row r="202" spans="7:7">
      <c r="G202" s="619" t="s">
        <v>13989</v>
      </c>
    </row>
    <row r="203" spans="7:7">
      <c r="G203" s="619" t="s">
        <v>13989</v>
      </c>
    </row>
    <row r="204" spans="7:7">
      <c r="G204" s="619" t="s">
        <v>13989</v>
      </c>
    </row>
    <row r="205" spans="7:7">
      <c r="G205" s="619" t="s">
        <v>13989</v>
      </c>
    </row>
    <row r="206" spans="7:7">
      <c r="G206" s="619" t="s">
        <v>13989</v>
      </c>
    </row>
    <row r="207" spans="7:7">
      <c r="G207" s="619" t="s">
        <v>13989</v>
      </c>
    </row>
    <row r="208" spans="7:7">
      <c r="G208" s="619" t="s">
        <v>13989</v>
      </c>
    </row>
    <row r="209" spans="7:7">
      <c r="G209" s="619" t="s">
        <v>13989</v>
      </c>
    </row>
    <row r="210" spans="7:7">
      <c r="G210" s="619" t="s">
        <v>13989</v>
      </c>
    </row>
    <row r="211" spans="7:7">
      <c r="G211" s="619" t="s">
        <v>13989</v>
      </c>
    </row>
    <row r="212" spans="7:7">
      <c r="G212" s="619" t="s">
        <v>13989</v>
      </c>
    </row>
    <row r="213" spans="7:7">
      <c r="G213" s="619" t="s">
        <v>13989</v>
      </c>
    </row>
    <row r="214" spans="7:7">
      <c r="G214" s="619" t="s">
        <v>13989</v>
      </c>
    </row>
    <row r="215" spans="7:7">
      <c r="G215" s="619" t="s">
        <v>13989</v>
      </c>
    </row>
    <row r="216" spans="7:7">
      <c r="G216" s="619" t="s">
        <v>13989</v>
      </c>
    </row>
    <row r="217" spans="7:7">
      <c r="G217" s="619" t="s">
        <v>13989</v>
      </c>
    </row>
    <row r="218" spans="7:7">
      <c r="G218" s="619" t="s">
        <v>13989</v>
      </c>
    </row>
    <row r="219" spans="7:7">
      <c r="G219" s="619" t="s">
        <v>13989</v>
      </c>
    </row>
    <row r="220" spans="7:7">
      <c r="G220" s="619" t="s">
        <v>13989</v>
      </c>
    </row>
    <row r="221" spans="7:7">
      <c r="G221" s="619" t="s">
        <v>13989</v>
      </c>
    </row>
    <row r="222" spans="7:7">
      <c r="G222" s="619" t="s">
        <v>13989</v>
      </c>
    </row>
    <row r="223" spans="7:7">
      <c r="G223" s="619" t="s">
        <v>13989</v>
      </c>
    </row>
    <row r="224" spans="7:7">
      <c r="G224" s="619" t="s">
        <v>13989</v>
      </c>
    </row>
    <row r="225" spans="7:7">
      <c r="G225" s="619" t="s">
        <v>13989</v>
      </c>
    </row>
    <row r="226" spans="7:7">
      <c r="G226" s="619" t="s">
        <v>13989</v>
      </c>
    </row>
    <row r="227" spans="7:7">
      <c r="G227" s="619" t="s">
        <v>13989</v>
      </c>
    </row>
    <row r="228" spans="7:7">
      <c r="G228" s="619" t="s">
        <v>13989</v>
      </c>
    </row>
    <row r="229" spans="7:7">
      <c r="G229" s="619" t="s">
        <v>13989</v>
      </c>
    </row>
    <row r="230" spans="7:7">
      <c r="G230" s="619" t="s">
        <v>13989</v>
      </c>
    </row>
    <row r="231" spans="7:7">
      <c r="G231" s="619" t="s">
        <v>13989</v>
      </c>
    </row>
    <row r="232" spans="7:7">
      <c r="G232" s="619" t="s">
        <v>13989</v>
      </c>
    </row>
    <row r="233" spans="7:7">
      <c r="G233" s="619" t="s">
        <v>13989</v>
      </c>
    </row>
    <row r="234" spans="7:7">
      <c r="G234" s="619" t="s">
        <v>13989</v>
      </c>
    </row>
    <row r="235" spans="7:7">
      <c r="G235" s="619" t="s">
        <v>13989</v>
      </c>
    </row>
    <row r="236" spans="7:7">
      <c r="G236" s="619" t="s">
        <v>13989</v>
      </c>
    </row>
    <row r="237" spans="7:7">
      <c r="G237" s="619" t="s">
        <v>13989</v>
      </c>
    </row>
    <row r="238" spans="7:7">
      <c r="G238" s="619" t="s">
        <v>13989</v>
      </c>
    </row>
    <row r="239" spans="7:7">
      <c r="G239" s="619" t="s">
        <v>13989</v>
      </c>
    </row>
    <row r="240" spans="7:7">
      <c r="G240" s="619" t="s">
        <v>13989</v>
      </c>
    </row>
    <row r="241" spans="7:7">
      <c r="G241" s="619" t="s">
        <v>13989</v>
      </c>
    </row>
    <row r="242" spans="7:7">
      <c r="G242" s="619" t="s">
        <v>13989</v>
      </c>
    </row>
    <row r="243" spans="7:7">
      <c r="G243" s="619" t="s">
        <v>13989</v>
      </c>
    </row>
    <row r="244" spans="7:7">
      <c r="G244" s="619" t="s">
        <v>13989</v>
      </c>
    </row>
    <row r="245" spans="7:7">
      <c r="G245" s="619" t="s">
        <v>13989</v>
      </c>
    </row>
    <row r="246" spans="7:7">
      <c r="G246" s="619" t="s">
        <v>13989</v>
      </c>
    </row>
    <row r="247" spans="7:7">
      <c r="G247" s="619" t="s">
        <v>13989</v>
      </c>
    </row>
    <row r="248" spans="7:7">
      <c r="G248" s="619" t="s">
        <v>13989</v>
      </c>
    </row>
    <row r="249" spans="7:7">
      <c r="G249" s="619" t="s">
        <v>13989</v>
      </c>
    </row>
    <row r="250" spans="7:7">
      <c r="G250" s="619" t="s">
        <v>13989</v>
      </c>
    </row>
    <row r="251" spans="7:7">
      <c r="G251" s="619" t="s">
        <v>13989</v>
      </c>
    </row>
    <row r="252" spans="7:7">
      <c r="G252" s="619" t="s">
        <v>13989</v>
      </c>
    </row>
    <row r="253" spans="7:7">
      <c r="G253" s="619" t="s">
        <v>13989</v>
      </c>
    </row>
    <row r="254" spans="7:7">
      <c r="G254" s="619" t="s">
        <v>13989</v>
      </c>
    </row>
    <row r="255" spans="7:7">
      <c r="G255" s="619" t="s">
        <v>13989</v>
      </c>
    </row>
    <row r="256" spans="7:7">
      <c r="G256" s="619" t="s">
        <v>13989</v>
      </c>
    </row>
    <row r="257" spans="7:7">
      <c r="G257" s="619" t="s">
        <v>13989</v>
      </c>
    </row>
    <row r="258" spans="7:7">
      <c r="G258" s="619" t="s">
        <v>13989</v>
      </c>
    </row>
    <row r="259" spans="7:7">
      <c r="G259" s="619" t="s">
        <v>13989</v>
      </c>
    </row>
    <row r="260" spans="7:7">
      <c r="G260" s="619" t="s">
        <v>13989</v>
      </c>
    </row>
    <row r="261" spans="7:7">
      <c r="G261" s="619" t="s">
        <v>13989</v>
      </c>
    </row>
    <row r="262" spans="7:7">
      <c r="G262" s="619" t="s">
        <v>13989</v>
      </c>
    </row>
    <row r="263" spans="7:7">
      <c r="G263" s="619" t="s">
        <v>13989</v>
      </c>
    </row>
    <row r="264" spans="7:7">
      <c r="G264" s="619" t="s">
        <v>13989</v>
      </c>
    </row>
    <row r="265" spans="7:7">
      <c r="G265" s="619" t="s">
        <v>13989</v>
      </c>
    </row>
    <row r="266" spans="7:7">
      <c r="G266" s="619" t="s">
        <v>13989</v>
      </c>
    </row>
    <row r="267" spans="7:7">
      <c r="G267" s="619" t="s">
        <v>13989</v>
      </c>
    </row>
    <row r="268" spans="7:7">
      <c r="G268" s="619" t="s">
        <v>13989</v>
      </c>
    </row>
    <row r="269" spans="7:7">
      <c r="G269" s="619" t="s">
        <v>13989</v>
      </c>
    </row>
    <row r="270" spans="7:7">
      <c r="G270" s="619" t="s">
        <v>13989</v>
      </c>
    </row>
    <row r="271" spans="7:7">
      <c r="G271" s="619" t="s">
        <v>13989</v>
      </c>
    </row>
    <row r="272" spans="7:7">
      <c r="G272" s="619" t="s">
        <v>13989</v>
      </c>
    </row>
    <row r="273" spans="7:7">
      <c r="G273" s="619" t="s">
        <v>13989</v>
      </c>
    </row>
    <row r="274" spans="7:7">
      <c r="G274" s="619" t="s">
        <v>13989</v>
      </c>
    </row>
    <row r="275" spans="7:7">
      <c r="G275" s="619" t="s">
        <v>13989</v>
      </c>
    </row>
    <row r="276" spans="7:7">
      <c r="G276" s="619" t="s">
        <v>13989</v>
      </c>
    </row>
    <row r="277" spans="7:7">
      <c r="G277" s="619" t="s">
        <v>13989</v>
      </c>
    </row>
    <row r="278" spans="7:7">
      <c r="G278" s="619" t="s">
        <v>13989</v>
      </c>
    </row>
    <row r="279" spans="7:7">
      <c r="G279" s="619" t="s">
        <v>13989</v>
      </c>
    </row>
    <row r="280" spans="7:7">
      <c r="G280" s="619" t="s">
        <v>13989</v>
      </c>
    </row>
    <row r="281" spans="7:7">
      <c r="G281" s="619" t="s">
        <v>13989</v>
      </c>
    </row>
    <row r="282" spans="7:7">
      <c r="G282" s="619" t="s">
        <v>13989</v>
      </c>
    </row>
    <row r="283" spans="7:7">
      <c r="G283" s="619" t="s">
        <v>13989</v>
      </c>
    </row>
    <row r="284" spans="7:7">
      <c r="G284" s="619" t="s">
        <v>13989</v>
      </c>
    </row>
    <row r="285" spans="7:7">
      <c r="G285" s="619" t="s">
        <v>13989</v>
      </c>
    </row>
    <row r="286" spans="7:7">
      <c r="G286" s="619" t="s">
        <v>13989</v>
      </c>
    </row>
    <row r="287" spans="7:7">
      <c r="G287" s="619" t="s">
        <v>13989</v>
      </c>
    </row>
    <row r="288" spans="7:7">
      <c r="G288" s="619" t="s">
        <v>13989</v>
      </c>
    </row>
    <row r="289" spans="7:7">
      <c r="G289" s="619" t="s">
        <v>13989</v>
      </c>
    </row>
    <row r="290" spans="7:7">
      <c r="G290" s="619" t="s">
        <v>13989</v>
      </c>
    </row>
    <row r="291" spans="7:7">
      <c r="G291" s="619" t="s">
        <v>13989</v>
      </c>
    </row>
    <row r="292" spans="7:7">
      <c r="G292" s="619" t="s">
        <v>13989</v>
      </c>
    </row>
    <row r="293" spans="7:7">
      <c r="G293" s="619" t="s">
        <v>13989</v>
      </c>
    </row>
    <row r="294" spans="7:7">
      <c r="G294" s="619" t="s">
        <v>13989</v>
      </c>
    </row>
    <row r="295" spans="7:7">
      <c r="G295" s="619" t="s">
        <v>13989</v>
      </c>
    </row>
    <row r="296" spans="7:7">
      <c r="G296" s="619" t="s">
        <v>13989</v>
      </c>
    </row>
    <row r="297" spans="7:7">
      <c r="G297" s="619" t="s">
        <v>13989</v>
      </c>
    </row>
    <row r="298" spans="7:7">
      <c r="G298" s="619" t="s">
        <v>13989</v>
      </c>
    </row>
    <row r="299" spans="7:7">
      <c r="G299" s="619" t="s">
        <v>13989</v>
      </c>
    </row>
    <row r="300" spans="7:7">
      <c r="G300" s="619" t="s">
        <v>13989</v>
      </c>
    </row>
    <row r="301" spans="7:7">
      <c r="G301" s="619" t="s">
        <v>13989</v>
      </c>
    </row>
    <row r="302" spans="7:7">
      <c r="G302" s="619" t="s">
        <v>13989</v>
      </c>
    </row>
    <row r="303" spans="7:7">
      <c r="G303" s="619" t="s">
        <v>13989</v>
      </c>
    </row>
    <row r="304" spans="7:7">
      <c r="G304" s="619" t="s">
        <v>13989</v>
      </c>
    </row>
    <row r="305" spans="7:7">
      <c r="G305" s="619" t="s">
        <v>13989</v>
      </c>
    </row>
    <row r="306" spans="7:7">
      <c r="G306" s="619" t="s">
        <v>13989</v>
      </c>
    </row>
    <row r="307" spans="7:7">
      <c r="G307" s="619" t="s">
        <v>13989</v>
      </c>
    </row>
    <row r="308" spans="7:7">
      <c r="G308" s="619" t="s">
        <v>13989</v>
      </c>
    </row>
    <row r="309" spans="7:7">
      <c r="G309" s="619" t="s">
        <v>13989</v>
      </c>
    </row>
    <row r="310" spans="7:7">
      <c r="G310" s="619" t="s">
        <v>13989</v>
      </c>
    </row>
    <row r="311" spans="7:7">
      <c r="G311" s="619" t="s">
        <v>13989</v>
      </c>
    </row>
    <row r="312" spans="7:7">
      <c r="G312" s="619" t="s">
        <v>13989</v>
      </c>
    </row>
    <row r="313" spans="7:7">
      <c r="G313" s="619" t="s">
        <v>13989</v>
      </c>
    </row>
    <row r="314" spans="7:7">
      <c r="G314" s="619" t="s">
        <v>13989</v>
      </c>
    </row>
    <row r="315" spans="7:7">
      <c r="G315" s="619" t="s">
        <v>13989</v>
      </c>
    </row>
    <row r="316" spans="7:7">
      <c r="G316" s="619" t="s">
        <v>13989</v>
      </c>
    </row>
    <row r="317" spans="7:7">
      <c r="G317" s="619" t="s">
        <v>13989</v>
      </c>
    </row>
    <row r="318" spans="7:7">
      <c r="G318" s="619" t="s">
        <v>13989</v>
      </c>
    </row>
    <row r="319" spans="7:7">
      <c r="G319" s="619" t="s">
        <v>13989</v>
      </c>
    </row>
    <row r="320" spans="7:7">
      <c r="G320" s="619" t="s">
        <v>13989</v>
      </c>
    </row>
    <row r="321" spans="7:7">
      <c r="G321" s="619" t="s">
        <v>13989</v>
      </c>
    </row>
    <row r="322" spans="7:7">
      <c r="G322" s="619" t="s">
        <v>13989</v>
      </c>
    </row>
    <row r="323" spans="7:7">
      <c r="G323" s="619" t="s">
        <v>13989</v>
      </c>
    </row>
    <row r="324" spans="7:7">
      <c r="G324" s="619" t="s">
        <v>13989</v>
      </c>
    </row>
    <row r="325" spans="7:7">
      <c r="G325" s="619" t="s">
        <v>13989</v>
      </c>
    </row>
    <row r="326" spans="7:7">
      <c r="G326" s="619" t="s">
        <v>13989</v>
      </c>
    </row>
    <row r="327" spans="7:7">
      <c r="G327" s="619" t="s">
        <v>13989</v>
      </c>
    </row>
    <row r="328" spans="7:7">
      <c r="G328" s="619" t="s">
        <v>13989</v>
      </c>
    </row>
    <row r="329" spans="7:7">
      <c r="G329" s="619" t="s">
        <v>13989</v>
      </c>
    </row>
    <row r="330" spans="7:7">
      <c r="G330" s="619" t="s">
        <v>13989</v>
      </c>
    </row>
    <row r="331" spans="7:7">
      <c r="G331" s="619" t="s">
        <v>13989</v>
      </c>
    </row>
    <row r="332" spans="7:7">
      <c r="G332" s="619" t="s">
        <v>13989</v>
      </c>
    </row>
    <row r="333" spans="7:7">
      <c r="G333" s="619" t="s">
        <v>13989</v>
      </c>
    </row>
    <row r="334" spans="7:7">
      <c r="G334" s="619" t="s">
        <v>13989</v>
      </c>
    </row>
    <row r="335" spans="7:7">
      <c r="G335" s="619" t="s">
        <v>13989</v>
      </c>
    </row>
    <row r="336" spans="7:7">
      <c r="G336" s="619" t="s">
        <v>13989</v>
      </c>
    </row>
    <row r="337" spans="7:7">
      <c r="G337" s="619" t="s">
        <v>13989</v>
      </c>
    </row>
    <row r="338" spans="7:7">
      <c r="G338" s="619" t="s">
        <v>13989</v>
      </c>
    </row>
    <row r="339" spans="7:7">
      <c r="G339" s="619" t="s">
        <v>13989</v>
      </c>
    </row>
    <row r="340" spans="7:7">
      <c r="G340" s="619" t="s">
        <v>13989</v>
      </c>
    </row>
    <row r="341" spans="7:7">
      <c r="G341" s="619" t="s">
        <v>13989</v>
      </c>
    </row>
    <row r="342" spans="7:7">
      <c r="G342" s="619" t="s">
        <v>13989</v>
      </c>
    </row>
    <row r="343" spans="7:7">
      <c r="G343" s="619" t="s">
        <v>13989</v>
      </c>
    </row>
    <row r="344" spans="7:7">
      <c r="G344" s="619" t="s">
        <v>13989</v>
      </c>
    </row>
    <row r="345" spans="7:7">
      <c r="G345" s="619" t="s">
        <v>13989</v>
      </c>
    </row>
    <row r="346" spans="7:7">
      <c r="G346" s="619" t="s">
        <v>13989</v>
      </c>
    </row>
    <row r="347" spans="7:7">
      <c r="G347" s="619" t="s">
        <v>13989</v>
      </c>
    </row>
    <row r="348" spans="7:7">
      <c r="G348" s="619" t="s">
        <v>13989</v>
      </c>
    </row>
    <row r="349" spans="7:7">
      <c r="G349" s="619" t="s">
        <v>13989</v>
      </c>
    </row>
    <row r="350" spans="7:7">
      <c r="G350" s="619" t="s">
        <v>13989</v>
      </c>
    </row>
    <row r="351" spans="7:7">
      <c r="G351" s="619" t="s">
        <v>13989</v>
      </c>
    </row>
    <row r="352" spans="7:7">
      <c r="G352" s="619" t="s">
        <v>13989</v>
      </c>
    </row>
    <row r="353" spans="7:7">
      <c r="G353" s="619" t="s">
        <v>13989</v>
      </c>
    </row>
    <row r="354" spans="7:7">
      <c r="G354" s="619" t="s">
        <v>13989</v>
      </c>
    </row>
    <row r="355" spans="7:7">
      <c r="G355" s="619" t="s">
        <v>13989</v>
      </c>
    </row>
    <row r="356" spans="7:7">
      <c r="G356" s="619" t="s">
        <v>13989</v>
      </c>
    </row>
    <row r="357" spans="7:7">
      <c r="G357" s="619" t="s">
        <v>13989</v>
      </c>
    </row>
    <row r="358" spans="7:7">
      <c r="G358" s="619" t="s">
        <v>13989</v>
      </c>
    </row>
    <row r="359" spans="7:7">
      <c r="G359" s="619" t="s">
        <v>13989</v>
      </c>
    </row>
    <row r="360" spans="7:7">
      <c r="G360" s="619" t="s">
        <v>13989</v>
      </c>
    </row>
    <row r="361" spans="7:7">
      <c r="G361" s="619" t="s">
        <v>13989</v>
      </c>
    </row>
    <row r="362" spans="7:7">
      <c r="G362" s="619" t="s">
        <v>13989</v>
      </c>
    </row>
    <row r="363" spans="7:7">
      <c r="G363" s="619" t="s">
        <v>13989</v>
      </c>
    </row>
    <row r="364" spans="7:7">
      <c r="G364" s="619" t="s">
        <v>13989</v>
      </c>
    </row>
    <row r="365" spans="7:7">
      <c r="G365" s="619" t="s">
        <v>13989</v>
      </c>
    </row>
    <row r="366" spans="7:7">
      <c r="G366" s="619" t="s">
        <v>13989</v>
      </c>
    </row>
    <row r="367" spans="7:7">
      <c r="G367" s="619" t="s">
        <v>13989</v>
      </c>
    </row>
    <row r="368" spans="7:7">
      <c r="G368" s="619" t="s">
        <v>13989</v>
      </c>
    </row>
    <row r="369" spans="7:7">
      <c r="G369" s="619" t="s">
        <v>13989</v>
      </c>
    </row>
    <row r="370" spans="7:7">
      <c r="G370" s="619" t="s">
        <v>13989</v>
      </c>
    </row>
    <row r="371" spans="7:7">
      <c r="G371" s="619" t="s">
        <v>13989</v>
      </c>
    </row>
    <row r="372" spans="7:7">
      <c r="G372" s="619" t="s">
        <v>13989</v>
      </c>
    </row>
    <row r="373" spans="7:7">
      <c r="G373" s="619" t="s">
        <v>13989</v>
      </c>
    </row>
    <row r="374" spans="7:7">
      <c r="G374" s="619" t="s">
        <v>13989</v>
      </c>
    </row>
    <row r="375" spans="7:7">
      <c r="G375" s="619" t="s">
        <v>13989</v>
      </c>
    </row>
    <row r="376" spans="7:7">
      <c r="G376" s="619" t="s">
        <v>13989</v>
      </c>
    </row>
    <row r="377" spans="7:7">
      <c r="G377" s="619" t="s">
        <v>13989</v>
      </c>
    </row>
    <row r="378" spans="7:7">
      <c r="G378" s="619" t="s">
        <v>13989</v>
      </c>
    </row>
    <row r="379" spans="7:7">
      <c r="G379" s="619" t="s">
        <v>13989</v>
      </c>
    </row>
    <row r="380" spans="7:7">
      <c r="G380" s="619" t="s">
        <v>13989</v>
      </c>
    </row>
    <row r="381" spans="7:7">
      <c r="G381" s="619" t="s">
        <v>13989</v>
      </c>
    </row>
    <row r="382" spans="7:7">
      <c r="G382" s="619" t="s">
        <v>13989</v>
      </c>
    </row>
    <row r="383" spans="7:7">
      <c r="G383" s="619" t="s">
        <v>13989</v>
      </c>
    </row>
    <row r="384" spans="7:7">
      <c r="G384" s="619" t="s">
        <v>13989</v>
      </c>
    </row>
    <row r="385" spans="7:7">
      <c r="G385" s="619" t="s">
        <v>13989</v>
      </c>
    </row>
    <row r="386" spans="7:7">
      <c r="G386" s="619" t="s">
        <v>13989</v>
      </c>
    </row>
    <row r="387" spans="7:7">
      <c r="G387" s="619" t="s">
        <v>13989</v>
      </c>
    </row>
    <row r="388" spans="7:7">
      <c r="G388" s="619" t="s">
        <v>13989</v>
      </c>
    </row>
    <row r="389" spans="7:7">
      <c r="G389" s="619" t="s">
        <v>13989</v>
      </c>
    </row>
    <row r="390" spans="7:7">
      <c r="G390" s="619" t="s">
        <v>13989</v>
      </c>
    </row>
    <row r="391" spans="7:7">
      <c r="G391" s="619" t="s">
        <v>13989</v>
      </c>
    </row>
    <row r="392" spans="7:7">
      <c r="G392" s="619" t="s">
        <v>13989</v>
      </c>
    </row>
    <row r="393" spans="7:7">
      <c r="G393" s="619" t="s">
        <v>13989</v>
      </c>
    </row>
    <row r="394" spans="7:7">
      <c r="G394" s="619" t="s">
        <v>13989</v>
      </c>
    </row>
    <row r="395" spans="7:7">
      <c r="G395" s="619" t="s">
        <v>13989</v>
      </c>
    </row>
    <row r="396" spans="7:7">
      <c r="G396" s="619" t="s">
        <v>13989</v>
      </c>
    </row>
    <row r="397" spans="7:7">
      <c r="G397" s="619" t="s">
        <v>13989</v>
      </c>
    </row>
    <row r="398" spans="7:7">
      <c r="G398" s="619" t="s">
        <v>13989</v>
      </c>
    </row>
    <row r="399" spans="7:7">
      <c r="G399" s="619" t="s">
        <v>13989</v>
      </c>
    </row>
    <row r="400" spans="7:7">
      <c r="G400" s="619" t="s">
        <v>13989</v>
      </c>
    </row>
    <row r="401" spans="7:7">
      <c r="G401" s="619" t="s">
        <v>13989</v>
      </c>
    </row>
    <row r="402" spans="7:7">
      <c r="G402" s="619" t="s">
        <v>13989</v>
      </c>
    </row>
    <row r="403" spans="7:7">
      <c r="G403" s="619" t="s">
        <v>13989</v>
      </c>
    </row>
    <row r="404" spans="7:7">
      <c r="G404" s="619" t="s">
        <v>13989</v>
      </c>
    </row>
    <row r="405" spans="7:7">
      <c r="G405" s="619" t="s">
        <v>13989</v>
      </c>
    </row>
    <row r="406" spans="7:7">
      <c r="G406" s="619" t="s">
        <v>13989</v>
      </c>
    </row>
    <row r="407" spans="7:7">
      <c r="G407" s="619" t="s">
        <v>13989</v>
      </c>
    </row>
    <row r="408" spans="7:7">
      <c r="G408" s="619" t="s">
        <v>13989</v>
      </c>
    </row>
    <row r="409" spans="7:7">
      <c r="G409" s="619" t="s">
        <v>13989</v>
      </c>
    </row>
    <row r="410" spans="7:7">
      <c r="G410" s="619" t="s">
        <v>13989</v>
      </c>
    </row>
    <row r="411" spans="7:7">
      <c r="G411" s="619" t="s">
        <v>13989</v>
      </c>
    </row>
    <row r="412" spans="7:7">
      <c r="G412" s="619" t="s">
        <v>13989</v>
      </c>
    </row>
    <row r="413" spans="7:7">
      <c r="G413" s="619" t="s">
        <v>13989</v>
      </c>
    </row>
    <row r="414" spans="7:7">
      <c r="G414" s="619" t="s">
        <v>13989</v>
      </c>
    </row>
    <row r="415" spans="7:7">
      <c r="G415" s="619" t="s">
        <v>13989</v>
      </c>
    </row>
    <row r="416" spans="7:7">
      <c r="G416" s="619" t="s">
        <v>13989</v>
      </c>
    </row>
    <row r="417" spans="7:7">
      <c r="G417" s="619" t="s">
        <v>13989</v>
      </c>
    </row>
    <row r="418" spans="7:7">
      <c r="G418" s="619" t="s">
        <v>13989</v>
      </c>
    </row>
    <row r="419" spans="7:7">
      <c r="G419" s="619" t="s">
        <v>13989</v>
      </c>
    </row>
    <row r="420" spans="7:7">
      <c r="G420" s="619" t="s">
        <v>13989</v>
      </c>
    </row>
    <row r="421" spans="7:7">
      <c r="G421" s="619" t="s">
        <v>13989</v>
      </c>
    </row>
    <row r="422" spans="7:7">
      <c r="G422" s="619" t="s">
        <v>13989</v>
      </c>
    </row>
    <row r="423" spans="7:7">
      <c r="G423" s="619" t="s">
        <v>13989</v>
      </c>
    </row>
    <row r="424" spans="7:7">
      <c r="G424" s="619" t="s">
        <v>13989</v>
      </c>
    </row>
    <row r="425" spans="7:7">
      <c r="G425" s="619" t="s">
        <v>13989</v>
      </c>
    </row>
    <row r="426" spans="7:7">
      <c r="G426" s="619" t="s">
        <v>13989</v>
      </c>
    </row>
    <row r="427" spans="7:7">
      <c r="G427" s="619" t="s">
        <v>13989</v>
      </c>
    </row>
    <row r="428" spans="7:7">
      <c r="G428" s="619" t="s">
        <v>13989</v>
      </c>
    </row>
    <row r="429" spans="7:7">
      <c r="G429" s="619" t="s">
        <v>13989</v>
      </c>
    </row>
    <row r="430" spans="7:7">
      <c r="G430" s="619" t="s">
        <v>13989</v>
      </c>
    </row>
    <row r="431" spans="7:7">
      <c r="G431" s="619" t="s">
        <v>13989</v>
      </c>
    </row>
    <row r="432" spans="7:7">
      <c r="G432" s="619" t="s">
        <v>13989</v>
      </c>
    </row>
    <row r="433" spans="7:7">
      <c r="G433" s="619" t="s">
        <v>13989</v>
      </c>
    </row>
    <row r="434" spans="7:7">
      <c r="G434" s="619" t="s">
        <v>13989</v>
      </c>
    </row>
    <row r="435" spans="7:7">
      <c r="G435" s="619" t="s">
        <v>13989</v>
      </c>
    </row>
    <row r="436" spans="7:7">
      <c r="G436" s="619" t="s">
        <v>13989</v>
      </c>
    </row>
    <row r="437" spans="7:7">
      <c r="G437" s="619" t="s">
        <v>13989</v>
      </c>
    </row>
    <row r="438" spans="7:7">
      <c r="G438" s="619" t="s">
        <v>13989</v>
      </c>
    </row>
    <row r="439" spans="7:7">
      <c r="G439" s="619" t="s">
        <v>13989</v>
      </c>
    </row>
    <row r="440" spans="7:7">
      <c r="G440" s="619" t="s">
        <v>13989</v>
      </c>
    </row>
    <row r="441" spans="7:7">
      <c r="G441" s="619" t="s">
        <v>13989</v>
      </c>
    </row>
    <row r="442" spans="7:7">
      <c r="G442" s="619" t="s">
        <v>13989</v>
      </c>
    </row>
    <row r="443" spans="7:7">
      <c r="G443" s="619" t="s">
        <v>13989</v>
      </c>
    </row>
    <row r="444" spans="7:7">
      <c r="G444" s="619" t="s">
        <v>13989</v>
      </c>
    </row>
    <row r="445" spans="7:7">
      <c r="G445" s="619" t="s">
        <v>13989</v>
      </c>
    </row>
    <row r="446" spans="7:7">
      <c r="G446" s="619" t="s">
        <v>13989</v>
      </c>
    </row>
    <row r="447" spans="7:7">
      <c r="G447" s="619" t="s">
        <v>13989</v>
      </c>
    </row>
    <row r="448" spans="7:7">
      <c r="G448" s="619" t="s">
        <v>13989</v>
      </c>
    </row>
    <row r="449" spans="7:7">
      <c r="G449" s="619" t="s">
        <v>13989</v>
      </c>
    </row>
    <row r="450" spans="7:7">
      <c r="G450" s="619" t="s">
        <v>13989</v>
      </c>
    </row>
    <row r="451" spans="7:7">
      <c r="G451" s="619" t="s">
        <v>13989</v>
      </c>
    </row>
    <row r="452" spans="7:7">
      <c r="G452" s="619" t="s">
        <v>13989</v>
      </c>
    </row>
    <row r="453" spans="7:7">
      <c r="G453" s="619" t="s">
        <v>13989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7d9d750b-bb0d-49af-b3d6-418fb461c1e2">
      <Terms xmlns="http://schemas.microsoft.com/office/infopath/2007/PartnerControls"/>
    </lcf76f155ced4ddcb4097134ff3c332f>
    <TaxCatchAll xmlns="f78dd21b-5061-467a-9495-c47fbdd4ee00" xsi:nil="true"/>
    <_ip_UnifiedCompliancePolicyUIAction xmlns="http://schemas.microsoft.com/sharepoint/v3" xsi:nil="true"/>
    <_ip_UnifiedCompliancePolicyProperties xmlns="http://schemas.microsoft.com/sharepoint/v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B4FFB01E219CC449BAA50EF9F022D835" ma:contentTypeVersion="16" ma:contentTypeDescription="Create a new document." ma:contentTypeScope="" ma:versionID="d3e69547eec775a2d8de7423b0c24988">
  <xsd:schema xmlns:xsd="http://www.w3.org/2001/XMLSchema" xmlns:xs="http://www.w3.org/2001/XMLSchema" xmlns:p="http://schemas.microsoft.com/office/2006/metadata/properties" xmlns:ns1="http://schemas.microsoft.com/sharepoint/v3" xmlns:ns2="7d9d750b-bb0d-49af-b3d6-418fb461c1e2" xmlns:ns3="f78dd21b-5061-467a-9495-c47fbdd4ee00" targetNamespace="http://schemas.microsoft.com/office/2006/metadata/properties" ma:root="true" ma:fieldsID="9866958252c54bc2f294e9eac578f540" ns1:_="" ns2:_="" ns3:_="">
    <xsd:import namespace="http://schemas.microsoft.com/sharepoint/v3"/>
    <xsd:import namespace="7d9d750b-bb0d-49af-b3d6-418fb461c1e2"/>
    <xsd:import namespace="f78dd21b-5061-467a-9495-c47fbdd4ee00"/>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MediaServiceSearchProperties" minOccurs="0"/>
                <xsd:element ref="ns3:SharedWithUsers" minOccurs="0"/>
                <xsd:element ref="ns3:SharedWithDetails" minOccurs="0"/>
                <xsd:element ref="ns2:lcf76f155ced4ddcb4097134ff3c332f" minOccurs="0"/>
                <xsd:element ref="ns3:TaxCatchAll" minOccurs="0"/>
                <xsd:element ref="ns2:MediaServiceOCR"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2" nillable="true" ma:displayName="Unified Compliance Policy Properties" ma:hidden="true" ma:internalName="_ip_UnifiedCompliancePolicyProperties">
      <xsd:simpleType>
        <xsd:restriction base="dms:Note"/>
      </xsd:simpleType>
    </xsd:element>
    <xsd:element name="_ip_UnifiedCompliancePolicyUIAction" ma:index="2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d9d750b-bb0d-49af-b3d6-418fb461c1e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b9727089-2a7e-4b6f-b79a-125106604be6"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78dd21b-5061-467a-9495-c47fbdd4ee00"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52d9c5f1-8363-4598-9d76-3624cab7fae7}" ma:internalName="TaxCatchAll" ma:showField="CatchAllData" ma:web="f78dd21b-5061-467a-9495-c47fbdd4ee0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0FCF9B1-4A2A-4735-8B0D-64498DBFDE16}"/>
</file>

<file path=customXml/itemProps2.xml><?xml version="1.0" encoding="utf-8"?>
<ds:datastoreItem xmlns:ds="http://schemas.openxmlformats.org/officeDocument/2006/customXml" ds:itemID="{E3C5DA35-733C-4BAE-8D1A-50D49B648460}"/>
</file>

<file path=customXml/itemProps3.xml><?xml version="1.0" encoding="utf-8"?>
<ds:datastoreItem xmlns:ds="http://schemas.openxmlformats.org/officeDocument/2006/customXml" ds:itemID="{341DC267-D50A-413E-8D9E-062D71EEEDB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2026-05-22T08:47:57Z</dcterms:created>
  <dcterms:modified xsi:type="dcterms:W3CDTF">2026-07-28T09:19:44Z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0x010100B4FFB01E219CC449BAA50EF9F022D835</vt:lpwstr>
  </property>
  <property fmtid="{D5CDD505-2E9C-101B-9397-08002B2CF9AE}" pid="3" name="MediaServiceImageTags">
    <vt:lpwstr/>
  </property>
</Properties>
</file>